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5.xml" ContentType="application/vnd.ms-excel.threadedcomments+xml"/>
  <Override PartName="/xl/comments8.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https://catrockcap-my.sharepoint.com/personal/dberring_catrockcap_com/Documents/Documents/AI folder for models/12.31.24/"/>
    </mc:Choice>
  </mc:AlternateContent>
  <xr:revisionPtr revIDLastSave="112" documentId="8_{69F71A2D-7A7E-4F3F-88CD-3786D3D0287A}" xr6:coauthVersionLast="47" xr6:coauthVersionMax="47" xr10:uidLastSave="{B3DA92AF-6CFA-4CD2-A6C3-6F7E62F5D6D1}"/>
  <bookViews>
    <workbookView xWindow="-110" yWindow="-110" windowWidth="19420" windowHeight="11500" firstSheet="1" activeTab="1" xr2:uid="{00000000-000D-0000-FFFF-FFFF00000000}"/>
  </bookViews>
  <sheets>
    <sheet name="__snloffice" sheetId="14" state="veryHidden" r:id="rId1"/>
    <sheet name="Base" sheetId="12" r:id="rId2"/>
    <sheet name="Upside" sheetId="16" r:id="rId3"/>
    <sheet name="Downside" sheetId="15" r:id="rId4"/>
    <sheet name="Historicals" sheetId="11" r:id="rId5"/>
    <sheet name="Convert Math" sheetId="26" r:id="rId6"/>
    <sheet name="Semrush" sheetId="28" r:id="rId7"/>
    <sheet name="Fuzzy Panda Track Record" sheetId="17" r:id="rId8"/>
    <sheet name="Front Page" sheetId="7" state="hidden" r:id="rId9"/>
    <sheet name="Model" sheetId="1" r:id="rId10"/>
    <sheet name="Guidance Analysis" sheetId="18" r:id="rId11"/>
    <sheet name="Q4 Credibility" sheetId="20" r:id="rId12"/>
    <sheet name="State Database" sheetId="27" r:id="rId13"/>
    <sheet name="TX Detail" sheetId="29" r:id="rId14"/>
    <sheet name="IN Detail" sheetId="32" r:id="rId15"/>
    <sheet name="OH Detail" sheetId="33" r:id="rId16"/>
    <sheet name="AZ Detail" sheetId="36" r:id="rId17"/>
    <sheet name="MI Detail" sheetId="38" r:id="rId18"/>
    <sheet name="State Trends" sheetId="30" r:id="rId19"/>
    <sheet name="K12 Schools" sheetId="34" r:id="rId20"/>
    <sheet name="Guidance" sheetId="10" r:id="rId21"/>
    <sheet name="APOL Case Study" sheetId="23" r:id="rId22"/>
    <sheet name="APOL timeline" sheetId="21" r:id="rId23"/>
    <sheet name="APOL stock chart" sheetId="25" r:id="rId24"/>
    <sheet name="APOL historicals" sheetId="22" r:id="rId25"/>
    <sheet name="Sheet3" sheetId="19" r:id="rId26"/>
    <sheet name="Summary Page" sheetId="9" state="hidden" r:id="rId27"/>
    <sheet name="Update Log" sheetId="8" state="hidden" r:id="rId28"/>
  </sheets>
  <externalReferences>
    <externalReference r:id="rId29"/>
  </externalReferences>
  <definedNames>
    <definedName name="_xlnm._FilterDatabase" localSheetId="20" hidden="1">Guidance!$A$5:$U$5</definedName>
    <definedName name="_xlnm._FilterDatabase" localSheetId="10" hidden="1">'Guidance Analysis'!$A$9:$V$9</definedName>
    <definedName name="_xlnm._FilterDatabase" localSheetId="19" hidden="1">'K12 Schools'!$A$5:$AS$383</definedName>
    <definedName name="AA.AlternatePriceSourceStartPeriod">"Q1-2019"</definedName>
    <definedName name="AA.CIK">"1157408"</definedName>
    <definedName name="AA.ColorizerVersion">"2.0.4.0"</definedName>
    <definedName name="AA.CompareQuarters.LatestMRQ">"Q1-2020"</definedName>
    <definedName name="AA.CSIN">"36KQ9X0131"</definedName>
    <definedName name="AA.CurationVersion" localSheetId="10">"2023.11.1.0"</definedName>
    <definedName name="AA.CurationVersion">"2023.7.1.0"</definedName>
    <definedName name="AA.DBMacroVersion">"1.0.13.0"</definedName>
    <definedName name="AA.FreeCashFlow">"TRUE"</definedName>
    <definedName name="AA.HardcodeChecker.LatestMRQ">"FY2019"</definedName>
    <definedName name="AA.MetadataVersion">"Q2-2024.20"</definedName>
    <definedName name="AA.ModelChecks.LatestMRQ">"Q1-2022"</definedName>
    <definedName name="AA.ModelChecks.LatestVersionNumber">"2.38.0.0"</definedName>
    <definedName name="AA.ModelColorScheme">"Classic"</definedName>
    <definedName name="AA.ModelColumnOrder">"QQFYFY"</definedName>
    <definedName name="AA.ModelVersion" localSheetId="10">"FY2024.24"</definedName>
    <definedName name="AA.ModelVersion">"Q1-2024.22"</definedName>
    <definedName name="AA.NonLibraryWideCurationVersion" localSheetId="10">"5"</definedName>
    <definedName name="AA.NonLibraryWideCurationVersion">"1"</definedName>
    <definedName name="AA.PartialUpdate.BsAvailable">"TRUE"</definedName>
    <definedName name="AA.PartialUpdate.CfsAvailable">"TRUE"</definedName>
    <definedName name="AA.PartialUpdate.IsAvailable">"TRUE"</definedName>
    <definedName name="AA.PeriodGrouperVersion">"3.0.4.0"</definedName>
    <definedName name="AA.PeriodLayout">"QFY"</definedName>
    <definedName name="AA.PersonalMacro.VersionNumber">"1.5.3.0"</definedName>
    <definedName name="AA.RowNameEnforcerVersion" localSheetId="10">"2023.11.1.0"</definedName>
    <definedName name="AA.RowNameEnforcerVersion">"2023.8.9.0"</definedName>
    <definedName name="AA.SessionToUploadId">""</definedName>
    <definedName name="AA.StartWorkModelVersion" localSheetId="10">"FY2024.20"</definedName>
    <definedName name="AA.StartWorkModelVersion">"Q1-2024.20"</definedName>
    <definedName name="AA.StartWorkType">""</definedName>
    <definedName name="AA.SubyearType">"Q"</definedName>
    <definedName name="AA.TemplateUpgradeAttempted">"TRUE"</definedName>
    <definedName name="AA.TemplateVersion" localSheetId="10">"7.5.1.0"</definedName>
    <definedName name="AA.TemplateVersion">"7.4.6.0"</definedName>
    <definedName name="AA.UpdateType">"Regular"</definedName>
    <definedName name="FP.DataSource">'Front Page'!$H$16</definedName>
    <definedName name="FP.DataSourceName" localSheetId="10">'[1]Front Page'!$H$15</definedName>
    <definedName name="FP.DataSourceName">'Front Page'!$H$15</definedName>
    <definedName name="FP.Disclaimer">'Front Page'!$C$22</definedName>
    <definedName name="FP.LastPrice" localSheetId="10">'[1]Front Page'!$H$20</definedName>
    <definedName name="FP.LastPrice">'Front Page'!$H$20</definedName>
    <definedName name="FP.LastPriceDate" localSheetId="10">'[1]Front Page'!$F$20</definedName>
    <definedName name="FP.LastPriceDate">'Front Page'!$F$20</definedName>
    <definedName name="FP.RealTimeToggle" localSheetId="10">'[1]Front Page'!$H$18</definedName>
    <definedName name="FP.RealTimeToggle">'Front Page'!$H$18</definedName>
    <definedName name="FP.UpdateDate">'Front Page'!$H$11</definedName>
    <definedName name="FP.UpdateEvent">'Front Page'!$H$13</definedName>
    <definedName name="FP_Comment">'Front Page'!$P$9:$P$16</definedName>
    <definedName name="FP_StockPriceOverride">'Front Page'!$C$20:$H$20</definedName>
    <definedName name="GD.CompanyName" localSheetId="10">'Guidance Analysis'!$B$1</definedName>
    <definedName name="GD.CompanyName">Guidance!$B$1</definedName>
    <definedName name="GD.MRQ" localSheetId="10">'Guidance Analysis'!$H$2</definedName>
    <definedName name="GD.MRQ">Guidance!$F$2</definedName>
    <definedName name="GD_Difference_Mid_Absolute" localSheetId="10">'Guidance Analysis'!$R:$R</definedName>
    <definedName name="GD_Difference_Mid_Absolute">Guidance!$P:$P</definedName>
    <definedName name="GD_Difference_Mid_Relative" localSheetId="10">'Guidance Analysis'!$S:$S</definedName>
    <definedName name="GD_Difference_Mid_Relative">Guidance!$Q:$Q</definedName>
    <definedName name="GD_Guidance_High" localSheetId="10">'Guidance Analysis'!$L:$L</definedName>
    <definedName name="GD_Guidance_High">Guidance!$J:$J</definedName>
    <definedName name="GD_Guidance_Low" localSheetId="10">'Guidance Analysis'!$K:$K</definedName>
    <definedName name="GD_Guidance_Low">Guidance!$I:$I</definedName>
    <definedName name="GD_Guidance_Mid" localSheetId="10">'Guidance Analysis'!$M:$M</definedName>
    <definedName name="GD_Guidance_Mid">Guidance!$K:$K</definedName>
    <definedName name="GD_Header_Column" localSheetId="10">'Guidance Analysis'!$9:$9</definedName>
    <definedName name="GD_Header_Column">Guidance!$5:$5</definedName>
    <definedName name="GD_Header_Section" localSheetId="10">'Guidance Analysis'!$8:$8</definedName>
    <definedName name="GD_Header_Section">Guidance!$4:$4</definedName>
    <definedName name="GD_Index" localSheetId="10">'Guidance Analysis'!$A:$A</definedName>
    <definedName name="GD_Index">Guidance!$A:$A</definedName>
    <definedName name="GD_Item" localSheetId="10">'Guidance Analysis'!$D:$D</definedName>
    <definedName name="GD_Item">Guidance!$D:$D</definedName>
    <definedName name="GD_Item_BasePeriod" localSheetId="10">'Guidance Analysis'!$I:$I</definedName>
    <definedName name="GD_Item_BasePeriod">Guidance!$G:$G</definedName>
    <definedName name="GD_Item_FiscalPeriod" localSheetId="10">'Guidance Analysis'!$H:$H</definedName>
    <definedName name="GD_Item_FiscalPeriod">Guidance!$F:$F</definedName>
    <definedName name="GD_Item_Name" localSheetId="10">'Guidance Analysis'!$E:$E</definedName>
    <definedName name="GD_Item_Name">Guidance!$E:$E</definedName>
    <definedName name="GD_Model_Output" localSheetId="10">'Guidance Analysis'!$P:$P</definedName>
    <definedName name="GD_Model_Output">Guidance!$N:$N</definedName>
    <definedName name="GD_Model_Type" localSheetId="10">'Guidance Analysis'!$O:$O</definedName>
    <definedName name="GD_Model_Type">Guidance!$M:$M</definedName>
    <definedName name="GD_Type" localSheetId="10">'Guidance Analysis'!$B:$B</definedName>
    <definedName name="GD_Type">Guidance!$B:$B</definedName>
    <definedName name="GD_Update_Date" localSheetId="10">'Guidance Analysis'!$F:$F</definedName>
    <definedName name="GD_Update_Date">Guidance!$S:$S</definedName>
    <definedName name="GD_Update_Link" localSheetId="10">'Guidance Analysis'!$U:$U</definedName>
    <definedName name="GD_Update_Link">Guidance!$T:$T</definedName>
    <definedName name="HP.MRFX" localSheetId="10">[1]Model!$B$792</definedName>
    <definedName name="HP.MRFX">Model!$B$722</definedName>
    <definedName name="HP.ReportCurrency" localSheetId="10">[1]Model!$B$791</definedName>
    <definedName name="HP.ReportCurrency">Model!$B$721</definedName>
    <definedName name="HP.Ticker" localSheetId="10">[1]Model!$A$2</definedName>
    <definedName name="HP.Ticker">Model!$A$2</definedName>
    <definedName name="HP.TradeCurrency" localSheetId="10">[1]Model!$B$789</definedName>
    <definedName name="HP.TradeCurrency">Model!$B$719</definedName>
    <definedName name="HP.TradeCurrency.HardCoded" localSheetId="10">[1]Model!$B$790</definedName>
    <definedName name="HP.TradeCurrency.HardCoded">Model!$B$720</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45454.2426736111</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MO.ApplyTradeCurrencyScaling" localSheetId="10">[1]Model!$B$788</definedName>
    <definedName name="MO.ApplyTradeCurrencyScaling">Model!$B$718</definedName>
    <definedName name="MO.CFY">Model!$B$726</definedName>
    <definedName name="MO.CompanyName" localSheetId="10">[1]Model!$A$1</definedName>
    <definedName name="MO.CompanyName">Model!$A$1</definedName>
    <definedName name="MO.DataSourceIndex" localSheetId="10">[1]Model!$B$799</definedName>
    <definedName name="MO.DataSourceIndex">Model!$B$729</definedName>
    <definedName name="MO.DataSourceName" localSheetId="10">[1]Model!$A$4</definedName>
    <definedName name="MO.DataSourceName">Model!$A$4</definedName>
    <definedName name="MO.FirstForecastedFiscalYear">Model!$B$727</definedName>
    <definedName name="MO.KPI.1">Model!$A$658</definedName>
    <definedName name="MO.KPI.2">Model!$A$659</definedName>
    <definedName name="MO.KPI.3">Model!$A$660</definedName>
    <definedName name="MO.KPI.4">Model!$A$661</definedName>
    <definedName name="MO.KPI.5">Model!$A$662</definedName>
    <definedName name="MO.KPI.Count">Model!$B$728</definedName>
    <definedName name="MO.LastPrice" localSheetId="10">[1]Model!$B$3</definedName>
    <definedName name="MO.LastPrice">Model!$B$3</definedName>
    <definedName name="MO.LastPriceDate">Model!$B$715</definedName>
    <definedName name="MO.LastPriceFormula" localSheetId="10">[1]Model!$B$787</definedName>
    <definedName name="MO.LastPriceFormula">Model!$B$717</definedName>
    <definedName name="MO.LastPriceHardcoded" localSheetId="10">[1]Model!$B$784</definedName>
    <definedName name="MO.LastPriceHardcoded">Model!$B$714</definedName>
    <definedName name="MO.MRFP" localSheetId="10">[1]Model!$B$795</definedName>
    <definedName name="MO.MRFP">Model!$B$725</definedName>
    <definedName name="MO.MRFPColumnNumber" localSheetId="10">[1]Model!$B$794</definedName>
    <definedName name="MO.MRFPColumnNumber">Model!$B$724</definedName>
    <definedName name="MO.MRFX.Hardcoded" localSheetId="10">[1]Model!$B$793</definedName>
    <definedName name="MO.MRFX.Hardcoded">Model!$B$723</definedName>
    <definedName name="MO.RealTime" localSheetId="10">[1]Model!$B$4</definedName>
    <definedName name="MO.RealTime">Model!$B$4</definedName>
    <definedName name="MO.RealTimeStockPriceToggle" localSheetId="10">[1]Model!$B$786</definedName>
    <definedName name="MO.RealTimeStockPriceToggle">Model!$B$716</definedName>
    <definedName name="MO.ReportCurrency" localSheetId="10">[1]Model!$B$791</definedName>
    <definedName name="MO.ReportCurrency">Model!$B$721</definedName>
    <definedName name="MO.ReportFX" localSheetId="10">[1]Model!$A$5</definedName>
    <definedName name="MO.ReportFX">Model!$A$5</definedName>
    <definedName name="MO.Ticker">Model!$A$2</definedName>
    <definedName name="MO.Ticker.Bloomberg" localSheetId="10">[1]Model!$A$696</definedName>
    <definedName name="MO.Ticker.Bloomberg">Model!$A$637</definedName>
    <definedName name="MO.Ticker.Canalyst">Model!$A$636</definedName>
    <definedName name="MO.Ticker.CapIQ" localSheetId="10">[1]Model!$A$697</definedName>
    <definedName name="MO.Ticker.CapIQ">Model!$A$638</definedName>
    <definedName name="MO.Ticker.FactSet" localSheetId="10">[1]Model!$A$698</definedName>
    <definedName name="MO.Ticker.FactSet">Model!$A$639</definedName>
    <definedName name="MO.Ticker.Thomson" localSheetId="10">[1]Model!$A$699</definedName>
    <definedName name="MO.Ticker.Thomson">Model!$A$640</definedName>
    <definedName name="MO.TradingCurrency">Model!$A$3</definedName>
    <definedName name="MO.ValuationToggle" localSheetId="10">[1]Model!$B$358</definedName>
    <definedName name="MO.ValuationToggle">Model!$B$303</definedName>
    <definedName name="MO_AN_EBIT_Adj">Model!$176:$176</definedName>
    <definedName name="MO_AN_EBITDA_Adj">Model!$178:$178</definedName>
    <definedName name="MO_BS_AccComp_Current">Model!$582:$582</definedName>
    <definedName name="MO_BS_AE">Model!$581:$581</definedName>
    <definedName name="MO_BS_AP">Model!$580:$580</definedName>
    <definedName name="MO_BS_AR">Model!$552:$552</definedName>
    <definedName name="MO_BS_CA">Model!$558:$558</definedName>
    <definedName name="MO_BS_Cash">Model!$551:$551</definedName>
    <definedName name="MO_BS_CL" localSheetId="10">[1]Model!$643:$643</definedName>
    <definedName name="MO_BS_CL">Model!$584:$584</definedName>
    <definedName name="MO_BS_CommonStock">Model!$599:$599</definedName>
    <definedName name="MO_BS_ContributedSurplus">Model!$600:$600</definedName>
    <definedName name="MO_BS_DefRev">Model!$583:$583</definedName>
    <definedName name="MO_BS_DefRev_Current">Model!$583:$583</definedName>
    <definedName name="MO_BS_FL_Current">Model!$576:$576</definedName>
    <definedName name="MO_BS_FL_NonCurrent">Model!$587:$587</definedName>
    <definedName name="MO_BS_Goodwill">Model!$567:$567</definedName>
    <definedName name="MO_BS_Intangibles">Model!$566:$566</definedName>
    <definedName name="MO_BS_INV">Model!$553:$553</definedName>
    <definedName name="MO_BS_NCA">Model!$572:$572</definedName>
    <definedName name="MO_BS_NCI">Model!$606:$606</definedName>
    <definedName name="MO_BS_NCL">Model!$595:$595</definedName>
    <definedName name="MO_BS_NP_Current">Model!$578:$578</definedName>
    <definedName name="MO_BS_NP_NonCurrent">Model!$593:$593</definedName>
    <definedName name="MO_BS_OCI">Model!$601:$601</definedName>
    <definedName name="MO_BS_OL_Current">Model!$577:$577</definedName>
    <definedName name="MO_BS_OL_NonCurrent">Model!$588:$588</definedName>
    <definedName name="MO_BS_PPE">Model!$562:$562</definedName>
    <definedName name="MO_BS_PrepaidExpenses">Model!$555:$555</definedName>
    <definedName name="MO_BS_RestrictedCash_Current">Model!$557:$557</definedName>
    <definedName name="MO_BS_RestrictedCash_NonCurrent">Model!$569:$569</definedName>
    <definedName name="MO_BS_RetainedEarnings">Model!$602:$602</definedName>
    <definedName name="MO_BS_ROU">Model!$561:$561</definedName>
    <definedName name="MO_BS_SE" localSheetId="10">[1]Model!$664:$664</definedName>
    <definedName name="MO_BS_SE">Model!$605:$605</definedName>
    <definedName name="MO_BS_TA" localSheetId="10">[1]Model!$632:$632</definedName>
    <definedName name="MO_BS_TA">Model!$573:$573</definedName>
    <definedName name="MO_BS_TaxAssets_Deferred_Current">Model!$554:$554</definedName>
    <definedName name="MO_BS_TaxAssets_Deferred_NonCurrent">Model!$570:$570</definedName>
    <definedName name="MO_BS_TaxLiabilities_Deferred_NonCurrent">Model!$591:$591</definedName>
    <definedName name="MO_BS_TL">Model!$596:$596</definedName>
    <definedName name="MO_BS_TLSE">Model!$607:$607</definedName>
    <definedName name="MO_BS_TreasuryStock">Model!$603:$603</definedName>
    <definedName name="MO_BSS_Cash" localSheetId="10">[1]Model!$339:$339</definedName>
    <definedName name="MO_BSS_Cash">Model!$284:$284</definedName>
    <definedName name="MO_BSS_Debt" localSheetId="10">[1]Model!$342:$342</definedName>
    <definedName name="MO_BSS_Debt">Model!$287:$287</definedName>
    <definedName name="MO_BSS_Debt_LT">Model!$286:$286</definedName>
    <definedName name="MO_BSS_Debt_Net" localSheetId="10">[1]Model!$344:$344</definedName>
    <definedName name="MO_BSS_Debt_Net">Model!$289:$289</definedName>
    <definedName name="MO_BSS_Debt_ST">Model!$285:$285</definedName>
    <definedName name="MO_BSS_Debt_ToCF">Model!$300:$300</definedName>
    <definedName name="MO_BSS_Debt_ToEBITDA">Model!$299:$299</definedName>
    <definedName name="MO_BSS_IE">Model!$291:$291</definedName>
    <definedName name="MO_BSS_IE_Net">Model!$295:$295</definedName>
    <definedName name="MO_BSS_II">Model!$293:$293</definedName>
    <definedName name="MO_BSS_InterestRate_Cash">Model!$294:$294</definedName>
    <definedName name="MO_BSS_InterestRate_Debt">Model!$292:$292</definedName>
    <definedName name="MO_BSS_NetInterestCoverage">Model!$298:$298</definedName>
    <definedName name="MO_BSS_NetInterestRate_Debt">Model!$296:$296</definedName>
    <definedName name="MO_BSS_OL" localSheetId="10">[1]Model!$343:$343</definedName>
    <definedName name="MO_BSS_OL">Model!$288:$288</definedName>
    <definedName name="MO_CCFS_Balance_Begin">Model!$412:$412</definedName>
    <definedName name="MO_CCFS_Balance_End">Model!$413:$413</definedName>
    <definedName name="MO_CCFS_CFF">Model!$407:$407</definedName>
    <definedName name="MO_CCFS_CFI">Model!$385:$385</definedName>
    <definedName name="MO_CCFS_CFO">Model!$357:$357</definedName>
    <definedName name="MO_CCFS_CFO_BeforeWC">Model!$343:$343</definedName>
    <definedName name="MO_CCFS_FX">Model!$409:$409</definedName>
    <definedName name="MO_CCFS_NetChange">Model!$410:$410</definedName>
    <definedName name="MO_CCFS_Sup_CashInterest">Model!$415:$415</definedName>
    <definedName name="MO_CCFS_Sup_CashTax">Model!$416:$416</definedName>
    <definedName name="MO_CFS_Balance_Begin">Model!$504:$504</definedName>
    <definedName name="MO_CFS_Balance_End">Model!$505:$505</definedName>
    <definedName name="MO_CFS_Buyback" localSheetId="10">[1]Model!$539:$539</definedName>
    <definedName name="MO_CFS_Buyback">Model!$484:$484</definedName>
    <definedName name="MO_CFS_CFF" localSheetId="10">[1]Model!$554:$554</definedName>
    <definedName name="MO_CFS_CFF">Model!$499:$499</definedName>
    <definedName name="MO_CFS_CFI" localSheetId="10">[1]Model!$532:$532</definedName>
    <definedName name="MO_CFS_CFI">Model!$477:$477</definedName>
    <definedName name="MO_CFS_CFO" localSheetId="10">[1]Model!$504:$504</definedName>
    <definedName name="MO_CFS_CFO">Model!$449:$449</definedName>
    <definedName name="MO_CFS_CFO_BeforeWC" localSheetId="10">[1]Model!$490:$490</definedName>
    <definedName name="MO_CFS_CFO_BeforeWC">Model!$435:$435</definedName>
    <definedName name="MO_CFS_DA">Model!$421:$421</definedName>
    <definedName name="MO_CFS_DeferredTax">Model!$424:$424</definedName>
    <definedName name="MO_CFS_Dividend">Model!$498:$498</definedName>
    <definedName name="MO_CFS_FX">Model!$501:$501</definedName>
    <definedName name="MO_CFS_Impairment">Model!$429:$429</definedName>
    <definedName name="MO_CFS_NetChange" localSheetId="10">[1]Model!$557:$557</definedName>
    <definedName name="MO_CFS_NetChange">Model!$502:$502</definedName>
    <definedName name="MO_CFS_NewEquityIssued">Model!$492:$492</definedName>
    <definedName name="MO_CFS_NI">Model!$420:$420</definedName>
    <definedName name="MO_CFS_SBC">Model!$422:$422</definedName>
    <definedName name="MO_CFS_Sup_CashInterest">Model!$507:$507</definedName>
    <definedName name="MO_CFS_Sup_CashTax">Model!$508:$508</definedName>
    <definedName name="MO_CFS_WC_AccComp">Model!$443:$443</definedName>
    <definedName name="MO_CFS_WC_AE">Model!$442:$442</definedName>
    <definedName name="MO_CFS_WC_AP">Model!$441:$441</definedName>
    <definedName name="MO_CFS_WC_AR">Model!$436:$436</definedName>
    <definedName name="MO_CFS_WC_INV">Model!$437:$437</definedName>
    <definedName name="MO_CFS_WC_LeaseLiabilities">Model!$433:$433</definedName>
    <definedName name="MO_CFS_WC_OL">Model!$444:$444</definedName>
    <definedName name="MO_CFS_WC_PrepaidExpenses">Model!$438:$438</definedName>
    <definedName name="MO_CFSum_Acquisition" localSheetId="10">[1]Model!$320:$320</definedName>
    <definedName name="MO_CFSum_Acquisition">Model!$265:$265</definedName>
    <definedName name="MO_CFSum_Capex" localSheetId="10">[1]Model!$318:$318</definedName>
    <definedName name="MO_CFSum_Capex">Model!$263:$263</definedName>
    <definedName name="MO_CFSum_CFO">Model!$259:$259</definedName>
    <definedName name="MO_CFSum_CFO_BeforeWC" localSheetId="10">[1]Model!$312:$312</definedName>
    <definedName name="MO_CFSum_CFO_BeforeWC">Model!$257:$257</definedName>
    <definedName name="MO_CFSum_CFOPS">Model!$261:$261</definedName>
    <definedName name="MO_CFSum_CFOPS_BeforeWC">Model!$260:$260</definedName>
    <definedName name="MO_CFSum_CFPS">Model!$261:$261</definedName>
    <definedName name="MO_CFSum_ChangeInWC">Model!$258:$258</definedName>
    <definedName name="MO_CFSum_Divestiture" localSheetId="10">[1]Model!$321:$321</definedName>
    <definedName name="MO_CFSum_Divestiture">Model!$266:$266</definedName>
    <definedName name="MO_CFSum_Dividend" localSheetId="10">[1]Model!$322:$322</definedName>
    <definedName name="MO_CFSum_Dividend">Model!$267:$267</definedName>
    <definedName name="MO_CFSum_DPS" localSheetId="10">[1]Model!$323:$323</definedName>
    <definedName name="MO_CFSum_DPS">Model!$268:$268</definedName>
    <definedName name="MO_CFSum_FCF_PostDivPostAD">Model!$276:$276</definedName>
    <definedName name="MO_CFSum_FCF_PostDivPostADPostDebtPostBuyback">Model!$277:$277</definedName>
    <definedName name="MO_CFSum_FCF_PostDivPreAD">Model!$275:$275</definedName>
    <definedName name="MO_CFSum_FCF_PostWCPostDivPostAD">Model!$280:$280</definedName>
    <definedName name="MO_CFSum_FCF_PostWCPostDivPostADPostDebtPostBuyback">Model!$281:$281</definedName>
    <definedName name="MO_CFSum_FCF_PostWCPostDivPreAD">Model!$279:$279</definedName>
    <definedName name="MO_CFSum_FCF_PostWCPreDiv">Model!$278:$278</definedName>
    <definedName name="MO_CFSum_FCF_PreDiv">Model!$274:$274</definedName>
    <definedName name="MO_CFSum_NetDebtIssuance" localSheetId="10">[1]Model!$325:$325</definedName>
    <definedName name="MO_CFSum_NetDebtIssuance">Model!$270:$270</definedName>
    <definedName name="MO_CFSum_NetShares" localSheetId="10">[1]Model!$326:$326</definedName>
    <definedName name="MO_CFSum_NetShares">Model!$271:$271</definedName>
    <definedName name="MO_CFSum_NetShares_Price">Model!$272:$272</definedName>
    <definedName name="MO_Checks_Bottom">Model!$AZ$612:$BT$631</definedName>
    <definedName name="MO_Checks_BS">Model!$609:$609</definedName>
    <definedName name="MO_Checks_CF">Model!$510:$510</definedName>
    <definedName name="MO_Checks_IS">Model!$162:$162</definedName>
    <definedName name="MO_Common_Column_A" localSheetId="10">[1]Model!$A:$A</definedName>
    <definedName name="MO_Common_Column_A">Model!$A:$A</definedName>
    <definedName name="MO_Common_Column_B">Model!$B:$B</definedName>
    <definedName name="MO_Common_ColumnHeader" localSheetId="10">[1]Model!$5:$5</definedName>
    <definedName name="MO_Common_ColumnHeader">Model!$5:$5</definedName>
    <definedName name="MO_Common_CompanySubtitle">Model!$2:$2</definedName>
    <definedName name="MO_Common_CompanyTitle">Model!$1:$1</definedName>
    <definedName name="MO_Common_FPDays" localSheetId="10">[1]Model!$3:$3</definedName>
    <definedName name="MO_Common_FPDays">Model!$3:$3</definedName>
    <definedName name="MO_Common_QEndDate" localSheetId="10">[1]Model!$4:$4</definedName>
    <definedName name="MO_Common_QEndDate">Model!$4:$4</definedName>
    <definedName name="MO_Common_QEndDate_LWD">Model!$708:$708</definedName>
    <definedName name="MO_DAF_A">Model!$535:$535</definedName>
    <definedName name="MO_DAF_A_Percentage">Model!$541:$541</definedName>
    <definedName name="MO_DAF_Capex">Model!$546:$546</definedName>
    <definedName name="MO_DAF_D">Model!$529:$529</definedName>
    <definedName name="MO_DAF_D_Percentage">Model!$540:$540</definedName>
    <definedName name="MO_DAF_DA">Model!$545:$545</definedName>
    <definedName name="MO_DAF_Intangibles_BoP">Model!$534:$534</definedName>
    <definedName name="MO_DAF_Intangibles_Capex">Model!$536:$536</definedName>
    <definedName name="MO_DAF_Intangibles_Capex_Percent">Model!$547:$547</definedName>
    <definedName name="MO_DAF_Intangibles_EoP">Model!$538:$538</definedName>
    <definedName name="MO_DAF_Intangibles_Life">Model!$543:$543</definedName>
    <definedName name="MO_DAF_Intangibles_Other">Model!$537:$537</definedName>
    <definedName name="MO_DAF_PPE_BoP">Model!$528:$528</definedName>
    <definedName name="MO_DAF_PPE_Capex">Model!$530:$530</definedName>
    <definedName name="MO_DAF_PPE_EoP">Model!$532:$532</definedName>
    <definedName name="MO_DAF_PPE_Life">Model!$542:$542</definedName>
    <definedName name="MO_DAF_PPE_Other">Model!$531:$531</definedName>
    <definedName name="MO_GA_TotalRevenue">Model!$22:$22</definedName>
    <definedName name="MO_IS_COGS">Model!$145:$145</definedName>
    <definedName name="MO_IS_ContinOp">Model!$158:$158</definedName>
    <definedName name="MO_IS_EBIT">Model!$150:$150</definedName>
    <definedName name="MO_IS_EBT">Model!$155:$155</definedName>
    <definedName name="MO_IS_EI">Model!$157:$157</definedName>
    <definedName name="MO_IS_FirstRow" localSheetId="10">[1]Model!$144:$144</definedName>
    <definedName name="MO_IS_FirstRow">Model!$144:$144</definedName>
    <definedName name="MO_IS_GP">Model!$146:$146</definedName>
    <definedName name="MO_IS_IE_Net">Model!$153:$153</definedName>
    <definedName name="MO_IS_NCI">Model!$159:$159</definedName>
    <definedName name="MO_IS_OPEX">Model!$149:$149</definedName>
    <definedName name="MO_IS_RD">Model!$148:$148</definedName>
    <definedName name="MO_IS_REV">Model!$144:$144</definedName>
    <definedName name="MO_IS_SGA">Model!$147:$147</definedName>
    <definedName name="MO_IS_Tax">Model!$156:$156</definedName>
    <definedName name="MO_MA_COGS" localSheetId="10">[1]Model!$127:$127</definedName>
    <definedName name="MO_MA_COGS">Model!$127:$127</definedName>
    <definedName name="MO_MA_COGS_DA_Excluding">Model!$124:$124</definedName>
    <definedName name="MO_MA_DA">Model!$136:$136</definedName>
    <definedName name="MO_MA_DAintangibles">Model!$137:$137</definedName>
    <definedName name="MO_MA_EBIT" localSheetId="10">[1]Model!$132:$132</definedName>
    <definedName name="MO_MA_EBIT">Model!$132:$132</definedName>
    <definedName name="MO_MA_EBIT_Adj" localSheetId="10">[1]Model!$133:$133</definedName>
    <definedName name="MO_MA_EBIT_Adj">Model!$133:$133</definedName>
    <definedName name="MO_MA_EBITDA" localSheetId="10">[1]Model!$139:$139</definedName>
    <definedName name="MO_MA_EBITDA">Model!$139:$139</definedName>
    <definedName name="MO_MA_EBITDA_Adj" localSheetId="10">[1]Model!$140:$140</definedName>
    <definedName name="MO_MA_EBITDA_Adj">Model!$140:$140</definedName>
    <definedName name="MO_MA_GM">Model!$128:$128</definedName>
    <definedName name="MO_MA_GM_DA_Excluding">Model!$125:$125</definedName>
    <definedName name="MO_MA_SBC">Model!$138:$138</definedName>
    <definedName name="MO_MA_SGA" localSheetId="10">[1]Model!$131:$131</definedName>
    <definedName name="MO_MA_SGA">Model!$131:$131</definedName>
    <definedName name="MO_OS_LeaseCost_Finance">Model!$93:$93</definedName>
    <definedName name="MO_OS_LeaseCost_Operating">Model!$103:$103</definedName>
    <definedName name="MO_OS_LeaseCost_Total">Model!$104:$104</definedName>
    <definedName name="MO_OS_RentExpense">Model!$106:$106</definedName>
    <definedName name="MO_RIS_Adjustments_Dilution_GAAP">Model!$221:$221</definedName>
    <definedName name="MO_RIS_Adjustments_Dilution_NONGAAP">Model!$224:$224</definedName>
    <definedName name="MO_RIS_Adjustments_NONGAAP">Model!$223:$223</definedName>
    <definedName name="MO_RIS_COGS" localSheetId="10">[1]Model!$193:$193</definedName>
    <definedName name="MO_RIS_COGS">Model!$193:$193</definedName>
    <definedName name="MO_RIS_DA">Model!$201:$201</definedName>
    <definedName name="MO_RIS_DAintangibles">Model!$202:$202</definedName>
    <definedName name="MO_RIS_DisCont" localSheetId="10">[1]Model!$217:$217</definedName>
    <definedName name="MO_RIS_DisCont">Model!$217:$217</definedName>
    <definedName name="MO_RIS_Dividend_Prefs" localSheetId="10">[1]Model!$219:$219</definedName>
    <definedName name="MO_RIS_Dividend_Prefs">Model!$219:$219</definedName>
    <definedName name="MO_RIS_EBIT" localSheetId="10">[1]Model!$197:$197</definedName>
    <definedName name="MO_RIS_EBIT">Model!$197:$197</definedName>
    <definedName name="MO_RIS_EBIT_Adj" localSheetId="10">[1]Model!$198:$198</definedName>
    <definedName name="MO_RIS_EBIT_Adj">Model!$198:$198</definedName>
    <definedName name="MO_RIS_EBITDA">Model!$204:$204</definedName>
    <definedName name="MO_RIS_EBITDA_Adj" localSheetId="10">[1]Model!$205:$205</definedName>
    <definedName name="MO_RIS_EBITDA_Adj">Model!$205:$205</definedName>
    <definedName name="MO_RIS_EBT" localSheetId="10">[1]Model!$211:$211</definedName>
    <definedName name="MO_RIS_EBT">Model!$211:$211</definedName>
    <definedName name="MO_RIS_EI" localSheetId="10">[1]Model!$216:$216</definedName>
    <definedName name="MO_RIS_EI">Model!$216:$216</definedName>
    <definedName name="MO_RIS_EPS_WAB">Model!$230:$230</definedName>
    <definedName name="MO_RIS_EPS_WAD" localSheetId="10">[1]Model!$231:$231</definedName>
    <definedName name="MO_RIS_EPS_WAD">Model!$231:$231</definedName>
    <definedName name="MO_RIS_EPS_WAD_Adj" localSheetId="10">[1]Model!$232:$232</definedName>
    <definedName name="MO_RIS_EPS_WAD_Adj">Model!$232:$232</definedName>
    <definedName name="MO_RIS_GP">Model!$194:$194</definedName>
    <definedName name="MO_RIS_IE" localSheetId="10">[1]Model!$208:$208</definedName>
    <definedName name="MO_RIS_IE">Model!$208:$208</definedName>
    <definedName name="MO_RIS_IE_Net" localSheetId="10">[1]Model!$208:$208</definedName>
    <definedName name="MO_RIS_IE_Net">Model!$208:$208</definedName>
    <definedName name="MO_RIS_NCI" localSheetId="10">[1]Model!$218:$218</definedName>
    <definedName name="MO_RIS_NCI">Model!$218:$218</definedName>
    <definedName name="MO_RIS_NI_ContinOp">Model!$215:$215</definedName>
    <definedName name="MO_RIS_NI_GAAP_Basic" localSheetId="10">[1]Model!$220:$220</definedName>
    <definedName name="MO_RIS_NI_GAAP_Basic">Model!$220:$220</definedName>
    <definedName name="MO_RIS_NI_GAAP_Diluted">Model!$222:$222</definedName>
    <definedName name="MO_RIS_NI_NONGAAP_Diluted" localSheetId="10">[1]Model!$225:$225</definedName>
    <definedName name="MO_RIS_NI_NONGAAP_Diluted">Model!$225:$225</definedName>
    <definedName name="MO_RIS_OI" localSheetId="10">[1]Model!$209:$209</definedName>
    <definedName name="MO_RIS_OI">Model!$209:$209</definedName>
    <definedName name="MO_RIS_OTI" localSheetId="10">[1]Model!$210:$210</definedName>
    <definedName name="MO_RIS_OTI">Model!$210:$210</definedName>
    <definedName name="MO_RIS_REV" localSheetId="10">[1]Model!$190:$190</definedName>
    <definedName name="MO_RIS_REV">Model!$190:$190</definedName>
    <definedName name="MO_RIS_SBC" localSheetId="10">[1]Model!$203:$203</definedName>
    <definedName name="MO_RIS_SBC">Model!$203:$203</definedName>
    <definedName name="MO_RIS_SGA" localSheetId="10">[1]Model!$196:$196</definedName>
    <definedName name="MO_RIS_SGA">Model!$196:$196</definedName>
    <definedName name="MO_RIS_ShareCount_WAB">Model!$235:$235</definedName>
    <definedName name="MO_RIS_ShareCount_WAD">Model!$236:$236</definedName>
    <definedName name="MO_RIS_ShareCount_WAD_Adj" localSheetId="10">[1]Model!$237:$237</definedName>
    <definedName name="MO_RIS_ShareCount_WAD_Adj">Model!$237:$237</definedName>
    <definedName name="MO_RIS_Tax_Current" localSheetId="10">[1]Model!$213:$213</definedName>
    <definedName name="MO_RIS_Tax_Current">Model!$213:$213</definedName>
    <definedName name="MO_RIS_Tax_Deferred" localSheetId="10">[1]Model!$214:$214</definedName>
    <definedName name="MO_RIS_Tax_Deferred">Model!$214:$214</definedName>
    <definedName name="MO_RIS_TaxRate_Current" localSheetId="10">[1]Model!$227:$227</definedName>
    <definedName name="MO_RIS_TaxRate_Current">Model!$227:$227</definedName>
    <definedName name="MO_RIS_TaxRate_Deferred" localSheetId="10">[1]Model!$228:$228</definedName>
    <definedName name="MO_RIS_TaxRate_Deferred">Model!$228:$228</definedName>
    <definedName name="MO_SCA_Date_CoverPage">Model!$249:$249</definedName>
    <definedName name="MO_SCA_Ratio_DilutedOverBasic">Model!$252:$252</definedName>
    <definedName name="MO_SCA_ShareCount_CoverPage">Model!$248:$248</definedName>
    <definedName name="MO_SCA_ShareCount_CoverPage_Class1">Model!$248:$248</definedName>
    <definedName name="MO_SCA_ShareCount_CoverPage_Ticker1">Model!$248:$248</definedName>
    <definedName name="MO_SCA_ShareCount_DilutiveShares">Model!$251:$251</definedName>
    <definedName name="MO_SCA_ShareCount_EoP">Model!$240:$240</definedName>
    <definedName name="MO_SCA_ShareCount_EoP_Class1">Model!$240:$240</definedName>
    <definedName name="MO_SCA_ShareCount_EoP_Diluted" localSheetId="10">[1]Model!$256:$256</definedName>
    <definedName name="MO_SCA_ShareCount_EoP_Diluted">Model!$254:$254</definedName>
    <definedName name="MO_SCA_ShareCount_EoP_Growth_Dilutive_QoQ">Model!$241:$241</definedName>
    <definedName name="MO_SCA_ShareCount_EoP_Growth_Dilutive_YoY">Model!$242:$242</definedName>
    <definedName name="MO_SCA_ShareCount_EoP_Growth_NetIssuance_QoQ">Model!$243:$243</definedName>
    <definedName name="MO_SCA_ShareCount_EoP_Growth_NetIssuance_YoY">Model!$244:$244</definedName>
    <definedName name="MO_SCA_ShareCount_EoP_Growth_QoQ">Model!$245:$245</definedName>
    <definedName name="MO_SCA_ShareCount_EoP_Growth_YoY">Model!$246:$246</definedName>
    <definedName name="MO_SCA_ShareCount_EoP_Ticker1">Model!$240:$240</definedName>
    <definedName name="MO_Section_AdjustedNumbers">Model!$164:$164</definedName>
    <definedName name="MO_Section_BalanceSheet">Model!$549:$549</definedName>
    <definedName name="MO_Section_BalanceSheetSummary">Model!$283:$283</definedName>
    <definedName name="MO_Section_CashFlowStatement">Model!$418:$418</definedName>
    <definedName name="MO_Section_CashFlowSummary">Model!$256:$256</definedName>
    <definedName name="MO_Section_ConsolidatedSummary">Model!$27:$27</definedName>
    <definedName name="MO_Section_CumulativeCashFlowStatement">Model!$326:$326</definedName>
    <definedName name="MO_Section_DAForecasting">Model!$527:$527</definedName>
    <definedName name="MO_Section_GrowthAnalysis">Model!$6:$6</definedName>
    <definedName name="MO_Section_IncomeStatement">Model!$143:$143</definedName>
    <definedName name="MO_Section_KeyMetricsAdditionalCostBreakdownFS">Model!$74:$74</definedName>
    <definedName name="MO_Section_KeyMetricsLeaseCostandRentExpenseFS">Model!$90:$90</definedName>
    <definedName name="MO_Section_LastRow">Model!$731:$731</definedName>
    <definedName name="MO_Section_MarginAnalysis">Model!$123:$123</definedName>
    <definedName name="MO_Section_ModelChecks">Model!$611:$611</definedName>
    <definedName name="MO_Section_OperatingStatsEnrollmentDataPR">Model!$116:$116</definedName>
    <definedName name="MO_Section_OperatingStatsEnrollmentDataPR_1">Model!$55:$55</definedName>
    <definedName name="MO_Section_OperatingStatsOldvsNewEnrollmentPR">Model!$65:$65</definedName>
    <definedName name="MO_Section_RevisedIncomeStatement">Model!$189:$189</definedName>
    <definedName name="MO_Section_SegmentedResultsCareerLearningPR">Model!$48:$48</definedName>
    <definedName name="MO_Section_SegmentedResultsGeneralEducationPR">Model!$39:$39</definedName>
    <definedName name="MO_Section_SegmentedResultsRevenueBreakdownPR">Model!$108:$108</definedName>
    <definedName name="MO_Section_ShareCountAnalysis">Model!$239:$239</definedName>
    <definedName name="MO_Section_Tables">Model!$633:$633</definedName>
    <definedName name="MO_Section_Valuation">Model!$302:$302</definedName>
    <definedName name="MO_Section_WorkingCapitalForecasting">Model!$512:$512</definedName>
    <definedName name="MO_SNA_ConsensusEstimatePeriodNumber">Model!$667:$667</definedName>
    <definedName name="MO_SNA_ConsensusEstimatePeriodType" localSheetId="10">[1]Model!$736:$736</definedName>
    <definedName name="MO_SNA_ConsensusEstimatePeriodType">Model!$666:$666</definedName>
    <definedName name="MO_SNA_FPStartDate" localSheetId="10">[1]Model!$748:$748</definedName>
    <definedName name="MO_SNA_FPStartDate">Model!$678:$678</definedName>
    <definedName name="MO_SNA_IsHistoricalPeriod" localSheetId="10">[1]Model!$749:$749</definedName>
    <definedName name="MO_SNA_IsHistoricalPeriod">Model!$679:$679</definedName>
    <definedName name="MO_SNA_LastDataRow">Model!$607:$607</definedName>
    <definedName name="MO_SPT_FXAverage" localSheetId="10">[1]Model!$771:$771</definedName>
    <definedName name="MO_SPT_FXAverage">Model!$701:$701</definedName>
    <definedName name="MO_SPT_FXAverage_Sources" localSheetId="10">[1]Model!$772:$776</definedName>
    <definedName name="MO_SPT_FXAverage_Sources">Model!$702:$706</definedName>
    <definedName name="MO_SPT_FXAverage_Sources_Bloomberg">Model!$703:$703</definedName>
    <definedName name="MO_SPT_FXAverage_Sources_CapIQ">Model!$704:$704</definedName>
    <definedName name="MO_SPT_FXAverage_Sources_FactSet">Model!$705:$705</definedName>
    <definedName name="MO_SPT_FXAverage_Sources_RealTimeOff">Model!$702:$702</definedName>
    <definedName name="MO_SPT_FXAverage_Sources_Thomson">Model!$706:$706</definedName>
    <definedName name="MO_SPT_FXEoP" localSheetId="10">[1]Model!$780:$780</definedName>
    <definedName name="MO_SPT_FXEoP">Model!$710:$710</definedName>
    <definedName name="MO_SPT_StockAverage" localSheetId="10">[1]Model!$764:$764</definedName>
    <definedName name="MO_SPT_StockAverage">Model!$694:$694</definedName>
    <definedName name="MO_SPT_StockAverage_Sources" localSheetId="10">[1]Model!$765:$769</definedName>
    <definedName name="MO_SPT_StockAverage_Sources">Model!$695:$699</definedName>
    <definedName name="MO_SPT_StockAverage_Sources_Bloomberg">Model!$696:$696</definedName>
    <definedName name="MO_SPT_StockAverage_Sources_CapIQ">Model!$697:$697</definedName>
    <definedName name="MO_SPT_StockAverage_Sources_FactSet">Model!$698:$698</definedName>
    <definedName name="MO_SPT_StockAverage_Sources_RealTimeOff">Model!$695:$695</definedName>
    <definedName name="MO_SPT_StockAverage_Sources_Thomson">Model!$699:$699</definedName>
    <definedName name="MO_SPT_StockEoP" localSheetId="10">[1]Model!$779:$779</definedName>
    <definedName name="MO_SPT_StockEoP">Model!$709:$709</definedName>
    <definedName name="MO_SPT_StockHigh" localSheetId="10">[1]Model!$750:$750</definedName>
    <definedName name="MO_SPT_StockHigh">Model!$680:$680</definedName>
    <definedName name="MO_SPT_StockHigh_Sources" localSheetId="10">[1]Model!$751:$755</definedName>
    <definedName name="MO_SPT_StockHigh_Sources">Model!$681:$685</definedName>
    <definedName name="MO_SPT_StockHigh_Sources_Bloomberg">Model!$682:$682</definedName>
    <definedName name="MO_SPT_StockHigh_Sources_CapIQ">Model!$683:$683</definedName>
    <definedName name="MO_SPT_StockHigh_Sources_FactSet">Model!$684:$684</definedName>
    <definedName name="MO_SPT_StockHigh_Sources_RealTimeOff">Model!$681:$681</definedName>
    <definedName name="MO_SPT_StockHigh_Sources_Thomson">Model!$685:$685</definedName>
    <definedName name="MO_SPT_StockLow" localSheetId="10">[1]Model!$757:$757</definedName>
    <definedName name="MO_SPT_StockLow">Model!$687:$687</definedName>
    <definedName name="MO_SPT_StockLow_Sources" localSheetId="10">[1]Model!$758:$762</definedName>
    <definedName name="MO_SPT_StockLow_Sources">Model!$688:$692</definedName>
    <definedName name="MO_SPT_StockLow_Sources_Bloomberg">Model!$689:$689</definedName>
    <definedName name="MO_SPT_StockLow_Sources_CapIQ">Model!$690:$690</definedName>
    <definedName name="MO_SPT_StockLow_Sources_FactSet">Model!$691:$691</definedName>
    <definedName name="MO_SPT_StockLow_Sources_RealTimeOff">Model!$688:$688</definedName>
    <definedName name="MO_SPT_StockLow_Sources_Thomson">Model!$692:$692</definedName>
    <definedName name="MO_SubSection_BS_CA">Model!$550:$550</definedName>
    <definedName name="MO_SubSection_BS_CL">Model!$575:$575</definedName>
    <definedName name="MO_SubSection_BS_NCA">Model!$560:$560</definedName>
    <definedName name="MO_SubSection_BS_NCL">Model!$586:$586</definedName>
    <definedName name="MO_SubSection_BS_SE">Model!$598:$598</definedName>
    <definedName name="MO_SubSection_CCFS_CFF">Model!$387:$387</definedName>
    <definedName name="MO_SubSection_CCFS_CFI">Model!$359:$359</definedName>
    <definedName name="MO_SubSection_CCFS_CFO">Model!$327:$327</definedName>
    <definedName name="MO_SubSection_CFS_CFF" localSheetId="10">[1]Model!$534:$534</definedName>
    <definedName name="MO_SubSection_CFS_CFF">Model!$479:$479</definedName>
    <definedName name="MO_SubSection_CFS_CFI" localSheetId="10">[1]Model!$506:$506</definedName>
    <definedName name="MO_SubSection_CFS_CFI">Model!$451:$451</definedName>
    <definedName name="MO_SubSection_CFS_CFO" localSheetId="10">[1]Model!$474:$474</definedName>
    <definedName name="MO_SubSection_CFS_CFO">Model!$419:$419</definedName>
    <definedName name="MO_VA_EV">Model!$305:$305</definedName>
    <definedName name="MO_VA_EV_ToEBITDA" localSheetId="10">[1]Model!$363:$363</definedName>
    <definedName name="MO_VA_EV_ToEBITDA">Model!$308:$308</definedName>
    <definedName name="MO_VA_EVCalc_NCI" localSheetId="10">[1]Model!$377:$377</definedName>
    <definedName name="MO_VA_EVCalc_NCI">Model!$322:$322</definedName>
    <definedName name="MO_VA_EVCalc_Other" localSheetId="10">[1]Model!$379:$379</definedName>
    <definedName name="MO_VA_EVCalc_Other">Model!$324:$324</definedName>
    <definedName name="MO_VA_EVCalc_Prefs" localSheetId="10">[1]Model!$378:$378</definedName>
    <definedName name="MO_VA_EVCalc_Prefs">Model!$323:$323</definedName>
    <definedName name="MO_VA_FCFYield_ToEV">Model!$311:$311</definedName>
    <definedName name="MO_VA_FCFYield_ToMktCap">Model!$310:$310</definedName>
    <definedName name="MO_VA_FX_Average" localSheetId="10">[1]Model!$372:$372</definedName>
    <definedName name="MO_VA_FX_Average">Model!$317:$317</definedName>
    <definedName name="MO_VA_FX_EoP" localSheetId="10">[1]Model!$373:$373</definedName>
    <definedName name="MO_VA_FX_EoP">Model!$318:$318</definedName>
    <definedName name="MO_VA_MarketCap">Model!$304:$304</definedName>
    <definedName name="MO_VA_P_ToCF">Model!$309:$309</definedName>
    <definedName name="MO_VA_P_ToE" localSheetId="10">[1]Model!$362:$362</definedName>
    <definedName name="MO_VA_P_ToE">Model!$307:$307</definedName>
    <definedName name="MO_VA_StockPrice" localSheetId="10">[1]Model!$358:$358</definedName>
    <definedName name="MO_VA_StockPrice">Model!$303:$303</definedName>
    <definedName name="MO_VA_StockPrice_Avg">Model!$315:$315</definedName>
    <definedName name="MO_VA_StockPrice_EoP">Model!$316:$316</definedName>
    <definedName name="MO_VA_StockPrice_High">Model!$313:$313</definedName>
    <definedName name="MO_VA_StockPrice_Low">Model!$314:$314</definedName>
    <definedName name="MO_VA_StockPrice_TradingCurrency" localSheetId="10">[1]Model!$374:$374</definedName>
    <definedName name="MO_VA_StockPrice_TradingCurrency">Model!$319:$319</definedName>
    <definedName name="_xlnm.Print_Area" localSheetId="21">'APOL Case Study'!$A$1:$X$134</definedName>
    <definedName name="_xlnm.Print_Area" localSheetId="23">'APOL stock chart'!$A$1:$M$42</definedName>
    <definedName name="_xlnm.Print_Area" localSheetId="16">'AZ Detail'!$A$1:$F$60</definedName>
    <definedName name="_xlnm.Print_Area" localSheetId="1">Base!$A$1:$U$92</definedName>
    <definedName name="_xlnm.Print_Area" localSheetId="5">'Convert Math'!$A$1:$B$34</definedName>
    <definedName name="_xlnm.Print_Area" localSheetId="3">Downside!$A$1:$U$88</definedName>
    <definedName name="_xlnm.Print_Area" localSheetId="10">'Guidance Analysis'!$A$1:$S$318</definedName>
    <definedName name="_xlnm.Print_Area" localSheetId="4">Historicals!$A$1:$AV$466</definedName>
    <definedName name="_xlnm.Print_Area" localSheetId="14">'IN Detail'!$A$1:$F$75</definedName>
    <definedName name="_xlnm.Print_Area" localSheetId="19">'K12 Schools'!$B$1:$Z$385</definedName>
    <definedName name="_xlnm.Print_Area" localSheetId="17">'MI Detail'!$A$1:$F$62</definedName>
    <definedName name="_xlnm.Print_Area" localSheetId="9">Model!$A$1:$BS$607</definedName>
    <definedName name="_xlnm.Print_Area" localSheetId="15">'OH Detail'!$A$1:$F$63</definedName>
    <definedName name="_xlnm.Print_Area" localSheetId="11">'Q4 Credibility'!$A$1:$F$30</definedName>
    <definedName name="_xlnm.Print_Area" localSheetId="6">Semrush!$A$1:$BC$76</definedName>
    <definedName name="_xlnm.Print_Area" localSheetId="26">'Summary Page'!$A$1:$BW$130</definedName>
    <definedName name="_xlnm.Print_Area" localSheetId="13">'TX Detail'!$A$1:$F$72</definedName>
    <definedName name="_xlnm.Print_Area" localSheetId="2">Upside!$A$1:$U$92</definedName>
    <definedName name="_xlnm.Print_Titles" localSheetId="10">'Guidance Analysis'!$5:$9</definedName>
    <definedName name="_xlnm.Print_Titles" localSheetId="4">Historicals!$1:$5</definedName>
    <definedName name="_xlnm.Print_Titles" localSheetId="19">'K12 Schools'!$1:$5</definedName>
    <definedName name="_xlnm.Print_Titles" localSheetId="9">Model!$5:$5</definedName>
    <definedName name="SP.CompanyName">'Summary Page'!$A$1</definedName>
    <definedName name="SP.ReportFX">'Summary Page'!$B$2</definedName>
    <definedName name="SP.ValuationToggle" localSheetId="10">'[1]Summary Page'!$B$4</definedName>
    <definedName name="SP.ValuationToggle">'Summary Page'!$B$4</definedName>
    <definedName name="SP_BSR_Capital">'Summary Page'!$92:$92</definedName>
    <definedName name="SP_BSR_CashFlow">'Summary Page'!$91:$91</definedName>
    <definedName name="SP_BSR_CashFlow_LTM" localSheetId="10">'[1]Summary Page'!$94:$94</definedName>
    <definedName name="SP_BSR_CashFlow_LTM">'Summary Page'!$94:$94</definedName>
    <definedName name="SP_BSR_CL">'Summary Page'!$113:$113</definedName>
    <definedName name="SP_BSR_CL_Avg" localSheetId="10">'[1]Summary Page'!$114:$114</definedName>
    <definedName name="SP_BSR_CL_Avg">'Summary Page'!$114:$114</definedName>
    <definedName name="SP_BSR_Debt">'Summary Page'!$107:$107</definedName>
    <definedName name="SP_BSR_Debt_Avg" localSheetId="10">'[1]Summary Page'!$108:$108</definedName>
    <definedName name="SP_BSR_Debt_Avg">'Summary Page'!$108:$108</definedName>
    <definedName name="SP_BSR_EBITDA">'Summary Page'!$90:$90</definedName>
    <definedName name="SP_BSR_EBITDA_LTM" localSheetId="10">'[1]Summary Page'!$93:$93</definedName>
    <definedName name="SP_BSR_EBITDA_LTM">'Summary Page'!$93:$93</definedName>
    <definedName name="SP_BSR_SE">'Summary Page'!$99:$99</definedName>
    <definedName name="SP_BSR_SE_Avg" localSheetId="10">'[1]Summary Page'!$100:$100</definedName>
    <definedName name="SP_BSR_SE_Avg">'Summary Page'!$100:$100</definedName>
    <definedName name="SP_BSR_TA">'Summary Page'!$104:$104</definedName>
    <definedName name="SP_BSR_TA_Avg" localSheetId="10">'[1]Summary Page'!$105:$105</definedName>
    <definedName name="SP_BSR_TA_Avg">'Summary Page'!$105:$105</definedName>
    <definedName name="SP_CFA_Acquisition">'Summary Page'!$76:$76</definedName>
    <definedName name="SP_CFA_Capex">'Summary Page'!$72:$72</definedName>
    <definedName name="SP_CFA_CFO" localSheetId="10">'[1]Summary Page'!$71:$71</definedName>
    <definedName name="SP_CFA_CFO">'Summary Page'!$71:$71</definedName>
    <definedName name="SP_CFA_CFO_BeforeWC">'Summary Page'!$69:$69</definedName>
    <definedName name="SP_CFA_CFO_PerShare" localSheetId="10">'[1]Summary Page'!$83:$83</definedName>
    <definedName name="SP_CFA_CFO_PerShare">'Summary Page'!$83:$83</definedName>
    <definedName name="SP_CFA_Debt">'Summary Page'!$79:$79</definedName>
    <definedName name="SP_CFA_Div">'Summary Page'!$74:$74</definedName>
    <definedName name="SP_CFA_Div_PerShare">'Summary Page'!$85:$85</definedName>
    <definedName name="SP_CFA_Divestiture">'Summary Page'!$77:$77</definedName>
    <definedName name="SP_CFA_Equity">'Summary Page'!$78:$78</definedName>
    <definedName name="SP_CFA_FCF_PerShare">'Summary Page'!$84:$84</definedName>
    <definedName name="SP_CFA_FCF_PostDiv">'Summary Page'!$75:$75</definedName>
    <definedName name="SP_CFA_FCF_PreDiv" localSheetId="10">'[1]Summary Page'!$73:$73</definedName>
    <definedName name="SP_CFA_FCF_PreDiv">'Summary Page'!$73:$73</definedName>
    <definedName name="SP_CFA_NetChange" localSheetId="10">'[1]Summary Page'!$81:$81</definedName>
    <definedName name="SP_CFA_NetChange">'Summary Page'!$81:$81</definedName>
    <definedName name="SP_CFA_Other">'Summary Page'!$80:$80</definedName>
    <definedName name="SP_CFA_Payout_vsEPS">'Summary Page'!$87:$87</definedName>
    <definedName name="SP_CFA_Payout_vsFCF">'Summary Page'!$86:$86</definedName>
    <definedName name="SP_CFA_WC">'Summary Page'!$70:$70</definedName>
    <definedName name="SP_Checks_SummaryPage">'Summary Page'!$BD$133:$XES$138</definedName>
    <definedName name="SP_Common_Column_A">'Summary Page'!$A:$A</definedName>
    <definedName name="SP_Common_Column_B">'Summary Page'!$B:$B</definedName>
    <definedName name="SP_Common_ColumnHeader">'Summary Page'!$2:$2</definedName>
    <definedName name="SP_Common_QEndDate">'Summary Page'!$1:$1</definedName>
    <definedName name="SP_CS_Cash" localSheetId="10">'[1]Summary Page'!$7:$7</definedName>
    <definedName name="SP_CS_Cash">'Summary Page'!$7:$7</definedName>
    <definedName name="SP_CS_Debt" localSheetId="10">'[1]Summary Page'!$8:$8</definedName>
    <definedName name="SP_CS_Debt">'Summary Page'!$8:$8</definedName>
    <definedName name="SP_CS_EV" localSheetId="10">'[1]Summary Page'!$11:$11</definedName>
    <definedName name="SP_CS_EV">'Summary Page'!$11:$11</definedName>
    <definedName name="SP_CS_EVCalc_Other" localSheetId="10">'[1]Summary Page'!$10:$10</definedName>
    <definedName name="SP_CS_EVCalc_Other">'Summary Page'!$10:$10</definedName>
    <definedName name="SP_CS_MarketCap" localSheetId="10">'[1]Summary Page'!$6:$6</definedName>
    <definedName name="SP_CS_MarketCap">'Summary Page'!$6:$6</definedName>
    <definedName name="SP_CS_OL" localSheetId="10">'[1]Summary Page'!$9:$9</definedName>
    <definedName name="SP_CS_OL">'Summary Page'!$9:$9</definedName>
    <definedName name="SP_CS_ShareCount_EoP_Diluted" localSheetId="10">'[1]Summary Page'!$5:$5</definedName>
    <definedName name="SP_CS_ShareCount_EoP_Diluted">'Summary Page'!$5:$5</definedName>
    <definedName name="SP_CS_StockPrice" localSheetId="10">'[1]Summary Page'!$4:$4</definedName>
    <definedName name="SP_CS_StockPrice">'Summary Page'!$4:$4</definedName>
    <definedName name="SP_GF_COGS" localSheetId="10">'[1]Summary Page'!$39:$39</definedName>
    <definedName name="SP_GF_COGS">'Summary Page'!$39:$39</definedName>
    <definedName name="SP_GF_DisCont" localSheetId="10">'[1]Summary Page'!$47:$47</definedName>
    <definedName name="SP_GF_DisCont">'Summary Page'!$47:$47</definedName>
    <definedName name="SP_GF_Div_Prefs" localSheetId="10">'[1]Summary Page'!$49:$49</definedName>
    <definedName name="SP_GF_Div_Prefs">'Summary Page'!$49:$49</definedName>
    <definedName name="SP_GF_EBIT" localSheetId="10">'[1]Summary Page'!$41:$41</definedName>
    <definedName name="SP_GF_EBIT">'Summary Page'!$41:$41</definedName>
    <definedName name="SP_GF_EBT" localSheetId="10">'[1]Summary Page'!$44:$44</definedName>
    <definedName name="SP_GF_EBT">'Summary Page'!$44:$44</definedName>
    <definedName name="SP_GF_EI" localSheetId="10">'[1]Summary Page'!$45:$45</definedName>
    <definedName name="SP_GF_EI">'Summary Page'!$45:$45</definedName>
    <definedName name="SP_GF_EPS_WAD">'Summary Page'!$51:$51</definedName>
    <definedName name="SP_GF_IE" localSheetId="10">'[1]Summary Page'!$42:$42</definedName>
    <definedName name="SP_GF_IE">'Summary Page'!$42:$42</definedName>
    <definedName name="SP_GF_IE_Net">'Summary Page'!$42:$42</definedName>
    <definedName name="SP_GF_NCI" localSheetId="10">'[1]Summary Page'!$48:$48</definedName>
    <definedName name="SP_GF_NCI">'Summary Page'!$48:$48</definedName>
    <definedName name="SP_GF_NI" localSheetId="10">'[1]Summary Page'!$50:$50</definedName>
    <definedName name="SP_GF_NI">'Summary Page'!$50:$50</definedName>
    <definedName name="SP_GF_OI" localSheetId="10">'[1]Summary Page'!$43:$43</definedName>
    <definedName name="SP_GF_OI">'Summary Page'!$43:$43</definedName>
    <definedName name="SP_GF_Rev" localSheetId="10">'[1]Summary Page'!$38:$38</definedName>
    <definedName name="SP_GF_Rev">'Summary Page'!$38:$38</definedName>
    <definedName name="SP_GF_SGA" localSheetId="10">'[1]Summary Page'!$40:$40</definedName>
    <definedName name="SP_GF_SGA">'Summary Page'!$40:$40</definedName>
    <definedName name="SP_GF_ShareCount" localSheetId="10">'[1]Summary Page'!$52:$52</definedName>
    <definedName name="SP_GF_ShareCount">'Summary Page'!$52:$52</definedName>
    <definedName name="SP_GF_Tax" localSheetId="10">'[1]Summary Page'!$46:$46</definedName>
    <definedName name="SP_GF_Tax">'Summary Page'!$46:$46</definedName>
    <definedName name="SP_MA_COGS">'Summary Page'!$61:$61</definedName>
    <definedName name="SP_MA_EBIT">'Summary Page'!$63:$63</definedName>
    <definedName name="SP_MA_EBIT_Adj">'Summary Page'!$64:$64</definedName>
    <definedName name="SP_MA_EBITDA">'Summary Page'!$65:$65</definedName>
    <definedName name="SP_MA_EBITDA_Adj">'Summary Page'!$66:$66</definedName>
    <definedName name="SP_MA_SGA">'Summary Page'!$62:$62</definedName>
    <definedName name="SP_NGF_EBIT" localSheetId="10">'[1]Summary Page'!$56:$56</definedName>
    <definedName name="SP_NGF_EBIT">'Summary Page'!$56:$56</definedName>
    <definedName name="SP_NGF_EBITDA" localSheetId="10">'[1]Summary Page'!$55:$55</definedName>
    <definedName name="SP_NGF_EBITDA">'Summary Page'!$55:$55</definedName>
    <definedName name="SP_NGF_EPS" localSheetId="10">'[1]Summary Page'!$58:$58</definedName>
    <definedName name="SP_NGF_EPS">'Summary Page'!$58:$58</definedName>
    <definedName name="SP_NGF_NI" localSheetId="10">'[1]Summary Page'!$57:$57</definedName>
    <definedName name="SP_NGF_NI">'Summary Page'!$57:$57</definedName>
    <definedName name="SP_PR_ROA">'Summary Page'!$106:$106</definedName>
    <definedName name="SP_PR_ROCE">'Summary Page'!$116:$116</definedName>
    <definedName name="SP_PR_ROE">'Summary Page'!$101:$101</definedName>
    <definedName name="SP_PR_ROIC">'Summary Page'!$110:$110</definedName>
    <definedName name="SP_PSGM_CFO">'Summary Page'!$122:$122</definedName>
    <definedName name="SP_PSGM_EBITDA_Adj">'Summary Page'!$120:$120</definedName>
    <definedName name="SP_PSGM_FCF">'Summary Page'!$123:$123</definedName>
    <definedName name="SP_PSGM_NI_Adj">'Summary Page'!$121:$121</definedName>
    <definedName name="SP_PSGM_Revenue">'Summary Page'!$119:$119</definedName>
    <definedName name="SP_Section_BalanceSheetRatios">'Summary Page'!$89:$89</definedName>
    <definedName name="SP_Section_CapitalizationSummary">'Summary Page'!$3:$3</definedName>
    <definedName name="SP_Section_CashFlowAnalysis">'Summary Page'!$68:$68</definedName>
    <definedName name="SP_Section_Checks">'Summary Page'!$132:$132</definedName>
    <definedName name="SP_Section_CompanySpecificOperationalData">'Summary Page'!$13:$13</definedName>
    <definedName name="SP_Section_GAAPFinancials">'Summary Page'!$37:$37</definedName>
    <definedName name="SP_Section_LastRow">'Summary Page'!$140:$140</definedName>
    <definedName name="SP_Section_MarginAnalysis">'Summary Page'!$60:$60</definedName>
    <definedName name="SP_Section_NonGAAPFinancials">'Summary Page'!$54:$54</definedName>
    <definedName name="SP_Section_PerShareGrowthMetrics">'Summary Page'!$118:$118</definedName>
    <definedName name="SP_Section_ProfitabilityRatios">'Summary Page'!$96:$96</definedName>
    <definedName name="SP_Section_ValuationMetrics">'Summary Page'!$125:$125</definedName>
    <definedName name="SP_VM_EV_ToEBITDA">'Summary Page'!$127:$127</definedName>
    <definedName name="SP_VM_FCFYield_ToEV">'Summary Page'!$130:$130</definedName>
    <definedName name="SP_VM_FCFYield_ToMktCap">'Summary Page'!$129:$129</definedName>
    <definedName name="SP_VM_P_ToCF">'Summary Page'!$128:$128</definedName>
    <definedName name="SP_VM_P_ToE">'Summary Page'!$126:$126</definedName>
    <definedName name="tb_ConsensusEstimate" localSheetId="10">[1]Model!$A$735:$CB$745</definedName>
    <definedName name="tb_ConsensusEstimate">Model!$A$665:$BS$675</definedName>
    <definedName name="tb_EntireModel">Model!$A$1:$BS$609</definedName>
    <definedName name="tb_KeyOutputs">Model!$A$648:$A$655</definedName>
    <definedName name="tb_KPIs" localSheetId="10">[1]Model!$A$716:$A$722</definedName>
    <definedName name="tb_KPIs">Model!$A$657:$A$663</definedName>
    <definedName name="tb_StockPrice">Model!$A$677:$BS$707</definedName>
    <definedName name="tb_Tickers">Model!$A$635:$A$640</definedName>
    <definedName name="tb_UpdateLog">'Update Log'!$C$10:$H$52</definedName>
    <definedName name="tb_ValuationToggle" localSheetId="10">[1]Model!$A$701:$B$705</definedName>
    <definedName name="tb_ValuationToggle">Model!$A$642:$B$646</definedName>
    <definedName name="UL.CSIN">'Update Log'!$H$7</definedName>
    <definedName name="UL.ModelVersion">'Update Log'!$H$8</definedName>
    <definedName name="UL.MRQ" localSheetId="10">'[1]Update Log'!$F$7</definedName>
    <definedName name="UL.MRQ">'Update Log'!$F$7</definedName>
    <definedName name="UL.MRQColNum">'Update Log'!$E$7</definedName>
    <definedName name="WS.CanalystName" localSheetId="8">"Front Page"</definedName>
    <definedName name="WS.CanalystName" localSheetId="9">"Model"</definedName>
    <definedName name="WS.CanalystName" localSheetId="26">"Summary Page"</definedName>
    <definedName name="WS.CanalystName" localSheetId="27">"Update Log"</definedName>
    <definedName name="z_36KQ9X0131_MO_AN_adjustedebitda">Model!$178:$178</definedName>
    <definedName name="z_36KQ9X0131_MO_AN_AdjustedEBITDA_1">"Deleted"</definedName>
    <definedName name="z_36KQ9X0131_MO_AN_AdjustedEBITDA_2">"Deleted"</definedName>
    <definedName name="z_36KQ9X0131_MO_AN_Adjustedoperatingincomeloss">Model!$176:$176</definedName>
    <definedName name="z_36KQ9X0131_MO_AN_Amortizationofintangibleassets">Model!$175:$175</definedName>
    <definedName name="z_36KQ9X0131_MO_AN_amountallocatedtoparticipatingseriesastockholders">Model!$184:$184</definedName>
    <definedName name="z_36KQ9X0131_MO_AN_amountallocatedtoparticipatingseriesastockholders_1">Model!$186:$186</definedName>
    <definedName name="z_36KQ9X0131_MO_AN_Capexoncapitalizedcurriculumdevelopment">"Deleted"</definedName>
    <definedName name="z_36KQ9X0131_MO_AN_Capexoncapitalizedsoftwaredevelopment">"Deleted"</definedName>
    <definedName name="z_36KQ9X0131_MO_AN_CapexonPPE">"Deleted"</definedName>
    <definedName name="z_36KQ9X0131_MO_AN_depreciationandamortization">"Deleted"</definedName>
    <definedName name="z_36KQ9X0131_MO_AN_Depreciationandamortization_1">"Deleted"</definedName>
    <definedName name="z_36KQ9X0131_MO_AN_Depreciationandotheramortization">Model!$177:$177</definedName>
    <definedName name="z_36KQ9X0131_MO_AN_EBITDA">Model!$181:$181</definedName>
    <definedName name="z_36KQ9X0131_MO_AN_impairmentofinvestmentinwebinternationaleducation">Model!$171:$171</definedName>
    <definedName name="z_36KQ9X0131_MO_AN_incomeavailabletocommonstockholders—basic">Model!$185:$185</definedName>
    <definedName name="z_36KQ9X0131_MO_AN_Incomefromoperations">Model!$173:$173</definedName>
    <definedName name="z_36KQ9X0131_MO_AN_Incomefromoperations_1">"Deleted"</definedName>
    <definedName name="z_36KQ9X0131_MO_AN_incometaxexpense">Model!$172:$172</definedName>
    <definedName name="z_36KQ9X0131_MO_AN_interestexpense">Model!$166:$166</definedName>
    <definedName name="z_36KQ9X0131_MO_AN_Lossfromequitymethodinvestments">Model!$170:$170</definedName>
    <definedName name="z_36KQ9X0131_MO_AN_netincome">Model!$165:$165</definedName>
    <definedName name="z_36KQ9X0131_MO_AN_netincomeattributabletocommonstockholders">Model!$187:$187</definedName>
    <definedName name="z_36KQ9X0131_MO_AN_netlossattributabletocommonstockholders">Model!$183:$183</definedName>
    <definedName name="z_36KQ9X0131_MO_AN_noncontrollinginterest">Model!$168:$168</definedName>
    <definedName name="z_36KQ9X0131_MO_AN_Otherexpense">Model!$167:$167</definedName>
    <definedName name="z_36KQ9X0131_MO_AN_Realizedgainonsaleofassets">Model!$169:$169</definedName>
    <definedName name="z_36KQ9X0131_MO_AN_Realizedgainonsaleofassets_1">Model!$180:$180</definedName>
    <definedName name="z_36KQ9X0131_MO_AN_stockbasedcompensation">Model!$174:$174</definedName>
    <definedName name="z_36KQ9X0131_MO_AN_Stockbasedcompensation_1">"Deleted"</definedName>
    <definedName name="z_36KQ9X0131_MO_AN_Stockbasedcompensation_2">"Deleted"</definedName>
    <definedName name="z_36KQ9X0131_MO_AN_Stockbasedcompensation_3">Model!$179:$179</definedName>
    <definedName name="z_36KQ9X0131_MO_AN_Totalcapitalexpenditure">"Deleted"</definedName>
    <definedName name="z_36KQ9X0131_MO_BlankRow_AN">"Deleted"</definedName>
    <definedName name="z_36KQ9X0131_MO_BlankRow_AN_1">Model!$188:$188</definedName>
    <definedName name="z_36KQ9X0131_MO_BlankRow_AN_2">Model!$182:$182</definedName>
    <definedName name="z_36KQ9X0131_MO_BlankRow_AN_3">"Deleted"</definedName>
    <definedName name="z_36KQ9X0131_MO_BlankRow_AN_4">"Deleted"</definedName>
    <definedName name="z_36KQ9X0131_MO_BlankRow_AN_5">"Deleted"</definedName>
    <definedName name="z_36KQ9X0131_MO_BlankRow_BS_1">Model!$559:$559</definedName>
    <definedName name="z_36KQ9X0131_MO_BlankRow_BS_2">Model!$574:$574</definedName>
    <definedName name="z_36KQ9X0131_MO_BlankRow_BS_3">Model!$585:$585</definedName>
    <definedName name="z_36KQ9X0131_MO_BlankRow_BS_4">Model!$597:$597</definedName>
    <definedName name="z_36KQ9X0131_MO_BlankRow_BS_5">Model!$608:$608</definedName>
    <definedName name="z_36KQ9X0131_MO_BlankRow_BS_6">Model!$610:$610</definedName>
    <definedName name="z_36KQ9X0131_MO_BlankRow_BSS">Model!$301:$301</definedName>
    <definedName name="z_36KQ9X0131_MO_BlankRow_BSS_1">Model!$290:$290</definedName>
    <definedName name="z_36KQ9X0131_MO_BlankRow_BSS_2">Model!$297:$297</definedName>
    <definedName name="z_36KQ9X0131_MO_BlankRow_CCFS">Model!$358:$358</definedName>
    <definedName name="z_36KQ9X0131_MO_BlankRow_CCFS_1">Model!$386:$386</definedName>
    <definedName name="z_36KQ9X0131_MO_BlankRow_CCFS_2">Model!$408:$408</definedName>
    <definedName name="z_36KQ9X0131_MO_BlankRow_CCFS_3">Model!$411:$411</definedName>
    <definedName name="z_36KQ9X0131_MO_BlankRow_CCFS_4">Model!$417:$417</definedName>
    <definedName name="z_36KQ9X0131_MO_BlankRow_CCFS_5">Model!$414:$414</definedName>
    <definedName name="z_36KQ9X0131_MO_BlankRow_CFS_2">Model!$450:$450</definedName>
    <definedName name="z_36KQ9X0131_MO_BlankRow_CFS_3">Model!$478:$478</definedName>
    <definedName name="z_36KQ9X0131_MO_BlankRow_CFS_4">Model!$500:$500</definedName>
    <definedName name="z_36KQ9X0131_MO_BlankRow_CFS_5">Model!$503:$503</definedName>
    <definedName name="z_36KQ9X0131_MO_BlankRow_CFS_6">Model!$509:$509</definedName>
    <definedName name="z_36KQ9X0131_MO_BlankRow_CFS_7">Model!$511:$511</definedName>
    <definedName name="z_36KQ9X0131_MO_BlankRow_CFS_9">Model!$506:$506</definedName>
    <definedName name="z_36KQ9X0131_MO_BlankRow_CFSum">Model!$273:$273</definedName>
    <definedName name="z_36KQ9X0131_MO_BlankRow_CFSum_1">Model!$282:$282</definedName>
    <definedName name="z_36KQ9X0131_MO_BlankRow_CFSum_2">Model!$269:$269</definedName>
    <definedName name="z_36KQ9X0131_MO_BlankRow_DAF">Model!$533:$533</definedName>
    <definedName name="z_36KQ9X0131_MO_BlankRow_DAF_1">Model!$539:$539</definedName>
    <definedName name="z_36KQ9X0131_MO_BlankRow_DAF_2">Model!$544:$544</definedName>
    <definedName name="z_36KQ9X0131_MO_BlankRow_DAF_3">Model!$548:$548</definedName>
    <definedName name="z_36KQ9X0131_MO_BlankRow_GA">Model!$23:$23</definedName>
    <definedName name="z_36KQ9X0131_MO_BlankRow_GA_1">Model!$26:$26</definedName>
    <definedName name="z_36KQ9X0131_MO_BlankRow_GA_2">Model!$12:$12</definedName>
    <definedName name="z_36KQ9X0131_MO_BlankRow_GA_3">Model!$16:$16</definedName>
    <definedName name="z_36KQ9X0131_MO_BlankRow_IS">Model!$161:$161</definedName>
    <definedName name="z_36KQ9X0131_MO_BlankRow_IS_1">Model!$163:$163</definedName>
    <definedName name="z_36KQ9X0131_MO_BlankRow_MA">Model!$130:$130</definedName>
    <definedName name="z_36KQ9X0131_MO_BlankRow_MA_1">Model!$142:$142</definedName>
    <definedName name="z_36KQ9X0131_MO_BlankRow_MA_2">Model!$306:$306</definedName>
    <definedName name="z_36KQ9X0131_MO_BlankRow_MA_3">Model!$320:$320</definedName>
    <definedName name="z_36KQ9X0131_MO_BlankRow_MA_4">Model!$325:$325</definedName>
    <definedName name="z_36KQ9X0131_MO_BlankRow_MA_5">Model!$312:$312</definedName>
    <definedName name="z_36KQ9X0131_MO_BlankRow_MA_6">Model!$135:$135</definedName>
    <definedName name="z_36KQ9X0131_MO_BlankRow_MA_7">"Deleted"</definedName>
    <definedName name="z_36KQ9X0131_MO_BlankRow_MA_8">Model!$126:$126</definedName>
    <definedName name="z_36KQ9X0131_MO_BlankRow_OS">Model!$115:$115</definedName>
    <definedName name="z_36KQ9X0131_MO_BlankRow_OS_1">Model!$119:$119</definedName>
    <definedName name="z_36KQ9X0131_MO_BlankRow_OS_10">Model!$64:$64</definedName>
    <definedName name="z_36KQ9X0131_MO_BlankRow_OS_11">Model!$73:$73</definedName>
    <definedName name="z_36KQ9X0131_MO_BlankRow_OS_12">Model!$89:$89</definedName>
    <definedName name="z_36KQ9X0131_MO_BlankRow_OS_13">Model!$105:$105</definedName>
    <definedName name="z_36KQ9X0131_MO_BlankRow_OS_14">Model!$107:$107</definedName>
    <definedName name="z_36KQ9X0131_MO_BlankRow_OS_15" localSheetId="10">"Deleted"</definedName>
    <definedName name="z_36KQ9X0131_MO_BlankRow_OS_15">Model!$247:$247</definedName>
    <definedName name="z_36KQ9X0131_MO_BlankRow_OS_16">Model!$255:$255</definedName>
    <definedName name="z_36KQ9X0131_MO_BlankRow_OS_17">Model!$250:$250</definedName>
    <definedName name="z_36KQ9X0131_MO_BlankRow_OS_18">Model!$253:$253</definedName>
    <definedName name="z_36KQ9X0131_MO_BlankRow_OS_2">Model!$122:$122</definedName>
    <definedName name="z_36KQ9X0131_MO_BlankRow_OS_3">Model!$519:$519</definedName>
    <definedName name="z_36KQ9X0131_MO_BlankRow_OS_4">Model!$526:$526</definedName>
    <definedName name="z_36KQ9X0131_MO_BlankRow_OS_5">Model!$33:$33</definedName>
    <definedName name="z_36KQ9X0131_MO_BlankRow_OS_6">Model!$38:$38</definedName>
    <definedName name="z_36KQ9X0131_MO_BlankRow_OS_7">Model!$47:$47</definedName>
    <definedName name="z_36KQ9X0131_MO_BlankRow_OS_8">Model!$54:$54</definedName>
    <definedName name="z_36KQ9X0131_MO_BlankRow_OS_9">Model!$59:$59</definedName>
    <definedName name="z_36KQ9X0131_MO_BlankRow_RIS">Model!$192:$192</definedName>
    <definedName name="z_36KQ9X0131_MO_BlankRow_RIS_1">Model!$195:$195</definedName>
    <definedName name="z_36KQ9X0131_MO_BlankRow_RIS_2">Model!$207:$207</definedName>
    <definedName name="z_36KQ9X0131_MO_BlankRow_RIS_3">Model!$200:$200</definedName>
    <definedName name="z_36KQ9X0131_MO_BlankRow_RIS_4">Model!$212:$212</definedName>
    <definedName name="z_36KQ9X0131_MO_BlankRow_RIS_5">Model!$226:$226</definedName>
    <definedName name="z_36KQ9X0131_MO_BlankRow_RIS_6">Model!$229:$229</definedName>
    <definedName name="z_36KQ9X0131_MO_BlankRow_RIS_7">Model!$234:$234</definedName>
    <definedName name="z_36KQ9X0131_MO_BlankRow_RIS_8">Model!$238:$238</definedName>
    <definedName name="z_36KQ9X0131_MO_BlankRow_SNA">Model!$632:$632</definedName>
    <definedName name="z_36KQ9X0131_MO_BlankRow_SNA_1">Model!$634:$634</definedName>
    <definedName name="z_36KQ9X0131_MO_BlankRow_SNA_10">Model!$700:$700</definedName>
    <definedName name="z_36KQ9X0131_MO_BlankRow_SNA_11">Model!$707:$707</definedName>
    <definedName name="z_36KQ9X0131_MO_BlankRow_SNA_12">Model!$712:$712</definedName>
    <definedName name="z_36KQ9X0131_MO_BlankRow_SNA_13">Model!$730:$730</definedName>
    <definedName name="z_36KQ9X0131_MO_BlankRow_SNA_14">Model!$711:$711</definedName>
    <definedName name="z_36KQ9X0131_MO_BlankRow_SNA_15">Model!$663:$663</definedName>
    <definedName name="z_36KQ9X0131_MO_BlankRow_SNA_16">Model!$664:$664</definedName>
    <definedName name="z_36KQ9X0131_MO_BlankRow_SNA_2">Model!$641:$641</definedName>
    <definedName name="z_36KQ9X0131_MO_BlankRow_SNA_3">Model!$647:$647</definedName>
    <definedName name="z_36KQ9X0131_MO_BlankRow_SNA_4">Model!$655:$655</definedName>
    <definedName name="z_36KQ9X0131_MO_BlankRow_SNA_5">Model!$656:$656</definedName>
    <definedName name="z_36KQ9X0131_MO_BlankRow_SNA_6">Model!$675:$675</definedName>
    <definedName name="z_36KQ9X0131_MO_BlankRow_SNA_7">Model!$676:$676</definedName>
    <definedName name="z_36KQ9X0131_MO_BlankRow_SNA_8">Model!$686:$686</definedName>
    <definedName name="z_36KQ9X0131_MO_BlankRow_SNA_9">Model!$693:$693</definedName>
    <definedName name="z_36KQ9X0131_MO_BS_Accountspayable">Model!$580:$580</definedName>
    <definedName name="z_36KQ9X0131_MO_BS_Accountsreceivable">Model!$552:$552</definedName>
    <definedName name="z_36KQ9X0131_MO_BS_accruedcompensationandbenefits">Model!$582:$582</definedName>
    <definedName name="z_36KQ9X0131_MO_BS_accruedliabilities">Model!$581:$581</definedName>
    <definedName name="z_36KQ9X0131_MO_BS_accumulateddeficit">Model!$602:$602</definedName>
    <definedName name="z_36KQ9X0131_MO_BS_Accumulatedothercomprehensiveloss">Model!$601:$601</definedName>
    <definedName name="z_36KQ9X0131_MO_BS_additionalpaidincapital">Model!$600:$600</definedName>
    <definedName name="z_36KQ9X0131_MO_BS_BSCheck">Model!$609:$609</definedName>
    <definedName name="z_36KQ9X0131_MO_BS_capitalizedcurriculumdevelopmentcosts">Model!$564:$564</definedName>
    <definedName name="z_36KQ9X0131_MO_BS_capitalizedsoftware">Model!$563:$563</definedName>
    <definedName name="z_36KQ9X0131_MO_BS_capitalleaseobligations">Model!$587:$587</definedName>
    <definedName name="z_36KQ9X0131_MO_BS_cashandcashequivalents">Model!$551:$551</definedName>
    <definedName name="z_36KQ9X0131_MO_BS_commonstock">Model!$599:$599</definedName>
    <definedName name="z_36KQ9X0131_MO_BS_Creditfacility">Model!$579:$579</definedName>
    <definedName name="z_36KQ9X0131_MO_BS_CurrentAssets">Model!$550:$550</definedName>
    <definedName name="z_36KQ9X0131_MO_BS_CurrentLiabilities">Model!$575:$575</definedName>
    <definedName name="z_36KQ9X0131_MO_BS_currentportionofcapitalleaseobligations">Model!$576:$576</definedName>
    <definedName name="z_36KQ9X0131_MO_BS_currentportionofnotepayable">Model!$578:$578</definedName>
    <definedName name="z_36KQ9X0131_MO_BS_Currentportionofoperatingleaseliability">Model!$577:$577</definedName>
    <definedName name="z_36KQ9X0131_MO_BS_deferredrent">Model!$590:$590</definedName>
    <definedName name="z_36KQ9X0131_MO_BS_deferredrevenue">Model!$583:$583</definedName>
    <definedName name="z_36KQ9X0131_MO_BS_deferredtaxasset">Model!$554:$554</definedName>
    <definedName name="z_36KQ9X0131_MO_BS_deferredtaxasset_1">Model!$570:$570</definedName>
    <definedName name="z_36KQ9X0131_MO_BS_deferredtaxliability">Model!$591:$591</definedName>
    <definedName name="z_36KQ9X0131_MO_BS_Depositsandotherassets">Model!$568:$568</definedName>
    <definedName name="z_36KQ9X0131_MO_BS_Goodwill">Model!$567:$567</definedName>
    <definedName name="z_36KQ9X0131_MO_BS_Intangibleassets">Model!$565:$565</definedName>
    <definedName name="z_36KQ9X0131_MO_BS_Inventories">Model!$553:$553</definedName>
    <definedName name="z_36KQ9X0131_MO_BS_investmentinsubsidiary">Model!$571:$571</definedName>
    <definedName name="z_36KQ9X0131_MO_BS_Longtermdebt">Model!$589:$589</definedName>
    <definedName name="z_36KQ9X0131_MO_BS_Longtermoperatingleaseliability">Model!$588:$588</definedName>
    <definedName name="z_36KQ9X0131_MO_BS_NCI">Model!$606:$606</definedName>
    <definedName name="z_36KQ9X0131_MO_BS_NetIncomeonReportedISNIonRevised">Model!$613:$613</definedName>
    <definedName name="z_36KQ9X0131_MO_BS_NetIncomeonRevisedISNIonCFstatement">Model!$612:$612</definedName>
    <definedName name="z_36KQ9X0131_MO_BS_NonCurrentAssets">Model!$560:$560</definedName>
    <definedName name="z_36KQ9X0131_MO_BS_NonCurrentLiabilities">Model!$586:$586</definedName>
    <definedName name="z_36KQ9X0131_MO_BS_notepayable">Model!$593:$593</definedName>
    <definedName name="z_36KQ9X0131_MO_BS_Operatingleaserightofuseassets">Model!$561:$561</definedName>
    <definedName name="z_36KQ9X0131_MO_BS_Othercurrentassets">Model!$556:$556</definedName>
    <definedName name="z_36KQ9X0131_MO_BS_Otherlongtermliabilities">Model!$592:$592</definedName>
    <definedName name="z_36KQ9X0131_MO_BS_prepaidexpenses">Model!$555:$555</definedName>
    <definedName name="z_36KQ9X0131_MO_BS_Propertyandequipment">Model!$562:$562</definedName>
    <definedName name="z_36KQ9X0131_MO_BS_redeemablenoncontrollinginterest">Model!$594:$594</definedName>
    <definedName name="z_36KQ9X0131_MO_BS_Restrictedcash">Model!$557:$557</definedName>
    <definedName name="z_36KQ9X0131_MO_BS_Restrictedcash_1">Model!$569:$569</definedName>
    <definedName name="z_36KQ9X0131_MO_BS_seriesaspecialstock">Model!$604:$604</definedName>
    <definedName name="z_36KQ9X0131_MO_BS_ShareholdersEquity">Model!$598:$598</definedName>
    <definedName name="z_36KQ9X0131_MO_BS_TotalAssets">Model!$573:$573</definedName>
    <definedName name="z_36KQ9X0131_MO_BS_TotalCurrentAssets">Model!$558:$558</definedName>
    <definedName name="z_36KQ9X0131_MO_BS_TotalCurrentLiabilities">Model!$584:$584</definedName>
    <definedName name="z_36KQ9X0131_MO_BS_TotalIntangibleAssets">Model!$566:$566</definedName>
    <definedName name="z_36KQ9X0131_MO_BS_TotalLiabilities">Model!$596:$596</definedName>
    <definedName name="z_36KQ9X0131_MO_BS_TotalLiabilitiesSE">Model!$607:$607</definedName>
    <definedName name="z_36KQ9X0131_MO_BS_TotalNonCurrentAssets">Model!$572:$572</definedName>
    <definedName name="z_36KQ9X0131_MO_BS_TotalNonCurrentliabilities">Model!$595:$595</definedName>
    <definedName name="z_36KQ9X0131_MO_BS_TotalSE">Model!$605:$605</definedName>
    <definedName name="z_36KQ9X0131_MO_BS_treasurystock">Model!$603:$603</definedName>
    <definedName name="z_36KQ9X0131_MO_BSS_Cash">Model!$284:$284</definedName>
    <definedName name="z_36KQ9X0131_MO_BSS_Debt">Model!$287:$287</definedName>
    <definedName name="z_36KQ9X0131_MO_BSS_DebtCashFlow">Model!$300:$300</definedName>
    <definedName name="z_36KQ9X0131_MO_BSS_DebtEBITDA">Model!$299:$299</definedName>
    <definedName name="z_36KQ9X0131_MO_BSS_EBITDANetInterestExpense">Model!$298:$298</definedName>
    <definedName name="z_36KQ9X0131_MO_BSS_EffectiveInterestRateonCash">Model!$294:$294</definedName>
    <definedName name="z_36KQ9X0131_MO_BSS_EffectiveInterestRateonDebt">Model!$292:$292</definedName>
    <definedName name="z_36KQ9X0131_MO_BSS_EffectiveNetInterestRateonDebt">Model!$296:$296</definedName>
    <definedName name="z_36KQ9X0131_MO_BSS_InterestExpense">Model!$291:$291</definedName>
    <definedName name="z_36KQ9X0131_MO_BSS_InterestIncome">Model!$293:$293</definedName>
    <definedName name="z_36KQ9X0131_MO_BSS_LTDebt">Model!$286:$286</definedName>
    <definedName name="z_36KQ9X0131_MO_BSS_NetDebt">Model!$289:$289</definedName>
    <definedName name="z_36KQ9X0131_MO_BSS_NetInterestExpenseIncome">Model!$295:$295</definedName>
    <definedName name="z_36KQ9X0131_MO_BSS_OperatingLeaseLiabilities">Model!$288:$288</definedName>
    <definedName name="z_36KQ9X0131_MO_BSS_STDebt">Model!$285:$285</definedName>
    <definedName name="z_36KQ9X0131_MO_CCFS_accountspayable">Model!$349:$349</definedName>
    <definedName name="z_36KQ9X0131_MO_CCFS_accountsreceivable">Model!$344:$344</definedName>
    <definedName name="z_36KQ9X0131_MO_CCFS_accruedcompensationandbenefits">Model!$351:$351</definedName>
    <definedName name="z_36KQ9X0131_MO_CCFS_accruedliabilities">Model!$350:$350</definedName>
    <definedName name="z_36KQ9X0131_MO_CCFS_Acquisitionofassets">Model!$380:$380</definedName>
    <definedName name="z_36KQ9X0131_MO_CCFS_AcquisitionofBigUniverseInc">Model!$367:$367</definedName>
    <definedName name="z_36KQ9X0131_MO_CCFS_AcquisitionofGalvanizeInc">Model!$368:$368</definedName>
    <definedName name="z_36KQ9X0131_MO_CCFS_AcquisitionofLTSEducationSystems">Model!$366:$366</definedName>
    <definedName name="z_36KQ9X0131_MO_CCFS_AcquisitionofMedCertsLLC">Model!$369:$369</definedName>
    <definedName name="z_36KQ9X0131_MO_CCFS_AcquisitionofTechElevatorInc">Model!$370:$370</definedName>
    <definedName name="z_36KQ9X0131_MO_CCFS_Acquisitions">Model!$381:$381</definedName>
    <definedName name="z_36KQ9X0131_MO_CCFS_Amortizationofdiscountandfeesondebt">Model!$334:$334</definedName>
    <definedName name="z_36KQ9X0131_MO_CCFS_BeginningCashBalance">Model!$412:$412</definedName>
    <definedName name="z_36KQ9X0131_MO_CCFS_borrowingsfromlineofcredit">Model!$402:$402</definedName>
    <definedName name="z_36KQ9X0131_MO_CCFS_capitalizedcurriculumdevelopmentcosts">Model!$362:$362</definedName>
    <definedName name="z_36KQ9X0131_MO_CCFS_capitalizedsoftwaredevelopmentcosts">Model!$361:$361</definedName>
    <definedName name="z_36KQ9X0131_MO_CCFS_cashadvancedforaecperformanceescrow">Model!$378:$378</definedName>
    <definedName name="z_36KQ9X0131_MO_CCFS_Cashpaidforinterest">Model!$415:$415</definedName>
    <definedName name="z_36KQ9X0131_MO_CCFS_cashpaidforinvestmentinweb">Model!$384:$384</definedName>
    <definedName name="z_36KQ9X0131_MO_CCFS_Cashpaidfortaxes">Model!$416:$416</definedName>
    <definedName name="z_36KQ9X0131_MO_CCFS_cashreturnedforaecperformanceescrow">Model!$379:$379</definedName>
    <definedName name="z_36KQ9X0131_MO_CCFS_CFF">Model!$387:$387</definedName>
    <definedName name="z_36KQ9X0131_MO_CCFS_CFI">Model!$359:$359</definedName>
    <definedName name="z_36KQ9X0131_MO_CCFS_CFO">Model!$327:$327</definedName>
    <definedName name="z_36KQ9X0131_MO_CCFS_CFObeforeWC">Model!$343:$343</definedName>
    <definedName name="z_36KQ9X0131_MO_CCFS_Changeinworkingcapital">Model!$356:$356</definedName>
    <definedName name="z_36KQ9X0131_MO_CCFS_deferredincometaxes">Model!$332:$332</definedName>
    <definedName name="z_36KQ9X0131_MO_CCFS_Deferredrentandotherliabilities">Model!$355:$355</definedName>
    <definedName name="z_36KQ9X0131_MO_CCFS_deferredrevenue">Model!$353:$353</definedName>
    <definedName name="z_36KQ9X0131_MO_CCFS_Depositsandotherassets">Model!$348:$348</definedName>
    <definedName name="z_36KQ9X0131_MO_CCFS_depreciationandamortizationexpense">Model!$329:$329</definedName>
    <definedName name="z_36KQ9X0131_MO_CCFS_DividendsPaid">Model!$406:$406</definedName>
    <definedName name="z_36KQ9X0131_MO_CCFS_EndingCashBalance">Model!$413:$413</definedName>
    <definedName name="z_36KQ9X0131_MO_CCFS_excesstaxbenefitfromstockbasedcompensation">Model!$331:$331</definedName>
    <definedName name="z_36KQ9X0131_MO_CCFS_excesstaxbenefitfromstockbasedcompensation_1">Model!$397:$397</definedName>
    <definedName name="z_36KQ9X0131_MO_CCFS_expensedleasedcomputerperipherals">Model!$339:$339</definedName>
    <definedName name="z_36KQ9X0131_MO_CCFS_FX">Model!$409:$409</definedName>
    <definedName name="z_36KQ9X0131_MO_CCFS_Impairmentlossonotherassets">Model!$337:$337</definedName>
    <definedName name="z_36KQ9X0131_MO_CCFS_impairmentofinvestmentinwebinternationneducation">Model!$340:$340</definedName>
    <definedName name="z_36KQ9X0131_MO_CCFS_inventories">Model!$345:$345</definedName>
    <definedName name="z_36KQ9X0131_MO_CCFS_investmentinlearnbop">Model!$374:$374</definedName>
    <definedName name="z_36KQ9X0131_MO_CCFS_Issuanceofconvertibleseniornotes">Model!$404:$404</definedName>
    <definedName name="z_36KQ9X0131_MO_CCFS_mortgagenotetomanagedschoolpartner">Model!$365:$365</definedName>
    <definedName name="z_36KQ9X0131_MO_CCFS_netcashreceivedonsaleofassets">Model!$371:$371</definedName>
    <definedName name="z_36KQ9X0131_MO_CCFS_NetCFF">Model!$407:$407</definedName>
    <definedName name="z_36KQ9X0131_MO_CCFS_NetCFI">Model!$385:$385</definedName>
    <definedName name="z_36KQ9X0131_MO_CCFS_NetCFO">Model!$357:$357</definedName>
    <definedName name="z_36KQ9X0131_MO_CCFS_NetChangeinCashBalance">Model!$410:$410</definedName>
    <definedName name="z_36KQ9X0131_MO_CCFS_netincome">Model!$328:$328</definedName>
    <definedName name="z_36KQ9X0131_MO_CCFS_netproceedsfrominvestmentinnoncontrollinginterest">Model!$394:$394</definedName>
    <definedName name="z_36KQ9X0131_MO_CCFS_Noncashoperatingleaseexpense">Model!$341:$341</definedName>
    <definedName name="z_36KQ9X0131_MO_CCFS_Operatingleaseliability">Model!$352:$352</definedName>
    <definedName name="z_36KQ9X0131_MO_CCFS_Other">Model!$342:$342</definedName>
    <definedName name="z_36KQ9X0131_MO_CCFS_Othercurrentassets">Model!$347:$347</definedName>
    <definedName name="z_36KQ9X0131_MO_CCFS_paymentofstockregistrationexpense">Model!$396:$396</definedName>
    <definedName name="z_36KQ9X0131_MO_CCFS_Paymentsofcontingentconsideration">Model!$389:$389</definedName>
    <definedName name="z_36KQ9X0131_MO_CCFS_Paymentsofdeferredpurchaseconsideration">Model!$390:$390</definedName>
    <definedName name="z_36KQ9X0131_MO_CCFS_prepaidexpenses">Model!$346:$346</definedName>
    <definedName name="z_36KQ9X0131_MO_CCFS_proceedsfromexerciseofstockoptions">Model!$393:$393</definedName>
    <definedName name="z_36KQ9X0131_MO_CCFS_proceedsfromexerciseofstockwarrants">Model!$395:$395</definedName>
    <definedName name="z_36KQ9X0131_MO_CCFS_proceedsfromissuanceofcommonstock">Model!$400:$400</definedName>
    <definedName name="z_36KQ9X0131_MO_CCFS_proceedsfromnotespayable">Model!$401:$401</definedName>
    <definedName name="z_36KQ9X0131_MO_CCFS_Proceedsfromthematurityofmarketablesecurities">Model!$382:$382</definedName>
    <definedName name="z_36KQ9X0131_MO_CCFS_provisionfordoubtfulaccounts">Model!$333:$333</definedName>
    <definedName name="z_36KQ9X0131_MO_CCFS_provisionforexcessandobsoleteinventory">Model!$335:$335</definedName>
    <definedName name="z_36KQ9X0131_MO_CCFS_provisionforstudentcomputershrinkageandobsolescence">Model!$336:$336</definedName>
    <definedName name="z_36KQ9X0131_MO_CCFS_purchaseofaecnetofcashacquiredof3">Model!$376:$376</definedName>
    <definedName name="z_36KQ9X0131_MO_CCFS_purchaseofdomainname">Model!$375:$375</definedName>
    <definedName name="z_36KQ9X0131_MO_CCFS_purchaseofisbernenetofcashacquiredof1">Model!$377:$377</definedName>
    <definedName name="z_36KQ9X0131_MO_CCFS_purchaseofkaplaninsightassets">Model!$373:$373</definedName>
    <definedName name="z_36KQ9X0131_MO_CCFS_purchaseofnoncontrollinginterest">Model!$363:$363</definedName>
    <definedName name="z_36KQ9X0131_MO_CCFS_purchaseofpropertyandequipment">Model!$360:$360</definedName>
    <definedName name="z_36KQ9X0131_MO_CCFS_purchaseoftreasurystock">Model!$392:$392</definedName>
    <definedName name="z_36KQ9X0131_MO_CCFS_Purchasesofcappedcallsinconnectionwithconvertibleseniornotes">Model!$405:$405</definedName>
    <definedName name="z_36KQ9X0131_MO_CCFS_Purchasesofmarketablesecurities">Model!$383:$383</definedName>
    <definedName name="z_36KQ9X0131_MO_CCFS_realizedgainonsaleofassets">Model!$338:$338</definedName>
    <definedName name="z_36KQ9X0131_MO_CCFS_repaymentsoncapitalleaseobligations">Model!$388:$388</definedName>
    <definedName name="z_36KQ9X0131_MO_CCFS_repaymentsonnotespayable">Model!$391:$391</definedName>
    <definedName name="z_36KQ9X0131_MO_CCFS_repaymentsunderthelineofcredit">Model!$403:$403</definedName>
    <definedName name="z_36KQ9X0131_MO_CCFS_repurchaseofrestrictedstockforincometaxwithholding">Model!$399:$399</definedName>
    <definedName name="z_36KQ9X0131_MO_CCFS_restrictedcash">Model!$354:$354</definedName>
    <definedName name="z_36KQ9X0131_MO_CCFS_Saleoflonglivedassets">"Deleted"</definedName>
    <definedName name="z_36KQ9X0131_MO_CCFS_Saleofotherinvestments">Model!$372:$372</definedName>
    <definedName name="z_36KQ9X0131_MO_CCFS_saleoftradename">Model!$364:$364</definedName>
    <definedName name="z_36KQ9X0131_MO_CCFS_stockbasedcompensationexpense">Model!$330:$330</definedName>
    <definedName name="z_36KQ9X0131_MO_CCFS_Withholdingofstockoptionsfortaxwithholding">Model!$398:$398</definedName>
    <definedName name="z_36KQ9X0131_MO_CFS_accountspayable">Model!$441:$441</definedName>
    <definedName name="z_36KQ9X0131_MO_CFS_accountsreceivable">Model!$436:$436</definedName>
    <definedName name="z_36KQ9X0131_MO_CFS_accruedcompensationandbenefits">Model!$443:$443</definedName>
    <definedName name="z_36KQ9X0131_MO_CFS_accruedliabilities">Model!$442:$442</definedName>
    <definedName name="z_36KQ9X0131_MO_CFS_Acquisitionofassets">Model!$472:$472</definedName>
    <definedName name="z_36KQ9X0131_MO_CFS_AcquisitionofBigUniverseInc">Model!$459:$459</definedName>
    <definedName name="z_36KQ9X0131_MO_CFS_AcquisitionofGalvanizeInc">Model!$460:$460</definedName>
    <definedName name="z_36KQ9X0131_MO_CFS_AcquisitionofLTSEducationSystems">Model!$458:$458</definedName>
    <definedName name="z_36KQ9X0131_MO_CFS_AcquisitionofMedCertsLLC">Model!$461:$461</definedName>
    <definedName name="z_36KQ9X0131_MO_CFS_AcquisitionofTechElevatorInc">Model!$462:$462</definedName>
    <definedName name="z_36KQ9X0131_MO_CFS_Acquisitions">Model!$473:$473</definedName>
    <definedName name="z_36KQ9X0131_MO_CFS_Amortizationofdiscountandfeesondebt">Model!$426:$426</definedName>
    <definedName name="z_36KQ9X0131_MO_CFS_BeginningCashBalance">Model!$504:$504</definedName>
    <definedName name="z_36KQ9X0131_MO_CFS_borrowingsfromlineofcredit">Model!$494:$494</definedName>
    <definedName name="z_36KQ9X0131_MO_CFS_capitalizedcurriculumdevelopmentcosts">Model!$454:$454</definedName>
    <definedName name="z_36KQ9X0131_MO_CFS_capitalizedsoftwaredevelopmentcosts">Model!$453:$453</definedName>
    <definedName name="z_36KQ9X0131_MO_CFS_cashadvancedforaecperformanceescrow">Model!$470:$470</definedName>
    <definedName name="z_36KQ9X0131_MO_CFS_Cashpaidforinterest">Model!$507:$507</definedName>
    <definedName name="z_36KQ9X0131_MO_CFS_cashpaidforinvestmentinweb">Model!$476:$476</definedName>
    <definedName name="z_36KQ9X0131_MO_CFS_Cashpaidfortaxes">Model!$508:$508</definedName>
    <definedName name="z_36KQ9X0131_MO_CFS_cashreturnedforaecperformanceescrow">Model!$471:$471</definedName>
    <definedName name="z_36KQ9X0131_MO_CFS_CFCheck">Model!$510:$510</definedName>
    <definedName name="z_36KQ9X0131_MO_CFS_CFF">Model!$479:$479</definedName>
    <definedName name="z_36KQ9X0131_MO_CFS_CFI">Model!$451:$451</definedName>
    <definedName name="z_36KQ9X0131_MO_CFS_CFO">Model!$419:$419</definedName>
    <definedName name="z_36KQ9X0131_MO_CFS_CFObeforeWC">Model!$435:$435</definedName>
    <definedName name="z_36KQ9X0131_MO_CFS_Changeinworkingcapital">Model!$448:$448</definedName>
    <definedName name="z_36KQ9X0131_MO_CFS_deferredincometaxes">Model!$424:$424</definedName>
    <definedName name="z_36KQ9X0131_MO_CFS_Deferredrentandotherliabilities">Model!$447:$447</definedName>
    <definedName name="z_36KQ9X0131_MO_CFS_deferredrevenue">Model!$445:$445</definedName>
    <definedName name="z_36KQ9X0131_MO_CFS_Depositsandotherassets">Model!$440:$440</definedName>
    <definedName name="z_36KQ9X0131_MO_CFS_depreciationandamortizationexpense">Model!$421:$421</definedName>
    <definedName name="z_36KQ9X0131_MO_CFS_DividendsPaid">Model!$498:$498</definedName>
    <definedName name="z_36KQ9X0131_MO_CFS_EndingCashBalance">Model!$505:$505</definedName>
    <definedName name="z_36KQ9X0131_MO_CFS_excesstaxbenefitfromstockbasedcompensation">Model!$423:$423</definedName>
    <definedName name="z_36KQ9X0131_MO_CFS_excesstaxbenefitfromstockbasedcompensation_1">Model!$489:$489</definedName>
    <definedName name="z_36KQ9X0131_MO_CFS_expensedleasedcomputerperipherals">Model!$431:$431</definedName>
    <definedName name="z_36KQ9X0131_MO_CFS_FX">Model!$501:$501</definedName>
    <definedName name="z_36KQ9X0131_MO_CFS_Impairmentlossonotherassets">Model!$429:$429</definedName>
    <definedName name="z_36KQ9X0131_MO_CFS_impairmentofinvestmentinwebinternationneducation">Model!$432:$432</definedName>
    <definedName name="z_36KQ9X0131_MO_CFS_inventories">Model!$437:$437</definedName>
    <definedName name="z_36KQ9X0131_MO_CFS_investmentinlearnbop">Model!$466:$466</definedName>
    <definedName name="z_36KQ9X0131_MO_CFS_Issuanceofconvertibleseniornotes">Model!$496:$496</definedName>
    <definedName name="z_36KQ9X0131_MO_CFS_mortgagenotetomanagedschoolpartner">Model!$457:$457</definedName>
    <definedName name="z_36KQ9X0131_MO_CFS_netcashreceivedonsaleofassets">Model!$463:$463</definedName>
    <definedName name="z_36KQ9X0131_MO_CFS_NetCFF">Model!$499:$499</definedName>
    <definedName name="z_36KQ9X0131_MO_CFS_NetCFI">Model!$477:$477</definedName>
    <definedName name="z_36KQ9X0131_MO_CFS_NetCFO">Model!$449:$449</definedName>
    <definedName name="z_36KQ9X0131_MO_CFS_NetChangeinCashBalance">Model!$502:$502</definedName>
    <definedName name="z_36KQ9X0131_MO_CFS_netincome">Model!$420:$420</definedName>
    <definedName name="z_36KQ9X0131_MO_CFS_netproceedsfrominvestmentinnoncontrollinginterest">Model!$486:$486</definedName>
    <definedName name="z_36KQ9X0131_MO_CFS_Noncashoperatingleaseexpense">Model!$433:$433</definedName>
    <definedName name="z_36KQ9X0131_MO_CFS_Operatingleaseliability">Model!$444:$444</definedName>
    <definedName name="z_36KQ9X0131_MO_CFS_Other">Model!$434:$434</definedName>
    <definedName name="z_36KQ9X0131_MO_CFS_Othercurrentassets">Model!$439:$439</definedName>
    <definedName name="z_36KQ9X0131_MO_CFS_paymentofstockregistrationexpense">Model!$488:$488</definedName>
    <definedName name="z_36KQ9X0131_MO_CFS_Paymentsofcontingentconsideration">Model!$481:$481</definedName>
    <definedName name="z_36KQ9X0131_MO_CFS_Paymentsofdeferredpurchaseconsideration">Model!$482:$482</definedName>
    <definedName name="z_36KQ9X0131_MO_CFS_prepaidexpenses">Model!$438:$438</definedName>
    <definedName name="z_36KQ9X0131_MO_CFS_proceedsfromexerciseofstockoptions">Model!$485:$485</definedName>
    <definedName name="z_36KQ9X0131_MO_CFS_proceedsfromexerciseofstockwarrants">Model!$487:$487</definedName>
    <definedName name="z_36KQ9X0131_MO_CFS_proceedsfromissuanceofcommonstock">Model!$492:$492</definedName>
    <definedName name="z_36KQ9X0131_MO_CFS_proceedsfromnotespayable">Model!$493:$493</definedName>
    <definedName name="z_36KQ9X0131_MO_CFS_Proceedsfromthematurityofmarketablesecurities">Model!$474:$474</definedName>
    <definedName name="z_36KQ9X0131_MO_CFS_provisionfordoubtfulaccounts">Model!$425:$425</definedName>
    <definedName name="z_36KQ9X0131_MO_CFS_provisionforexcessandobsoleteinventory">Model!$427:$427</definedName>
    <definedName name="z_36KQ9X0131_MO_CFS_provisionforstudentcomputershrinkageandobsolescence">Model!$428:$428</definedName>
    <definedName name="z_36KQ9X0131_MO_CFS_purchaseofaecnetofcashacquiredof3">Model!$468:$468</definedName>
    <definedName name="z_36KQ9X0131_MO_CFS_purchaseofdomainname">Model!$467:$467</definedName>
    <definedName name="z_36KQ9X0131_MO_CFS_purchaseofisbernenetofcashacquiredof1">Model!$469:$469</definedName>
    <definedName name="z_36KQ9X0131_MO_CFS_purchaseofkaplaninsightassets">Model!$465:$465</definedName>
    <definedName name="z_36KQ9X0131_MO_CFS_purchaseofnoncontrollinginterest">Model!$455:$455</definedName>
    <definedName name="z_36KQ9X0131_MO_CFS_purchaseofpropertyandequipment">Model!$452:$452</definedName>
    <definedName name="z_36KQ9X0131_MO_CFS_purchaseoftreasurystock">Model!$484:$484</definedName>
    <definedName name="z_36KQ9X0131_MO_CFS_Purchasesofcappedcallsinconnectionwithconvertibleseniornotes">Model!$497:$497</definedName>
    <definedName name="z_36KQ9X0131_MO_CFS_Purchasesofmarketablesecurities">Model!$475:$475</definedName>
    <definedName name="z_36KQ9X0131_MO_CFS_realizedgainonsaleofassets">Model!$430:$430</definedName>
    <definedName name="z_36KQ9X0131_MO_CFS_repaymentsoncapitalleaseobligations">Model!$480:$480</definedName>
    <definedName name="z_36KQ9X0131_MO_CFS_repaymentsonnotespayable">Model!$483:$483</definedName>
    <definedName name="z_36KQ9X0131_MO_CFS_repaymentsunderthelineofcredit">Model!$495:$495</definedName>
    <definedName name="z_36KQ9X0131_MO_CFS_repurchaseofrestrictedstockforincometaxwithholding">Model!$491:$491</definedName>
    <definedName name="z_36KQ9X0131_MO_CFS_restrictedcash">Model!$446:$446</definedName>
    <definedName name="z_36KQ9X0131_MO_CFS_Saleoflonglivedassets">"Deleted"</definedName>
    <definedName name="z_36KQ9X0131_MO_CFS_Saleofotherinvestments">Model!$464:$464</definedName>
    <definedName name="z_36KQ9X0131_MO_CFS_saleoftradename">Model!$456:$456</definedName>
    <definedName name="z_36KQ9X0131_MO_CFS_stockbasedcompensationexpense">Model!$422:$422</definedName>
    <definedName name="z_36KQ9X0131_MO_CFS_Withholdingofstockoptionsfortaxwithholding">Model!$490:$490</definedName>
    <definedName name="z_36KQ9X0131_MO_CFSum_Acquisitions">Model!$265:$265</definedName>
    <definedName name="z_36KQ9X0131_MO_CFSum_Capex">Model!$263:$263</definedName>
    <definedName name="z_36KQ9X0131_MO_CFSum_CashFlowPerDilutedShare">Model!$260:$260</definedName>
    <definedName name="z_36KQ9X0131_MO_CFSum_CashFlowPerDilutedShare_1">Model!$261:$261</definedName>
    <definedName name="z_36KQ9X0131_MO_CFSum_ChangeinWorkingCapital">Model!$258:$258</definedName>
    <definedName name="z_36KQ9X0131_MO_CFSum_ConsensusEstimatesCapex">Model!$264:$264</definedName>
    <definedName name="z_36KQ9X0131_MO_CFSum_consensusestimatescashflowperdilutedshare">Model!$262:$262</definedName>
    <definedName name="z_36KQ9X0131_MO_CFSum_Divestiture">Model!$266:$266</definedName>
    <definedName name="z_36KQ9X0131_MO_CFSum_DividendPaid">Model!$267:$267</definedName>
    <definedName name="z_36KQ9X0131_MO_CFSum_DividendPerShare">Model!$268:$268</definedName>
    <definedName name="z_36KQ9X0131_MO_CFSum_EstimatedSharePriceforIssuanceBuybacks">Model!$272:$272</definedName>
    <definedName name="z_36KQ9X0131_MO_CFSum_FCF">Model!$274:$274</definedName>
    <definedName name="z_36KQ9X0131_MO_CFSum_FCF_1">Model!$275:$275</definedName>
    <definedName name="z_36KQ9X0131_MO_CFSum_FCF_2">Model!$276:$276</definedName>
    <definedName name="z_36KQ9X0131_MO_CFSum_FCF_4">Model!$278:$278</definedName>
    <definedName name="z_36KQ9X0131_MO_CFSum_FCFPostDiv_1">Model!$279:$279</definedName>
    <definedName name="z_36KQ9X0131_MO_CFSum_FCFPostDiv_2">Model!$280:$280</definedName>
    <definedName name="z_36KQ9X0131_MO_CFSum_FCFPostDivDebtBuyback">Model!$277:$277</definedName>
    <definedName name="z_36KQ9X0131_MO_CFSum_FCFPostDivDebtBuyback_1">Model!$281:$281</definedName>
    <definedName name="z_36KQ9X0131_MO_CFSum_NetDebtIssuanceRepayment">Model!$270:$270</definedName>
    <definedName name="z_36KQ9X0131_MO_CFSum_NetShareIssuanceBuybacks">Model!$271:$271</definedName>
    <definedName name="z_36KQ9X0131_MO_CFSum_OperatingCashFlowafterWC">Model!$259:$259</definedName>
    <definedName name="z_36KQ9X0131_MO_CFSum_OperatingCashFlowbeforeWC">Model!$257:$257</definedName>
    <definedName name="z_36KQ9X0131_MO_Checks_SNA_AdjustedNumbersFYSumofQs">Model!$623:$623</definedName>
    <definedName name="z_36KQ9X0131_MO_Checks_SNA_BalanceSheetisnotRepeated">Model!$619:$619</definedName>
    <definedName name="z_36KQ9X0131_MO_Checks_SNA_CapexisUpdated">Model!$621:$621</definedName>
    <definedName name="z_36KQ9X0131_MO_Checks_SNA_CashFlowisnotRepeated">Model!$617:$617</definedName>
    <definedName name="z_36KQ9X0131_MO_Checks_SNA_CashFlowSummarySignsareCorrect">Model!$624:$624</definedName>
    <definedName name="z_36KQ9X0131_MO_Checks_SNA_CashisPositive">Model!$614:$614</definedName>
    <definedName name="z_36KQ9X0131_MO_Checks_SNA_CFFsubtotalFYSumofQs">Model!$630:$630</definedName>
    <definedName name="z_36KQ9X0131_MO_Checks_SNA_CFIsubtotalFYSumofQs">Model!$629:$629</definedName>
    <definedName name="z_36KQ9X0131_MO_Checks_SNA_CFOBeforeWCsubtotalFYSumofQs">Model!$627:$627</definedName>
    <definedName name="z_36KQ9X0131_MO_Checks_SNA_CFOsubtotalFYSumofQs">Model!$628:$628</definedName>
    <definedName name="z_36KQ9X0131_MO_Checks_SNA_CFSummaryFYSumofQs">Model!$631:$631</definedName>
    <definedName name="z_36KQ9X0131_MO_Checks_SNA_DebtisPositive">Model!$615:$615</definedName>
    <definedName name="z_36KQ9X0131_MO_Checks_SNA_EndingCFEndingCumulativeCF">Model!$620:$620</definedName>
    <definedName name="z_36KQ9X0131_MO_Checks_SNA_IncomeStatementisnotRepeated">Model!$618:$618</definedName>
    <definedName name="z_36KQ9X0131_MO_Checks_SNA_MarginisUpdated">Model!$622:$622</definedName>
    <definedName name="z_36KQ9X0131_MO_Checks_SNA_RISAdjustedNIFYSumofQs">Model!$626:$626</definedName>
    <definedName name="z_36KQ9X0131_MO_Checks_SNA_RISNIFYSumofQs">Model!$625:$625</definedName>
    <definedName name="z_36KQ9X0131_MO_Checks_SNA_SegmentedRevenueRevenue">Model!$616:$616</definedName>
    <definedName name="z_36KQ9X0131_MO_DAF_AmortizationaspercentageofIntangiblesBoP">Model!$541:$541</definedName>
    <definedName name="z_36KQ9X0131_MO_DAF_Amortizationofintangibles">Model!$535:$535</definedName>
    <definedName name="z_36KQ9X0131_MO_DAF_Capexofintangibles">Model!$536:$536</definedName>
    <definedName name="z_36KQ9X0131_MO_DAF_CapexofPPE">Model!$530:$530</definedName>
    <definedName name="z_36KQ9X0131_MO_DAF_DepreciationaspercentageofPPEBoP">Model!$540:$540</definedName>
    <definedName name="z_36KQ9X0131_MO_DAF_Depreciationoffixedassets">Model!$529:$529</definedName>
    <definedName name="z_36KQ9X0131_MO_DAF_Impliedlifeoffixedassets">Model!$542:$542</definedName>
    <definedName name="z_36KQ9X0131_MO_DAF_Impliedlifeofintangibles">Model!$543:$543</definedName>
    <definedName name="z_36KQ9X0131_MO_DAF_IntangiblesBoP">Model!$534:$534</definedName>
    <definedName name="z_36KQ9X0131_MO_DAF_IntangiblesEoP">Model!$538:$538</definedName>
    <definedName name="z_36KQ9X0131_MO_DAF_Othernetadditionstointangibles">Model!$537:$537</definedName>
    <definedName name="z_36KQ9X0131_MO_DAF_OthernetadditionstoPPE">Model!$531:$531</definedName>
    <definedName name="z_36KQ9X0131_MO_DAF_Percentageofcapexallocatedtointangibleassets">Model!$547:$547</definedName>
    <definedName name="z_36KQ9X0131_MO_DAF_PPEBoP">Model!$528:$528</definedName>
    <definedName name="z_36KQ9X0131_MO_DAF_PPEEoP">Model!$532:$532</definedName>
    <definedName name="z_36KQ9X0131_MO_DAF_TotalCapex">Model!$546:$546</definedName>
    <definedName name="z_36KQ9X0131_MO_DAF_TotalDA">Model!$545:$545</definedName>
    <definedName name="z_36KQ9X0131_MO_GA_CareerLearningAdultrevenuegrowth">Model!$9:$9</definedName>
    <definedName name="z_36KQ9X0131_MO_GA_CareerLearningaverageenrollmentgrowth">Model!$14:$14</definedName>
    <definedName name="z_36KQ9X0131_MO_GA_CareerLearningMiddleHighSchoolrevenuegrowth">Model!$8:$8</definedName>
    <definedName name="z_36KQ9X0131_MO_GA_CareerLearningrevenuegrowth">Model!$10:$10</definedName>
    <definedName name="z_36KQ9X0131_MO_GA_GeneralEducationaverageenrollmentgrowth">Model!$13:$13</definedName>
    <definedName name="z_36KQ9X0131_MO_GA_GeneralEducationrevenuegrowth">Model!$7:$7</definedName>
    <definedName name="z_36KQ9X0131_MO_GA_Totalaverageenrollmentgrowth">Model!$15:$15</definedName>
    <definedName name="z_36KQ9X0131_MO_GA_Totalrevenuegrowth">Model!$11:$11</definedName>
    <definedName name="z_36KQ9X0131_MO_Header_ColumnHeader">Model!$5:$5</definedName>
    <definedName name="z_36KQ9X0131_MO_Header_CompanySubTitle">Model!$2:$2</definedName>
    <definedName name="z_36KQ9X0131_MO_Header_CompanyTitle">Model!$1:$1</definedName>
    <definedName name="z_36KQ9X0131_MO_Header_FPDays">Model!$3:$3</definedName>
    <definedName name="z_36KQ9X0131_MO_Header_QEndDate">Model!$4:$4</definedName>
    <definedName name="z_36KQ9X0131_MO_IS_adjustnetlossattributabletononcontrollinginterest">Model!$159:$159</definedName>
    <definedName name="z_36KQ9X0131_MO_IS_grossprofit">Model!$146:$146</definedName>
    <definedName name="z_36KQ9X0131_MO_IS_impairmentofinvestmentinwebinternationaleducation">Model!$152:$152</definedName>
    <definedName name="z_36KQ9X0131_MO_IS_incomebeforeincometaxexpenseandnoncontrollinginterest">Model!$155:$155</definedName>
    <definedName name="z_36KQ9X0131_MO_IS_incomefromoperations">Model!$150:$150</definedName>
    <definedName name="z_36KQ9X0131_MO_IS_incometaxexpense">Model!$156:$156</definedName>
    <definedName name="z_36KQ9X0131_MO_IS_instructionalcostsandservices">Model!$145:$145</definedName>
    <definedName name="z_36KQ9X0131_MO_IS_interestexpense">Model!$153:$153</definedName>
    <definedName name="z_36KQ9X0131_MO_IS_ISCheck">Model!$162:$162</definedName>
    <definedName name="z_36KQ9X0131_MO_IS_Lossfromequitymethodinvestments">Model!$157:$157</definedName>
    <definedName name="z_36KQ9X0131_MO_IS_netincome">Model!$158:$158</definedName>
    <definedName name="z_36KQ9X0131_MO_IS_netincomeattributabletocommonstockholders">Model!$160:$160</definedName>
    <definedName name="z_36KQ9X0131_MO_IS_Otherincomeexpense">Model!$154:$154</definedName>
    <definedName name="z_36KQ9X0131_MO_IS_productdevelopmentexpenses">Model!$148:$148</definedName>
    <definedName name="z_36KQ9X0131_MO_IS_realizedgainonsaleofassets">Model!$151:$151</definedName>
    <definedName name="z_36KQ9X0131_MO_IS_revenues">Model!$144:$144</definedName>
    <definedName name="z_36KQ9X0131_MO_IS_sellingadministrative">Model!$147:$147</definedName>
    <definedName name="z_36KQ9X0131_MO_IS_totalcostsandexpenses">Model!$149:$149</definedName>
    <definedName name="z_36KQ9X0131_MO_MA_AddbackAmortizationofIntangiblesMargin">Model!$137:$137</definedName>
    <definedName name="z_36KQ9X0131_MO_MA_AddbackDAMargin">Model!$136:$136</definedName>
    <definedName name="z_36KQ9X0131_MO_MA_AddbackSBCMargin">Model!$138:$138</definedName>
    <definedName name="z_36KQ9X0131_MO_MA_AdjustedEBITDAMargin">Model!$140:$140</definedName>
    <definedName name="z_36KQ9X0131_MO_MA_AdjustedEBITMargin">Model!$133:$133</definedName>
    <definedName name="z_36KQ9X0131_MO_MA_AverageFXRate">Model!$317:$317</definedName>
    <definedName name="z_36KQ9X0131_MO_MA_COGSMargin_3">"Deleted"</definedName>
    <definedName name="z_36KQ9X0131_MO_MA_COGSMarginExcludingDA_1">Model!$124:$124</definedName>
    <definedName name="z_36KQ9X0131_MO_MA_COGSMarginIncludingDA">Model!$127:$127</definedName>
    <definedName name="z_36KQ9X0131_MO_MA_consensusestimatesadjustedebitdamargin">Model!$141:$141</definedName>
    <definedName name="z_36KQ9X0131_MO_MA_ConsensusEstimatesAdjustedEBITMargin">Model!$134:$134</definedName>
    <definedName name="z_36KQ9X0131_MO_MA_consensusestimatesgrossmargin">Model!$129:$129</definedName>
    <definedName name="z_36KQ9X0131_MO_MA_EBITDAMargin">Model!$139:$139</definedName>
    <definedName name="z_36KQ9X0131_MO_MA_EBITMargin">Model!$132:$132</definedName>
    <definedName name="z_36KQ9X0131_MO_MA_EoPFXRate">Model!$318:$318</definedName>
    <definedName name="z_36KQ9X0131_MO_MA_GrossMargin_2">"Deleted"</definedName>
    <definedName name="z_36KQ9X0131_MO_MA_GrossMarginExcludingDA">Model!$125:$125</definedName>
    <definedName name="z_36KQ9X0131_MO_MA_GrossMarginIncludingDA">Model!$128:$128</definedName>
    <definedName name="z_36KQ9X0131_MO_MA_RDMargin">"Deleted"</definedName>
    <definedName name="z_36KQ9X0131_MO_MA_SGAMargin">Model!$131:$131</definedName>
    <definedName name="z_36KQ9X0131_MO_MA_StockEoP">Model!$316:$316</definedName>
    <definedName name="z_36KQ9X0131_MO_MA_StockPriceTradingCurAvg">Model!$319:$319</definedName>
    <definedName name="z_36KQ9X0131_MO_OS_Accountspayable">Model!$515:$515</definedName>
    <definedName name="z_36KQ9X0131_MO_OS_AccountspayableYYChange">Model!$522:$522</definedName>
    <definedName name="z_36KQ9X0131_MO_OS_Accountsreceivable">Model!$513:$513</definedName>
    <definedName name="z_36KQ9X0131_MO_OS_AccountsreceivableYYChange">Model!$520:$520</definedName>
    <definedName name="z_36KQ9X0131_MO_OS_Accruedcompensationandbenefits">Model!$517:$517</definedName>
    <definedName name="z_36KQ9X0131_MO_OS_AccruedcompensationandbenefitsYYChange">Model!$524:$524</definedName>
    <definedName name="z_36KQ9X0131_MO_OS_Accruedliabilities">Model!$516:$516</definedName>
    <definedName name="z_36KQ9X0131_MO_OS_AccruedliabilitiesYYChange">Model!$523:$523</definedName>
    <definedName name="z_36KQ9X0131_MO_OS_Amortizationofcapitalizedcurriculumdevelopmentcosts">Model!$84:$84</definedName>
    <definedName name="z_36KQ9X0131_MO_OS_Amortizationofcapitalizedsoftware_3">Model!$81:$81</definedName>
    <definedName name="z_36KQ9X0131_MO_OS_Amortizationofcapitalizedsoftwaredevelopmentinproductdevelopmentexpenses">Model!$79:$79</definedName>
    <definedName name="z_36KQ9X0131_MO_OS_Amortizationofcapitalizedsoftwareininstructionalcostsandservices">Model!$78:$78</definedName>
    <definedName name="z_36KQ9X0131_MO_OS_AmortizationofcapitalizedsoftwareinSGA">Model!$80:$80</definedName>
    <definedName name="z_36KQ9X0131_MO_OS_Amortizationofintangibleassets">Model!$85:$85</definedName>
    <definedName name="z_36KQ9X0131_MO_OS_Amortizationofrightofuseassets">Model!$91:$91</definedName>
    <definedName name="z_36KQ9X0131_MO_OS_Amortizationofsoftware">Model!$83:$83</definedName>
    <definedName name="z_36KQ9X0131_MO_OS_Amortizationofstudentsoftwarecosts">Model!$82:$82</definedName>
    <definedName name="z_36KQ9X0131_MO_OS_CareerLearningAdultrevenue">Model!$30:$30</definedName>
    <definedName name="z_36KQ9X0131_MO_OS_CareerLearningaverageenrollment">Model!$57:$57</definedName>
    <definedName name="z_36KQ9X0131_MO_OS_CareerLearningManagedPublicSchoolProgramsrevenue">Model!$49:$49</definedName>
    <definedName name="z_36KQ9X0131_MO_OS_CareerLearningMiddleHighSchoolrevenue">Model!$29:$29</definedName>
    <definedName name="z_36KQ9X0131_MO_OS_CareerLearningNonmanagedPublicSchoolProgramsrevenue">Model!$50:$50</definedName>
    <definedName name="z_36KQ9X0131_MO_OS_CareerLearningPrivatePaySchoolsandOtherrevenue">Model!$51:$51</definedName>
    <definedName name="z_36KQ9X0131_MO_OS_CareerLearningrevenue">Model!$31:$31</definedName>
    <definedName name="z_36KQ9X0131_MO_OS_CareerLearningrevenueperenrollmentcalculated">Model!$36:$36</definedName>
    <definedName name="z_36KQ9X0131_MO_OS_CareerLearningrevenueperenrollmentgrowthcalculated">Model!$37:$37</definedName>
    <definedName name="z_36KQ9X0131_MO_OS_CareerLearningrevenueperenrollmentgrowthreported">Model!$63:$63</definedName>
    <definedName name="z_36KQ9X0131_MO_OS_CareerLearningrevenueperenrollmentreported">Model!$62:$62</definedName>
    <definedName name="z_36KQ9X0131_MO_OS_CommonstockoutstandingEoP">Model!$240:$240</definedName>
    <definedName name="z_36KQ9X0131_MO_OS_Coverpagecommonstockoutstanding">Model!$248:$248</definedName>
    <definedName name="z_36KQ9X0131_MO_OS_DAininstructionalcostsservices">Model!$75:$75</definedName>
    <definedName name="z_36KQ9X0131_MO_OS_DArelatingtoSGA">Model!$76:$76</definedName>
    <definedName name="z_36KQ9X0131_MO_OS_Dateofcoverpagesharecount">Model!$249:$249</definedName>
    <definedName name="z_36KQ9X0131_MO_OS_Deferredrevenue">Model!$518:$518</definedName>
    <definedName name="z_36KQ9X0131_MO_OS_DeferredrevenueYYChange">Model!$525:$525</definedName>
    <definedName name="z_36KQ9X0131_MO_OS_Dilutedsharecounttobasicsharecountratio">Model!$252:$252</definedName>
    <definedName name="z_36KQ9X0131_MO_OS_Dilutiveshares">Model!$251:$251</definedName>
    <definedName name="z_36KQ9X0131_MO_OS_GeneralEducationaverageenrollment">Model!$56:$56</definedName>
    <definedName name="z_36KQ9X0131_MO_OS_GeneralEducationrevenue">Model!$28:$28</definedName>
    <definedName name="z_36KQ9X0131_MO_OS_GeneralEducationrevenueperenrollmentcalculated">Model!$34:$34</definedName>
    <definedName name="z_36KQ9X0131_MO_OS_GeneralEducationrevenueperenrollmentgrowthcalculated">Model!$35:$35</definedName>
    <definedName name="z_36KQ9X0131_MO_OS_GeneralEducationrevenueperenrollmentgrowthreported">Model!$61:$61</definedName>
    <definedName name="z_36KQ9X0131_MO_OS_GeneralEducationrevenueperenrollmentreported">Model!$60:$60</definedName>
    <definedName name="z_36KQ9X0131_MO_OS_InstitutionalNonmanagedandSoftwareServicesrevenue">Model!$42:$42</definedName>
    <definedName name="z_36KQ9X0131_MO_OS_institutionalsoftwareservices">Model!$111:$111</definedName>
    <definedName name="z_36KQ9X0131_MO_OS_institutionalsoftwareservicesgrowth">Model!$19:$19</definedName>
    <definedName name="z_36KQ9X0131_MO_OS_Interestonleaseliabilities">Model!$92:$92</definedName>
    <definedName name="z_36KQ9X0131_MO_OS_Inventoriesnet">Model!$514:$514</definedName>
    <definedName name="z_36KQ9X0131_MO_OS_InventoriesnetYYChange">Model!$521:$521</definedName>
    <definedName name="z_36KQ9X0131_MO_OS_LessCareerLearningManagedPublicSchoolProgramsrevenue">Model!$43:$43</definedName>
    <definedName name="z_36KQ9X0131_MO_OS_LessCareerLearningNonmanagedPublicSchoolProgramsrevenue">Model!$44:$44</definedName>
    <definedName name="z_36KQ9X0131_MO_OS_LessCareerLearningPrivatePaySchoolsandOtherrevenue">Model!$45:$45</definedName>
    <definedName name="z_36KQ9X0131_MO_OS_LessNonmanagedPublicSchoolPrograms">Model!$70:$70</definedName>
    <definedName name="z_36KQ9X0131_MO_OS_managedpublicavgenrollmentintheperiod">Model!$117:$117</definedName>
    <definedName name="z_36KQ9X0131_MO_OS_ManagedPublicSchoolProgramsenrollment_1">Model!$66:$66</definedName>
    <definedName name="z_36KQ9X0131_MO_OS_managedpublicschoolprogramsenrollmentgrowth">Model!$24:$24</definedName>
    <definedName name="z_36KQ9X0131_MO_OS_managedpublicschoolprogramsrevenue">Model!$109:$109</definedName>
    <definedName name="z_36KQ9X0131_MO_OS_ManagedPublicSchoolProgramsrevenue_2">Model!$40:$40</definedName>
    <definedName name="z_36KQ9X0131_MO_OS_managedpublicschoolprogramsrevenuegrowth">Model!$17:$17</definedName>
    <definedName name="z_36KQ9X0131_MO_OS_NetchangesOldvsNewReporting">Model!$71:$71</definedName>
    <definedName name="z_36KQ9X0131_MO_OS_nonmanagedpublicavgenrollment">Model!$120:$120</definedName>
    <definedName name="z_36KQ9X0131_MO_OS_NonManagedPublicSchoolProgramsenrollment_1">Model!$67:$67</definedName>
    <definedName name="z_36KQ9X0131_MO_OS_nonmanagedpublicschoolprogramsenrollmentgrowth">Model!$25:$25</definedName>
    <definedName name="z_36KQ9X0131_MO_OS_nonmanagedpublicschoolprogramsrevenue">Model!$110:$110</definedName>
    <definedName name="z_36KQ9X0131_MO_OS_nonmanagedpublicschoolprogramsrevenuegrowth">Model!$18:$18</definedName>
    <definedName name="z_36KQ9X0131_MO_OS_Operatingleasecostcalculated">Model!$96:$96</definedName>
    <definedName name="z_36KQ9X0131_MO_OS_Operatingleasecostinstructionalcostsandservices">Model!$94:$94</definedName>
    <definedName name="z_36KQ9X0131_MO_OS_OperatingleasecostSGA">Model!$95:$95</definedName>
    <definedName name="z_36KQ9X0131_MO_OS_PrivatePayenrollment">Model!$69:$69</definedName>
    <definedName name="z_36KQ9X0131_MO_OS_Privatepayschoolandotherrevenue">Model!$113:$113</definedName>
    <definedName name="z_36KQ9X0131_MO_OS_Privatepayschoolandotherrevenuegrowth">Model!$21:$21</definedName>
    <definedName name="z_36KQ9X0131_MO_OS_PrivatePaySchoolsandOtherGalvanizerevenue">Model!$52:$52</definedName>
    <definedName name="z_36KQ9X0131_MO_OS_PrivatePaySchoolsandOtherrevenue">Model!$41:$41</definedName>
    <definedName name="z_36KQ9X0131_MO_OS_QQbasicshareexpansionEoP">Model!$245:$245</definedName>
    <definedName name="z_36KQ9X0131_MO_OS_QQbasicshareexpansionfromdilutivesecurities">Model!$241:$241</definedName>
    <definedName name="z_36KQ9X0131_MO_OS_QQbasicshareexpansionfromshareissuancebuyback">Model!$243:$243</definedName>
    <definedName name="z_36KQ9X0131_MO_OS_Rentexpense">Model!$106:$106</definedName>
    <definedName name="z_36KQ9X0131_MO_OS_revenueperavgenrollmentformanaged">Model!$118:$118</definedName>
    <definedName name="z_36KQ9X0131_MO_OS_revenueperavgenrollmentfornonmanaged">Model!$121:$121</definedName>
    <definedName name="z_36KQ9X0131_MO_OS_Roundingerror">Model!$87:$87</definedName>
    <definedName name="z_36KQ9X0131_MO_OS_Shorttermleasecostcalculated">Model!$99:$99</definedName>
    <definedName name="z_36KQ9X0131_MO_OS_Shorttermleasecostinstructionalcostsandservices">Model!$97:$97</definedName>
    <definedName name="z_36KQ9X0131_MO_OS_ShorttermleasecostSGA">Model!$98:$98</definedName>
    <definedName name="z_36KQ9X0131_MO_OS_Subleaseincomecalculated">Model!$102:$102</definedName>
    <definedName name="z_36KQ9X0131_MO_OS_Subleaseincomeinstructionalcostsandservices">Model!$100:$100</definedName>
    <definedName name="z_36KQ9X0131_MO_OS_SubleaseincomeSGA">Model!$101:$101</definedName>
    <definedName name="z_36KQ9X0131_MO_OS_TotalAmortizationofTotalIntangibles">Model!$86:$86</definedName>
    <definedName name="z_36KQ9X0131_MO_OS_Totalaverageenrollment">Model!$58:$58</definedName>
    <definedName name="z_36KQ9X0131_MO_OS_TotalCareerLearningrevenue">Model!$53:$53</definedName>
    <definedName name="z_36KQ9X0131_MO_OS_TotalDAofPPE">Model!$77:$77</definedName>
    <definedName name="z_36KQ9X0131_MO_OS_TotalDepreciationAmortization">Model!$88:$88</definedName>
    <definedName name="z_36KQ9X0131_MO_OS_TotaldilutedcommonstockoutstandingEoP">Model!$254:$254</definedName>
    <definedName name="z_36KQ9X0131_MO_OS_Totalfinanceleasecostcalculated">Model!$93:$93</definedName>
    <definedName name="z_36KQ9X0131_MO_OS_TotalGeneralEducationrevenue">Model!$46:$46</definedName>
    <definedName name="z_36KQ9X0131_MO_OS_totalinstitutionalrevenue">Model!$112:$112</definedName>
    <definedName name="z_36KQ9X0131_MO_OS_totalinstitutionalrevenuegrowth">Model!$20:$20</definedName>
    <definedName name="z_36KQ9X0131_MO_OS_Totalleasecost">Model!$104:$104</definedName>
    <definedName name="z_36KQ9X0131_MO_OS_TotalNewReportingenrollment">Model!$72:$72</definedName>
    <definedName name="z_36KQ9X0131_MO_OS_TotalOldReportingenrollment">Model!$68:$68</definedName>
    <definedName name="z_36KQ9X0131_MO_OS_Totaloperatingleasecostcalculated">Model!$103:$103</definedName>
    <definedName name="z_36KQ9X0131_MO_OS_totalrevenue">Model!$114:$114</definedName>
    <definedName name="z_36KQ9X0131_MO_OS_Totalrevenue_2">Model!$32:$32</definedName>
    <definedName name="z_36KQ9X0131_MO_OS_TotalRevenueGrowth">Model!$22:$22</definedName>
    <definedName name="z_36KQ9X0131_MO_OS_YYbasicshareexpansionEoP">Model!$246:$246</definedName>
    <definedName name="z_36KQ9X0131_MO_OS_YYbasicshareexpansionfromdilutivesecurities">Model!$242:$242</definedName>
    <definedName name="z_36KQ9X0131_MO_OS_YYbasicshareexpansionfromshareissuancebuyback">Model!$244:$244</definedName>
    <definedName name="z_36KQ9X0131_MO_RIS_AddbackDA">Model!$201:$201</definedName>
    <definedName name="z_36KQ9X0131_MO_RIS_AdjustedEarningsPerShareWAD">Model!$232:$232</definedName>
    <definedName name="z_36KQ9X0131_MO_RIS_AdjustedEBIT_1">Model!$198:$198</definedName>
    <definedName name="z_36KQ9X0131_MO_RIS_AdjustedEBITDA">Model!$205:$205</definedName>
    <definedName name="z_36KQ9X0131_MO_RIS_AdjustedNetIncome">Model!$225:$225</definedName>
    <definedName name="z_36KQ9X0131_MO_RIS_AdjustedSharesOutstandingWAD">Model!$237:$237</definedName>
    <definedName name="z_36KQ9X0131_MO_RIS_AdjustmentsforConvertibleSecurities">Model!$221:$221</definedName>
    <definedName name="z_36KQ9X0131_MO_RIS_AmortizationofIntangibles">Model!$202:$202</definedName>
    <definedName name="z_36KQ9X0131_MO_RIS_COGS_1">Model!$193:$193</definedName>
    <definedName name="z_36KQ9X0131_MO_RIS_consensusestimatesadjustedearningspersharewad">Model!$233:$233</definedName>
    <definedName name="z_36KQ9X0131_MO_RIS_ConsensusEstimatesAdjustedEBIT_1">Model!$199:$199</definedName>
    <definedName name="z_36KQ9X0131_MO_RIS_consensusestimatesadjustedebitda">Model!$206:$206</definedName>
    <definedName name="z_36KQ9X0131_MO_RIS_consensusestimatesnetrevenue">Model!$191:$191</definedName>
    <definedName name="z_36KQ9X0131_MO_RIS_Currenttax">Model!$213:$213</definedName>
    <definedName name="z_36KQ9X0131_MO_RIS_Currenttaxrate">Model!$227:$227</definedName>
    <definedName name="z_36KQ9X0131_MO_RIS_DA">"Deleted"</definedName>
    <definedName name="z_36KQ9X0131_MO_RIS_Deferredtax">Model!$214:$214</definedName>
    <definedName name="z_36KQ9X0131_MO_RIS_Deferredtaxrate">Model!$228:$228</definedName>
    <definedName name="z_36KQ9X0131_MO_RIS_DilutedNetIncometoCommonShareholders">Model!$222:$222</definedName>
    <definedName name="z_36KQ9X0131_MO_RIS_DiscontinuedOperations">Model!$217:$217</definedName>
    <definedName name="z_36KQ9X0131_MO_RIS_EarningsPerShareWAB">Model!$230:$230</definedName>
    <definedName name="z_36KQ9X0131_MO_RIS_EarningsPerShareWAD">Model!$231:$231</definedName>
    <definedName name="z_36KQ9X0131_MO_RIS_EarningstoPreferredandOtherSecurities">Model!$219:$219</definedName>
    <definedName name="z_36KQ9X0131_MO_RIS_EBIT_2">Model!$197:$197</definedName>
    <definedName name="z_36KQ9X0131_MO_RIS_EBITDA_1">Model!$204:$204</definedName>
    <definedName name="z_36KQ9X0131_MO_RIS_EBT">Model!$211:$211</definedName>
    <definedName name="z_36KQ9X0131_MO_RIS_GrossProfit">Model!$194:$194</definedName>
    <definedName name="z_36KQ9X0131_MO_RIS_Incomefromequitymethodinvestments">Model!$216:$216</definedName>
    <definedName name="z_36KQ9X0131_MO_RIS_Interestexpense">Model!$208:$208</definedName>
    <definedName name="z_36KQ9X0131_MO_RIS_NetIncomefromContinuedOperation">Model!$215:$215</definedName>
    <definedName name="z_36KQ9X0131_MO_RIS_NetIncometoCommonShareholders">Model!$220:$220</definedName>
    <definedName name="z_36KQ9X0131_MO_RIS_NetIncometoNCI">Model!$218:$218</definedName>
    <definedName name="z_36KQ9X0131_MO_RIS_NetRevenue">Model!$190:$190</definedName>
    <definedName name="z_36KQ9X0131_MO_RIS_NonGAAPAdjustments">Model!$223:$223</definedName>
    <definedName name="z_36KQ9X0131_MO_RIS_NonGAAPAdjustmentsforDilutiveSecurities">Model!$224:$224</definedName>
    <definedName name="z_36KQ9X0131_MO_RIS_Onetimeitem">Model!$210:$210</definedName>
    <definedName name="z_36KQ9X0131_MO_RIS_Otheritems">Model!$209:$209</definedName>
    <definedName name="z_36KQ9X0131_MO_RIS_RD">"Deleted"</definedName>
    <definedName name="z_36KQ9X0131_MO_RIS_SBC">Model!$203:$203</definedName>
    <definedName name="z_36KQ9X0131_MO_RIS_SGA_1">Model!$196:$196</definedName>
    <definedName name="z_36KQ9X0131_MO_RIS_SharesOutstandingWAB">Model!$235:$235</definedName>
    <definedName name="z_36KQ9X0131_MO_RIS_SharesOutstandingWAD">Model!$236:$236</definedName>
    <definedName name="z_36KQ9X0131_MO_Section_AN_AdjustedNumbers">Model!$164:$164</definedName>
    <definedName name="z_36KQ9X0131_MO_Section_BS_BalanceSheet">Model!$549:$549</definedName>
    <definedName name="z_36KQ9X0131_MO_Section_BS_ModelChecks">Model!$611:$611</definedName>
    <definedName name="z_36KQ9X0131_MO_Section_BSS_BalanceSheetSummary">Model!$283:$283</definedName>
    <definedName name="z_36KQ9X0131_MO_Section_CCFS_CumulativeCashFlowStatement">Model!$326:$326</definedName>
    <definedName name="z_36KQ9X0131_MO_Section_CFS_CashFlowStatement">Model!$418:$418</definedName>
    <definedName name="z_36KQ9X0131_MO_Section_CFSum_CashFlowSummary">Model!$256:$256</definedName>
    <definedName name="z_36KQ9X0131_MO_Section_DAF_DAForecasting">Model!$527:$527</definedName>
    <definedName name="z_36KQ9X0131_MO_Section_GA_GrowthAnalysis">Model!$6:$6</definedName>
    <definedName name="z_36KQ9X0131_MO_Section_IS_IncomeStatement">Model!$143:$143</definedName>
    <definedName name="z_36KQ9X0131_MO_Section_MA_MarginAnalysis">Model!$123:$123</definedName>
    <definedName name="z_36KQ9X0131_MO_Section_OS_ConsolidatedSummary">Model!$27:$27</definedName>
    <definedName name="z_36KQ9X0131_MO_Section_OS_KeyMetricsAdditionalCostBreakdownFS">Model!$74:$74</definedName>
    <definedName name="z_36KQ9X0131_MO_Section_OS_KeyMetricsLeaseCostandRentExpenseFS">Model!$90:$90</definedName>
    <definedName name="z_36KQ9X0131_MO_Section_OS_OperatingStatsEnrollmentDataPR">Model!$116:$116</definedName>
    <definedName name="z_36KQ9X0131_MO_Section_OS_OperatingStatsEnrollmentDataPR_1">Model!$55:$55</definedName>
    <definedName name="z_36KQ9X0131_MO_Section_OS_OperatingStatsOldvsNewEnrollmentPR">Model!$65:$65</definedName>
    <definedName name="z_36KQ9X0131_MO_Section_OS_SegmentedResultsCareerLearningPR">Model!$48:$48</definedName>
    <definedName name="z_36KQ9X0131_MO_Section_OS_SegmentedResultsGeneralEducationPR">Model!$39:$39</definedName>
    <definedName name="z_36KQ9X0131_MO_Section_OS_SegmentedResultsRevenueBreakdownPR">Model!$108:$108</definedName>
    <definedName name="z_36KQ9X0131_MO_Section_OS_ShareCountAnalysis">Model!$239:$239</definedName>
    <definedName name="z_36KQ9X0131_MO_Section_OS_WorkingCapitalForecasting">Model!$512:$512</definedName>
    <definedName name="z_36KQ9X0131_MO_Section_RIS_RevisedIncomeStatement">Model!$189:$189</definedName>
    <definedName name="z_36KQ9X0131_MO_Section_SNA_Canalyst">Model!$731:$731</definedName>
    <definedName name="z_36KQ9X0131_MO_Section_TB_Tables">Model!$633:$633</definedName>
    <definedName name="z_36KQ9X0131_MO_Section_VA_Valuation">Model!$302:$302</definedName>
    <definedName name="z_36KQ9X0131_MO_Unstructured_SNA_AdjustedEarningsPerShareWAD">Model!$652:$652</definedName>
    <definedName name="z_36KQ9X0131_MO_Unstructured_SNA_AdjustedEBIT_1">Model!$651:$651</definedName>
    <definedName name="z_36KQ9X0131_MO_Unstructured_SNA_AdjustedEBITDA">Model!$650:$650</definedName>
    <definedName name="z_36KQ9X0131_MO_Unstructured_SNA_ApplyTradeCurrencyScaling">Model!$718:$718</definedName>
    <definedName name="z_36KQ9X0131_MO_Unstructured_SNA_Avg">Model!$645:$645</definedName>
    <definedName name="z_36KQ9X0131_MO_Unstructured_SNA_Bloomberg">Model!$682:$682</definedName>
    <definedName name="z_36KQ9X0131_MO_Unstructured_SNA_Bloomberg_1">Model!$689:$689</definedName>
    <definedName name="z_36KQ9X0131_MO_Unstructured_SNA_Bloomberg_2">Model!$696:$696</definedName>
    <definedName name="z_36KQ9X0131_MO_Unstructured_SNA_Bloomberg_3">Model!$703:$703</definedName>
    <definedName name="z_36KQ9X0131_MO_Unstructured_SNA_CapitalIQ">Model!$683:$683</definedName>
    <definedName name="z_36KQ9X0131_MO_Unstructured_SNA_CapitalIQ_1">Model!$690:$690</definedName>
    <definedName name="z_36KQ9X0131_MO_Unstructured_SNA_CapitalIQ_2">Model!$697:$697</definedName>
    <definedName name="z_36KQ9X0131_MO_Unstructured_SNA_CapitalIQ_3">Model!$704:$704</definedName>
    <definedName name="z_36KQ9X0131_MO_Unstructured_SNA_ConsensusEstimatesAdjustedEarningsPerShareWAD">Model!$672:$672</definedName>
    <definedName name="z_36KQ9X0131_MO_Unstructured_SNA_ConsensusEstimatesAdjustedEBIT_1">Model!$671:$671</definedName>
    <definedName name="z_36KQ9X0131_MO_Unstructured_SNA_ConsensusEstimatesAdjustedEBITDA">Model!$670:$670</definedName>
    <definedName name="z_36KQ9X0131_MO_Unstructured_SNA_ConsensusEstimatesCapex">Model!$674:$674</definedName>
    <definedName name="z_36KQ9X0131_MO_Unstructured_SNA_ConsensusEstimatesCashFlowPerDilutedShare">Model!$673:$673</definedName>
    <definedName name="z_36KQ9X0131_MO_Unstructured_SNA_ConsensusEstimatesGrossMargin">Model!$668:$668</definedName>
    <definedName name="z_36KQ9X0131_MO_Unstructured_SNA_ConsensusEstimatesNetRevenue">Model!$669:$669</definedName>
    <definedName name="z_36KQ9X0131_MO_Unstructured_SNA_ConsensusEstimateTable">Model!$665:$665</definedName>
    <definedName name="z_36KQ9X0131_MO_Unstructured_SNA_CurrentFiscalYear">Model!$726:$726</definedName>
    <definedName name="z_36KQ9X0131_MO_Unstructured_SNA_DataSourceIndex">Model!$729:$729</definedName>
    <definedName name="z_36KQ9X0131_MO_Unstructured_SNA_EoP">Model!$646:$646</definedName>
    <definedName name="z_36KQ9X0131_MO_Unstructured_SNA_EVEBITDAAvg">Model!$653:$653</definedName>
    <definedName name="z_36KQ9X0131_MO_Unstructured_SNA_FactSet">Model!$684:$684</definedName>
    <definedName name="z_36KQ9X0131_MO_Unstructured_SNA_FactSet_1">Model!$691:$691</definedName>
    <definedName name="z_36KQ9X0131_MO_Unstructured_SNA_FactSet_2">Model!$698:$698</definedName>
    <definedName name="z_36KQ9X0131_MO_Unstructured_SNA_FactSet_3">Model!$705:$705</definedName>
    <definedName name="z_36KQ9X0131_MO_Unstructured_SNA_FirstForecastFiscalYear">Model!$727:$727</definedName>
    <definedName name="z_36KQ9X0131_MO_Unstructured_SNA_FiscalPeriodStartDate">Model!$678:$678</definedName>
    <definedName name="z_36KQ9X0131_MO_Unstructured_SNA_FXAverageRealTimeOffSource">Model!$701:$701</definedName>
    <definedName name="z_36KQ9X0131_MO_Unstructured_SNA_FXEoP">Model!$710:$710</definedName>
    <definedName name="z_36KQ9X0131_MO_Unstructured_SNA_FYorFQ">Model!$666:$666</definedName>
    <definedName name="z_36KQ9X0131_MO_Unstructured_SNA_GeneralTable">Model!$713:$713</definedName>
    <definedName name="z_36KQ9X0131_MO_Unstructured_SNA_High">Model!$643:$643</definedName>
    <definedName name="z_36KQ9X0131_MO_Unstructured_SNA_IsHistoricalPeriod">Model!$679:$679</definedName>
    <definedName name="z_36KQ9X0131_MO_Unstructured_SNA_KeyOutputs">Model!$648:$648</definedName>
    <definedName name="z_36KQ9X0131_MO_Unstructured_SNA_KPICount">Model!$728:$728</definedName>
    <definedName name="z_36KQ9X0131_MO_Unstructured_SNA_KPIData">Model!$657:$657</definedName>
    <definedName name="z_36KQ9X0131_MO_Unstructured_SNA_LastPrice">Model!$714:$714</definedName>
    <definedName name="z_36KQ9X0131_MO_Unstructured_SNA_LastPriceDate">Model!$715:$715</definedName>
    <definedName name="z_36KQ9X0131_MO_Unstructured_SNA_LastPriceFormula">Model!$717:$717</definedName>
    <definedName name="z_36KQ9X0131_MO_Unstructured_SNA_LastWorkingDayInPeriod">Model!$708:$708</definedName>
    <definedName name="z_36KQ9X0131_MO_Unstructured_SNA_Low">Model!$644:$644</definedName>
    <definedName name="z_36KQ9X0131_MO_Unstructured_SNA_LRNN">Model!$640:$640</definedName>
    <definedName name="z_36KQ9X0131_MO_Unstructured_SNA_LRNUS">Model!$637:$637</definedName>
    <definedName name="z_36KQ9X0131_MO_Unstructured_SNA_LRNUS_1">Model!$639:$639</definedName>
    <definedName name="z_36KQ9X0131_MO_Unstructured_SNA_LRNUS_2">Model!$636:$636</definedName>
    <definedName name="z_36KQ9X0131_MO_Unstructured_SNA_ModelSheetCurrencyHardcoded">Model!$721:$721</definedName>
    <definedName name="z_36KQ9X0131_MO_Unstructured_SNA_MOMAEBITDAAdj">Model!$662:$662</definedName>
    <definedName name="z_36KQ9X0131_MO_Unstructured_SNA_MORISEBITDAAdj">Model!$661:$661</definedName>
    <definedName name="z_36KQ9X0131_MO_Unstructured_SNA_MORISEPSWADAdj">Model!$660:$660</definedName>
    <definedName name="z_36KQ9X0131_MO_Unstructured_SNA_MORISNINONGAAPDiluted">Model!$659:$659</definedName>
    <definedName name="z_36KQ9X0131_MO_Unstructured_SNA_MORISREV">Model!$658:$658</definedName>
    <definedName name="z_36KQ9X0131_MO_Unstructured_SNA_MostRecentFiscalPeriodMRFP">Model!$725:$725</definedName>
    <definedName name="z_36KQ9X0131_MO_Unstructured_SNA_MostRecentFX">Model!$722:$722</definedName>
    <definedName name="z_36KQ9X0131_MO_Unstructured_SNA_MostRecentFXHardcoded">Model!$723:$723</definedName>
    <definedName name="z_36KQ9X0131_MO_Unstructured_SNA_MRFPColumnNumber">Model!$724:$724</definedName>
    <definedName name="z_36KQ9X0131_MO_Unstructured_SNA_NetRevenue">Model!$649:$649</definedName>
    <definedName name="z_36KQ9X0131_MO_Unstructured_SNA_NYSELRN">Model!$638:$638</definedName>
    <definedName name="z_36KQ9X0131_MO_Unstructured_SNA_PEAvg">Model!$654:$654</definedName>
    <definedName name="z_36KQ9X0131_MO_Unstructured_SNA_Period">Model!$667:$667</definedName>
    <definedName name="z_36KQ9X0131_MO_Unstructured_SNA_RealTimeOffSource">Model!$681:$681</definedName>
    <definedName name="z_36KQ9X0131_MO_Unstructured_SNA_RealTimeOffSource_1">Model!$688:$688</definedName>
    <definedName name="z_36KQ9X0131_MO_Unstructured_SNA_RealTimeOffSource_2">Model!$695:$695</definedName>
    <definedName name="z_36KQ9X0131_MO_Unstructured_SNA_RealTimeOffSource_3">Model!$702:$702</definedName>
    <definedName name="z_36KQ9X0131_MO_Unstructured_SNA_RealTimeStockPrice">Model!$716:$716</definedName>
    <definedName name="z_36KQ9X0131_MO_Unstructured_SNA_Refinitiv">Model!$685:$685</definedName>
    <definedName name="z_36KQ9X0131_MO_Unstructured_SNA_Refinitiv_1">Model!$692:$692</definedName>
    <definedName name="z_36KQ9X0131_MO_Unstructured_SNA_Refinitiv_2">Model!$699:$699</definedName>
    <definedName name="z_36KQ9X0131_MO_Unstructured_SNA_Refinitiv_3">Model!$706:$706</definedName>
    <definedName name="z_36KQ9X0131_MO_Unstructured_SNA_StockAverageRealTimeOffSource">Model!$694:$694</definedName>
    <definedName name="z_36KQ9X0131_MO_Unstructured_SNA_StockHighRealTimeOffSource">Model!$680:$680</definedName>
    <definedName name="z_36KQ9X0131_MO_Unstructured_SNA_StockLowRealTimeOffSource">Model!$687:$687</definedName>
    <definedName name="z_36KQ9X0131_MO_Unstructured_SNA_StockPriceEoP">Model!$709:$709</definedName>
    <definedName name="z_36KQ9X0131_MO_Unstructured_SNA_StockPriceTable">Model!$677:$677</definedName>
    <definedName name="z_36KQ9X0131_MO_Unstructured_SNA_TickerSymbol">Model!$635:$635</definedName>
    <definedName name="z_36KQ9X0131_MO_Unstructured_SNA_TradeCurrency">Model!$719:$719</definedName>
    <definedName name="z_36KQ9X0131_MO_Unstructured_SNA_TradeCurrencyHardcoded">Model!$720:$720</definedName>
    <definedName name="z_36KQ9X0131_MO_Unstructured_SNA_ValuationToggleTable">Model!$642:$642</definedName>
    <definedName name="z_36KQ9X0131_MO_VA_EnterpriseValueAverage">Model!$305:$305</definedName>
    <definedName name="z_36KQ9X0131_MO_VA_EnterpriseValueAvg">"Deleted"</definedName>
    <definedName name="z_36KQ9X0131_MO_VA_enterprisevaluecomponents">Model!$321:$321</definedName>
    <definedName name="z_36KQ9X0131_MO_VA_EnterpriseValueHigh">"Deleted"</definedName>
    <definedName name="z_36KQ9X0131_MO_VA_EnterpriseValueLow">"Deleted"</definedName>
    <definedName name="z_36KQ9X0131_MO_VA_EVEBITDAAverage">Model!$308:$308</definedName>
    <definedName name="z_36KQ9X0131_MO_VA_FCFYieldtoAverageEnterpriseValue">Model!$311:$311</definedName>
    <definedName name="z_36KQ9X0131_MO_VA_FCFYieldtoAverageMarketCap">Model!$310:$310</definedName>
    <definedName name="z_36KQ9X0131_MO_VA_MarketCapAverage">Model!$304:$304</definedName>
    <definedName name="z_36KQ9X0131_MO_VA_MarketCapAvg">"Deleted"</definedName>
    <definedName name="z_36KQ9X0131_MO_VA_MarketCapHigh">"Deleted"</definedName>
    <definedName name="z_36KQ9X0131_MO_VA_MarketCapLow">"Deleted"</definedName>
    <definedName name="z_36KQ9X0131_MO_VA_NoncontrollingInterest">Model!$322:$322</definedName>
    <definedName name="z_36KQ9X0131_MO_VA_OtherEVComponents">Model!$324:$324</definedName>
    <definedName name="z_36KQ9X0131_MO_VA_PCFAverage">Model!$309:$309</definedName>
    <definedName name="z_36KQ9X0131_MO_VA_PEAverage">Model!$307:$307</definedName>
    <definedName name="z_36KQ9X0131_MO_VA_PreferredShares">Model!$323:$323</definedName>
    <definedName name="z_36KQ9X0131_MO_VA_StockAvg">Model!$315:$315</definedName>
    <definedName name="z_36KQ9X0131_MO_VA_StockHigh">Model!$313:$313</definedName>
    <definedName name="z_36KQ9X0131_MO_VA_StockLow">Model!$314:$314</definedName>
    <definedName name="z_36KQ9X0131_MO_VA_StockPriceAverage">Model!$303:$303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9" i="23" l="1"/>
  <c r="F121" i="23"/>
  <c r="T121" i="23"/>
  <c r="L683" i="1"/>
  <c r="Z683" i="1"/>
  <c r="AN683" i="1"/>
  <c r="BC683" i="1"/>
  <c r="D690" i="1"/>
  <c r="R690" i="1"/>
  <c r="AF690" i="1"/>
  <c r="AT690" i="1"/>
  <c r="BI690" i="1"/>
  <c r="J697" i="1"/>
  <c r="X697" i="1"/>
  <c r="AL697" i="1"/>
  <c r="BA697" i="1"/>
  <c r="BO697" i="1"/>
  <c r="BC697" i="1"/>
  <c r="O683" i="1"/>
  <c r="BF683" i="1"/>
  <c r="G690" i="1"/>
  <c r="BL690" i="1"/>
  <c r="AO697" i="1"/>
  <c r="AX690" i="1"/>
  <c r="AS683" i="1"/>
  <c r="W690" i="1"/>
  <c r="AC697" i="1"/>
  <c r="BF697" i="1"/>
  <c r="AT683" i="1"/>
  <c r="E683" i="1"/>
  <c r="AU683" i="1"/>
  <c r="AS697" i="1"/>
  <c r="BE690" i="1"/>
  <c r="BK697" i="1"/>
  <c r="AK683" i="1"/>
  <c r="AQ690" i="1"/>
  <c r="R121" i="23"/>
  <c r="AD690" i="1"/>
  <c r="K683" i="1"/>
  <c r="Q690" i="1"/>
  <c r="N109" i="23"/>
  <c r="G121" i="23"/>
  <c r="U121" i="23"/>
  <c r="M683" i="1"/>
  <c r="AA683" i="1"/>
  <c r="AO683" i="1"/>
  <c r="BD683" i="1"/>
  <c r="E690" i="1"/>
  <c r="S690" i="1"/>
  <c r="AG690" i="1"/>
  <c r="AU690" i="1"/>
  <c r="BJ690" i="1"/>
  <c r="K697" i="1"/>
  <c r="Y697" i="1"/>
  <c r="AM697" i="1"/>
  <c r="BB697" i="1"/>
  <c r="AN697" i="1"/>
  <c r="W121" i="23"/>
  <c r="AQ683" i="1"/>
  <c r="AI690" i="1"/>
  <c r="M697" i="1"/>
  <c r="BD697" i="1"/>
  <c r="AJ690" i="1"/>
  <c r="N697" i="1"/>
  <c r="AP697" i="1"/>
  <c r="K121" i="23"/>
  <c r="AE683" i="1"/>
  <c r="AK690" i="1"/>
  <c r="AQ697" i="1"/>
  <c r="L121" i="23"/>
  <c r="R683" i="1"/>
  <c r="J690" i="1"/>
  <c r="BA690" i="1"/>
  <c r="AD697" i="1"/>
  <c r="M121" i="23"/>
  <c r="BJ683" i="1"/>
  <c r="C697" i="1"/>
  <c r="AE697" i="1"/>
  <c r="AP690" i="1"/>
  <c r="AV697" i="1"/>
  <c r="W683" i="1"/>
  <c r="BN683" i="1"/>
  <c r="S121" i="23"/>
  <c r="AS690" i="1"/>
  <c r="O109" i="23"/>
  <c r="H121" i="23"/>
  <c r="V121" i="23"/>
  <c r="N683" i="1"/>
  <c r="AB683" i="1"/>
  <c r="AP683" i="1"/>
  <c r="BE683" i="1"/>
  <c r="F690" i="1"/>
  <c r="T690" i="1"/>
  <c r="AH690" i="1"/>
  <c r="AV690" i="1"/>
  <c r="BK690" i="1"/>
  <c r="L697" i="1"/>
  <c r="Z697" i="1"/>
  <c r="I121" i="23"/>
  <c r="AC683" i="1"/>
  <c r="U690" i="1"/>
  <c r="AW690" i="1"/>
  <c r="AA697" i="1"/>
  <c r="V690" i="1"/>
  <c r="AB697" i="1"/>
  <c r="R109" i="23"/>
  <c r="BH683" i="1"/>
  <c r="AZ690" i="1"/>
  <c r="D683" i="1"/>
  <c r="X690" i="1"/>
  <c r="AL690" i="1"/>
  <c r="P697" i="1"/>
  <c r="BG697" i="1"/>
  <c r="S683" i="1"/>
  <c r="K690" i="1"/>
  <c r="AM690" i="1"/>
  <c r="BB690" i="1"/>
  <c r="BH697" i="1"/>
  <c r="F697" i="1"/>
  <c r="C121" i="23"/>
  <c r="AZ683" i="1"/>
  <c r="BA683" i="1"/>
  <c r="H697" i="1"/>
  <c r="BM697" i="1"/>
  <c r="BB683" i="1"/>
  <c r="AE690" i="1"/>
  <c r="W697" i="1"/>
  <c r="P109" i="23"/>
  <c r="Q109" i="23"/>
  <c r="J121" i="23"/>
  <c r="X121" i="23"/>
  <c r="P683" i="1"/>
  <c r="AD683" i="1"/>
  <c r="AR683" i="1"/>
  <c r="BG683" i="1"/>
  <c r="H690" i="1"/>
  <c r="BM690" i="1"/>
  <c r="BE697" i="1"/>
  <c r="C683" i="1"/>
  <c r="Q683" i="1"/>
  <c r="I690" i="1"/>
  <c r="O697" i="1"/>
  <c r="AF683" i="1"/>
  <c r="BI683" i="1"/>
  <c r="BO690" i="1"/>
  <c r="AR697" i="1"/>
  <c r="AG683" i="1"/>
  <c r="Y690" i="1"/>
  <c r="Q697" i="1"/>
  <c r="AB690" i="1"/>
  <c r="T697" i="1"/>
  <c r="AI697" i="1"/>
  <c r="AW697" i="1"/>
  <c r="X683" i="1"/>
  <c r="BO683" i="1"/>
  <c r="V697" i="1"/>
  <c r="AX697" i="1"/>
  <c r="Y683" i="1"/>
  <c r="C690" i="1"/>
  <c r="I697" i="1"/>
  <c r="BN690" i="1"/>
  <c r="S109" i="23"/>
  <c r="T109" i="23"/>
  <c r="U109" i="23"/>
  <c r="N121" i="23"/>
  <c r="F683" i="1"/>
  <c r="T683" i="1"/>
  <c r="AH683" i="1"/>
  <c r="AV683" i="1"/>
  <c r="BK683" i="1"/>
  <c r="L690" i="1"/>
  <c r="Z690" i="1"/>
  <c r="AN690" i="1"/>
  <c r="BC690" i="1"/>
  <c r="D697" i="1"/>
  <c r="R697" i="1"/>
  <c r="AF697" i="1"/>
  <c r="AT697" i="1"/>
  <c r="BI697" i="1"/>
  <c r="AU697" i="1"/>
  <c r="W109" i="23"/>
  <c r="N690" i="1"/>
  <c r="AH697" i="1"/>
  <c r="Q121" i="23"/>
  <c r="AC690" i="1"/>
  <c r="AL683" i="1"/>
  <c r="BG690" i="1"/>
  <c r="AJ697" i="1"/>
  <c r="AM683" i="1"/>
  <c r="BH690" i="1"/>
  <c r="AZ697" i="1"/>
  <c r="V109" i="23"/>
  <c r="O121" i="23"/>
  <c r="G683" i="1"/>
  <c r="U683" i="1"/>
  <c r="AI683" i="1"/>
  <c r="AW683" i="1"/>
  <c r="BL683" i="1"/>
  <c r="M690" i="1"/>
  <c r="AA690" i="1"/>
  <c r="AO690" i="1"/>
  <c r="BD690" i="1"/>
  <c r="E697" i="1"/>
  <c r="S697" i="1"/>
  <c r="AG697" i="1"/>
  <c r="BJ697" i="1"/>
  <c r="P121" i="23"/>
  <c r="H683" i="1"/>
  <c r="V683" i="1"/>
  <c r="AJ683" i="1"/>
  <c r="AX683" i="1"/>
  <c r="BM683" i="1"/>
  <c r="I683" i="1"/>
  <c r="O690" i="1"/>
  <c r="BF690" i="1"/>
  <c r="G697" i="1"/>
  <c r="U697" i="1"/>
  <c r="BL697" i="1"/>
  <c r="J683" i="1"/>
  <c r="P690" i="1"/>
  <c r="AR690" i="1"/>
  <c r="AK697" i="1"/>
  <c r="BN697" i="1"/>
  <c r="D121" i="23"/>
  <c r="E121" i="23"/>
  <c r="E6" i="17"/>
  <c r="E9" i="17"/>
  <c r="M9" i="17"/>
  <c r="O11" i="17"/>
  <c r="Q13" i="17"/>
  <c r="M16" i="17"/>
  <c r="O18" i="17"/>
  <c r="Q20" i="17"/>
  <c r="R20" i="17"/>
  <c r="Q11" i="17"/>
  <c r="M21" i="17"/>
  <c r="P9" i="17"/>
  <c r="R11" i="17"/>
  <c r="P16" i="17"/>
  <c r="O21" i="17"/>
  <c r="P6" i="17"/>
  <c r="P14" i="17"/>
  <c r="R16" i="17"/>
  <c r="P21" i="17"/>
  <c r="Q6" i="17"/>
  <c r="E15" i="17"/>
  <c r="M10" i="17"/>
  <c r="M17" i="17"/>
  <c r="Q21" i="17"/>
  <c r="P12" i="17"/>
  <c r="N17" i="17"/>
  <c r="P19" i="17"/>
  <c r="N20" i="17"/>
  <c r="O20" i="17"/>
  <c r="R22" i="17"/>
  <c r="E7" i="17"/>
  <c r="E10" i="17"/>
  <c r="N9" i="17"/>
  <c r="P11" i="17"/>
  <c r="R13" i="17"/>
  <c r="N16" i="17"/>
  <c r="P18" i="17"/>
  <c r="O9" i="17"/>
  <c r="O16" i="17"/>
  <c r="E12" i="17"/>
  <c r="N14" i="17"/>
  <c r="N21" i="17"/>
  <c r="M19" i="17"/>
  <c r="N12" i="17"/>
  <c r="R17" i="17"/>
  <c r="P20" i="17"/>
  <c r="M6" i="17"/>
  <c r="E11" i="17"/>
  <c r="M14" i="17"/>
  <c r="Q18" i="17"/>
  <c r="N6" i="17"/>
  <c r="R18" i="17"/>
  <c r="Q16" i="17"/>
  <c r="R9" i="17"/>
  <c r="N19" i="17"/>
  <c r="O12" i="17"/>
  <c r="O19" i="17"/>
  <c r="N10" i="17"/>
  <c r="E20" i="17"/>
  <c r="M18" i="17"/>
  <c r="N7" i="17"/>
  <c r="O6" i="17"/>
  <c r="E13" i="17"/>
  <c r="Q9" i="17"/>
  <c r="M12" i="17"/>
  <c r="O14" i="17"/>
  <c r="E14" i="17"/>
  <c r="E18" i="17"/>
  <c r="R19" i="17"/>
  <c r="E19" i="17"/>
  <c r="M13" i="17"/>
  <c r="P7" i="17"/>
  <c r="N13" i="17"/>
  <c r="Q22" i="17"/>
  <c r="Q14" i="17"/>
  <c r="Q19" i="17"/>
  <c r="N15" i="17"/>
  <c r="M22" i="17"/>
  <c r="N22" i="17"/>
  <c r="Q17" i="17"/>
  <c r="R10" i="17"/>
  <c r="P15" i="17"/>
  <c r="P22" i="17"/>
  <c r="R6" i="17"/>
  <c r="E16" i="17"/>
  <c r="R14" i="17"/>
  <c r="R21" i="17"/>
  <c r="R12" i="17"/>
  <c r="M7" i="17"/>
  <c r="E17" i="17"/>
  <c r="O10" i="17"/>
  <c r="Q12" i="17"/>
  <c r="M15" i="17"/>
  <c r="O17" i="17"/>
  <c r="P17" i="17"/>
  <c r="N18" i="17"/>
  <c r="P10" i="17"/>
  <c r="Q10" i="17"/>
  <c r="O15" i="17"/>
  <c r="M20" i="17"/>
  <c r="O22" i="17"/>
  <c r="O7" i="17"/>
  <c r="Q7" i="17"/>
  <c r="E21" i="17"/>
  <c r="M11" i="17"/>
  <c r="O13" i="17"/>
  <c r="Q15" i="17"/>
  <c r="R7" i="17"/>
  <c r="E22" i="17"/>
  <c r="N11" i="17"/>
  <c r="P13" i="17"/>
  <c r="R15" i="17"/>
  <c r="D89" i="12"/>
  <c r="B719" i="1"/>
  <c r="BP704" i="1"/>
  <c r="BQ704" i="1"/>
  <c r="BR704" i="1"/>
  <c r="BS704" i="1"/>
  <c r="B717" i="1"/>
  <c r="U37" i="16"/>
  <c r="T37" i="16"/>
  <c r="S37" i="16"/>
  <c r="R37" i="16"/>
  <c r="Q37" i="16"/>
  <c r="P37" i="16"/>
  <c r="O37" i="16"/>
  <c r="N37" i="16"/>
  <c r="M37" i="16"/>
  <c r="L37" i="16"/>
  <c r="K37" i="16"/>
  <c r="J37" i="16"/>
  <c r="I37" i="16"/>
  <c r="H37" i="16"/>
  <c r="G37" i="16"/>
  <c r="F37" i="16"/>
  <c r="E37" i="16"/>
  <c r="D37" i="16"/>
  <c r="A37" i="16"/>
  <c r="U28" i="16"/>
  <c r="T28" i="16"/>
  <c r="S28" i="16"/>
  <c r="R28" i="16"/>
  <c r="Q28" i="16"/>
  <c r="P28" i="16"/>
  <c r="O28" i="16"/>
  <c r="N28" i="16"/>
  <c r="M28" i="16"/>
  <c r="L28" i="16"/>
  <c r="K28" i="16"/>
  <c r="J28" i="16"/>
  <c r="I28" i="16"/>
  <c r="H28" i="16"/>
  <c r="G28" i="16"/>
  <c r="F28" i="16"/>
  <c r="E28" i="16"/>
  <c r="D28" i="16"/>
  <c r="A28" i="16"/>
  <c r="U15" i="16"/>
  <c r="T15" i="16"/>
  <c r="S15" i="16"/>
  <c r="R15" i="16"/>
  <c r="Q15" i="16"/>
  <c r="P15" i="16"/>
  <c r="O15" i="16"/>
  <c r="N15" i="16"/>
  <c r="M15" i="16"/>
  <c r="L15" i="16"/>
  <c r="K15" i="16"/>
  <c r="J15" i="16"/>
  <c r="I15" i="16"/>
  <c r="H15" i="16"/>
  <c r="G15" i="16"/>
  <c r="F15" i="16"/>
  <c r="E15" i="16"/>
  <c r="D15" i="16"/>
  <c r="U10" i="16"/>
  <c r="T10" i="16"/>
  <c r="S10" i="16"/>
  <c r="R10" i="16"/>
  <c r="Q10" i="16"/>
  <c r="P10" i="16"/>
  <c r="O10" i="16"/>
  <c r="N10" i="16"/>
  <c r="M10" i="16"/>
  <c r="L10" i="16"/>
  <c r="U10" i="12"/>
  <c r="T10" i="12"/>
  <c r="S10" i="12"/>
  <c r="R10" i="12"/>
  <c r="Q10" i="12"/>
  <c r="P10" i="12"/>
  <c r="O10" i="12"/>
  <c r="N10" i="12"/>
  <c r="M10" i="12"/>
  <c r="L10" i="12"/>
  <c r="K10" i="16"/>
  <c r="J10" i="16"/>
  <c r="I10" i="16"/>
  <c r="H10" i="16"/>
  <c r="G10" i="16"/>
  <c r="F10" i="16"/>
  <c r="E10" i="16"/>
  <c r="D10" i="16"/>
  <c r="U37" i="12"/>
  <c r="T37" i="12"/>
  <c r="S37" i="12"/>
  <c r="R37" i="12"/>
  <c r="Q37" i="12"/>
  <c r="P37" i="12"/>
  <c r="O37" i="12"/>
  <c r="N37" i="12"/>
  <c r="M37" i="12"/>
  <c r="L37" i="12"/>
  <c r="K37" i="12"/>
  <c r="I37" i="12"/>
  <c r="H37" i="12"/>
  <c r="G37" i="12"/>
  <c r="F37" i="12"/>
  <c r="E37" i="12"/>
  <c r="D37" i="12"/>
  <c r="J37" i="12"/>
  <c r="U28" i="12"/>
  <c r="T28" i="12"/>
  <c r="S28" i="12"/>
  <c r="R28" i="12"/>
  <c r="Q28" i="12"/>
  <c r="P28" i="12"/>
  <c r="O28" i="12"/>
  <c r="N28" i="12"/>
  <c r="M28" i="12"/>
  <c r="L28" i="12"/>
  <c r="K28" i="12"/>
  <c r="I28" i="12"/>
  <c r="H28" i="12"/>
  <c r="G28" i="12"/>
  <c r="F28" i="12"/>
  <c r="E28" i="12"/>
  <c r="D28" i="12"/>
  <c r="J28" i="12"/>
  <c r="A37" i="12"/>
  <c r="A28" i="12"/>
  <c r="I15" i="12"/>
  <c r="H15" i="12"/>
  <c r="G15" i="12"/>
  <c r="F15" i="12"/>
  <c r="E15" i="12"/>
  <c r="D15" i="12"/>
  <c r="J15" i="12"/>
  <c r="AU65" i="11"/>
  <c r="AT65" i="11"/>
  <c r="AS65" i="11"/>
  <c r="AR65" i="11"/>
  <c r="AQ65" i="11"/>
  <c r="AP65" i="11"/>
  <c r="AO65" i="11"/>
  <c r="AN65" i="11"/>
  <c r="AM65" i="11"/>
  <c r="AL65" i="11"/>
  <c r="AV65" i="11"/>
  <c r="AD65" i="11"/>
  <c r="AC65" i="11"/>
  <c r="AB65" i="11"/>
  <c r="AA65" i="11"/>
  <c r="Z65" i="11"/>
  <c r="Y65" i="11"/>
  <c r="X65" i="11"/>
  <c r="W65" i="11"/>
  <c r="V65" i="11"/>
  <c r="U65" i="11"/>
  <c r="T65" i="11"/>
  <c r="S65" i="11"/>
  <c r="R65" i="11"/>
  <c r="Q65" i="11"/>
  <c r="P65" i="11"/>
  <c r="O65" i="11"/>
  <c r="N65" i="11"/>
  <c r="M65" i="11"/>
  <c r="L65" i="11"/>
  <c r="K65" i="11"/>
  <c r="J65" i="11"/>
  <c r="I65" i="11"/>
  <c r="H65" i="11"/>
  <c r="G65" i="11"/>
  <c r="A65" i="11"/>
  <c r="A51" i="11"/>
  <c r="AV193" i="11"/>
  <c r="AV188" i="11"/>
  <c r="K10" i="12"/>
  <c r="U1" i="16"/>
  <c r="U1" i="15" s="1"/>
  <c r="J3" i="12"/>
  <c r="J3" i="16" s="1"/>
  <c r="J3" i="15" s="1"/>
  <c r="BP683" i="1"/>
  <c r="BS697" i="1"/>
  <c r="BQ683" i="1"/>
  <c r="BR683" i="1"/>
  <c r="BP697" i="1"/>
  <c r="BO704" i="1"/>
  <c r="BN704" i="1"/>
  <c r="BM704" i="1"/>
  <c r="BL704" i="1"/>
  <c r="BK704" i="1"/>
  <c r="BJ704" i="1"/>
  <c r="BI704" i="1"/>
  <c r="BH704" i="1"/>
  <c r="BG704" i="1"/>
  <c r="BF704" i="1"/>
  <c r="BE704" i="1"/>
  <c r="BD704" i="1"/>
  <c r="BC704" i="1"/>
  <c r="BB704" i="1"/>
  <c r="BA704" i="1"/>
  <c r="AZ704" i="1"/>
  <c r="AX704" i="1"/>
  <c r="AW704" i="1"/>
  <c r="AV704" i="1"/>
  <c r="AU704" i="1"/>
  <c r="AT704" i="1"/>
  <c r="AS704" i="1"/>
  <c r="AR704" i="1"/>
  <c r="AQ704" i="1"/>
  <c r="AP704" i="1"/>
  <c r="AO704" i="1"/>
  <c r="AN704" i="1"/>
  <c r="AM704" i="1"/>
  <c r="AL704" i="1"/>
  <c r="AK704" i="1"/>
  <c r="AJ704" i="1"/>
  <c r="AI704" i="1"/>
  <c r="AH704" i="1"/>
  <c r="AG704" i="1"/>
  <c r="AF704" i="1"/>
  <c r="AE704" i="1"/>
  <c r="AD704" i="1"/>
  <c r="AC704" i="1"/>
  <c r="AB704" i="1"/>
  <c r="AA704" i="1"/>
  <c r="Z704" i="1"/>
  <c r="Y704" i="1"/>
  <c r="X704" i="1"/>
  <c r="W704" i="1"/>
  <c r="V704" i="1"/>
  <c r="U704" i="1"/>
  <c r="T704" i="1"/>
  <c r="S704" i="1"/>
  <c r="R704" i="1"/>
  <c r="Q704" i="1"/>
  <c r="P704" i="1"/>
  <c r="O704" i="1"/>
  <c r="N704" i="1"/>
  <c r="M704" i="1"/>
  <c r="L704" i="1"/>
  <c r="K704" i="1"/>
  <c r="J704" i="1"/>
  <c r="I704" i="1"/>
  <c r="H704" i="1"/>
  <c r="G704" i="1"/>
  <c r="F704" i="1"/>
  <c r="E704" i="1"/>
  <c r="D704" i="1"/>
  <c r="C704" i="1"/>
  <c r="BS683" i="1"/>
  <c r="BP690" i="1"/>
  <c r="BQ690" i="1"/>
  <c r="BS690" i="1"/>
  <c r="BR690" i="1"/>
  <c r="BR697" i="1"/>
  <c r="BQ697" i="1"/>
  <c r="D36" i="38" l="1"/>
  <c r="E21" i="38"/>
  <c r="B14" i="38"/>
  <c r="B17" i="38"/>
  <c r="E17" i="38"/>
  <c r="B24" i="38"/>
  <c r="E24" i="38"/>
  <c r="B21" i="38"/>
  <c r="E14" i="38"/>
  <c r="B7" i="38"/>
  <c r="D39" i="38" s="1"/>
  <c r="D41" i="38" s="1"/>
  <c r="B8" i="38" s="1"/>
  <c r="B6" i="38"/>
  <c r="D44" i="38"/>
  <c r="B9" i="38" s="1"/>
  <c r="F1" i="38"/>
  <c r="B10" i="38" l="1"/>
  <c r="D38" i="38"/>
  <c r="D37" i="38" s="1"/>
  <c r="D45" i="38"/>
  <c r="B7" i="36" l="1"/>
  <c r="D37" i="36" s="1"/>
  <c r="D36" i="36" s="1"/>
  <c r="D35" i="36" s="1"/>
  <c r="B6" i="36"/>
  <c r="F1" i="36"/>
  <c r="D48" i="33"/>
  <c r="D49" i="33" s="1"/>
  <c r="D43" i="33"/>
  <c r="K384" i="34"/>
  <c r="F384" i="34"/>
  <c r="K383" i="34"/>
  <c r="AO267" i="34"/>
  <c r="AO266" i="34"/>
  <c r="AO265" i="34"/>
  <c r="B7" i="34"/>
  <c r="B8" i="34" s="1"/>
  <c r="B9" i="34" s="1"/>
  <c r="B10" i="34" s="1"/>
  <c r="B11" i="34" s="1"/>
  <c r="B12" i="34" s="1"/>
  <c r="B13" i="34" s="1"/>
  <c r="B14" i="34" s="1"/>
  <c r="B15" i="34" s="1"/>
  <c r="B16" i="34" s="1"/>
  <c r="B17" i="34" s="1"/>
  <c r="B18" i="34" s="1"/>
  <c r="B19" i="34" s="1"/>
  <c r="B20" i="34" s="1"/>
  <c r="B21" i="34" s="1"/>
  <c r="B22" i="34" s="1"/>
  <c r="B23" i="34" s="1"/>
  <c r="B24" i="34" s="1"/>
  <c r="B25" i="34" s="1"/>
  <c r="B26" i="34" s="1"/>
  <c r="B27" i="34" s="1"/>
  <c r="B28" i="34" s="1"/>
  <c r="B29" i="34" s="1"/>
  <c r="B30" i="34" s="1"/>
  <c r="B31" i="34" s="1"/>
  <c r="B32" i="34" s="1"/>
  <c r="B33" i="34" s="1"/>
  <c r="B34" i="34" s="1"/>
  <c r="B35" i="34" s="1"/>
  <c r="B36" i="34" s="1"/>
  <c r="B37" i="34" s="1"/>
  <c r="B38" i="34" s="1"/>
  <c r="B39" i="34" s="1"/>
  <c r="B40" i="34" s="1"/>
  <c r="B41" i="34" s="1"/>
  <c r="B42" i="34" s="1"/>
  <c r="B43" i="34" s="1"/>
  <c r="B44" i="34" s="1"/>
  <c r="B45" i="34" s="1"/>
  <c r="B46" i="34" s="1"/>
  <c r="B47" i="34" s="1"/>
  <c r="B48" i="34" s="1"/>
  <c r="B49" i="34" s="1"/>
  <c r="B50" i="34" s="1"/>
  <c r="B51" i="34" s="1"/>
  <c r="B52" i="34" s="1"/>
  <c r="B53" i="34" s="1"/>
  <c r="B54" i="34" s="1"/>
  <c r="B55" i="34" s="1"/>
  <c r="B56" i="34" s="1"/>
  <c r="B57" i="34" s="1"/>
  <c r="B58" i="34" s="1"/>
  <c r="B59" i="34" s="1"/>
  <c r="B60" i="34" s="1"/>
  <c r="B61" i="34" s="1"/>
  <c r="B62" i="34" s="1"/>
  <c r="B63" i="34" s="1"/>
  <c r="B64" i="34" s="1"/>
  <c r="B65" i="34" s="1"/>
  <c r="B66" i="34" s="1"/>
  <c r="B67" i="34" s="1"/>
  <c r="B68" i="34" s="1"/>
  <c r="B69" i="34" s="1"/>
  <c r="B70" i="34" s="1"/>
  <c r="B71" i="34" s="1"/>
  <c r="B72" i="34" s="1"/>
  <c r="B73" i="34" s="1"/>
  <c r="B74" i="34" s="1"/>
  <c r="B75" i="34" s="1"/>
  <c r="B76" i="34" s="1"/>
  <c r="B77" i="34" s="1"/>
  <c r="B78" i="34" s="1"/>
  <c r="B79" i="34" s="1"/>
  <c r="B80" i="34" s="1"/>
  <c r="B81" i="34" s="1"/>
  <c r="B82" i="34" s="1"/>
  <c r="B83" i="34" s="1"/>
  <c r="B84" i="34" s="1"/>
  <c r="B85" i="34" s="1"/>
  <c r="B86" i="34" s="1"/>
  <c r="B87" i="34" s="1"/>
  <c r="B88" i="34" s="1"/>
  <c r="B89" i="34" s="1"/>
  <c r="B90"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B135" i="34" s="1"/>
  <c r="B136" i="34" s="1"/>
  <c r="B137" i="34" s="1"/>
  <c r="B138" i="34" s="1"/>
  <c r="B139" i="34" s="1"/>
  <c r="B140" i="34" s="1"/>
  <c r="B141" i="34" s="1"/>
  <c r="B142" i="34" s="1"/>
  <c r="B143" i="34" s="1"/>
  <c r="B144" i="34" s="1"/>
  <c r="B145" i="34" s="1"/>
  <c r="B146" i="34" s="1"/>
  <c r="B147" i="34" s="1"/>
  <c r="B148" i="34" s="1"/>
  <c r="B149" i="34" s="1"/>
  <c r="B150" i="34" s="1"/>
  <c r="B151" i="34" s="1"/>
  <c r="B152" i="34" s="1"/>
  <c r="B153" i="34" s="1"/>
  <c r="B154" i="34" s="1"/>
  <c r="B155" i="34" s="1"/>
  <c r="B156" i="34" s="1"/>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B188" i="34" s="1"/>
  <c r="B189" i="34" s="1"/>
  <c r="B190" i="34" s="1"/>
  <c r="B191" i="34" s="1"/>
  <c r="B192" i="34" s="1"/>
  <c r="B193" i="34" s="1"/>
  <c r="B194" i="34" s="1"/>
  <c r="B195" i="34" s="1"/>
  <c r="B196" i="34" s="1"/>
  <c r="B197" i="34" s="1"/>
  <c r="B198" i="34" s="1"/>
  <c r="B199" i="34" s="1"/>
  <c r="B200" i="34" s="1"/>
  <c r="B201" i="34" s="1"/>
  <c r="B202" i="34" s="1"/>
  <c r="B203" i="34" s="1"/>
  <c r="B204" i="34" s="1"/>
  <c r="B205" i="34" s="1"/>
  <c r="B206" i="34" s="1"/>
  <c r="B207" i="34" s="1"/>
  <c r="B208" i="34" s="1"/>
  <c r="B209" i="34" s="1"/>
  <c r="B210" i="34" s="1"/>
  <c r="B211" i="34" s="1"/>
  <c r="B212" i="34" s="1"/>
  <c r="B213" i="34" s="1"/>
  <c r="B214" i="34" s="1"/>
  <c r="B215" i="34" s="1"/>
  <c r="B216" i="34" s="1"/>
  <c r="B217" i="34" s="1"/>
  <c r="B218" i="34" s="1"/>
  <c r="B219" i="34" s="1"/>
  <c r="B220" i="34" s="1"/>
  <c r="B221" i="34" s="1"/>
  <c r="B222" i="34" s="1"/>
  <c r="B223" i="34" s="1"/>
  <c r="B224" i="34" s="1"/>
  <c r="B225" i="34" s="1"/>
  <c r="B226" i="34" s="1"/>
  <c r="B227" i="34" s="1"/>
  <c r="B228" i="34" s="1"/>
  <c r="B229" i="34" s="1"/>
  <c r="B230" i="34" s="1"/>
  <c r="B231" i="34" s="1"/>
  <c r="B232" i="34" s="1"/>
  <c r="B233" i="34" s="1"/>
  <c r="B234" i="34" s="1"/>
  <c r="B235" i="34" s="1"/>
  <c r="B236" i="34" s="1"/>
  <c r="B237" i="34" s="1"/>
  <c r="B238" i="34" s="1"/>
  <c r="B239" i="34" s="1"/>
  <c r="B240" i="34" s="1"/>
  <c r="B241" i="34" s="1"/>
  <c r="B242" i="34" s="1"/>
  <c r="B243" i="34" s="1"/>
  <c r="B244" i="34" s="1"/>
  <c r="B245" i="34" s="1"/>
  <c r="B246" i="34" s="1"/>
  <c r="B247" i="34" s="1"/>
  <c r="B248" i="34" s="1"/>
  <c r="B249" i="34" s="1"/>
  <c r="B250" i="34" s="1"/>
  <c r="B251" i="34" s="1"/>
  <c r="B252" i="34" s="1"/>
  <c r="B253" i="34" s="1"/>
  <c r="B254" i="34" s="1"/>
  <c r="B255" i="34" s="1"/>
  <c r="B256" i="34" s="1"/>
  <c r="B257" i="34" s="1"/>
  <c r="B258" i="34" s="1"/>
  <c r="B259" i="34" s="1"/>
  <c r="B260" i="34" s="1"/>
  <c r="B261" i="34" s="1"/>
  <c r="B262" i="34" s="1"/>
  <c r="B263" i="34" s="1"/>
  <c r="B264" i="34" s="1"/>
  <c r="B265" i="34" s="1"/>
  <c r="B266" i="34" s="1"/>
  <c r="B267" i="34" s="1"/>
  <c r="B268" i="34" s="1"/>
  <c r="B269" i="34" s="1"/>
  <c r="B270" i="34" s="1"/>
  <c r="B271" i="34" s="1"/>
  <c r="B272" i="34" s="1"/>
  <c r="B273" i="34" s="1"/>
  <c r="B274" i="34" s="1"/>
  <c r="B275" i="34" s="1"/>
  <c r="B276" i="34" s="1"/>
  <c r="B277" i="34" s="1"/>
  <c r="B278" i="34" s="1"/>
  <c r="B279" i="34" s="1"/>
  <c r="B280" i="34" s="1"/>
  <c r="B281" i="34" s="1"/>
  <c r="B282" i="34" s="1"/>
  <c r="B283" i="34" s="1"/>
  <c r="B284" i="34" s="1"/>
  <c r="B285" i="34" s="1"/>
  <c r="B286" i="34" s="1"/>
  <c r="B287" i="34" s="1"/>
  <c r="B288" i="34" s="1"/>
  <c r="B289" i="34" s="1"/>
  <c r="B290" i="34" s="1"/>
  <c r="B291" i="34" s="1"/>
  <c r="B292" i="34" s="1"/>
  <c r="B293" i="34" s="1"/>
  <c r="B294" i="34" s="1"/>
  <c r="B295" i="34" s="1"/>
  <c r="B296" i="34" s="1"/>
  <c r="B297" i="34" s="1"/>
  <c r="B298" i="34" s="1"/>
  <c r="B299" i="34" s="1"/>
  <c r="B300" i="34" s="1"/>
  <c r="B301" i="34" s="1"/>
  <c r="B302" i="34" s="1"/>
  <c r="B303" i="34" s="1"/>
  <c r="B304" i="34" s="1"/>
  <c r="B305" i="34" s="1"/>
  <c r="B306" i="34" s="1"/>
  <c r="B307" i="34" s="1"/>
  <c r="B308" i="34" s="1"/>
  <c r="B309" i="34" s="1"/>
  <c r="B310" i="34" s="1"/>
  <c r="B311" i="34" s="1"/>
  <c r="B312" i="34" s="1"/>
  <c r="B313" i="34" s="1"/>
  <c r="B314" i="34" s="1"/>
  <c r="B315" i="34" s="1"/>
  <c r="B316" i="34" s="1"/>
  <c r="B317" i="34" s="1"/>
  <c r="B318" i="34" s="1"/>
  <c r="B319" i="34" s="1"/>
  <c r="B320" i="34" s="1"/>
  <c r="B321" i="34" s="1"/>
  <c r="B322" i="34" s="1"/>
  <c r="B323" i="34" s="1"/>
  <c r="B324" i="34" s="1"/>
  <c r="B325" i="34" s="1"/>
  <c r="B326" i="34" s="1"/>
  <c r="B327" i="34" s="1"/>
  <c r="B328" i="34" s="1"/>
  <c r="B329" i="34" s="1"/>
  <c r="B330" i="34" s="1"/>
  <c r="B331" i="34" s="1"/>
  <c r="B332" i="34" s="1"/>
  <c r="B333" i="34" s="1"/>
  <c r="B334" i="34" s="1"/>
  <c r="B335" i="34" s="1"/>
  <c r="B336" i="34" s="1"/>
  <c r="B337" i="34" s="1"/>
  <c r="B338" i="34" s="1"/>
  <c r="B339" i="34" s="1"/>
  <c r="B340" i="34" s="1"/>
  <c r="B341" i="34" s="1"/>
  <c r="B342" i="34" s="1"/>
  <c r="B343" i="34" s="1"/>
  <c r="B344" i="34" s="1"/>
  <c r="B345" i="34" s="1"/>
  <c r="B346" i="34" s="1"/>
  <c r="B347" i="34" s="1"/>
  <c r="B348" i="34" s="1"/>
  <c r="B349" i="34" s="1"/>
  <c r="B350" i="34" s="1"/>
  <c r="B351" i="34" s="1"/>
  <c r="B352" i="34" s="1"/>
  <c r="B353" i="34" s="1"/>
  <c r="B354" i="34" s="1"/>
  <c r="B355" i="34" s="1"/>
  <c r="B356" i="34" s="1"/>
  <c r="B357" i="34" s="1"/>
  <c r="B358" i="34" s="1"/>
  <c r="B359" i="34" s="1"/>
  <c r="B360" i="34" s="1"/>
  <c r="B361" i="34" s="1"/>
  <c r="B362" i="34" s="1"/>
  <c r="B363" i="34" s="1"/>
  <c r="B364" i="34" s="1"/>
  <c r="B365" i="34" s="1"/>
  <c r="B366" i="34" s="1"/>
  <c r="B367" i="34" s="1"/>
  <c r="B368" i="34" s="1"/>
  <c r="B369" i="34" s="1"/>
  <c r="B370" i="34" s="1"/>
  <c r="B371" i="34" s="1"/>
  <c r="B372" i="34" s="1"/>
  <c r="B373" i="34" s="1"/>
  <c r="B374" i="34" s="1"/>
  <c r="B375" i="34" s="1"/>
  <c r="B376" i="34" s="1"/>
  <c r="B377" i="34" s="1"/>
  <c r="B378" i="34" s="1"/>
  <c r="B379" i="34" s="1"/>
  <c r="B380" i="34" s="1"/>
  <c r="B381" i="34" s="1"/>
  <c r="B382" i="34" s="1"/>
  <c r="B383" i="34" s="1"/>
  <c r="P5" i="34"/>
  <c r="Q5" i="34" s="1"/>
  <c r="R5" i="34" s="1"/>
  <c r="S5" i="34" s="1"/>
  <c r="T5" i="34" s="1"/>
  <c r="U5" i="34" s="1"/>
  <c r="V5" i="34" s="1"/>
  <c r="W5" i="34" s="1"/>
  <c r="X5" i="34" s="1"/>
  <c r="Y5" i="34" s="1"/>
  <c r="Z5" i="34" s="1"/>
  <c r="B7" i="33"/>
  <c r="D39" i="33" s="1"/>
  <c r="B6" i="33"/>
  <c r="D38" i="33"/>
  <c r="F1" i="33"/>
  <c r="D64" i="32"/>
  <c r="D63" i="32"/>
  <c r="D43" i="36" l="1"/>
  <c r="D42" i="36"/>
  <c r="B9" i="36" s="1"/>
  <c r="D39" i="36"/>
  <c r="B8" i="36" s="1"/>
  <c r="B10" i="36"/>
  <c r="D45" i="33"/>
  <c r="D40" i="33"/>
  <c r="D44" i="33" s="1"/>
  <c r="B9" i="33" s="1"/>
  <c r="B10" i="33"/>
  <c r="D41" i="33" l="1"/>
  <c r="B8" i="33" s="1"/>
  <c r="B6" i="32"/>
  <c r="B7" i="32"/>
  <c r="D54" i="32" s="1"/>
  <c r="D53" i="32"/>
  <c r="F1" i="32"/>
  <c r="D48" i="29"/>
  <c r="U23" i="30"/>
  <c r="R23" i="30"/>
  <c r="S23" i="30" s="1"/>
  <c r="P23" i="30"/>
  <c r="N23" i="30"/>
  <c r="L23" i="30"/>
  <c r="J23" i="30"/>
  <c r="H23" i="30"/>
  <c r="F23" i="30"/>
  <c r="D23" i="30"/>
  <c r="C6" i="30"/>
  <c r="D3" i="30"/>
  <c r="E3" i="30" s="1"/>
  <c r="F3" i="30" s="1"/>
  <c r="G3" i="30" s="1"/>
  <c r="H3" i="30" s="1"/>
  <c r="I3" i="30" s="1"/>
  <c r="J3" i="30" s="1"/>
  <c r="K3" i="30" s="1"/>
  <c r="L3" i="30" s="1"/>
  <c r="M3" i="30" s="1"/>
  <c r="N3" i="30" s="1"/>
  <c r="O3" i="30" s="1"/>
  <c r="P3" i="30" s="1"/>
  <c r="Q3" i="30" s="1"/>
  <c r="R3" i="30" s="1"/>
  <c r="S3" i="30" s="1"/>
  <c r="T3" i="30" s="1"/>
  <c r="U3" i="30" s="1"/>
  <c r="U6" i="30" s="1"/>
  <c r="D60" i="32" l="1"/>
  <c r="D55" i="32"/>
  <c r="D59" i="32" s="1"/>
  <c r="B9" i="32" s="1"/>
  <c r="B10" i="32"/>
  <c r="F6" i="30"/>
  <c r="T6" i="30"/>
  <c r="D6" i="30"/>
  <c r="E6" i="30"/>
  <c r="G6" i="30"/>
  <c r="H6" i="30"/>
  <c r="I6" i="30"/>
  <c r="J6" i="30"/>
  <c r="K6" i="30"/>
  <c r="L6" i="30"/>
  <c r="M6" i="30"/>
  <c r="N6" i="30"/>
  <c r="O6" i="30"/>
  <c r="P6" i="30"/>
  <c r="Q6" i="30"/>
  <c r="R6" i="30"/>
  <c r="S6" i="30"/>
  <c r="D56" i="32" l="1"/>
  <c r="B8" i="32" s="1"/>
  <c r="F1" i="29" l="1"/>
  <c r="B7" i="29"/>
  <c r="D49" i="29" s="1"/>
  <c r="B6" i="29"/>
  <c r="D55" i="29" l="1"/>
  <c r="D50" i="29"/>
  <c r="D54" i="29" s="1"/>
  <c r="B9" i="29" s="1"/>
  <c r="B10" i="29"/>
  <c r="FC77" i="28"/>
  <c r="FB77" i="28"/>
  <c r="FA77" i="28"/>
  <c r="EZ77" i="28"/>
  <c r="EY77" i="28"/>
  <c r="EX77" i="28"/>
  <c r="EW77" i="28"/>
  <c r="EV77" i="28"/>
  <c r="EU77" i="28"/>
  <c r="ET77" i="28"/>
  <c r="ES77" i="28"/>
  <c r="ER77" i="28"/>
  <c r="EQ77" i="28"/>
  <c r="EP77" i="28"/>
  <c r="EO77" i="28"/>
  <c r="EN77" i="28"/>
  <c r="EM77" i="28"/>
  <c r="EL77" i="28"/>
  <c r="EK77" i="28"/>
  <c r="EJ77" i="28"/>
  <c r="EI77" i="28"/>
  <c r="EH77" i="28"/>
  <c r="EG77" i="28"/>
  <c r="BC1" i="28"/>
  <c r="C22" i="28"/>
  <c r="C11" i="28" s="1"/>
  <c r="L83" i="28"/>
  <c r="P83" i="28" s="1"/>
  <c r="T83" i="28" s="1"/>
  <c r="X83" i="28" s="1"/>
  <c r="AB83" i="28" s="1"/>
  <c r="AF83" i="28" s="1"/>
  <c r="AJ83" i="28" s="1"/>
  <c r="AN83" i="28" s="1"/>
  <c r="AR83" i="28" s="1"/>
  <c r="AV83" i="28" s="1"/>
  <c r="AZ83" i="28" s="1"/>
  <c r="K83" i="28"/>
  <c r="O83" i="28" s="1"/>
  <c r="S83" i="28" s="1"/>
  <c r="W83" i="28" s="1"/>
  <c r="AA83" i="28" s="1"/>
  <c r="AE83" i="28" s="1"/>
  <c r="AI83" i="28" s="1"/>
  <c r="AM83" i="28" s="1"/>
  <c r="AQ83" i="28" s="1"/>
  <c r="AU83" i="28" s="1"/>
  <c r="AY83" i="28" s="1"/>
  <c r="BC83" i="28" s="1"/>
  <c r="J83" i="28"/>
  <c r="N83" i="28" s="1"/>
  <c r="R83" i="28" s="1"/>
  <c r="V83" i="28" s="1"/>
  <c r="Z83" i="28" s="1"/>
  <c r="AD83" i="28" s="1"/>
  <c r="AH83" i="28" s="1"/>
  <c r="AL83" i="28" s="1"/>
  <c r="AP83" i="28" s="1"/>
  <c r="AT83" i="28" s="1"/>
  <c r="AX83" i="28" s="1"/>
  <c r="BB83" i="28" s="1"/>
  <c r="I83" i="28"/>
  <c r="M83" i="28" s="1"/>
  <c r="Q83" i="28" s="1"/>
  <c r="U83" i="28" s="1"/>
  <c r="Y83" i="28" s="1"/>
  <c r="AC83" i="28" s="1"/>
  <c r="AG83" i="28" s="1"/>
  <c r="AK83" i="28" s="1"/>
  <c r="AO83" i="28" s="1"/>
  <c r="AS83" i="28" s="1"/>
  <c r="AW83" i="28" s="1"/>
  <c r="BA83" i="28" s="1"/>
  <c r="L82" i="28"/>
  <c r="K82" i="28"/>
  <c r="J82" i="28"/>
  <c r="I82" i="28"/>
  <c r="BC40" i="28"/>
  <c r="FC80" i="28" s="1"/>
  <c r="BB40" i="28"/>
  <c r="FB80" i="28" s="1"/>
  <c r="BA40" i="28"/>
  <c r="AZ40" i="28"/>
  <c r="AY40" i="28"/>
  <c r="EY80" i="28" s="1"/>
  <c r="AX40" i="28"/>
  <c r="EX80" i="28" s="1"/>
  <c r="AW40" i="28"/>
  <c r="EW80" i="28" s="1"/>
  <c r="AV40" i="28"/>
  <c r="EV80" i="28" s="1"/>
  <c r="AU40" i="28"/>
  <c r="EU80" i="28" s="1"/>
  <c r="AT40" i="28"/>
  <c r="ET80" i="28" s="1"/>
  <c r="AS40" i="28"/>
  <c r="AR40" i="28"/>
  <c r="AQ40" i="28"/>
  <c r="AP40" i="28"/>
  <c r="EP80" i="28" s="1"/>
  <c r="AO40" i="28"/>
  <c r="EO80" i="28" s="1"/>
  <c r="AN40" i="28"/>
  <c r="EN80" i="28" s="1"/>
  <c r="AM40" i="28"/>
  <c r="EM80" i="28" s="1"/>
  <c r="AL40" i="28"/>
  <c r="EL80" i="28" s="1"/>
  <c r="AK40" i="28"/>
  <c r="AJ40" i="28"/>
  <c r="AI40" i="28"/>
  <c r="AH40" i="28"/>
  <c r="EH80" i="28" s="1"/>
  <c r="AG40" i="28"/>
  <c r="EG80" i="28" s="1"/>
  <c r="EF80" i="28"/>
  <c r="EE80" i="28"/>
  <c r="ED80" i="28"/>
  <c r="EC80" i="28"/>
  <c r="EB80" i="28"/>
  <c r="EA80" i="28"/>
  <c r="DZ80" i="28"/>
  <c r="DY80" i="28"/>
  <c r="DX80" i="28"/>
  <c r="DW80" i="28"/>
  <c r="DV80" i="28"/>
  <c r="DU80" i="28"/>
  <c r="DT80" i="28"/>
  <c r="DS80" i="28"/>
  <c r="DR80" i="28"/>
  <c r="DQ80" i="28"/>
  <c r="DP80" i="28"/>
  <c r="DO80" i="28"/>
  <c r="DN80" i="28"/>
  <c r="DM80" i="28"/>
  <c r="DL80" i="28"/>
  <c r="DK80" i="28"/>
  <c r="DJ80" i="28"/>
  <c r="DI80" i="28"/>
  <c r="DH80" i="28"/>
  <c r="DG80" i="28"/>
  <c r="DF80" i="28"/>
  <c r="DE80" i="28"/>
  <c r="DD80" i="28"/>
  <c r="DC80" i="28"/>
  <c r="DB80" i="28"/>
  <c r="DA80" i="28"/>
  <c r="CZ80" i="28"/>
  <c r="CY80" i="28"/>
  <c r="CX80" i="28"/>
  <c r="CW80" i="28"/>
  <c r="CV80" i="28"/>
  <c r="CU80" i="28"/>
  <c r="CT80" i="28"/>
  <c r="CS80" i="28"/>
  <c r="CR80" i="28"/>
  <c r="CQ80" i="28"/>
  <c r="CP80" i="28"/>
  <c r="CO80" i="28"/>
  <c r="CN80" i="28"/>
  <c r="CM80" i="28"/>
  <c r="CL80" i="28"/>
  <c r="CK80" i="28"/>
  <c r="CJ80" i="28"/>
  <c r="CI80" i="28"/>
  <c r="CH80" i="28"/>
  <c r="CG80" i="28"/>
  <c r="CF80" i="28"/>
  <c r="CE80" i="28"/>
  <c r="CD80" i="28"/>
  <c r="CC80" i="28"/>
  <c r="CB80" i="28"/>
  <c r="CA80" i="28"/>
  <c r="BZ80" i="28"/>
  <c r="BY80" i="28"/>
  <c r="BX80" i="28"/>
  <c r="BW80" i="28"/>
  <c r="BV80" i="28"/>
  <c r="BU80" i="28"/>
  <c r="BT80" i="28"/>
  <c r="BS80" i="28"/>
  <c r="BR80" i="28"/>
  <c r="BQ80" i="28"/>
  <c r="BP80" i="28"/>
  <c r="BO80" i="28"/>
  <c r="BN80" i="28"/>
  <c r="BM80" i="28"/>
  <c r="BL80" i="28"/>
  <c r="BK80" i="28"/>
  <c r="BJ80" i="28"/>
  <c r="BI80" i="28"/>
  <c r="BH80" i="28"/>
  <c r="BG80" i="28"/>
  <c r="BF80" i="28"/>
  <c r="BE80" i="28"/>
  <c r="BD80" i="28"/>
  <c r="BC80" i="28"/>
  <c r="BB80" i="28"/>
  <c r="BA80" i="28"/>
  <c r="AZ80" i="28"/>
  <c r="AY80" i="28"/>
  <c r="AX80" i="28"/>
  <c r="AW80" i="28"/>
  <c r="AV80" i="28"/>
  <c r="AU80" i="28"/>
  <c r="AT80" i="28"/>
  <c r="AS80" i="28"/>
  <c r="AR80" i="28"/>
  <c r="AQ80" i="28"/>
  <c r="AP80" i="28"/>
  <c r="AO80" i="28"/>
  <c r="AN80" i="28"/>
  <c r="AM80" i="28"/>
  <c r="AL80" i="28"/>
  <c r="AK80" i="28"/>
  <c r="AJ80" i="28"/>
  <c r="AI80" i="28"/>
  <c r="AH80" i="28"/>
  <c r="AG80" i="28"/>
  <c r="AF80" i="28"/>
  <c r="AE80" i="28"/>
  <c r="AD80" i="28"/>
  <c r="AC80" i="28"/>
  <c r="AB80" i="28"/>
  <c r="AA80" i="28"/>
  <c r="Z80" i="28"/>
  <c r="Y80" i="28"/>
  <c r="X80" i="28"/>
  <c r="W80" i="28"/>
  <c r="V80" i="28"/>
  <c r="U80" i="28"/>
  <c r="T80" i="28"/>
  <c r="S80" i="28"/>
  <c r="R80" i="28"/>
  <c r="Q80" i="28"/>
  <c r="P80" i="28"/>
  <c r="O80" i="28"/>
  <c r="N80" i="28"/>
  <c r="M80" i="28"/>
  <c r="L80" i="28"/>
  <c r="K80" i="28"/>
  <c r="J80" i="28"/>
  <c r="I80" i="28"/>
  <c r="H80" i="28"/>
  <c r="G80" i="28"/>
  <c r="F80" i="28"/>
  <c r="E80" i="28"/>
  <c r="AH7" i="28"/>
  <c r="AI7" i="28" s="1"/>
  <c r="AJ7" i="28" s="1"/>
  <c r="AK7" i="28" s="1"/>
  <c r="AL7" i="28" s="1"/>
  <c r="AM7" i="28" s="1"/>
  <c r="AN7" i="28" s="1"/>
  <c r="AO7" i="28" s="1"/>
  <c r="AP7" i="28" s="1"/>
  <c r="AQ7" i="28" s="1"/>
  <c r="AR7" i="28" s="1"/>
  <c r="H16" i="28"/>
  <c r="G16" i="28"/>
  <c r="F16" i="28"/>
  <c r="E16" i="28"/>
  <c r="F1" i="27"/>
  <c r="A171" i="11"/>
  <c r="AI170" i="11"/>
  <c r="AH170" i="11"/>
  <c r="AG170" i="11"/>
  <c r="AF170" i="11"/>
  <c r="A170" i="11"/>
  <c r="C4" i="16"/>
  <c r="C4" i="15" s="1"/>
  <c r="C4" i="12"/>
  <c r="D51" i="29" l="1"/>
  <c r="B8" i="29" s="1"/>
  <c r="AX81" i="28"/>
  <c r="BF81" i="28"/>
  <c r="BN81" i="28"/>
  <c r="CD81" i="28"/>
  <c r="CL81" i="28"/>
  <c r="CT81" i="28"/>
  <c r="DB81" i="28"/>
  <c r="DJ81" i="28"/>
  <c r="DR81" i="28"/>
  <c r="DZ81" i="28"/>
  <c r="EH81" i="28"/>
  <c r="EP81" i="28"/>
  <c r="EX81" i="28"/>
  <c r="K16" i="28"/>
  <c r="AZ41" i="28"/>
  <c r="AJ41" i="28"/>
  <c r="AR41" i="28"/>
  <c r="AU81" i="28"/>
  <c r="BC81" i="28"/>
  <c r="BK81" i="28"/>
  <c r="CA81" i="28"/>
  <c r="CI81" i="28"/>
  <c r="CQ81" i="28"/>
  <c r="CY81" i="28"/>
  <c r="DG81" i="28"/>
  <c r="DO81" i="28"/>
  <c r="DW81" i="28"/>
  <c r="BI81" i="28"/>
  <c r="EM81" i="28"/>
  <c r="AK41" i="28"/>
  <c r="AV81" i="28"/>
  <c r="BD81" i="28"/>
  <c r="BL81" i="28"/>
  <c r="BT81" i="28"/>
  <c r="CJ81" i="28"/>
  <c r="CR81" i="28"/>
  <c r="CZ81" i="28"/>
  <c r="DH81" i="28"/>
  <c r="DP81" i="28"/>
  <c r="DX81" i="28"/>
  <c r="EF81" i="28"/>
  <c r="EN81" i="28"/>
  <c r="I16" i="28"/>
  <c r="ER80" i="28"/>
  <c r="ER81" i="28" s="1"/>
  <c r="AS41" i="28"/>
  <c r="AW81" i="28"/>
  <c r="BE81" i="28"/>
  <c r="BM81" i="28"/>
  <c r="CC81" i="28"/>
  <c r="CK81" i="28"/>
  <c r="CS81" i="28"/>
  <c r="DA81" i="28"/>
  <c r="DI81" i="28"/>
  <c r="DQ81" i="28"/>
  <c r="DY81" i="28"/>
  <c r="EG81" i="28"/>
  <c r="EO81" i="28"/>
  <c r="AB17" i="28"/>
  <c r="BC41" i="28"/>
  <c r="BA41" i="28"/>
  <c r="AY81" i="28"/>
  <c r="BG81" i="28"/>
  <c r="BO81" i="28"/>
  <c r="BW81" i="28"/>
  <c r="CE81" i="28"/>
  <c r="CM81" i="28"/>
  <c r="CU81" i="28"/>
  <c r="DC81" i="28"/>
  <c r="DK81" i="28"/>
  <c r="DS81" i="28"/>
  <c r="AI41" i="28"/>
  <c r="AQ41" i="28"/>
  <c r="AY41" i="28"/>
  <c r="EZ80" i="28"/>
  <c r="EZ81" i="28" s="1"/>
  <c r="AZ81" i="28"/>
  <c r="BH81" i="28"/>
  <c r="BP81" i="28"/>
  <c r="BX81" i="28"/>
  <c r="CF81" i="28"/>
  <c r="CN81" i="28"/>
  <c r="CV81" i="28"/>
  <c r="DD81" i="28"/>
  <c r="DL81" i="28"/>
  <c r="DT81" i="28"/>
  <c r="AL41" i="28"/>
  <c r="AS81" i="28"/>
  <c r="BA81" i="28"/>
  <c r="AM41" i="28"/>
  <c r="BQ81" i="28"/>
  <c r="BY81" i="28"/>
  <c r="CG81" i="28"/>
  <c r="CO81" i="28"/>
  <c r="AK17" i="28"/>
  <c r="DE81" i="28"/>
  <c r="DM81" i="28"/>
  <c r="DU81" i="28"/>
  <c r="AT81" i="28"/>
  <c r="BB81" i="28"/>
  <c r="BJ81" i="28"/>
  <c r="BR81" i="28"/>
  <c r="BZ81" i="28"/>
  <c r="CP81" i="28"/>
  <c r="CX81" i="28"/>
  <c r="DF81" i="28"/>
  <c r="DN81" i="28"/>
  <c r="DV81" i="28"/>
  <c r="EL81" i="28"/>
  <c r="EI80" i="28"/>
  <c r="EI81" i="28" s="1"/>
  <c r="AT41" i="28"/>
  <c r="BU81" i="28"/>
  <c r="EJ80" i="28"/>
  <c r="EJ81" i="28" s="1"/>
  <c r="AU41" i="28"/>
  <c r="AD17" i="28"/>
  <c r="EQ80" i="28"/>
  <c r="EQ81" i="28" s="1"/>
  <c r="BB41" i="28"/>
  <c r="FB81" i="28"/>
  <c r="ET81" i="28"/>
  <c r="CB81" i="28"/>
  <c r="EK80" i="28"/>
  <c r="EK81" i="28" s="1"/>
  <c r="ES80" i="28"/>
  <c r="ES81" i="28" s="1"/>
  <c r="FA80" i="28"/>
  <c r="FA81" i="28" s="1"/>
  <c r="BV81" i="28"/>
  <c r="AN41" i="28"/>
  <c r="AV41" i="28"/>
  <c r="AO41" i="28"/>
  <c r="AW41" i="28"/>
  <c r="AH41" i="28"/>
  <c r="AP41" i="28"/>
  <c r="AX41" i="28"/>
  <c r="CW81" i="28"/>
  <c r="P17" i="28"/>
  <c r="AF17" i="28"/>
  <c r="CH81" i="28"/>
  <c r="EY81" i="28"/>
  <c r="AA17" i="28"/>
  <c r="BS81" i="28"/>
  <c r="O17" i="28"/>
  <c r="N17" i="28"/>
  <c r="Y17" i="28"/>
  <c r="AQ17" i="28"/>
  <c r="V17" i="28"/>
  <c r="H17" i="28"/>
  <c r="Z17" i="28"/>
  <c r="L16" i="28"/>
  <c r="K17" i="28"/>
  <c r="AG17" i="28"/>
  <c r="S17" i="28"/>
  <c r="I17" i="28"/>
  <c r="AO17" i="28"/>
  <c r="U17" i="28"/>
  <c r="T17" i="28"/>
  <c r="AE17" i="28"/>
  <c r="J17" i="28"/>
  <c r="AP17" i="28"/>
  <c r="J16" i="28"/>
  <c r="E17" i="28"/>
  <c r="W17" i="28"/>
  <c r="X17" i="28"/>
  <c r="AZ17" i="28"/>
  <c r="BB17" i="28"/>
  <c r="AJ17" i="28"/>
  <c r="BA17" i="28"/>
  <c r="EC81" i="28"/>
  <c r="ED81" i="28"/>
  <c r="AH42" i="28"/>
  <c r="EB81" i="28"/>
  <c r="AI17" i="28"/>
  <c r="AI42" i="28"/>
  <c r="AL42" i="28"/>
  <c r="F17" i="28"/>
  <c r="AL17" i="28"/>
  <c r="Q17" i="28"/>
  <c r="AK42" i="28"/>
  <c r="G17" i="28"/>
  <c r="AM17" i="28"/>
  <c r="R17" i="28"/>
  <c r="BB42" i="28"/>
  <c r="EA81" i="28"/>
  <c r="AT42" i="28"/>
  <c r="AN42" i="28"/>
  <c r="AU42" i="28"/>
  <c r="AX17" i="28"/>
  <c r="BC42" i="28"/>
  <c r="AO42" i="28"/>
  <c r="AW17" i="28"/>
  <c r="AC17" i="28"/>
  <c r="AW42" i="28"/>
  <c r="AQ42" i="28"/>
  <c r="AR42" i="28"/>
  <c r="AN17" i="28"/>
  <c r="AX42" i="28"/>
  <c r="AY17" i="28"/>
  <c r="L17" i="28"/>
  <c r="AR17" i="28"/>
  <c r="AY42" i="28"/>
  <c r="AH17" i="28"/>
  <c r="AZ42" i="28"/>
  <c r="M17" i="28"/>
  <c r="AS17" i="28"/>
  <c r="AS18" i="28" s="1"/>
  <c r="BA42" i="28"/>
  <c r="BC17" i="28"/>
  <c r="AV17" i="28"/>
  <c r="AP42" i="28"/>
  <c r="AM42" i="28"/>
  <c r="AU17" i="28"/>
  <c r="AJ42" i="28"/>
  <c r="AT17" i="28"/>
  <c r="EE81" i="28"/>
  <c r="AG42" i="28"/>
  <c r="M82" i="28"/>
  <c r="N82" i="28"/>
  <c r="O82" i="28"/>
  <c r="P82" i="28"/>
  <c r="AV42" i="28"/>
  <c r="AS42" i="28"/>
  <c r="AW18" i="28" l="1"/>
  <c r="AL18" i="28"/>
  <c r="AI18" i="28"/>
  <c r="AQ18" i="28"/>
  <c r="BC18" i="28"/>
  <c r="BB18" i="28"/>
  <c r="AU18" i="28"/>
  <c r="AZ18" i="28"/>
  <c r="AP18" i="28"/>
  <c r="AG18" i="28"/>
  <c r="AY18" i="28"/>
  <c r="BA18" i="28"/>
  <c r="AM19" i="28"/>
  <c r="AM18" i="28"/>
  <c r="AJ18" i="28"/>
  <c r="AT19" i="28"/>
  <c r="AT18" i="28"/>
  <c r="AN18" i="28"/>
  <c r="AX18" i="28"/>
  <c r="AO18" i="28"/>
  <c r="AH18" i="28"/>
  <c r="AK18" i="28"/>
  <c r="AV18" i="28"/>
  <c r="AR18" i="28"/>
  <c r="AY19" i="28"/>
  <c r="BA19" i="28"/>
  <c r="AF20" i="28"/>
  <c r="AG20" i="28"/>
  <c r="AD20" i="28"/>
  <c r="AO20" i="28"/>
  <c r="U20" i="28"/>
  <c r="O20" i="28"/>
  <c r="AS19" i="28"/>
  <c r="AJ19" i="28"/>
  <c r="AW19" i="28"/>
  <c r="EV81" i="28"/>
  <c r="AQ19" i="28"/>
  <c r="AB20" i="28"/>
  <c r="S20" i="28"/>
  <c r="EU81" i="28"/>
  <c r="AK20" i="28"/>
  <c r="AP19" i="28"/>
  <c r="FC81" i="28"/>
  <c r="I20" i="28"/>
  <c r="AC20" i="28"/>
  <c r="AU20" i="28"/>
  <c r="AU19" i="28"/>
  <c r="AH19" i="28"/>
  <c r="R20" i="28"/>
  <c r="N20" i="28"/>
  <c r="AP20" i="28"/>
  <c r="AL19" i="28"/>
  <c r="W20" i="28"/>
  <c r="AM8" i="28"/>
  <c r="EW81" i="28"/>
  <c r="AV19" i="28"/>
  <c r="AR20" i="28"/>
  <c r="AR19" i="28"/>
  <c r="AN19" i="28"/>
  <c r="AX19" i="28"/>
  <c r="J20" i="28"/>
  <c r="BB19" i="28"/>
  <c r="T20" i="28"/>
  <c r="AL8" i="28"/>
  <c r="BC19" i="28"/>
  <c r="AI19" i="28"/>
  <c r="AZ19" i="28"/>
  <c r="Y20" i="28"/>
  <c r="AK19" i="28"/>
  <c r="AO19" i="28"/>
  <c r="Z20" i="28"/>
  <c r="L20" i="28"/>
  <c r="AE20" i="28"/>
  <c r="AS20" i="28"/>
  <c r="K20" i="28"/>
  <c r="M20" i="28"/>
  <c r="AA20" i="28"/>
  <c r="AN20" i="28"/>
  <c r="AT20" i="28"/>
  <c r="AJ20" i="28"/>
  <c r="AI20" i="28"/>
  <c r="BB20" i="28"/>
  <c r="AK8" i="28"/>
  <c r="BA20" i="28"/>
  <c r="AM20" i="28"/>
  <c r="X20" i="28"/>
  <c r="V20" i="28"/>
  <c r="AG8" i="28"/>
  <c r="AZ20" i="28"/>
  <c r="AN8" i="28"/>
  <c r="AX20" i="28"/>
  <c r="AQ20" i="28"/>
  <c r="AO8" i="28"/>
  <c r="AH8" i="28"/>
  <c r="AR8" i="28"/>
  <c r="AJ8" i="28"/>
  <c r="P20" i="28"/>
  <c r="AV20" i="28"/>
  <c r="BC20" i="28"/>
  <c r="AH20" i="28"/>
  <c r="AL20" i="28"/>
  <c r="AW20" i="28"/>
  <c r="AP8" i="28"/>
  <c r="Q20" i="28"/>
  <c r="AI8" i="28"/>
  <c r="AQ8" i="28"/>
  <c r="T82" i="28"/>
  <c r="P16" i="28"/>
  <c r="O16" i="28"/>
  <c r="S82" i="28"/>
  <c r="N16" i="28"/>
  <c r="R82" i="28"/>
  <c r="M16" i="28"/>
  <c r="Q82" i="28"/>
  <c r="AY20" i="28"/>
  <c r="B1" i="26"/>
  <c r="A25" i="26"/>
  <c r="B24" i="26"/>
  <c r="B16" i="26"/>
  <c r="B9" i="26"/>
  <c r="B11" i="26"/>
  <c r="B13" i="26" s="1"/>
  <c r="B42" i="26" s="1"/>
  <c r="B6" i="26"/>
  <c r="AL9" i="28" l="1"/>
  <c r="AP9" i="28"/>
  <c r="AM9" i="28"/>
  <c r="AN9" i="28"/>
  <c r="AK9" i="28"/>
  <c r="AO9" i="28"/>
  <c r="AH9" i="28"/>
  <c r="AI9" i="28"/>
  <c r="AQ9" i="28"/>
  <c r="AJ9" i="28"/>
  <c r="AR9" i="28"/>
  <c r="Q16" i="28"/>
  <c r="U82" i="28"/>
  <c r="V82" i="28"/>
  <c r="R16" i="28"/>
  <c r="W82" i="28"/>
  <c r="S16" i="28"/>
  <c r="X82" i="28"/>
  <c r="T16" i="28"/>
  <c r="B35" i="26"/>
  <c r="B36" i="26" s="1"/>
  <c r="B37" i="26" s="1"/>
  <c r="B18" i="26"/>
  <c r="Z82" i="28" l="1"/>
  <c r="V16" i="28"/>
  <c r="Y82" i="28"/>
  <c r="U16" i="28"/>
  <c r="AB82" i="28"/>
  <c r="X16" i="28"/>
  <c r="AA82" i="28"/>
  <c r="W16" i="28"/>
  <c r="AC82" i="28" l="1"/>
  <c r="Y16" i="28"/>
  <c r="AE82" i="28"/>
  <c r="AA16" i="28"/>
  <c r="AF82" i="28"/>
  <c r="AB16" i="28"/>
  <c r="AD82" i="28"/>
  <c r="Z16" i="28"/>
  <c r="AH82" i="28" l="1"/>
  <c r="AH16" i="28" s="1"/>
  <c r="AD16" i="28"/>
  <c r="AJ82" i="28"/>
  <c r="AJ16" i="28" s="1"/>
  <c r="AF16" i="28"/>
  <c r="AI82" i="28"/>
  <c r="AI16" i="28" s="1"/>
  <c r="AE16" i="28"/>
  <c r="AG82" i="28"/>
  <c r="AG16" i="28" s="1"/>
  <c r="AC16" i="28"/>
  <c r="AK82" i="28" l="1"/>
  <c r="AK16" i="28" s="1"/>
  <c r="AM82" i="28"/>
  <c r="AM16" i="28" s="1"/>
  <c r="AN82" i="28"/>
  <c r="AN16" i="28" s="1"/>
  <c r="AL82" i="28"/>
  <c r="AL16" i="28" s="1"/>
  <c r="W63" i="23"/>
  <c r="V63" i="23"/>
  <c r="U63" i="23"/>
  <c r="T63" i="23"/>
  <c r="S63" i="23"/>
  <c r="R63" i="23"/>
  <c r="Q63" i="23"/>
  <c r="P63" i="23"/>
  <c r="O63" i="23"/>
  <c r="N63" i="23"/>
  <c r="M63" i="23"/>
  <c r="L63" i="23"/>
  <c r="K63" i="23"/>
  <c r="J63" i="23"/>
  <c r="I63" i="23"/>
  <c r="H63" i="23"/>
  <c r="G63" i="23"/>
  <c r="F63" i="23"/>
  <c r="E63" i="23"/>
  <c r="D63" i="23"/>
  <c r="C63" i="23"/>
  <c r="X63" i="23"/>
  <c r="AP82" i="28" l="1"/>
  <c r="AP16" i="28" s="1"/>
  <c r="AR82" i="28"/>
  <c r="AR16" i="28" s="1"/>
  <c r="AQ82" i="28"/>
  <c r="AQ16" i="28" s="1"/>
  <c r="AO82" i="28"/>
  <c r="AO16" i="28" s="1"/>
  <c r="A117" i="23"/>
  <c r="A80" i="23"/>
  <c r="A79" i="23"/>
  <c r="A78" i="23"/>
  <c r="A83" i="23"/>
  <c r="X89" i="23"/>
  <c r="W89" i="23"/>
  <c r="V89" i="23"/>
  <c r="U89" i="23"/>
  <c r="T89" i="23"/>
  <c r="S89" i="23"/>
  <c r="R89" i="23"/>
  <c r="Q89" i="23"/>
  <c r="P89" i="23"/>
  <c r="O89" i="23"/>
  <c r="N89" i="23"/>
  <c r="M89" i="23"/>
  <c r="L89" i="23"/>
  <c r="K89" i="23"/>
  <c r="J89" i="23"/>
  <c r="I89" i="23"/>
  <c r="H89" i="23"/>
  <c r="G89" i="23"/>
  <c r="F89" i="23"/>
  <c r="E89" i="23"/>
  <c r="D89" i="23"/>
  <c r="C89" i="23"/>
  <c r="AV82" i="28" l="1"/>
  <c r="AV16" i="28" s="1"/>
  <c r="AT82" i="28"/>
  <c r="AT16" i="28" s="1"/>
  <c r="AS82" i="28"/>
  <c r="AS16" i="28" s="1"/>
  <c r="AU82" i="28"/>
  <c r="AU16" i="28" s="1"/>
  <c r="Z89" i="23"/>
  <c r="K73" i="23"/>
  <c r="J73" i="23"/>
  <c r="M73" i="23"/>
  <c r="L73" i="23"/>
  <c r="W73" i="23"/>
  <c r="V73" i="23"/>
  <c r="U73" i="23"/>
  <c r="T73" i="23"/>
  <c r="S73" i="23"/>
  <c r="R73" i="23"/>
  <c r="Q73" i="23"/>
  <c r="P73" i="23"/>
  <c r="O73" i="23"/>
  <c r="N73" i="23"/>
  <c r="X73" i="23"/>
  <c r="X67" i="23"/>
  <c r="W67" i="23"/>
  <c r="V67" i="23"/>
  <c r="U67" i="23"/>
  <c r="T67" i="23"/>
  <c r="S67" i="23"/>
  <c r="R67" i="23"/>
  <c r="Q67" i="23"/>
  <c r="P67" i="23"/>
  <c r="O67" i="23"/>
  <c r="N67" i="23"/>
  <c r="M67" i="23"/>
  <c r="L67" i="23"/>
  <c r="K67" i="23"/>
  <c r="J67" i="23"/>
  <c r="I67" i="23"/>
  <c r="H67" i="23"/>
  <c r="G67" i="23"/>
  <c r="F67" i="23"/>
  <c r="E67" i="23"/>
  <c r="D67" i="23"/>
  <c r="X66" i="23"/>
  <c r="W66" i="23"/>
  <c r="V66" i="23"/>
  <c r="U66" i="23"/>
  <c r="T66" i="23"/>
  <c r="S66" i="23"/>
  <c r="R66" i="23"/>
  <c r="Q66" i="23"/>
  <c r="P66" i="23"/>
  <c r="O66" i="23"/>
  <c r="N66" i="23"/>
  <c r="M66" i="23"/>
  <c r="L66" i="23"/>
  <c r="K66" i="23"/>
  <c r="J66" i="23"/>
  <c r="I66" i="23"/>
  <c r="H66" i="23"/>
  <c r="G66" i="23"/>
  <c r="F66" i="23"/>
  <c r="E66" i="23"/>
  <c r="D66" i="23"/>
  <c r="C67" i="23"/>
  <c r="C66" i="23"/>
  <c r="X61" i="23"/>
  <c r="W61" i="23"/>
  <c r="V61" i="23"/>
  <c r="U61" i="23"/>
  <c r="T61" i="23"/>
  <c r="S61" i="23"/>
  <c r="R61" i="23"/>
  <c r="Q61" i="23"/>
  <c r="P61" i="23"/>
  <c r="O61" i="23"/>
  <c r="N61" i="23"/>
  <c r="M61" i="23"/>
  <c r="L61" i="23"/>
  <c r="K61" i="23"/>
  <c r="J61" i="23"/>
  <c r="I61" i="23"/>
  <c r="H61" i="23"/>
  <c r="G61" i="23"/>
  <c r="F61" i="23"/>
  <c r="E61" i="23"/>
  <c r="D61" i="23"/>
  <c r="C61" i="23"/>
  <c r="X59" i="23"/>
  <c r="W59" i="23"/>
  <c r="V59" i="23"/>
  <c r="U59" i="23"/>
  <c r="T59" i="23"/>
  <c r="S59" i="23"/>
  <c r="R59" i="23"/>
  <c r="Q59" i="23"/>
  <c r="P59" i="23"/>
  <c r="O59" i="23"/>
  <c r="N59" i="23"/>
  <c r="M59" i="23"/>
  <c r="L59" i="23"/>
  <c r="K59" i="23"/>
  <c r="J59" i="23"/>
  <c r="I59" i="23"/>
  <c r="H59" i="23"/>
  <c r="G59" i="23"/>
  <c r="F59" i="23"/>
  <c r="E59" i="23"/>
  <c r="D59" i="23"/>
  <c r="C59" i="23"/>
  <c r="X48" i="23"/>
  <c r="W48" i="23"/>
  <c r="V48" i="23"/>
  <c r="U48" i="23"/>
  <c r="T48" i="23"/>
  <c r="S48" i="23"/>
  <c r="R48" i="23"/>
  <c r="Q48" i="23"/>
  <c r="P48" i="23"/>
  <c r="O48" i="23"/>
  <c r="N48" i="23"/>
  <c r="M48" i="23"/>
  <c r="L48" i="23"/>
  <c r="K48" i="23"/>
  <c r="J48" i="23"/>
  <c r="I48" i="23"/>
  <c r="H48" i="23"/>
  <c r="G48" i="23"/>
  <c r="F48" i="23"/>
  <c r="E48" i="23"/>
  <c r="D48" i="23"/>
  <c r="C48" i="23"/>
  <c r="X40" i="23"/>
  <c r="X90" i="23" s="1"/>
  <c r="X91" i="23" s="1"/>
  <c r="W40" i="23"/>
  <c r="W90" i="23" s="1"/>
  <c r="W91" i="23" s="1"/>
  <c r="V40" i="23"/>
  <c r="V90" i="23" s="1"/>
  <c r="V91" i="23" s="1"/>
  <c r="U40" i="23"/>
  <c r="U90" i="23" s="1"/>
  <c r="U91" i="23" s="1"/>
  <c r="T40" i="23"/>
  <c r="T90" i="23" s="1"/>
  <c r="T91" i="23" s="1"/>
  <c r="S40" i="23"/>
  <c r="S90" i="23" s="1"/>
  <c r="S91" i="23" s="1"/>
  <c r="R40" i="23"/>
  <c r="R90" i="23" s="1"/>
  <c r="R91" i="23" s="1"/>
  <c r="Q40" i="23"/>
  <c r="Q90" i="23" s="1"/>
  <c r="Q91" i="23" s="1"/>
  <c r="P40" i="23"/>
  <c r="P90" i="23" s="1"/>
  <c r="P91" i="23" s="1"/>
  <c r="O40" i="23"/>
  <c r="O90" i="23" s="1"/>
  <c r="O91" i="23" s="1"/>
  <c r="N40" i="23"/>
  <c r="N90" i="23" s="1"/>
  <c r="N91" i="23" s="1"/>
  <c r="M40" i="23"/>
  <c r="M90" i="23" s="1"/>
  <c r="M91" i="23" s="1"/>
  <c r="L40" i="23"/>
  <c r="L90" i="23" s="1"/>
  <c r="L91" i="23" s="1"/>
  <c r="K40" i="23"/>
  <c r="K90" i="23" s="1"/>
  <c r="K91" i="23" s="1"/>
  <c r="J40" i="23"/>
  <c r="J90" i="23" s="1"/>
  <c r="J91" i="23" s="1"/>
  <c r="I40" i="23"/>
  <c r="I90" i="23" s="1"/>
  <c r="I91" i="23" s="1"/>
  <c r="H40" i="23"/>
  <c r="H90" i="23" s="1"/>
  <c r="H91" i="23" s="1"/>
  <c r="G40" i="23"/>
  <c r="G90" i="23" s="1"/>
  <c r="G91" i="23" s="1"/>
  <c r="F40" i="23"/>
  <c r="F90" i="23" s="1"/>
  <c r="F91" i="23" s="1"/>
  <c r="E40" i="23"/>
  <c r="E90" i="23" s="1"/>
  <c r="E91" i="23" s="1"/>
  <c r="D40" i="23"/>
  <c r="D90" i="23" s="1"/>
  <c r="D91" i="23" s="1"/>
  <c r="C40" i="23"/>
  <c r="C90" i="23" s="1"/>
  <c r="X36" i="23"/>
  <c r="X54" i="23" s="1"/>
  <c r="W36" i="23"/>
  <c r="W54" i="23" s="1"/>
  <c r="V36" i="23"/>
  <c r="V54" i="23" s="1"/>
  <c r="U36" i="23"/>
  <c r="U54" i="23" s="1"/>
  <c r="T36" i="23"/>
  <c r="T54" i="23" s="1"/>
  <c r="S36" i="23"/>
  <c r="S54" i="23" s="1"/>
  <c r="R36" i="23"/>
  <c r="R54" i="23" s="1"/>
  <c r="Q36" i="23"/>
  <c r="Q54" i="23" s="1"/>
  <c r="P36" i="23"/>
  <c r="P54" i="23" s="1"/>
  <c r="O36" i="23"/>
  <c r="O54" i="23" s="1"/>
  <c r="N36" i="23"/>
  <c r="N54" i="23" s="1"/>
  <c r="M36" i="23"/>
  <c r="M54" i="23" s="1"/>
  <c r="L36" i="23"/>
  <c r="L54" i="23" s="1"/>
  <c r="K36" i="23"/>
  <c r="K54" i="23" s="1"/>
  <c r="J36" i="23"/>
  <c r="J54" i="23" s="1"/>
  <c r="I36" i="23"/>
  <c r="I54" i="23" s="1"/>
  <c r="H36" i="23"/>
  <c r="H54" i="23" s="1"/>
  <c r="G36" i="23"/>
  <c r="G54" i="23" s="1"/>
  <c r="F36" i="23"/>
  <c r="F54" i="23" s="1"/>
  <c r="E36" i="23"/>
  <c r="E54" i="23" s="1"/>
  <c r="D36" i="23"/>
  <c r="D54" i="23" s="1"/>
  <c r="C36" i="23"/>
  <c r="C54" i="23" s="1"/>
  <c r="X30" i="23"/>
  <c r="X46" i="23" s="1"/>
  <c r="W30" i="23"/>
  <c r="W46" i="23" s="1"/>
  <c r="V30" i="23"/>
  <c r="U30" i="23"/>
  <c r="T30" i="23"/>
  <c r="S30" i="23"/>
  <c r="R30" i="23"/>
  <c r="Q30" i="23"/>
  <c r="P30" i="23"/>
  <c r="P46" i="23" s="1"/>
  <c r="O30" i="23"/>
  <c r="O46" i="23" s="1"/>
  <c r="N30" i="23"/>
  <c r="N46" i="23" s="1"/>
  <c r="M30" i="23"/>
  <c r="L30" i="23"/>
  <c r="K30" i="23"/>
  <c r="J30" i="23"/>
  <c r="J46" i="23" s="1"/>
  <c r="I30" i="23"/>
  <c r="I46" i="23" s="1"/>
  <c r="H30" i="23"/>
  <c r="H46" i="23" s="1"/>
  <c r="G30" i="23"/>
  <c r="F30" i="23"/>
  <c r="F46" i="23" s="1"/>
  <c r="E30" i="23"/>
  <c r="E46" i="23" s="1"/>
  <c r="D30" i="23"/>
  <c r="D46" i="23" s="1"/>
  <c r="C30" i="23"/>
  <c r="C46" i="23" s="1"/>
  <c r="X26" i="23"/>
  <c r="W26" i="23"/>
  <c r="V26" i="23"/>
  <c r="U26" i="23"/>
  <c r="T26" i="23"/>
  <c r="S26" i="23"/>
  <c r="R26" i="23"/>
  <c r="Q26" i="23"/>
  <c r="P26" i="23"/>
  <c r="O26" i="23"/>
  <c r="N26" i="23"/>
  <c r="M26" i="23"/>
  <c r="L26" i="23"/>
  <c r="K26" i="23"/>
  <c r="J26" i="23"/>
  <c r="I26" i="23"/>
  <c r="H26" i="23"/>
  <c r="G26" i="23"/>
  <c r="F26" i="23"/>
  <c r="E26" i="23"/>
  <c r="D26" i="23"/>
  <c r="C26" i="23"/>
  <c r="X21" i="23"/>
  <c r="W21" i="23"/>
  <c r="V21" i="23"/>
  <c r="U21" i="23"/>
  <c r="T21" i="23"/>
  <c r="S21" i="23"/>
  <c r="R21" i="23"/>
  <c r="Q21" i="23"/>
  <c r="P21" i="23"/>
  <c r="O21" i="23"/>
  <c r="N21" i="23"/>
  <c r="M21" i="23"/>
  <c r="L21" i="23"/>
  <c r="K21" i="23"/>
  <c r="J21" i="23"/>
  <c r="I21" i="23"/>
  <c r="H21" i="23"/>
  <c r="G21" i="23"/>
  <c r="F21" i="23"/>
  <c r="E21" i="23"/>
  <c r="D21" i="23"/>
  <c r="C21" i="23"/>
  <c r="D22" i="23" s="1"/>
  <c r="X18" i="23"/>
  <c r="W18" i="23"/>
  <c r="V18" i="23"/>
  <c r="U18" i="23"/>
  <c r="T18" i="23"/>
  <c r="S18" i="23"/>
  <c r="R18" i="23"/>
  <c r="Q18" i="23"/>
  <c r="P18" i="23"/>
  <c r="O18" i="23"/>
  <c r="N18" i="23"/>
  <c r="M18" i="23"/>
  <c r="L18" i="23"/>
  <c r="K18" i="23"/>
  <c r="J18" i="23"/>
  <c r="I18" i="23"/>
  <c r="H18" i="23"/>
  <c r="G18" i="23"/>
  <c r="F18" i="23"/>
  <c r="E18" i="23"/>
  <c r="D18" i="23"/>
  <c r="C18" i="23"/>
  <c r="X12" i="23"/>
  <c r="X75" i="23" s="1"/>
  <c r="W12" i="23"/>
  <c r="W75" i="23" s="1"/>
  <c r="V12" i="23"/>
  <c r="V75" i="23" s="1"/>
  <c r="U12" i="23"/>
  <c r="U75" i="23" s="1"/>
  <c r="T12" i="23"/>
  <c r="T75" i="23" s="1"/>
  <c r="S12" i="23"/>
  <c r="S75" i="23" s="1"/>
  <c r="R12" i="23"/>
  <c r="Q12" i="23"/>
  <c r="Q75" i="23" s="1"/>
  <c r="P12" i="23"/>
  <c r="P75" i="23" s="1"/>
  <c r="O12" i="23"/>
  <c r="O75" i="23" s="1"/>
  <c r="N12" i="23"/>
  <c r="N75" i="23" s="1"/>
  <c r="M12" i="23"/>
  <c r="M75" i="23" s="1"/>
  <c r="L12" i="23"/>
  <c r="L75" i="23" s="1"/>
  <c r="K12" i="23"/>
  <c r="K75" i="23" s="1"/>
  <c r="J12" i="23"/>
  <c r="J75" i="23" s="1"/>
  <c r="I12" i="23"/>
  <c r="H12" i="23"/>
  <c r="H75" i="23" s="1"/>
  <c r="G12" i="23"/>
  <c r="F12" i="23"/>
  <c r="F75" i="23" s="1"/>
  <c r="E12" i="23"/>
  <c r="E75" i="23" s="1"/>
  <c r="D12" i="23"/>
  <c r="D75" i="23" s="1"/>
  <c r="C12" i="23"/>
  <c r="C75" i="23" s="1"/>
  <c r="A110" i="23"/>
  <c r="AF98" i="23"/>
  <c r="AF99" i="23" s="1"/>
  <c r="AF100" i="23" s="1"/>
  <c r="AF103" i="23" s="1"/>
  <c r="AF104" i="23" s="1"/>
  <c r="AF105" i="23" s="1"/>
  <c r="AF106" i="23" s="1"/>
  <c r="AE98" i="23"/>
  <c r="AE99" i="23" s="1"/>
  <c r="AE100" i="23" s="1"/>
  <c r="AE103" i="23" s="1"/>
  <c r="AE104" i="23" s="1"/>
  <c r="AE105" i="23" s="1"/>
  <c r="AE106" i="23" s="1"/>
  <c r="A85" i="23"/>
  <c r="A84" i="23"/>
  <c r="C9" i="23"/>
  <c r="D8" i="23"/>
  <c r="AZ82" i="28" l="1"/>
  <c r="AZ16" i="28" s="1"/>
  <c r="AY82" i="28"/>
  <c r="AY16" i="28" s="1"/>
  <c r="AW82" i="28"/>
  <c r="AW16" i="28" s="1"/>
  <c r="AX82" i="28"/>
  <c r="AX16" i="28" s="1"/>
  <c r="N78" i="23"/>
  <c r="R75" i="23"/>
  <c r="R83" i="23" s="1"/>
  <c r="Z12" i="23"/>
  <c r="Z26" i="23"/>
  <c r="X78" i="23"/>
  <c r="L78" i="23"/>
  <c r="M78" i="23"/>
  <c r="L80" i="23"/>
  <c r="O78" i="23"/>
  <c r="O85" i="23"/>
  <c r="O80" i="23"/>
  <c r="R78" i="23"/>
  <c r="T78" i="23"/>
  <c r="U85" i="23"/>
  <c r="U80" i="23"/>
  <c r="W78" i="23"/>
  <c r="S78" i="23"/>
  <c r="V78" i="23"/>
  <c r="V85" i="23"/>
  <c r="V80" i="23"/>
  <c r="C68" i="23"/>
  <c r="C92" i="23" s="1"/>
  <c r="M85" i="23"/>
  <c r="M80" i="23"/>
  <c r="P78" i="23"/>
  <c r="S85" i="23"/>
  <c r="U78" i="23"/>
  <c r="T85" i="23"/>
  <c r="T80" i="23"/>
  <c r="W74" i="23"/>
  <c r="W80" i="23"/>
  <c r="X80" i="23"/>
  <c r="K78" i="23"/>
  <c r="K80" i="23"/>
  <c r="N85" i="23"/>
  <c r="N80" i="23"/>
  <c r="Q78" i="23"/>
  <c r="P85" i="23"/>
  <c r="P80" i="23"/>
  <c r="Q85" i="23"/>
  <c r="Q80" i="23"/>
  <c r="M83" i="23"/>
  <c r="K83" i="23"/>
  <c r="L83" i="23"/>
  <c r="C13" i="23"/>
  <c r="D13" i="23"/>
  <c r="J83" i="23"/>
  <c r="V83" i="23"/>
  <c r="T83" i="23"/>
  <c r="M31" i="23"/>
  <c r="M37" i="23" s="1"/>
  <c r="M38" i="23" s="1"/>
  <c r="M55" i="23" s="1"/>
  <c r="U83" i="23"/>
  <c r="E8" i="23"/>
  <c r="W83" i="23"/>
  <c r="R31" i="23"/>
  <c r="R45" i="23" s="1"/>
  <c r="E25" i="23"/>
  <c r="J74" i="23"/>
  <c r="J84" i="23" s="1"/>
  <c r="Q31" i="23"/>
  <c r="Q45" i="23" s="1"/>
  <c r="O83" i="23"/>
  <c r="G14" i="23"/>
  <c r="F25" i="23"/>
  <c r="K74" i="23"/>
  <c r="H25" i="23"/>
  <c r="P83" i="23"/>
  <c r="S83" i="23"/>
  <c r="G25" i="23"/>
  <c r="L74" i="23"/>
  <c r="N83" i="23"/>
  <c r="Q83" i="23"/>
  <c r="L85" i="23"/>
  <c r="J85" i="23"/>
  <c r="K85" i="23"/>
  <c r="W85" i="23"/>
  <c r="X27" i="23"/>
  <c r="N22" i="23"/>
  <c r="Q25" i="23"/>
  <c r="X68" i="23"/>
  <c r="X92" i="23" s="1"/>
  <c r="X94" i="23" s="1"/>
  <c r="K31" i="23"/>
  <c r="K45" i="23" s="1"/>
  <c r="L31" i="23"/>
  <c r="L45" i="23" s="1"/>
  <c r="X74" i="23"/>
  <c r="X84" i="23" s="1"/>
  <c r="W25" i="23"/>
  <c r="T74" i="23"/>
  <c r="T25" i="23"/>
  <c r="N68" i="23"/>
  <c r="N92" i="23" s="1"/>
  <c r="N94" i="23" s="1"/>
  <c r="V74" i="23"/>
  <c r="S22" i="23"/>
  <c r="U74" i="23"/>
  <c r="P68" i="23"/>
  <c r="P92" i="23" s="1"/>
  <c r="P94" i="23" s="1"/>
  <c r="N74" i="23"/>
  <c r="M74" i="23"/>
  <c r="V25" i="23"/>
  <c r="C31" i="23"/>
  <c r="C45" i="23" s="1"/>
  <c r="C47" i="23" s="1"/>
  <c r="C49" i="23" s="1"/>
  <c r="I25" i="23"/>
  <c r="S34" i="23"/>
  <c r="X31" i="23"/>
  <c r="X37" i="23" s="1"/>
  <c r="S68" i="23"/>
  <c r="S92" i="23" s="1"/>
  <c r="S94" i="23" s="1"/>
  <c r="X25" i="23"/>
  <c r="I34" i="23"/>
  <c r="T31" i="23"/>
  <c r="O68" i="23"/>
  <c r="O92" i="23" s="1"/>
  <c r="O94" i="23" s="1"/>
  <c r="W31" i="23"/>
  <c r="W45" i="23" s="1"/>
  <c r="W47" i="23" s="1"/>
  <c r="W49" i="23" s="1"/>
  <c r="W51" i="23" s="1"/>
  <c r="G75" i="23"/>
  <c r="T34" i="23"/>
  <c r="O25" i="23"/>
  <c r="T68" i="23"/>
  <c r="T92" i="23" s="1"/>
  <c r="T94" i="23" s="1"/>
  <c r="I75" i="23"/>
  <c r="Q22" i="23"/>
  <c r="U25" i="23"/>
  <c r="O74" i="23"/>
  <c r="Q74" i="23"/>
  <c r="O20" i="23"/>
  <c r="U31" i="23"/>
  <c r="U33" i="23" s="1"/>
  <c r="Q34" i="23"/>
  <c r="V31" i="23"/>
  <c r="V37" i="23" s="1"/>
  <c r="R34" i="23"/>
  <c r="R68" i="23"/>
  <c r="R92" i="23" s="1"/>
  <c r="R94" i="23" s="1"/>
  <c r="P25" i="23"/>
  <c r="U68" i="23"/>
  <c r="U92" i="23" s="1"/>
  <c r="U94" i="23" s="1"/>
  <c r="V68" i="23"/>
  <c r="V92" i="23" s="1"/>
  <c r="V94" i="23" s="1"/>
  <c r="P74" i="23"/>
  <c r="X16" i="23"/>
  <c r="S74" i="23"/>
  <c r="S31" i="23"/>
  <c r="S45" i="23" s="1"/>
  <c r="J25" i="23"/>
  <c r="Q68" i="23"/>
  <c r="Q92" i="23" s="1"/>
  <c r="Q94" i="23" s="1"/>
  <c r="W68" i="23"/>
  <c r="W92" i="23" s="1"/>
  <c r="W94" i="23" s="1"/>
  <c r="S15" i="23"/>
  <c r="Q16" i="23"/>
  <c r="R16" i="23"/>
  <c r="W14" i="23"/>
  <c r="V22" i="23"/>
  <c r="Q27" i="23"/>
  <c r="R27" i="23"/>
  <c r="S27" i="23"/>
  <c r="E31" i="23"/>
  <c r="E37" i="23" s="1"/>
  <c r="E38" i="23" s="1"/>
  <c r="E55" i="23" s="1"/>
  <c r="U27" i="23"/>
  <c r="F68" i="23"/>
  <c r="F92" i="23" s="1"/>
  <c r="F94" i="23" s="1"/>
  <c r="W27" i="23"/>
  <c r="Q46" i="23"/>
  <c r="O22" i="23"/>
  <c r="I68" i="23"/>
  <c r="I92" i="23" s="1"/>
  <c r="I94" i="23" s="1"/>
  <c r="T22" i="23"/>
  <c r="V14" i="23"/>
  <c r="X14" i="23"/>
  <c r="M27" i="23"/>
  <c r="D68" i="23"/>
  <c r="D92" i="23" s="1"/>
  <c r="D94" i="23" s="1"/>
  <c r="F31" i="23"/>
  <c r="E68" i="23"/>
  <c r="E92" i="23" s="1"/>
  <c r="E94" i="23" s="1"/>
  <c r="V27" i="23"/>
  <c r="G68" i="23"/>
  <c r="G92" i="23" s="1"/>
  <c r="G94" i="23" s="1"/>
  <c r="H68" i="23"/>
  <c r="H92" i="23" s="1"/>
  <c r="H94" i="23" s="1"/>
  <c r="R46" i="23"/>
  <c r="P22" i="23"/>
  <c r="J68" i="23"/>
  <c r="J92" i="23" s="1"/>
  <c r="J94" i="23" s="1"/>
  <c r="D27" i="23"/>
  <c r="U20" i="23"/>
  <c r="T16" i="23"/>
  <c r="U16" i="23"/>
  <c r="W22" i="23"/>
  <c r="C25" i="23"/>
  <c r="T27" i="23"/>
  <c r="K68" i="23"/>
  <c r="K92" i="23" s="1"/>
  <c r="K94" i="23" s="1"/>
  <c r="T46" i="23"/>
  <c r="R22" i="23"/>
  <c r="L68" i="23"/>
  <c r="L92" i="23" s="1"/>
  <c r="L94" i="23" s="1"/>
  <c r="S16" i="23"/>
  <c r="U22" i="23"/>
  <c r="X22" i="23"/>
  <c r="M22" i="23"/>
  <c r="S46" i="23"/>
  <c r="U46" i="23"/>
  <c r="G31" i="23"/>
  <c r="G45" i="23" s="1"/>
  <c r="M68" i="23"/>
  <c r="M92" i="23" s="1"/>
  <c r="M94" i="23" s="1"/>
  <c r="U15" i="23"/>
  <c r="J31" i="23"/>
  <c r="J37" i="23" s="1"/>
  <c r="J38" i="23" s="1"/>
  <c r="K28" i="23"/>
  <c r="J27" i="23"/>
  <c r="N28" i="23"/>
  <c r="P14" i="23"/>
  <c r="Q14" i="23"/>
  <c r="Q20" i="23"/>
  <c r="R14" i="23"/>
  <c r="S14" i="23"/>
  <c r="T20" i="23"/>
  <c r="P27" i="23"/>
  <c r="U14" i="23"/>
  <c r="K22" i="23"/>
  <c r="W20" i="23"/>
  <c r="L22" i="23"/>
  <c r="X20" i="23"/>
  <c r="K46" i="23"/>
  <c r="L46" i="23"/>
  <c r="C52" i="23"/>
  <c r="L15" i="23"/>
  <c r="W15" i="23"/>
  <c r="E27" i="23"/>
  <c r="G46" i="23"/>
  <c r="I31" i="23"/>
  <c r="I33" i="23" s="1"/>
  <c r="V15" i="23"/>
  <c r="X15" i="23"/>
  <c r="N31" i="23"/>
  <c r="O31" i="23"/>
  <c r="O45" i="23" s="1"/>
  <c r="O47" i="23" s="1"/>
  <c r="O49" i="23" s="1"/>
  <c r="I14" i="23"/>
  <c r="P31" i="23"/>
  <c r="P37" i="23" s="1"/>
  <c r="P38" i="23" s="1"/>
  <c r="P55" i="23" s="1"/>
  <c r="J14" i="23"/>
  <c r="F27" i="23"/>
  <c r="V16" i="23"/>
  <c r="V52" i="23"/>
  <c r="H27" i="23"/>
  <c r="M14" i="23"/>
  <c r="N14" i="23"/>
  <c r="K27" i="23"/>
  <c r="E22" i="23"/>
  <c r="F22" i="23"/>
  <c r="H22" i="23"/>
  <c r="O27" i="23"/>
  <c r="T14" i="23"/>
  <c r="J22" i="23"/>
  <c r="V20" i="23"/>
  <c r="M46" i="23"/>
  <c r="M15" i="23"/>
  <c r="N15" i="23"/>
  <c r="O15" i="23"/>
  <c r="Q15" i="23"/>
  <c r="R15" i="23"/>
  <c r="T15" i="23"/>
  <c r="H31" i="23"/>
  <c r="H45" i="23" s="1"/>
  <c r="H47" i="23" s="1"/>
  <c r="H49" i="23" s="1"/>
  <c r="H14" i="23"/>
  <c r="U23" i="23"/>
  <c r="K14" i="23"/>
  <c r="G27" i="23"/>
  <c r="L14" i="23"/>
  <c r="W16" i="23"/>
  <c r="L28" i="23"/>
  <c r="I27" i="23"/>
  <c r="M28" i="23"/>
  <c r="O14" i="23"/>
  <c r="P20" i="23"/>
  <c r="L27" i="23"/>
  <c r="G22" i="23"/>
  <c r="S20" i="23"/>
  <c r="N27" i="23"/>
  <c r="I22" i="23"/>
  <c r="G20" i="23"/>
  <c r="P15" i="23"/>
  <c r="F52" i="23"/>
  <c r="V46" i="23"/>
  <c r="D31" i="23"/>
  <c r="D37" i="23" s="1"/>
  <c r="D25" i="23"/>
  <c r="K25" i="23"/>
  <c r="L25" i="23"/>
  <c r="M25" i="23"/>
  <c r="N25" i="23"/>
  <c r="S25" i="23"/>
  <c r="R20" i="23"/>
  <c r="R25" i="23"/>
  <c r="D23" i="23"/>
  <c r="E20" i="23"/>
  <c r="J20" i="23"/>
  <c r="H23" i="23"/>
  <c r="L23" i="23"/>
  <c r="G52" i="23"/>
  <c r="E13" i="23"/>
  <c r="I52" i="23"/>
  <c r="J52" i="23"/>
  <c r="G13" i="23"/>
  <c r="K52" i="23"/>
  <c r="H13" i="23"/>
  <c r="E28" i="23"/>
  <c r="L52" i="23"/>
  <c r="I13" i="23"/>
  <c r="K23" i="23"/>
  <c r="M23" i="23"/>
  <c r="F23" i="23"/>
  <c r="G23" i="23"/>
  <c r="I23" i="23"/>
  <c r="J23" i="23"/>
  <c r="N23" i="23"/>
  <c r="W13" i="23"/>
  <c r="X13" i="23"/>
  <c r="H52" i="23"/>
  <c r="F13" i="23"/>
  <c r="F28" i="23"/>
  <c r="M52" i="23"/>
  <c r="J13" i="23"/>
  <c r="G28" i="23"/>
  <c r="N52" i="23"/>
  <c r="K13" i="23"/>
  <c r="H28" i="23"/>
  <c r="L13" i="23"/>
  <c r="I28" i="23"/>
  <c r="M13" i="23"/>
  <c r="J28" i="23"/>
  <c r="N13" i="23"/>
  <c r="O23" i="23"/>
  <c r="P28" i="23"/>
  <c r="U34" i="23"/>
  <c r="S23" i="23"/>
  <c r="X34" i="23"/>
  <c r="U28" i="23"/>
  <c r="W23" i="23"/>
  <c r="P23" i="23"/>
  <c r="O28" i="23"/>
  <c r="S28" i="23"/>
  <c r="X28" i="23"/>
  <c r="Q52" i="23"/>
  <c r="R52" i="23"/>
  <c r="S52" i="23"/>
  <c r="T52" i="23"/>
  <c r="U52" i="23"/>
  <c r="Q13" i="23"/>
  <c r="W52" i="23"/>
  <c r="R13" i="23"/>
  <c r="U13" i="23"/>
  <c r="V13" i="23"/>
  <c r="R23" i="23"/>
  <c r="Q28" i="23"/>
  <c r="R28" i="23"/>
  <c r="O52" i="23"/>
  <c r="P52" i="23"/>
  <c r="Q23" i="23"/>
  <c r="V34" i="23"/>
  <c r="T23" i="23"/>
  <c r="W34" i="23"/>
  <c r="T28" i="23"/>
  <c r="V23" i="23"/>
  <c r="V28" i="23"/>
  <c r="X23" i="23"/>
  <c r="W28" i="23"/>
  <c r="O13" i="23"/>
  <c r="P13" i="23"/>
  <c r="X52" i="23"/>
  <c r="S13" i="23"/>
  <c r="T13" i="23"/>
  <c r="C23" i="23"/>
  <c r="C28" i="23"/>
  <c r="C20" i="23"/>
  <c r="E23" i="23"/>
  <c r="D28" i="23"/>
  <c r="C34" i="23"/>
  <c r="D34" i="23"/>
  <c r="G34" i="23"/>
  <c r="H20" i="23"/>
  <c r="E34" i="23"/>
  <c r="F34" i="23"/>
  <c r="D20" i="23"/>
  <c r="K34" i="23"/>
  <c r="I20" i="23"/>
  <c r="O34" i="23"/>
  <c r="P34" i="23"/>
  <c r="K20" i="23"/>
  <c r="L20" i="23"/>
  <c r="M20" i="23"/>
  <c r="D52" i="23"/>
  <c r="H34" i="23"/>
  <c r="F20" i="23"/>
  <c r="L34" i="23"/>
  <c r="M34" i="23"/>
  <c r="N20" i="23"/>
  <c r="E52" i="23"/>
  <c r="J34" i="23"/>
  <c r="N34" i="23"/>
  <c r="X83" i="23"/>
  <c r="X85" i="23"/>
  <c r="D9" i="23"/>
  <c r="E114" i="23"/>
  <c r="E117" i="23" s="1"/>
  <c r="I114" i="23"/>
  <c r="I117" i="23" s="1"/>
  <c r="D114" i="23"/>
  <c r="D117" i="23" s="1"/>
  <c r="D122" i="23"/>
  <c r="C114" i="23"/>
  <c r="C117" i="23" s="1"/>
  <c r="C91" i="23"/>
  <c r="F114" i="23"/>
  <c r="F117" i="23" s="1"/>
  <c r="G114" i="23"/>
  <c r="H114" i="23"/>
  <c r="H117" i="23" s="1"/>
  <c r="K114" i="23"/>
  <c r="K117" i="23" s="1"/>
  <c r="J114" i="23"/>
  <c r="J117" i="23" s="1"/>
  <c r="M114" i="23"/>
  <c r="M117" i="23" s="1"/>
  <c r="L114" i="23"/>
  <c r="L117" i="23" s="1"/>
  <c r="BB82" i="28" l="1"/>
  <c r="BB16" i="28" s="1"/>
  <c r="BA82" i="28"/>
  <c r="BA16" i="28" s="1"/>
  <c r="BC82" i="28"/>
  <c r="BC16" i="28" s="1"/>
  <c r="R80" i="23"/>
  <c r="R74" i="23"/>
  <c r="R79" i="23" s="1"/>
  <c r="S80" i="23"/>
  <c r="R85" i="23"/>
  <c r="K33" i="23"/>
  <c r="L33" i="23"/>
  <c r="L37" i="23"/>
  <c r="L38" i="23" s="1"/>
  <c r="L55" i="23" s="1"/>
  <c r="K37" i="23"/>
  <c r="K38" i="23" s="1"/>
  <c r="K55" i="23" s="1"/>
  <c r="C125" i="23"/>
  <c r="M33" i="23"/>
  <c r="D118" i="23"/>
  <c r="G115" i="23"/>
  <c r="G117" i="23"/>
  <c r="E118" i="23"/>
  <c r="M84" i="23"/>
  <c r="M79" i="23"/>
  <c r="U84" i="23"/>
  <c r="U79" i="23"/>
  <c r="T84" i="23"/>
  <c r="T79" i="23"/>
  <c r="P84" i="23"/>
  <c r="P79" i="23"/>
  <c r="Q84" i="23"/>
  <c r="Q79" i="23"/>
  <c r="O84" i="23"/>
  <c r="O79" i="23"/>
  <c r="K84" i="23"/>
  <c r="K79" i="23"/>
  <c r="N84" i="23"/>
  <c r="N79" i="23"/>
  <c r="V84" i="23"/>
  <c r="V79" i="23"/>
  <c r="E9" i="23"/>
  <c r="X79" i="23"/>
  <c r="L84" i="23"/>
  <c r="L79" i="23"/>
  <c r="S84" i="23"/>
  <c r="W84" i="23"/>
  <c r="W79" i="23"/>
  <c r="N32" i="23"/>
  <c r="D125" i="23"/>
  <c r="E122" i="23"/>
  <c r="M45" i="23"/>
  <c r="M47" i="23" s="1"/>
  <c r="M49" i="23" s="1"/>
  <c r="R32" i="23"/>
  <c r="R33" i="23"/>
  <c r="Q37" i="23"/>
  <c r="Q38" i="23" s="1"/>
  <c r="Q55" i="23" s="1"/>
  <c r="W33" i="23"/>
  <c r="R47" i="23"/>
  <c r="R49" i="23" s="1"/>
  <c r="F8" i="23"/>
  <c r="Q33" i="23"/>
  <c r="G37" i="23"/>
  <c r="G38" i="23" s="1"/>
  <c r="G55" i="23" s="1"/>
  <c r="L32" i="23"/>
  <c r="Q47" i="23"/>
  <c r="Q49" i="23" s="1"/>
  <c r="Q51" i="23" s="1"/>
  <c r="M32" i="23"/>
  <c r="V32" i="23"/>
  <c r="U37" i="23"/>
  <c r="U38" i="23" s="1"/>
  <c r="U55" i="23" s="1"/>
  <c r="V45" i="23"/>
  <c r="V47" i="23" s="1"/>
  <c r="V49" i="23" s="1"/>
  <c r="W50" i="23" s="1"/>
  <c r="U45" i="23"/>
  <c r="U47" i="23" s="1"/>
  <c r="U49" i="23" s="1"/>
  <c r="R37" i="23"/>
  <c r="R38" i="23" s="1"/>
  <c r="R55" i="23" s="1"/>
  <c r="V33" i="23"/>
  <c r="X45" i="23"/>
  <c r="X47" i="23" s="1"/>
  <c r="X49" i="23" s="1"/>
  <c r="X51" i="23" s="1"/>
  <c r="T32" i="23"/>
  <c r="W32" i="23"/>
  <c r="W37" i="23"/>
  <c r="W38" i="23" s="1"/>
  <c r="W55" i="23" s="1"/>
  <c r="W56" i="23" s="1"/>
  <c r="W60" i="23" s="1"/>
  <c r="X33" i="23"/>
  <c r="X32" i="23"/>
  <c r="S47" i="23"/>
  <c r="S49" i="23" s="1"/>
  <c r="S51" i="23" s="1"/>
  <c r="T37" i="23"/>
  <c r="T38" i="23" s="1"/>
  <c r="T39" i="23" s="1"/>
  <c r="T41" i="23" s="1"/>
  <c r="K47" i="23"/>
  <c r="K49" i="23" s="1"/>
  <c r="K51" i="23" s="1"/>
  <c r="F32" i="23"/>
  <c r="T33" i="23"/>
  <c r="T45" i="23"/>
  <c r="T47" i="23" s="1"/>
  <c r="T49" i="23" s="1"/>
  <c r="T51" i="23" s="1"/>
  <c r="U32" i="23"/>
  <c r="S37" i="23"/>
  <c r="S38" i="23" s="1"/>
  <c r="C37" i="23"/>
  <c r="C38" i="23" s="1"/>
  <c r="C55" i="23" s="1"/>
  <c r="C56" i="23" s="1"/>
  <c r="C60" i="23" s="1"/>
  <c r="C33" i="23"/>
  <c r="S32" i="23"/>
  <c r="L47" i="23"/>
  <c r="L49" i="23" s="1"/>
  <c r="S33" i="23"/>
  <c r="N45" i="23"/>
  <c r="N47" i="23" s="1"/>
  <c r="N49" i="23" s="1"/>
  <c r="O50" i="23" s="1"/>
  <c r="G32" i="23"/>
  <c r="O37" i="23"/>
  <c r="O38" i="23" s="1"/>
  <c r="O55" i="23" s="1"/>
  <c r="O56" i="23" s="1"/>
  <c r="O60" i="23" s="1"/>
  <c r="J33" i="23"/>
  <c r="E45" i="23"/>
  <c r="E47" i="23" s="1"/>
  <c r="E49" i="23" s="1"/>
  <c r="E56" i="23" s="1"/>
  <c r="G33" i="23"/>
  <c r="M39" i="23"/>
  <c r="M41" i="23" s="1"/>
  <c r="F45" i="23"/>
  <c r="F47" i="23" s="1"/>
  <c r="F69" i="23" s="1"/>
  <c r="N37" i="23"/>
  <c r="N38" i="23" s="1"/>
  <c r="N55" i="23" s="1"/>
  <c r="E33" i="23"/>
  <c r="D33" i="23"/>
  <c r="O33" i="23"/>
  <c r="O32" i="23"/>
  <c r="P33" i="23"/>
  <c r="P45" i="23"/>
  <c r="P47" i="23" s="1"/>
  <c r="P49" i="23" s="1"/>
  <c r="P56" i="23" s="1"/>
  <c r="P60" i="23" s="1"/>
  <c r="P32" i="23"/>
  <c r="N33" i="23"/>
  <c r="Q32" i="23"/>
  <c r="J45" i="23"/>
  <c r="J47" i="23" s="1"/>
  <c r="J69" i="23" s="1"/>
  <c r="H37" i="23"/>
  <c r="H38" i="23" s="1"/>
  <c r="H55" i="23" s="1"/>
  <c r="H56" i="23" s="1"/>
  <c r="H60" i="23" s="1"/>
  <c r="K32" i="23"/>
  <c r="G47" i="23"/>
  <c r="G49" i="23" s="1"/>
  <c r="G51" i="23" s="1"/>
  <c r="F33" i="23"/>
  <c r="F37" i="23"/>
  <c r="F38" i="23" s="1"/>
  <c r="F55" i="23" s="1"/>
  <c r="I32" i="23"/>
  <c r="X38" i="23"/>
  <c r="X39" i="23" s="1"/>
  <c r="X41" i="23" s="1"/>
  <c r="I37" i="23"/>
  <c r="I38" i="23" s="1"/>
  <c r="H33" i="23"/>
  <c r="D32" i="23"/>
  <c r="E32" i="23"/>
  <c r="V38" i="23"/>
  <c r="V39" i="23" s="1"/>
  <c r="V41" i="23" s="1"/>
  <c r="I45" i="23"/>
  <c r="I47" i="23" s="1"/>
  <c r="I69" i="23" s="1"/>
  <c r="H32" i="23"/>
  <c r="J32" i="23"/>
  <c r="D38" i="23"/>
  <c r="D39" i="23" s="1"/>
  <c r="D45" i="23"/>
  <c r="D47" i="23" s="1"/>
  <c r="D69" i="23" s="1"/>
  <c r="P39" i="23"/>
  <c r="P41" i="23" s="1"/>
  <c r="W69" i="23"/>
  <c r="H51" i="23"/>
  <c r="I115" i="23"/>
  <c r="E39" i="23"/>
  <c r="E41" i="23" s="1"/>
  <c r="H69" i="23"/>
  <c r="M115" i="23"/>
  <c r="C69" i="23"/>
  <c r="F115" i="23"/>
  <c r="J115" i="23"/>
  <c r="N114" i="23"/>
  <c r="M106" i="23"/>
  <c r="M100" i="23"/>
  <c r="J55" i="23"/>
  <c r="O51" i="23"/>
  <c r="D115" i="23"/>
  <c r="G100" i="23"/>
  <c r="G106" i="23"/>
  <c r="C100" i="23"/>
  <c r="C106" i="23"/>
  <c r="C94" i="23"/>
  <c r="J100" i="23"/>
  <c r="J106" i="23"/>
  <c r="K115" i="23"/>
  <c r="I100" i="23"/>
  <c r="I106" i="23"/>
  <c r="F100" i="23"/>
  <c r="F106" i="23"/>
  <c r="K100" i="23"/>
  <c r="K106" i="23"/>
  <c r="D100" i="23"/>
  <c r="D106" i="23"/>
  <c r="H100" i="23"/>
  <c r="H106" i="23"/>
  <c r="O69" i="23"/>
  <c r="L106" i="23"/>
  <c r="L100" i="23"/>
  <c r="H115" i="23"/>
  <c r="E100" i="23"/>
  <c r="E106" i="23"/>
  <c r="C51" i="23"/>
  <c r="L115" i="23"/>
  <c r="E115" i="23"/>
  <c r="L39" i="23" l="1"/>
  <c r="L41" i="23" s="1"/>
  <c r="R50" i="23"/>
  <c r="Q69" i="23"/>
  <c r="K39" i="23"/>
  <c r="K41" i="23" s="1"/>
  <c r="L42" i="23" s="1"/>
  <c r="S79" i="23"/>
  <c r="R84" i="23"/>
  <c r="R51" i="23"/>
  <c r="R69" i="23"/>
  <c r="Q39" i="23"/>
  <c r="Q41" i="23" s="1"/>
  <c r="Q42" i="23" s="1"/>
  <c r="X69" i="23"/>
  <c r="R56" i="23"/>
  <c r="R60" i="23" s="1"/>
  <c r="N115" i="23"/>
  <c r="N117" i="23"/>
  <c r="F118" i="23"/>
  <c r="H50" i="23"/>
  <c r="K104" i="23"/>
  <c r="C126" i="23"/>
  <c r="E125" i="23"/>
  <c r="F122" i="23"/>
  <c r="L50" i="23"/>
  <c r="G8" i="23"/>
  <c r="F9" i="23"/>
  <c r="Q56" i="23"/>
  <c r="Q60" i="23" s="1"/>
  <c r="J49" i="23"/>
  <c r="K50" i="23" s="1"/>
  <c r="M42" i="23"/>
  <c r="S69" i="23"/>
  <c r="L98" i="23"/>
  <c r="V51" i="23"/>
  <c r="X50" i="23"/>
  <c r="S50" i="23"/>
  <c r="T50" i="23"/>
  <c r="K56" i="23"/>
  <c r="J105" i="23" s="1"/>
  <c r="N56" i="23"/>
  <c r="N60" i="23" s="1"/>
  <c r="N50" i="23"/>
  <c r="L104" i="23"/>
  <c r="F49" i="23"/>
  <c r="G50" i="23" s="1"/>
  <c r="K98" i="23"/>
  <c r="I49" i="23"/>
  <c r="N51" i="23"/>
  <c r="S39" i="23"/>
  <c r="S41" i="23" s="1"/>
  <c r="T42" i="23" s="1"/>
  <c r="K69" i="23"/>
  <c r="V50" i="23"/>
  <c r="N69" i="23"/>
  <c r="L69" i="23"/>
  <c r="E51" i="23"/>
  <c r="L56" i="23"/>
  <c r="U69" i="23"/>
  <c r="D104" i="23"/>
  <c r="L51" i="23"/>
  <c r="U50" i="23"/>
  <c r="U51" i="23"/>
  <c r="U56" i="23"/>
  <c r="U60" i="23" s="1"/>
  <c r="V69" i="23"/>
  <c r="Q50" i="23"/>
  <c r="E69" i="23"/>
  <c r="T69" i="23"/>
  <c r="D105" i="23"/>
  <c r="E60" i="23"/>
  <c r="X55" i="23"/>
  <c r="X56" i="23" s="1"/>
  <c r="X60" i="23" s="1"/>
  <c r="H39" i="23"/>
  <c r="H41" i="23" s="1"/>
  <c r="M98" i="23"/>
  <c r="P51" i="23"/>
  <c r="I39" i="23"/>
  <c r="I41" i="23" s="1"/>
  <c r="G56" i="23"/>
  <c r="G60" i="23" s="1"/>
  <c r="P69" i="23"/>
  <c r="P50" i="23"/>
  <c r="G69" i="23"/>
  <c r="N39" i="23"/>
  <c r="N41" i="23" s="1"/>
  <c r="N42" i="23" s="1"/>
  <c r="D41" i="23"/>
  <c r="E42" i="23" s="1"/>
  <c r="C104" i="23"/>
  <c r="D98" i="23"/>
  <c r="H99" i="23"/>
  <c r="D49" i="23"/>
  <c r="D51" i="23" s="1"/>
  <c r="T55" i="23"/>
  <c r="T56" i="23" s="1"/>
  <c r="D55" i="23"/>
  <c r="M56" i="23"/>
  <c r="M60" i="23" s="1"/>
  <c r="M51" i="23"/>
  <c r="M50" i="23"/>
  <c r="O39" i="23"/>
  <c r="O41" i="23" s="1"/>
  <c r="P42" i="23" s="1"/>
  <c r="V55" i="23"/>
  <c r="V56" i="23" s="1"/>
  <c r="M69" i="23"/>
  <c r="G39" i="23"/>
  <c r="G41" i="23" s="1"/>
  <c r="G105" i="23"/>
  <c r="C39" i="23"/>
  <c r="C41" i="23" s="1"/>
  <c r="E98" i="23"/>
  <c r="J39" i="23"/>
  <c r="J41" i="23" s="1"/>
  <c r="K42" i="23" s="1"/>
  <c r="E99" i="23"/>
  <c r="O114" i="23"/>
  <c r="C99" i="23"/>
  <c r="W39" i="23"/>
  <c r="W41" i="23" s="1"/>
  <c r="D103" i="23"/>
  <c r="D97" i="23"/>
  <c r="L97" i="23"/>
  <c r="L103" i="23"/>
  <c r="N105" i="23"/>
  <c r="N100" i="23"/>
  <c r="N106" i="23"/>
  <c r="F39" i="23"/>
  <c r="M103" i="23"/>
  <c r="M97" i="23"/>
  <c r="I55" i="23"/>
  <c r="E97" i="23"/>
  <c r="E103" i="23"/>
  <c r="J103" i="23"/>
  <c r="J97" i="23"/>
  <c r="G103" i="23"/>
  <c r="G97" i="23"/>
  <c r="K103" i="23"/>
  <c r="K97" i="23"/>
  <c r="I103" i="23"/>
  <c r="I97" i="23"/>
  <c r="C103" i="23"/>
  <c r="C97" i="23"/>
  <c r="H103" i="23"/>
  <c r="H97" i="23"/>
  <c r="R39" i="23"/>
  <c r="R41" i="23" s="1"/>
  <c r="F103" i="23"/>
  <c r="F97" i="23"/>
  <c r="P57" i="23"/>
  <c r="S55" i="23"/>
  <c r="U39" i="23"/>
  <c r="U41" i="23" s="1"/>
  <c r="J104" i="23" l="1"/>
  <c r="M99" i="23"/>
  <c r="Q57" i="23"/>
  <c r="J50" i="23"/>
  <c r="K60" i="23"/>
  <c r="K99" i="23"/>
  <c r="J51" i="23"/>
  <c r="J56" i="23"/>
  <c r="J99" i="23" s="1"/>
  <c r="O57" i="23"/>
  <c r="R42" i="23"/>
  <c r="Z41" i="23"/>
  <c r="O115" i="23"/>
  <c r="O117" i="23"/>
  <c r="M105" i="23"/>
  <c r="G118" i="23"/>
  <c r="I50" i="23"/>
  <c r="I51" i="23"/>
  <c r="R57" i="23"/>
  <c r="L57" i="23"/>
  <c r="F125" i="23"/>
  <c r="D126" i="23"/>
  <c r="G122" i="23"/>
  <c r="H8" i="23"/>
  <c r="G9" i="23"/>
  <c r="L99" i="23"/>
  <c r="N99" i="23"/>
  <c r="H42" i="23"/>
  <c r="F56" i="23"/>
  <c r="F60" i="23" s="1"/>
  <c r="F50" i="23"/>
  <c r="F51" i="23"/>
  <c r="V57" i="23"/>
  <c r="G99" i="23"/>
  <c r="E50" i="23"/>
  <c r="F105" i="23"/>
  <c r="H57" i="23"/>
  <c r="D42" i="23"/>
  <c r="I98" i="23"/>
  <c r="L60" i="23"/>
  <c r="K105" i="23"/>
  <c r="N57" i="23"/>
  <c r="M57" i="23"/>
  <c r="D50" i="23"/>
  <c r="D56" i="23"/>
  <c r="C105" i="23" s="1"/>
  <c r="I42" i="23"/>
  <c r="G104" i="23"/>
  <c r="F104" i="23"/>
  <c r="N98" i="23"/>
  <c r="K57" i="23"/>
  <c r="H98" i="23"/>
  <c r="H104" i="23"/>
  <c r="M104" i="23"/>
  <c r="L105" i="23"/>
  <c r="O42" i="23"/>
  <c r="W57" i="23"/>
  <c r="V60" i="23"/>
  <c r="U57" i="23"/>
  <c r="T60" i="23"/>
  <c r="G98" i="23"/>
  <c r="I104" i="23"/>
  <c r="N104" i="23"/>
  <c r="J98" i="23"/>
  <c r="C98" i="23"/>
  <c r="J42" i="23"/>
  <c r="X57" i="23"/>
  <c r="S42" i="23"/>
  <c r="P114" i="23"/>
  <c r="F41" i="23"/>
  <c r="F98" i="23"/>
  <c r="E104" i="23"/>
  <c r="W42" i="23"/>
  <c r="X42" i="23"/>
  <c r="I56" i="23"/>
  <c r="N103" i="23"/>
  <c r="N97" i="23"/>
  <c r="U42" i="23"/>
  <c r="V42" i="23"/>
  <c r="O105" i="23"/>
  <c r="O104" i="23"/>
  <c r="O100" i="23"/>
  <c r="O106" i="23"/>
  <c r="O99" i="23"/>
  <c r="O98" i="23"/>
  <c r="S56" i="23"/>
  <c r="S60" i="23" s="1"/>
  <c r="F57" i="23" l="1"/>
  <c r="I105" i="23"/>
  <c r="J60" i="23"/>
  <c r="F99" i="23"/>
  <c r="E105" i="23"/>
  <c r="G57" i="23"/>
  <c r="P115" i="23"/>
  <c r="P117" i="23"/>
  <c r="H118" i="23"/>
  <c r="E126" i="23"/>
  <c r="C127" i="23"/>
  <c r="G125" i="23"/>
  <c r="H122" i="23"/>
  <c r="I8" i="23"/>
  <c r="H9" i="23"/>
  <c r="D99" i="23"/>
  <c r="D57" i="23"/>
  <c r="J57" i="23"/>
  <c r="I60" i="23"/>
  <c r="E57" i="23"/>
  <c r="D60" i="23"/>
  <c r="Q114" i="23"/>
  <c r="O97" i="23"/>
  <c r="O103" i="23"/>
  <c r="S57" i="23"/>
  <c r="T57" i="23"/>
  <c r="F42" i="23"/>
  <c r="G42" i="23"/>
  <c r="P105" i="23"/>
  <c r="P104" i="23"/>
  <c r="P106" i="23"/>
  <c r="P99" i="23"/>
  <c r="P98" i="23"/>
  <c r="P100" i="23"/>
  <c r="I57" i="23"/>
  <c r="I99" i="23"/>
  <c r="H105" i="23"/>
  <c r="Q115" i="23" l="1"/>
  <c r="Q117" i="23"/>
  <c r="I118" i="23"/>
  <c r="D127" i="23"/>
  <c r="H125" i="23"/>
  <c r="F126" i="23"/>
  <c r="I122" i="23"/>
  <c r="J8" i="23"/>
  <c r="I9" i="23"/>
  <c r="R114" i="23"/>
  <c r="Q104" i="23"/>
  <c r="Q100" i="23"/>
  <c r="Q98" i="23"/>
  <c r="Q99" i="23"/>
  <c r="Q105" i="23"/>
  <c r="Q106" i="23"/>
  <c r="P103" i="23"/>
  <c r="P97" i="23"/>
  <c r="R115" i="23" l="1"/>
  <c r="R117" i="23"/>
  <c r="J118" i="23"/>
  <c r="E127" i="23"/>
  <c r="G126" i="23"/>
  <c r="I125" i="23"/>
  <c r="J122" i="23"/>
  <c r="K8" i="23"/>
  <c r="J9" i="23"/>
  <c r="S114" i="23"/>
  <c r="Q103" i="23"/>
  <c r="Q97" i="23"/>
  <c r="R100" i="23"/>
  <c r="R106" i="23"/>
  <c r="R99" i="23"/>
  <c r="R104" i="23"/>
  <c r="R105" i="23"/>
  <c r="R98" i="23"/>
  <c r="S115" i="23" l="1"/>
  <c r="S117" i="23"/>
  <c r="K118" i="23"/>
  <c r="J125" i="23"/>
  <c r="F127" i="23"/>
  <c r="H126" i="23"/>
  <c r="K122" i="23"/>
  <c r="L8" i="23"/>
  <c r="K9" i="23"/>
  <c r="T114" i="23"/>
  <c r="R103" i="23"/>
  <c r="R97" i="23"/>
  <c r="S100" i="23"/>
  <c r="S106" i="23"/>
  <c r="S99" i="23"/>
  <c r="S98" i="23"/>
  <c r="S105" i="23"/>
  <c r="S104" i="23"/>
  <c r="T115" i="23" l="1"/>
  <c r="T117" i="23"/>
  <c r="L118" i="23"/>
  <c r="G127" i="23"/>
  <c r="K125" i="23"/>
  <c r="I126" i="23"/>
  <c r="L122" i="23"/>
  <c r="M8" i="23"/>
  <c r="L9" i="23"/>
  <c r="U114" i="23"/>
  <c r="S97" i="23"/>
  <c r="S103" i="23"/>
  <c r="T106" i="23"/>
  <c r="T99" i="23"/>
  <c r="T98" i="23"/>
  <c r="T104" i="23"/>
  <c r="T105" i="23"/>
  <c r="T100" i="23"/>
  <c r="U115" i="23" l="1"/>
  <c r="U117" i="23"/>
  <c r="M118" i="23"/>
  <c r="M110" i="23"/>
  <c r="H127" i="23"/>
  <c r="C128" i="23"/>
  <c r="J126" i="23"/>
  <c r="L125" i="23"/>
  <c r="M122" i="23"/>
  <c r="N8" i="23"/>
  <c r="M9" i="23"/>
  <c r="V114" i="23"/>
  <c r="T97" i="23"/>
  <c r="T103" i="23"/>
  <c r="U98" i="23"/>
  <c r="U105" i="23"/>
  <c r="U99" i="23"/>
  <c r="U104" i="23"/>
  <c r="U106" i="23"/>
  <c r="U100" i="23"/>
  <c r="V115" i="23" l="1"/>
  <c r="V117" i="23"/>
  <c r="N118" i="23"/>
  <c r="N110" i="23"/>
  <c r="I127" i="23"/>
  <c r="D128" i="23"/>
  <c r="M125" i="23"/>
  <c r="K126" i="23"/>
  <c r="N122" i="23"/>
  <c r="N9" i="23"/>
  <c r="O8" i="23"/>
  <c r="W114" i="23"/>
  <c r="U103" i="23"/>
  <c r="U97" i="23"/>
  <c r="V105" i="23"/>
  <c r="V104" i="23"/>
  <c r="V99" i="23"/>
  <c r="V98" i="23"/>
  <c r="V106" i="23"/>
  <c r="V100" i="23"/>
  <c r="W115" i="23" l="1"/>
  <c r="W117" i="23"/>
  <c r="O118" i="23"/>
  <c r="O110" i="23"/>
  <c r="J127" i="23"/>
  <c r="E128" i="23"/>
  <c r="L126" i="23"/>
  <c r="N125" i="23"/>
  <c r="O122" i="23"/>
  <c r="O9" i="23"/>
  <c r="P8" i="23"/>
  <c r="X114" i="23"/>
  <c r="V103" i="23"/>
  <c r="V97" i="23"/>
  <c r="W105" i="23"/>
  <c r="W104" i="23"/>
  <c r="W99" i="23"/>
  <c r="W106" i="23"/>
  <c r="W98" i="23"/>
  <c r="W100" i="23"/>
  <c r="X115" i="23" l="1"/>
  <c r="X117" i="23"/>
  <c r="P118" i="23"/>
  <c r="P110" i="23"/>
  <c r="F128" i="23"/>
  <c r="M126" i="23"/>
  <c r="K127" i="23"/>
  <c r="O125" i="23"/>
  <c r="P122" i="23"/>
  <c r="Q8" i="23"/>
  <c r="P9" i="23"/>
  <c r="O128" i="23"/>
  <c r="W97" i="23"/>
  <c r="W103" i="23"/>
  <c r="X99" i="23"/>
  <c r="X100" i="23"/>
  <c r="X98" i="23"/>
  <c r="Q118" i="23" l="1"/>
  <c r="Q110" i="23"/>
  <c r="L127" i="23"/>
  <c r="G128" i="23"/>
  <c r="P125" i="23"/>
  <c r="N126" i="23"/>
  <c r="Q122" i="23"/>
  <c r="Q9" i="23"/>
  <c r="R8" i="23"/>
  <c r="P128" i="23"/>
  <c r="X97" i="23"/>
  <c r="R118" i="23" l="1"/>
  <c r="R110" i="23"/>
  <c r="O126" i="23"/>
  <c r="Q125" i="23"/>
  <c r="M127" i="23"/>
  <c r="H128" i="23"/>
  <c r="R122" i="23"/>
  <c r="S8" i="23"/>
  <c r="R9" i="23"/>
  <c r="Q128" i="23"/>
  <c r="S118" i="23" l="1"/>
  <c r="S110" i="23"/>
  <c r="N127" i="23"/>
  <c r="I128" i="23"/>
  <c r="R125" i="23"/>
  <c r="P126" i="23"/>
  <c r="S122" i="23"/>
  <c r="S9" i="23"/>
  <c r="T8" i="23"/>
  <c r="R128" i="23"/>
  <c r="T118" i="23" l="1"/>
  <c r="T110" i="23"/>
  <c r="O127" i="23"/>
  <c r="S125" i="23"/>
  <c r="J128" i="23"/>
  <c r="Q126" i="23"/>
  <c r="T127" i="23"/>
  <c r="T122" i="23"/>
  <c r="T9" i="23"/>
  <c r="U8" i="23"/>
  <c r="S128" i="23"/>
  <c r="U118" i="23" l="1"/>
  <c r="U110" i="23"/>
  <c r="K128" i="23"/>
  <c r="R126" i="23"/>
  <c r="P127" i="23"/>
  <c r="T125" i="23"/>
  <c r="U127" i="23"/>
  <c r="U122" i="23"/>
  <c r="U9" i="23"/>
  <c r="V8" i="23"/>
  <c r="V118" i="23" l="1"/>
  <c r="V110" i="23"/>
  <c r="S126" i="23"/>
  <c r="L128" i="23"/>
  <c r="U125" i="23"/>
  <c r="Q127" i="23"/>
  <c r="V126" i="23"/>
  <c r="V127" i="23"/>
  <c r="V122" i="23"/>
  <c r="W8" i="23"/>
  <c r="V9" i="23"/>
  <c r="W118" i="23" l="1"/>
  <c r="W110" i="23"/>
  <c r="V125" i="23"/>
  <c r="M128" i="23"/>
  <c r="T126" i="23"/>
  <c r="R127" i="23"/>
  <c r="W126" i="23"/>
  <c r="W127" i="23"/>
  <c r="W122" i="23"/>
  <c r="W9" i="23"/>
  <c r="X8" i="23"/>
  <c r="X118" i="23" l="1"/>
  <c r="W125" i="23"/>
  <c r="U126" i="23"/>
  <c r="S127" i="23"/>
  <c r="N128" i="23"/>
  <c r="X125" i="23"/>
  <c r="X126" i="23"/>
  <c r="X127" i="23"/>
  <c r="X122" i="23"/>
  <c r="X9" i="23"/>
  <c r="J7" i="15" l="1"/>
  <c r="J11" i="15"/>
  <c r="J12" i="16"/>
  <c r="J7" i="16"/>
  <c r="J12" i="12"/>
  <c r="J7" i="12"/>
  <c r="L9" i="16"/>
  <c r="M9" i="16" s="1"/>
  <c r="L9" i="12"/>
  <c r="M9" i="12" s="1"/>
  <c r="N9" i="12" s="1"/>
  <c r="O9" i="12" s="1"/>
  <c r="P9" i="12" s="1"/>
  <c r="Q9" i="12" s="1"/>
  <c r="R9" i="12" s="1"/>
  <c r="S9" i="12" s="1"/>
  <c r="T9" i="12" s="1"/>
  <c r="U9" i="12" s="1"/>
  <c r="AA101" i="11"/>
  <c r="AA100" i="11"/>
  <c r="AA94" i="11"/>
  <c r="AA74" i="11"/>
  <c r="AA84" i="11" s="1"/>
  <c r="AA71" i="11"/>
  <c r="AA59" i="11"/>
  <c r="AA58" i="11"/>
  <c r="AA57" i="11"/>
  <c r="AA56" i="11"/>
  <c r="AA48" i="11"/>
  <c r="AA88" i="11" s="1"/>
  <c r="AA43" i="11"/>
  <c r="AA24" i="11"/>
  <c r="AA170" i="11" s="1"/>
  <c r="AA9" i="11"/>
  <c r="AA143" i="11"/>
  <c r="AA139" i="11"/>
  <c r="AA127" i="11"/>
  <c r="AA124" i="11"/>
  <c r="AA362" i="11"/>
  <c r="AA361" i="11"/>
  <c r="AA360" i="11"/>
  <c r="AA359" i="11"/>
  <c r="AA358" i="11"/>
  <c r="AA357" i="11"/>
  <c r="AA350" i="11"/>
  <c r="AA349" i="11"/>
  <c r="AA345" i="11"/>
  <c r="AA344" i="11"/>
  <c r="AA338" i="11"/>
  <c r="AA93" i="11" s="1"/>
  <c r="AA333" i="11"/>
  <c r="AA313" i="11"/>
  <c r="AA322" i="11" s="1"/>
  <c r="AA288" i="11"/>
  <c r="AA346" i="11" s="1"/>
  <c r="Z288" i="11"/>
  <c r="AA459" i="11"/>
  <c r="AA437" i="11"/>
  <c r="AA409" i="11"/>
  <c r="AA99" i="11" s="1"/>
  <c r="AA249" i="11"/>
  <c r="AA116" i="11" s="1"/>
  <c r="AA237" i="11"/>
  <c r="AA37" i="11" s="1"/>
  <c r="AA240" i="11"/>
  <c r="AA241" i="11" s="1"/>
  <c r="AA238" i="11"/>
  <c r="AA218" i="11"/>
  <c r="AA221" i="11" s="1"/>
  <c r="AA226" i="11" s="1"/>
  <c r="AA229" i="11" s="1"/>
  <c r="AA231" i="11" s="1"/>
  <c r="AA212" i="11"/>
  <c r="AA146" i="11" s="1"/>
  <c r="AA10" i="11" l="1"/>
  <c r="AA11" i="11" s="1"/>
  <c r="AA45" i="11" s="1"/>
  <c r="AA351" i="11"/>
  <c r="AB139" i="11"/>
  <c r="AC139" i="11" s="1"/>
  <c r="AB116" i="11"/>
  <c r="AC116" i="11" s="1"/>
  <c r="AD116" i="11" s="1"/>
  <c r="AA363" i="11"/>
  <c r="AA144" i="11"/>
  <c r="AA145" i="11" s="1"/>
  <c r="AA462" i="11"/>
  <c r="AA72" i="11"/>
  <c r="AA290" i="11"/>
  <c r="AA301" i="11" s="1"/>
  <c r="AA158" i="11"/>
  <c r="AA125" i="11"/>
  <c r="AA126" i="11" s="1"/>
  <c r="AA339" i="11"/>
  <c r="AA334" i="11"/>
  <c r="AA347" i="11"/>
  <c r="AA60" i="11"/>
  <c r="AA83" i="11" s="1"/>
  <c r="AA90" i="11" s="1"/>
  <c r="AA214" i="11"/>
  <c r="AA49" i="11"/>
  <c r="D1" i="21"/>
  <c r="AA82" i="11" l="1"/>
  <c r="AA171" i="11"/>
  <c r="AA172" i="11" s="1"/>
  <c r="BC22" i="28"/>
  <c r="AV116" i="11"/>
  <c r="AA353" i="11"/>
  <c r="AA366" i="11" s="1"/>
  <c r="AA335" i="11"/>
  <c r="AD139" i="11"/>
  <c r="AV139" i="11" s="1"/>
  <c r="AA163" i="11"/>
  <c r="AA162" i="11" s="1"/>
  <c r="AA73" i="11"/>
  <c r="AA75" i="11" s="1"/>
  <c r="AA63" i="11"/>
  <c r="AA66" i="11" s="1"/>
  <c r="AA61" i="11"/>
  <c r="AA25" i="11"/>
  <c r="AA52" i="11"/>
  <c r="AA40" i="11"/>
  <c r="F1" i="20"/>
  <c r="BD204" i="11"/>
  <c r="BC204" i="11"/>
  <c r="BB204" i="11"/>
  <c r="BA204" i="11"/>
  <c r="AZ204" i="11"/>
  <c r="BD203" i="11"/>
  <c r="BC203" i="11"/>
  <c r="BB203" i="11"/>
  <c r="BA203" i="11"/>
  <c r="BH202" i="11"/>
  <c r="BG202" i="11"/>
  <c r="BF202" i="11"/>
  <c r="BE202" i="11"/>
  <c r="BH201" i="11"/>
  <c r="BG201" i="11"/>
  <c r="BF201" i="11"/>
  <c r="BE201" i="11"/>
  <c r="AA186" i="11" l="1"/>
  <c r="AA187" i="11"/>
  <c r="AA192" i="11"/>
  <c r="AA191" i="11"/>
  <c r="AA76" i="11"/>
  <c r="AA85" i="11" s="1"/>
  <c r="AA86" i="11" s="1"/>
  <c r="AA89" i="11" s="1"/>
  <c r="AA29" i="11"/>
  <c r="AA36" i="11" s="1"/>
  <c r="AB36" i="11" s="1"/>
  <c r="AA27" i="11"/>
  <c r="B1" i="18"/>
  <c r="K1" i="17"/>
  <c r="AA77" i="11" l="1"/>
  <c r="AA33" i="11"/>
  <c r="Y22" i="17"/>
  <c r="X22" i="17"/>
  <c r="W22" i="17"/>
  <c r="V22" i="17"/>
  <c r="U22" i="17"/>
  <c r="T22" i="17"/>
  <c r="Y21" i="17"/>
  <c r="X21" i="17"/>
  <c r="W21" i="17"/>
  <c r="V21" i="17"/>
  <c r="U21" i="17"/>
  <c r="T21" i="17"/>
  <c r="Y20" i="17"/>
  <c r="X20" i="17"/>
  <c r="W20" i="17"/>
  <c r="V20" i="17"/>
  <c r="U20" i="17"/>
  <c r="T20" i="17"/>
  <c r="Y19" i="17"/>
  <c r="X19" i="17"/>
  <c r="W19" i="17"/>
  <c r="V19" i="17"/>
  <c r="U19" i="17"/>
  <c r="T19" i="17"/>
  <c r="Y18" i="17"/>
  <c r="X18" i="17"/>
  <c r="W18" i="17"/>
  <c r="V18" i="17"/>
  <c r="U18" i="17"/>
  <c r="T18" i="17"/>
  <c r="Y17" i="17"/>
  <c r="X17" i="17"/>
  <c r="W17" i="17"/>
  <c r="V17" i="17"/>
  <c r="U17" i="17"/>
  <c r="T17" i="17"/>
  <c r="Y16" i="17"/>
  <c r="X16" i="17"/>
  <c r="W16" i="17"/>
  <c r="V16" i="17"/>
  <c r="U16" i="17"/>
  <c r="T16" i="17"/>
  <c r="Y15" i="17"/>
  <c r="X15" i="17"/>
  <c r="W15" i="17"/>
  <c r="V15" i="17"/>
  <c r="U15" i="17"/>
  <c r="T15" i="17"/>
  <c r="Y14" i="17"/>
  <c r="X14" i="17"/>
  <c r="W14" i="17"/>
  <c r="V14" i="17"/>
  <c r="U14" i="17"/>
  <c r="T14" i="17"/>
  <c r="Y13" i="17"/>
  <c r="X13" i="17"/>
  <c r="W13" i="17"/>
  <c r="V13" i="17"/>
  <c r="U13" i="17"/>
  <c r="T13" i="17"/>
  <c r="Y12" i="17"/>
  <c r="X12" i="17"/>
  <c r="W12" i="17"/>
  <c r="V12" i="17"/>
  <c r="U12" i="17"/>
  <c r="T12" i="17"/>
  <c r="Y11" i="17"/>
  <c r="X11" i="17"/>
  <c r="W11" i="17"/>
  <c r="V11" i="17"/>
  <c r="U11" i="17"/>
  <c r="T11" i="17"/>
  <c r="Y10" i="17"/>
  <c r="X10" i="17"/>
  <c r="W10" i="17"/>
  <c r="V10" i="17"/>
  <c r="U10" i="17"/>
  <c r="T10" i="17"/>
  <c r="Y9" i="17"/>
  <c r="X9" i="17"/>
  <c r="W9" i="17"/>
  <c r="V9" i="17"/>
  <c r="U9" i="17"/>
  <c r="T9" i="17"/>
  <c r="Y8" i="17"/>
  <c r="X8" i="17"/>
  <c r="W8" i="17"/>
  <c r="V8" i="17"/>
  <c r="U8" i="17"/>
  <c r="T8" i="17"/>
  <c r="Y7" i="17"/>
  <c r="X7" i="17"/>
  <c r="W7" i="17"/>
  <c r="V7" i="17"/>
  <c r="U7" i="17"/>
  <c r="T7" i="17"/>
  <c r="U6" i="17"/>
  <c r="T6" i="17"/>
  <c r="Y6" i="17"/>
  <c r="X6" i="17"/>
  <c r="W6" i="17"/>
  <c r="V6" i="17"/>
  <c r="AZ1" i="17"/>
  <c r="H8" i="17" l="1"/>
  <c r="F11" i="17"/>
  <c r="J17" i="17"/>
  <c r="J21" i="17"/>
  <c r="G7" i="17"/>
  <c r="I12" i="17"/>
  <c r="G19" i="17"/>
  <c r="F10" i="17"/>
  <c r="J12" i="17"/>
  <c r="F18" i="17"/>
  <c r="I6" i="17"/>
  <c r="I7" i="17"/>
  <c r="K8" i="17"/>
  <c r="G10" i="17"/>
  <c r="I11" i="17"/>
  <c r="K12" i="17"/>
  <c r="G14" i="17"/>
  <c r="K16" i="17"/>
  <c r="G18" i="17"/>
  <c r="I19" i="17"/>
  <c r="K20" i="17"/>
  <c r="G22" i="17"/>
  <c r="F7" i="17"/>
  <c r="G11" i="17"/>
  <c r="J8" i="17"/>
  <c r="H19" i="17"/>
  <c r="J6" i="17"/>
  <c r="J7" i="17"/>
  <c r="F9" i="17"/>
  <c r="H10" i="17"/>
  <c r="J11" i="17"/>
  <c r="F13" i="17"/>
  <c r="H14" i="17"/>
  <c r="F17" i="17"/>
  <c r="H18" i="17"/>
  <c r="J19" i="17"/>
  <c r="F21" i="17"/>
  <c r="H22" i="17"/>
  <c r="J9" i="17"/>
  <c r="H12" i="17"/>
  <c r="H16" i="17"/>
  <c r="H20" i="17"/>
  <c r="I8" i="17"/>
  <c r="K13" i="17"/>
  <c r="I20" i="17"/>
  <c r="H11" i="17"/>
  <c r="J16" i="17"/>
  <c r="F22" i="17"/>
  <c r="K6" i="17"/>
  <c r="K7" i="17"/>
  <c r="G9" i="17"/>
  <c r="I10" i="17"/>
  <c r="K11" i="17"/>
  <c r="G13" i="17"/>
  <c r="I14" i="17"/>
  <c r="G17" i="17"/>
  <c r="I18" i="17"/>
  <c r="K19" i="17"/>
  <c r="G21" i="17"/>
  <c r="I22" i="17"/>
  <c r="K17" i="17"/>
  <c r="H6" i="17"/>
  <c r="F6" i="17"/>
  <c r="F8" i="17"/>
  <c r="H9" i="17"/>
  <c r="J10" i="17"/>
  <c r="F12" i="17"/>
  <c r="H13" i="17"/>
  <c r="J14" i="17"/>
  <c r="F16" i="17"/>
  <c r="H17" i="17"/>
  <c r="J18" i="17"/>
  <c r="F20" i="17"/>
  <c r="H21" i="17"/>
  <c r="J22" i="17"/>
  <c r="J13" i="17"/>
  <c r="F19" i="17"/>
  <c r="K9" i="17"/>
  <c r="I16" i="17"/>
  <c r="K21" i="17"/>
  <c r="H7" i="17"/>
  <c r="F14" i="17"/>
  <c r="J20" i="17"/>
  <c r="G6" i="17"/>
  <c r="G8" i="17"/>
  <c r="I9" i="17"/>
  <c r="K10" i="17"/>
  <c r="G12" i="17"/>
  <c r="I13" i="17"/>
  <c r="K14" i="17"/>
  <c r="G16" i="17"/>
  <c r="I17" i="17"/>
  <c r="K18" i="17"/>
  <c r="G20" i="17"/>
  <c r="I21" i="17"/>
  <c r="K22" i="17"/>
  <c r="G15" i="17"/>
  <c r="K15" i="17"/>
  <c r="F15" i="17"/>
  <c r="H15" i="17"/>
  <c r="I15" i="17"/>
  <c r="J15" i="17"/>
  <c r="AO272" i="11" l="1"/>
  <c r="AZ272" i="11" s="1"/>
  <c r="AN272" i="11"/>
  <c r="AY272" i="11" s="1"/>
  <c r="AQ122" i="11"/>
  <c r="AP122" i="11"/>
  <c r="AO276" i="11"/>
  <c r="AO277" i="11"/>
  <c r="AN277" i="11"/>
  <c r="AN276" i="11"/>
  <c r="AO273" i="11"/>
  <c r="AN273" i="11"/>
  <c r="AO122" i="11"/>
  <c r="AN122" i="11"/>
  <c r="A277" i="11" l="1"/>
  <c r="A273" i="11" s="1"/>
  <c r="A276" i="11"/>
  <c r="A272" i="11" s="1"/>
  <c r="X362" i="11" l="1"/>
  <c r="Y362" i="11"/>
  <c r="Z362" i="11"/>
  <c r="AV181" i="11"/>
  <c r="AV180" i="11"/>
  <c r="AV179" i="11"/>
  <c r="AD71" i="11"/>
  <c r="AB78" i="11"/>
  <c r="AC78" i="11" s="1"/>
  <c r="AD78" i="11" s="1"/>
  <c r="Z116" i="11"/>
  <c r="AA118" i="11" s="1"/>
  <c r="AV48" i="11" l="1"/>
  <c r="AV99" i="11"/>
  <c r="AV158" i="11"/>
  <c r="AV171" i="11" s="1"/>
  <c r="AB88" i="11"/>
  <c r="AD88" i="11"/>
  <c r="AC88" i="11"/>
  <c r="AB158" i="11"/>
  <c r="AB171" i="11" s="1"/>
  <c r="AD158" i="11"/>
  <c r="AD171" i="11" s="1"/>
  <c r="AC158" i="11"/>
  <c r="AC171" i="11" s="1"/>
  <c r="AD117" i="11"/>
  <c r="J25" i="12" l="1"/>
  <c r="J25" i="16"/>
  <c r="AV88" i="11"/>
  <c r="J54" i="16" s="1"/>
  <c r="AC160" i="11"/>
  <c r="AB160" i="11"/>
  <c r="AD160" i="11"/>
  <c r="J50" i="15" l="1"/>
  <c r="J54" i="12"/>
  <c r="Y361" i="11"/>
  <c r="X361" i="11"/>
  <c r="Y360" i="11"/>
  <c r="X360" i="11"/>
  <c r="Y359" i="11"/>
  <c r="X359" i="11"/>
  <c r="Y358" i="11"/>
  <c r="X358" i="11"/>
  <c r="Y357" i="11"/>
  <c r="X357" i="11"/>
  <c r="Y350" i="11"/>
  <c r="X350" i="11"/>
  <c r="Y349" i="11"/>
  <c r="X349" i="11"/>
  <c r="Y346" i="11"/>
  <c r="X346" i="11"/>
  <c r="Y345" i="11"/>
  <c r="X345" i="11"/>
  <c r="Y344" i="11"/>
  <c r="X344" i="11"/>
  <c r="Z361" i="11"/>
  <c r="Z360" i="11"/>
  <c r="Z359" i="11"/>
  <c r="Z358" i="11"/>
  <c r="Z357" i="11"/>
  <c r="Z350" i="11"/>
  <c r="Z349" i="11"/>
  <c r="Z345" i="11"/>
  <c r="Z344" i="11"/>
  <c r="A360" i="11"/>
  <c r="A359" i="11"/>
  <c r="A358" i="11"/>
  <c r="AV1" i="11"/>
  <c r="Z143" i="11"/>
  <c r="AD143" i="11" s="1"/>
  <c r="AD144" i="11" s="1"/>
  <c r="Z139" i="11"/>
  <c r="Z127" i="11"/>
  <c r="Z124" i="11"/>
  <c r="AD124" i="11" s="1"/>
  <c r="AD125" i="11" s="1"/>
  <c r="Z94" i="11"/>
  <c r="AU94" i="11" s="1"/>
  <c r="Z74" i="11"/>
  <c r="Z71" i="11"/>
  <c r="Z48" i="11"/>
  <c r="Z88" i="11" s="1"/>
  <c r="Z43" i="11"/>
  <c r="Z24" i="11"/>
  <c r="Z170" i="11" s="1"/>
  <c r="Z9" i="11"/>
  <c r="Z338" i="11"/>
  <c r="AU338" i="11" s="1"/>
  <c r="AU332" i="11"/>
  <c r="AU331" i="11"/>
  <c r="AU330" i="11"/>
  <c r="AU329" i="11"/>
  <c r="AU328" i="11"/>
  <c r="AU327" i="11"/>
  <c r="AU326" i="11"/>
  <c r="AU325" i="11"/>
  <c r="AU321" i="11"/>
  <c r="AU320" i="11"/>
  <c r="AU319" i="11"/>
  <c r="AU318" i="11"/>
  <c r="AU317" i="11"/>
  <c r="AU316" i="11"/>
  <c r="AU315" i="11"/>
  <c r="AU314" i="11"/>
  <c r="AU312" i="11"/>
  <c r="AU311" i="11"/>
  <c r="AU310" i="11"/>
  <c r="AU309" i="11"/>
  <c r="AU308" i="11"/>
  <c r="AU307" i="11"/>
  <c r="AU306" i="11"/>
  <c r="AU305" i="11"/>
  <c r="AU349" i="11" s="1"/>
  <c r="AU300" i="11"/>
  <c r="AU299" i="11"/>
  <c r="AU298" i="11"/>
  <c r="AU297" i="11"/>
  <c r="AU296" i="11"/>
  <c r="AU361" i="11" s="1"/>
  <c r="AU295" i="11"/>
  <c r="AU360" i="11" s="1"/>
  <c r="AU294" i="11"/>
  <c r="AU359" i="11" s="1"/>
  <c r="AU293" i="11"/>
  <c r="AU358" i="11" s="1"/>
  <c r="AU292" i="11"/>
  <c r="AU357" i="11" s="1"/>
  <c r="AU291" i="11"/>
  <c r="AU362" i="11" s="1"/>
  <c r="AU289" i="11"/>
  <c r="AU287" i="11"/>
  <c r="AU286" i="11"/>
  <c r="AU285" i="11"/>
  <c r="AU345" i="11" s="1"/>
  <c r="AU284" i="11"/>
  <c r="AU344" i="11" s="1"/>
  <c r="AU283" i="11"/>
  <c r="Z333" i="11"/>
  <c r="AU333" i="11" s="1"/>
  <c r="Z313" i="11"/>
  <c r="Z322" i="11" s="1"/>
  <c r="AU322" i="11" s="1"/>
  <c r="Z290" i="11"/>
  <c r="Z301" i="11" s="1"/>
  <c r="AU301" i="11" s="1"/>
  <c r="Z250" i="11"/>
  <c r="Z240" i="11"/>
  <c r="Z241" i="11" s="1"/>
  <c r="Z237" i="11"/>
  <c r="Z37" i="11" s="1"/>
  <c r="Z218" i="11"/>
  <c r="Z221" i="11" s="1"/>
  <c r="Z226" i="11" s="1"/>
  <c r="Z229" i="11" s="1"/>
  <c r="Z231" i="11" s="1"/>
  <c r="Z212" i="11"/>
  <c r="Z146" i="11" s="1"/>
  <c r="AU459" i="11"/>
  <c r="AU437" i="11"/>
  <c r="AU409" i="11"/>
  <c r="B15" i="26" l="1"/>
  <c r="Y351" i="11"/>
  <c r="AD163" i="11"/>
  <c r="AD162" i="11" s="1"/>
  <c r="AA141" i="11"/>
  <c r="AD140" i="11"/>
  <c r="X351" i="11"/>
  <c r="AU350" i="11"/>
  <c r="AU351" i="11" s="1"/>
  <c r="Z84" i="11"/>
  <c r="Z125" i="11"/>
  <c r="AD131" i="11" s="1"/>
  <c r="Z144" i="11"/>
  <c r="AD150" i="11" s="1"/>
  <c r="Z351" i="11"/>
  <c r="X363" i="11"/>
  <c r="X347" i="11"/>
  <c r="Y363" i="11"/>
  <c r="Y347" i="11"/>
  <c r="AU363" i="11"/>
  <c r="Z346" i="11"/>
  <c r="Z347" i="11" s="1"/>
  <c r="Z363" i="11"/>
  <c r="Z93" i="11"/>
  <c r="AU93" i="11" s="1"/>
  <c r="Z339" i="11"/>
  <c r="AU339" i="11" s="1"/>
  <c r="Z10" i="11"/>
  <c r="AU288" i="11"/>
  <c r="AU346" i="11" s="1"/>
  <c r="AU347" i="11" s="1"/>
  <c r="AU462" i="11"/>
  <c r="Z334" i="11"/>
  <c r="AU290" i="11"/>
  <c r="Z214" i="11"/>
  <c r="AU313" i="11"/>
  <c r="Z158" i="11"/>
  <c r="BB22" i="28" s="1"/>
  <c r="Z72" i="11"/>
  <c r="Z49" i="11"/>
  <c r="F490" i="11"/>
  <c r="H487" i="11"/>
  <c r="G487" i="11"/>
  <c r="G491" i="11" s="1"/>
  <c r="D487" i="11"/>
  <c r="E487" i="11" s="1"/>
  <c r="Y143" i="11"/>
  <c r="AC143" i="11" s="1"/>
  <c r="AC144" i="11" s="1"/>
  <c r="Y139" i="11"/>
  <c r="AC140" i="11" s="1"/>
  <c r="Y127" i="11"/>
  <c r="Y124" i="11"/>
  <c r="AC124" i="11" s="1"/>
  <c r="AC125" i="11" s="1"/>
  <c r="Y116" i="11"/>
  <c r="Y100" i="11"/>
  <c r="Y94" i="11"/>
  <c r="Y74" i="11"/>
  <c r="Y84" i="11" s="1"/>
  <c r="Y71" i="11"/>
  <c r="Y48" i="11"/>
  <c r="Y88" i="11" s="1"/>
  <c r="Y43" i="11"/>
  <c r="Y24" i="11"/>
  <c r="Y170" i="11" s="1"/>
  <c r="Y9" i="11"/>
  <c r="Y250" i="11"/>
  <c r="Y240" i="11"/>
  <c r="Y241" i="11" s="1"/>
  <c r="Y237" i="11"/>
  <c r="Y37" i="11" s="1"/>
  <c r="Y338" i="11"/>
  <c r="Y93" i="11" s="1"/>
  <c r="Y333" i="11"/>
  <c r="Y313" i="11"/>
  <c r="Y322" i="11" s="1"/>
  <c r="Y290" i="11"/>
  <c r="Y301" i="11" s="1"/>
  <c r="Y218" i="11"/>
  <c r="Y221" i="11" s="1"/>
  <c r="Y226" i="11" s="1"/>
  <c r="Y229" i="11" s="1"/>
  <c r="Y231" i="11" s="1"/>
  <c r="Y212" i="11"/>
  <c r="Y214" i="11" s="1"/>
  <c r="B20" i="26" l="1"/>
  <c r="B17" i="26"/>
  <c r="B19" i="26" s="1"/>
  <c r="B21" i="26" s="1"/>
  <c r="B25" i="26" s="1"/>
  <c r="B26" i="26" s="1"/>
  <c r="BC23" i="28"/>
  <c r="BC24" i="28"/>
  <c r="BC27" i="28"/>
  <c r="AA160" i="11"/>
  <c r="Z171" i="11"/>
  <c r="Z172" i="11" s="1"/>
  <c r="Y353" i="11"/>
  <c r="Y366" i="11" s="1"/>
  <c r="AC163" i="11"/>
  <c r="AC162" i="11" s="1"/>
  <c r="Z353" i="11"/>
  <c r="Z366" i="11" s="1"/>
  <c r="X353" i="11"/>
  <c r="X366" i="11" s="1"/>
  <c r="AU353" i="11"/>
  <c r="AU366" i="11" s="1"/>
  <c r="Z11" i="11"/>
  <c r="Z25" i="11" s="1"/>
  <c r="AV71" i="11"/>
  <c r="AB74" i="11"/>
  <c r="AD159" i="11"/>
  <c r="Z141" i="11"/>
  <c r="Z118" i="11"/>
  <c r="AC117" i="11"/>
  <c r="Z335" i="11"/>
  <c r="AU334" i="11"/>
  <c r="AU335" i="11" s="1"/>
  <c r="Z145" i="11"/>
  <c r="AD145" i="11" s="1"/>
  <c r="AD146" i="11" s="1"/>
  <c r="Z126" i="11"/>
  <c r="AD126" i="11" s="1"/>
  <c r="AD127" i="11" s="1"/>
  <c r="Z163" i="11"/>
  <c r="AD167" i="11" s="1"/>
  <c r="AD168" i="11" s="1"/>
  <c r="Z82" i="11"/>
  <c r="Z73" i="11"/>
  <c r="Z75" i="11" s="1"/>
  <c r="Y144" i="11"/>
  <c r="AC150" i="11" s="1"/>
  <c r="Y10" i="11"/>
  <c r="Y339" i="11"/>
  <c r="Y125" i="11"/>
  <c r="Y146" i="11"/>
  <c r="Y49" i="11"/>
  <c r="Y72" i="11"/>
  <c r="Y334" i="11"/>
  <c r="Y335" i="11" s="1"/>
  <c r="D92" i="12" l="1"/>
  <c r="B27" i="26"/>
  <c r="BC33" i="28"/>
  <c r="BC32" i="28"/>
  <c r="AA174" i="11"/>
  <c r="AD10" i="11"/>
  <c r="AD15" i="11" s="1"/>
  <c r="AD20" i="11" s="1"/>
  <c r="AD152" i="11"/>
  <c r="AD153" i="11"/>
  <c r="Y370" i="11"/>
  <c r="Z40" i="11"/>
  <c r="Z370" i="11"/>
  <c r="AA370" i="11"/>
  <c r="Z29" i="11"/>
  <c r="AD29" i="11" s="1"/>
  <c r="Z27" i="11"/>
  <c r="Z52" i="11"/>
  <c r="Z45" i="11"/>
  <c r="AB84" i="11"/>
  <c r="AC74" i="11"/>
  <c r="Y11" i="11"/>
  <c r="Y25" i="11" s="1"/>
  <c r="AD133" i="11"/>
  <c r="AD134" i="11" s="1"/>
  <c r="AD9" i="11"/>
  <c r="Y126" i="11"/>
  <c r="AC126" i="11" s="1"/>
  <c r="AC127" i="11" s="1"/>
  <c r="AC131" i="11"/>
  <c r="Y145" i="11"/>
  <c r="AC145" i="11" s="1"/>
  <c r="AC146" i="11" s="1"/>
  <c r="AC10" i="11" s="1"/>
  <c r="AC15" i="11" s="1"/>
  <c r="AC20" i="11" s="1"/>
  <c r="Z162" i="11"/>
  <c r="AD166" i="11" s="1"/>
  <c r="Z76" i="11"/>
  <c r="Z85" i="11" s="1"/>
  <c r="Y82" i="11"/>
  <c r="Y73" i="11"/>
  <c r="Z186" i="11" l="1"/>
  <c r="Z187" i="11"/>
  <c r="Z192" i="11"/>
  <c r="Z191" i="11"/>
  <c r="AC153" i="11"/>
  <c r="Y52" i="11"/>
  <c r="AC152" i="11"/>
  <c r="Y29" i="11"/>
  <c r="Y27" i="11"/>
  <c r="Y75" i="11"/>
  <c r="Y76" i="11" s="1"/>
  <c r="Y77" i="11" s="1"/>
  <c r="Y79" i="11" s="1"/>
  <c r="Z36" i="11"/>
  <c r="AA32" i="11"/>
  <c r="AA31" i="11"/>
  <c r="Y40" i="11"/>
  <c r="Y45" i="11"/>
  <c r="Z33" i="11"/>
  <c r="AC84" i="11"/>
  <c r="AD74" i="11"/>
  <c r="AV74" i="11" s="1"/>
  <c r="AC133" i="11"/>
  <c r="AC134" i="11" s="1"/>
  <c r="AC9" i="11"/>
  <c r="AD11" i="11"/>
  <c r="AD14" i="11"/>
  <c r="AD19" i="11" s="1"/>
  <c r="Z77" i="11"/>
  <c r="Z79" i="11" s="1"/>
  <c r="Y192" i="11" l="1"/>
  <c r="Y191" i="11"/>
  <c r="Y186" i="11"/>
  <c r="Y187" i="11"/>
  <c r="Y36" i="11"/>
  <c r="AD36" i="11" s="1"/>
  <c r="AC29" i="11"/>
  <c r="Z31" i="11"/>
  <c r="Y85" i="11"/>
  <c r="Z32" i="11"/>
  <c r="Y33" i="11"/>
  <c r="J45" i="12"/>
  <c r="AV84" i="11"/>
  <c r="J45" i="16"/>
  <c r="J41" i="15"/>
  <c r="AD84" i="11"/>
  <c r="AD16" i="11"/>
  <c r="AD21" i="11"/>
  <c r="AC11" i="11"/>
  <c r="AC14" i="11"/>
  <c r="AC19" i="11" s="1"/>
  <c r="D85" i="15"/>
  <c r="A167" i="11"/>
  <c r="A166" i="11"/>
  <c r="AS179" i="11"/>
  <c r="AT179" i="11"/>
  <c r="AU179" i="11"/>
  <c r="AQ180" i="11"/>
  <c r="AT180" i="11"/>
  <c r="AU180" i="11"/>
  <c r="Q181" i="11"/>
  <c r="R181" i="11"/>
  <c r="S181" i="11"/>
  <c r="T181" i="11"/>
  <c r="U181" i="11"/>
  <c r="V181" i="11"/>
  <c r="W181" i="11"/>
  <c r="AU181" i="11" s="1"/>
  <c r="AI95" i="11"/>
  <c r="AH95" i="11"/>
  <c r="AG95" i="11"/>
  <c r="AF95" i="11"/>
  <c r="X93" i="11"/>
  <c r="W93" i="11"/>
  <c r="V93" i="11"/>
  <c r="U93" i="11"/>
  <c r="T93" i="11"/>
  <c r="S93" i="11"/>
  <c r="R93" i="11"/>
  <c r="Q93" i="11"/>
  <c r="P93" i="11"/>
  <c r="O93" i="11"/>
  <c r="N93" i="11"/>
  <c r="A93" i="11"/>
  <c r="AS338" i="11"/>
  <c r="AS93" i="11" s="1"/>
  <c r="AT338" i="11"/>
  <c r="AT93" i="11" s="1"/>
  <c r="AR338" i="11"/>
  <c r="AR93" i="11" s="1"/>
  <c r="X339" i="11"/>
  <c r="X94" i="11"/>
  <c r="D89" i="16"/>
  <c r="M12" i="16"/>
  <c r="M11" i="15" s="1"/>
  <c r="M7" i="16"/>
  <c r="M7" i="15" s="1"/>
  <c r="K9" i="15"/>
  <c r="L9" i="15" s="1"/>
  <c r="M9" i="15" s="1"/>
  <c r="N9" i="15" s="1"/>
  <c r="O9" i="15" s="1"/>
  <c r="P9" i="15" s="1"/>
  <c r="Q9" i="15" s="1"/>
  <c r="R9" i="15" s="1"/>
  <c r="S9" i="15" s="1"/>
  <c r="T9" i="15" s="1"/>
  <c r="U9" i="15" s="1"/>
  <c r="L59" i="16"/>
  <c r="M59" i="16" s="1"/>
  <c r="F49" i="16"/>
  <c r="G49" i="16" s="1"/>
  <c r="H49" i="16" s="1"/>
  <c r="I49" i="16" s="1"/>
  <c r="J49" i="16" s="1"/>
  <c r="K49" i="16" s="1"/>
  <c r="L49" i="16" s="1"/>
  <c r="M49" i="16" s="1"/>
  <c r="N49" i="16" s="1"/>
  <c r="O49" i="16" s="1"/>
  <c r="P49" i="16" s="1"/>
  <c r="Q49" i="16" s="1"/>
  <c r="R49" i="16" s="1"/>
  <c r="S49" i="16" s="1"/>
  <c r="T49" i="16" s="1"/>
  <c r="U49" i="16" s="1"/>
  <c r="N40" i="16"/>
  <c r="O40" i="16" s="1"/>
  <c r="P40" i="16" s="1"/>
  <c r="Q40" i="16" s="1"/>
  <c r="R40" i="16" s="1"/>
  <c r="A40" i="16"/>
  <c r="L3" i="16"/>
  <c r="M3" i="16" s="1"/>
  <c r="N3" i="16" s="1"/>
  <c r="O3" i="16" s="1"/>
  <c r="P3" i="16" s="1"/>
  <c r="Q3" i="16" s="1"/>
  <c r="R3" i="16" s="1"/>
  <c r="S3" i="16" s="1"/>
  <c r="T3" i="16" s="1"/>
  <c r="U3" i="16" s="1"/>
  <c r="D88" i="15"/>
  <c r="L59" i="12"/>
  <c r="M59" i="12" s="1"/>
  <c r="F49" i="12"/>
  <c r="G49" i="12" s="1"/>
  <c r="H49" i="12" s="1"/>
  <c r="I49" i="12" s="1"/>
  <c r="N40" i="12"/>
  <c r="O40" i="12" s="1"/>
  <c r="P40" i="12" s="1"/>
  <c r="Q40" i="12" s="1"/>
  <c r="R40" i="12" s="1"/>
  <c r="A40" i="12"/>
  <c r="L3" i="12"/>
  <c r="M3" i="12" s="1"/>
  <c r="N3" i="12" s="1"/>
  <c r="O3" i="12" s="1"/>
  <c r="P3" i="12" s="1"/>
  <c r="Q3" i="12" s="1"/>
  <c r="R3" i="12" s="1"/>
  <c r="S3" i="12" s="1"/>
  <c r="T3" i="12" s="1"/>
  <c r="U3" i="12" s="1"/>
  <c r="X100" i="11"/>
  <c r="X92" i="11"/>
  <c r="Y92" i="11" s="1"/>
  <c r="X74" i="11"/>
  <c r="X84" i="11" s="1"/>
  <c r="X71" i="11"/>
  <c r="X48" i="11"/>
  <c r="X88" i="11" s="1"/>
  <c r="X43" i="11"/>
  <c r="X24" i="11"/>
  <c r="X170" i="11" s="1"/>
  <c r="X9" i="11"/>
  <c r="X143" i="11"/>
  <c r="AB143" i="11" s="1"/>
  <c r="X139" i="11"/>
  <c r="AB140" i="11" s="1"/>
  <c r="X127" i="11"/>
  <c r="X124" i="11"/>
  <c r="AB124" i="11" s="1"/>
  <c r="AB125" i="11" s="1"/>
  <c r="AV125" i="11" s="1"/>
  <c r="AV124" i="11" s="1"/>
  <c r="X116" i="11"/>
  <c r="X250" i="11"/>
  <c r="X240" i="11"/>
  <c r="X241" i="11" s="1"/>
  <c r="X237" i="11"/>
  <c r="X37" i="11" s="1"/>
  <c r="X333" i="11"/>
  <c r="X313" i="11"/>
  <c r="X322" i="11" s="1"/>
  <c r="X290" i="11"/>
  <c r="X301" i="11" s="1"/>
  <c r="X218" i="11"/>
  <c r="X221" i="11" s="1"/>
  <c r="X226" i="11" s="1"/>
  <c r="X229" i="11" s="1"/>
  <c r="X231" i="11" s="1"/>
  <c r="X212" i="11"/>
  <c r="X214" i="11" s="1"/>
  <c r="L55" i="15"/>
  <c r="F45" i="15"/>
  <c r="G45" i="15" s="1"/>
  <c r="H45" i="15" s="1"/>
  <c r="I45" i="15" s="1"/>
  <c r="J45" i="15" s="1"/>
  <c r="K45" i="15" s="1"/>
  <c r="L45" i="15" s="1"/>
  <c r="M45" i="15" s="1"/>
  <c r="N45" i="15" s="1"/>
  <c r="O45" i="15" s="1"/>
  <c r="P45" i="15" s="1"/>
  <c r="Q45" i="15" s="1"/>
  <c r="R45" i="15" s="1"/>
  <c r="S45" i="15" s="1"/>
  <c r="T45" i="15" s="1"/>
  <c r="U45" i="15" s="1"/>
  <c r="N36" i="15"/>
  <c r="O36" i="15" s="1"/>
  <c r="P36" i="15" s="1"/>
  <c r="Q36" i="15" s="1"/>
  <c r="R36" i="15" s="1"/>
  <c r="A36" i="15"/>
  <c r="L3" i="15"/>
  <c r="M3" i="15" s="1"/>
  <c r="N3" i="15" s="1"/>
  <c r="O3" i="15" s="1"/>
  <c r="P3" i="15" s="1"/>
  <c r="Q3" i="15" s="1"/>
  <c r="R3" i="15" s="1"/>
  <c r="S3" i="15" s="1"/>
  <c r="T3" i="15" s="1"/>
  <c r="U3" i="15" s="1"/>
  <c r="AN236" i="11"/>
  <c r="AM236" i="11"/>
  <c r="AL236" i="11"/>
  <c r="AP236" i="11"/>
  <c r="AO236" i="11"/>
  <c r="A237" i="11"/>
  <c r="A236" i="11"/>
  <c r="A235" i="11"/>
  <c r="A234" i="11"/>
  <c r="AI35" i="11"/>
  <c r="AH35" i="11"/>
  <c r="AG35" i="11"/>
  <c r="AF35" i="11"/>
  <c r="AI29" i="11"/>
  <c r="AI36" i="11" s="1"/>
  <c r="AH29" i="11"/>
  <c r="AH36" i="11" s="1"/>
  <c r="AG29" i="11"/>
  <c r="AG36" i="11" s="1"/>
  <c r="AF29" i="11"/>
  <c r="AF36" i="11" s="1"/>
  <c r="AL4" i="11"/>
  <c r="AN94" i="11"/>
  <c r="AM94" i="11"/>
  <c r="AL94" i="11"/>
  <c r="AK94" i="11"/>
  <c r="AJ94" i="11"/>
  <c r="AN92" i="11"/>
  <c r="AM92" i="11"/>
  <c r="AL92" i="11"/>
  <c r="AK92" i="11"/>
  <c r="AJ92" i="11"/>
  <c r="AO94" i="11"/>
  <c r="AO92" i="11"/>
  <c r="AL78" i="11"/>
  <c r="AK78" i="11"/>
  <c r="AJ78" i="11"/>
  <c r="A152" i="11"/>
  <c r="A151" i="11"/>
  <c r="A150" i="11"/>
  <c r="A149" i="11"/>
  <c r="A133" i="11"/>
  <c r="A132" i="11"/>
  <c r="A131" i="11"/>
  <c r="A130" i="11"/>
  <c r="AB144" i="11" l="1"/>
  <c r="AV143" i="11"/>
  <c r="J49" i="12"/>
  <c r="K49" i="12" s="1"/>
  <c r="L49" i="12" s="1"/>
  <c r="M49" i="12" s="1"/>
  <c r="N49" i="12" s="1"/>
  <c r="O49" i="12" s="1"/>
  <c r="P49" i="12" s="1"/>
  <c r="Q49" i="12" s="1"/>
  <c r="R49" i="12" s="1"/>
  <c r="S49" i="12" s="1"/>
  <c r="T49" i="12" s="1"/>
  <c r="U49" i="12" s="1"/>
  <c r="AC33" i="11"/>
  <c r="AC16" i="11"/>
  <c r="AC21" i="11"/>
  <c r="Y141" i="11"/>
  <c r="Y118" i="11"/>
  <c r="AB117" i="11"/>
  <c r="Y95" i="11"/>
  <c r="Z92" i="11"/>
  <c r="AA92" i="11" s="1"/>
  <c r="AA95" i="11" s="1"/>
  <c r="X158" i="11"/>
  <c r="AZ22" i="28" s="1"/>
  <c r="Y158" i="11"/>
  <c r="AJ95" i="11"/>
  <c r="AL95" i="11"/>
  <c r="AO95" i="11"/>
  <c r="C54" i="15" s="1"/>
  <c r="AK95" i="11"/>
  <c r="AT181" i="11"/>
  <c r="AM95" i="11"/>
  <c r="AN95" i="11"/>
  <c r="X95" i="11"/>
  <c r="D92" i="16"/>
  <c r="C85" i="15"/>
  <c r="N59" i="16"/>
  <c r="N59" i="12"/>
  <c r="C89" i="12"/>
  <c r="X125" i="11"/>
  <c r="X72" i="11"/>
  <c r="X334" i="11"/>
  <c r="X335" i="11" s="1"/>
  <c r="X144" i="11"/>
  <c r="X146" i="11"/>
  <c r="X10" i="11"/>
  <c r="M55" i="15"/>
  <c r="Y171" i="11" l="1"/>
  <c r="Y172" i="11" s="1"/>
  <c r="Z174" i="11" s="1"/>
  <c r="BA22" i="28"/>
  <c r="AB150" i="11"/>
  <c r="AB159" i="11"/>
  <c r="X171" i="11"/>
  <c r="X172" i="11" s="1"/>
  <c r="C90" i="12"/>
  <c r="B29" i="26"/>
  <c r="B30" i="26" s="1"/>
  <c r="AV144" i="11"/>
  <c r="AV163" i="11" s="1"/>
  <c r="AV162" i="11" s="1"/>
  <c r="AB163" i="11"/>
  <c r="AB162" i="11" s="1"/>
  <c r="Z95" i="11"/>
  <c r="AU92" i="11"/>
  <c r="AA79" i="11"/>
  <c r="X11" i="11"/>
  <c r="X25" i="11" s="1"/>
  <c r="Z160" i="11"/>
  <c r="AC159" i="11"/>
  <c r="X126" i="11"/>
  <c r="AB126" i="11" s="1"/>
  <c r="AB127" i="11" s="1"/>
  <c r="AB131" i="11"/>
  <c r="C89" i="16"/>
  <c r="X163" i="11"/>
  <c r="Y160" i="11"/>
  <c r="C58" i="12"/>
  <c r="C58" i="16"/>
  <c r="O59" i="16"/>
  <c r="O59" i="12"/>
  <c r="X145" i="11"/>
  <c r="AB145" i="11" s="1"/>
  <c r="N55" i="15"/>
  <c r="AS254" i="11"/>
  <c r="AS124" i="11" s="1"/>
  <c r="AR254" i="11"/>
  <c r="AR124" i="11" s="1"/>
  <c r="AQ254" i="11"/>
  <c r="AQ124" i="11" s="1"/>
  <c r="AS253" i="11"/>
  <c r="AS143" i="11" s="1"/>
  <c r="AR253" i="11"/>
  <c r="AR143" i="11" s="1"/>
  <c r="AQ253" i="11"/>
  <c r="AQ143" i="11" s="1"/>
  <c r="AT254" i="11"/>
  <c r="AT124" i="11" s="1"/>
  <c r="AT253" i="11"/>
  <c r="AT143" i="11" s="1"/>
  <c r="V254" i="11"/>
  <c r="V124" i="11" s="1"/>
  <c r="Z130" i="11" s="1"/>
  <c r="U254" i="11"/>
  <c r="U124" i="11" s="1"/>
  <c r="Y130" i="11" s="1"/>
  <c r="T254" i="11"/>
  <c r="T124" i="11" s="1"/>
  <c r="X130" i="11" s="1"/>
  <c r="S254" i="11"/>
  <c r="S124" i="11" s="1"/>
  <c r="R254" i="11"/>
  <c r="R124" i="11" s="1"/>
  <c r="Q254" i="11"/>
  <c r="Q124" i="11" s="1"/>
  <c r="P254" i="11"/>
  <c r="P124" i="11" s="1"/>
  <c r="O254" i="11"/>
  <c r="O124" i="11" s="1"/>
  <c r="N254" i="11"/>
  <c r="N124" i="11" s="1"/>
  <c r="M254" i="11"/>
  <c r="M124" i="11" s="1"/>
  <c r="L254" i="11"/>
  <c r="L124" i="11" s="1"/>
  <c r="K254" i="11"/>
  <c r="K124" i="11" s="1"/>
  <c r="J254" i="11"/>
  <c r="J124" i="11" s="1"/>
  <c r="I254" i="11"/>
  <c r="I124" i="11" s="1"/>
  <c r="H254" i="11"/>
  <c r="H124" i="11" s="1"/>
  <c r="G254" i="11"/>
  <c r="G124" i="11" s="1"/>
  <c r="V253" i="11"/>
  <c r="V143" i="11" s="1"/>
  <c r="Z149" i="11" s="1"/>
  <c r="U253" i="11"/>
  <c r="U143" i="11" s="1"/>
  <c r="Y149" i="11" s="1"/>
  <c r="T253" i="11"/>
  <c r="T143" i="11" s="1"/>
  <c r="X149" i="11" s="1"/>
  <c r="S253" i="11"/>
  <c r="S143" i="11" s="1"/>
  <c r="R253" i="11"/>
  <c r="R143" i="11" s="1"/>
  <c r="Q253" i="11"/>
  <c r="Q143" i="11" s="1"/>
  <c r="P253" i="11"/>
  <c r="P143" i="11" s="1"/>
  <c r="O253" i="11"/>
  <c r="O143" i="11" s="1"/>
  <c r="N253" i="11"/>
  <c r="N143" i="11" s="1"/>
  <c r="M253" i="11"/>
  <c r="M143" i="11" s="1"/>
  <c r="L253" i="11"/>
  <c r="L143" i="11" s="1"/>
  <c r="K253" i="11"/>
  <c r="K143" i="11" s="1"/>
  <c r="J253" i="11"/>
  <c r="J143" i="11" s="1"/>
  <c r="I253" i="11"/>
  <c r="I143" i="11" s="1"/>
  <c r="H253" i="11"/>
  <c r="H143" i="11" s="1"/>
  <c r="G253" i="11"/>
  <c r="G143" i="11" s="1"/>
  <c r="W254" i="11"/>
  <c r="W124" i="11" s="1"/>
  <c r="AA130" i="11" s="1"/>
  <c r="W253" i="11"/>
  <c r="W143" i="11" s="1"/>
  <c r="AA149" i="11" s="1"/>
  <c r="BA23" i="28" l="1"/>
  <c r="BA24" i="28"/>
  <c r="BA27" i="28"/>
  <c r="BB23" i="28"/>
  <c r="BB27" i="28"/>
  <c r="BB24" i="28"/>
  <c r="Y174" i="11"/>
  <c r="C91" i="12"/>
  <c r="C91" i="16" s="1"/>
  <c r="AV145" i="11"/>
  <c r="AV146" i="11" s="1"/>
  <c r="AB146" i="11"/>
  <c r="X40" i="11"/>
  <c r="AD33" i="11"/>
  <c r="AD32" i="11"/>
  <c r="AD31" i="11"/>
  <c r="AB133" i="11"/>
  <c r="AB134" i="11" s="1"/>
  <c r="AB9" i="11"/>
  <c r="X162" i="11"/>
  <c r="AB166" i="11" s="1"/>
  <c r="AB167" i="11"/>
  <c r="AB168" i="11" s="1"/>
  <c r="Y163" i="11"/>
  <c r="AC167" i="11" s="1"/>
  <c r="AC168" i="11" s="1"/>
  <c r="D90" i="12"/>
  <c r="D90" i="16" s="1"/>
  <c r="C86" i="15"/>
  <c r="C90" i="16"/>
  <c r="P59" i="16"/>
  <c r="P59" i="12"/>
  <c r="X27" i="11"/>
  <c r="O55" i="15"/>
  <c r="R149" i="11"/>
  <c r="AR149" i="11"/>
  <c r="K149" i="11"/>
  <c r="S149" i="11"/>
  <c r="AS149" i="11"/>
  <c r="L149" i="11"/>
  <c r="N149" i="11"/>
  <c r="V149" i="11"/>
  <c r="AS130" i="11"/>
  <c r="O149" i="11"/>
  <c r="AT149" i="11"/>
  <c r="T149" i="11"/>
  <c r="P149" i="11"/>
  <c r="AT130" i="11"/>
  <c r="AR130" i="11"/>
  <c r="W149" i="11"/>
  <c r="M149" i="11"/>
  <c r="U149" i="11"/>
  <c r="Q149" i="11"/>
  <c r="S130" i="11"/>
  <c r="T130" i="11"/>
  <c r="M130" i="11"/>
  <c r="U130" i="11"/>
  <c r="R130" i="11"/>
  <c r="K130" i="11"/>
  <c r="L130" i="11"/>
  <c r="W130" i="11"/>
  <c r="N130" i="11"/>
  <c r="V130" i="11"/>
  <c r="O130" i="11"/>
  <c r="P130" i="11"/>
  <c r="Q130" i="11"/>
  <c r="AP260" i="11"/>
  <c r="AP259" i="11"/>
  <c r="AP258" i="11"/>
  <c r="N260" i="11"/>
  <c r="M260" i="11"/>
  <c r="L260" i="11"/>
  <c r="K260" i="11"/>
  <c r="J260" i="11"/>
  <c r="I260" i="11"/>
  <c r="H260" i="11"/>
  <c r="G260" i="11"/>
  <c r="F260" i="11"/>
  <c r="E260" i="11"/>
  <c r="D260" i="11"/>
  <c r="C260" i="11"/>
  <c r="N259" i="11"/>
  <c r="M259" i="11"/>
  <c r="L259" i="11"/>
  <c r="K259" i="11"/>
  <c r="J259" i="11"/>
  <c r="I259" i="11"/>
  <c r="H259" i="11"/>
  <c r="G259" i="11"/>
  <c r="F259" i="11"/>
  <c r="E259" i="11"/>
  <c r="D259" i="11"/>
  <c r="C259" i="11"/>
  <c r="N258" i="11"/>
  <c r="M258" i="11"/>
  <c r="L258" i="11"/>
  <c r="K258" i="11"/>
  <c r="J258" i="11"/>
  <c r="I258" i="11"/>
  <c r="H258" i="11"/>
  <c r="G258" i="11"/>
  <c r="F258" i="11"/>
  <c r="E258" i="11"/>
  <c r="D258" i="11"/>
  <c r="C258" i="11"/>
  <c r="N257" i="11"/>
  <c r="M257" i="11"/>
  <c r="L257" i="11"/>
  <c r="K257" i="11"/>
  <c r="J257" i="11"/>
  <c r="I257" i="11"/>
  <c r="H257" i="11"/>
  <c r="G257" i="11"/>
  <c r="F257" i="11"/>
  <c r="E257" i="11"/>
  <c r="D257" i="11"/>
  <c r="C257" i="11"/>
  <c r="A260" i="11"/>
  <c r="V213" i="11"/>
  <c r="U213" i="11"/>
  <c r="T213" i="11"/>
  <c r="T127" i="11" s="1"/>
  <c r="X133" i="11" s="1"/>
  <c r="X134" i="11" s="1"/>
  <c r="X19" i="11" s="1"/>
  <c r="S213" i="11"/>
  <c r="S127" i="11" s="1"/>
  <c r="R213" i="11"/>
  <c r="R127" i="11" s="1"/>
  <c r="Q213" i="11"/>
  <c r="Q127" i="11" s="1"/>
  <c r="P213" i="11"/>
  <c r="P127" i="11" s="1"/>
  <c r="O213" i="11"/>
  <c r="O127" i="11" s="1"/>
  <c r="V211" i="11"/>
  <c r="U211" i="11"/>
  <c r="T211" i="11"/>
  <c r="S211" i="11"/>
  <c r="R211" i="11"/>
  <c r="Q211" i="11"/>
  <c r="P211" i="11"/>
  <c r="O211" i="11"/>
  <c r="N211" i="11"/>
  <c r="M211" i="11"/>
  <c r="L211" i="11"/>
  <c r="K211" i="11"/>
  <c r="J211" i="11"/>
  <c r="I211" i="11"/>
  <c r="H211" i="11"/>
  <c r="G211" i="11"/>
  <c r="F211" i="11"/>
  <c r="E211" i="11"/>
  <c r="D211" i="11"/>
  <c r="C211" i="11"/>
  <c r="V210" i="11"/>
  <c r="U210" i="11"/>
  <c r="T210" i="11"/>
  <c r="S210" i="11"/>
  <c r="R210" i="11"/>
  <c r="Q210" i="11"/>
  <c r="P210" i="11"/>
  <c r="O210" i="11"/>
  <c r="N210" i="11"/>
  <c r="M210" i="11"/>
  <c r="L210" i="11"/>
  <c r="K210" i="11"/>
  <c r="J210" i="11"/>
  <c r="I210" i="11"/>
  <c r="H210" i="11"/>
  <c r="G210" i="11"/>
  <c r="F210" i="11"/>
  <c r="E210" i="11"/>
  <c r="D210" i="11"/>
  <c r="C210" i="11"/>
  <c r="V248" i="11"/>
  <c r="V139" i="11" s="1"/>
  <c r="Z140" i="11" s="1"/>
  <c r="U248" i="11"/>
  <c r="U139" i="11" s="1"/>
  <c r="Y140" i="11" s="1"/>
  <c r="T248" i="11"/>
  <c r="T139" i="11" s="1"/>
  <c r="S248" i="11"/>
  <c r="S139" i="11" s="1"/>
  <c r="R248" i="11"/>
  <c r="R139" i="11" s="1"/>
  <c r="Q248" i="11"/>
  <c r="Q139" i="11" s="1"/>
  <c r="P248" i="11"/>
  <c r="P139" i="11" s="1"/>
  <c r="O248" i="11"/>
  <c r="O139" i="11" s="1"/>
  <c r="N248" i="11"/>
  <c r="N139" i="11" s="1"/>
  <c r="M248" i="11"/>
  <c r="M139" i="11" s="1"/>
  <c r="L248" i="11"/>
  <c r="L139" i="11" s="1"/>
  <c r="K248" i="11"/>
  <c r="K139" i="11" s="1"/>
  <c r="J248" i="11"/>
  <c r="J139" i="11" s="1"/>
  <c r="I248" i="11"/>
  <c r="I139" i="11" s="1"/>
  <c r="H248" i="11"/>
  <c r="H139" i="11" s="1"/>
  <c r="G248" i="11"/>
  <c r="G139" i="11" s="1"/>
  <c r="F248" i="11"/>
  <c r="F139" i="11" s="1"/>
  <c r="E248" i="11"/>
  <c r="E139" i="11" s="1"/>
  <c r="D248" i="11"/>
  <c r="D139" i="11" s="1"/>
  <c r="C248" i="11"/>
  <c r="C139" i="11" s="1"/>
  <c r="V249" i="11"/>
  <c r="V116" i="11" s="1"/>
  <c r="Z117" i="11" s="1"/>
  <c r="U249" i="11"/>
  <c r="U116" i="11" s="1"/>
  <c r="Y117" i="11" s="1"/>
  <c r="T249" i="11"/>
  <c r="T116" i="11" s="1"/>
  <c r="X117" i="11" s="1"/>
  <c r="S249" i="11"/>
  <c r="S116" i="11" s="1"/>
  <c r="R249" i="11"/>
  <c r="R116" i="11" s="1"/>
  <c r="Q249" i="11"/>
  <c r="Q116" i="11" s="1"/>
  <c r="P249" i="11"/>
  <c r="P116" i="11" s="1"/>
  <c r="O249" i="11"/>
  <c r="O116" i="11" s="1"/>
  <c r="N249" i="11"/>
  <c r="N116" i="11" s="1"/>
  <c r="M249" i="11"/>
  <c r="M116" i="11" s="1"/>
  <c r="L249" i="11"/>
  <c r="L116" i="11" s="1"/>
  <c r="K249" i="11"/>
  <c r="K116" i="11" s="1"/>
  <c r="J249" i="11"/>
  <c r="J116" i="11" s="1"/>
  <c r="I249" i="11"/>
  <c r="I116" i="11" s="1"/>
  <c r="H249" i="11"/>
  <c r="H116" i="11" s="1"/>
  <c r="G249" i="11"/>
  <c r="G116" i="11" s="1"/>
  <c r="F249" i="11"/>
  <c r="F116" i="11" s="1"/>
  <c r="E249" i="11"/>
  <c r="E116" i="11" s="1"/>
  <c r="D249" i="11"/>
  <c r="D116" i="11" s="1"/>
  <c r="C249" i="11"/>
  <c r="C116" i="11" s="1"/>
  <c r="W213" i="11"/>
  <c r="AU213" i="11" s="1"/>
  <c r="W211" i="11"/>
  <c r="AU211" i="11" s="1"/>
  <c r="W210" i="11"/>
  <c r="AU210" i="11" s="1"/>
  <c r="W248" i="11"/>
  <c r="W249" i="11"/>
  <c r="U230" i="11"/>
  <c r="T230" i="11"/>
  <c r="S230" i="11"/>
  <c r="Q230" i="11"/>
  <c r="P230" i="11"/>
  <c r="O230" i="11"/>
  <c r="M230" i="11"/>
  <c r="L230" i="11"/>
  <c r="K230" i="11"/>
  <c r="I230" i="11"/>
  <c r="H230" i="11"/>
  <c r="G230" i="11"/>
  <c r="E230" i="11"/>
  <c r="D230" i="11"/>
  <c r="C230" i="11"/>
  <c r="U228" i="11"/>
  <c r="T228" i="11"/>
  <c r="S228" i="11"/>
  <c r="Q228" i="11"/>
  <c r="P228" i="11"/>
  <c r="O228" i="11"/>
  <c r="M228" i="11"/>
  <c r="L228" i="11"/>
  <c r="K228" i="11"/>
  <c r="I228" i="11"/>
  <c r="H228" i="11"/>
  <c r="G228" i="11"/>
  <c r="E228" i="11"/>
  <c r="D228" i="11"/>
  <c r="C228" i="11"/>
  <c r="U227" i="11"/>
  <c r="T227" i="11"/>
  <c r="S227" i="11"/>
  <c r="Q227" i="11"/>
  <c r="P227" i="11"/>
  <c r="O227" i="11"/>
  <c r="M227" i="11"/>
  <c r="L227" i="11"/>
  <c r="K227" i="11"/>
  <c r="I227" i="11"/>
  <c r="H227" i="11"/>
  <c r="G227" i="11"/>
  <c r="E227" i="11"/>
  <c r="D227" i="11"/>
  <c r="C227" i="11"/>
  <c r="U225" i="11"/>
  <c r="T225" i="11"/>
  <c r="S225" i="11"/>
  <c r="Q225" i="11"/>
  <c r="P225" i="11"/>
  <c r="O225" i="11"/>
  <c r="M225" i="11"/>
  <c r="L225" i="11"/>
  <c r="K225" i="11"/>
  <c r="I225" i="11"/>
  <c r="H225" i="11"/>
  <c r="G225" i="11"/>
  <c r="E225" i="11"/>
  <c r="D225" i="11"/>
  <c r="C225" i="11"/>
  <c r="U224" i="11"/>
  <c r="T224" i="11"/>
  <c r="S224" i="11"/>
  <c r="Q224" i="11"/>
  <c r="P224" i="11"/>
  <c r="O224" i="11"/>
  <c r="M224" i="11"/>
  <c r="L224" i="11"/>
  <c r="K224" i="11"/>
  <c r="I224" i="11"/>
  <c r="H224" i="11"/>
  <c r="G224" i="11"/>
  <c r="E224" i="11"/>
  <c r="D224" i="11"/>
  <c r="C224" i="11"/>
  <c r="U223" i="11"/>
  <c r="T223" i="11"/>
  <c r="S223" i="11"/>
  <c r="Q223" i="11"/>
  <c r="P223" i="11"/>
  <c r="O223" i="11"/>
  <c r="M223" i="11"/>
  <c r="L223" i="11"/>
  <c r="K223" i="11"/>
  <c r="I223" i="11"/>
  <c r="H223" i="11"/>
  <c r="G223" i="11"/>
  <c r="E223" i="11"/>
  <c r="D223" i="11"/>
  <c r="C223" i="11"/>
  <c r="U222" i="11"/>
  <c r="T222" i="11"/>
  <c r="S222" i="11"/>
  <c r="Q222" i="11"/>
  <c r="P222" i="11"/>
  <c r="O222" i="11"/>
  <c r="M222" i="11"/>
  <c r="L222" i="11"/>
  <c r="K222" i="11"/>
  <c r="I222" i="11"/>
  <c r="H222" i="11"/>
  <c r="G222" i="11"/>
  <c r="E222" i="11"/>
  <c r="D222" i="11"/>
  <c r="C222" i="11"/>
  <c r="U220" i="11"/>
  <c r="T220" i="11"/>
  <c r="S220" i="11"/>
  <c r="Q220" i="11"/>
  <c r="P220" i="11"/>
  <c r="O220" i="11"/>
  <c r="M220" i="11"/>
  <c r="L220" i="11"/>
  <c r="K220" i="11"/>
  <c r="I220" i="11"/>
  <c r="H220" i="11"/>
  <c r="G220" i="11"/>
  <c r="E220" i="11"/>
  <c r="D220" i="11"/>
  <c r="C220" i="11"/>
  <c r="U219" i="11"/>
  <c r="T219" i="11"/>
  <c r="S219" i="11"/>
  <c r="Q219" i="11"/>
  <c r="P219" i="11"/>
  <c r="O219" i="11"/>
  <c r="M219" i="11"/>
  <c r="L219" i="11"/>
  <c r="K219" i="11"/>
  <c r="I219" i="11"/>
  <c r="H219" i="11"/>
  <c r="G219" i="11"/>
  <c r="E219" i="11"/>
  <c r="D219" i="11"/>
  <c r="C219" i="11"/>
  <c r="U217" i="11"/>
  <c r="T217" i="11"/>
  <c r="T170" i="11" s="1"/>
  <c r="S217" i="11"/>
  <c r="S170" i="11" s="1"/>
  <c r="Q217" i="11"/>
  <c r="Q170" i="11" s="1"/>
  <c r="P217" i="11"/>
  <c r="P170" i="11" s="1"/>
  <c r="O217" i="11"/>
  <c r="O170" i="11" s="1"/>
  <c r="M217" i="11"/>
  <c r="M170" i="11" s="1"/>
  <c r="L217" i="11"/>
  <c r="L170" i="11" s="1"/>
  <c r="K217" i="11"/>
  <c r="K170" i="11" s="1"/>
  <c r="I217" i="11"/>
  <c r="I170" i="11" s="1"/>
  <c r="H217" i="11"/>
  <c r="H170" i="11" s="1"/>
  <c r="G217" i="11"/>
  <c r="G170" i="11" s="1"/>
  <c r="E217" i="11"/>
  <c r="E170" i="11" s="1"/>
  <c r="D217" i="11"/>
  <c r="D170" i="11" s="1"/>
  <c r="C217" i="11"/>
  <c r="C170" i="11" s="1"/>
  <c r="U216" i="11"/>
  <c r="T216" i="11"/>
  <c r="S216" i="11"/>
  <c r="Q216" i="11"/>
  <c r="P216" i="11"/>
  <c r="O216" i="11"/>
  <c r="M216" i="11"/>
  <c r="L216" i="11"/>
  <c r="K216" i="11"/>
  <c r="I216" i="11"/>
  <c r="H216" i="11"/>
  <c r="G216" i="11"/>
  <c r="E216" i="11"/>
  <c r="D216" i="11"/>
  <c r="C216" i="11"/>
  <c r="W230" i="11"/>
  <c r="AU230" i="11" s="1"/>
  <c r="W228" i="11"/>
  <c r="AU228" i="11" s="1"/>
  <c r="W227" i="11"/>
  <c r="AU227" i="11" s="1"/>
  <c r="W225" i="11"/>
  <c r="AU225" i="11" s="1"/>
  <c r="W224" i="11"/>
  <c r="AU224" i="11" s="1"/>
  <c r="W223" i="11"/>
  <c r="AU223" i="11" s="1"/>
  <c r="W222" i="11"/>
  <c r="AU222" i="11" s="1"/>
  <c r="W220" i="11"/>
  <c r="AU220" i="11" s="1"/>
  <c r="W219" i="11"/>
  <c r="AU219" i="11" s="1"/>
  <c r="W217" i="11"/>
  <c r="W216" i="11"/>
  <c r="AU216" i="11" s="1"/>
  <c r="N394" i="11"/>
  <c r="AS230" i="11"/>
  <c r="AR230" i="11"/>
  <c r="AQ230" i="11"/>
  <c r="AP230" i="11"/>
  <c r="AO230" i="11"/>
  <c r="AN230" i="11"/>
  <c r="AM230" i="11"/>
  <c r="AL230" i="11"/>
  <c r="AK230" i="11"/>
  <c r="AJ230" i="11"/>
  <c r="AT230" i="11"/>
  <c r="AS220" i="11"/>
  <c r="AR220" i="11"/>
  <c r="AQ220" i="11"/>
  <c r="AP220" i="11"/>
  <c r="AO220" i="11"/>
  <c r="AN220" i="11"/>
  <c r="AM220" i="11"/>
  <c r="AL220" i="11"/>
  <c r="AK220" i="11"/>
  <c r="AJ220" i="11"/>
  <c r="AT220" i="11"/>
  <c r="AS228" i="11"/>
  <c r="AR228" i="11"/>
  <c r="AQ228" i="11"/>
  <c r="AP228" i="11"/>
  <c r="AO228" i="11"/>
  <c r="AN228" i="11"/>
  <c r="AM228" i="11"/>
  <c r="AL228" i="11"/>
  <c r="AK228" i="11"/>
  <c r="AJ228" i="11"/>
  <c r="AS227" i="11"/>
  <c r="AR227" i="11"/>
  <c r="AQ227" i="11"/>
  <c r="AP227" i="11"/>
  <c r="AO227" i="11"/>
  <c r="AN227" i="11"/>
  <c r="AM227" i="11"/>
  <c r="AL227" i="11"/>
  <c r="AK227" i="11"/>
  <c r="AJ227" i="11"/>
  <c r="AS225" i="11"/>
  <c r="AR225" i="11"/>
  <c r="AQ225" i="11"/>
  <c r="AP225" i="11"/>
  <c r="AO225" i="11"/>
  <c r="AN225" i="11"/>
  <c r="AM225" i="11"/>
  <c r="AL225" i="11"/>
  <c r="AK225" i="11"/>
  <c r="AJ225" i="11"/>
  <c r="AS224" i="11"/>
  <c r="AR224" i="11"/>
  <c r="AQ224" i="11"/>
  <c r="AP224" i="11"/>
  <c r="AO224" i="11"/>
  <c r="AN224" i="11"/>
  <c r="AM224" i="11"/>
  <c r="AL224" i="11"/>
  <c r="AK224" i="11"/>
  <c r="AJ224" i="11"/>
  <c r="AS223" i="11"/>
  <c r="AR223" i="11"/>
  <c r="AQ223" i="11"/>
  <c r="AP223" i="11"/>
  <c r="AO223" i="11"/>
  <c r="AN223" i="11"/>
  <c r="AM223" i="11"/>
  <c r="AL223" i="11"/>
  <c r="AK223" i="11"/>
  <c r="AJ223" i="11"/>
  <c r="AS222" i="11"/>
  <c r="AR222" i="11"/>
  <c r="AQ222" i="11"/>
  <c r="AP222" i="11"/>
  <c r="AO222" i="11"/>
  <c r="AN222" i="11"/>
  <c r="AM222" i="11"/>
  <c r="AL222" i="11"/>
  <c r="AK222" i="11"/>
  <c r="AJ222" i="11"/>
  <c r="AS219" i="11"/>
  <c r="AR219" i="11"/>
  <c r="AQ219" i="11"/>
  <c r="AP219" i="11"/>
  <c r="AO219" i="11"/>
  <c r="AN219" i="11"/>
  <c r="AM219" i="11"/>
  <c r="AL219" i="11"/>
  <c r="AK219" i="11"/>
  <c r="AJ219" i="11"/>
  <c r="AS217" i="11"/>
  <c r="AS170" i="11" s="1"/>
  <c r="AR217" i="11"/>
  <c r="AR170" i="11" s="1"/>
  <c r="AQ217" i="11"/>
  <c r="AQ170" i="11" s="1"/>
  <c r="AP217" i="11"/>
  <c r="AP170" i="11" s="1"/>
  <c r="AO217" i="11"/>
  <c r="AO170" i="11" s="1"/>
  <c r="AN217" i="11"/>
  <c r="AN170" i="11" s="1"/>
  <c r="AM217" i="11"/>
  <c r="AM170" i="11" s="1"/>
  <c r="AL217" i="11"/>
  <c r="AL170" i="11" s="1"/>
  <c r="AK217" i="11"/>
  <c r="AK170" i="11" s="1"/>
  <c r="AJ217" i="11"/>
  <c r="AJ170" i="11" s="1"/>
  <c r="AS216" i="11"/>
  <c r="AR216" i="11"/>
  <c r="AQ216" i="11"/>
  <c r="AP216" i="11"/>
  <c r="AO216" i="11"/>
  <c r="AN216" i="11"/>
  <c r="AN214" i="11" s="1"/>
  <c r="AN11" i="11" s="1"/>
  <c r="AM216" i="11"/>
  <c r="AM214" i="11" s="1"/>
  <c r="AM11" i="11" s="1"/>
  <c r="AL216" i="11"/>
  <c r="AK216" i="11"/>
  <c r="AK214" i="11" s="1"/>
  <c r="AK11" i="11" s="1"/>
  <c r="AJ216" i="11"/>
  <c r="AJ214" i="11" s="1"/>
  <c r="AJ11" i="11" s="1"/>
  <c r="AT223" i="11"/>
  <c r="AT222" i="11"/>
  <c r="AT248" i="11"/>
  <c r="AT139" i="11" s="1"/>
  <c r="AS248" i="11"/>
  <c r="AS139" i="11" s="1"/>
  <c r="AR248" i="11"/>
  <c r="AR139" i="11" s="1"/>
  <c r="AQ248" i="11"/>
  <c r="AQ139" i="11" s="1"/>
  <c r="AP248" i="11"/>
  <c r="AP139" i="11" s="1"/>
  <c r="AS249" i="11"/>
  <c r="AS116" i="11" s="1"/>
  <c r="AR249" i="11"/>
  <c r="AR116" i="11" s="1"/>
  <c r="AQ249" i="11"/>
  <c r="AQ116" i="11" s="1"/>
  <c r="AP249" i="11"/>
  <c r="AP116" i="11" s="1"/>
  <c r="AT249" i="11"/>
  <c r="AT116" i="11" s="1"/>
  <c r="U332" i="11"/>
  <c r="T332" i="11"/>
  <c r="S332" i="11"/>
  <c r="Q332" i="11"/>
  <c r="P332" i="11"/>
  <c r="O332" i="11"/>
  <c r="M332" i="11"/>
  <c r="L332" i="11"/>
  <c r="K332" i="11"/>
  <c r="I332" i="11"/>
  <c r="H332" i="11"/>
  <c r="G332" i="11"/>
  <c r="E332" i="11"/>
  <c r="D332" i="11"/>
  <c r="C332" i="11"/>
  <c r="V331" i="11"/>
  <c r="U331" i="11"/>
  <c r="T331" i="11"/>
  <c r="S331" i="11"/>
  <c r="R331" i="11"/>
  <c r="Q331" i="11"/>
  <c r="P331" i="11"/>
  <c r="O331" i="11"/>
  <c r="N331" i="11"/>
  <c r="M331" i="11"/>
  <c r="L331" i="11"/>
  <c r="K331" i="11"/>
  <c r="J331" i="11"/>
  <c r="I331" i="11"/>
  <c r="H331" i="11"/>
  <c r="G331" i="11"/>
  <c r="F331" i="11"/>
  <c r="E331" i="11"/>
  <c r="D331" i="11"/>
  <c r="C331" i="11"/>
  <c r="U330" i="11"/>
  <c r="T330" i="11"/>
  <c r="S330" i="11"/>
  <c r="Q330" i="11"/>
  <c r="P330" i="11"/>
  <c r="O330" i="11"/>
  <c r="M330" i="11"/>
  <c r="L330" i="11"/>
  <c r="K330" i="11"/>
  <c r="I330" i="11"/>
  <c r="H330" i="11"/>
  <c r="G330" i="11"/>
  <c r="E330" i="11"/>
  <c r="D330" i="11"/>
  <c r="C330" i="11"/>
  <c r="U329" i="11"/>
  <c r="T329" i="11"/>
  <c r="S329" i="11"/>
  <c r="Q329" i="11"/>
  <c r="P329" i="11"/>
  <c r="O329" i="11"/>
  <c r="M329" i="11"/>
  <c r="L329" i="11"/>
  <c r="K329" i="11"/>
  <c r="I329" i="11"/>
  <c r="H329" i="11"/>
  <c r="G329" i="11"/>
  <c r="E329" i="11"/>
  <c r="D329" i="11"/>
  <c r="C329" i="11"/>
  <c r="U328" i="11"/>
  <c r="T328" i="11"/>
  <c r="S328" i="11"/>
  <c r="Q328" i="11"/>
  <c r="P328" i="11"/>
  <c r="O328" i="11"/>
  <c r="M328" i="11"/>
  <c r="L328" i="11"/>
  <c r="K328" i="11"/>
  <c r="I328" i="11"/>
  <c r="H328" i="11"/>
  <c r="G328" i="11"/>
  <c r="E328" i="11"/>
  <c r="D328" i="11"/>
  <c r="C328" i="11"/>
  <c r="U327" i="11"/>
  <c r="T327" i="11"/>
  <c r="S327" i="11"/>
  <c r="Q327" i="11"/>
  <c r="P327" i="11"/>
  <c r="O327" i="11"/>
  <c r="M327" i="11"/>
  <c r="L327" i="11"/>
  <c r="K327" i="11"/>
  <c r="I327" i="11"/>
  <c r="H327" i="11"/>
  <c r="G327" i="11"/>
  <c r="E327" i="11"/>
  <c r="D327" i="11"/>
  <c r="C327" i="11"/>
  <c r="U326" i="11"/>
  <c r="T326" i="11"/>
  <c r="S326" i="11"/>
  <c r="Q326" i="11"/>
  <c r="P326" i="11"/>
  <c r="O326" i="11"/>
  <c r="M326" i="11"/>
  <c r="L326" i="11"/>
  <c r="K326" i="11"/>
  <c r="I326" i="11"/>
  <c r="H326" i="11"/>
  <c r="G326" i="11"/>
  <c r="E326" i="11"/>
  <c r="D326" i="11"/>
  <c r="C326" i="11"/>
  <c r="U321" i="11"/>
  <c r="T321" i="11"/>
  <c r="S321" i="11"/>
  <c r="Q321" i="11"/>
  <c r="P321" i="11"/>
  <c r="O321" i="11"/>
  <c r="M321" i="11"/>
  <c r="L321" i="11"/>
  <c r="K321" i="11"/>
  <c r="I321" i="11"/>
  <c r="H321" i="11"/>
  <c r="G321" i="11"/>
  <c r="E321" i="11"/>
  <c r="D321" i="11"/>
  <c r="C321" i="11"/>
  <c r="U320" i="11"/>
  <c r="T320" i="11"/>
  <c r="S320" i="11"/>
  <c r="Q320" i="11"/>
  <c r="P320" i="11"/>
  <c r="O320" i="11"/>
  <c r="M320" i="11"/>
  <c r="L320" i="11"/>
  <c r="K320" i="11"/>
  <c r="J320" i="11"/>
  <c r="I320" i="11"/>
  <c r="H320" i="11"/>
  <c r="G320" i="11"/>
  <c r="F320" i="11"/>
  <c r="E320" i="11"/>
  <c r="D320" i="11"/>
  <c r="C320" i="11"/>
  <c r="U319" i="11"/>
  <c r="T319" i="11"/>
  <c r="S319" i="11"/>
  <c r="Q319" i="11"/>
  <c r="P319" i="11"/>
  <c r="O319" i="11"/>
  <c r="M319" i="11"/>
  <c r="L319" i="11"/>
  <c r="K319" i="11"/>
  <c r="I319" i="11"/>
  <c r="H319" i="11"/>
  <c r="G319" i="11"/>
  <c r="E319" i="11"/>
  <c r="D319" i="11"/>
  <c r="C319" i="11"/>
  <c r="U318" i="11"/>
  <c r="T318" i="11"/>
  <c r="S318" i="11"/>
  <c r="Q318" i="11"/>
  <c r="P318" i="11"/>
  <c r="O318" i="11"/>
  <c r="M318" i="11"/>
  <c r="L318" i="11"/>
  <c r="K318" i="11"/>
  <c r="I318" i="11"/>
  <c r="H318" i="11"/>
  <c r="G318" i="11"/>
  <c r="E318" i="11"/>
  <c r="D318" i="11"/>
  <c r="C318" i="11"/>
  <c r="U317" i="11"/>
  <c r="T317" i="11"/>
  <c r="S317" i="11"/>
  <c r="Q317" i="11"/>
  <c r="P317" i="11"/>
  <c r="O317" i="11"/>
  <c r="M317" i="11"/>
  <c r="L317" i="11"/>
  <c r="K317" i="11"/>
  <c r="I317" i="11"/>
  <c r="H317" i="11"/>
  <c r="G317" i="11"/>
  <c r="E317" i="11"/>
  <c r="D317" i="11"/>
  <c r="C317" i="11"/>
  <c r="U316" i="11"/>
  <c r="T316" i="11"/>
  <c r="S316" i="11"/>
  <c r="Q316" i="11"/>
  <c r="P316" i="11"/>
  <c r="O316" i="11"/>
  <c r="M316" i="11"/>
  <c r="L316" i="11"/>
  <c r="K316" i="11"/>
  <c r="J316" i="11"/>
  <c r="I316" i="11"/>
  <c r="H316" i="11"/>
  <c r="G316" i="11"/>
  <c r="F316" i="11"/>
  <c r="E316" i="11"/>
  <c r="D316" i="11"/>
  <c r="C316" i="11"/>
  <c r="U315" i="11"/>
  <c r="T315" i="11"/>
  <c r="S315" i="11"/>
  <c r="Q315" i="11"/>
  <c r="P315" i="11"/>
  <c r="O315" i="11"/>
  <c r="M315" i="11"/>
  <c r="L315" i="11"/>
  <c r="K315" i="11"/>
  <c r="I315" i="11"/>
  <c r="H315" i="11"/>
  <c r="G315" i="11"/>
  <c r="F315" i="11"/>
  <c r="E315" i="11"/>
  <c r="D315" i="11"/>
  <c r="C315" i="11"/>
  <c r="U314" i="11"/>
  <c r="T314" i="11"/>
  <c r="S314" i="11"/>
  <c r="Q314" i="11"/>
  <c r="P314" i="11"/>
  <c r="O314" i="11"/>
  <c r="M314" i="11"/>
  <c r="L314" i="11"/>
  <c r="K314" i="11"/>
  <c r="I314" i="11"/>
  <c r="H314" i="11"/>
  <c r="G314" i="11"/>
  <c r="E314" i="11"/>
  <c r="D314" i="11"/>
  <c r="C314" i="11"/>
  <c r="U312" i="11"/>
  <c r="T312" i="11"/>
  <c r="S312" i="11"/>
  <c r="Q312" i="11"/>
  <c r="P312" i="11"/>
  <c r="O312" i="11"/>
  <c r="M312" i="11"/>
  <c r="L312" i="11"/>
  <c r="K312" i="11"/>
  <c r="I312" i="11"/>
  <c r="H312" i="11"/>
  <c r="G312" i="11"/>
  <c r="F312" i="11"/>
  <c r="E312" i="11"/>
  <c r="D312" i="11"/>
  <c r="C312" i="11"/>
  <c r="V311" i="11"/>
  <c r="U311" i="11"/>
  <c r="T311" i="11"/>
  <c r="S311" i="11"/>
  <c r="R311" i="11"/>
  <c r="Q311" i="11"/>
  <c r="P311" i="11"/>
  <c r="O311" i="11"/>
  <c r="N311" i="11"/>
  <c r="M311" i="11"/>
  <c r="L311" i="11"/>
  <c r="K311" i="11"/>
  <c r="J311" i="11"/>
  <c r="I311" i="11"/>
  <c r="H311" i="11"/>
  <c r="G311" i="11"/>
  <c r="F311" i="11"/>
  <c r="E311" i="11"/>
  <c r="D311" i="11"/>
  <c r="C311" i="11"/>
  <c r="U310" i="11"/>
  <c r="T310" i="11"/>
  <c r="S310" i="11"/>
  <c r="Q310" i="11"/>
  <c r="P310" i="11"/>
  <c r="O310" i="11"/>
  <c r="M310" i="11"/>
  <c r="L310" i="11"/>
  <c r="K310" i="11"/>
  <c r="I310" i="11"/>
  <c r="H310" i="11"/>
  <c r="G310" i="11"/>
  <c r="F310" i="11"/>
  <c r="E310" i="11"/>
  <c r="D310" i="11"/>
  <c r="C310" i="11"/>
  <c r="U309" i="11"/>
  <c r="T309" i="11"/>
  <c r="S309" i="11"/>
  <c r="Q309" i="11"/>
  <c r="P309" i="11"/>
  <c r="O309" i="11"/>
  <c r="M309" i="11"/>
  <c r="L309" i="11"/>
  <c r="K309" i="11"/>
  <c r="I309" i="11"/>
  <c r="H309" i="11"/>
  <c r="G309" i="11"/>
  <c r="E309" i="11"/>
  <c r="D309" i="11"/>
  <c r="C309" i="11"/>
  <c r="U308" i="11"/>
  <c r="T308" i="11"/>
  <c r="S308" i="11"/>
  <c r="Q308" i="11"/>
  <c r="P308" i="11"/>
  <c r="O308" i="11"/>
  <c r="M308" i="11"/>
  <c r="L308" i="11"/>
  <c r="K308" i="11"/>
  <c r="I308" i="11"/>
  <c r="H308" i="11"/>
  <c r="G308" i="11"/>
  <c r="E308" i="11"/>
  <c r="D308" i="11"/>
  <c r="C308" i="11"/>
  <c r="U307" i="11"/>
  <c r="T307" i="11"/>
  <c r="S307" i="11"/>
  <c r="Q307" i="11"/>
  <c r="P307" i="11"/>
  <c r="O307" i="11"/>
  <c r="M307" i="11"/>
  <c r="L307" i="11"/>
  <c r="K307" i="11"/>
  <c r="I307" i="11"/>
  <c r="H307" i="11"/>
  <c r="G307" i="11"/>
  <c r="E307" i="11"/>
  <c r="D307" i="11"/>
  <c r="C307" i="11"/>
  <c r="U306" i="11"/>
  <c r="T306" i="11"/>
  <c r="S306" i="11"/>
  <c r="Q306" i="11"/>
  <c r="P306" i="11"/>
  <c r="O306" i="11"/>
  <c r="M306" i="11"/>
  <c r="L306" i="11"/>
  <c r="K306" i="11"/>
  <c r="I306" i="11"/>
  <c r="H306" i="11"/>
  <c r="G306" i="11"/>
  <c r="E306" i="11"/>
  <c r="D306" i="11"/>
  <c r="C306" i="11"/>
  <c r="U305" i="11"/>
  <c r="U349" i="11" s="1"/>
  <c r="T305" i="11"/>
  <c r="T349" i="11" s="1"/>
  <c r="S305" i="11"/>
  <c r="S349" i="11" s="1"/>
  <c r="Q305" i="11"/>
  <c r="Q349" i="11" s="1"/>
  <c r="P305" i="11"/>
  <c r="P349" i="11" s="1"/>
  <c r="O305" i="11"/>
  <c r="O349" i="11" s="1"/>
  <c r="M305" i="11"/>
  <c r="M349" i="11" s="1"/>
  <c r="L305" i="11"/>
  <c r="L349" i="11" s="1"/>
  <c r="K305" i="11"/>
  <c r="K349" i="11" s="1"/>
  <c r="I305" i="11"/>
  <c r="I349" i="11" s="1"/>
  <c r="H305" i="11"/>
  <c r="H349" i="11" s="1"/>
  <c r="G305" i="11"/>
  <c r="G349" i="11" s="1"/>
  <c r="E305" i="11"/>
  <c r="E349" i="11" s="1"/>
  <c r="D305" i="11"/>
  <c r="D349" i="11" s="1"/>
  <c r="C305" i="11"/>
  <c r="C349" i="11" s="1"/>
  <c r="U300" i="11"/>
  <c r="T300" i="11"/>
  <c r="S300" i="11"/>
  <c r="R300" i="11"/>
  <c r="Q300" i="11"/>
  <c r="P300" i="11"/>
  <c r="O300" i="11"/>
  <c r="N300" i="11"/>
  <c r="M300" i="11"/>
  <c r="L300" i="11"/>
  <c r="K300" i="11"/>
  <c r="J300" i="11"/>
  <c r="I300" i="11"/>
  <c r="H300" i="11"/>
  <c r="G300" i="11"/>
  <c r="F300" i="11"/>
  <c r="E300" i="11"/>
  <c r="D300" i="11"/>
  <c r="C300" i="11"/>
  <c r="U299" i="11"/>
  <c r="T299" i="11"/>
  <c r="S299" i="11"/>
  <c r="Q299" i="11"/>
  <c r="P299" i="11"/>
  <c r="O299" i="11"/>
  <c r="M299" i="11"/>
  <c r="L299" i="11"/>
  <c r="K299" i="11"/>
  <c r="I299" i="11"/>
  <c r="H299" i="11"/>
  <c r="G299" i="11"/>
  <c r="E299" i="11"/>
  <c r="D299" i="11"/>
  <c r="C299" i="11"/>
  <c r="U298" i="11"/>
  <c r="T298" i="11"/>
  <c r="S298" i="11"/>
  <c r="U297" i="11"/>
  <c r="T297" i="11"/>
  <c r="S297" i="11"/>
  <c r="R297" i="11"/>
  <c r="Q297" i="11"/>
  <c r="P297" i="11"/>
  <c r="O297" i="11"/>
  <c r="N297" i="11"/>
  <c r="M297" i="11"/>
  <c r="L297" i="11"/>
  <c r="K297" i="11"/>
  <c r="J297" i="11"/>
  <c r="I297" i="11"/>
  <c r="H297" i="11"/>
  <c r="G297" i="11"/>
  <c r="F297" i="11"/>
  <c r="E297" i="11"/>
  <c r="D297" i="11"/>
  <c r="C297" i="11"/>
  <c r="U296" i="11"/>
  <c r="U361" i="11" s="1"/>
  <c r="T296" i="11"/>
  <c r="T361" i="11" s="1"/>
  <c r="S296" i="11"/>
  <c r="S361" i="11" s="1"/>
  <c r="Q296" i="11"/>
  <c r="Q361" i="11" s="1"/>
  <c r="P296" i="11"/>
  <c r="P361" i="11" s="1"/>
  <c r="O296" i="11"/>
  <c r="O361" i="11" s="1"/>
  <c r="M296" i="11"/>
  <c r="M361" i="11" s="1"/>
  <c r="L296" i="11"/>
  <c r="L361" i="11" s="1"/>
  <c r="K296" i="11"/>
  <c r="K361" i="11" s="1"/>
  <c r="I296" i="11"/>
  <c r="I361" i="11" s="1"/>
  <c r="H296" i="11"/>
  <c r="H361" i="11" s="1"/>
  <c r="G296" i="11"/>
  <c r="G361" i="11" s="1"/>
  <c r="E296" i="11"/>
  <c r="E361" i="11" s="1"/>
  <c r="D296" i="11"/>
  <c r="D361" i="11" s="1"/>
  <c r="C296" i="11"/>
  <c r="C361" i="11" s="1"/>
  <c r="U295" i="11"/>
  <c r="U360" i="11" s="1"/>
  <c r="T295" i="11"/>
  <c r="T360" i="11" s="1"/>
  <c r="S295" i="11"/>
  <c r="S360" i="11" s="1"/>
  <c r="Q295" i="11"/>
  <c r="Q360" i="11" s="1"/>
  <c r="P295" i="11"/>
  <c r="P360" i="11" s="1"/>
  <c r="O295" i="11"/>
  <c r="O360" i="11" s="1"/>
  <c r="M295" i="11"/>
  <c r="M360" i="11" s="1"/>
  <c r="L295" i="11"/>
  <c r="L360" i="11" s="1"/>
  <c r="K295" i="11"/>
  <c r="K360" i="11" s="1"/>
  <c r="I295" i="11"/>
  <c r="I360" i="11" s="1"/>
  <c r="H295" i="11"/>
  <c r="H360" i="11" s="1"/>
  <c r="G295" i="11"/>
  <c r="G360" i="11" s="1"/>
  <c r="E295" i="11"/>
  <c r="E360" i="11" s="1"/>
  <c r="D295" i="11"/>
  <c r="D360" i="11" s="1"/>
  <c r="C295" i="11"/>
  <c r="C360" i="11" s="1"/>
  <c r="U294" i="11"/>
  <c r="U359" i="11" s="1"/>
  <c r="T294" i="11"/>
  <c r="T359" i="11" s="1"/>
  <c r="S294" i="11"/>
  <c r="S359" i="11" s="1"/>
  <c r="Q294" i="11"/>
  <c r="Q359" i="11" s="1"/>
  <c r="P294" i="11"/>
  <c r="P359" i="11" s="1"/>
  <c r="O294" i="11"/>
  <c r="O359" i="11" s="1"/>
  <c r="M294" i="11"/>
  <c r="M359" i="11" s="1"/>
  <c r="L294" i="11"/>
  <c r="L359" i="11" s="1"/>
  <c r="K294" i="11"/>
  <c r="K359" i="11" s="1"/>
  <c r="I294" i="11"/>
  <c r="I359" i="11" s="1"/>
  <c r="H294" i="11"/>
  <c r="H359" i="11" s="1"/>
  <c r="G294" i="11"/>
  <c r="G359" i="11" s="1"/>
  <c r="E294" i="11"/>
  <c r="E359" i="11" s="1"/>
  <c r="D294" i="11"/>
  <c r="D359" i="11" s="1"/>
  <c r="C294" i="11"/>
  <c r="C359" i="11" s="1"/>
  <c r="U293" i="11"/>
  <c r="U358" i="11" s="1"/>
  <c r="T293" i="11"/>
  <c r="T358" i="11" s="1"/>
  <c r="S293" i="11"/>
  <c r="S358" i="11" s="1"/>
  <c r="Q293" i="11"/>
  <c r="Q358" i="11" s="1"/>
  <c r="P293" i="11"/>
  <c r="P358" i="11" s="1"/>
  <c r="O293" i="11"/>
  <c r="O358" i="11" s="1"/>
  <c r="M293" i="11"/>
  <c r="M358" i="11" s="1"/>
  <c r="L293" i="11"/>
  <c r="L358" i="11" s="1"/>
  <c r="K293" i="11"/>
  <c r="K358" i="11" s="1"/>
  <c r="I293" i="11"/>
  <c r="I358" i="11" s="1"/>
  <c r="H293" i="11"/>
  <c r="H358" i="11" s="1"/>
  <c r="G293" i="11"/>
  <c r="G358" i="11" s="1"/>
  <c r="E293" i="11"/>
  <c r="E358" i="11" s="1"/>
  <c r="D293" i="11"/>
  <c r="D358" i="11" s="1"/>
  <c r="C293" i="11"/>
  <c r="C358" i="11" s="1"/>
  <c r="U292" i="11"/>
  <c r="U357" i="11" s="1"/>
  <c r="T292" i="11"/>
  <c r="T357" i="11" s="1"/>
  <c r="S292" i="11"/>
  <c r="S357" i="11" s="1"/>
  <c r="Q292" i="11"/>
  <c r="Q357" i="11" s="1"/>
  <c r="P292" i="11"/>
  <c r="P357" i="11" s="1"/>
  <c r="O292" i="11"/>
  <c r="O357" i="11" s="1"/>
  <c r="M292" i="11"/>
  <c r="M357" i="11" s="1"/>
  <c r="L292" i="11"/>
  <c r="L357" i="11" s="1"/>
  <c r="K292" i="11"/>
  <c r="K357" i="11" s="1"/>
  <c r="I292" i="11"/>
  <c r="I357" i="11" s="1"/>
  <c r="H292" i="11"/>
  <c r="H357" i="11" s="1"/>
  <c r="G292" i="11"/>
  <c r="G357" i="11" s="1"/>
  <c r="E292" i="11"/>
  <c r="E357" i="11" s="1"/>
  <c r="D292" i="11"/>
  <c r="D357" i="11" s="1"/>
  <c r="C292" i="11"/>
  <c r="C357" i="11" s="1"/>
  <c r="U291" i="11"/>
  <c r="U362" i="11" s="1"/>
  <c r="T291" i="11"/>
  <c r="T362" i="11" s="1"/>
  <c r="S291" i="11"/>
  <c r="S362" i="11" s="1"/>
  <c r="Q291" i="11"/>
  <c r="Q362" i="11" s="1"/>
  <c r="P291" i="11"/>
  <c r="P362" i="11" s="1"/>
  <c r="O291" i="11"/>
  <c r="O362" i="11" s="1"/>
  <c r="M291" i="11"/>
  <c r="M362" i="11" s="1"/>
  <c r="L291" i="11"/>
  <c r="L362" i="11" s="1"/>
  <c r="K291" i="11"/>
  <c r="K362" i="11" s="1"/>
  <c r="I291" i="11"/>
  <c r="I362" i="11" s="1"/>
  <c r="H291" i="11"/>
  <c r="H362" i="11" s="1"/>
  <c r="G291" i="11"/>
  <c r="G362" i="11" s="1"/>
  <c r="E291" i="11"/>
  <c r="E362" i="11" s="1"/>
  <c r="D291" i="11"/>
  <c r="D362" i="11" s="1"/>
  <c r="C291" i="11"/>
  <c r="C362" i="11" s="1"/>
  <c r="U289" i="11"/>
  <c r="T289" i="11"/>
  <c r="S289" i="11"/>
  <c r="Q289" i="11"/>
  <c r="P289" i="11"/>
  <c r="O289" i="11"/>
  <c r="M289" i="11"/>
  <c r="L289" i="11"/>
  <c r="K289" i="11"/>
  <c r="I289" i="11"/>
  <c r="H289" i="11"/>
  <c r="G289" i="11"/>
  <c r="E289" i="11"/>
  <c r="D289" i="11"/>
  <c r="C289" i="11"/>
  <c r="U288" i="11"/>
  <c r="T288" i="11"/>
  <c r="S288" i="11"/>
  <c r="E288" i="11"/>
  <c r="D288" i="11"/>
  <c r="C288" i="11"/>
  <c r="U287" i="11"/>
  <c r="T287" i="11"/>
  <c r="S287" i="11"/>
  <c r="Q287" i="11"/>
  <c r="P287" i="11"/>
  <c r="O287" i="11"/>
  <c r="M287" i="11"/>
  <c r="L287" i="11"/>
  <c r="K287" i="11"/>
  <c r="I287" i="11"/>
  <c r="H287" i="11"/>
  <c r="G287" i="11"/>
  <c r="E287" i="11"/>
  <c r="D287" i="11"/>
  <c r="C287" i="11"/>
  <c r="U286" i="11"/>
  <c r="T286" i="11"/>
  <c r="S286" i="11"/>
  <c r="Q286" i="11"/>
  <c r="P286" i="11"/>
  <c r="O286" i="11"/>
  <c r="M286" i="11"/>
  <c r="L286" i="11"/>
  <c r="K286" i="11"/>
  <c r="I286" i="11"/>
  <c r="H286" i="11"/>
  <c r="G286" i="11"/>
  <c r="E286" i="11"/>
  <c r="D286" i="11"/>
  <c r="C286" i="11"/>
  <c r="U285" i="11"/>
  <c r="U345" i="11" s="1"/>
  <c r="T285" i="11"/>
  <c r="T345" i="11" s="1"/>
  <c r="S285" i="11"/>
  <c r="S345" i="11" s="1"/>
  <c r="Q285" i="11"/>
  <c r="Q345" i="11" s="1"/>
  <c r="P285" i="11"/>
  <c r="P345" i="11" s="1"/>
  <c r="O285" i="11"/>
  <c r="O345" i="11" s="1"/>
  <c r="M285" i="11"/>
  <c r="M345" i="11" s="1"/>
  <c r="L285" i="11"/>
  <c r="L345" i="11" s="1"/>
  <c r="K285" i="11"/>
  <c r="K345" i="11" s="1"/>
  <c r="I285" i="11"/>
  <c r="I345" i="11" s="1"/>
  <c r="H285" i="11"/>
  <c r="H345" i="11" s="1"/>
  <c r="G285" i="11"/>
  <c r="G345" i="11" s="1"/>
  <c r="E285" i="11"/>
  <c r="E345" i="11" s="1"/>
  <c r="D285" i="11"/>
  <c r="D345" i="11" s="1"/>
  <c r="C285" i="11"/>
  <c r="C345" i="11" s="1"/>
  <c r="U284" i="11"/>
  <c r="U344" i="11" s="1"/>
  <c r="T284" i="11"/>
  <c r="T344" i="11" s="1"/>
  <c r="S284" i="11"/>
  <c r="S344" i="11" s="1"/>
  <c r="Q284" i="11"/>
  <c r="Q344" i="11" s="1"/>
  <c r="P284" i="11"/>
  <c r="P344" i="11" s="1"/>
  <c r="O284" i="11"/>
  <c r="O344" i="11" s="1"/>
  <c r="M284" i="11"/>
  <c r="M344" i="11" s="1"/>
  <c r="L284" i="11"/>
  <c r="L344" i="11" s="1"/>
  <c r="K284" i="11"/>
  <c r="K344" i="11" s="1"/>
  <c r="I284" i="11"/>
  <c r="I344" i="11" s="1"/>
  <c r="H284" i="11"/>
  <c r="H344" i="11" s="1"/>
  <c r="G284" i="11"/>
  <c r="G344" i="11" s="1"/>
  <c r="E284" i="11"/>
  <c r="E344" i="11" s="1"/>
  <c r="D284" i="11"/>
  <c r="D344" i="11" s="1"/>
  <c r="C284" i="11"/>
  <c r="C344" i="11" s="1"/>
  <c r="U283" i="11"/>
  <c r="T283" i="11"/>
  <c r="S283" i="11"/>
  <c r="Q283" i="11"/>
  <c r="P283" i="11"/>
  <c r="O283" i="11"/>
  <c r="M283" i="11"/>
  <c r="L283" i="11"/>
  <c r="K283" i="11"/>
  <c r="I283" i="11"/>
  <c r="H283" i="11"/>
  <c r="G283" i="11"/>
  <c r="E283" i="11"/>
  <c r="D283" i="11"/>
  <c r="C283" i="11"/>
  <c r="W332" i="11"/>
  <c r="W331" i="11"/>
  <c r="W330" i="11"/>
  <c r="W329" i="11"/>
  <c r="W328" i="11"/>
  <c r="W327" i="11"/>
  <c r="W326" i="11"/>
  <c r="W321" i="11"/>
  <c r="W320" i="11"/>
  <c r="W319" i="11"/>
  <c r="W318" i="11"/>
  <c r="W317" i="11"/>
  <c r="W316" i="11"/>
  <c r="W315" i="11"/>
  <c r="W314" i="11"/>
  <c r="W312" i="11"/>
  <c r="W311" i="11"/>
  <c r="W310" i="11"/>
  <c r="W309" i="11"/>
  <c r="W308" i="11"/>
  <c r="W307" i="11"/>
  <c r="W306" i="11"/>
  <c r="W305" i="11"/>
  <c r="W349" i="11" s="1"/>
  <c r="W300" i="11"/>
  <c r="W299" i="11"/>
  <c r="W298" i="11"/>
  <c r="W297" i="11"/>
  <c r="W296" i="11"/>
  <c r="W361" i="11" s="1"/>
  <c r="W295" i="11"/>
  <c r="W360" i="11" s="1"/>
  <c r="W294" i="11"/>
  <c r="W359" i="11" s="1"/>
  <c r="W293" i="11"/>
  <c r="W358" i="11" s="1"/>
  <c r="W292" i="11"/>
  <c r="W357" i="11" s="1"/>
  <c r="W291" i="11"/>
  <c r="W362" i="11" s="1"/>
  <c r="W289" i="11"/>
  <c r="W288" i="11"/>
  <c r="W287" i="11"/>
  <c r="W286" i="11"/>
  <c r="W285" i="11"/>
  <c r="W345" i="11" s="1"/>
  <c r="W284" i="11"/>
  <c r="W344" i="11" s="1"/>
  <c r="W283" i="11"/>
  <c r="AS289" i="11"/>
  <c r="AR289" i="11"/>
  <c r="AQ289" i="11"/>
  <c r="AP289" i="11"/>
  <c r="AO289" i="11"/>
  <c r="AN289" i="11"/>
  <c r="AM289" i="11"/>
  <c r="AL289" i="11"/>
  <c r="AK289" i="11"/>
  <c r="AJ289" i="11"/>
  <c r="AI289" i="11"/>
  <c r="AH289" i="11"/>
  <c r="AG289" i="11"/>
  <c r="AF289" i="11"/>
  <c r="AT289" i="11"/>
  <c r="AS332" i="11"/>
  <c r="AR332" i="11"/>
  <c r="AQ332" i="11"/>
  <c r="AP332" i="11"/>
  <c r="AO332" i="11"/>
  <c r="AN332" i="11"/>
  <c r="AM332" i="11"/>
  <c r="AL332" i="11"/>
  <c r="AK332" i="11"/>
  <c r="AJ332" i="11"/>
  <c r="AI332" i="11"/>
  <c r="AH332" i="11"/>
  <c r="AG332" i="11"/>
  <c r="AF332" i="11"/>
  <c r="AT332" i="11"/>
  <c r="AJ331" i="11"/>
  <c r="AI331" i="11"/>
  <c r="AH331" i="11"/>
  <c r="AG331" i="11"/>
  <c r="AF331" i="11"/>
  <c r="AJ330" i="11"/>
  <c r="AI330" i="11"/>
  <c r="AH330" i="11"/>
  <c r="AG330" i="11"/>
  <c r="AF330" i="11"/>
  <c r="AJ329" i="11"/>
  <c r="AI329" i="11"/>
  <c r="AH329" i="11"/>
  <c r="AG329" i="11"/>
  <c r="AF329" i="11"/>
  <c r="AJ328" i="11"/>
  <c r="AI328" i="11"/>
  <c r="AH328" i="11"/>
  <c r="AG328" i="11"/>
  <c r="AF328" i="11"/>
  <c r="AJ327" i="11"/>
  <c r="AI327" i="11"/>
  <c r="AH327" i="11"/>
  <c r="AG327" i="11"/>
  <c r="AF327" i="11"/>
  <c r="AJ326" i="11"/>
  <c r="AI326" i="11"/>
  <c r="AH326" i="11"/>
  <c r="AG326" i="11"/>
  <c r="AF326" i="11"/>
  <c r="AJ321" i="11"/>
  <c r="AI321" i="11"/>
  <c r="AH321" i="11"/>
  <c r="AG321" i="11"/>
  <c r="AF321" i="11"/>
  <c r="AJ320" i="11"/>
  <c r="AI320" i="11"/>
  <c r="AH320" i="11"/>
  <c r="AG320" i="11"/>
  <c r="AF320" i="11"/>
  <c r="AJ319" i="11"/>
  <c r="AI319" i="11"/>
  <c r="AH319" i="11"/>
  <c r="AG319" i="11"/>
  <c r="AF319" i="11"/>
  <c r="AJ318" i="11"/>
  <c r="AI318" i="11"/>
  <c r="AH318" i="11"/>
  <c r="AG318" i="11"/>
  <c r="AF318" i="11"/>
  <c r="AJ317" i="11"/>
  <c r="AI317" i="11"/>
  <c r="AH317" i="11"/>
  <c r="AG317" i="11"/>
  <c r="AF317" i="11"/>
  <c r="AJ316" i="11"/>
  <c r="AI316" i="11"/>
  <c r="AH316" i="11"/>
  <c r="AG316" i="11"/>
  <c r="AF316" i="11"/>
  <c r="AJ315" i="11"/>
  <c r="AI315" i="11"/>
  <c r="AH315" i="11"/>
  <c r="AG315" i="11"/>
  <c r="AF315" i="11"/>
  <c r="AJ314" i="11"/>
  <c r="AI314" i="11"/>
  <c r="AH314" i="11"/>
  <c r="AG314" i="11"/>
  <c r="AF314" i="11"/>
  <c r="AJ312" i="11"/>
  <c r="AI312" i="11"/>
  <c r="AH312" i="11"/>
  <c r="AG312" i="11"/>
  <c r="AF312" i="11"/>
  <c r="AJ311" i="11"/>
  <c r="AI311" i="11"/>
  <c r="AH311" i="11"/>
  <c r="AG311" i="11"/>
  <c r="AF311" i="11"/>
  <c r="AJ310" i="11"/>
  <c r="AI310" i="11"/>
  <c r="AH310" i="11"/>
  <c r="AG310" i="11"/>
  <c r="AF310" i="11"/>
  <c r="AJ309" i="11"/>
  <c r="AI309" i="11"/>
  <c r="AH309" i="11"/>
  <c r="AG309" i="11"/>
  <c r="AF309" i="11"/>
  <c r="AJ308" i="11"/>
  <c r="AI308" i="11"/>
  <c r="AH308" i="11"/>
  <c r="AG308" i="11"/>
  <c r="AF308" i="11"/>
  <c r="AJ307" i="11"/>
  <c r="AI307" i="11"/>
  <c r="AH307" i="11"/>
  <c r="AG307" i="11"/>
  <c r="AF307" i="11"/>
  <c r="AJ306" i="11"/>
  <c r="AI306" i="11"/>
  <c r="AH306" i="11"/>
  <c r="AG306" i="11"/>
  <c r="AF306" i="11"/>
  <c r="AJ305" i="11"/>
  <c r="AI305" i="11"/>
  <c r="AH305" i="11"/>
  <c r="AG305" i="11"/>
  <c r="AF305" i="11"/>
  <c r="AJ300" i="11"/>
  <c r="AI300" i="11"/>
  <c r="AH300" i="11"/>
  <c r="AG300" i="11"/>
  <c r="AF300" i="11"/>
  <c r="AJ299" i="11"/>
  <c r="AI299" i="11"/>
  <c r="AH299" i="11"/>
  <c r="AG299" i="11"/>
  <c r="AF299" i="11"/>
  <c r="AJ298" i="11"/>
  <c r="AI298" i="11"/>
  <c r="AH298" i="11"/>
  <c r="AG298" i="11"/>
  <c r="AF298" i="11"/>
  <c r="AJ297" i="11"/>
  <c r="AI297" i="11"/>
  <c r="AH297" i="11"/>
  <c r="AG297" i="11"/>
  <c r="AF297" i="11"/>
  <c r="AJ296" i="11"/>
  <c r="AI296" i="11"/>
  <c r="AH296" i="11"/>
  <c r="AG296" i="11"/>
  <c r="AF296" i="11"/>
  <c r="AJ295" i="11"/>
  <c r="AI295" i="11"/>
  <c r="AH295" i="11"/>
  <c r="AG295" i="11"/>
  <c r="AF295" i="11"/>
  <c r="AJ294" i="11"/>
  <c r="AI294" i="11"/>
  <c r="AH294" i="11"/>
  <c r="AG294" i="11"/>
  <c r="AF294" i="11"/>
  <c r="AJ293" i="11"/>
  <c r="AI293" i="11"/>
  <c r="AH293" i="11"/>
  <c r="AG293" i="11"/>
  <c r="AF293" i="11"/>
  <c r="AJ292" i="11"/>
  <c r="AI292" i="11"/>
  <c r="AH292" i="11"/>
  <c r="AG292" i="11"/>
  <c r="AF292" i="11"/>
  <c r="AJ291" i="11"/>
  <c r="AI291" i="11"/>
  <c r="AH291" i="11"/>
  <c r="AG291" i="11"/>
  <c r="AF291" i="11"/>
  <c r="AJ288" i="11"/>
  <c r="AI288" i="11"/>
  <c r="AH288" i="11"/>
  <c r="AG288" i="11"/>
  <c r="AF288" i="11"/>
  <c r="AJ287" i="11"/>
  <c r="AI287" i="11"/>
  <c r="AH287" i="11"/>
  <c r="AG287" i="11"/>
  <c r="AF287" i="11"/>
  <c r="AJ286" i="11"/>
  <c r="AI286" i="11"/>
  <c r="AH286" i="11"/>
  <c r="AG286" i="11"/>
  <c r="AF286" i="11"/>
  <c r="AJ285" i="11"/>
  <c r="AI285" i="11"/>
  <c r="AH285" i="11"/>
  <c r="AG285" i="11"/>
  <c r="AF285" i="11"/>
  <c r="AJ284" i="11"/>
  <c r="AI284" i="11"/>
  <c r="AH284" i="11"/>
  <c r="AG284" i="11"/>
  <c r="AF284" i="11"/>
  <c r="AJ283" i="11"/>
  <c r="AI283" i="11"/>
  <c r="AH283" i="11"/>
  <c r="AG283" i="11"/>
  <c r="AF283" i="11"/>
  <c r="AS331" i="11"/>
  <c r="AR331" i="11"/>
  <c r="AQ331" i="11"/>
  <c r="AP331" i="11"/>
  <c r="AO331" i="11"/>
  <c r="AN331" i="11"/>
  <c r="AM331" i="11"/>
  <c r="AL331" i="11"/>
  <c r="AK331" i="11"/>
  <c r="AS330" i="11"/>
  <c r="AR330" i="11"/>
  <c r="AQ330" i="11"/>
  <c r="AP330" i="11"/>
  <c r="AO330" i="11"/>
  <c r="AN330" i="11"/>
  <c r="AM330" i="11"/>
  <c r="AL330" i="11"/>
  <c r="AK330" i="11"/>
  <c r="AS329" i="11"/>
  <c r="AR329" i="11"/>
  <c r="AQ329" i="11"/>
  <c r="AP329" i="11"/>
  <c r="AO329" i="11"/>
  <c r="AN329" i="11"/>
  <c r="AM329" i="11"/>
  <c r="AL329" i="11"/>
  <c r="AK329" i="11"/>
  <c r="AS328" i="11"/>
  <c r="AR328" i="11"/>
  <c r="AQ328" i="11"/>
  <c r="AP328" i="11"/>
  <c r="AO328" i="11"/>
  <c r="AN328" i="11"/>
  <c r="AM328" i="11"/>
  <c r="AL328" i="11"/>
  <c r="AK328" i="11"/>
  <c r="AS327" i="11"/>
  <c r="AR327" i="11"/>
  <c r="AQ327" i="11"/>
  <c r="AP327" i="11"/>
  <c r="AO327" i="11"/>
  <c r="AN327" i="11"/>
  <c r="AM327" i="11"/>
  <c r="AL327" i="11"/>
  <c r="AK327" i="11"/>
  <c r="AS326" i="11"/>
  <c r="AR326" i="11"/>
  <c r="AQ326" i="11"/>
  <c r="AP326" i="11"/>
  <c r="AO326" i="11"/>
  <c r="AN326" i="11"/>
  <c r="AM326" i="11"/>
  <c r="AL326" i="11"/>
  <c r="AK326" i="11"/>
  <c r="AS321" i="11"/>
  <c r="AR321" i="11"/>
  <c r="AQ321" i="11"/>
  <c r="AP321" i="11"/>
  <c r="AO321" i="11"/>
  <c r="AN321" i="11"/>
  <c r="AM321" i="11"/>
  <c r="AL321" i="11"/>
  <c r="AK321" i="11"/>
  <c r="AS320" i="11"/>
  <c r="AR320" i="11"/>
  <c r="AQ320" i="11"/>
  <c r="AP320" i="11"/>
  <c r="AO320" i="11"/>
  <c r="AN320" i="11"/>
  <c r="AM320" i="11"/>
  <c r="AL320" i="11"/>
  <c r="AK320" i="11"/>
  <c r="AS319" i="11"/>
  <c r="AR319" i="11"/>
  <c r="AQ319" i="11"/>
  <c r="AP319" i="11"/>
  <c r="AO319" i="11"/>
  <c r="AN319" i="11"/>
  <c r="AM319" i="11"/>
  <c r="AL319" i="11"/>
  <c r="AK319" i="11"/>
  <c r="AS318" i="11"/>
  <c r="AR318" i="11"/>
  <c r="AQ318" i="11"/>
  <c r="AP318" i="11"/>
  <c r="AO318" i="11"/>
  <c r="AN318" i="11"/>
  <c r="AM318" i="11"/>
  <c r="AL318" i="11"/>
  <c r="AK318" i="11"/>
  <c r="AS317" i="11"/>
  <c r="AR317" i="11"/>
  <c r="AQ317" i="11"/>
  <c r="AP317" i="11"/>
  <c r="AO317" i="11"/>
  <c r="AN317" i="11"/>
  <c r="AM317" i="11"/>
  <c r="AL317" i="11"/>
  <c r="AK317" i="11"/>
  <c r="AS316" i="11"/>
  <c r="AR316" i="11"/>
  <c r="AQ316" i="11"/>
  <c r="AP316" i="11"/>
  <c r="AO316" i="11"/>
  <c r="AN316" i="11"/>
  <c r="AM316" i="11"/>
  <c r="AL316" i="11"/>
  <c r="AK316" i="11"/>
  <c r="AS315" i="11"/>
  <c r="AR315" i="11"/>
  <c r="AQ315" i="11"/>
  <c r="AP315" i="11"/>
  <c r="AO315" i="11"/>
  <c r="AN315" i="11"/>
  <c r="AM315" i="11"/>
  <c r="AL315" i="11"/>
  <c r="AK315" i="11"/>
  <c r="AS314" i="11"/>
  <c r="AR314" i="11"/>
  <c r="AQ314" i="11"/>
  <c r="AP314" i="11"/>
  <c r="AO314" i="11"/>
  <c r="AN314" i="11"/>
  <c r="AM314" i="11"/>
  <c r="AL314" i="11"/>
  <c r="AK314" i="11"/>
  <c r="AS312" i="11"/>
  <c r="AR312" i="11"/>
  <c r="AQ312" i="11"/>
  <c r="AP312" i="11"/>
  <c r="AO312" i="11"/>
  <c r="AN312" i="11"/>
  <c r="AM312" i="11"/>
  <c r="AL312" i="11"/>
  <c r="AK312" i="11"/>
  <c r="AS311" i="11"/>
  <c r="AR311" i="11"/>
  <c r="AQ311" i="11"/>
  <c r="AP311" i="11"/>
  <c r="AO311" i="11"/>
  <c r="AN311" i="11"/>
  <c r="AM311" i="11"/>
  <c r="AL311" i="11"/>
  <c r="AK311" i="11"/>
  <c r="AS310" i="11"/>
  <c r="AR310" i="11"/>
  <c r="AQ310" i="11"/>
  <c r="AP310" i="11"/>
  <c r="AO310" i="11"/>
  <c r="AN310" i="11"/>
  <c r="AM310" i="11"/>
  <c r="AL310" i="11"/>
  <c r="AK310" i="11"/>
  <c r="AS309" i="11"/>
  <c r="AR309" i="11"/>
  <c r="AQ309" i="11"/>
  <c r="AP309" i="11"/>
  <c r="AO309" i="11"/>
  <c r="AN309" i="11"/>
  <c r="AM309" i="11"/>
  <c r="AL309" i="11"/>
  <c r="AK309" i="11"/>
  <c r="AS308" i="11"/>
  <c r="AR308" i="11"/>
  <c r="AQ308" i="11"/>
  <c r="AP308" i="11"/>
  <c r="AO308" i="11"/>
  <c r="AN308" i="11"/>
  <c r="AM308" i="11"/>
  <c r="AL308" i="11"/>
  <c r="AK308" i="11"/>
  <c r="AS307" i="11"/>
  <c r="AR307" i="11"/>
  <c r="AQ307" i="11"/>
  <c r="AP307" i="11"/>
  <c r="AO307" i="11"/>
  <c r="AN307" i="11"/>
  <c r="AM307" i="11"/>
  <c r="AL307" i="11"/>
  <c r="AK307" i="11"/>
  <c r="AS306" i="11"/>
  <c r="AR306" i="11"/>
  <c r="AQ306" i="11"/>
  <c r="AP306" i="11"/>
  <c r="AO306" i="11"/>
  <c r="AN306" i="11"/>
  <c r="AM306" i="11"/>
  <c r="AL306" i="11"/>
  <c r="AK306" i="11"/>
  <c r="AS305" i="11"/>
  <c r="AS349" i="11" s="1"/>
  <c r="AR305" i="11"/>
  <c r="AR349" i="11" s="1"/>
  <c r="AQ305" i="11"/>
  <c r="AQ349" i="11" s="1"/>
  <c r="AP305" i="11"/>
  <c r="AP349" i="11" s="1"/>
  <c r="AO305" i="11"/>
  <c r="AO349" i="11" s="1"/>
  <c r="AN305" i="11"/>
  <c r="AN349" i="11" s="1"/>
  <c r="AM305" i="11"/>
  <c r="AM349" i="11" s="1"/>
  <c r="AL305" i="11"/>
  <c r="AL349" i="11" s="1"/>
  <c r="AK305" i="11"/>
  <c r="AK349" i="11" s="1"/>
  <c r="AT312" i="11"/>
  <c r="AT311" i="11"/>
  <c r="AT320" i="11"/>
  <c r="AT321" i="11"/>
  <c r="AT331" i="11"/>
  <c r="AS300" i="11"/>
  <c r="AR300" i="11"/>
  <c r="AQ300" i="11"/>
  <c r="AP300" i="11"/>
  <c r="AO300" i="11"/>
  <c r="AN300" i="11"/>
  <c r="AM300" i="11"/>
  <c r="AL300" i="11"/>
  <c r="AK300" i="11"/>
  <c r="AS299" i="11"/>
  <c r="AR299" i="11"/>
  <c r="AQ299" i="11"/>
  <c r="AP299" i="11"/>
  <c r="AO299" i="11"/>
  <c r="AN299" i="11"/>
  <c r="AM299" i="11"/>
  <c r="AL299" i="11"/>
  <c r="AK299" i="11"/>
  <c r="AS298" i="11"/>
  <c r="AN298" i="11"/>
  <c r="AM298" i="11"/>
  <c r="AL298" i="11"/>
  <c r="AK298" i="11"/>
  <c r="AS297" i="11"/>
  <c r="AR297" i="11"/>
  <c r="AQ297" i="11"/>
  <c r="AP297" i="11"/>
  <c r="AO297" i="11"/>
  <c r="AN297" i="11"/>
  <c r="AM297" i="11"/>
  <c r="AL297" i="11"/>
  <c r="AK297" i="11"/>
  <c r="AS296" i="11"/>
  <c r="AS361" i="11" s="1"/>
  <c r="AR296" i="11"/>
  <c r="AR361" i="11" s="1"/>
  <c r="AQ296" i="11"/>
  <c r="AQ361" i="11" s="1"/>
  <c r="AP296" i="11"/>
  <c r="AP361" i="11" s="1"/>
  <c r="AO296" i="11"/>
  <c r="AO361" i="11" s="1"/>
  <c r="AN296" i="11"/>
  <c r="AN361" i="11" s="1"/>
  <c r="AM296" i="11"/>
  <c r="AM361" i="11" s="1"/>
  <c r="AL296" i="11"/>
  <c r="AL361" i="11" s="1"/>
  <c r="AK296" i="11"/>
  <c r="AK361" i="11" s="1"/>
  <c r="AS295" i="11"/>
  <c r="AS360" i="11" s="1"/>
  <c r="AR295" i="11"/>
  <c r="AR360" i="11" s="1"/>
  <c r="AQ295" i="11"/>
  <c r="AQ360" i="11" s="1"/>
  <c r="AP295" i="11"/>
  <c r="AP360" i="11" s="1"/>
  <c r="AO295" i="11"/>
  <c r="AO360" i="11" s="1"/>
  <c r="AN295" i="11"/>
  <c r="AN360" i="11" s="1"/>
  <c r="AM295" i="11"/>
  <c r="AM360" i="11" s="1"/>
  <c r="AL295" i="11"/>
  <c r="AL360" i="11" s="1"/>
  <c r="AK295" i="11"/>
  <c r="AK360" i="11" s="1"/>
  <c r="AS294" i="11"/>
  <c r="AS359" i="11" s="1"/>
  <c r="AR294" i="11"/>
  <c r="AR359" i="11" s="1"/>
  <c r="AQ294" i="11"/>
  <c r="AQ359" i="11" s="1"/>
  <c r="AP294" i="11"/>
  <c r="AP359" i="11" s="1"/>
  <c r="AO294" i="11"/>
  <c r="AO359" i="11" s="1"/>
  <c r="AN294" i="11"/>
  <c r="AN359" i="11" s="1"/>
  <c r="AM294" i="11"/>
  <c r="AM359" i="11" s="1"/>
  <c r="AL294" i="11"/>
  <c r="AL359" i="11" s="1"/>
  <c r="AK294" i="11"/>
  <c r="AK359" i="11" s="1"/>
  <c r="AS293" i="11"/>
  <c r="AS358" i="11" s="1"/>
  <c r="AR293" i="11"/>
  <c r="AR358" i="11" s="1"/>
  <c r="AQ293" i="11"/>
  <c r="AQ358" i="11" s="1"/>
  <c r="AP293" i="11"/>
  <c r="AP358" i="11" s="1"/>
  <c r="AO293" i="11"/>
  <c r="AO358" i="11" s="1"/>
  <c r="AN293" i="11"/>
  <c r="AN358" i="11" s="1"/>
  <c r="AM293" i="11"/>
  <c r="AM358" i="11" s="1"/>
  <c r="AL293" i="11"/>
  <c r="AL358" i="11" s="1"/>
  <c r="AK293" i="11"/>
  <c r="AK358" i="11" s="1"/>
  <c r="AS292" i="11"/>
  <c r="AS357" i="11" s="1"/>
  <c r="AR292" i="11"/>
  <c r="AR357" i="11" s="1"/>
  <c r="AQ292" i="11"/>
  <c r="AQ357" i="11" s="1"/>
  <c r="AP292" i="11"/>
  <c r="AP357" i="11" s="1"/>
  <c r="AO292" i="11"/>
  <c r="AO357" i="11" s="1"/>
  <c r="AN292" i="11"/>
  <c r="AN357" i="11" s="1"/>
  <c r="AM292" i="11"/>
  <c r="AM357" i="11" s="1"/>
  <c r="AL292" i="11"/>
  <c r="AL357" i="11" s="1"/>
  <c r="AK292" i="11"/>
  <c r="AK357" i="11" s="1"/>
  <c r="AS291" i="11"/>
  <c r="AS362" i="11" s="1"/>
  <c r="AR291" i="11"/>
  <c r="AR362" i="11" s="1"/>
  <c r="AQ291" i="11"/>
  <c r="AQ362" i="11" s="1"/>
  <c r="AP291" i="11"/>
  <c r="AP362" i="11" s="1"/>
  <c r="AO291" i="11"/>
  <c r="AO362" i="11" s="1"/>
  <c r="AN291" i="11"/>
  <c r="AN362" i="11" s="1"/>
  <c r="AM291" i="11"/>
  <c r="AM362" i="11" s="1"/>
  <c r="AL291" i="11"/>
  <c r="AL362" i="11" s="1"/>
  <c r="AK291" i="11"/>
  <c r="AK362" i="11" s="1"/>
  <c r="AS288" i="11"/>
  <c r="AO288" i="11"/>
  <c r="AN288" i="11"/>
  <c r="AM288" i="11"/>
  <c r="AL288" i="11"/>
  <c r="AK288" i="11"/>
  <c r="AS287" i="11"/>
  <c r="AR287" i="11"/>
  <c r="AQ287" i="11"/>
  <c r="AP287" i="11"/>
  <c r="AO287" i="11"/>
  <c r="AN287" i="11"/>
  <c r="AM287" i="11"/>
  <c r="AL287" i="11"/>
  <c r="AK287" i="11"/>
  <c r="AS286" i="11"/>
  <c r="AR286" i="11"/>
  <c r="AQ286" i="11"/>
  <c r="AP286" i="11"/>
  <c r="AO286" i="11"/>
  <c r="AN286" i="11"/>
  <c r="AM286" i="11"/>
  <c r="AL286" i="11"/>
  <c r="AK286" i="11"/>
  <c r="AS285" i="11"/>
  <c r="AS345" i="11" s="1"/>
  <c r="AR285" i="11"/>
  <c r="AR345" i="11" s="1"/>
  <c r="AQ285" i="11"/>
  <c r="AQ345" i="11" s="1"/>
  <c r="AP285" i="11"/>
  <c r="AP345" i="11" s="1"/>
  <c r="AO285" i="11"/>
  <c r="AO345" i="11" s="1"/>
  <c r="AN285" i="11"/>
  <c r="AN345" i="11" s="1"/>
  <c r="AM285" i="11"/>
  <c r="AM345" i="11" s="1"/>
  <c r="AL285" i="11"/>
  <c r="AL345" i="11" s="1"/>
  <c r="AK285" i="11"/>
  <c r="AK345" i="11" s="1"/>
  <c r="AS284" i="11"/>
  <c r="AS344" i="11" s="1"/>
  <c r="AR284" i="11"/>
  <c r="AR344" i="11" s="1"/>
  <c r="AQ284" i="11"/>
  <c r="AQ344" i="11" s="1"/>
  <c r="AP284" i="11"/>
  <c r="AP344" i="11" s="1"/>
  <c r="AO284" i="11"/>
  <c r="AO344" i="11" s="1"/>
  <c r="AN284" i="11"/>
  <c r="AN344" i="11" s="1"/>
  <c r="AM284" i="11"/>
  <c r="AM344" i="11" s="1"/>
  <c r="AL284" i="11"/>
  <c r="AL344" i="11" s="1"/>
  <c r="AK284" i="11"/>
  <c r="AK344" i="11" s="1"/>
  <c r="AS283" i="11"/>
  <c r="AR283" i="11"/>
  <c r="AQ283" i="11"/>
  <c r="AP283" i="11"/>
  <c r="AO283" i="11"/>
  <c r="AN283" i="11"/>
  <c r="AM283" i="11"/>
  <c r="AL283" i="11"/>
  <c r="AK283" i="11"/>
  <c r="AS211" i="11"/>
  <c r="AP211" i="11"/>
  <c r="AS210" i="11"/>
  <c r="AP210" i="11"/>
  <c r="AS213" i="11"/>
  <c r="AS127" i="11" s="1"/>
  <c r="AT330" i="11"/>
  <c r="AT329" i="11"/>
  <c r="AT328" i="11"/>
  <c r="AT327" i="11"/>
  <c r="AT326" i="11"/>
  <c r="AT319" i="11"/>
  <c r="AT318" i="11"/>
  <c r="AT317" i="11"/>
  <c r="AT316" i="11"/>
  <c r="AT315" i="11"/>
  <c r="AT314" i="11"/>
  <c r="AT310" i="11"/>
  <c r="AT309" i="11"/>
  <c r="AT308" i="11"/>
  <c r="AT307" i="11"/>
  <c r="AT306" i="11"/>
  <c r="AT305" i="11"/>
  <c r="AT349" i="11" s="1"/>
  <c r="AT300" i="11"/>
  <c r="AT299" i="11"/>
  <c r="AT297" i="11"/>
  <c r="AT298" i="11"/>
  <c r="AT296" i="11"/>
  <c r="AT361" i="11" s="1"/>
  <c r="AT295" i="11"/>
  <c r="AT360" i="11" s="1"/>
  <c r="AT294" i="11"/>
  <c r="AT359" i="11" s="1"/>
  <c r="AT293" i="11"/>
  <c r="AT358" i="11" s="1"/>
  <c r="AT292" i="11"/>
  <c r="AT357" i="11" s="1"/>
  <c r="AT291" i="11"/>
  <c r="AT362" i="11" s="1"/>
  <c r="AT288" i="11"/>
  <c r="AT287" i="11"/>
  <c r="AT286" i="11"/>
  <c r="AT285" i="11"/>
  <c r="AT345" i="11" s="1"/>
  <c r="AT284" i="11"/>
  <c r="AT344" i="11" s="1"/>
  <c r="AT283" i="11"/>
  <c r="AT228" i="11"/>
  <c r="AT227" i="11"/>
  <c r="AT225" i="11"/>
  <c r="AT224" i="11"/>
  <c r="AT219" i="11"/>
  <c r="AT217" i="11"/>
  <c r="AT170" i="11" s="1"/>
  <c r="AT216" i="11"/>
  <c r="AT211" i="11"/>
  <c r="AT210" i="11"/>
  <c r="AT213" i="11"/>
  <c r="AT127" i="11" s="1"/>
  <c r="X186" i="11" l="1"/>
  <c r="X187" i="11"/>
  <c r="BB28" i="28"/>
  <c r="BC28" i="28"/>
  <c r="U24" i="11"/>
  <c r="U170" i="11"/>
  <c r="D91" i="12"/>
  <c r="D91" i="16" s="1"/>
  <c r="AB10" i="11"/>
  <c r="AB15" i="11" s="1"/>
  <c r="AB20" i="11" s="1"/>
  <c r="AB153" i="11"/>
  <c r="AB152" i="11"/>
  <c r="AP158" i="11"/>
  <c r="AQ141" i="11"/>
  <c r="AQ140" i="11"/>
  <c r="AQ158" i="11"/>
  <c r="AP277" i="11"/>
  <c r="AP276" i="11"/>
  <c r="AQ117" i="11"/>
  <c r="AQ118" i="11"/>
  <c r="AT277" i="11"/>
  <c r="AT276" i="11"/>
  <c r="AS277" i="11"/>
  <c r="AS276" i="11"/>
  <c r="AQ125" i="11"/>
  <c r="AQ277" i="11"/>
  <c r="AQ276" i="11"/>
  <c r="AR276" i="11"/>
  <c r="AR277" i="11"/>
  <c r="AB14" i="11"/>
  <c r="AB19" i="11" s="1"/>
  <c r="W350" i="11"/>
  <c r="W351" i="11" s="1"/>
  <c r="M350" i="11"/>
  <c r="M351" i="11" s="1"/>
  <c r="AK346" i="11"/>
  <c r="AK347" i="11" s="1"/>
  <c r="O350" i="11"/>
  <c r="O351" i="11" s="1"/>
  <c r="P350" i="11"/>
  <c r="P351" i="11" s="1"/>
  <c r="Q350" i="11"/>
  <c r="Q351" i="11" s="1"/>
  <c r="U350" i="11"/>
  <c r="U351" i="11" s="1"/>
  <c r="C346" i="11"/>
  <c r="C347" i="11" s="1"/>
  <c r="E346" i="11"/>
  <c r="E347" i="11" s="1"/>
  <c r="S350" i="11"/>
  <c r="S351" i="11" s="1"/>
  <c r="D346" i="11"/>
  <c r="D347" i="11" s="1"/>
  <c r="T350" i="11"/>
  <c r="T351" i="11" s="1"/>
  <c r="AT350" i="11"/>
  <c r="AT351" i="11" s="1"/>
  <c r="AQ363" i="11"/>
  <c r="H363" i="11"/>
  <c r="AR363" i="11"/>
  <c r="G363" i="11"/>
  <c r="AK350" i="11"/>
  <c r="AK351" i="11" s="1"/>
  <c r="AS363" i="11"/>
  <c r="AK363" i="11"/>
  <c r="AL363" i="11"/>
  <c r="S339" i="11"/>
  <c r="S346" i="11"/>
  <c r="S347" i="11" s="1"/>
  <c r="AM363" i="11"/>
  <c r="T339" i="11"/>
  <c r="T346" i="11"/>
  <c r="T347" i="11" s="1"/>
  <c r="C363" i="11"/>
  <c r="AN363" i="11"/>
  <c r="U339" i="11"/>
  <c r="U346" i="11"/>
  <c r="U347" i="11" s="1"/>
  <c r="D363" i="11"/>
  <c r="AO363" i="11"/>
  <c r="E363" i="11"/>
  <c r="AM339" i="11"/>
  <c r="AM346" i="11"/>
  <c r="AM347" i="11" s="1"/>
  <c r="AS346" i="11"/>
  <c r="AS347" i="11" s="1"/>
  <c r="L363" i="11"/>
  <c r="M363" i="11"/>
  <c r="T363" i="11"/>
  <c r="AN350" i="11"/>
  <c r="AN351" i="11" s="1"/>
  <c r="D350" i="11"/>
  <c r="D351" i="11" s="1"/>
  <c r="I363" i="11"/>
  <c r="O363" i="11"/>
  <c r="AO350" i="11"/>
  <c r="AO351" i="11" s="1"/>
  <c r="E350" i="11"/>
  <c r="E351" i="11" s="1"/>
  <c r="AL339" i="11"/>
  <c r="AL346" i="11"/>
  <c r="AL347" i="11" s="1"/>
  <c r="W339" i="11"/>
  <c r="W346" i="11"/>
  <c r="W347" i="11" s="1"/>
  <c r="AP350" i="11"/>
  <c r="AP351" i="11" s="1"/>
  <c r="W363" i="11"/>
  <c r="G350" i="11"/>
  <c r="G351" i="11" s="1"/>
  <c r="AN339" i="11"/>
  <c r="AN346" i="11"/>
  <c r="AN347" i="11" s="1"/>
  <c r="Q363" i="11"/>
  <c r="AM350" i="11"/>
  <c r="AM351" i="11" s="1"/>
  <c r="AQ350" i="11"/>
  <c r="AQ351" i="11" s="1"/>
  <c r="H350" i="11"/>
  <c r="H351" i="11" s="1"/>
  <c r="AO339" i="11"/>
  <c r="AO346" i="11"/>
  <c r="AO347" i="11" s="1"/>
  <c r="C350" i="11"/>
  <c r="C351" i="11" s="1"/>
  <c r="AR350" i="11"/>
  <c r="AR351" i="11" s="1"/>
  <c r="I350" i="11"/>
  <c r="I351" i="11" s="1"/>
  <c r="U363" i="11"/>
  <c r="AL350" i="11"/>
  <c r="AL351" i="11" s="1"/>
  <c r="AS350" i="11"/>
  <c r="AS351" i="11" s="1"/>
  <c r="K350" i="11"/>
  <c r="K351" i="11" s="1"/>
  <c r="AP363" i="11"/>
  <c r="K363" i="11"/>
  <c r="S363" i="11"/>
  <c r="P363" i="11"/>
  <c r="L350" i="11"/>
  <c r="L351" i="11" s="1"/>
  <c r="AT346" i="11"/>
  <c r="AT347" i="11" s="1"/>
  <c r="AT363" i="11"/>
  <c r="W116" i="11"/>
  <c r="AA117" i="11" s="1"/>
  <c r="AU249" i="11"/>
  <c r="J140" i="11"/>
  <c r="AL214" i="11"/>
  <c r="AL11" i="11" s="1"/>
  <c r="W24" i="11"/>
  <c r="W170" i="11" s="1"/>
  <c r="AU217" i="11"/>
  <c r="AU170" i="11" s="1"/>
  <c r="W139" i="11"/>
  <c r="AA140" i="11" s="1"/>
  <c r="AU248" i="11"/>
  <c r="H140" i="11"/>
  <c r="I140" i="11"/>
  <c r="H117" i="11"/>
  <c r="E118" i="11"/>
  <c r="I117" i="11"/>
  <c r="F118" i="11"/>
  <c r="D118" i="11"/>
  <c r="G125" i="11"/>
  <c r="G118" i="11"/>
  <c r="G117" i="11"/>
  <c r="J117" i="11"/>
  <c r="D158" i="11"/>
  <c r="D141" i="11"/>
  <c r="E158" i="11"/>
  <c r="E141" i="11"/>
  <c r="F158" i="11"/>
  <c r="F141" i="11"/>
  <c r="C158" i="11"/>
  <c r="AE22" i="28" s="1"/>
  <c r="G158" i="11"/>
  <c r="G141" i="11"/>
  <c r="G140" i="11"/>
  <c r="I158" i="11"/>
  <c r="Q158" i="11"/>
  <c r="AR158" i="11"/>
  <c r="AS158" i="11"/>
  <c r="AT158" i="11"/>
  <c r="AQ144" i="11"/>
  <c r="H158" i="11"/>
  <c r="P158" i="11"/>
  <c r="J158" i="11"/>
  <c r="R158" i="11"/>
  <c r="O158" i="11"/>
  <c r="K158" i="11"/>
  <c r="S158" i="11"/>
  <c r="L158" i="11"/>
  <c r="X140" i="11"/>
  <c r="T158" i="11"/>
  <c r="M158" i="11"/>
  <c r="U158" i="11"/>
  <c r="Y162" i="11"/>
  <c r="AC166" i="11" s="1"/>
  <c r="N158" i="11"/>
  <c r="V158" i="11"/>
  <c r="AX22" i="28" s="1"/>
  <c r="D86" i="15"/>
  <c r="C87" i="15"/>
  <c r="D87" i="15" s="1"/>
  <c r="Q59" i="16"/>
  <c r="Q59" i="12"/>
  <c r="AN22" i="11"/>
  <c r="P117" i="11"/>
  <c r="L140" i="11"/>
  <c r="P55" i="15"/>
  <c r="R117" i="11"/>
  <c r="N140" i="11"/>
  <c r="K117" i="11"/>
  <c r="AR117" i="11"/>
  <c r="V127" i="11"/>
  <c r="V9" i="11"/>
  <c r="Z14" i="11" s="1"/>
  <c r="U127" i="11"/>
  <c r="U9" i="11"/>
  <c r="Y14" i="11" s="1"/>
  <c r="W127" i="11"/>
  <c r="W9" i="11"/>
  <c r="AA14" i="11" s="1"/>
  <c r="S117" i="11"/>
  <c r="M117" i="11"/>
  <c r="K140" i="11"/>
  <c r="AR141" i="11"/>
  <c r="AR140" i="11"/>
  <c r="T141" i="11"/>
  <c r="T140" i="11"/>
  <c r="AT117" i="11"/>
  <c r="AS140" i="11"/>
  <c r="Q117" i="11"/>
  <c r="M140" i="11"/>
  <c r="U140" i="11"/>
  <c r="O140" i="11"/>
  <c r="AT140" i="11"/>
  <c r="V140" i="11"/>
  <c r="L117" i="11"/>
  <c r="T117" i="11"/>
  <c r="P140" i="11"/>
  <c r="AS118" i="11"/>
  <c r="AS117" i="11"/>
  <c r="N118" i="11"/>
  <c r="N117" i="11"/>
  <c r="V118" i="11"/>
  <c r="V117" i="11"/>
  <c r="J141" i="11"/>
  <c r="R141" i="11"/>
  <c r="R140" i="11"/>
  <c r="U117" i="11"/>
  <c r="Q141" i="11"/>
  <c r="Q140" i="11"/>
  <c r="O117" i="11"/>
  <c r="S140" i="11"/>
  <c r="AT141" i="11"/>
  <c r="AR118" i="11"/>
  <c r="H141" i="11"/>
  <c r="P141" i="11"/>
  <c r="AT118" i="11"/>
  <c r="AS141" i="11"/>
  <c r="I125" i="11"/>
  <c r="I118" i="11"/>
  <c r="Q118" i="11"/>
  <c r="M141" i="11"/>
  <c r="U141" i="11"/>
  <c r="J125" i="11"/>
  <c r="J118" i="11"/>
  <c r="R118" i="11"/>
  <c r="N144" i="11"/>
  <c r="N141" i="11"/>
  <c r="V141" i="11"/>
  <c r="K118" i="11"/>
  <c r="S118" i="11"/>
  <c r="O144" i="11"/>
  <c r="O141" i="11"/>
  <c r="H125" i="11"/>
  <c r="H118" i="11"/>
  <c r="L125" i="11"/>
  <c r="L118" i="11"/>
  <c r="T118" i="11"/>
  <c r="P125" i="11"/>
  <c r="P126" i="11" s="1"/>
  <c r="P118" i="11"/>
  <c r="M118" i="11"/>
  <c r="U118" i="11"/>
  <c r="I144" i="11"/>
  <c r="I141" i="11"/>
  <c r="L144" i="11"/>
  <c r="L141" i="11"/>
  <c r="O118" i="11"/>
  <c r="K144" i="11"/>
  <c r="K141" i="11"/>
  <c r="S144" i="11"/>
  <c r="S141" i="11"/>
  <c r="V144" i="11"/>
  <c r="Z150" i="11" s="1"/>
  <c r="T144" i="11"/>
  <c r="V125" i="11"/>
  <c r="Z131" i="11" s="1"/>
  <c r="AN16" i="11"/>
  <c r="AN21" i="11" s="1"/>
  <c r="AK16" i="11"/>
  <c r="AK21" i="11" s="1"/>
  <c r="U144" i="11"/>
  <c r="Y150" i="11" s="1"/>
  <c r="M144" i="11"/>
  <c r="P144" i="11"/>
  <c r="AR125" i="11"/>
  <c r="AT133" i="11"/>
  <c r="AT134" i="11" s="1"/>
  <c r="AT19" i="11" s="1"/>
  <c r="AS125" i="11"/>
  <c r="AR144" i="11"/>
  <c r="S133" i="11"/>
  <c r="S134" i="11" s="1"/>
  <c r="S19" i="11" s="1"/>
  <c r="AT144" i="11"/>
  <c r="R144" i="11"/>
  <c r="T133" i="11"/>
  <c r="T134" i="11" s="1"/>
  <c r="T19" i="11" s="1"/>
  <c r="Q144" i="11"/>
  <c r="AS144" i="11"/>
  <c r="AT125" i="11"/>
  <c r="AT126" i="11" s="1"/>
  <c r="J144" i="11"/>
  <c r="M125" i="11"/>
  <c r="K125" i="11"/>
  <c r="N125" i="11"/>
  <c r="R125" i="11"/>
  <c r="R126" i="11" s="1"/>
  <c r="T125" i="11"/>
  <c r="X131" i="11" s="1"/>
  <c r="O125" i="11"/>
  <c r="U125" i="11"/>
  <c r="Y131" i="11" s="1"/>
  <c r="S125" i="11"/>
  <c r="S126" i="11" s="1"/>
  <c r="Q125" i="11"/>
  <c r="Q126" i="11" s="1"/>
  <c r="S250" i="11"/>
  <c r="T250" i="11"/>
  <c r="U250" i="11"/>
  <c r="AP250" i="11"/>
  <c r="AQ250" i="11"/>
  <c r="E250" i="11"/>
  <c r="AR250" i="11"/>
  <c r="F250" i="11"/>
  <c r="V250" i="11"/>
  <c r="K250" i="11"/>
  <c r="L250" i="11"/>
  <c r="N261" i="11"/>
  <c r="AT250" i="11"/>
  <c r="J250" i="11"/>
  <c r="M250" i="11"/>
  <c r="C250" i="11"/>
  <c r="D250" i="11"/>
  <c r="O250" i="11"/>
  <c r="P250" i="11"/>
  <c r="L261" i="11"/>
  <c r="M261" i="11"/>
  <c r="C261" i="11"/>
  <c r="W250" i="11"/>
  <c r="AU250" i="11" s="1"/>
  <c r="H250" i="11"/>
  <c r="AS250" i="11"/>
  <c r="N250" i="11"/>
  <c r="G261" i="11"/>
  <c r="R250" i="11"/>
  <c r="F261" i="11"/>
  <c r="H261" i="11"/>
  <c r="G250" i="11"/>
  <c r="I250" i="11"/>
  <c r="E261" i="11"/>
  <c r="I261" i="11"/>
  <c r="Q250" i="11"/>
  <c r="D261" i="11"/>
  <c r="J261" i="11"/>
  <c r="K261" i="11"/>
  <c r="L212" i="11"/>
  <c r="L146" i="11" s="1"/>
  <c r="J212" i="11"/>
  <c r="J146" i="11" s="1"/>
  <c r="M212" i="11"/>
  <c r="M146" i="11" s="1"/>
  <c r="N212" i="11"/>
  <c r="N146" i="11" s="1"/>
  <c r="R212" i="11"/>
  <c r="W212" i="11"/>
  <c r="W218" i="11"/>
  <c r="O212" i="11"/>
  <c r="P212" i="11"/>
  <c r="Q212" i="11"/>
  <c r="U212" i="11"/>
  <c r="U10" i="11" s="1"/>
  <c r="Y15" i="11" s="1"/>
  <c r="T212" i="11"/>
  <c r="K212" i="11"/>
  <c r="K146" i="11" s="1"/>
  <c r="S212" i="11"/>
  <c r="V212" i="11"/>
  <c r="V10" i="11" s="1"/>
  <c r="Z15" i="11" s="1"/>
  <c r="H212" i="11"/>
  <c r="H146" i="11" s="1"/>
  <c r="I212" i="11"/>
  <c r="I146" i="11" s="1"/>
  <c r="G212" i="11"/>
  <c r="G146" i="11" s="1"/>
  <c r="G218" i="11"/>
  <c r="G221" i="11" s="1"/>
  <c r="K218" i="11"/>
  <c r="K221" i="11" s="1"/>
  <c r="H218" i="11"/>
  <c r="H221" i="11" s="1"/>
  <c r="I218" i="11"/>
  <c r="I221" i="11" s="1"/>
  <c r="L218" i="11"/>
  <c r="L221" i="11" s="1"/>
  <c r="M218" i="11"/>
  <c r="M221" i="11" s="1"/>
  <c r="C218" i="11"/>
  <c r="C221" i="11" s="1"/>
  <c r="C226" i="11" s="1"/>
  <c r="C229" i="11" s="1"/>
  <c r="C231" i="11" s="1"/>
  <c r="D218" i="11"/>
  <c r="D221" i="11" s="1"/>
  <c r="D226" i="11" s="1"/>
  <c r="D229" i="11" s="1"/>
  <c r="D231" i="11" s="1"/>
  <c r="E218" i="11"/>
  <c r="E221" i="11" s="1"/>
  <c r="E226" i="11" s="1"/>
  <c r="E229" i="11" s="1"/>
  <c r="E231" i="11" s="1"/>
  <c r="O218" i="11"/>
  <c r="O221" i="11" s="1"/>
  <c r="P218" i="11"/>
  <c r="P221" i="11" s="1"/>
  <c r="T218" i="11"/>
  <c r="T221" i="11" s="1"/>
  <c r="U218" i="11"/>
  <c r="U221" i="11" s="1"/>
  <c r="Q218" i="11"/>
  <c r="Q221" i="11" s="1"/>
  <c r="S218" i="11"/>
  <c r="S221" i="11" s="1"/>
  <c r="W313" i="11"/>
  <c r="W322" i="11" s="1"/>
  <c r="L333" i="11"/>
  <c r="M313" i="11"/>
  <c r="M322" i="11" s="1"/>
  <c r="M333" i="11"/>
  <c r="E333" i="11"/>
  <c r="C333" i="11"/>
  <c r="D333" i="11"/>
  <c r="O313" i="11"/>
  <c r="O322" i="11" s="1"/>
  <c r="W290" i="11"/>
  <c r="W301" i="11" s="1"/>
  <c r="W333" i="11"/>
  <c r="O333" i="11"/>
  <c r="D290" i="11"/>
  <c r="AI333" i="11"/>
  <c r="AT333" i="11"/>
  <c r="G333" i="11"/>
  <c r="P313" i="11"/>
  <c r="P322" i="11" s="1"/>
  <c r="S313" i="11"/>
  <c r="S322" i="11" s="1"/>
  <c r="AJ333" i="11"/>
  <c r="AH333" i="11"/>
  <c r="E290" i="11"/>
  <c r="C290" i="11"/>
  <c r="P333" i="11"/>
  <c r="AO218" i="11"/>
  <c r="C313" i="11"/>
  <c r="C322" i="11" s="1"/>
  <c r="AP218" i="11"/>
  <c r="AP221" i="11" s="1"/>
  <c r="AF333" i="11"/>
  <c r="D313" i="11"/>
  <c r="D322" i="11" s="1"/>
  <c r="AQ218" i="11"/>
  <c r="AQ221" i="11" s="1"/>
  <c r="AG333" i="11"/>
  <c r="E313" i="11"/>
  <c r="E322" i="11" s="1"/>
  <c r="AR218" i="11"/>
  <c r="AR221" i="11" s="1"/>
  <c r="AS218" i="11"/>
  <c r="AS221" i="11" s="1"/>
  <c r="G313" i="11"/>
  <c r="G322" i="11" s="1"/>
  <c r="H313" i="11"/>
  <c r="H322" i="11" s="1"/>
  <c r="I313" i="11"/>
  <c r="I322" i="11" s="1"/>
  <c r="K313" i="11"/>
  <c r="K322" i="11" s="1"/>
  <c r="K333" i="11"/>
  <c r="H333" i="11"/>
  <c r="Q313" i="11"/>
  <c r="Q322" i="11" s="1"/>
  <c r="I333" i="11"/>
  <c r="S333" i="11"/>
  <c r="AG313" i="11"/>
  <c r="AG322" i="11" s="1"/>
  <c r="T333" i="11"/>
  <c r="Q333" i="11"/>
  <c r="AR333" i="11"/>
  <c r="U313" i="11"/>
  <c r="U322" i="11" s="1"/>
  <c r="AO333" i="11"/>
  <c r="S290" i="11"/>
  <c r="S301" i="11" s="1"/>
  <c r="AP333" i="11"/>
  <c r="T290" i="11"/>
  <c r="T301" i="11" s="1"/>
  <c r="U290" i="11"/>
  <c r="U301" i="11" s="1"/>
  <c r="AQ333" i="11"/>
  <c r="AF313" i="11"/>
  <c r="AF322" i="11" s="1"/>
  <c r="T313" i="11"/>
  <c r="T322" i="11" s="1"/>
  <c r="AS333" i="11"/>
  <c r="U333" i="11"/>
  <c r="AK333" i="11"/>
  <c r="AL333" i="11"/>
  <c r="AM333" i="11"/>
  <c r="AN333" i="11"/>
  <c r="L313" i="11"/>
  <c r="L322" i="11" s="1"/>
  <c r="AJ218" i="11"/>
  <c r="AK218" i="11"/>
  <c r="AL218" i="11"/>
  <c r="AM218" i="11"/>
  <c r="AO214" i="11"/>
  <c r="AO11" i="11" s="1"/>
  <c r="C8" i="15" s="1"/>
  <c r="AN218" i="11"/>
  <c r="AR313" i="11"/>
  <c r="AR322" i="11" s="1"/>
  <c r="AT313" i="11"/>
  <c r="AT322" i="11" s="1"/>
  <c r="AS313" i="11"/>
  <c r="AS322" i="11" s="1"/>
  <c r="AT218" i="11"/>
  <c r="AT221" i="11" s="1"/>
  <c r="AG290" i="11"/>
  <c r="AG301" i="11" s="1"/>
  <c r="AH290" i="11"/>
  <c r="AH301" i="11" s="1"/>
  <c r="AI290" i="11"/>
  <c r="AI301" i="11" s="1"/>
  <c r="AJ290" i="11"/>
  <c r="AJ301" i="11" s="1"/>
  <c r="AN313" i="11"/>
  <c r="AN322" i="11" s="1"/>
  <c r="AH313" i="11"/>
  <c r="AH322" i="11" s="1"/>
  <c r="AO313" i="11"/>
  <c r="AO322" i="11" s="1"/>
  <c r="AI313" i="11"/>
  <c r="AI322" i="11" s="1"/>
  <c r="AP313" i="11"/>
  <c r="AP322" i="11" s="1"/>
  <c r="AJ313" i="11"/>
  <c r="AJ322" i="11" s="1"/>
  <c r="AQ313" i="11"/>
  <c r="AQ322" i="11" s="1"/>
  <c r="AM290" i="11"/>
  <c r="AM301" i="11" s="1"/>
  <c r="AN290" i="11"/>
  <c r="AN301" i="11" s="1"/>
  <c r="AK313" i="11"/>
  <c r="AK322" i="11" s="1"/>
  <c r="AL313" i="11"/>
  <c r="AL322" i="11" s="1"/>
  <c r="AM313" i="11"/>
  <c r="AM322" i="11" s="1"/>
  <c r="AF290" i="11"/>
  <c r="AF301" i="11" s="1"/>
  <c r="AO290" i="11"/>
  <c r="AS290" i="11"/>
  <c r="AS301" i="11" s="1"/>
  <c r="AK290" i="11"/>
  <c r="AK301" i="11" s="1"/>
  <c r="AS212" i="11"/>
  <c r="AL290" i="11"/>
  <c r="AL301" i="11" s="1"/>
  <c r="AT290" i="11"/>
  <c r="AT301" i="11" s="1"/>
  <c r="AT212" i="11"/>
  <c r="AQ171" i="11" l="1"/>
  <c r="AQ172" i="11" s="1"/>
  <c r="AN11" i="28"/>
  <c r="R171" i="11"/>
  <c r="AT22" i="28"/>
  <c r="AX25" i="28" s="1"/>
  <c r="J171" i="11"/>
  <c r="AL22" i="28"/>
  <c r="T171" i="11"/>
  <c r="T172" i="11" s="1"/>
  <c r="X173" i="11" s="1"/>
  <c r="AV22" i="28"/>
  <c r="P171" i="11"/>
  <c r="P172" i="11" s="1"/>
  <c r="AR22" i="28"/>
  <c r="AS171" i="11"/>
  <c r="AS172" i="11" s="1"/>
  <c r="AP11" i="28"/>
  <c r="BB25" i="28"/>
  <c r="N171" i="11"/>
  <c r="AP22" i="28"/>
  <c r="L171" i="11"/>
  <c r="L172" i="11" s="1"/>
  <c r="AN22" i="28"/>
  <c r="S171" i="11"/>
  <c r="S172" i="11" s="1"/>
  <c r="AU22" i="28"/>
  <c r="AP171" i="11"/>
  <c r="AP172" i="11" s="1"/>
  <c r="AM11" i="28"/>
  <c r="H171" i="11"/>
  <c r="H172" i="11" s="1"/>
  <c r="AJ22" i="28"/>
  <c r="AT171" i="11"/>
  <c r="AT172" i="11" s="1"/>
  <c r="AQ11" i="28"/>
  <c r="Q171" i="11"/>
  <c r="Q172" i="11" s="1"/>
  <c r="AS22" i="28"/>
  <c r="AR171" i="11"/>
  <c r="AR172" i="11" s="1"/>
  <c r="AO11" i="28"/>
  <c r="G171" i="11"/>
  <c r="G172" i="11" s="1"/>
  <c r="AI22" i="28"/>
  <c r="E171" i="11"/>
  <c r="E172" i="11" s="1"/>
  <c r="AG22" i="28"/>
  <c r="D171" i="11"/>
  <c r="D172" i="11" s="1"/>
  <c r="AF22" i="28"/>
  <c r="AF27" i="28" s="1"/>
  <c r="AF29" i="28" s="1"/>
  <c r="U171" i="11"/>
  <c r="U172" i="11" s="1"/>
  <c r="AW22" i="28"/>
  <c r="AX24" i="28" s="1"/>
  <c r="M171" i="11"/>
  <c r="M172" i="11" s="1"/>
  <c r="AO22" i="28"/>
  <c r="O171" i="11"/>
  <c r="O172" i="11" s="1"/>
  <c r="AQ22" i="28"/>
  <c r="F171" i="11"/>
  <c r="AH22" i="28"/>
  <c r="K171" i="11"/>
  <c r="K172" i="11" s="1"/>
  <c r="AM22" i="28"/>
  <c r="I171" i="11"/>
  <c r="I172" i="11" s="1"/>
  <c r="AK22" i="28"/>
  <c r="C471" i="11"/>
  <c r="L471" i="11" s="1"/>
  <c r="C171" i="11"/>
  <c r="C172" i="11" s="1"/>
  <c r="AV10" i="11"/>
  <c r="Z159" i="11"/>
  <c r="V171" i="11"/>
  <c r="AB11" i="11"/>
  <c r="AB21" i="11" s="1"/>
  <c r="W133" i="11"/>
  <c r="W134" i="11" s="1"/>
  <c r="W19" i="11" s="1"/>
  <c r="AA133" i="11"/>
  <c r="AA134" i="11" s="1"/>
  <c r="AA19" i="11" s="1"/>
  <c r="AQ163" i="11"/>
  <c r="AQ162" i="11" s="1"/>
  <c r="AR131" i="11"/>
  <c r="AQ160" i="11"/>
  <c r="AQ159" i="11"/>
  <c r="AP273" i="11"/>
  <c r="AP272" i="11"/>
  <c r="BA272" i="11" s="1"/>
  <c r="AT272" i="11"/>
  <c r="BE272" i="11" s="1"/>
  <c r="AT273" i="11"/>
  <c r="AR272" i="11"/>
  <c r="BC272" i="11" s="1"/>
  <c r="AR273" i="11"/>
  <c r="AS272" i="11"/>
  <c r="BD272" i="11" s="1"/>
  <c r="AS273" i="11"/>
  <c r="AQ273" i="11"/>
  <c r="AQ272" i="11"/>
  <c r="BB272" i="11" s="1"/>
  <c r="AT353" i="11"/>
  <c r="AT366" i="11" s="1"/>
  <c r="AU370" i="11" s="1"/>
  <c r="AL353" i="11"/>
  <c r="AL366" i="11" s="1"/>
  <c r="W353" i="11"/>
  <c r="W366" i="11" s="1"/>
  <c r="AA367" i="11" s="1"/>
  <c r="AN353" i="11"/>
  <c r="AN366" i="11" s="1"/>
  <c r="U353" i="11"/>
  <c r="U366" i="11" s="1"/>
  <c r="W125" i="11"/>
  <c r="W118" i="11"/>
  <c r="W117" i="11"/>
  <c r="T353" i="11"/>
  <c r="T366" i="11" s="1"/>
  <c r="AM353" i="11"/>
  <c r="AM354" i="11" s="1"/>
  <c r="AK353" i="11"/>
  <c r="AK354" i="11" s="1"/>
  <c r="D353" i="11"/>
  <c r="D366" i="11" s="1"/>
  <c r="S353" i="11"/>
  <c r="S366" i="11" s="1"/>
  <c r="AO353" i="11"/>
  <c r="E353" i="11"/>
  <c r="E366" i="11" s="1"/>
  <c r="C353" i="11"/>
  <c r="C366" i="11" s="1"/>
  <c r="W140" i="11"/>
  <c r="AU116" i="11"/>
  <c r="X118" i="11"/>
  <c r="AS353" i="11"/>
  <c r="AU139" i="11"/>
  <c r="AL22" i="11"/>
  <c r="AL16" i="11"/>
  <c r="AL21" i="11" s="1"/>
  <c r="AM16" i="11"/>
  <c r="AM21" i="11" s="1"/>
  <c r="AM22" i="11"/>
  <c r="W141" i="11"/>
  <c r="W221" i="11"/>
  <c r="AU221" i="11" s="1"/>
  <c r="AU218" i="11"/>
  <c r="W158" i="11"/>
  <c r="W10" i="11"/>
  <c r="AA15" i="11" s="1"/>
  <c r="AU212" i="11"/>
  <c r="W144" i="11"/>
  <c r="AA150" i="11" s="1"/>
  <c r="V133" i="11"/>
  <c r="V134" i="11" s="1"/>
  <c r="V19" i="11" s="1"/>
  <c r="Z133" i="11"/>
  <c r="Z134" i="11" s="1"/>
  <c r="Z19" i="11" s="1"/>
  <c r="X141" i="11"/>
  <c r="K131" i="11"/>
  <c r="J471" i="11"/>
  <c r="J160" i="11"/>
  <c r="J159" i="11"/>
  <c r="H471" i="11"/>
  <c r="H160" i="11"/>
  <c r="H159" i="11"/>
  <c r="G471" i="11"/>
  <c r="M471" i="11" s="1"/>
  <c r="G160" i="11"/>
  <c r="G159" i="11"/>
  <c r="F471" i="11"/>
  <c r="F160" i="11"/>
  <c r="E160" i="11"/>
  <c r="E471" i="11"/>
  <c r="U133" i="11"/>
  <c r="U134" i="11" s="1"/>
  <c r="U19" i="11" s="1"/>
  <c r="Y133" i="11"/>
  <c r="Y134" i="11" s="1"/>
  <c r="Y19" i="11" s="1"/>
  <c r="D471" i="11"/>
  <c r="D160" i="11"/>
  <c r="I159" i="11"/>
  <c r="I471" i="11"/>
  <c r="I160" i="11"/>
  <c r="R160" i="11"/>
  <c r="Q160" i="11"/>
  <c r="I163" i="11"/>
  <c r="I162" i="11" s="1"/>
  <c r="AS160" i="11"/>
  <c r="O160" i="11"/>
  <c r="AT160" i="11"/>
  <c r="AR163" i="11"/>
  <c r="AR162" i="11" s="1"/>
  <c r="AR160" i="11"/>
  <c r="S163" i="11"/>
  <c r="S162" i="11" s="1"/>
  <c r="AT159" i="11"/>
  <c r="AR159" i="11"/>
  <c r="AS159" i="11"/>
  <c r="AS163" i="11"/>
  <c r="AS162" i="11" s="1"/>
  <c r="P160" i="11"/>
  <c r="P159" i="11"/>
  <c r="AT163" i="11"/>
  <c r="AT162" i="11" s="1"/>
  <c r="P163" i="11"/>
  <c r="P162" i="11" s="1"/>
  <c r="M163" i="11"/>
  <c r="M162" i="11" s="1"/>
  <c r="K163" i="11"/>
  <c r="K162" i="11" s="1"/>
  <c r="Q163" i="11"/>
  <c r="Q162" i="11" s="1"/>
  <c r="Q159" i="11"/>
  <c r="M159" i="11"/>
  <c r="M160" i="11"/>
  <c r="R163" i="11"/>
  <c r="X150" i="11"/>
  <c r="T163" i="11"/>
  <c r="S159" i="11"/>
  <c r="S160" i="11"/>
  <c r="O163" i="11"/>
  <c r="V163" i="11"/>
  <c r="Z167" i="11" s="1"/>
  <c r="Z168" i="11" s="1"/>
  <c r="L160" i="11"/>
  <c r="L159" i="11"/>
  <c r="K160" i="11"/>
  <c r="K159" i="11"/>
  <c r="T160" i="11"/>
  <c r="T159" i="11"/>
  <c r="X159" i="11"/>
  <c r="U163" i="11"/>
  <c r="L163" i="11"/>
  <c r="J163" i="11"/>
  <c r="J162" i="11" s="1"/>
  <c r="V159" i="11"/>
  <c r="V160" i="11"/>
  <c r="Y159" i="11"/>
  <c r="U160" i="11"/>
  <c r="U159" i="11"/>
  <c r="N163" i="11"/>
  <c r="N159" i="11"/>
  <c r="N160" i="11"/>
  <c r="R159" i="11"/>
  <c r="O159" i="11"/>
  <c r="C8" i="12"/>
  <c r="C8" i="16"/>
  <c r="R59" i="16"/>
  <c r="R59" i="12"/>
  <c r="Q55" i="15"/>
  <c r="V11" i="11"/>
  <c r="AR226" i="11"/>
  <c r="AR229" i="11" s="1"/>
  <c r="AR231" i="11" s="1"/>
  <c r="AR234" i="11"/>
  <c r="T226" i="11"/>
  <c r="T229" i="11" s="1"/>
  <c r="T231" i="11" s="1"/>
  <c r="T234" i="11"/>
  <c r="I226" i="11"/>
  <c r="I229" i="11" s="1"/>
  <c r="I231" i="11" s="1"/>
  <c r="I234" i="11"/>
  <c r="AT226" i="11"/>
  <c r="AT229" i="11" s="1"/>
  <c r="AT231" i="11" s="1"/>
  <c r="AT234" i="11"/>
  <c r="AQ226" i="11"/>
  <c r="AQ229" i="11" s="1"/>
  <c r="AQ231" i="11" s="1"/>
  <c r="AQ234" i="11"/>
  <c r="P226" i="11"/>
  <c r="P229" i="11" s="1"/>
  <c r="P231" i="11" s="1"/>
  <c r="P234" i="11"/>
  <c r="H226" i="11"/>
  <c r="H229" i="11" s="1"/>
  <c r="H231" i="11" s="1"/>
  <c r="H234" i="11"/>
  <c r="U226" i="11"/>
  <c r="U229" i="11" s="1"/>
  <c r="U231" i="11" s="1"/>
  <c r="U234" i="11"/>
  <c r="O226" i="11"/>
  <c r="O229" i="11" s="1"/>
  <c r="O231" i="11" s="1"/>
  <c r="O234" i="11"/>
  <c r="K226" i="11"/>
  <c r="K229" i="11" s="1"/>
  <c r="K231" i="11" s="1"/>
  <c r="K234" i="11"/>
  <c r="M226" i="11"/>
  <c r="M229" i="11" s="1"/>
  <c r="M231" i="11" s="1"/>
  <c r="M234" i="11"/>
  <c r="L226" i="11"/>
  <c r="L229" i="11" s="1"/>
  <c r="L231" i="11" s="1"/>
  <c r="L234" i="11"/>
  <c r="G226" i="11"/>
  <c r="G229" i="11" s="1"/>
  <c r="G231" i="11" s="1"/>
  <c r="G234" i="11"/>
  <c r="AP226" i="11"/>
  <c r="AP229" i="11" s="1"/>
  <c r="AP231" i="11" s="1"/>
  <c r="AP234" i="11"/>
  <c r="V150" i="11"/>
  <c r="Q226" i="11"/>
  <c r="Q229" i="11" s="1"/>
  <c r="Q231" i="11" s="1"/>
  <c r="Q234" i="11"/>
  <c r="AS226" i="11"/>
  <c r="AS229" i="11" s="1"/>
  <c r="AS231" i="11" s="1"/>
  <c r="AS234" i="11"/>
  <c r="S226" i="11"/>
  <c r="S229" i="11" s="1"/>
  <c r="S231" i="11" s="1"/>
  <c r="S234" i="11"/>
  <c r="U11" i="11"/>
  <c r="S150" i="11"/>
  <c r="O150" i="11"/>
  <c r="N131" i="11"/>
  <c r="N150" i="11"/>
  <c r="L131" i="11"/>
  <c r="M131" i="11"/>
  <c r="P131" i="11"/>
  <c r="M150" i="11"/>
  <c r="U150" i="11"/>
  <c r="U126" i="11"/>
  <c r="Y132" i="11" s="1"/>
  <c r="T126" i="11"/>
  <c r="X132" i="11" s="1"/>
  <c r="V126" i="11"/>
  <c r="Z132" i="11" s="1"/>
  <c r="AN221" i="11"/>
  <c r="AN25" i="11"/>
  <c r="AM221" i="11"/>
  <c r="AM25" i="11"/>
  <c r="AO16" i="11"/>
  <c r="AO21" i="11" s="1"/>
  <c r="AL221" i="11"/>
  <c r="AL25" i="11"/>
  <c r="AK221" i="11"/>
  <c r="AK226" i="11" s="1"/>
  <c r="AK229" i="11" s="1"/>
  <c r="AK231" i="11" s="1"/>
  <c r="AK25" i="11"/>
  <c r="AO221" i="11"/>
  <c r="AO25" i="11"/>
  <c r="AJ221" i="11"/>
  <c r="AJ226" i="11" s="1"/>
  <c r="AJ229" i="11" s="1"/>
  <c r="AJ231" i="11" s="1"/>
  <c r="AJ25" i="11"/>
  <c r="O131" i="11"/>
  <c r="G144" i="11"/>
  <c r="H144" i="11"/>
  <c r="I145" i="11"/>
  <c r="I179" i="11" s="1"/>
  <c r="L145" i="11"/>
  <c r="N152" i="11"/>
  <c r="M145" i="11"/>
  <c r="M152" i="11"/>
  <c r="O126" i="11"/>
  <c r="S132" i="11" s="1"/>
  <c r="AS131" i="11"/>
  <c r="N145" i="11"/>
  <c r="AT214" i="11"/>
  <c r="AT146" i="11"/>
  <c r="L152" i="11"/>
  <c r="O214" i="11"/>
  <c r="O146" i="11"/>
  <c r="S214" i="11"/>
  <c r="S146" i="11"/>
  <c r="R214" i="11"/>
  <c r="R146" i="11"/>
  <c r="V214" i="11"/>
  <c r="V146" i="11"/>
  <c r="AS150" i="11"/>
  <c r="P150" i="11"/>
  <c r="T214" i="11"/>
  <c r="T146" i="11"/>
  <c r="AT150" i="11"/>
  <c r="T150" i="11"/>
  <c r="W214" i="11"/>
  <c r="AU214" i="11" s="1"/>
  <c r="W146" i="11"/>
  <c r="Q150" i="11"/>
  <c r="U214" i="11"/>
  <c r="U146" i="11"/>
  <c r="J145" i="11"/>
  <c r="J179" i="11" s="1"/>
  <c r="Q214" i="11"/>
  <c r="Q146" i="11"/>
  <c r="AT131" i="11"/>
  <c r="AS126" i="11"/>
  <c r="AS214" i="11"/>
  <c r="AS146" i="11"/>
  <c r="K152" i="11"/>
  <c r="K145" i="11"/>
  <c r="K179" i="11" s="1"/>
  <c r="R150" i="11"/>
  <c r="P214" i="11"/>
  <c r="P146" i="11"/>
  <c r="AR150" i="11"/>
  <c r="R131" i="11"/>
  <c r="U131" i="11"/>
  <c r="Q131" i="11"/>
  <c r="T131" i="11"/>
  <c r="S131" i="11"/>
  <c r="V131" i="11"/>
  <c r="M334" i="11"/>
  <c r="D334" i="11"/>
  <c r="AS334" i="11"/>
  <c r="AS335" i="11" s="1"/>
  <c r="C334" i="11"/>
  <c r="O334" i="11"/>
  <c r="K334" i="11"/>
  <c r="AJ334" i="11"/>
  <c r="AJ335" i="11" s="1"/>
  <c r="L334" i="11"/>
  <c r="E334" i="11"/>
  <c r="AI334" i="11"/>
  <c r="AI335" i="11" s="1"/>
  <c r="W334" i="11"/>
  <c r="W335" i="11" s="1"/>
  <c r="P334" i="11"/>
  <c r="AR334" i="11"/>
  <c r="AP334" i="11"/>
  <c r="AT334" i="11"/>
  <c r="AT335" i="11" s="1"/>
  <c r="AF334" i="11"/>
  <c r="AF335" i="11" s="1"/>
  <c r="G334" i="11"/>
  <c r="T334" i="11"/>
  <c r="T335" i="11" s="1"/>
  <c r="AG334" i="11"/>
  <c r="AG335" i="11" s="1"/>
  <c r="AO334" i="11"/>
  <c r="S334" i="11"/>
  <c r="S335" i="11" s="1"/>
  <c r="AK334" i="11"/>
  <c r="AK335" i="11" s="1"/>
  <c r="AM334" i="11"/>
  <c r="AM335" i="11" s="1"/>
  <c r="Q334" i="11"/>
  <c r="H334" i="11"/>
  <c r="AQ334" i="11"/>
  <c r="AH334" i="11"/>
  <c r="AH335" i="11" s="1"/>
  <c r="I334" i="11"/>
  <c r="U334" i="11"/>
  <c r="U335" i="11" s="1"/>
  <c r="AL334" i="11"/>
  <c r="AL335" i="11" s="1"/>
  <c r="AN334" i="11"/>
  <c r="AN335" i="11" s="1"/>
  <c r="J181" i="11" l="1"/>
  <c r="P173" i="11"/>
  <c r="AQ173" i="11"/>
  <c r="I173" i="11"/>
  <c r="O173" i="11"/>
  <c r="U174" i="11"/>
  <c r="AS173" i="11"/>
  <c r="AX27" i="28"/>
  <c r="BB29" i="28" s="1"/>
  <c r="G173" i="11"/>
  <c r="AQ12" i="28"/>
  <c r="AT173" i="11"/>
  <c r="Q173" i="11"/>
  <c r="AX23" i="28"/>
  <c r="AP12" i="28"/>
  <c r="K173" i="11"/>
  <c r="T174" i="11"/>
  <c r="H173" i="11"/>
  <c r="L173" i="11"/>
  <c r="S173" i="11"/>
  <c r="M173" i="11"/>
  <c r="AN23" i="28"/>
  <c r="AN25" i="28"/>
  <c r="AN24" i="28"/>
  <c r="AN27" i="28"/>
  <c r="AR173" i="11"/>
  <c r="AU24" i="28"/>
  <c r="AU27" i="28"/>
  <c r="AU23" i="28"/>
  <c r="AU25" i="28"/>
  <c r="AO25" i="28"/>
  <c r="AO23" i="28"/>
  <c r="AO27" i="28"/>
  <c r="AO24" i="28"/>
  <c r="AL27" i="28"/>
  <c r="AL25" i="28"/>
  <c r="AL24" i="28"/>
  <c r="AL23" i="28"/>
  <c r="AW24" i="28"/>
  <c r="AW23" i="28"/>
  <c r="AW27" i="28"/>
  <c r="AW25" i="28"/>
  <c r="BA25" i="28"/>
  <c r="AG27" i="28"/>
  <c r="AG23" i="28"/>
  <c r="AJ23" i="28"/>
  <c r="AJ24" i="28"/>
  <c r="AJ27" i="28"/>
  <c r="AJ25" i="28"/>
  <c r="AM24" i="28"/>
  <c r="AM25" i="28"/>
  <c r="AM27" i="28"/>
  <c r="AM23" i="28"/>
  <c r="AV23" i="28"/>
  <c r="AV24" i="28"/>
  <c r="AV25" i="28"/>
  <c r="AV27" i="28"/>
  <c r="AZ25" i="28"/>
  <c r="AT23" i="28"/>
  <c r="AT24" i="28"/>
  <c r="AT25" i="28"/>
  <c r="AT27" i="28"/>
  <c r="W171" i="11"/>
  <c r="W172" i="11" s="1"/>
  <c r="W173" i="11" s="1"/>
  <c r="AY22" i="28"/>
  <c r="AH24" i="28"/>
  <c r="AH27" i="28"/>
  <c r="AH23" i="28"/>
  <c r="AQ23" i="28"/>
  <c r="AQ24" i="28"/>
  <c r="AQ25" i="28"/>
  <c r="AQ27" i="28"/>
  <c r="AI23" i="28"/>
  <c r="AI24" i="28"/>
  <c r="AI25" i="28"/>
  <c r="AI27" i="28"/>
  <c r="AK23" i="28"/>
  <c r="AK25" i="28"/>
  <c r="AK24" i="28"/>
  <c r="AK27" i="28"/>
  <c r="AN12" i="28"/>
  <c r="AS27" i="28"/>
  <c r="AS24" i="28"/>
  <c r="AS25" i="28"/>
  <c r="AS23" i="28"/>
  <c r="AP24" i="28"/>
  <c r="AP27" i="28"/>
  <c r="AP25" i="28"/>
  <c r="AP23" i="28"/>
  <c r="AR27" i="28"/>
  <c r="AR23" i="28"/>
  <c r="AR25" i="28"/>
  <c r="AR24" i="28"/>
  <c r="AO12" i="28"/>
  <c r="Y173" i="11"/>
  <c r="U173" i="11"/>
  <c r="Q174" i="11"/>
  <c r="P174" i="11"/>
  <c r="T173" i="11"/>
  <c r="AB16" i="11"/>
  <c r="W126" i="11"/>
  <c r="AA132" i="11" s="1"/>
  <c r="AA131" i="11"/>
  <c r="W160" i="11"/>
  <c r="AA159" i="11"/>
  <c r="AA152" i="11"/>
  <c r="AA153" i="11"/>
  <c r="AA20" i="11" s="1"/>
  <c r="AU158" i="11"/>
  <c r="AR11" i="28" s="1"/>
  <c r="AR12" i="28" s="1"/>
  <c r="AM366" i="11"/>
  <c r="AM370" i="11" s="1"/>
  <c r="AL354" i="11"/>
  <c r="AU277" i="11"/>
  <c r="AU276" i="11"/>
  <c r="W131" i="11"/>
  <c r="AU140" i="11"/>
  <c r="AV140" i="11"/>
  <c r="AV141" i="11"/>
  <c r="AU117" i="11"/>
  <c r="AV117" i="11"/>
  <c r="AV118" i="11"/>
  <c r="AN354" i="11"/>
  <c r="AU125" i="11"/>
  <c r="AU124" i="11" s="1"/>
  <c r="AK366" i="11"/>
  <c r="AK370" i="11" s="1"/>
  <c r="AU118" i="11"/>
  <c r="AU141" i="11"/>
  <c r="X367" i="11"/>
  <c r="U370" i="11"/>
  <c r="AO366" i="11"/>
  <c r="AO370" i="11" s="1"/>
  <c r="AO354" i="11"/>
  <c r="T370" i="11"/>
  <c r="AS366" i="11"/>
  <c r="W150" i="11"/>
  <c r="W367" i="11"/>
  <c r="X370" i="11"/>
  <c r="Y367" i="11"/>
  <c r="W159" i="11"/>
  <c r="AU367" i="11"/>
  <c r="W163" i="11"/>
  <c r="AA167" i="11" s="1"/>
  <c r="AA168" i="11" s="1"/>
  <c r="AU144" i="11"/>
  <c r="Z152" i="11"/>
  <c r="Z153" i="11"/>
  <c r="Z20" i="11" s="1"/>
  <c r="Z16" i="11"/>
  <c r="Z21" i="11"/>
  <c r="X160" i="11"/>
  <c r="W234" i="11"/>
  <c r="AU234" i="11" s="1"/>
  <c r="W226" i="11"/>
  <c r="L475" i="11"/>
  <c r="L481" i="11"/>
  <c r="M475" i="11"/>
  <c r="M481" i="11"/>
  <c r="Y152" i="11"/>
  <c r="Y153" i="11"/>
  <c r="Y20" i="11" s="1"/>
  <c r="Y21" i="11"/>
  <c r="Y16" i="11"/>
  <c r="M166" i="11"/>
  <c r="AS166" i="11"/>
  <c r="AR167" i="11"/>
  <c r="AR168" i="11" s="1"/>
  <c r="AR166" i="11"/>
  <c r="Q167" i="11"/>
  <c r="Q168" i="11" s="1"/>
  <c r="AT166" i="11"/>
  <c r="AS167" i="11"/>
  <c r="AS168" i="11" s="1"/>
  <c r="AT167" i="11"/>
  <c r="AT168" i="11" s="1"/>
  <c r="M167" i="11"/>
  <c r="M168" i="11" s="1"/>
  <c r="O162" i="11"/>
  <c r="O166" i="11" s="1"/>
  <c r="O167" i="11"/>
  <c r="O168" i="11" s="1"/>
  <c r="Q166" i="11"/>
  <c r="U162" i="11"/>
  <c r="U167" i="11"/>
  <c r="U168" i="11" s="1"/>
  <c r="Y167" i="11"/>
  <c r="Y168" i="11" s="1"/>
  <c r="V162" i="11"/>
  <c r="Z166" i="11" s="1"/>
  <c r="V167" i="11"/>
  <c r="V168" i="11" s="1"/>
  <c r="T162" i="11"/>
  <c r="T167" i="11"/>
  <c r="T168" i="11" s="1"/>
  <c r="X167" i="11"/>
  <c r="X168" i="11" s="1"/>
  <c r="L162" i="11"/>
  <c r="P166" i="11" s="1"/>
  <c r="S167" i="11"/>
  <c r="S168" i="11" s="1"/>
  <c r="K150" i="11"/>
  <c r="G163" i="11"/>
  <c r="N162" i="11"/>
  <c r="N166" i="11" s="1"/>
  <c r="N167" i="11"/>
  <c r="N168" i="11" s="1"/>
  <c r="R162" i="11"/>
  <c r="R167" i="11"/>
  <c r="R168" i="11" s="1"/>
  <c r="P167" i="11"/>
  <c r="P168" i="11" s="1"/>
  <c r="L150" i="11"/>
  <c r="H163" i="11"/>
  <c r="H162" i="11" s="1"/>
  <c r="I181" i="11"/>
  <c r="AQ181" i="11" s="1"/>
  <c r="AQ179" i="11"/>
  <c r="L179" i="11"/>
  <c r="K181" i="11"/>
  <c r="S59" i="16"/>
  <c r="S59" i="12"/>
  <c r="X152" i="11"/>
  <c r="X153" i="11"/>
  <c r="X20" i="11" s="1"/>
  <c r="R55" i="15"/>
  <c r="AM226" i="11"/>
  <c r="AM229" i="11" s="1"/>
  <c r="AM231" i="11" s="1"/>
  <c r="AM234" i="11"/>
  <c r="AN226" i="11"/>
  <c r="AN229" i="11" s="1"/>
  <c r="AN231" i="11" s="1"/>
  <c r="AN234" i="11"/>
  <c r="U132" i="11"/>
  <c r="AL226" i="11"/>
  <c r="AL229" i="11" s="1"/>
  <c r="AL231" i="11" s="1"/>
  <c r="AL234" i="11"/>
  <c r="AO226" i="11"/>
  <c r="AO229" i="11" s="1"/>
  <c r="AO231" i="11" s="1"/>
  <c r="AO234" i="11"/>
  <c r="AJ27" i="11"/>
  <c r="V132" i="11"/>
  <c r="T132" i="11"/>
  <c r="N151" i="11"/>
  <c r="AM27" i="11"/>
  <c r="AM26" i="11"/>
  <c r="AK26" i="11"/>
  <c r="AK27" i="11"/>
  <c r="M151" i="11"/>
  <c r="AO26" i="11"/>
  <c r="AO27" i="11"/>
  <c r="AN26" i="11"/>
  <c r="AN27" i="11"/>
  <c r="AL26" i="11"/>
  <c r="AL27" i="11"/>
  <c r="P152" i="11"/>
  <c r="Q152" i="11"/>
  <c r="Q153" i="11"/>
  <c r="Q20" i="11" s="1"/>
  <c r="V145" i="11"/>
  <c r="Z151" i="11" s="1"/>
  <c r="V153" i="11"/>
  <c r="V20" i="11" s="1"/>
  <c r="O145" i="11"/>
  <c r="O151" i="11" s="1"/>
  <c r="H145" i="11"/>
  <c r="W145" i="11"/>
  <c r="AA151" i="11" s="1"/>
  <c r="W153" i="11"/>
  <c r="W20" i="11" s="1"/>
  <c r="O152" i="11"/>
  <c r="R145" i="11"/>
  <c r="R151" i="11" s="1"/>
  <c r="R153" i="11"/>
  <c r="R20" i="11" s="1"/>
  <c r="AT145" i="11"/>
  <c r="AT153" i="11"/>
  <c r="AT20" i="11" s="1"/>
  <c r="U153" i="11"/>
  <c r="U20" i="11" s="1"/>
  <c r="T153" i="11"/>
  <c r="T20" i="11" s="1"/>
  <c r="S153" i="11"/>
  <c r="S20" i="11" s="1"/>
  <c r="G145" i="11"/>
  <c r="P145" i="11"/>
  <c r="P151" i="11" s="1"/>
  <c r="V152" i="11"/>
  <c r="R152" i="11"/>
  <c r="W152" i="11"/>
  <c r="S152" i="11"/>
  <c r="S145" i="11"/>
  <c r="AT152" i="11"/>
  <c r="AS145" i="11"/>
  <c r="Q145" i="11"/>
  <c r="Q151" i="11" s="1"/>
  <c r="U152" i="11"/>
  <c r="U145" i="11"/>
  <c r="Y151" i="11" s="1"/>
  <c r="T152" i="11"/>
  <c r="T145" i="11"/>
  <c r="X151" i="11" s="1"/>
  <c r="AT132" i="11"/>
  <c r="C92" i="11"/>
  <c r="D92" i="11"/>
  <c r="E92" i="11"/>
  <c r="F92" i="11"/>
  <c r="G92" i="11"/>
  <c r="H92" i="11"/>
  <c r="I92" i="11"/>
  <c r="J92" i="11"/>
  <c r="P108" i="11"/>
  <c r="L180" i="11" l="1"/>
  <c r="X174" i="11"/>
  <c r="AX29" i="28"/>
  <c r="AA173" i="11"/>
  <c r="AS28" i="28"/>
  <c r="AS29" i="28"/>
  <c r="AQ28" i="28"/>
  <c r="AQ32" i="28"/>
  <c r="AQ33" i="28"/>
  <c r="AQ29" i="28"/>
  <c r="AH28" i="28"/>
  <c r="AT28" i="28"/>
  <c r="AT29" i="28"/>
  <c r="AK29" i="28"/>
  <c r="AK28" i="28"/>
  <c r="AI33" i="28"/>
  <c r="AI32" i="28"/>
  <c r="AI28" i="28"/>
  <c r="AO29" i="28"/>
  <c r="AO28" i="28"/>
  <c r="AW29" i="28"/>
  <c r="AW28" i="28"/>
  <c r="BA29" i="28"/>
  <c r="AV29" i="28"/>
  <c r="AV28" i="28"/>
  <c r="AN28" i="28"/>
  <c r="AN29" i="28"/>
  <c r="AX28" i="28"/>
  <c r="AL28" i="28"/>
  <c r="AL29" i="28"/>
  <c r="AU32" i="28"/>
  <c r="AU29" i="28"/>
  <c r="AU33" i="28"/>
  <c r="AU28" i="28"/>
  <c r="AM33" i="28"/>
  <c r="AM28" i="28"/>
  <c r="AM32" i="28"/>
  <c r="AM29" i="28"/>
  <c r="AJ29" i="28"/>
  <c r="AJ28" i="28"/>
  <c r="AY24" i="28"/>
  <c r="AY25" i="28"/>
  <c r="AY27" i="28"/>
  <c r="AY23" i="28"/>
  <c r="BC25" i="28"/>
  <c r="AZ27" i="28"/>
  <c r="AZ23" i="28"/>
  <c r="AZ24" i="28"/>
  <c r="AR28" i="28"/>
  <c r="AR29" i="28"/>
  <c r="AP28" i="28"/>
  <c r="AP29" i="28"/>
  <c r="AU126" i="11"/>
  <c r="AU132" i="11" s="1"/>
  <c r="AU272" i="11"/>
  <c r="BF272" i="11" s="1"/>
  <c r="AU171" i="11"/>
  <c r="AU172" i="11" s="1"/>
  <c r="AU173" i="11" s="1"/>
  <c r="W132" i="11"/>
  <c r="AU273" i="11"/>
  <c r="AM367" i="11"/>
  <c r="AN370" i="11"/>
  <c r="AN367" i="11"/>
  <c r="M479" i="11"/>
  <c r="M478" i="11" s="1"/>
  <c r="AU130" i="11"/>
  <c r="AV130" i="11"/>
  <c r="AU131" i="11"/>
  <c r="AV131" i="11"/>
  <c r="AL367" i="11"/>
  <c r="AV126" i="11"/>
  <c r="AU160" i="11"/>
  <c r="AV160" i="11"/>
  <c r="AV159" i="11"/>
  <c r="AU150" i="11"/>
  <c r="AV150" i="11"/>
  <c r="AL370" i="11"/>
  <c r="AU143" i="11"/>
  <c r="AU163" i="11"/>
  <c r="AU167" i="11" s="1"/>
  <c r="AU168" i="11" s="1"/>
  <c r="W162" i="11"/>
  <c r="W167" i="11"/>
  <c r="W168" i="11" s="1"/>
  <c r="AT370" i="11"/>
  <c r="AU145" i="11"/>
  <c r="AO367" i="11"/>
  <c r="AU159" i="11"/>
  <c r="AT367" i="11"/>
  <c r="W229" i="11"/>
  <c r="AU226" i="11"/>
  <c r="L479" i="11"/>
  <c r="L478" i="11" s="1"/>
  <c r="U166" i="11"/>
  <c r="Y166" i="11"/>
  <c r="S166" i="11"/>
  <c r="L167" i="11"/>
  <c r="L168" i="11" s="1"/>
  <c r="L166" i="11"/>
  <c r="T166" i="11"/>
  <c r="X166" i="11"/>
  <c r="V166" i="11"/>
  <c r="R166" i="11"/>
  <c r="G162" i="11"/>
  <c r="K166" i="11" s="1"/>
  <c r="K167" i="11"/>
  <c r="K168" i="11" s="1"/>
  <c r="M179" i="11"/>
  <c r="L181" i="11"/>
  <c r="T59" i="16"/>
  <c r="U59" i="16" s="1"/>
  <c r="T59" i="12"/>
  <c r="U59" i="12" s="1"/>
  <c r="S55" i="15"/>
  <c r="AT151" i="11"/>
  <c r="V151" i="11"/>
  <c r="S151" i="11"/>
  <c r="T151" i="11"/>
  <c r="K153" i="11"/>
  <c r="K20" i="11" s="1"/>
  <c r="W151" i="11"/>
  <c r="U151" i="11"/>
  <c r="F71" i="11"/>
  <c r="E71" i="11"/>
  <c r="D71" i="11"/>
  <c r="C71" i="11"/>
  <c r="AV132" i="11" l="1"/>
  <c r="AZ28" i="28"/>
  <c r="AZ29" i="28"/>
  <c r="BA28" i="28"/>
  <c r="AY28" i="28"/>
  <c r="AY29" i="28"/>
  <c r="AY32" i="28"/>
  <c r="AY33" i="28"/>
  <c r="BC29" i="28"/>
  <c r="AU127" i="11"/>
  <c r="AU133" i="11" s="1"/>
  <c r="AU134" i="11" s="1"/>
  <c r="W166" i="11"/>
  <c r="AA166" i="11"/>
  <c r="AV9" i="11"/>
  <c r="AU151" i="11"/>
  <c r="AV151" i="11"/>
  <c r="AU162" i="11"/>
  <c r="AV167" i="11"/>
  <c r="AV168" i="11" s="1"/>
  <c r="AU149" i="11"/>
  <c r="AV149" i="11"/>
  <c r="AU146" i="11"/>
  <c r="W231" i="11"/>
  <c r="AU231" i="11" s="1"/>
  <c r="AU229" i="11"/>
  <c r="AR179" i="11"/>
  <c r="M180" i="11"/>
  <c r="T55" i="15"/>
  <c r="U55" i="15" s="1"/>
  <c r="L153" i="11"/>
  <c r="L20" i="11" s="1"/>
  <c r="W94" i="11"/>
  <c r="W95" i="11" s="1"/>
  <c r="U94" i="11"/>
  <c r="U95" i="11" s="1"/>
  <c r="T94" i="11"/>
  <c r="T95" i="11" s="1"/>
  <c r="S94" i="11"/>
  <c r="S95" i="11" s="1"/>
  <c r="Q94" i="11"/>
  <c r="Q95" i="11" s="1"/>
  <c r="P94" i="11"/>
  <c r="P95" i="11" s="1"/>
  <c r="O94" i="11"/>
  <c r="O95" i="11" s="1"/>
  <c r="M94" i="11"/>
  <c r="M95" i="11" s="1"/>
  <c r="L94" i="11"/>
  <c r="L95" i="11" s="1"/>
  <c r="K94" i="11"/>
  <c r="K95" i="11" s="1"/>
  <c r="I94" i="11"/>
  <c r="I95" i="11" s="1"/>
  <c r="H94" i="11"/>
  <c r="H95" i="11" s="1"/>
  <c r="G94" i="11"/>
  <c r="G95" i="11" s="1"/>
  <c r="E94" i="11"/>
  <c r="E95" i="11" s="1"/>
  <c r="D94" i="11"/>
  <c r="D95" i="11" s="1"/>
  <c r="AQ92" i="11"/>
  <c r="AP92" i="11"/>
  <c r="C94" i="11"/>
  <c r="C95" i="11" s="1"/>
  <c r="M181" i="11" l="1"/>
  <c r="AU152" i="11"/>
  <c r="AU153" i="11" s="1"/>
  <c r="AV152" i="11"/>
  <c r="AV153" i="11" s="1"/>
  <c r="AV166" i="11"/>
  <c r="AU166" i="11"/>
  <c r="N180" i="11"/>
  <c r="AU9" i="11"/>
  <c r="AV14" i="11" s="1"/>
  <c r="AV19" i="11" s="1"/>
  <c r="AR180" i="11" l="1"/>
  <c r="AA354" i="11"/>
  <c r="AV11" i="11"/>
  <c r="N181" i="11"/>
  <c r="O180" i="11"/>
  <c r="M153" i="11"/>
  <c r="M20" i="11" s="1"/>
  <c r="J8" i="16" l="1"/>
  <c r="J8" i="12"/>
  <c r="N153" i="11"/>
  <c r="N20" i="11" s="1"/>
  <c r="AR181" i="11"/>
  <c r="O181" i="11"/>
  <c r="O153" i="11" s="1"/>
  <c r="O20" i="11" s="1"/>
  <c r="P180" i="11"/>
  <c r="O109" i="11"/>
  <c r="P181" i="11" l="1"/>
  <c r="P153" i="11" s="1"/>
  <c r="P20" i="11" s="1"/>
  <c r="AS180" i="11"/>
  <c r="AS181" i="11"/>
  <c r="T24" i="11"/>
  <c r="S24" i="11"/>
  <c r="Q24" i="11"/>
  <c r="P24" i="11"/>
  <c r="O24" i="11"/>
  <c r="M24" i="11"/>
  <c r="L24" i="11"/>
  <c r="K24" i="11"/>
  <c r="I24" i="11"/>
  <c r="H24" i="11"/>
  <c r="G24" i="11"/>
  <c r="E24" i="11"/>
  <c r="D24" i="11"/>
  <c r="C24" i="11"/>
  <c r="AU24" i="11"/>
  <c r="A24" i="11"/>
  <c r="T9" i="11"/>
  <c r="X14" i="11" s="1"/>
  <c r="S9" i="11"/>
  <c r="R9" i="11"/>
  <c r="Q9" i="11"/>
  <c r="P9" i="11"/>
  <c r="O9" i="11"/>
  <c r="A16" i="11"/>
  <c r="A21" i="11" s="1"/>
  <c r="A15" i="11"/>
  <c r="A20" i="11" s="1"/>
  <c r="A14" i="11"/>
  <c r="A19" i="11" s="1"/>
  <c r="H16" i="7"/>
  <c r="H8" i="8"/>
  <c r="H7" i="8"/>
  <c r="A130" i="9"/>
  <c r="A129" i="9"/>
  <c r="A128" i="9"/>
  <c r="A127" i="9"/>
  <c r="A126" i="9"/>
  <c r="E115" i="9"/>
  <c r="D115" i="9"/>
  <c r="C115" i="9"/>
  <c r="E109" i="9"/>
  <c r="D109" i="9"/>
  <c r="C109" i="9"/>
  <c r="BW85" i="9"/>
  <c r="BV85" i="9"/>
  <c r="BU85" i="9"/>
  <c r="BB85" i="9"/>
  <c r="BA85" i="9"/>
  <c r="AZ85" i="9"/>
  <c r="AY85" i="9"/>
  <c r="AX85" i="9"/>
  <c r="AW85" i="9"/>
  <c r="AV85" i="9"/>
  <c r="AU85" i="9"/>
  <c r="AT85" i="9"/>
  <c r="AS85" i="9"/>
  <c r="AR85" i="9"/>
  <c r="AQ85" i="9"/>
  <c r="AP85" i="9"/>
  <c r="AO85" i="9"/>
  <c r="AN85" i="9"/>
  <c r="AM85" i="9"/>
  <c r="AL85" i="9"/>
  <c r="AK85" i="9"/>
  <c r="AJ85" i="9"/>
  <c r="AI85" i="9"/>
  <c r="AH85" i="9"/>
  <c r="AG85" i="9"/>
  <c r="AF85" i="9"/>
  <c r="AE85" i="9"/>
  <c r="AD85" i="9"/>
  <c r="AC85" i="9"/>
  <c r="AB85" i="9"/>
  <c r="AA85" i="9"/>
  <c r="Z85" i="9"/>
  <c r="Y85" i="9"/>
  <c r="X85" i="9"/>
  <c r="W85" i="9"/>
  <c r="V85" i="9"/>
  <c r="U85" i="9"/>
  <c r="T85" i="9"/>
  <c r="S85" i="9"/>
  <c r="R85" i="9"/>
  <c r="Q85" i="9"/>
  <c r="P85" i="9"/>
  <c r="O85" i="9"/>
  <c r="N85" i="9"/>
  <c r="M85" i="9"/>
  <c r="L85" i="9"/>
  <c r="K85" i="9"/>
  <c r="J85" i="9"/>
  <c r="I85" i="9"/>
  <c r="H85" i="9"/>
  <c r="G85" i="9"/>
  <c r="F85" i="9"/>
  <c r="E85" i="9"/>
  <c r="D85" i="9"/>
  <c r="C85" i="9"/>
  <c r="BW80" i="9"/>
  <c r="BV80" i="9"/>
  <c r="BU80" i="9"/>
  <c r="BB80" i="9"/>
  <c r="BA80" i="9"/>
  <c r="AZ80" i="9"/>
  <c r="AY80" i="9"/>
  <c r="AX80" i="9"/>
  <c r="AW80" i="9"/>
  <c r="AV80" i="9"/>
  <c r="BW79" i="9"/>
  <c r="BV79" i="9"/>
  <c r="BU79" i="9"/>
  <c r="AY79" i="9"/>
  <c r="AX79" i="9"/>
  <c r="AW79" i="9"/>
  <c r="AV79" i="9"/>
  <c r="BW78" i="9"/>
  <c r="BV78" i="9"/>
  <c r="BU78" i="9"/>
  <c r="AY78" i="9"/>
  <c r="AX78" i="9"/>
  <c r="AW78" i="9"/>
  <c r="AV78" i="9"/>
  <c r="BW77" i="9"/>
  <c r="BV77" i="9"/>
  <c r="BU77" i="9"/>
  <c r="AY77" i="9"/>
  <c r="AX77" i="9"/>
  <c r="AW77" i="9"/>
  <c r="AV77" i="9"/>
  <c r="A77" i="9"/>
  <c r="BW76" i="9"/>
  <c r="BV76" i="9"/>
  <c r="BU76" i="9"/>
  <c r="AY76" i="9"/>
  <c r="AX76" i="9"/>
  <c r="AW76" i="9"/>
  <c r="AV76" i="9"/>
  <c r="A76" i="9"/>
  <c r="A74" i="9"/>
  <c r="BW72" i="9"/>
  <c r="BV72" i="9"/>
  <c r="BU72" i="9"/>
  <c r="AY72" i="9"/>
  <c r="AX72" i="9"/>
  <c r="AW72" i="9"/>
  <c r="AV72" i="9"/>
  <c r="A72" i="9"/>
  <c r="A69" i="9"/>
  <c r="A66" i="9"/>
  <c r="A65" i="9"/>
  <c r="A64" i="9"/>
  <c r="A63" i="9"/>
  <c r="A62" i="9"/>
  <c r="A61" i="9"/>
  <c r="A58" i="9"/>
  <c r="A57" i="9"/>
  <c r="BF52" i="9"/>
  <c r="BE52" i="9"/>
  <c r="BD52" i="9"/>
  <c r="Q52" i="9"/>
  <c r="P52" i="9"/>
  <c r="O52" i="9"/>
  <c r="N52" i="9"/>
  <c r="M52" i="9"/>
  <c r="L52" i="9"/>
  <c r="K52" i="9"/>
  <c r="J52" i="9"/>
  <c r="I52" i="9"/>
  <c r="H52" i="9"/>
  <c r="G52" i="9"/>
  <c r="F52" i="9"/>
  <c r="E52" i="9"/>
  <c r="D52" i="9"/>
  <c r="C52" i="9"/>
  <c r="A52" i="9"/>
  <c r="A51" i="9"/>
  <c r="A50" i="9"/>
  <c r="BW49" i="9"/>
  <c r="BV49" i="9"/>
  <c r="BU49" i="9"/>
  <c r="AY49" i="9"/>
  <c r="AX49" i="9"/>
  <c r="AW49" i="9"/>
  <c r="AV49" i="9"/>
  <c r="A49" i="9"/>
  <c r="BW48" i="9"/>
  <c r="BV48" i="9"/>
  <c r="BU48" i="9"/>
  <c r="AY48" i="9"/>
  <c r="AX48" i="9"/>
  <c r="AW48" i="9"/>
  <c r="AV48" i="9"/>
  <c r="A48" i="9"/>
  <c r="BW47" i="9"/>
  <c r="BV47" i="9"/>
  <c r="BU47" i="9"/>
  <c r="BR47" i="9"/>
  <c r="BQ47" i="9"/>
  <c r="BN47" i="9"/>
  <c r="BM47" i="9"/>
  <c r="BL47" i="9"/>
  <c r="BK47" i="9"/>
  <c r="BJ47" i="9"/>
  <c r="BI47" i="9"/>
  <c r="BH47" i="9"/>
  <c r="BG47" i="9"/>
  <c r="BF47" i="9"/>
  <c r="BE47" i="9"/>
  <c r="BD47" i="9"/>
  <c r="BB47" i="9"/>
  <c r="BA47" i="9"/>
  <c r="AZ47" i="9"/>
  <c r="AY47" i="9"/>
  <c r="AX47" i="9"/>
  <c r="AW47" i="9"/>
  <c r="AV47" i="9"/>
  <c r="AU47" i="9"/>
  <c r="AT47" i="9"/>
  <c r="AS47" i="9"/>
  <c r="AR47" i="9"/>
  <c r="AQ47" i="9"/>
  <c r="AP47" i="9"/>
  <c r="AO47" i="9"/>
  <c r="AN47" i="9"/>
  <c r="AM47" i="9"/>
  <c r="AL47" i="9"/>
  <c r="AK47" i="9"/>
  <c r="AJ47" i="9"/>
  <c r="AI47" i="9"/>
  <c r="AH47" i="9"/>
  <c r="AG47" i="9"/>
  <c r="AF47" i="9"/>
  <c r="AE47" i="9"/>
  <c r="AD47" i="9"/>
  <c r="AC47" i="9"/>
  <c r="AB47" i="9"/>
  <c r="AA47" i="9"/>
  <c r="Z47" i="9"/>
  <c r="Y47" i="9"/>
  <c r="X47" i="9"/>
  <c r="W47" i="9"/>
  <c r="V47" i="9"/>
  <c r="U47" i="9"/>
  <c r="T47" i="9"/>
  <c r="S47" i="9"/>
  <c r="R47" i="9"/>
  <c r="Q47" i="9"/>
  <c r="P47" i="9"/>
  <c r="O47" i="9"/>
  <c r="N47" i="9"/>
  <c r="M47" i="9"/>
  <c r="L47" i="9"/>
  <c r="K47" i="9"/>
  <c r="J47" i="9"/>
  <c r="I47" i="9"/>
  <c r="H47" i="9"/>
  <c r="G47" i="9"/>
  <c r="F47" i="9"/>
  <c r="E47" i="9"/>
  <c r="D47" i="9"/>
  <c r="C47" i="9"/>
  <c r="A47" i="9"/>
  <c r="BW45" i="9"/>
  <c r="BV45" i="9"/>
  <c r="BU45" i="9"/>
  <c r="AY45" i="9"/>
  <c r="AX45" i="9"/>
  <c r="AW45" i="9"/>
  <c r="AV45" i="9"/>
  <c r="A45" i="9"/>
  <c r="A44" i="9"/>
  <c r="BW43" i="9"/>
  <c r="BV43" i="9"/>
  <c r="BU43" i="9"/>
  <c r="AY43" i="9"/>
  <c r="AX43" i="9"/>
  <c r="AW43" i="9"/>
  <c r="AV43" i="9"/>
  <c r="A42" i="9"/>
  <c r="A41" i="9"/>
  <c r="A40" i="9"/>
  <c r="A39" i="9"/>
  <c r="A38" i="9"/>
  <c r="A35" i="9"/>
  <c r="A34" i="9"/>
  <c r="A32" i="9"/>
  <c r="BR31" i="9"/>
  <c r="BQ31" i="9"/>
  <c r="BP31" i="9"/>
  <c r="BO31" i="9"/>
  <c r="BN31" i="9"/>
  <c r="AU31" i="9"/>
  <c r="AT31" i="9"/>
  <c r="AS31" i="9"/>
  <c r="AR31" i="9"/>
  <c r="AQ31" i="9"/>
  <c r="AP31" i="9"/>
  <c r="AO31" i="9"/>
  <c r="AN31" i="9"/>
  <c r="AM31" i="9"/>
  <c r="AL31" i="9"/>
  <c r="AK31" i="9"/>
  <c r="AJ31" i="9"/>
  <c r="AI31" i="9"/>
  <c r="AH31" i="9"/>
  <c r="AG31" i="9"/>
  <c r="AF31" i="9"/>
  <c r="AE31" i="9"/>
  <c r="AD31" i="9"/>
  <c r="AC31" i="9"/>
  <c r="AB31" i="9"/>
  <c r="AA31" i="9"/>
  <c r="A31" i="9"/>
  <c r="BR30" i="9"/>
  <c r="BQ30" i="9"/>
  <c r="BP30" i="9"/>
  <c r="BO30" i="9"/>
  <c r="BN30" i="9"/>
  <c r="AU30" i="9"/>
  <c r="AT30" i="9"/>
  <c r="AS30" i="9"/>
  <c r="AR30" i="9"/>
  <c r="AQ30" i="9"/>
  <c r="AP30" i="9"/>
  <c r="AO30" i="9"/>
  <c r="AN30" i="9"/>
  <c r="AM30" i="9"/>
  <c r="AL30" i="9"/>
  <c r="AK30" i="9"/>
  <c r="AJ30" i="9"/>
  <c r="AI30" i="9"/>
  <c r="AH30" i="9"/>
  <c r="AG30" i="9"/>
  <c r="AF30" i="9"/>
  <c r="AE30" i="9"/>
  <c r="AD30" i="9"/>
  <c r="AC30" i="9"/>
  <c r="AB30" i="9"/>
  <c r="AA30" i="9"/>
  <c r="A30" i="9"/>
  <c r="A28" i="9"/>
  <c r="BW27" i="9"/>
  <c r="BV27" i="9"/>
  <c r="BU27" i="9"/>
  <c r="BB27" i="9"/>
  <c r="BA27" i="9"/>
  <c r="AZ27" i="9"/>
  <c r="AY27" i="9"/>
  <c r="AX27" i="9"/>
  <c r="AW27" i="9"/>
  <c r="AV27" i="9"/>
  <c r="A27" i="9"/>
  <c r="BW26" i="9"/>
  <c r="BV26" i="9"/>
  <c r="BU26" i="9"/>
  <c r="BB26" i="9"/>
  <c r="BA26" i="9"/>
  <c r="AZ26" i="9"/>
  <c r="AY26" i="9"/>
  <c r="AX26" i="9"/>
  <c r="AW26" i="9"/>
  <c r="AV26" i="9"/>
  <c r="A26" i="9"/>
  <c r="A24" i="9"/>
  <c r="A23" i="9"/>
  <c r="BR22" i="9"/>
  <c r="BQ22" i="9"/>
  <c r="BN22" i="9"/>
  <c r="AU22" i="9"/>
  <c r="AT22" i="9"/>
  <c r="AS22" i="9"/>
  <c r="AR22" i="9"/>
  <c r="AQ22" i="9"/>
  <c r="AP22" i="9"/>
  <c r="AO22" i="9"/>
  <c r="AN22" i="9"/>
  <c r="AM22" i="9"/>
  <c r="AL22" i="9"/>
  <c r="AK22" i="9"/>
  <c r="AJ22" i="9"/>
  <c r="AI22" i="9"/>
  <c r="AH22" i="9"/>
  <c r="AG22" i="9"/>
  <c r="AF22" i="9"/>
  <c r="AE22" i="9"/>
  <c r="AD22" i="9"/>
  <c r="AC22" i="9"/>
  <c r="AB22" i="9"/>
  <c r="AA22" i="9"/>
  <c r="A22" i="9"/>
  <c r="BR21" i="9"/>
  <c r="BQ21" i="9"/>
  <c r="BN21" i="9"/>
  <c r="AU21" i="9"/>
  <c r="AT21" i="9"/>
  <c r="AS21" i="9"/>
  <c r="AR21" i="9"/>
  <c r="AQ21" i="9"/>
  <c r="AP21" i="9"/>
  <c r="AO21" i="9"/>
  <c r="AN21" i="9"/>
  <c r="AM21" i="9"/>
  <c r="AL21" i="9"/>
  <c r="AK21" i="9"/>
  <c r="AJ21" i="9"/>
  <c r="AI21" i="9"/>
  <c r="AH21" i="9"/>
  <c r="AG21" i="9"/>
  <c r="AF21" i="9"/>
  <c r="AE21" i="9"/>
  <c r="AD21" i="9"/>
  <c r="AC21" i="9"/>
  <c r="AB21" i="9"/>
  <c r="AA21" i="9"/>
  <c r="A21" i="9"/>
  <c r="BR20" i="9"/>
  <c r="BQ20" i="9"/>
  <c r="AU20" i="9"/>
  <c r="AT20" i="9"/>
  <c r="AS20" i="9"/>
  <c r="AR20" i="9"/>
  <c r="AQ20" i="9"/>
  <c r="AP20" i="9"/>
  <c r="AO20" i="9"/>
  <c r="AN20" i="9"/>
  <c r="AM20" i="9"/>
  <c r="A20" i="9"/>
  <c r="A18" i="9"/>
  <c r="A17" i="9"/>
  <c r="BW16" i="9"/>
  <c r="BV16" i="9"/>
  <c r="BU16" i="9"/>
  <c r="BO16" i="9"/>
  <c r="BB16" i="9"/>
  <c r="BA16" i="9"/>
  <c r="AZ16" i="9"/>
  <c r="AY16" i="9"/>
  <c r="AX16" i="9"/>
  <c r="AW16" i="9"/>
  <c r="AV16" i="9"/>
  <c r="AJ16" i="9"/>
  <c r="AI16" i="9"/>
  <c r="AH16" i="9"/>
  <c r="AG16" i="9"/>
  <c r="AF16" i="9"/>
  <c r="AE16" i="9"/>
  <c r="A16" i="9"/>
  <c r="BO15" i="9"/>
  <c r="AH15" i="9"/>
  <c r="AG15" i="9"/>
  <c r="AF15" i="9"/>
  <c r="AE15" i="9"/>
  <c r="A15" i="9"/>
  <c r="A14" i="9"/>
  <c r="A11" i="9"/>
  <c r="A8" i="9"/>
  <c r="A7" i="9"/>
  <c r="A6" i="9"/>
  <c r="A5" i="9"/>
  <c r="A4" i="9"/>
  <c r="A1" i="9"/>
  <c r="K284" i="10"/>
  <c r="K283" i="10"/>
  <c r="K282" i="10"/>
  <c r="K280" i="10"/>
  <c r="K279" i="10"/>
  <c r="K278" i="10"/>
  <c r="K277" i="10"/>
  <c r="K275" i="10"/>
  <c r="K274" i="10"/>
  <c r="K273" i="10"/>
  <c r="K271" i="10"/>
  <c r="K270" i="10"/>
  <c r="K269" i="10"/>
  <c r="K267" i="10"/>
  <c r="K266" i="10"/>
  <c r="K265" i="10"/>
  <c r="K263" i="10"/>
  <c r="K262" i="10"/>
  <c r="K261" i="10"/>
  <c r="K259" i="10"/>
  <c r="K258" i="10"/>
  <c r="K257" i="10"/>
  <c r="K256" i="10"/>
  <c r="K254" i="10"/>
  <c r="K253" i="10"/>
  <c r="K252" i="10"/>
  <c r="K250" i="10"/>
  <c r="K249" i="10"/>
  <c r="K248" i="10"/>
  <c r="K247" i="10"/>
  <c r="K245" i="10"/>
  <c r="K244" i="10"/>
  <c r="K243" i="10"/>
  <c r="K242" i="10"/>
  <c r="K241" i="10"/>
  <c r="K240" i="10"/>
  <c r="K238" i="10"/>
  <c r="K237" i="10"/>
  <c r="K236" i="10"/>
  <c r="K234" i="10"/>
  <c r="K233" i="10"/>
  <c r="K232" i="10"/>
  <c r="K231" i="10"/>
  <c r="K230" i="10"/>
  <c r="K229" i="10"/>
  <c r="K227" i="10"/>
  <c r="K226" i="10"/>
  <c r="K225" i="10"/>
  <c r="K224" i="10"/>
  <c r="K223" i="10"/>
  <c r="K222" i="10"/>
  <c r="K221" i="10"/>
  <c r="K219" i="10"/>
  <c r="K218" i="10"/>
  <c r="K217" i="10"/>
  <c r="K216" i="10"/>
  <c r="K214" i="10"/>
  <c r="K213" i="10"/>
  <c r="K212" i="10"/>
  <c r="K211" i="10"/>
  <c r="K210" i="10"/>
  <c r="K208" i="10"/>
  <c r="K207" i="10"/>
  <c r="K206" i="10"/>
  <c r="K205" i="10"/>
  <c r="K204" i="10"/>
  <c r="K203" i="10"/>
  <c r="K201" i="10"/>
  <c r="K200" i="10"/>
  <c r="K199" i="10"/>
  <c r="K198" i="10"/>
  <c r="K197" i="10"/>
  <c r="K196" i="10"/>
  <c r="K195" i="10"/>
  <c r="K194" i="10"/>
  <c r="K192" i="10"/>
  <c r="K191" i="10"/>
  <c r="K190" i="10"/>
  <c r="K189" i="10"/>
  <c r="K188" i="10"/>
  <c r="K187" i="10"/>
  <c r="K186" i="10"/>
  <c r="K184" i="10"/>
  <c r="K183" i="10"/>
  <c r="K182" i="10"/>
  <c r="K181" i="10"/>
  <c r="K180" i="10"/>
  <c r="K179" i="10"/>
  <c r="K177" i="10"/>
  <c r="K176" i="10"/>
  <c r="K175" i="10"/>
  <c r="K174" i="10"/>
  <c r="K173" i="10"/>
  <c r="K172" i="10"/>
  <c r="K171" i="10"/>
  <c r="K169" i="10"/>
  <c r="K168" i="10"/>
  <c r="K167" i="10"/>
  <c r="K166" i="10"/>
  <c r="K164" i="10"/>
  <c r="K163" i="10"/>
  <c r="K162" i="10"/>
  <c r="K161" i="10"/>
  <c r="K160" i="10"/>
  <c r="K159" i="10"/>
  <c r="K158" i="10"/>
  <c r="K156" i="10"/>
  <c r="K155" i="10"/>
  <c r="K154" i="10"/>
  <c r="K153" i="10"/>
  <c r="K152" i="10"/>
  <c r="K151" i="10"/>
  <c r="K150" i="10"/>
  <c r="K149" i="10"/>
  <c r="K148" i="10"/>
  <c r="K147" i="10"/>
  <c r="K146" i="10"/>
  <c r="K145" i="10"/>
  <c r="K144" i="10"/>
  <c r="K142" i="10"/>
  <c r="K141" i="10"/>
  <c r="K140" i="10"/>
  <c r="K139" i="10"/>
  <c r="K138" i="10"/>
  <c r="K137" i="10"/>
  <c r="K135" i="10"/>
  <c r="K134" i="10"/>
  <c r="K133" i="10"/>
  <c r="K132" i="10"/>
  <c r="K131" i="10"/>
  <c r="K130" i="10"/>
  <c r="K129" i="10"/>
  <c r="K128" i="10"/>
  <c r="K127" i="10"/>
  <c r="K125" i="10"/>
  <c r="K124" i="10"/>
  <c r="K123" i="10"/>
  <c r="K122" i="10"/>
  <c r="K121" i="10"/>
  <c r="K120" i="10"/>
  <c r="K119" i="10"/>
  <c r="K118" i="10"/>
  <c r="K117" i="10"/>
  <c r="K116" i="10"/>
  <c r="K115" i="10"/>
  <c r="K114" i="10"/>
  <c r="K113" i="10"/>
  <c r="K111" i="10"/>
  <c r="K110" i="10"/>
  <c r="K109" i="10"/>
  <c r="K108" i="10"/>
  <c r="K107" i="10"/>
  <c r="K106" i="10"/>
  <c r="K105" i="10"/>
  <c r="K103" i="10"/>
  <c r="K102" i="10"/>
  <c r="K101" i="10"/>
  <c r="K100" i="10"/>
  <c r="K99" i="10"/>
  <c r="K98" i="10"/>
  <c r="K97" i="10"/>
  <c r="K96" i="10"/>
  <c r="K95" i="10"/>
  <c r="K94" i="10"/>
  <c r="K93" i="10"/>
  <c r="K92" i="10"/>
  <c r="K91" i="10"/>
  <c r="K89" i="10"/>
  <c r="K88" i="10"/>
  <c r="K87" i="10"/>
  <c r="K86" i="10"/>
  <c r="K85" i="10"/>
  <c r="K84" i="10"/>
  <c r="K83" i="10"/>
  <c r="K82" i="10"/>
  <c r="K81" i="10"/>
  <c r="K80" i="10"/>
  <c r="K79" i="10"/>
  <c r="K78" i="10"/>
  <c r="K77" i="10"/>
  <c r="K75" i="10"/>
  <c r="K74" i="10"/>
  <c r="K73" i="10"/>
  <c r="K72" i="10"/>
  <c r="K71" i="10"/>
  <c r="K70" i="10"/>
  <c r="K68" i="10"/>
  <c r="K67" i="10"/>
  <c r="K66" i="10"/>
  <c r="K65" i="10"/>
  <c r="K64" i="10"/>
  <c r="K63" i="10"/>
  <c r="K62" i="10"/>
  <c r="K60" i="10"/>
  <c r="K59" i="10"/>
  <c r="K58" i="10"/>
  <c r="K57" i="10"/>
  <c r="K55" i="10"/>
  <c r="K54" i="10"/>
  <c r="K53" i="10"/>
  <c r="K52" i="10"/>
  <c r="K51" i="10"/>
  <c r="K50" i="10"/>
  <c r="K48" i="10"/>
  <c r="K47" i="10"/>
  <c r="K46" i="10"/>
  <c r="K45" i="10"/>
  <c r="K44" i="10"/>
  <c r="K43" i="10"/>
  <c r="K42" i="10"/>
  <c r="K40" i="10"/>
  <c r="K39" i="10"/>
  <c r="K37" i="10"/>
  <c r="K36" i="10"/>
  <c r="K35" i="10"/>
  <c r="K34" i="10"/>
  <c r="K33" i="10"/>
  <c r="K32" i="10"/>
  <c r="K31" i="10"/>
  <c r="K29" i="10"/>
  <c r="K28" i="10"/>
  <c r="K26" i="10"/>
  <c r="K25" i="10"/>
  <c r="K24" i="10"/>
  <c r="K22" i="10"/>
  <c r="K21" i="10"/>
  <c r="K20" i="10"/>
  <c r="K19" i="10"/>
  <c r="K18" i="10"/>
  <c r="K17" i="10"/>
  <c r="K15" i="10"/>
  <c r="K14" i="10"/>
  <c r="K13" i="10"/>
  <c r="K12" i="10"/>
  <c r="K11" i="10"/>
  <c r="K10" i="10"/>
  <c r="K9" i="10"/>
  <c r="K7" i="10"/>
  <c r="K6" i="10"/>
  <c r="F2" i="10"/>
  <c r="B1" i="10"/>
  <c r="B728" i="1"/>
  <c r="B727" i="1"/>
  <c r="B726" i="1"/>
  <c r="B718" i="1"/>
  <c r="B716" i="1"/>
  <c r="B715" i="1"/>
  <c r="B714" i="1"/>
  <c r="AZ708" i="1"/>
  <c r="BS706" i="1"/>
  <c r="BR706" i="1"/>
  <c r="BQ706" i="1"/>
  <c r="BP706" i="1"/>
  <c r="BO706" i="1"/>
  <c r="BN706" i="1"/>
  <c r="BM706" i="1"/>
  <c r="BL706" i="1"/>
  <c r="BK706" i="1"/>
  <c r="BJ706" i="1"/>
  <c r="BI706" i="1"/>
  <c r="BH706" i="1"/>
  <c r="BG706" i="1"/>
  <c r="BF706" i="1"/>
  <c r="BE706" i="1"/>
  <c r="BD706" i="1"/>
  <c r="BC706" i="1"/>
  <c r="BB706" i="1"/>
  <c r="BA706" i="1"/>
  <c r="AZ706" i="1"/>
  <c r="AX706" i="1"/>
  <c r="AW706" i="1"/>
  <c r="AV706" i="1"/>
  <c r="AU706" i="1"/>
  <c r="AT706" i="1"/>
  <c r="AS706" i="1"/>
  <c r="AR706" i="1"/>
  <c r="AQ706" i="1"/>
  <c r="AP706" i="1"/>
  <c r="AO706" i="1"/>
  <c r="AN706" i="1"/>
  <c r="AM706" i="1"/>
  <c r="AL706" i="1"/>
  <c r="AK706" i="1"/>
  <c r="AJ706" i="1"/>
  <c r="AI706" i="1"/>
  <c r="AH706" i="1"/>
  <c r="AG706" i="1"/>
  <c r="AF706" i="1"/>
  <c r="AE706" i="1"/>
  <c r="AD706" i="1"/>
  <c r="AC706" i="1"/>
  <c r="AB706" i="1"/>
  <c r="AA706" i="1"/>
  <c r="Z706" i="1"/>
  <c r="Y706" i="1"/>
  <c r="X706" i="1"/>
  <c r="W706" i="1"/>
  <c r="V706" i="1"/>
  <c r="U706" i="1"/>
  <c r="T706" i="1"/>
  <c r="S706" i="1"/>
  <c r="R706" i="1"/>
  <c r="Q706" i="1"/>
  <c r="P706" i="1"/>
  <c r="O706" i="1"/>
  <c r="N706" i="1"/>
  <c r="M706" i="1"/>
  <c r="L706" i="1"/>
  <c r="K706" i="1"/>
  <c r="J706" i="1"/>
  <c r="I706" i="1"/>
  <c r="H706" i="1"/>
  <c r="G706" i="1"/>
  <c r="F706" i="1"/>
  <c r="E706" i="1"/>
  <c r="D706" i="1"/>
  <c r="C706" i="1"/>
  <c r="BS702" i="1"/>
  <c r="BR702" i="1"/>
  <c r="BQ702" i="1"/>
  <c r="BP702" i="1"/>
  <c r="BO702" i="1"/>
  <c r="AX702" i="1"/>
  <c r="AW702" i="1"/>
  <c r="AV702" i="1"/>
  <c r="BS679" i="1"/>
  <c r="BS314" i="1" s="1"/>
  <c r="BR679" i="1"/>
  <c r="BR313" i="1" s="1"/>
  <c r="BQ679" i="1"/>
  <c r="BQ315" i="1" s="1"/>
  <c r="BP679" i="1"/>
  <c r="BP314" i="1" s="1"/>
  <c r="BO679" i="1"/>
  <c r="BO315" i="1" s="1"/>
  <c r="BN679" i="1"/>
  <c r="BM679" i="1"/>
  <c r="BL679" i="1"/>
  <c r="BK679" i="1"/>
  <c r="BJ679" i="1"/>
  <c r="BI679" i="1"/>
  <c r="BH679" i="1"/>
  <c r="BG679" i="1"/>
  <c r="BF679" i="1"/>
  <c r="BE679" i="1"/>
  <c r="BD679" i="1"/>
  <c r="BC679" i="1"/>
  <c r="BB679" i="1"/>
  <c r="BA679" i="1"/>
  <c r="AZ679" i="1"/>
  <c r="AX679" i="1"/>
  <c r="AX314" i="1" s="1"/>
  <c r="AW679" i="1"/>
  <c r="AW313" i="1" s="1"/>
  <c r="AV679" i="1"/>
  <c r="AV314" i="1" s="1"/>
  <c r="AU679" i="1"/>
  <c r="AU4" i="9" s="1"/>
  <c r="AT679" i="1"/>
  <c r="AT4" i="9" s="1"/>
  <c r="AS679" i="1"/>
  <c r="AS4" i="9" s="1"/>
  <c r="AR679" i="1"/>
  <c r="AR4" i="9" s="1"/>
  <c r="AQ679" i="1"/>
  <c r="AQ4" i="9" s="1"/>
  <c r="AP679" i="1"/>
  <c r="AP4" i="9" s="1"/>
  <c r="AO679" i="1"/>
  <c r="AO4" i="9" s="1"/>
  <c r="AN679" i="1"/>
  <c r="AN4" i="9" s="1"/>
  <c r="AM679" i="1"/>
  <c r="AM4" i="9" s="1"/>
  <c r="AL679" i="1"/>
  <c r="AL4" i="9" s="1"/>
  <c r="AK679" i="1"/>
  <c r="AK4" i="9" s="1"/>
  <c r="AJ679" i="1"/>
  <c r="AJ4" i="9" s="1"/>
  <c r="AI679" i="1"/>
  <c r="AI4" i="9" s="1"/>
  <c r="AH679" i="1"/>
  <c r="AH4" i="9" s="1"/>
  <c r="AG679" i="1"/>
  <c r="AG4" i="9" s="1"/>
  <c r="AF679" i="1"/>
  <c r="AF4" i="9" s="1"/>
  <c r="AE679" i="1"/>
  <c r="AE4" i="9" s="1"/>
  <c r="AD679" i="1"/>
  <c r="AD4" i="9" s="1"/>
  <c r="AC679" i="1"/>
  <c r="AC4" i="9" s="1"/>
  <c r="AB679" i="1"/>
  <c r="AB4" i="9" s="1"/>
  <c r="AA679" i="1"/>
  <c r="AA4" i="9" s="1"/>
  <c r="Z679" i="1"/>
  <c r="Z4" i="9" s="1"/>
  <c r="Y679" i="1"/>
  <c r="Y4" i="9" s="1"/>
  <c r="X679" i="1"/>
  <c r="X4" i="9" s="1"/>
  <c r="W679" i="1"/>
  <c r="W4" i="9" s="1"/>
  <c r="V679" i="1"/>
  <c r="V4" i="9" s="1"/>
  <c r="U679" i="1"/>
  <c r="U4" i="9" s="1"/>
  <c r="T679" i="1"/>
  <c r="T4" i="9" s="1"/>
  <c r="S679" i="1"/>
  <c r="S4" i="9" s="1"/>
  <c r="R679" i="1"/>
  <c r="R4" i="9" s="1"/>
  <c r="Q679" i="1"/>
  <c r="Q4" i="9" s="1"/>
  <c r="P679" i="1"/>
  <c r="P4" i="9" s="1"/>
  <c r="O679" i="1"/>
  <c r="O4" i="9" s="1"/>
  <c r="N679" i="1"/>
  <c r="N4" i="9" s="1"/>
  <c r="M679" i="1"/>
  <c r="M4" i="9" s="1"/>
  <c r="L679" i="1"/>
  <c r="L4" i="9" s="1"/>
  <c r="K679" i="1"/>
  <c r="K4" i="9" s="1"/>
  <c r="J679" i="1"/>
  <c r="J4" i="9" s="1"/>
  <c r="I679" i="1"/>
  <c r="I4" i="9" s="1"/>
  <c r="H679" i="1"/>
  <c r="H4" i="9" s="1"/>
  <c r="G679" i="1"/>
  <c r="G4" i="9" s="1"/>
  <c r="F679" i="1"/>
  <c r="F4" i="9" s="1"/>
  <c r="E679" i="1"/>
  <c r="E4" i="9" s="1"/>
  <c r="D679" i="1"/>
  <c r="D4" i="9" s="1"/>
  <c r="C679" i="1"/>
  <c r="C4" i="9" s="1"/>
  <c r="A673" i="1"/>
  <c r="A668" i="1"/>
  <c r="A652" i="1"/>
  <c r="A649" i="1"/>
  <c r="BP623" i="1"/>
  <c r="BO623" i="1"/>
  <c r="BS622" i="1"/>
  <c r="BR622" i="1"/>
  <c r="BQ622" i="1"/>
  <c r="BP622" i="1"/>
  <c r="BO622" i="1"/>
  <c r="AX622" i="1"/>
  <c r="AW622" i="1"/>
  <c r="AV622" i="1"/>
  <c r="BS620" i="1"/>
  <c r="BR620" i="1"/>
  <c r="BQ620" i="1"/>
  <c r="BP620" i="1"/>
  <c r="BO620" i="1"/>
  <c r="AX620" i="1"/>
  <c r="AW620" i="1"/>
  <c r="AV620" i="1"/>
  <c r="BS616" i="1"/>
  <c r="BR616" i="1"/>
  <c r="BQ616" i="1"/>
  <c r="BP616" i="1"/>
  <c r="BO616" i="1"/>
  <c r="BN616" i="1"/>
  <c r="BM616" i="1"/>
  <c r="BL616" i="1"/>
  <c r="BD616" i="1"/>
  <c r="BC616" i="1"/>
  <c r="BB616" i="1"/>
  <c r="BA616" i="1"/>
  <c r="AZ616" i="1"/>
  <c r="AX616" i="1"/>
  <c r="AW616" i="1"/>
  <c r="AV616" i="1"/>
  <c r="AU616" i="1"/>
  <c r="AT616" i="1"/>
  <c r="AS616" i="1"/>
  <c r="AR616" i="1"/>
  <c r="AQ616" i="1"/>
  <c r="AP616" i="1"/>
  <c r="AO616" i="1"/>
  <c r="AN616" i="1"/>
  <c r="AM616" i="1"/>
  <c r="AL616" i="1"/>
  <c r="AK616" i="1"/>
  <c r="AJ616" i="1"/>
  <c r="AI616" i="1"/>
  <c r="F616" i="1"/>
  <c r="E616" i="1"/>
  <c r="D616" i="1"/>
  <c r="C616" i="1"/>
  <c r="BS613" i="1"/>
  <c r="BR613" i="1"/>
  <c r="BQ613" i="1"/>
  <c r="BP613" i="1"/>
  <c r="BO613" i="1"/>
  <c r="AX613" i="1"/>
  <c r="AW613" i="1"/>
  <c r="AV613" i="1"/>
  <c r="BS612" i="1"/>
  <c r="BR612" i="1"/>
  <c r="BQ612" i="1"/>
  <c r="BP612" i="1"/>
  <c r="BO612" i="1"/>
  <c r="AX612" i="1"/>
  <c r="AW612" i="1"/>
  <c r="AV612" i="1"/>
  <c r="AT606" i="1"/>
  <c r="AP606" i="1"/>
  <c r="AL606" i="1"/>
  <c r="AH606" i="1"/>
  <c r="AD606" i="1"/>
  <c r="Z606" i="1"/>
  <c r="Z322" i="1" s="1"/>
  <c r="V606" i="1"/>
  <c r="V322" i="1" s="1"/>
  <c r="R606" i="1"/>
  <c r="R322" i="1" s="1"/>
  <c r="N606" i="1"/>
  <c r="N322" i="1" s="1"/>
  <c r="J606" i="1"/>
  <c r="J322" i="1" s="1"/>
  <c r="F606" i="1"/>
  <c r="F322" i="1" s="1"/>
  <c r="BN605" i="1"/>
  <c r="BM605" i="1"/>
  <c r="BL605" i="1"/>
  <c r="BK605" i="1"/>
  <c r="BJ605" i="1"/>
  <c r="BI605" i="1"/>
  <c r="BH605" i="1"/>
  <c r="BG605" i="1"/>
  <c r="BF605" i="1"/>
  <c r="BE605" i="1"/>
  <c r="BD605" i="1"/>
  <c r="BC605" i="1"/>
  <c r="BB605" i="1"/>
  <c r="BA605" i="1"/>
  <c r="AZ605" i="1"/>
  <c r="AU605" i="1"/>
  <c r="AU99" i="9" s="1"/>
  <c r="AS605" i="1"/>
  <c r="AS99" i="9" s="1"/>
  <c r="AR605" i="1"/>
  <c r="AR99" i="9" s="1"/>
  <c r="AQ605" i="1"/>
  <c r="AO605" i="1"/>
  <c r="AO99" i="9" s="1"/>
  <c r="AN605" i="1"/>
  <c r="AN99" i="9" s="1"/>
  <c r="AM605" i="1"/>
  <c r="AK605" i="1"/>
  <c r="AJ605" i="1"/>
  <c r="AI605" i="1"/>
  <c r="AG605" i="1"/>
  <c r="AF605" i="1"/>
  <c r="AE605" i="1"/>
  <c r="AC605" i="1"/>
  <c r="AC99" i="9" s="1"/>
  <c r="AB605" i="1"/>
  <c r="AA605" i="1"/>
  <c r="AA99" i="9" s="1"/>
  <c r="Y605" i="1"/>
  <c r="Y99" i="9" s="1"/>
  <c r="X605" i="1"/>
  <c r="W605" i="1"/>
  <c r="W99" i="9" s="1"/>
  <c r="U605" i="1"/>
  <c r="U99" i="9" s="1"/>
  <c r="T605" i="1"/>
  <c r="T99" i="9" s="1"/>
  <c r="S605" i="1"/>
  <c r="S99" i="9" s="1"/>
  <c r="O605" i="1"/>
  <c r="O99" i="9" s="1"/>
  <c r="M605" i="1"/>
  <c r="M99" i="9" s="1"/>
  <c r="L605" i="1"/>
  <c r="L99" i="9" s="1"/>
  <c r="K605" i="1"/>
  <c r="I605" i="1"/>
  <c r="I99" i="9" s="1"/>
  <c r="H605" i="1"/>
  <c r="H99" i="9" s="1"/>
  <c r="G605" i="1"/>
  <c r="E605" i="1"/>
  <c r="D605" i="1"/>
  <c r="C605" i="1"/>
  <c r="AV604" i="1"/>
  <c r="AW604" i="1" s="1"/>
  <c r="AX604" i="1" s="1"/>
  <c r="BO604" i="1" s="1"/>
  <c r="BP604" i="1" s="1"/>
  <c r="BQ604" i="1" s="1"/>
  <c r="BR604" i="1" s="1"/>
  <c r="BS604" i="1" s="1"/>
  <c r="R604" i="1"/>
  <c r="P604" i="1"/>
  <c r="Q604" i="1" s="1"/>
  <c r="Q605" i="1" s="1"/>
  <c r="Q99" i="9" s="1"/>
  <c r="N604" i="1"/>
  <c r="J604" i="1"/>
  <c r="F604" i="1"/>
  <c r="AT603" i="1"/>
  <c r="V330" i="11" s="1"/>
  <c r="AP603" i="1"/>
  <c r="R330" i="11" s="1"/>
  <c r="AL603" i="1"/>
  <c r="N330" i="11" s="1"/>
  <c r="AH603" i="1"/>
  <c r="J330" i="11" s="1"/>
  <c r="AD603" i="1"/>
  <c r="F330" i="11" s="1"/>
  <c r="Z603" i="1"/>
  <c r="V603" i="1"/>
  <c r="R603" i="1"/>
  <c r="N603" i="1"/>
  <c r="J603" i="1"/>
  <c r="F603" i="1"/>
  <c r="AT602" i="1"/>
  <c r="V329" i="11" s="1"/>
  <c r="AP602" i="1"/>
  <c r="R329" i="11" s="1"/>
  <c r="AL602" i="1"/>
  <c r="N329" i="11" s="1"/>
  <c r="AH602" i="1"/>
  <c r="J329" i="11" s="1"/>
  <c r="AD602" i="1"/>
  <c r="F329" i="11" s="1"/>
  <c r="Z602" i="1"/>
  <c r="V602" i="1"/>
  <c r="R602" i="1"/>
  <c r="N602" i="1"/>
  <c r="J602" i="1"/>
  <c r="F602" i="1"/>
  <c r="AV601" i="1"/>
  <c r="AW601" i="1" s="1"/>
  <c r="AX601" i="1" s="1"/>
  <c r="BO601" i="1" s="1"/>
  <c r="BP601" i="1" s="1"/>
  <c r="BQ601" i="1" s="1"/>
  <c r="BR601" i="1" s="1"/>
  <c r="BS601" i="1" s="1"/>
  <c r="AT601" i="1"/>
  <c r="V328" i="11" s="1"/>
  <c r="AP601" i="1"/>
  <c r="R328" i="11" s="1"/>
  <c r="AL601" i="1"/>
  <c r="N328" i="11" s="1"/>
  <c r="AH601" i="1"/>
  <c r="J328" i="11" s="1"/>
  <c r="AD601" i="1"/>
  <c r="F328" i="11" s="1"/>
  <c r="Z601" i="1"/>
  <c r="V601" i="1"/>
  <c r="R601" i="1"/>
  <c r="N601" i="1"/>
  <c r="J601" i="1"/>
  <c r="F601" i="1"/>
  <c r="AT600" i="1"/>
  <c r="V327" i="11" s="1"/>
  <c r="AP600" i="1"/>
  <c r="R327" i="11" s="1"/>
  <c r="AL600" i="1"/>
  <c r="N327" i="11" s="1"/>
  <c r="AH600" i="1"/>
  <c r="J327" i="11" s="1"/>
  <c r="AD600" i="1"/>
  <c r="F327" i="11" s="1"/>
  <c r="Z600" i="1"/>
  <c r="V600" i="1"/>
  <c r="R600" i="1"/>
  <c r="N600" i="1"/>
  <c r="J600" i="1"/>
  <c r="F600" i="1"/>
  <c r="AV599" i="1"/>
  <c r="AW599" i="1" s="1"/>
  <c r="AX599" i="1" s="1"/>
  <c r="AT599" i="1"/>
  <c r="V326" i="11" s="1"/>
  <c r="AP599" i="1"/>
  <c r="R326" i="11" s="1"/>
  <c r="AL599" i="1"/>
  <c r="N326" i="11" s="1"/>
  <c r="AH599" i="1"/>
  <c r="J326" i="11" s="1"/>
  <c r="AD599" i="1"/>
  <c r="F326" i="11" s="1"/>
  <c r="Z599" i="1"/>
  <c r="V599" i="1"/>
  <c r="R599" i="1"/>
  <c r="N599" i="1"/>
  <c r="J599" i="1"/>
  <c r="F599" i="1"/>
  <c r="BN595" i="1"/>
  <c r="BM595" i="1"/>
  <c r="BL595" i="1"/>
  <c r="BK595" i="1"/>
  <c r="BJ595" i="1"/>
  <c r="BI595" i="1"/>
  <c r="BH595" i="1"/>
  <c r="BG595" i="1"/>
  <c r="BF595" i="1"/>
  <c r="BE595" i="1"/>
  <c r="BD595" i="1"/>
  <c r="BC595" i="1"/>
  <c r="BB595" i="1"/>
  <c r="BA595" i="1"/>
  <c r="AZ595" i="1"/>
  <c r="AU595" i="1"/>
  <c r="AS595" i="1"/>
  <c r="AR595" i="1"/>
  <c r="AQ595" i="1"/>
  <c r="AO595" i="1"/>
  <c r="AN595" i="1"/>
  <c r="AM595" i="1"/>
  <c r="AK595" i="1"/>
  <c r="AJ595" i="1"/>
  <c r="AI595" i="1"/>
  <c r="AG595" i="1"/>
  <c r="AF595" i="1"/>
  <c r="AE595" i="1"/>
  <c r="AC595" i="1"/>
  <c r="AB595" i="1"/>
  <c r="AA595" i="1"/>
  <c r="Y595" i="1"/>
  <c r="X595" i="1"/>
  <c r="W595" i="1"/>
  <c r="U595" i="1"/>
  <c r="T595" i="1"/>
  <c r="S595" i="1"/>
  <c r="O595" i="1"/>
  <c r="M595" i="1"/>
  <c r="L595" i="1"/>
  <c r="K595" i="1"/>
  <c r="I595" i="1"/>
  <c r="H595" i="1"/>
  <c r="G595" i="1"/>
  <c r="E595" i="1"/>
  <c r="D595" i="1"/>
  <c r="C595" i="1"/>
  <c r="AV594" i="1"/>
  <c r="AW594" i="1" s="1"/>
  <c r="AX594" i="1" s="1"/>
  <c r="BO594" i="1" s="1"/>
  <c r="BP594" i="1" s="1"/>
  <c r="BQ594" i="1" s="1"/>
  <c r="BR594" i="1" s="1"/>
  <c r="BS594" i="1" s="1"/>
  <c r="BS324" i="1" s="1"/>
  <c r="AT594" i="1"/>
  <c r="AP594" i="1"/>
  <c r="AL594" i="1"/>
  <c r="AH594" i="1"/>
  <c r="AD594" i="1"/>
  <c r="Z594" i="1"/>
  <c r="Z324" i="1" s="1"/>
  <c r="V594" i="1"/>
  <c r="V324" i="1" s="1"/>
  <c r="R594" i="1"/>
  <c r="R324" i="1" s="1"/>
  <c r="N594" i="1"/>
  <c r="N324" i="1" s="1"/>
  <c r="J594" i="1"/>
  <c r="J324" i="1" s="1"/>
  <c r="F594" i="1"/>
  <c r="F324" i="1" s="1"/>
  <c r="AV593" i="1"/>
  <c r="AW593" i="1" s="1"/>
  <c r="AX593" i="1" s="1"/>
  <c r="BO593" i="1" s="1"/>
  <c r="BP593" i="1" s="1"/>
  <c r="BQ593" i="1" s="1"/>
  <c r="BR593" i="1" s="1"/>
  <c r="BS593" i="1" s="1"/>
  <c r="AT593" i="1"/>
  <c r="V320" i="11" s="1"/>
  <c r="AP593" i="1"/>
  <c r="R320" i="11" s="1"/>
  <c r="AL593" i="1"/>
  <c r="N320" i="11" s="1"/>
  <c r="R593" i="1"/>
  <c r="P593" i="1"/>
  <c r="P595" i="1" s="1"/>
  <c r="N593" i="1"/>
  <c r="J593" i="1"/>
  <c r="F593" i="1"/>
  <c r="AV592" i="1"/>
  <c r="AW592" i="1" s="1"/>
  <c r="AX592" i="1" s="1"/>
  <c r="BO592" i="1" s="1"/>
  <c r="BP592" i="1" s="1"/>
  <c r="BQ592" i="1" s="1"/>
  <c r="BR592" i="1" s="1"/>
  <c r="BS592" i="1" s="1"/>
  <c r="AT592" i="1"/>
  <c r="V319" i="11" s="1"/>
  <c r="AP592" i="1"/>
  <c r="R319" i="11" s="1"/>
  <c r="AL592" i="1"/>
  <c r="N319" i="11" s="1"/>
  <c r="AH592" i="1"/>
  <c r="J319" i="11" s="1"/>
  <c r="AD592" i="1"/>
  <c r="F319" i="11" s="1"/>
  <c r="Z592" i="1"/>
  <c r="V592" i="1"/>
  <c r="R592" i="1"/>
  <c r="N592" i="1"/>
  <c r="J592" i="1"/>
  <c r="F592" i="1"/>
  <c r="AT591" i="1"/>
  <c r="V318" i="11" s="1"/>
  <c r="AP591" i="1"/>
  <c r="R318" i="11" s="1"/>
  <c r="AL591" i="1"/>
  <c r="N318" i="11" s="1"/>
  <c r="AH591" i="1"/>
  <c r="J318" i="11" s="1"/>
  <c r="AD591" i="1"/>
  <c r="F318" i="11" s="1"/>
  <c r="Z591" i="1"/>
  <c r="V591" i="1"/>
  <c r="R591" i="1"/>
  <c r="N591" i="1"/>
  <c r="J591" i="1"/>
  <c r="F591" i="1"/>
  <c r="AV590" i="1"/>
  <c r="AW590" i="1" s="1"/>
  <c r="AX590" i="1" s="1"/>
  <c r="BO590" i="1" s="1"/>
  <c r="BP590" i="1" s="1"/>
  <c r="BQ590" i="1" s="1"/>
  <c r="BR590" i="1" s="1"/>
  <c r="BS590" i="1" s="1"/>
  <c r="AT590" i="1"/>
  <c r="V317" i="11" s="1"/>
  <c r="AP590" i="1"/>
  <c r="R317" i="11" s="1"/>
  <c r="AL590" i="1"/>
  <c r="N317" i="11" s="1"/>
  <c r="AH590" i="1"/>
  <c r="J317" i="11" s="1"/>
  <c r="AD590" i="1"/>
  <c r="F317" i="11" s="1"/>
  <c r="Z590" i="1"/>
  <c r="V590" i="1"/>
  <c r="R590" i="1"/>
  <c r="N590" i="1"/>
  <c r="J590" i="1"/>
  <c r="F590" i="1"/>
  <c r="AT589" i="1"/>
  <c r="V316" i="11" s="1"/>
  <c r="AP589" i="1"/>
  <c r="R316" i="11" s="1"/>
  <c r="AL589" i="1"/>
  <c r="N316" i="11" s="1"/>
  <c r="AV588" i="1"/>
  <c r="AT588" i="1"/>
  <c r="V315" i="11" s="1"/>
  <c r="AP588" i="1"/>
  <c r="R315" i="11" s="1"/>
  <c r="AL588" i="1"/>
  <c r="N315" i="11" s="1"/>
  <c r="AH588" i="1"/>
  <c r="J315" i="11" s="1"/>
  <c r="AV587" i="1"/>
  <c r="AW587" i="1" s="1"/>
  <c r="AX587" i="1" s="1"/>
  <c r="AT587" i="1"/>
  <c r="V314" i="11" s="1"/>
  <c r="AP587" i="1"/>
  <c r="R314" i="11" s="1"/>
  <c r="AL587" i="1"/>
  <c r="N314" i="11" s="1"/>
  <c r="AH587" i="1"/>
  <c r="AD587" i="1"/>
  <c r="Z587" i="1"/>
  <c r="V587" i="1"/>
  <c r="V286" i="1" s="1"/>
  <c r="R587" i="1"/>
  <c r="N587" i="1"/>
  <c r="J587" i="1"/>
  <c r="F587" i="1"/>
  <c r="BN584" i="1"/>
  <c r="BM584" i="1"/>
  <c r="BL584" i="1"/>
  <c r="BK584" i="1"/>
  <c r="BJ584" i="1"/>
  <c r="BI584" i="1"/>
  <c r="BH584" i="1"/>
  <c r="BG584" i="1"/>
  <c r="BF584" i="1"/>
  <c r="BE584" i="1"/>
  <c r="BD584" i="1"/>
  <c r="BC584" i="1"/>
  <c r="BB584" i="1"/>
  <c r="BA584" i="1"/>
  <c r="AZ584" i="1"/>
  <c r="AU584" i="1"/>
  <c r="AU113" i="9" s="1"/>
  <c r="AS584" i="1"/>
  <c r="AS113" i="9" s="1"/>
  <c r="AR584" i="1"/>
  <c r="AR113" i="9" s="1"/>
  <c r="AQ584" i="1"/>
  <c r="AO584" i="1"/>
  <c r="AO113" i="9" s="1"/>
  <c r="AN584" i="1"/>
  <c r="AN113" i="9" s="1"/>
  <c r="AM584" i="1"/>
  <c r="AK584" i="1"/>
  <c r="AK113" i="9" s="1"/>
  <c r="AJ584" i="1"/>
  <c r="AJ113" i="9" s="1"/>
  <c r="AI584" i="1"/>
  <c r="AG584" i="1"/>
  <c r="AG113" i="9" s="1"/>
  <c r="AF584" i="1"/>
  <c r="AE584" i="1"/>
  <c r="AC584" i="1"/>
  <c r="AC113" i="9" s="1"/>
  <c r="AB584" i="1"/>
  <c r="AB113" i="9" s="1"/>
  <c r="AA584" i="1"/>
  <c r="AA113" i="9" s="1"/>
  <c r="Y584" i="1"/>
  <c r="Y113" i="9" s="1"/>
  <c r="X584" i="1"/>
  <c r="X113" i="9" s="1"/>
  <c r="W584" i="1"/>
  <c r="U584" i="1"/>
  <c r="U113" i="9" s="1"/>
  <c r="T584" i="1"/>
  <c r="T113" i="9" s="1"/>
  <c r="S584" i="1"/>
  <c r="S113" i="9" s="1"/>
  <c r="Q584" i="1"/>
  <c r="Q113" i="9" s="1"/>
  <c r="P584" i="1"/>
  <c r="P113" i="9" s="1"/>
  <c r="O584" i="1"/>
  <c r="O113" i="9" s="1"/>
  <c r="M584" i="1"/>
  <c r="M113" i="9" s="1"/>
  <c r="L584" i="1"/>
  <c r="L113" i="9" s="1"/>
  <c r="K584" i="1"/>
  <c r="I584" i="1"/>
  <c r="H584" i="1"/>
  <c r="G584" i="1"/>
  <c r="E584" i="1"/>
  <c r="E113" i="9" s="1"/>
  <c r="D584" i="1"/>
  <c r="D113" i="9" s="1"/>
  <c r="C584" i="1"/>
  <c r="AT583" i="1"/>
  <c r="V308" i="11" s="1"/>
  <c r="AP583" i="1"/>
  <c r="R308" i="11" s="1"/>
  <c r="AL583" i="1"/>
  <c r="N308" i="11" s="1"/>
  <c r="AH583" i="1"/>
  <c r="J308" i="11" s="1"/>
  <c r="AD583" i="1"/>
  <c r="F308" i="11" s="1"/>
  <c r="Z583" i="1"/>
  <c r="V583" i="1"/>
  <c r="R583" i="1"/>
  <c r="N583" i="1"/>
  <c r="J583" i="1"/>
  <c r="F583" i="1"/>
  <c r="AT582" i="1"/>
  <c r="V307" i="11" s="1"/>
  <c r="AP582" i="1"/>
  <c r="R307" i="11" s="1"/>
  <c r="AL582" i="1"/>
  <c r="N307" i="11" s="1"/>
  <c r="AH582" i="1"/>
  <c r="J307" i="11" s="1"/>
  <c r="AD582" i="1"/>
  <c r="F307" i="11" s="1"/>
  <c r="Z582" i="1"/>
  <c r="V582" i="1"/>
  <c r="R582" i="1"/>
  <c r="N582" i="1"/>
  <c r="J582" i="1"/>
  <c r="F582" i="1"/>
  <c r="AT581" i="1"/>
  <c r="V306" i="11" s="1"/>
  <c r="AP581" i="1"/>
  <c r="R306" i="11" s="1"/>
  <c r="AL581" i="1"/>
  <c r="N306" i="11" s="1"/>
  <c r="AH581" i="1"/>
  <c r="J306" i="11" s="1"/>
  <c r="AD581" i="1"/>
  <c r="F306" i="11" s="1"/>
  <c r="Z581" i="1"/>
  <c r="V581" i="1"/>
  <c r="R581" i="1"/>
  <c r="N581" i="1"/>
  <c r="J581" i="1"/>
  <c r="F581" i="1"/>
  <c r="AT580" i="1"/>
  <c r="V305" i="11" s="1"/>
  <c r="V349" i="11" s="1"/>
  <c r="AP580" i="1"/>
  <c r="R305" i="11" s="1"/>
  <c r="R349" i="11" s="1"/>
  <c r="AL580" i="1"/>
  <c r="N305" i="11" s="1"/>
  <c r="N349" i="11" s="1"/>
  <c r="AH580" i="1"/>
  <c r="J305" i="11" s="1"/>
  <c r="J349" i="11" s="1"/>
  <c r="AD580" i="1"/>
  <c r="F305" i="11" s="1"/>
  <c r="F349" i="11" s="1"/>
  <c r="Z580" i="1"/>
  <c r="V580" i="1"/>
  <c r="R580" i="1"/>
  <c r="N580" i="1"/>
  <c r="J580" i="1"/>
  <c r="F580" i="1"/>
  <c r="AV579" i="1"/>
  <c r="AW579" i="1" s="1"/>
  <c r="AX579" i="1" s="1"/>
  <c r="BO579" i="1" s="1"/>
  <c r="BP579" i="1" s="1"/>
  <c r="BQ579" i="1" s="1"/>
  <c r="BR579" i="1" s="1"/>
  <c r="BS579" i="1" s="1"/>
  <c r="AT579" i="1"/>
  <c r="V312" i="11" s="1"/>
  <c r="AP579" i="1"/>
  <c r="R312" i="11" s="1"/>
  <c r="AL579" i="1"/>
  <c r="N312" i="11" s="1"/>
  <c r="AH579" i="1"/>
  <c r="J312" i="11" s="1"/>
  <c r="R579" i="1"/>
  <c r="N579" i="1"/>
  <c r="J579" i="1"/>
  <c r="F579" i="1"/>
  <c r="AV578" i="1"/>
  <c r="AW578" i="1" s="1"/>
  <c r="AX578" i="1" s="1"/>
  <c r="BO578" i="1" s="1"/>
  <c r="BP578" i="1" s="1"/>
  <c r="BQ578" i="1" s="1"/>
  <c r="BR578" i="1" s="1"/>
  <c r="BS578" i="1" s="1"/>
  <c r="R578" i="1"/>
  <c r="N578" i="1"/>
  <c r="J578" i="1"/>
  <c r="F578" i="1"/>
  <c r="AV577" i="1"/>
  <c r="AW577" i="1" s="1"/>
  <c r="AX577" i="1" s="1"/>
  <c r="BO577" i="1" s="1"/>
  <c r="BP577" i="1" s="1"/>
  <c r="BQ577" i="1" s="1"/>
  <c r="BR577" i="1" s="1"/>
  <c r="BS577" i="1" s="1"/>
  <c r="AT577" i="1"/>
  <c r="V310" i="11" s="1"/>
  <c r="AP577" i="1"/>
  <c r="R310" i="11" s="1"/>
  <c r="AL577" i="1"/>
  <c r="N310" i="11" s="1"/>
  <c r="AH577" i="1"/>
  <c r="J310" i="11" s="1"/>
  <c r="AT576" i="1"/>
  <c r="V309" i="11" s="1"/>
  <c r="AP576" i="1"/>
  <c r="R309" i="11" s="1"/>
  <c r="AL576" i="1"/>
  <c r="N309" i="11" s="1"/>
  <c r="AH576" i="1"/>
  <c r="J309" i="11" s="1"/>
  <c r="AD576" i="1"/>
  <c r="Z576" i="1"/>
  <c r="Z285" i="1" s="1"/>
  <c r="V576" i="1"/>
  <c r="V285" i="1" s="1"/>
  <c r="R576" i="1"/>
  <c r="N576" i="1"/>
  <c r="J576" i="1"/>
  <c r="F576" i="1"/>
  <c r="AV571" i="1"/>
  <c r="AW571" i="1" s="1"/>
  <c r="AX571" i="1" s="1"/>
  <c r="BO571" i="1" s="1"/>
  <c r="BP571" i="1" s="1"/>
  <c r="BQ571" i="1" s="1"/>
  <c r="BR571" i="1" s="1"/>
  <c r="BS571" i="1" s="1"/>
  <c r="AT571" i="1"/>
  <c r="V300" i="11" s="1"/>
  <c r="R571" i="1"/>
  <c r="N571" i="1"/>
  <c r="J571" i="1"/>
  <c r="F571" i="1"/>
  <c r="AV570" i="1"/>
  <c r="AW570" i="1" s="1"/>
  <c r="AX570" i="1" s="1"/>
  <c r="BO570" i="1" s="1"/>
  <c r="BP570" i="1" s="1"/>
  <c r="BQ570" i="1" s="1"/>
  <c r="BR570" i="1" s="1"/>
  <c r="BS570" i="1" s="1"/>
  <c r="AT570" i="1"/>
  <c r="V297" i="11" s="1"/>
  <c r="R570" i="1"/>
  <c r="N570" i="1"/>
  <c r="J570" i="1"/>
  <c r="F570" i="1"/>
  <c r="AV569" i="1"/>
  <c r="AW569" i="1" s="1"/>
  <c r="AX569" i="1" s="1"/>
  <c r="BO569" i="1" s="1"/>
  <c r="BP569" i="1" s="1"/>
  <c r="BQ569" i="1" s="1"/>
  <c r="BR569" i="1" s="1"/>
  <c r="BS569" i="1" s="1"/>
  <c r="AT569" i="1"/>
  <c r="V299" i="11" s="1"/>
  <c r="AP569" i="1"/>
  <c r="R299" i="11" s="1"/>
  <c r="AL569" i="1"/>
  <c r="N299" i="11" s="1"/>
  <c r="AH569" i="1"/>
  <c r="J299" i="11" s="1"/>
  <c r="AD569" i="1"/>
  <c r="Z569" i="1"/>
  <c r="Z568" i="1" s="1"/>
  <c r="BL568" i="1"/>
  <c r="BK568" i="1"/>
  <c r="BJ568" i="1"/>
  <c r="AP298" i="11" s="1"/>
  <c r="BI568" i="1"/>
  <c r="AO298" i="11" s="1"/>
  <c r="AO301" i="11" s="1"/>
  <c r="AO335" i="11" s="1"/>
  <c r="AV568" i="1"/>
  <c r="AW568" i="1" s="1"/>
  <c r="AX568" i="1" s="1"/>
  <c r="BO568" i="1" s="1"/>
  <c r="BP568" i="1" s="1"/>
  <c r="BQ568" i="1" s="1"/>
  <c r="BR568" i="1" s="1"/>
  <c r="BS568" i="1" s="1"/>
  <c r="AT568" i="1"/>
  <c r="V298" i="11" s="1"/>
  <c r="AP568" i="1"/>
  <c r="R298" i="11" s="1"/>
  <c r="AO568" i="1"/>
  <c r="Q298" i="11" s="1"/>
  <c r="AN568" i="1"/>
  <c r="P298" i="11" s="1"/>
  <c r="AM568" i="1"/>
  <c r="O298" i="11" s="1"/>
  <c r="AK568" i="1"/>
  <c r="M298" i="11" s="1"/>
  <c r="AJ568" i="1"/>
  <c r="L298" i="11" s="1"/>
  <c r="AI568" i="1"/>
  <c r="K298" i="11" s="1"/>
  <c r="AG568" i="1"/>
  <c r="I298" i="11" s="1"/>
  <c r="AF568" i="1"/>
  <c r="H298" i="11" s="1"/>
  <c r="AE568" i="1"/>
  <c r="G298" i="11" s="1"/>
  <c r="AC568" i="1"/>
  <c r="E298" i="11" s="1"/>
  <c r="E301" i="11" s="1"/>
  <c r="E335" i="11" s="1"/>
  <c r="AB568" i="1"/>
  <c r="D298" i="11" s="1"/>
  <c r="D301" i="11" s="1"/>
  <c r="D335" i="11" s="1"/>
  <c r="AA568" i="1"/>
  <c r="C298" i="11" s="1"/>
  <c r="C301" i="11" s="1"/>
  <c r="C335" i="11" s="1"/>
  <c r="V568" i="1"/>
  <c r="R568" i="1"/>
  <c r="N568" i="1"/>
  <c r="J568" i="1"/>
  <c r="F568" i="1"/>
  <c r="AV567" i="1"/>
  <c r="AW567" i="1" s="1"/>
  <c r="AX567" i="1" s="1"/>
  <c r="BO567" i="1" s="1"/>
  <c r="BP567" i="1" s="1"/>
  <c r="BQ567" i="1" s="1"/>
  <c r="BR567" i="1" s="1"/>
  <c r="BS567" i="1" s="1"/>
  <c r="AT567" i="1"/>
  <c r="V296" i="11" s="1"/>
  <c r="V361" i="11" s="1"/>
  <c r="AP567" i="1"/>
  <c r="R296" i="11" s="1"/>
  <c r="R361" i="11" s="1"/>
  <c r="AL567" i="1"/>
  <c r="N296" i="11" s="1"/>
  <c r="N361" i="11" s="1"/>
  <c r="AH567" i="1"/>
  <c r="J296" i="11" s="1"/>
  <c r="J361" i="11" s="1"/>
  <c r="AD567" i="1"/>
  <c r="F296" i="11" s="1"/>
  <c r="F361" i="11" s="1"/>
  <c r="Z567" i="1"/>
  <c r="V567" i="1"/>
  <c r="R567" i="1"/>
  <c r="N567" i="1"/>
  <c r="J567" i="1"/>
  <c r="F567" i="1"/>
  <c r="BN566" i="1"/>
  <c r="BN572" i="1" s="1"/>
  <c r="BM566" i="1"/>
  <c r="BM572" i="1" s="1"/>
  <c r="BL566" i="1"/>
  <c r="BL538" i="1" s="1"/>
  <c r="BK566" i="1"/>
  <c r="BK538" i="1" s="1"/>
  <c r="BL534" i="1" s="1"/>
  <c r="BJ566" i="1"/>
  <c r="BJ538" i="1" s="1"/>
  <c r="BI566" i="1"/>
  <c r="BH566" i="1"/>
  <c r="BH572" i="1" s="1"/>
  <c r="BG566" i="1"/>
  <c r="BG538" i="1" s="1"/>
  <c r="BH534" i="1" s="1"/>
  <c r="BF566" i="1"/>
  <c r="BF538" i="1" s="1"/>
  <c r="BE566" i="1"/>
  <c r="BE572" i="1" s="1"/>
  <c r="BD566" i="1"/>
  <c r="BD538" i="1" s="1"/>
  <c r="BE534" i="1" s="1"/>
  <c r="BC566" i="1"/>
  <c r="BC572" i="1" s="1"/>
  <c r="BB566" i="1"/>
  <c r="BB572" i="1" s="1"/>
  <c r="BA566" i="1"/>
  <c r="BA538" i="1" s="1"/>
  <c r="BB534" i="1" s="1"/>
  <c r="AZ566" i="1"/>
  <c r="AZ572" i="1" s="1"/>
  <c r="AU566" i="1"/>
  <c r="AU572" i="1" s="1"/>
  <c r="AS566" i="1"/>
  <c r="AS572" i="1" s="1"/>
  <c r="AR566" i="1"/>
  <c r="AR572" i="1" s="1"/>
  <c r="AQ566" i="1"/>
  <c r="AQ538" i="1" s="1"/>
  <c r="AO566" i="1"/>
  <c r="AO538" i="1" s="1"/>
  <c r="AP534" i="1" s="1"/>
  <c r="AN566" i="1"/>
  <c r="AN538" i="1" s="1"/>
  <c r="AO534" i="1" s="1"/>
  <c r="AM566" i="1"/>
  <c r="AM538" i="1" s="1"/>
  <c r="AN534" i="1" s="1"/>
  <c r="AK566" i="1"/>
  <c r="AJ566" i="1"/>
  <c r="AJ538" i="1" s="1"/>
  <c r="AK534" i="1" s="1"/>
  <c r="AI566" i="1"/>
  <c r="AG566" i="1"/>
  <c r="AF566" i="1"/>
  <c r="AF538" i="1" s="1"/>
  <c r="AE566" i="1"/>
  <c r="AE538" i="1" s="1"/>
  <c r="AF534" i="1" s="1"/>
  <c r="AC566" i="1"/>
  <c r="AC538" i="1" s="1"/>
  <c r="AB566" i="1"/>
  <c r="AA566" i="1"/>
  <c r="Y566" i="1"/>
  <c r="Y572" i="1" s="1"/>
  <c r="X566" i="1"/>
  <c r="X572" i="1" s="1"/>
  <c r="W566" i="1"/>
  <c r="W572" i="1" s="1"/>
  <c r="U566" i="1"/>
  <c r="U572" i="1" s="1"/>
  <c r="T566" i="1"/>
  <c r="T572" i="1" s="1"/>
  <c r="S566" i="1"/>
  <c r="S572" i="1" s="1"/>
  <c r="Q566" i="1"/>
  <c r="Q572" i="1" s="1"/>
  <c r="P566" i="1"/>
  <c r="P572" i="1" s="1"/>
  <c r="O566" i="1"/>
  <c r="O572" i="1" s="1"/>
  <c r="M566" i="1"/>
  <c r="M572" i="1" s="1"/>
  <c r="L566" i="1"/>
  <c r="L572" i="1" s="1"/>
  <c r="K566" i="1"/>
  <c r="K572" i="1" s="1"/>
  <c r="I566" i="1"/>
  <c r="I572" i="1" s="1"/>
  <c r="H566" i="1"/>
  <c r="H572" i="1" s="1"/>
  <c r="G566" i="1"/>
  <c r="G572" i="1" s="1"/>
  <c r="E566" i="1"/>
  <c r="E572" i="1" s="1"/>
  <c r="D566" i="1"/>
  <c r="D572" i="1" s="1"/>
  <c r="C566" i="1"/>
  <c r="C572" i="1" s="1"/>
  <c r="AT565" i="1"/>
  <c r="V295" i="11" s="1"/>
  <c r="V360" i="11" s="1"/>
  <c r="AP565" i="1"/>
  <c r="R295" i="11" s="1"/>
  <c r="R360" i="11" s="1"/>
  <c r="AL565" i="1"/>
  <c r="N295" i="11" s="1"/>
  <c r="N360" i="11" s="1"/>
  <c r="AH565" i="1"/>
  <c r="J295" i="11" s="1"/>
  <c r="J360" i="11" s="1"/>
  <c r="AD565" i="1"/>
  <c r="F295" i="11" s="1"/>
  <c r="F360" i="11" s="1"/>
  <c r="Z565" i="1"/>
  <c r="V565" i="1"/>
  <c r="R565" i="1"/>
  <c r="N565" i="1"/>
  <c r="J565" i="1"/>
  <c r="F565" i="1"/>
  <c r="AT564" i="1"/>
  <c r="V294" i="11" s="1"/>
  <c r="V359" i="11" s="1"/>
  <c r="AP564" i="1"/>
  <c r="R294" i="11" s="1"/>
  <c r="R359" i="11" s="1"/>
  <c r="AL564" i="1"/>
  <c r="N294" i="11" s="1"/>
  <c r="N359" i="11" s="1"/>
  <c r="AH564" i="1"/>
  <c r="J294" i="11" s="1"/>
  <c r="J359" i="11" s="1"/>
  <c r="AD564" i="1"/>
  <c r="F294" i="11" s="1"/>
  <c r="F359" i="11" s="1"/>
  <c r="Z564" i="1"/>
  <c r="V564" i="1"/>
  <c r="R564" i="1"/>
  <c r="N564" i="1"/>
  <c r="J564" i="1"/>
  <c r="F564" i="1"/>
  <c r="AT563" i="1"/>
  <c r="V293" i="11" s="1"/>
  <c r="V358" i="11" s="1"/>
  <c r="AP563" i="1"/>
  <c r="R293" i="11" s="1"/>
  <c r="R358" i="11" s="1"/>
  <c r="AL563" i="1"/>
  <c r="N293" i="11" s="1"/>
  <c r="N358" i="11" s="1"/>
  <c r="AH563" i="1"/>
  <c r="J293" i="11" s="1"/>
  <c r="J358" i="11" s="1"/>
  <c r="AD563" i="1"/>
  <c r="F293" i="11" s="1"/>
  <c r="F358" i="11" s="1"/>
  <c r="Z563" i="1"/>
  <c r="V563" i="1"/>
  <c r="R563" i="1"/>
  <c r="N563" i="1"/>
  <c r="J563" i="1"/>
  <c r="F563" i="1"/>
  <c r="AT562" i="1"/>
  <c r="AP562" i="1"/>
  <c r="R292" i="11" s="1"/>
  <c r="R357" i="11" s="1"/>
  <c r="AL562" i="1"/>
  <c r="AH562" i="1"/>
  <c r="J292" i="11" s="1"/>
  <c r="J357" i="11" s="1"/>
  <c r="AD562" i="1"/>
  <c r="F292" i="11" s="1"/>
  <c r="F357" i="11" s="1"/>
  <c r="Z562" i="1"/>
  <c r="Z532" i="1" s="1"/>
  <c r="V562" i="1"/>
  <c r="V532" i="1" s="1"/>
  <c r="R562" i="1"/>
  <c r="R532" i="1" s="1"/>
  <c r="N562" i="1"/>
  <c r="N532" i="1" s="1"/>
  <c r="J562" i="1"/>
  <c r="J532" i="1" s="1"/>
  <c r="F562" i="1"/>
  <c r="F532" i="1" s="1"/>
  <c r="AV561" i="1"/>
  <c r="AW561" i="1" s="1"/>
  <c r="AT561" i="1"/>
  <c r="V291" i="11" s="1"/>
  <c r="V362" i="11" s="1"/>
  <c r="AP561" i="1"/>
  <c r="R291" i="11" s="1"/>
  <c r="R362" i="11" s="1"/>
  <c r="AL561" i="1"/>
  <c r="N291" i="11" s="1"/>
  <c r="N362" i="11" s="1"/>
  <c r="AH561" i="1"/>
  <c r="J291" i="11" s="1"/>
  <c r="J362" i="11" s="1"/>
  <c r="AD561" i="1"/>
  <c r="F291" i="11" s="1"/>
  <c r="F362" i="11" s="1"/>
  <c r="Z561" i="1"/>
  <c r="V561" i="1"/>
  <c r="R561" i="1"/>
  <c r="N561" i="1"/>
  <c r="J561" i="1"/>
  <c r="F561" i="1"/>
  <c r="BN558" i="1"/>
  <c r="BM558" i="1"/>
  <c r="BI558" i="1"/>
  <c r="BH558" i="1"/>
  <c r="BG558" i="1"/>
  <c r="BF558" i="1"/>
  <c r="BE558" i="1"/>
  <c r="BD558" i="1"/>
  <c r="BC558" i="1"/>
  <c r="BB558" i="1"/>
  <c r="BA558" i="1"/>
  <c r="AZ558" i="1"/>
  <c r="AU558" i="1"/>
  <c r="AS558" i="1"/>
  <c r="AR558" i="1"/>
  <c r="AQ558" i="1"/>
  <c r="AC558" i="1"/>
  <c r="AB558" i="1"/>
  <c r="AA558" i="1"/>
  <c r="Y558" i="1"/>
  <c r="X558" i="1"/>
  <c r="W558" i="1"/>
  <c r="U558" i="1"/>
  <c r="T558" i="1"/>
  <c r="S558" i="1"/>
  <c r="Q558" i="1"/>
  <c r="P558" i="1"/>
  <c r="O558" i="1"/>
  <c r="M558" i="1"/>
  <c r="L558" i="1"/>
  <c r="K558" i="1"/>
  <c r="I558" i="1"/>
  <c r="H558" i="1"/>
  <c r="G558" i="1"/>
  <c r="E558" i="1"/>
  <c r="D558" i="1"/>
  <c r="C558" i="1"/>
  <c r="AV557" i="1"/>
  <c r="AW557" i="1" s="1"/>
  <c r="AX557" i="1" s="1"/>
  <c r="BO557" i="1" s="1"/>
  <c r="BP557" i="1" s="1"/>
  <c r="BQ557" i="1" s="1"/>
  <c r="BR557" i="1" s="1"/>
  <c r="BS557" i="1" s="1"/>
  <c r="AT557" i="1"/>
  <c r="V289" i="11" s="1"/>
  <c r="AP557" i="1"/>
  <c r="R289" i="11" s="1"/>
  <c r="AL557" i="1"/>
  <c r="N289" i="11" s="1"/>
  <c r="AH557" i="1"/>
  <c r="J289" i="11" s="1"/>
  <c r="AD557" i="1"/>
  <c r="F289" i="11" s="1"/>
  <c r="BL556" i="1"/>
  <c r="BK556" i="1"/>
  <c r="BJ556" i="1"/>
  <c r="AV556" i="1"/>
  <c r="AW556" i="1" s="1"/>
  <c r="AX556" i="1" s="1"/>
  <c r="BO556" i="1" s="1"/>
  <c r="BP556" i="1" s="1"/>
  <c r="BQ556" i="1" s="1"/>
  <c r="BR556" i="1" s="1"/>
  <c r="BS556" i="1" s="1"/>
  <c r="AT556" i="1"/>
  <c r="V288" i="11" s="1"/>
  <c r="AP556" i="1"/>
  <c r="R288" i="11" s="1"/>
  <c r="AO556" i="1"/>
  <c r="AN556" i="1"/>
  <c r="AM556" i="1"/>
  <c r="AK556" i="1"/>
  <c r="AJ556" i="1"/>
  <c r="AI556" i="1"/>
  <c r="AG556" i="1"/>
  <c r="AF556" i="1"/>
  <c r="AE556" i="1"/>
  <c r="Z556" i="1"/>
  <c r="V556" i="1"/>
  <c r="R556" i="1"/>
  <c r="N556" i="1"/>
  <c r="J556" i="1"/>
  <c r="F556" i="1"/>
  <c r="AV555" i="1"/>
  <c r="AW555" i="1" s="1"/>
  <c r="AX555" i="1" s="1"/>
  <c r="BO555" i="1" s="1"/>
  <c r="BP555" i="1" s="1"/>
  <c r="BQ555" i="1" s="1"/>
  <c r="BR555" i="1" s="1"/>
  <c r="BS555" i="1" s="1"/>
  <c r="AT555" i="1"/>
  <c r="V287" i="11" s="1"/>
  <c r="AP555" i="1"/>
  <c r="R287" i="11" s="1"/>
  <c r="AL555" i="1"/>
  <c r="N287" i="11" s="1"/>
  <c r="AH555" i="1"/>
  <c r="J287" i="11" s="1"/>
  <c r="AD555" i="1"/>
  <c r="F287" i="11" s="1"/>
  <c r="Z555" i="1"/>
  <c r="V555" i="1"/>
  <c r="R555" i="1"/>
  <c r="N555" i="1"/>
  <c r="J555" i="1"/>
  <c r="F555" i="1"/>
  <c r="AV554" i="1"/>
  <c r="AW554" i="1" s="1"/>
  <c r="AX554" i="1" s="1"/>
  <c r="BO554" i="1" s="1"/>
  <c r="BP554" i="1" s="1"/>
  <c r="BQ554" i="1" s="1"/>
  <c r="BR554" i="1" s="1"/>
  <c r="BS554" i="1" s="1"/>
  <c r="AT554" i="1"/>
  <c r="V286" i="11" s="1"/>
  <c r="AP554" i="1"/>
  <c r="R286" i="11" s="1"/>
  <c r="AL554" i="1"/>
  <c r="N286" i="11" s="1"/>
  <c r="AH554" i="1"/>
  <c r="J286" i="11" s="1"/>
  <c r="AD554" i="1"/>
  <c r="F286" i="11" s="1"/>
  <c r="Z554" i="1"/>
  <c r="V554" i="1"/>
  <c r="R554" i="1"/>
  <c r="N554" i="1"/>
  <c r="J554" i="1"/>
  <c r="F554" i="1"/>
  <c r="AT553" i="1"/>
  <c r="V285" i="11" s="1"/>
  <c r="V345" i="11" s="1"/>
  <c r="AP553" i="1"/>
  <c r="R285" i="11" s="1"/>
  <c r="R345" i="11" s="1"/>
  <c r="AL553" i="1"/>
  <c r="N285" i="11" s="1"/>
  <c r="N345" i="11" s="1"/>
  <c r="AH553" i="1"/>
  <c r="J285" i="11" s="1"/>
  <c r="J345" i="11" s="1"/>
  <c r="AD553" i="1"/>
  <c r="F285" i="11" s="1"/>
  <c r="F345" i="11" s="1"/>
  <c r="Z553" i="1"/>
  <c r="V553" i="1"/>
  <c r="R553" i="1"/>
  <c r="N553" i="1"/>
  <c r="J553" i="1"/>
  <c r="F553" i="1"/>
  <c r="AT552" i="1"/>
  <c r="V284" i="11" s="1"/>
  <c r="V344" i="11" s="1"/>
  <c r="AP552" i="1"/>
  <c r="R284" i="11" s="1"/>
  <c r="R344" i="11" s="1"/>
  <c r="AL552" i="1"/>
  <c r="N284" i="11" s="1"/>
  <c r="N344" i="11" s="1"/>
  <c r="AH552" i="1"/>
  <c r="J284" i="11" s="1"/>
  <c r="J344" i="11" s="1"/>
  <c r="AD552" i="1"/>
  <c r="F284" i="11" s="1"/>
  <c r="F344" i="11" s="1"/>
  <c r="Z552" i="1"/>
  <c r="V552" i="1"/>
  <c r="R552" i="1"/>
  <c r="N552" i="1"/>
  <c r="J552" i="1"/>
  <c r="F552" i="1"/>
  <c r="AT551" i="1"/>
  <c r="AP551" i="1"/>
  <c r="AL551" i="1"/>
  <c r="AH551" i="1"/>
  <c r="AD551" i="1"/>
  <c r="Z551" i="1"/>
  <c r="V551" i="1"/>
  <c r="V284" i="1" s="1"/>
  <c r="R551" i="1"/>
  <c r="R284" i="1" s="1"/>
  <c r="N551" i="1"/>
  <c r="N284" i="1" s="1"/>
  <c r="J551" i="1"/>
  <c r="J284" i="1" s="1"/>
  <c r="F551" i="1"/>
  <c r="F284" i="1" s="1"/>
  <c r="BP547" i="1"/>
  <c r="BS546" i="1"/>
  <c r="BS536" i="1" s="1"/>
  <c r="BS453" i="1" s="1"/>
  <c r="BR546" i="1"/>
  <c r="BR530" i="1" s="1"/>
  <c r="BR452" i="1" s="1"/>
  <c r="BQ546" i="1"/>
  <c r="BQ536" i="1" s="1"/>
  <c r="BQ453" i="1" s="1"/>
  <c r="AX546" i="1"/>
  <c r="AX536" i="1" s="1"/>
  <c r="AX453" i="1" s="1"/>
  <c r="AW546" i="1"/>
  <c r="AW536" i="1" s="1"/>
  <c r="AW453" i="1" s="1"/>
  <c r="AV546" i="1"/>
  <c r="AV536" i="1" s="1"/>
  <c r="AV453" i="1" s="1"/>
  <c r="BP541" i="1"/>
  <c r="BP540" i="1"/>
  <c r="BN532" i="1"/>
  <c r="BM532" i="1"/>
  <c r="BL532" i="1"/>
  <c r="BK532" i="1"/>
  <c r="AI528" i="1" s="1"/>
  <c r="BJ532" i="1"/>
  <c r="AE528" i="1" s="1"/>
  <c r="BI532" i="1"/>
  <c r="AA528" i="1" s="1"/>
  <c r="BH532" i="1"/>
  <c r="W528" i="1" s="1"/>
  <c r="BG532" i="1"/>
  <c r="BF532" i="1"/>
  <c r="O528" i="1" s="1"/>
  <c r="BE532" i="1"/>
  <c r="K528" i="1" s="1"/>
  <c r="BD532" i="1"/>
  <c r="BE528" i="1" s="1"/>
  <c r="BC532" i="1"/>
  <c r="BB532" i="1"/>
  <c r="BC528" i="1" s="1"/>
  <c r="BA532" i="1"/>
  <c r="BB528" i="1" s="1"/>
  <c r="AZ532" i="1"/>
  <c r="BA528" i="1" s="1"/>
  <c r="AU532" i="1"/>
  <c r="AV528" i="1" s="1"/>
  <c r="AS532" i="1"/>
  <c r="AT528" i="1" s="1"/>
  <c r="AR532" i="1"/>
  <c r="AS528" i="1" s="1"/>
  <c r="AQ532" i="1"/>
  <c r="AR528" i="1" s="1"/>
  <c r="AO532" i="1"/>
  <c r="AP528" i="1" s="1"/>
  <c r="AN532" i="1"/>
  <c r="AO528" i="1" s="1"/>
  <c r="AM532" i="1"/>
  <c r="AN528" i="1" s="1"/>
  <c r="AK532" i="1"/>
  <c r="AJ532" i="1"/>
  <c r="AI532" i="1"/>
  <c r="AJ528" i="1" s="1"/>
  <c r="AG532" i="1"/>
  <c r="AH528" i="1" s="1"/>
  <c r="AF532" i="1"/>
  <c r="AG528" i="1" s="1"/>
  <c r="AE532" i="1"/>
  <c r="AF528" i="1" s="1"/>
  <c r="AC532" i="1"/>
  <c r="AD528" i="1" s="1"/>
  <c r="AB532" i="1"/>
  <c r="AC528" i="1" s="1"/>
  <c r="AA532" i="1"/>
  <c r="AB528" i="1" s="1"/>
  <c r="Y532" i="1"/>
  <c r="Z528" i="1" s="1"/>
  <c r="X532" i="1"/>
  <c r="Y528" i="1" s="1"/>
  <c r="W532" i="1"/>
  <c r="X528" i="1" s="1"/>
  <c r="U532" i="1"/>
  <c r="V528" i="1" s="1"/>
  <c r="T532" i="1"/>
  <c r="U528" i="1" s="1"/>
  <c r="S532" i="1"/>
  <c r="T528" i="1" s="1"/>
  <c r="Q532" i="1"/>
  <c r="R528" i="1" s="1"/>
  <c r="P532" i="1"/>
  <c r="Q528" i="1" s="1"/>
  <c r="O532" i="1"/>
  <c r="P528" i="1" s="1"/>
  <c r="M532" i="1"/>
  <c r="N528" i="1" s="1"/>
  <c r="L532" i="1"/>
  <c r="M528" i="1" s="1"/>
  <c r="K532" i="1"/>
  <c r="L528" i="1" s="1"/>
  <c r="I532" i="1"/>
  <c r="J528" i="1" s="1"/>
  <c r="H532" i="1"/>
  <c r="I528" i="1" s="1"/>
  <c r="G532" i="1"/>
  <c r="H528" i="1" s="1"/>
  <c r="E532" i="1"/>
  <c r="D532" i="1"/>
  <c r="C532" i="1"/>
  <c r="D528" i="1" s="1"/>
  <c r="BN508" i="1"/>
  <c r="BM508" i="1"/>
  <c r="BL508" i="1"/>
  <c r="BK508" i="1"/>
  <c r="BJ508" i="1"/>
  <c r="BI508" i="1"/>
  <c r="BH508" i="1"/>
  <c r="BG508" i="1"/>
  <c r="BF508" i="1"/>
  <c r="BE508" i="1"/>
  <c r="BD508" i="1"/>
  <c r="BC508" i="1"/>
  <c r="BB508" i="1"/>
  <c r="BA508" i="1"/>
  <c r="AZ508" i="1"/>
  <c r="AU508" i="1"/>
  <c r="AS508" i="1"/>
  <c r="AR508" i="1"/>
  <c r="AQ508" i="1"/>
  <c r="AO508" i="1"/>
  <c r="AN508" i="1"/>
  <c r="AM508" i="1"/>
  <c r="AK508" i="1"/>
  <c r="AJ508" i="1"/>
  <c r="AI508" i="1"/>
  <c r="AG508" i="1"/>
  <c r="AF508" i="1"/>
  <c r="AE508" i="1"/>
  <c r="AC508" i="1"/>
  <c r="AB508" i="1"/>
  <c r="AA508" i="1"/>
  <c r="Y508" i="1"/>
  <c r="X508" i="1"/>
  <c r="W508" i="1"/>
  <c r="U508" i="1"/>
  <c r="T508" i="1"/>
  <c r="S508" i="1"/>
  <c r="Q508" i="1"/>
  <c r="P508" i="1"/>
  <c r="O508" i="1"/>
  <c r="M508" i="1"/>
  <c r="L508" i="1"/>
  <c r="K508" i="1"/>
  <c r="I508" i="1"/>
  <c r="H508" i="1"/>
  <c r="G508" i="1"/>
  <c r="E508" i="1"/>
  <c r="D508" i="1"/>
  <c r="C508" i="1"/>
  <c r="BN507" i="1"/>
  <c r="BM507" i="1"/>
  <c r="BL507" i="1"/>
  <c r="BK507" i="1"/>
  <c r="BJ507" i="1"/>
  <c r="BI507" i="1"/>
  <c r="BH507" i="1"/>
  <c r="BG507" i="1"/>
  <c r="BF507" i="1"/>
  <c r="BE507" i="1"/>
  <c r="BD507" i="1"/>
  <c r="BC507" i="1"/>
  <c r="BB507" i="1"/>
  <c r="BA507" i="1"/>
  <c r="AZ507" i="1"/>
  <c r="AU507" i="1"/>
  <c r="AS507" i="1"/>
  <c r="AR507" i="1"/>
  <c r="AQ507" i="1"/>
  <c r="AO507" i="1"/>
  <c r="AN507" i="1"/>
  <c r="AM507" i="1"/>
  <c r="AK507" i="1"/>
  <c r="AJ507" i="1"/>
  <c r="AI507" i="1"/>
  <c r="AG507" i="1"/>
  <c r="AF507" i="1"/>
  <c r="AE507" i="1"/>
  <c r="AC507" i="1"/>
  <c r="AB507" i="1"/>
  <c r="AA507" i="1"/>
  <c r="Y507" i="1"/>
  <c r="X507" i="1"/>
  <c r="W507" i="1"/>
  <c r="U507" i="1"/>
  <c r="T507" i="1"/>
  <c r="S507" i="1"/>
  <c r="Q507" i="1"/>
  <c r="P507" i="1"/>
  <c r="O507" i="1"/>
  <c r="M507" i="1"/>
  <c r="L507" i="1"/>
  <c r="K507" i="1"/>
  <c r="I507" i="1"/>
  <c r="H507" i="1"/>
  <c r="G507" i="1"/>
  <c r="E507" i="1"/>
  <c r="D507" i="1"/>
  <c r="C507" i="1"/>
  <c r="A505" i="1"/>
  <c r="AZ504" i="1"/>
  <c r="A504" i="1"/>
  <c r="A502" i="1"/>
  <c r="BP501" i="1"/>
  <c r="BN501" i="1"/>
  <c r="BM501" i="1"/>
  <c r="BL501" i="1"/>
  <c r="BK501" i="1"/>
  <c r="BJ501" i="1"/>
  <c r="BI501" i="1"/>
  <c r="BH501" i="1"/>
  <c r="BG501" i="1"/>
  <c r="BF501" i="1"/>
  <c r="BE501" i="1"/>
  <c r="BD501" i="1"/>
  <c r="BC501" i="1"/>
  <c r="BB501" i="1"/>
  <c r="BA501" i="1"/>
  <c r="AZ501" i="1"/>
  <c r="AU501" i="1"/>
  <c r="BO501" i="1" s="1"/>
  <c r="AS501" i="1"/>
  <c r="AR501" i="1"/>
  <c r="AQ501" i="1"/>
  <c r="AO501" i="1"/>
  <c r="AN501" i="1"/>
  <c r="AM501" i="1"/>
  <c r="AK501" i="1"/>
  <c r="AJ501" i="1"/>
  <c r="AI501" i="1"/>
  <c r="AG501" i="1"/>
  <c r="AF501" i="1"/>
  <c r="AE501" i="1"/>
  <c r="AC501" i="1"/>
  <c r="AB501" i="1"/>
  <c r="AA501" i="1"/>
  <c r="Y501" i="1"/>
  <c r="X501" i="1"/>
  <c r="W501" i="1"/>
  <c r="U501" i="1"/>
  <c r="T501" i="1"/>
  <c r="S501" i="1"/>
  <c r="Q501" i="1"/>
  <c r="P501" i="1"/>
  <c r="O501" i="1"/>
  <c r="M501" i="1"/>
  <c r="L501" i="1"/>
  <c r="K501" i="1"/>
  <c r="I501" i="1"/>
  <c r="H501" i="1"/>
  <c r="G501" i="1"/>
  <c r="E501" i="1"/>
  <c r="D501" i="1"/>
  <c r="C501" i="1"/>
  <c r="A501" i="1"/>
  <c r="A499" i="1"/>
  <c r="BN498" i="1"/>
  <c r="BM498" i="1"/>
  <c r="BL498" i="1"/>
  <c r="BK498" i="1"/>
  <c r="BJ498" i="1"/>
  <c r="BI498" i="1"/>
  <c r="AO102" i="11" s="1"/>
  <c r="BH498" i="1"/>
  <c r="AN102" i="11" s="1"/>
  <c r="BG498" i="1"/>
  <c r="AM102" i="11" s="1"/>
  <c r="BF498" i="1"/>
  <c r="AL102" i="11" s="1"/>
  <c r="BE498" i="1"/>
  <c r="AK102" i="11" s="1"/>
  <c r="BD498" i="1"/>
  <c r="AJ102" i="11" s="1"/>
  <c r="BC498" i="1"/>
  <c r="BB498" i="1"/>
  <c r="BA498" i="1"/>
  <c r="AZ498" i="1"/>
  <c r="AU498" i="1"/>
  <c r="AS498" i="1"/>
  <c r="AR498" i="1"/>
  <c r="AQ498" i="1"/>
  <c r="AO498" i="1"/>
  <c r="AN498" i="1"/>
  <c r="AM498" i="1"/>
  <c r="AK498" i="1"/>
  <c r="AJ498" i="1"/>
  <c r="AI498" i="1"/>
  <c r="AG498" i="1"/>
  <c r="AF498" i="1"/>
  <c r="AE498" i="1"/>
  <c r="AC498" i="1"/>
  <c r="AB498" i="1"/>
  <c r="AA498" i="1"/>
  <c r="Y498" i="1"/>
  <c r="Y267" i="1" s="1"/>
  <c r="Y74" i="9" s="1"/>
  <c r="X498" i="1"/>
  <c r="X267" i="1" s="1"/>
  <c r="X74" i="9" s="1"/>
  <c r="W498" i="1"/>
  <c r="W267" i="1" s="1"/>
  <c r="W74" i="9" s="1"/>
  <c r="U498" i="1"/>
  <c r="U267" i="1" s="1"/>
  <c r="U74" i="9" s="1"/>
  <c r="T498" i="1"/>
  <c r="T267" i="1" s="1"/>
  <c r="T74" i="9" s="1"/>
  <c r="S498" i="1"/>
  <c r="S267" i="1" s="1"/>
  <c r="S74" i="9" s="1"/>
  <c r="Q498" i="1"/>
  <c r="Q267" i="1" s="1"/>
  <c r="Q74" i="9" s="1"/>
  <c r="P498" i="1"/>
  <c r="P267" i="1" s="1"/>
  <c r="P74" i="9" s="1"/>
  <c r="O498" i="1"/>
  <c r="O267" i="1" s="1"/>
  <c r="O74" i="9" s="1"/>
  <c r="M498" i="1"/>
  <c r="M267" i="1" s="1"/>
  <c r="M74" i="9" s="1"/>
  <c r="L498" i="1"/>
  <c r="L267" i="1" s="1"/>
  <c r="L74" i="9" s="1"/>
  <c r="K498" i="1"/>
  <c r="K267" i="1" s="1"/>
  <c r="K74" i="9" s="1"/>
  <c r="I498" i="1"/>
  <c r="I267" i="1" s="1"/>
  <c r="I74" i="9" s="1"/>
  <c r="H498" i="1"/>
  <c r="H267" i="1" s="1"/>
  <c r="H74" i="9" s="1"/>
  <c r="G498" i="1"/>
  <c r="G267" i="1" s="1"/>
  <c r="G74" i="9" s="1"/>
  <c r="E498" i="1"/>
  <c r="E267" i="1" s="1"/>
  <c r="E74" i="9" s="1"/>
  <c r="D498" i="1"/>
  <c r="D267" i="1" s="1"/>
  <c r="D74" i="9" s="1"/>
  <c r="C498" i="1"/>
  <c r="C267" i="1" s="1"/>
  <c r="C74" i="9" s="1"/>
  <c r="A498" i="1"/>
  <c r="A458" i="11" s="1"/>
  <c r="BP497" i="1"/>
  <c r="BN497" i="1"/>
  <c r="AT457" i="11" s="1"/>
  <c r="BM497" i="1"/>
  <c r="AS457" i="11" s="1"/>
  <c r="BL497" i="1"/>
  <c r="AR457" i="11" s="1"/>
  <c r="BK497" i="1"/>
  <c r="AQ457" i="11" s="1"/>
  <c r="BJ497" i="1"/>
  <c r="AP457" i="11" s="1"/>
  <c r="BI497" i="1"/>
  <c r="AO457" i="11" s="1"/>
  <c r="BH497" i="1"/>
  <c r="AN457" i="11" s="1"/>
  <c r="BG497" i="1"/>
  <c r="AM457" i="11" s="1"/>
  <c r="BF497" i="1"/>
  <c r="AL457" i="11" s="1"/>
  <c r="BE497" i="1"/>
  <c r="AK457" i="11" s="1"/>
  <c r="BD497" i="1"/>
  <c r="AJ457" i="11" s="1"/>
  <c r="BC497" i="1"/>
  <c r="AI457" i="11" s="1"/>
  <c r="BB497" i="1"/>
  <c r="AH457" i="11" s="1"/>
  <c r="BA497" i="1"/>
  <c r="AG457" i="11" s="1"/>
  <c r="AZ497" i="1"/>
  <c r="AF457" i="11" s="1"/>
  <c r="AU497" i="1"/>
  <c r="AS497" i="1"/>
  <c r="U457" i="11" s="1"/>
  <c r="AR497" i="1"/>
  <c r="T457" i="11" s="1"/>
  <c r="AQ497" i="1"/>
  <c r="S457" i="11" s="1"/>
  <c r="AO497" i="1"/>
  <c r="Q457" i="11" s="1"/>
  <c r="AN497" i="1"/>
  <c r="P457" i="11" s="1"/>
  <c r="AM497" i="1"/>
  <c r="O457" i="11" s="1"/>
  <c r="AK497" i="1"/>
  <c r="M457" i="11" s="1"/>
  <c r="AJ497" i="1"/>
  <c r="L457" i="11" s="1"/>
  <c r="AI497" i="1"/>
  <c r="K457" i="11" s="1"/>
  <c r="AH497" i="1"/>
  <c r="J457" i="11" s="1"/>
  <c r="AG497" i="1"/>
  <c r="I457" i="11" s="1"/>
  <c r="AF497" i="1"/>
  <c r="H457" i="11" s="1"/>
  <c r="AE497" i="1"/>
  <c r="G457" i="11" s="1"/>
  <c r="AD497" i="1"/>
  <c r="F457" i="11" s="1"/>
  <c r="AC497" i="1"/>
  <c r="E457" i="11" s="1"/>
  <c r="AB497" i="1"/>
  <c r="D457" i="11" s="1"/>
  <c r="AA497" i="1"/>
  <c r="C457" i="11" s="1"/>
  <c r="Z497" i="1"/>
  <c r="Y497" i="1"/>
  <c r="X497" i="1"/>
  <c r="W497" i="1"/>
  <c r="V497" i="1"/>
  <c r="U497" i="1"/>
  <c r="T497" i="1"/>
  <c r="S497" i="1"/>
  <c r="R497" i="1"/>
  <c r="Q497" i="1"/>
  <c r="P497" i="1"/>
  <c r="O497" i="1"/>
  <c r="N497" i="1"/>
  <c r="M497" i="1"/>
  <c r="L497" i="1"/>
  <c r="K497" i="1"/>
  <c r="J497" i="1"/>
  <c r="I497" i="1"/>
  <c r="H497" i="1"/>
  <c r="G497" i="1"/>
  <c r="F497" i="1"/>
  <c r="E497" i="1"/>
  <c r="D497" i="1"/>
  <c r="C497" i="1"/>
  <c r="A497" i="1"/>
  <c r="A457" i="11" s="1"/>
  <c r="BP496" i="1"/>
  <c r="BN496" i="1"/>
  <c r="AT456" i="11" s="1"/>
  <c r="BM496" i="1"/>
  <c r="AS456" i="11" s="1"/>
  <c r="BL496" i="1"/>
  <c r="AR456" i="11" s="1"/>
  <c r="BK496" i="1"/>
  <c r="AQ456" i="11" s="1"/>
  <c r="BJ496" i="1"/>
  <c r="AP456" i="11" s="1"/>
  <c r="BI496" i="1"/>
  <c r="AO456" i="11" s="1"/>
  <c r="BH496" i="1"/>
  <c r="AN456" i="11" s="1"/>
  <c r="BG496" i="1"/>
  <c r="AM456" i="11" s="1"/>
  <c r="BF496" i="1"/>
  <c r="AL456" i="11" s="1"/>
  <c r="BE496" i="1"/>
  <c r="AK456" i="11" s="1"/>
  <c r="BD496" i="1"/>
  <c r="AJ456" i="11" s="1"/>
  <c r="BC496" i="1"/>
  <c r="AI456" i="11" s="1"/>
  <c r="BB496" i="1"/>
  <c r="AH456" i="11" s="1"/>
  <c r="BA496" i="1"/>
  <c r="AG456" i="11" s="1"/>
  <c r="AZ496" i="1"/>
  <c r="AF456" i="11" s="1"/>
  <c r="AU496" i="1"/>
  <c r="AS496" i="1"/>
  <c r="U456" i="11" s="1"/>
  <c r="AR496" i="1"/>
  <c r="T456" i="11" s="1"/>
  <c r="AQ496" i="1"/>
  <c r="S456" i="11" s="1"/>
  <c r="AO496" i="1"/>
  <c r="Q456" i="11" s="1"/>
  <c r="AN496" i="1"/>
  <c r="P456" i="11" s="1"/>
  <c r="AM496" i="1"/>
  <c r="O456" i="11" s="1"/>
  <c r="AK496" i="1"/>
  <c r="M456" i="11" s="1"/>
  <c r="AJ496" i="1"/>
  <c r="L456" i="11" s="1"/>
  <c r="AI496" i="1"/>
  <c r="K456" i="11" s="1"/>
  <c r="AH496" i="1"/>
  <c r="J456" i="11" s="1"/>
  <c r="AG496" i="1"/>
  <c r="I456" i="11" s="1"/>
  <c r="AF496" i="1"/>
  <c r="H456" i="11" s="1"/>
  <c r="AE496" i="1"/>
  <c r="G456" i="11" s="1"/>
  <c r="AD496" i="1"/>
  <c r="F456" i="11" s="1"/>
  <c r="AC496" i="1"/>
  <c r="E456" i="11" s="1"/>
  <c r="AB496" i="1"/>
  <c r="D456" i="11" s="1"/>
  <c r="AA496" i="1"/>
  <c r="C456" i="11" s="1"/>
  <c r="Z496" i="1"/>
  <c r="Y496" i="1"/>
  <c r="X496" i="1"/>
  <c r="W496" i="1"/>
  <c r="V496" i="1"/>
  <c r="U496" i="1"/>
  <c r="T496" i="1"/>
  <c r="S496" i="1"/>
  <c r="R496" i="1"/>
  <c r="Q496" i="1"/>
  <c r="P496" i="1"/>
  <c r="O496" i="1"/>
  <c r="N496" i="1"/>
  <c r="M496" i="1"/>
  <c r="L496" i="1"/>
  <c r="K496" i="1"/>
  <c r="J496" i="1"/>
  <c r="I496" i="1"/>
  <c r="H496" i="1"/>
  <c r="G496" i="1"/>
  <c r="F496" i="1"/>
  <c r="E496" i="1"/>
  <c r="D496" i="1"/>
  <c r="C496" i="1"/>
  <c r="A496" i="1"/>
  <c r="A456" i="11" s="1"/>
  <c r="BP495" i="1"/>
  <c r="BN495" i="1"/>
  <c r="AT455" i="11" s="1"/>
  <c r="BM495" i="1"/>
  <c r="AS455" i="11" s="1"/>
  <c r="BL495" i="1"/>
  <c r="AR455" i="11" s="1"/>
  <c r="BK495" i="1"/>
  <c r="AQ455" i="11" s="1"/>
  <c r="BJ495" i="1"/>
  <c r="AP455" i="11" s="1"/>
  <c r="BI495" i="1"/>
  <c r="AO455" i="11" s="1"/>
  <c r="BH495" i="1"/>
  <c r="AN455" i="11" s="1"/>
  <c r="BG495" i="1"/>
  <c r="AM455" i="11" s="1"/>
  <c r="BF495" i="1"/>
  <c r="AL455" i="11" s="1"/>
  <c r="BE495" i="1"/>
  <c r="AK455" i="11" s="1"/>
  <c r="BD495" i="1"/>
  <c r="AJ455" i="11" s="1"/>
  <c r="BC495" i="1"/>
  <c r="AI455" i="11" s="1"/>
  <c r="BB495" i="1"/>
  <c r="AH455" i="11" s="1"/>
  <c r="BA495" i="1"/>
  <c r="AG455" i="11" s="1"/>
  <c r="AZ495" i="1"/>
  <c r="AF455" i="11" s="1"/>
  <c r="AU495" i="1"/>
  <c r="AS495" i="1"/>
  <c r="U455" i="11" s="1"/>
  <c r="AR495" i="1"/>
  <c r="T455" i="11" s="1"/>
  <c r="AQ495" i="1"/>
  <c r="S455" i="11" s="1"/>
  <c r="AO495" i="1"/>
  <c r="Q455" i="11" s="1"/>
  <c r="AN495" i="1"/>
  <c r="P455" i="11" s="1"/>
  <c r="AM495" i="1"/>
  <c r="O455" i="11" s="1"/>
  <c r="AK495" i="1"/>
  <c r="M455" i="11" s="1"/>
  <c r="AJ495" i="1"/>
  <c r="L455" i="11" s="1"/>
  <c r="AI495" i="1"/>
  <c r="K455" i="11" s="1"/>
  <c r="AG495" i="1"/>
  <c r="I455" i="11" s="1"/>
  <c r="AF495" i="1"/>
  <c r="H455" i="11" s="1"/>
  <c r="AE495" i="1"/>
  <c r="G455" i="11" s="1"/>
  <c r="AC495" i="1"/>
  <c r="E455" i="11" s="1"/>
  <c r="AB495" i="1"/>
  <c r="D455" i="11" s="1"/>
  <c r="AA495" i="1"/>
  <c r="C455" i="11" s="1"/>
  <c r="Y495" i="1"/>
  <c r="X495" i="1"/>
  <c r="W495" i="1"/>
  <c r="U495" i="1"/>
  <c r="T495" i="1"/>
  <c r="S495" i="1"/>
  <c r="Q495" i="1"/>
  <c r="P495" i="1"/>
  <c r="O495" i="1"/>
  <c r="M495" i="1"/>
  <c r="L495" i="1"/>
  <c r="K495" i="1"/>
  <c r="I495" i="1"/>
  <c r="H495" i="1"/>
  <c r="G495" i="1"/>
  <c r="E495" i="1"/>
  <c r="D495" i="1"/>
  <c r="C495" i="1"/>
  <c r="A495" i="1"/>
  <c r="A455" i="11" s="1"/>
  <c r="BP494" i="1"/>
  <c r="BN494" i="1"/>
  <c r="AT454" i="11" s="1"/>
  <c r="BM494" i="1"/>
  <c r="AS454" i="11" s="1"/>
  <c r="BL494" i="1"/>
  <c r="AR454" i="11" s="1"/>
  <c r="BK494" i="1"/>
  <c r="AQ454" i="11" s="1"/>
  <c r="BJ494" i="1"/>
  <c r="AP454" i="11" s="1"/>
  <c r="BI494" i="1"/>
  <c r="AO454" i="11" s="1"/>
  <c r="BH494" i="1"/>
  <c r="AN454" i="11" s="1"/>
  <c r="BG494" i="1"/>
  <c r="AM454" i="11" s="1"/>
  <c r="BF494" i="1"/>
  <c r="AL454" i="11" s="1"/>
  <c r="BE494" i="1"/>
  <c r="AK454" i="11" s="1"/>
  <c r="BD494" i="1"/>
  <c r="AJ454" i="11" s="1"/>
  <c r="BC494" i="1"/>
  <c r="AI454" i="11" s="1"/>
  <c r="BB494" i="1"/>
  <c r="AH454" i="11" s="1"/>
  <c r="BA494" i="1"/>
  <c r="AG454" i="11" s="1"/>
  <c r="AZ494" i="1"/>
  <c r="AF454" i="11" s="1"/>
  <c r="AU494" i="1"/>
  <c r="AS494" i="1"/>
  <c r="U454" i="11" s="1"/>
  <c r="AR494" i="1"/>
  <c r="T454" i="11" s="1"/>
  <c r="AQ494" i="1"/>
  <c r="S454" i="11" s="1"/>
  <c r="AO494" i="1"/>
  <c r="Q454" i="11" s="1"/>
  <c r="AN494" i="1"/>
  <c r="P454" i="11" s="1"/>
  <c r="AM494" i="1"/>
  <c r="O454" i="11" s="1"/>
  <c r="AK494" i="1"/>
  <c r="M454" i="11" s="1"/>
  <c r="AJ494" i="1"/>
  <c r="L454" i="11" s="1"/>
  <c r="AI494" i="1"/>
  <c r="K454" i="11" s="1"/>
  <c r="AG494" i="1"/>
  <c r="I454" i="11" s="1"/>
  <c r="AF494" i="1"/>
  <c r="H454" i="11" s="1"/>
  <c r="AE494" i="1"/>
  <c r="G454" i="11" s="1"/>
  <c r="AC494" i="1"/>
  <c r="E454" i="11" s="1"/>
  <c r="AB494" i="1"/>
  <c r="D454" i="11" s="1"/>
  <c r="AA494" i="1"/>
  <c r="C454" i="11" s="1"/>
  <c r="Y494" i="1"/>
  <c r="X494" i="1"/>
  <c r="W494" i="1"/>
  <c r="U494" i="1"/>
  <c r="T494" i="1"/>
  <c r="S494" i="1"/>
  <c r="Q494" i="1"/>
  <c r="P494" i="1"/>
  <c r="O494" i="1"/>
  <c r="M494" i="1"/>
  <c r="L494" i="1"/>
  <c r="K494" i="1"/>
  <c r="I494" i="1"/>
  <c r="H494" i="1"/>
  <c r="G494" i="1"/>
  <c r="E494" i="1"/>
  <c r="D494" i="1"/>
  <c r="C494" i="1"/>
  <c r="A494" i="1"/>
  <c r="A454" i="11" s="1"/>
  <c r="BS493" i="1"/>
  <c r="BR493" i="1"/>
  <c r="BQ493" i="1"/>
  <c r="BN493" i="1"/>
  <c r="AT453" i="11" s="1"/>
  <c r="BM493" i="1"/>
  <c r="AS453" i="11" s="1"/>
  <c r="BL493" i="1"/>
  <c r="AR453" i="11" s="1"/>
  <c r="BK493" i="1"/>
  <c r="AQ453" i="11" s="1"/>
  <c r="BJ493" i="1"/>
  <c r="AP453" i="11" s="1"/>
  <c r="BI493" i="1"/>
  <c r="AO453" i="11" s="1"/>
  <c r="BH493" i="1"/>
  <c r="AN453" i="11" s="1"/>
  <c r="BG493" i="1"/>
  <c r="AM453" i="11" s="1"/>
  <c r="BF493" i="1"/>
  <c r="AL453" i="11" s="1"/>
  <c r="BE493" i="1"/>
  <c r="AK453" i="11" s="1"/>
  <c r="BD493" i="1"/>
  <c r="AJ453" i="11" s="1"/>
  <c r="BC493" i="1"/>
  <c r="AI453" i="11" s="1"/>
  <c r="BB493" i="1"/>
  <c r="AH453" i="11" s="1"/>
  <c r="BA493" i="1"/>
  <c r="AG453" i="11" s="1"/>
  <c r="AZ493" i="1"/>
  <c r="AF453" i="11" s="1"/>
  <c r="AX493" i="1"/>
  <c r="AW493" i="1"/>
  <c r="AV493" i="1"/>
  <c r="AU493" i="1"/>
  <c r="W453" i="11" s="1"/>
  <c r="Z453" i="11" s="1"/>
  <c r="AS493" i="1"/>
  <c r="U453" i="11" s="1"/>
  <c r="AR493" i="1"/>
  <c r="T453" i="11" s="1"/>
  <c r="AQ493" i="1"/>
  <c r="S453" i="11" s="1"/>
  <c r="AO493" i="1"/>
  <c r="Q453" i="11" s="1"/>
  <c r="AN493" i="1"/>
  <c r="P453" i="11" s="1"/>
  <c r="AM493" i="1"/>
  <c r="O453" i="11" s="1"/>
  <c r="AK493" i="1"/>
  <c r="M453" i="11" s="1"/>
  <c r="AJ493" i="1"/>
  <c r="L453" i="11" s="1"/>
  <c r="AI493" i="1"/>
  <c r="K453" i="11" s="1"/>
  <c r="AG493" i="1"/>
  <c r="I453" i="11" s="1"/>
  <c r="AF493" i="1"/>
  <c r="H453" i="11" s="1"/>
  <c r="AE493" i="1"/>
  <c r="G453" i="11" s="1"/>
  <c r="AC493" i="1"/>
  <c r="E453" i="11" s="1"/>
  <c r="AB493" i="1"/>
  <c r="D453" i="11" s="1"/>
  <c r="AA493" i="1"/>
  <c r="C453" i="11" s="1"/>
  <c r="Y493" i="1"/>
  <c r="X493" i="1"/>
  <c r="W493" i="1"/>
  <c r="U493" i="1"/>
  <c r="T493" i="1"/>
  <c r="S493" i="1"/>
  <c r="Q493" i="1"/>
  <c r="P493" i="1"/>
  <c r="O493" i="1"/>
  <c r="M493" i="1"/>
  <c r="L493" i="1"/>
  <c r="K493" i="1"/>
  <c r="I493" i="1"/>
  <c r="H493" i="1"/>
  <c r="G493" i="1"/>
  <c r="E493" i="1"/>
  <c r="D493" i="1"/>
  <c r="C493" i="1"/>
  <c r="A493" i="1"/>
  <c r="A453" i="11" s="1"/>
  <c r="BP492" i="1"/>
  <c r="BN492" i="1"/>
  <c r="AT452" i="11" s="1"/>
  <c r="BM492" i="1"/>
  <c r="AS452" i="11" s="1"/>
  <c r="BL492" i="1"/>
  <c r="AR452" i="11" s="1"/>
  <c r="BK492" i="1"/>
  <c r="AQ452" i="11" s="1"/>
  <c r="BJ492" i="1"/>
  <c r="AP452" i="11" s="1"/>
  <c r="BI492" i="1"/>
  <c r="AO452" i="11" s="1"/>
  <c r="BH492" i="1"/>
  <c r="AN452" i="11" s="1"/>
  <c r="BG492" i="1"/>
  <c r="AM452" i="11" s="1"/>
  <c r="BF492" i="1"/>
  <c r="AL452" i="11" s="1"/>
  <c r="BE492" i="1"/>
  <c r="AK452" i="11" s="1"/>
  <c r="BD492" i="1"/>
  <c r="AJ452" i="11" s="1"/>
  <c r="BC492" i="1"/>
  <c r="AI452" i="11" s="1"/>
  <c r="BB492" i="1"/>
  <c r="AH452" i="11" s="1"/>
  <c r="BA492" i="1"/>
  <c r="AG452" i="11" s="1"/>
  <c r="AZ492" i="1"/>
  <c r="AF452" i="11" s="1"/>
  <c r="AU492" i="1"/>
  <c r="AS492" i="1"/>
  <c r="U452" i="11" s="1"/>
  <c r="AR492" i="1"/>
  <c r="T452" i="11" s="1"/>
  <c r="AQ492" i="1"/>
  <c r="S452" i="11" s="1"/>
  <c r="AO492" i="1"/>
  <c r="Q452" i="11" s="1"/>
  <c r="AN492" i="1"/>
  <c r="P452" i="11" s="1"/>
  <c r="AM492" i="1"/>
  <c r="O452" i="11" s="1"/>
  <c r="AK492" i="1"/>
  <c r="M452" i="11" s="1"/>
  <c r="AJ492" i="1"/>
  <c r="L452" i="11" s="1"/>
  <c r="AI492" i="1"/>
  <c r="K452" i="11" s="1"/>
  <c r="AG492" i="1"/>
  <c r="I452" i="11" s="1"/>
  <c r="AF492" i="1"/>
  <c r="H452" i="11" s="1"/>
  <c r="AE492" i="1"/>
  <c r="G452" i="11" s="1"/>
  <c r="AC492" i="1"/>
  <c r="E452" i="11" s="1"/>
  <c r="AB492" i="1"/>
  <c r="D452" i="11" s="1"/>
  <c r="AA492" i="1"/>
  <c r="C452" i="11" s="1"/>
  <c r="Y492" i="1"/>
  <c r="X492" i="1"/>
  <c r="W492" i="1"/>
  <c r="U492" i="1"/>
  <c r="T492" i="1"/>
  <c r="S492" i="1"/>
  <c r="Q492" i="1"/>
  <c r="P492" i="1"/>
  <c r="O492" i="1"/>
  <c r="M492" i="1"/>
  <c r="L492" i="1"/>
  <c r="K492" i="1"/>
  <c r="I492" i="1"/>
  <c r="H492" i="1"/>
  <c r="G492" i="1"/>
  <c r="E492" i="1"/>
  <c r="D492" i="1"/>
  <c r="C492" i="1"/>
  <c r="A492" i="1"/>
  <c r="A452" i="11" s="1"/>
  <c r="BP491" i="1"/>
  <c r="BN491" i="1"/>
  <c r="AT451" i="11" s="1"/>
  <c r="BM491" i="1"/>
  <c r="AS451" i="11" s="1"/>
  <c r="BL491" i="1"/>
  <c r="AR451" i="11" s="1"/>
  <c r="BK491" i="1"/>
  <c r="AQ451" i="11" s="1"/>
  <c r="BJ491" i="1"/>
  <c r="AP451" i="11" s="1"/>
  <c r="BI491" i="1"/>
  <c r="BH491" i="1"/>
  <c r="BG491" i="1"/>
  <c r="BF491" i="1"/>
  <c r="BE491" i="1"/>
  <c r="BD491" i="1"/>
  <c r="BC491" i="1"/>
  <c r="AI451" i="11" s="1"/>
  <c r="BB491" i="1"/>
  <c r="AH451" i="11" s="1"/>
  <c r="BA491" i="1"/>
  <c r="AG451" i="11" s="1"/>
  <c r="AZ491" i="1"/>
  <c r="AF451" i="11" s="1"/>
  <c r="AU491" i="1"/>
  <c r="W451" i="11" s="1"/>
  <c r="AS491" i="1"/>
  <c r="U451" i="11" s="1"/>
  <c r="AR491" i="1"/>
  <c r="T451" i="11" s="1"/>
  <c r="AQ491" i="1"/>
  <c r="S451" i="11" s="1"/>
  <c r="AO491" i="1"/>
  <c r="Q451" i="11" s="1"/>
  <c r="AN491" i="1"/>
  <c r="P451" i="11" s="1"/>
  <c r="AM491" i="1"/>
  <c r="O451" i="11" s="1"/>
  <c r="AK491" i="1"/>
  <c r="M451" i="11" s="1"/>
  <c r="AJ491" i="1"/>
  <c r="L451" i="11" s="1"/>
  <c r="AI491" i="1"/>
  <c r="K451" i="11" s="1"/>
  <c r="AG491" i="1"/>
  <c r="I451" i="11" s="1"/>
  <c r="AF491" i="1"/>
  <c r="H451" i="11" s="1"/>
  <c r="AE491" i="1"/>
  <c r="G451" i="11" s="1"/>
  <c r="AC491" i="1"/>
  <c r="E451" i="11" s="1"/>
  <c r="AB491" i="1"/>
  <c r="D451" i="11" s="1"/>
  <c r="AA491" i="1"/>
  <c r="C451" i="11" s="1"/>
  <c r="Y491" i="1"/>
  <c r="X491" i="1"/>
  <c r="W491" i="1"/>
  <c r="U491" i="1"/>
  <c r="T491" i="1"/>
  <c r="S491" i="1"/>
  <c r="Q491" i="1"/>
  <c r="P491" i="1"/>
  <c r="O491" i="1"/>
  <c r="M491" i="1"/>
  <c r="L491" i="1"/>
  <c r="K491" i="1"/>
  <c r="I491" i="1"/>
  <c r="H491" i="1"/>
  <c r="G491" i="1"/>
  <c r="E491" i="1"/>
  <c r="D491" i="1"/>
  <c r="C491" i="1"/>
  <c r="A491" i="1"/>
  <c r="A451" i="11" s="1"/>
  <c r="BP490" i="1"/>
  <c r="BN490" i="1"/>
  <c r="AT450" i="11" s="1"/>
  <c r="BM490" i="1"/>
  <c r="AS450" i="11" s="1"/>
  <c r="BL490" i="1"/>
  <c r="AR450" i="11" s="1"/>
  <c r="BK490" i="1"/>
  <c r="AQ450" i="11" s="1"/>
  <c r="BJ490" i="1"/>
  <c r="AP450" i="11" s="1"/>
  <c r="BI490" i="1"/>
  <c r="AO450" i="11" s="1"/>
  <c r="BH490" i="1"/>
  <c r="AN450" i="11" s="1"/>
  <c r="BG490" i="1"/>
  <c r="AM450" i="11" s="1"/>
  <c r="BF490" i="1"/>
  <c r="AL450" i="11" s="1"/>
  <c r="BE490" i="1"/>
  <c r="AK450" i="11" s="1"/>
  <c r="BD490" i="1"/>
  <c r="AJ450" i="11" s="1"/>
  <c r="BC490" i="1"/>
  <c r="AI450" i="11" s="1"/>
  <c r="BB490" i="1"/>
  <c r="AH450" i="11" s="1"/>
  <c r="BA490" i="1"/>
  <c r="AG450" i="11" s="1"/>
  <c r="AZ490" i="1"/>
  <c r="AF450" i="11" s="1"/>
  <c r="AU490" i="1"/>
  <c r="AS490" i="1"/>
  <c r="U450" i="11" s="1"/>
  <c r="AR490" i="1"/>
  <c r="T450" i="11" s="1"/>
  <c r="AQ490" i="1"/>
  <c r="S450" i="11" s="1"/>
  <c r="AO490" i="1"/>
  <c r="Q450" i="11" s="1"/>
  <c r="AN490" i="1"/>
  <c r="P450" i="11" s="1"/>
  <c r="AM490" i="1"/>
  <c r="O450" i="11" s="1"/>
  <c r="AK490" i="1"/>
  <c r="M450" i="11" s="1"/>
  <c r="AJ490" i="1"/>
  <c r="L450" i="11" s="1"/>
  <c r="AI490" i="1"/>
  <c r="K450" i="11" s="1"/>
  <c r="AH490" i="1"/>
  <c r="J450" i="11" s="1"/>
  <c r="AG490" i="1"/>
  <c r="I450" i="11" s="1"/>
  <c r="AF490" i="1"/>
  <c r="H450" i="11" s="1"/>
  <c r="AE490" i="1"/>
  <c r="G450" i="11" s="1"/>
  <c r="AD490" i="1"/>
  <c r="F450" i="11" s="1"/>
  <c r="AC490" i="1"/>
  <c r="E450" i="11" s="1"/>
  <c r="AB490" i="1"/>
  <c r="D450" i="11" s="1"/>
  <c r="AA490" i="1"/>
  <c r="C450" i="11" s="1"/>
  <c r="Z490" i="1"/>
  <c r="Y490" i="1"/>
  <c r="X490" i="1"/>
  <c r="W490" i="1"/>
  <c r="V490" i="1"/>
  <c r="U490" i="1"/>
  <c r="T490" i="1"/>
  <c r="S490" i="1"/>
  <c r="R490" i="1"/>
  <c r="Q490" i="1"/>
  <c r="P490" i="1"/>
  <c r="O490" i="1"/>
  <c r="N490" i="1"/>
  <c r="M490" i="1"/>
  <c r="L490" i="1"/>
  <c r="K490" i="1"/>
  <c r="J490" i="1"/>
  <c r="I490" i="1"/>
  <c r="H490" i="1"/>
  <c r="G490" i="1"/>
  <c r="F490" i="1"/>
  <c r="E490" i="1"/>
  <c r="D490" i="1"/>
  <c r="C490" i="1"/>
  <c r="A490" i="1"/>
  <c r="A450" i="11" s="1"/>
  <c r="BP489" i="1"/>
  <c r="BN489" i="1"/>
  <c r="AT449" i="11" s="1"/>
  <c r="BM489" i="1"/>
  <c r="AS449" i="11" s="1"/>
  <c r="BL489" i="1"/>
  <c r="AR449" i="11" s="1"/>
  <c r="BK489" i="1"/>
  <c r="AQ449" i="11" s="1"/>
  <c r="BJ489" i="1"/>
  <c r="AP449" i="11" s="1"/>
  <c r="BI489" i="1"/>
  <c r="AO449" i="11" s="1"/>
  <c r="BH489" i="1"/>
  <c r="AN449" i="11" s="1"/>
  <c r="BG489" i="1"/>
  <c r="AM449" i="11" s="1"/>
  <c r="BF489" i="1"/>
  <c r="AL449" i="11" s="1"/>
  <c r="BE489" i="1"/>
  <c r="AK449" i="11" s="1"/>
  <c r="BD489" i="1"/>
  <c r="AJ449" i="11" s="1"/>
  <c r="BC489" i="1"/>
  <c r="AI449" i="11" s="1"/>
  <c r="BB489" i="1"/>
  <c r="AH449" i="11" s="1"/>
  <c r="BA489" i="1"/>
  <c r="AG449" i="11" s="1"/>
  <c r="AZ489" i="1"/>
  <c r="AF449" i="11" s="1"/>
  <c r="AU489" i="1"/>
  <c r="AS489" i="1"/>
  <c r="U449" i="11" s="1"/>
  <c r="AR489" i="1"/>
  <c r="T449" i="11" s="1"/>
  <c r="AQ489" i="1"/>
  <c r="S449" i="11" s="1"/>
  <c r="AO489" i="1"/>
  <c r="Q449" i="11" s="1"/>
  <c r="AN489" i="1"/>
  <c r="P449" i="11" s="1"/>
  <c r="AM489" i="1"/>
  <c r="O449" i="11" s="1"/>
  <c r="AK489" i="1"/>
  <c r="M449" i="11" s="1"/>
  <c r="AJ489" i="1"/>
  <c r="L449" i="11" s="1"/>
  <c r="AI489" i="1"/>
  <c r="K449" i="11" s="1"/>
  <c r="AG489" i="1"/>
  <c r="I449" i="11" s="1"/>
  <c r="AF489" i="1"/>
  <c r="H449" i="11" s="1"/>
  <c r="AE489" i="1"/>
  <c r="G449" i="11" s="1"/>
  <c r="AC489" i="1"/>
  <c r="E449" i="11" s="1"/>
  <c r="AB489" i="1"/>
  <c r="D449" i="11" s="1"/>
  <c r="AA489" i="1"/>
  <c r="C449" i="11" s="1"/>
  <c r="Y489" i="1"/>
  <c r="X489" i="1"/>
  <c r="W489" i="1"/>
  <c r="U489" i="1"/>
  <c r="T489" i="1"/>
  <c r="S489" i="1"/>
  <c r="Q489" i="1"/>
  <c r="P489" i="1"/>
  <c r="O489" i="1"/>
  <c r="M489" i="1"/>
  <c r="L489" i="1"/>
  <c r="K489" i="1"/>
  <c r="I489" i="1"/>
  <c r="H489" i="1"/>
  <c r="G489" i="1"/>
  <c r="E489" i="1"/>
  <c r="D489" i="1"/>
  <c r="C489" i="1"/>
  <c r="A489" i="1"/>
  <c r="A449" i="11" s="1"/>
  <c r="BP488" i="1"/>
  <c r="BN488" i="1"/>
  <c r="AT448" i="11" s="1"/>
  <c r="BM488" i="1"/>
  <c r="AS448" i="11" s="1"/>
  <c r="BL488" i="1"/>
  <c r="AR448" i="11" s="1"/>
  <c r="BK488" i="1"/>
  <c r="AQ448" i="11" s="1"/>
  <c r="BJ488" i="1"/>
  <c r="AP448" i="11" s="1"/>
  <c r="BI488" i="1"/>
  <c r="AO448" i="11" s="1"/>
  <c r="BH488" i="1"/>
  <c r="AN448" i="11" s="1"/>
  <c r="BG488" i="1"/>
  <c r="AM448" i="11" s="1"/>
  <c r="BF488" i="1"/>
  <c r="AL448" i="11" s="1"/>
  <c r="BE488" i="1"/>
  <c r="AK448" i="11" s="1"/>
  <c r="BD488" i="1"/>
  <c r="AJ448" i="11" s="1"/>
  <c r="BC488" i="1"/>
  <c r="AI448" i="11" s="1"/>
  <c r="BB488" i="1"/>
  <c r="AH448" i="11" s="1"/>
  <c r="BA488" i="1"/>
  <c r="AG448" i="11" s="1"/>
  <c r="AZ488" i="1"/>
  <c r="AF448" i="11" s="1"/>
  <c r="AU488" i="1"/>
  <c r="AS488" i="1"/>
  <c r="U448" i="11" s="1"/>
  <c r="AR488" i="1"/>
  <c r="T448" i="11" s="1"/>
  <c r="AQ488" i="1"/>
  <c r="S448" i="11" s="1"/>
  <c r="AO488" i="1"/>
  <c r="Q448" i="11" s="1"/>
  <c r="AN488" i="1"/>
  <c r="P448" i="11" s="1"/>
  <c r="AM488" i="1"/>
  <c r="O448" i="11" s="1"/>
  <c r="AK488" i="1"/>
  <c r="M448" i="11" s="1"/>
  <c r="AJ488" i="1"/>
  <c r="L448" i="11" s="1"/>
  <c r="AI488" i="1"/>
  <c r="K448" i="11" s="1"/>
  <c r="AG488" i="1"/>
  <c r="I448" i="11" s="1"/>
  <c r="AF488" i="1"/>
  <c r="H448" i="11" s="1"/>
  <c r="AE488" i="1"/>
  <c r="G448" i="11" s="1"/>
  <c r="AC488" i="1"/>
  <c r="E448" i="11" s="1"/>
  <c r="AB488" i="1"/>
  <c r="D448" i="11" s="1"/>
  <c r="AA488" i="1"/>
  <c r="C448" i="11" s="1"/>
  <c r="Y488" i="1"/>
  <c r="X488" i="1"/>
  <c r="W488" i="1"/>
  <c r="U488" i="1"/>
  <c r="T488" i="1"/>
  <c r="S488" i="1"/>
  <c r="Q488" i="1"/>
  <c r="P488" i="1"/>
  <c r="O488" i="1"/>
  <c r="M488" i="1"/>
  <c r="L488" i="1"/>
  <c r="K488" i="1"/>
  <c r="I488" i="1"/>
  <c r="H488" i="1"/>
  <c r="G488" i="1"/>
  <c r="E488" i="1"/>
  <c r="D488" i="1"/>
  <c r="C488" i="1"/>
  <c r="A488" i="1"/>
  <c r="A448" i="11" s="1"/>
  <c r="BP487" i="1"/>
  <c r="BN487" i="1"/>
  <c r="AT447" i="11" s="1"/>
  <c r="BM487" i="1"/>
  <c r="AS447" i="11" s="1"/>
  <c r="BL487" i="1"/>
  <c r="AR447" i="11" s="1"/>
  <c r="BK487" i="1"/>
  <c r="AQ447" i="11" s="1"/>
  <c r="BJ487" i="1"/>
  <c r="AP447" i="11" s="1"/>
  <c r="BI487" i="1"/>
  <c r="AO447" i="11" s="1"/>
  <c r="BH487" i="1"/>
  <c r="AN447" i="11" s="1"/>
  <c r="BG487" i="1"/>
  <c r="AM447" i="11" s="1"/>
  <c r="BF487" i="1"/>
  <c r="AL447" i="11" s="1"/>
  <c r="BE487" i="1"/>
  <c r="AK447" i="11" s="1"/>
  <c r="BD487" i="1"/>
  <c r="AJ447" i="11" s="1"/>
  <c r="BC487" i="1"/>
  <c r="AI447" i="11" s="1"/>
  <c r="BB487" i="1"/>
  <c r="AH447" i="11" s="1"/>
  <c r="BA487" i="1"/>
  <c r="AG447" i="11" s="1"/>
  <c r="AZ487" i="1"/>
  <c r="AF447" i="11" s="1"/>
  <c r="AU487" i="1"/>
  <c r="AS487" i="1"/>
  <c r="U447" i="11" s="1"/>
  <c r="AR487" i="1"/>
  <c r="T447" i="11" s="1"/>
  <c r="AQ487" i="1"/>
  <c r="S447" i="11" s="1"/>
  <c r="AO487" i="1"/>
  <c r="Q447" i="11" s="1"/>
  <c r="AN487" i="1"/>
  <c r="P447" i="11" s="1"/>
  <c r="AM487" i="1"/>
  <c r="O447" i="11" s="1"/>
  <c r="AK487" i="1"/>
  <c r="M447" i="11" s="1"/>
  <c r="AJ487" i="1"/>
  <c r="L447" i="11" s="1"/>
  <c r="AI487" i="1"/>
  <c r="K447" i="11" s="1"/>
  <c r="AG487" i="1"/>
  <c r="I447" i="11" s="1"/>
  <c r="AF487" i="1"/>
  <c r="H447" i="11" s="1"/>
  <c r="AE487" i="1"/>
  <c r="G447" i="11" s="1"/>
  <c r="AC487" i="1"/>
  <c r="E447" i="11" s="1"/>
  <c r="AB487" i="1"/>
  <c r="D447" i="11" s="1"/>
  <c r="AA487" i="1"/>
  <c r="C447" i="11" s="1"/>
  <c r="Y487" i="1"/>
  <c r="X487" i="1"/>
  <c r="W487" i="1"/>
  <c r="U487" i="1"/>
  <c r="T487" i="1"/>
  <c r="S487" i="1"/>
  <c r="Q487" i="1"/>
  <c r="P487" i="1"/>
  <c r="O487" i="1"/>
  <c r="M487" i="1"/>
  <c r="L487" i="1"/>
  <c r="K487" i="1"/>
  <c r="I487" i="1"/>
  <c r="H487" i="1"/>
  <c r="G487" i="1"/>
  <c r="E487" i="1"/>
  <c r="D487" i="1"/>
  <c r="C487" i="1"/>
  <c r="A487" i="1"/>
  <c r="A447" i="11" s="1"/>
  <c r="BP486" i="1"/>
  <c r="BN486" i="1"/>
  <c r="AT446" i="11" s="1"/>
  <c r="BM486" i="1"/>
  <c r="AS446" i="11" s="1"/>
  <c r="BL486" i="1"/>
  <c r="AR446" i="11" s="1"/>
  <c r="BK486" i="1"/>
  <c r="AQ446" i="11" s="1"/>
  <c r="BJ486" i="1"/>
  <c r="AP446" i="11" s="1"/>
  <c r="BI486" i="1"/>
  <c r="AO446" i="11" s="1"/>
  <c r="BH486" i="1"/>
  <c r="AN446" i="11" s="1"/>
  <c r="BG486" i="1"/>
  <c r="AM446" i="11" s="1"/>
  <c r="BF486" i="1"/>
  <c r="AL446" i="11" s="1"/>
  <c r="BE486" i="1"/>
  <c r="AK446" i="11" s="1"/>
  <c r="BD486" i="1"/>
  <c r="AJ446" i="11" s="1"/>
  <c r="BC486" i="1"/>
  <c r="AI446" i="11" s="1"/>
  <c r="BB486" i="1"/>
  <c r="AH446" i="11" s="1"/>
  <c r="BA486" i="1"/>
  <c r="AG446" i="11" s="1"/>
  <c r="AZ486" i="1"/>
  <c r="AF446" i="11" s="1"/>
  <c r="AU486" i="1"/>
  <c r="AS486" i="1"/>
  <c r="U446" i="11" s="1"/>
  <c r="AR486" i="1"/>
  <c r="T446" i="11" s="1"/>
  <c r="AQ486" i="1"/>
  <c r="S446" i="11" s="1"/>
  <c r="AO486" i="1"/>
  <c r="Q446" i="11" s="1"/>
  <c r="AN486" i="1"/>
  <c r="P446" i="11" s="1"/>
  <c r="AM486" i="1"/>
  <c r="O446" i="11" s="1"/>
  <c r="AK486" i="1"/>
  <c r="M446" i="11" s="1"/>
  <c r="AJ486" i="1"/>
  <c r="L446" i="11" s="1"/>
  <c r="AI486" i="1"/>
  <c r="K446" i="11" s="1"/>
  <c r="AG486" i="1"/>
  <c r="I446" i="11" s="1"/>
  <c r="AF486" i="1"/>
  <c r="H446" i="11" s="1"/>
  <c r="AE486" i="1"/>
  <c r="G446" i="11" s="1"/>
  <c r="AC486" i="1"/>
  <c r="E446" i="11" s="1"/>
  <c r="AB486" i="1"/>
  <c r="D446" i="11" s="1"/>
  <c r="AA486" i="1"/>
  <c r="C446" i="11" s="1"/>
  <c r="Y486" i="1"/>
  <c r="X486" i="1"/>
  <c r="W486" i="1"/>
  <c r="U486" i="1"/>
  <c r="T486" i="1"/>
  <c r="S486" i="1"/>
  <c r="Q486" i="1"/>
  <c r="P486" i="1"/>
  <c r="O486" i="1"/>
  <c r="M486" i="1"/>
  <c r="L486" i="1"/>
  <c r="K486" i="1"/>
  <c r="I486" i="1"/>
  <c r="H486" i="1"/>
  <c r="G486" i="1"/>
  <c r="E486" i="1"/>
  <c r="D486" i="1"/>
  <c r="C486" i="1"/>
  <c r="A486" i="1"/>
  <c r="A446" i="11" s="1"/>
  <c r="BP485" i="1"/>
  <c r="BN485" i="1"/>
  <c r="AT445" i="11" s="1"/>
  <c r="BM485" i="1"/>
  <c r="AS445" i="11" s="1"/>
  <c r="BL485" i="1"/>
  <c r="AR445" i="11" s="1"/>
  <c r="BK485" i="1"/>
  <c r="AQ445" i="11" s="1"/>
  <c r="BJ485" i="1"/>
  <c r="AP445" i="11" s="1"/>
  <c r="BI485" i="1"/>
  <c r="AO445" i="11" s="1"/>
  <c r="BH485" i="1"/>
  <c r="AN445" i="11" s="1"/>
  <c r="BG485" i="1"/>
  <c r="AM445" i="11" s="1"/>
  <c r="BF485" i="1"/>
  <c r="AL445" i="11" s="1"/>
  <c r="BE485" i="1"/>
  <c r="AK445" i="11" s="1"/>
  <c r="BD485" i="1"/>
  <c r="AJ445" i="11" s="1"/>
  <c r="BC485" i="1"/>
  <c r="AI445" i="11" s="1"/>
  <c r="BB485" i="1"/>
  <c r="AH445" i="11" s="1"/>
  <c r="BA485" i="1"/>
  <c r="AG445" i="11" s="1"/>
  <c r="AZ485" i="1"/>
  <c r="AF445" i="11" s="1"/>
  <c r="AU485" i="1"/>
  <c r="AS485" i="1"/>
  <c r="U445" i="11" s="1"/>
  <c r="AR485" i="1"/>
  <c r="T445" i="11" s="1"/>
  <c r="AQ485" i="1"/>
  <c r="S445" i="11" s="1"/>
  <c r="AO485" i="1"/>
  <c r="Q445" i="11" s="1"/>
  <c r="AN485" i="1"/>
  <c r="P445" i="11" s="1"/>
  <c r="AM485" i="1"/>
  <c r="O445" i="11" s="1"/>
  <c r="AK485" i="1"/>
  <c r="M445" i="11" s="1"/>
  <c r="AJ485" i="1"/>
  <c r="L445" i="11" s="1"/>
  <c r="AI485" i="1"/>
  <c r="K445" i="11" s="1"/>
  <c r="AG485" i="1"/>
  <c r="I445" i="11" s="1"/>
  <c r="AF485" i="1"/>
  <c r="H445" i="11" s="1"/>
  <c r="AE485" i="1"/>
  <c r="G445" i="11" s="1"/>
  <c r="AC485" i="1"/>
  <c r="E445" i="11" s="1"/>
  <c r="AB485" i="1"/>
  <c r="D445" i="11" s="1"/>
  <c r="AA485" i="1"/>
  <c r="C445" i="11" s="1"/>
  <c r="Y485" i="1"/>
  <c r="X485" i="1"/>
  <c r="W485" i="1"/>
  <c r="U485" i="1"/>
  <c r="T485" i="1"/>
  <c r="S485" i="1"/>
  <c r="Q485" i="1"/>
  <c r="P485" i="1"/>
  <c r="O485" i="1"/>
  <c r="M485" i="1"/>
  <c r="L485" i="1"/>
  <c r="K485" i="1"/>
  <c r="I485" i="1"/>
  <c r="H485" i="1"/>
  <c r="G485" i="1"/>
  <c r="E485" i="1"/>
  <c r="D485" i="1"/>
  <c r="C485" i="1"/>
  <c r="A485" i="1"/>
  <c r="A445" i="11" s="1"/>
  <c r="BS484" i="1"/>
  <c r="BR484" i="1"/>
  <c r="BQ484" i="1"/>
  <c r="BN484" i="1"/>
  <c r="AT444" i="11" s="1"/>
  <c r="BM484" i="1"/>
  <c r="AS444" i="11" s="1"/>
  <c r="BL484" i="1"/>
  <c r="AR444" i="11" s="1"/>
  <c r="BK484" i="1"/>
  <c r="AQ444" i="11" s="1"/>
  <c r="BJ484" i="1"/>
  <c r="AP444" i="11" s="1"/>
  <c r="BI484" i="1"/>
  <c r="BH484" i="1"/>
  <c r="BG484" i="1"/>
  <c r="BF484" i="1"/>
  <c r="BE484" i="1"/>
  <c r="BD484" i="1"/>
  <c r="BC484" i="1"/>
  <c r="AI444" i="11" s="1"/>
  <c r="BB484" i="1"/>
  <c r="AH444" i="11" s="1"/>
  <c r="BA484" i="1"/>
  <c r="AG444" i="11" s="1"/>
  <c r="AZ484" i="1"/>
  <c r="AF444" i="11" s="1"/>
  <c r="AX484" i="1"/>
  <c r="AW484" i="1"/>
  <c r="AV484" i="1"/>
  <c r="AU484" i="1"/>
  <c r="W444" i="11" s="1"/>
  <c r="Z444" i="11" s="1"/>
  <c r="AS484" i="1"/>
  <c r="U444" i="11" s="1"/>
  <c r="AR484" i="1"/>
  <c r="T444" i="11" s="1"/>
  <c r="AQ484" i="1"/>
  <c r="S444" i="11" s="1"/>
  <c r="AO484" i="1"/>
  <c r="Q444" i="11" s="1"/>
  <c r="AN484" i="1"/>
  <c r="P444" i="11" s="1"/>
  <c r="AM484" i="1"/>
  <c r="O444" i="11" s="1"/>
  <c r="AK484" i="1"/>
  <c r="M444" i="11" s="1"/>
  <c r="AJ484" i="1"/>
  <c r="L444" i="11" s="1"/>
  <c r="AI484" i="1"/>
  <c r="K444" i="11" s="1"/>
  <c r="AG484" i="1"/>
  <c r="I444" i="11" s="1"/>
  <c r="AF484" i="1"/>
  <c r="H444" i="11" s="1"/>
  <c r="AE484" i="1"/>
  <c r="G444" i="11" s="1"/>
  <c r="AC484" i="1"/>
  <c r="E444" i="11" s="1"/>
  <c r="AB484" i="1"/>
  <c r="D444" i="11" s="1"/>
  <c r="AA484" i="1"/>
  <c r="C444" i="11" s="1"/>
  <c r="Y484" i="1"/>
  <c r="X484" i="1"/>
  <c r="W484" i="1"/>
  <c r="U484" i="1"/>
  <c r="T484" i="1"/>
  <c r="S484" i="1"/>
  <c r="Q484" i="1"/>
  <c r="P484" i="1"/>
  <c r="O484" i="1"/>
  <c r="M484" i="1"/>
  <c r="L484" i="1"/>
  <c r="K484" i="1"/>
  <c r="I484" i="1"/>
  <c r="H484" i="1"/>
  <c r="G484" i="1"/>
  <c r="E484" i="1"/>
  <c r="D484" i="1"/>
  <c r="C484" i="1"/>
  <c r="A484" i="1"/>
  <c r="A444" i="11" s="1"/>
  <c r="BP483" i="1"/>
  <c r="BN483" i="1"/>
  <c r="AT443" i="11" s="1"/>
  <c r="BM483" i="1"/>
  <c r="AS443" i="11" s="1"/>
  <c r="BL483" i="1"/>
  <c r="AR443" i="11" s="1"/>
  <c r="BK483" i="1"/>
  <c r="AQ443" i="11" s="1"/>
  <c r="BJ483" i="1"/>
  <c r="AP443" i="11" s="1"/>
  <c r="BI483" i="1"/>
  <c r="AO443" i="11" s="1"/>
  <c r="BH483" i="1"/>
  <c r="AN443" i="11" s="1"/>
  <c r="BG483" i="1"/>
  <c r="AM443" i="11" s="1"/>
  <c r="BF483" i="1"/>
  <c r="AL443" i="11" s="1"/>
  <c r="BE483" i="1"/>
  <c r="AK443" i="11" s="1"/>
  <c r="BD483" i="1"/>
  <c r="AJ443" i="11" s="1"/>
  <c r="BC483" i="1"/>
  <c r="AI443" i="11" s="1"/>
  <c r="BB483" i="1"/>
  <c r="AH443" i="11" s="1"/>
  <c r="BA483" i="1"/>
  <c r="AG443" i="11" s="1"/>
  <c r="AZ483" i="1"/>
  <c r="AF443" i="11" s="1"/>
  <c r="AU483" i="1"/>
  <c r="AS483" i="1"/>
  <c r="U443" i="11" s="1"/>
  <c r="AR483" i="1"/>
  <c r="T443" i="11" s="1"/>
  <c r="AQ483" i="1"/>
  <c r="S443" i="11" s="1"/>
  <c r="AO483" i="1"/>
  <c r="Q443" i="11" s="1"/>
  <c r="AN483" i="1"/>
  <c r="P443" i="11" s="1"/>
  <c r="AM483" i="1"/>
  <c r="O443" i="11" s="1"/>
  <c r="AK483" i="1"/>
  <c r="M443" i="11" s="1"/>
  <c r="AJ483" i="1"/>
  <c r="L443" i="11" s="1"/>
  <c r="AI483" i="1"/>
  <c r="K443" i="11" s="1"/>
  <c r="AG483" i="1"/>
  <c r="I443" i="11" s="1"/>
  <c r="AF483" i="1"/>
  <c r="H443" i="11" s="1"/>
  <c r="AE483" i="1"/>
  <c r="G443" i="11" s="1"/>
  <c r="AC483" i="1"/>
  <c r="E443" i="11" s="1"/>
  <c r="AB483" i="1"/>
  <c r="D443" i="11" s="1"/>
  <c r="AA483" i="1"/>
  <c r="C443" i="11" s="1"/>
  <c r="Y483" i="1"/>
  <c r="X483" i="1"/>
  <c r="W483" i="1"/>
  <c r="U483" i="1"/>
  <c r="T483" i="1"/>
  <c r="S483" i="1"/>
  <c r="Q483" i="1"/>
  <c r="P483" i="1"/>
  <c r="O483" i="1"/>
  <c r="M483" i="1"/>
  <c r="L483" i="1"/>
  <c r="K483" i="1"/>
  <c r="I483" i="1"/>
  <c r="H483" i="1"/>
  <c r="G483" i="1"/>
  <c r="E483" i="1"/>
  <c r="D483" i="1"/>
  <c r="C483" i="1"/>
  <c r="A483" i="1"/>
  <c r="A443" i="11" s="1"/>
  <c r="BP482" i="1"/>
  <c r="BN482" i="1"/>
  <c r="AT442" i="11" s="1"/>
  <c r="BM482" i="1"/>
  <c r="AS442" i="11" s="1"/>
  <c r="BL482" i="1"/>
  <c r="AR442" i="11" s="1"/>
  <c r="BK482" i="1"/>
  <c r="AQ442" i="11" s="1"/>
  <c r="BJ482" i="1"/>
  <c r="AP442" i="11" s="1"/>
  <c r="BI482" i="1"/>
  <c r="AO442" i="11" s="1"/>
  <c r="BH482" i="1"/>
  <c r="AN442" i="11" s="1"/>
  <c r="BG482" i="1"/>
  <c r="AM442" i="11" s="1"/>
  <c r="BF482" i="1"/>
  <c r="AL442" i="11" s="1"/>
  <c r="BE482" i="1"/>
  <c r="AK442" i="11" s="1"/>
  <c r="BD482" i="1"/>
  <c r="AJ442" i="11" s="1"/>
  <c r="BC482" i="1"/>
  <c r="AI442" i="11" s="1"/>
  <c r="BB482" i="1"/>
  <c r="AH442" i="11" s="1"/>
  <c r="BA482" i="1"/>
  <c r="AG442" i="11" s="1"/>
  <c r="AZ482" i="1"/>
  <c r="AF442" i="11" s="1"/>
  <c r="AU482" i="1"/>
  <c r="AS482" i="1"/>
  <c r="U442" i="11" s="1"/>
  <c r="AR482" i="1"/>
  <c r="T442" i="11" s="1"/>
  <c r="AQ482" i="1"/>
  <c r="S442" i="11" s="1"/>
  <c r="AO482" i="1"/>
  <c r="Q442" i="11" s="1"/>
  <c r="AN482" i="1"/>
  <c r="P442" i="11" s="1"/>
  <c r="AM482" i="1"/>
  <c r="O442" i="11" s="1"/>
  <c r="AL482" i="1"/>
  <c r="N442" i="11" s="1"/>
  <c r="AK482" i="1"/>
  <c r="M442" i="11" s="1"/>
  <c r="AJ482" i="1"/>
  <c r="L442" i="11" s="1"/>
  <c r="AI482" i="1"/>
  <c r="K442" i="11" s="1"/>
  <c r="AH482" i="1"/>
  <c r="J442" i="11" s="1"/>
  <c r="AG482" i="1"/>
  <c r="I442" i="11" s="1"/>
  <c r="AF482" i="1"/>
  <c r="H442" i="11" s="1"/>
  <c r="AE482" i="1"/>
  <c r="G442" i="11" s="1"/>
  <c r="AD482" i="1"/>
  <c r="F442" i="11" s="1"/>
  <c r="AC482" i="1"/>
  <c r="E442" i="11" s="1"/>
  <c r="AB482" i="1"/>
  <c r="D442" i="11" s="1"/>
  <c r="AA482" i="1"/>
  <c r="C442" i="11" s="1"/>
  <c r="Z482" i="1"/>
  <c r="Y482" i="1"/>
  <c r="X482" i="1"/>
  <c r="W482" i="1"/>
  <c r="V482" i="1"/>
  <c r="U482" i="1"/>
  <c r="T482" i="1"/>
  <c r="S482" i="1"/>
  <c r="R482" i="1"/>
  <c r="Q482" i="1"/>
  <c r="P482" i="1"/>
  <c r="O482" i="1"/>
  <c r="N482" i="1"/>
  <c r="M482" i="1"/>
  <c r="L482" i="1"/>
  <c r="K482" i="1"/>
  <c r="J482" i="1"/>
  <c r="I482" i="1"/>
  <c r="H482" i="1"/>
  <c r="G482" i="1"/>
  <c r="F482" i="1"/>
  <c r="E482" i="1"/>
  <c r="D482" i="1"/>
  <c r="C482" i="1"/>
  <c r="A482" i="1"/>
  <c r="A442" i="11" s="1"/>
  <c r="BP481" i="1"/>
  <c r="BN481" i="1"/>
  <c r="AT441" i="11" s="1"/>
  <c r="BM481" i="1"/>
  <c r="AS441" i="11" s="1"/>
  <c r="BL481" i="1"/>
  <c r="AR441" i="11" s="1"/>
  <c r="BK481" i="1"/>
  <c r="AQ441" i="11" s="1"/>
  <c r="BJ481" i="1"/>
  <c r="AP441" i="11" s="1"/>
  <c r="BI481" i="1"/>
  <c r="AO441" i="11" s="1"/>
  <c r="BH481" i="1"/>
  <c r="AN441" i="11" s="1"/>
  <c r="BG481" i="1"/>
  <c r="AM441" i="11" s="1"/>
  <c r="BF481" i="1"/>
  <c r="AL441" i="11" s="1"/>
  <c r="BE481" i="1"/>
  <c r="AK441" i="11" s="1"/>
  <c r="BD481" i="1"/>
  <c r="AJ441" i="11" s="1"/>
  <c r="BC481" i="1"/>
  <c r="AI441" i="11" s="1"/>
  <c r="BB481" i="1"/>
  <c r="AH441" i="11" s="1"/>
  <c r="BA481" i="1"/>
  <c r="AG441" i="11" s="1"/>
  <c r="AZ481" i="1"/>
  <c r="AF441" i="11" s="1"/>
  <c r="AU481" i="1"/>
  <c r="AS481" i="1"/>
  <c r="U441" i="11" s="1"/>
  <c r="AR481" i="1"/>
  <c r="T441" i="11" s="1"/>
  <c r="AQ481" i="1"/>
  <c r="S441" i="11" s="1"/>
  <c r="AO481" i="1"/>
  <c r="Q441" i="11" s="1"/>
  <c r="AN481" i="1"/>
  <c r="P441" i="11" s="1"/>
  <c r="AM481" i="1"/>
  <c r="O441" i="11" s="1"/>
  <c r="AK481" i="1"/>
  <c r="M441" i="11" s="1"/>
  <c r="AJ481" i="1"/>
  <c r="L441" i="11" s="1"/>
  <c r="AI481" i="1"/>
  <c r="K441" i="11" s="1"/>
  <c r="AG481" i="1"/>
  <c r="I441" i="11" s="1"/>
  <c r="AF481" i="1"/>
  <c r="H441" i="11" s="1"/>
  <c r="AE481" i="1"/>
  <c r="G441" i="11" s="1"/>
  <c r="AC481" i="1"/>
  <c r="E441" i="11" s="1"/>
  <c r="AB481" i="1"/>
  <c r="D441" i="11" s="1"/>
  <c r="AA481" i="1"/>
  <c r="C441" i="11" s="1"/>
  <c r="Z481" i="1"/>
  <c r="Y481" i="1"/>
  <c r="X481" i="1"/>
  <c r="W481" i="1"/>
  <c r="V481" i="1"/>
  <c r="U481" i="1"/>
  <c r="T481" i="1"/>
  <c r="S481" i="1"/>
  <c r="R481" i="1"/>
  <c r="Q481" i="1"/>
  <c r="P481" i="1"/>
  <c r="O481" i="1"/>
  <c r="N481" i="1"/>
  <c r="M481" i="1"/>
  <c r="L481" i="1"/>
  <c r="K481" i="1"/>
  <c r="J481" i="1"/>
  <c r="I481" i="1"/>
  <c r="H481" i="1"/>
  <c r="G481" i="1"/>
  <c r="F481" i="1"/>
  <c r="E481" i="1"/>
  <c r="D481" i="1"/>
  <c r="C481" i="1"/>
  <c r="A481" i="1"/>
  <c r="A441" i="11" s="1"/>
  <c r="BP480" i="1"/>
  <c r="BN480" i="1"/>
  <c r="AT440" i="11" s="1"/>
  <c r="BM480" i="1"/>
  <c r="AS440" i="11" s="1"/>
  <c r="BL480" i="1"/>
  <c r="AR440" i="11" s="1"/>
  <c r="BK480" i="1"/>
  <c r="AQ440" i="11" s="1"/>
  <c r="BJ480" i="1"/>
  <c r="AP440" i="11" s="1"/>
  <c r="AP59" i="11" s="1"/>
  <c r="BI480" i="1"/>
  <c r="AO440" i="11" s="1"/>
  <c r="AO59" i="11" s="1"/>
  <c r="BH480" i="1"/>
  <c r="AN440" i="11" s="1"/>
  <c r="AN59" i="11" s="1"/>
  <c r="BG480" i="1"/>
  <c r="AM440" i="11" s="1"/>
  <c r="AM59" i="11" s="1"/>
  <c r="BF480" i="1"/>
  <c r="AL440" i="11" s="1"/>
  <c r="AL59" i="11" s="1"/>
  <c r="BE480" i="1"/>
  <c r="AK440" i="11" s="1"/>
  <c r="AK59" i="11" s="1"/>
  <c r="BD480" i="1"/>
  <c r="AJ440" i="11" s="1"/>
  <c r="AJ59" i="11" s="1"/>
  <c r="BC480" i="1"/>
  <c r="AI440" i="11" s="1"/>
  <c r="BB480" i="1"/>
  <c r="AH440" i="11" s="1"/>
  <c r="BA480" i="1"/>
  <c r="AG440" i="11" s="1"/>
  <c r="AZ480" i="1"/>
  <c r="AF440" i="11" s="1"/>
  <c r="AU480" i="1"/>
  <c r="AS480" i="1"/>
  <c r="AR480" i="1"/>
  <c r="AQ480" i="1"/>
  <c r="AO480" i="1"/>
  <c r="AN480" i="1"/>
  <c r="AM480" i="1"/>
  <c r="AK480" i="1"/>
  <c r="AJ480" i="1"/>
  <c r="AI480" i="1"/>
  <c r="AG480" i="1"/>
  <c r="AF480" i="1"/>
  <c r="AE480" i="1"/>
  <c r="AC480" i="1"/>
  <c r="AB480" i="1"/>
  <c r="AA480" i="1"/>
  <c r="Y480" i="1"/>
  <c r="X480" i="1"/>
  <c r="W480" i="1"/>
  <c r="U480" i="1"/>
  <c r="T480" i="1"/>
  <c r="S480" i="1"/>
  <c r="Q480" i="1"/>
  <c r="P480" i="1"/>
  <c r="O480" i="1"/>
  <c r="M480" i="1"/>
  <c r="L480" i="1"/>
  <c r="K480" i="1"/>
  <c r="I480" i="1"/>
  <c r="H480" i="1"/>
  <c r="G480" i="1"/>
  <c r="E480" i="1"/>
  <c r="D480" i="1"/>
  <c r="C480" i="1"/>
  <c r="A480" i="1"/>
  <c r="A479" i="1"/>
  <c r="A477" i="1"/>
  <c r="BP476" i="1"/>
  <c r="BN476" i="1"/>
  <c r="AT436" i="11" s="1"/>
  <c r="BM476" i="1"/>
  <c r="AS436" i="11" s="1"/>
  <c r="BL476" i="1"/>
  <c r="AR436" i="11" s="1"/>
  <c r="BK476" i="1"/>
  <c r="AQ436" i="11" s="1"/>
  <c r="BJ476" i="1"/>
  <c r="AP436" i="11" s="1"/>
  <c r="BI476" i="1"/>
  <c r="AO436" i="11" s="1"/>
  <c r="BH476" i="1"/>
  <c r="AN436" i="11" s="1"/>
  <c r="BG476" i="1"/>
  <c r="AM436" i="11" s="1"/>
  <c r="BF476" i="1"/>
  <c r="AL436" i="11" s="1"/>
  <c r="BE476" i="1"/>
  <c r="AK436" i="11" s="1"/>
  <c r="BD476" i="1"/>
  <c r="AJ436" i="11" s="1"/>
  <c r="BC476" i="1"/>
  <c r="AI436" i="11" s="1"/>
  <c r="BB476" i="1"/>
  <c r="AH436" i="11" s="1"/>
  <c r="BA476" i="1"/>
  <c r="AG436" i="11" s="1"/>
  <c r="AZ476" i="1"/>
  <c r="AF436" i="11" s="1"/>
  <c r="AU476" i="1"/>
  <c r="AS476" i="1"/>
  <c r="U436" i="11" s="1"/>
  <c r="AR476" i="1"/>
  <c r="T436" i="11" s="1"/>
  <c r="AQ476" i="1"/>
  <c r="S436" i="11" s="1"/>
  <c r="AO476" i="1"/>
  <c r="Q436" i="11" s="1"/>
  <c r="AN476" i="1"/>
  <c r="P436" i="11" s="1"/>
  <c r="AM476" i="1"/>
  <c r="O436" i="11" s="1"/>
  <c r="AK476" i="1"/>
  <c r="M436" i="11" s="1"/>
  <c r="AJ476" i="1"/>
  <c r="L436" i="11" s="1"/>
  <c r="AI476" i="1"/>
  <c r="K436" i="11" s="1"/>
  <c r="AG476" i="1"/>
  <c r="I436" i="11" s="1"/>
  <c r="AF476" i="1"/>
  <c r="H436" i="11" s="1"/>
  <c r="AE476" i="1"/>
  <c r="G436" i="11" s="1"/>
  <c r="AC476" i="1"/>
  <c r="E436" i="11" s="1"/>
  <c r="AB476" i="1"/>
  <c r="D436" i="11" s="1"/>
  <c r="AA476" i="1"/>
  <c r="C436" i="11" s="1"/>
  <c r="Y476" i="1"/>
  <c r="X476" i="1"/>
  <c r="W476" i="1"/>
  <c r="U476" i="1"/>
  <c r="T476" i="1"/>
  <c r="S476" i="1"/>
  <c r="Q476" i="1"/>
  <c r="P476" i="1"/>
  <c r="O476" i="1"/>
  <c r="M476" i="1"/>
  <c r="L476" i="1"/>
  <c r="K476" i="1"/>
  <c r="I476" i="1"/>
  <c r="H476" i="1"/>
  <c r="G476" i="1"/>
  <c r="E476" i="1"/>
  <c r="D476" i="1"/>
  <c r="C476" i="1"/>
  <c r="A476" i="1"/>
  <c r="BP475" i="1"/>
  <c r="BN475" i="1"/>
  <c r="AT435" i="11" s="1"/>
  <c r="BM475" i="1"/>
  <c r="AS435" i="11" s="1"/>
  <c r="BL475" i="1"/>
  <c r="AR435" i="11" s="1"/>
  <c r="BK475" i="1"/>
  <c r="AQ435" i="11" s="1"/>
  <c r="BJ475" i="1"/>
  <c r="AP435" i="11" s="1"/>
  <c r="BI475" i="1"/>
  <c r="AO435" i="11" s="1"/>
  <c r="BH475" i="1"/>
  <c r="AN435" i="11" s="1"/>
  <c r="BG475" i="1"/>
  <c r="AM435" i="11" s="1"/>
  <c r="BF475" i="1"/>
  <c r="AL435" i="11" s="1"/>
  <c r="BE475" i="1"/>
  <c r="AK435" i="11" s="1"/>
  <c r="BD475" i="1"/>
  <c r="AJ435" i="11" s="1"/>
  <c r="BC475" i="1"/>
  <c r="AI435" i="11" s="1"/>
  <c r="BB475" i="1"/>
  <c r="AH435" i="11" s="1"/>
  <c r="BA475" i="1"/>
  <c r="AG435" i="11" s="1"/>
  <c r="AZ475" i="1"/>
  <c r="AF435" i="11" s="1"/>
  <c r="AU475" i="1"/>
  <c r="AS475" i="1"/>
  <c r="U435" i="11" s="1"/>
  <c r="AR475" i="1"/>
  <c r="T435" i="11" s="1"/>
  <c r="AQ475" i="1"/>
  <c r="S435" i="11" s="1"/>
  <c r="AO475" i="1"/>
  <c r="Q435" i="11" s="1"/>
  <c r="AN475" i="1"/>
  <c r="P435" i="11" s="1"/>
  <c r="AM475" i="1"/>
  <c r="O435" i="11" s="1"/>
  <c r="AK475" i="1"/>
  <c r="M435" i="11" s="1"/>
  <c r="AJ475" i="1"/>
  <c r="L435" i="11" s="1"/>
  <c r="AI475" i="1"/>
  <c r="K435" i="11" s="1"/>
  <c r="AH475" i="1"/>
  <c r="J435" i="11" s="1"/>
  <c r="AG475" i="1"/>
  <c r="I435" i="11" s="1"/>
  <c r="AF475" i="1"/>
  <c r="H435" i="11" s="1"/>
  <c r="AE475" i="1"/>
  <c r="G435" i="11" s="1"/>
  <c r="AD475" i="1"/>
  <c r="F435" i="11" s="1"/>
  <c r="AC475" i="1"/>
  <c r="E435" i="11" s="1"/>
  <c r="AB475" i="1"/>
  <c r="D435" i="11" s="1"/>
  <c r="AA475" i="1"/>
  <c r="C435" i="11" s="1"/>
  <c r="Z475" i="1"/>
  <c r="Y475" i="1"/>
  <c r="X475" i="1"/>
  <c r="W475" i="1"/>
  <c r="V475" i="1"/>
  <c r="U475" i="1"/>
  <c r="T475" i="1"/>
  <c r="S475" i="1"/>
  <c r="R475" i="1"/>
  <c r="Q475" i="1"/>
  <c r="P475" i="1"/>
  <c r="O475" i="1"/>
  <c r="N475" i="1"/>
  <c r="M475" i="1"/>
  <c r="L475" i="1"/>
  <c r="K475" i="1"/>
  <c r="J475" i="1"/>
  <c r="I475" i="1"/>
  <c r="H475" i="1"/>
  <c r="G475" i="1"/>
  <c r="F475" i="1"/>
  <c r="E475" i="1"/>
  <c r="D475" i="1"/>
  <c r="C475" i="1"/>
  <c r="A475" i="1"/>
  <c r="BP474" i="1"/>
  <c r="BN474" i="1"/>
  <c r="AT434" i="11" s="1"/>
  <c r="BM474" i="1"/>
  <c r="AS434" i="11" s="1"/>
  <c r="BL474" i="1"/>
  <c r="AR434" i="11" s="1"/>
  <c r="BK474" i="1"/>
  <c r="AQ434" i="11" s="1"/>
  <c r="BJ474" i="1"/>
  <c r="AP434" i="11" s="1"/>
  <c r="BI474" i="1"/>
  <c r="AO434" i="11" s="1"/>
  <c r="BH474" i="1"/>
  <c r="AN434" i="11" s="1"/>
  <c r="BG474" i="1"/>
  <c r="AM434" i="11" s="1"/>
  <c r="BF474" i="1"/>
  <c r="AL434" i="11" s="1"/>
  <c r="BE474" i="1"/>
  <c r="AK434" i="11" s="1"/>
  <c r="BD474" i="1"/>
  <c r="AJ434" i="11" s="1"/>
  <c r="BC474" i="1"/>
  <c r="AI434" i="11" s="1"/>
  <c r="BB474" i="1"/>
  <c r="AH434" i="11" s="1"/>
  <c r="BA474" i="1"/>
  <c r="AG434" i="11" s="1"/>
  <c r="AZ474" i="1"/>
  <c r="AF434" i="11" s="1"/>
  <c r="AU474" i="1"/>
  <c r="AS474" i="1"/>
  <c r="U434" i="11" s="1"/>
  <c r="AR474" i="1"/>
  <c r="T434" i="11" s="1"/>
  <c r="AQ474" i="1"/>
  <c r="S434" i="11" s="1"/>
  <c r="AO474" i="1"/>
  <c r="Q434" i="11" s="1"/>
  <c r="AN474" i="1"/>
  <c r="P434" i="11" s="1"/>
  <c r="AM474" i="1"/>
  <c r="O434" i="11" s="1"/>
  <c r="AL474" i="1"/>
  <c r="N434" i="11" s="1"/>
  <c r="AK474" i="1"/>
  <c r="M434" i="11" s="1"/>
  <c r="AJ474" i="1"/>
  <c r="L434" i="11" s="1"/>
  <c r="AI474" i="1"/>
  <c r="K434" i="11" s="1"/>
  <c r="AH474" i="1"/>
  <c r="J434" i="11" s="1"/>
  <c r="AG474" i="1"/>
  <c r="I434" i="11" s="1"/>
  <c r="AF474" i="1"/>
  <c r="H434" i="11" s="1"/>
  <c r="AE474" i="1"/>
  <c r="G434" i="11" s="1"/>
  <c r="AD474" i="1"/>
  <c r="F434" i="11" s="1"/>
  <c r="AC474" i="1"/>
  <c r="E434" i="11" s="1"/>
  <c r="AB474" i="1"/>
  <c r="D434" i="11" s="1"/>
  <c r="AA474" i="1"/>
  <c r="C434" i="11" s="1"/>
  <c r="Z474" i="1"/>
  <c r="Y474" i="1"/>
  <c r="X474" i="1"/>
  <c r="W474" i="1"/>
  <c r="V474" i="1"/>
  <c r="U474" i="1"/>
  <c r="T474" i="1"/>
  <c r="S474" i="1"/>
  <c r="R474" i="1"/>
  <c r="Q474" i="1"/>
  <c r="P474" i="1"/>
  <c r="O474" i="1"/>
  <c r="N474" i="1"/>
  <c r="M474" i="1"/>
  <c r="L474" i="1"/>
  <c r="K474" i="1"/>
  <c r="J474" i="1"/>
  <c r="I474" i="1"/>
  <c r="H474" i="1"/>
  <c r="G474" i="1"/>
  <c r="F474" i="1"/>
  <c r="E474" i="1"/>
  <c r="D474" i="1"/>
  <c r="C474" i="1"/>
  <c r="A474" i="1"/>
  <c r="BS473" i="1"/>
  <c r="BR473" i="1"/>
  <c r="BQ473" i="1"/>
  <c r="BN473" i="1"/>
  <c r="AT433" i="11" s="1"/>
  <c r="BM473" i="1"/>
  <c r="AS433" i="11" s="1"/>
  <c r="BL473" i="1"/>
  <c r="AR433" i="11" s="1"/>
  <c r="BK473" i="1"/>
  <c r="AQ433" i="11" s="1"/>
  <c r="BJ473" i="1"/>
  <c r="AP433" i="11" s="1"/>
  <c r="BI473" i="1"/>
  <c r="AO433" i="11" s="1"/>
  <c r="BH473" i="1"/>
  <c r="AN433" i="11" s="1"/>
  <c r="BG473" i="1"/>
  <c r="AM433" i="11" s="1"/>
  <c r="BF473" i="1"/>
  <c r="AL433" i="11" s="1"/>
  <c r="BE473" i="1"/>
  <c r="AK433" i="11" s="1"/>
  <c r="BD473" i="1"/>
  <c r="AJ433" i="11" s="1"/>
  <c r="BC473" i="1"/>
  <c r="AI433" i="11" s="1"/>
  <c r="BB473" i="1"/>
  <c r="AH433" i="11" s="1"/>
  <c r="BA473" i="1"/>
  <c r="AG433" i="11" s="1"/>
  <c r="AZ473" i="1"/>
  <c r="AF433" i="11" s="1"/>
  <c r="AX473" i="1"/>
  <c r="AW473" i="1"/>
  <c r="AV473" i="1"/>
  <c r="AU473" i="1"/>
  <c r="W433" i="11" s="1"/>
  <c r="AS473" i="1"/>
  <c r="U433" i="11" s="1"/>
  <c r="AR473" i="1"/>
  <c r="T433" i="11" s="1"/>
  <c r="AQ473" i="1"/>
  <c r="S433" i="11" s="1"/>
  <c r="AO473" i="1"/>
  <c r="Q433" i="11" s="1"/>
  <c r="AN473" i="1"/>
  <c r="P433" i="11" s="1"/>
  <c r="AM473" i="1"/>
  <c r="O433" i="11" s="1"/>
  <c r="AK473" i="1"/>
  <c r="M433" i="11" s="1"/>
  <c r="AJ473" i="1"/>
  <c r="L433" i="11" s="1"/>
  <c r="AI473" i="1"/>
  <c r="K433" i="11" s="1"/>
  <c r="AG473" i="1"/>
  <c r="I433" i="11" s="1"/>
  <c r="AF473" i="1"/>
  <c r="H433" i="11" s="1"/>
  <c r="AE473" i="1"/>
  <c r="G433" i="11" s="1"/>
  <c r="AC473" i="1"/>
  <c r="E433" i="11" s="1"/>
  <c r="AB473" i="1"/>
  <c r="D433" i="11" s="1"/>
  <c r="AA473" i="1"/>
  <c r="C433" i="11" s="1"/>
  <c r="Y473" i="1"/>
  <c r="X473" i="1"/>
  <c r="W473" i="1"/>
  <c r="U473" i="1"/>
  <c r="T473" i="1"/>
  <c r="S473" i="1"/>
  <c r="Q473" i="1"/>
  <c r="P473" i="1"/>
  <c r="O473" i="1"/>
  <c r="M473" i="1"/>
  <c r="L473" i="1"/>
  <c r="K473" i="1"/>
  <c r="I473" i="1"/>
  <c r="H473" i="1"/>
  <c r="G473" i="1"/>
  <c r="E473" i="1"/>
  <c r="D473" i="1"/>
  <c r="C473" i="1"/>
  <c r="A473" i="1"/>
  <c r="BP472" i="1"/>
  <c r="BN472" i="1"/>
  <c r="AT432" i="11" s="1"/>
  <c r="BM472" i="1"/>
  <c r="AS432" i="11" s="1"/>
  <c r="BL472" i="1"/>
  <c r="AR432" i="11" s="1"/>
  <c r="BK472" i="1"/>
  <c r="AQ432" i="11" s="1"/>
  <c r="BJ472" i="1"/>
  <c r="AP432" i="11" s="1"/>
  <c r="BI472" i="1"/>
  <c r="AO432" i="11" s="1"/>
  <c r="BH472" i="1"/>
  <c r="AN432" i="11" s="1"/>
  <c r="BG472" i="1"/>
  <c r="AM432" i="11" s="1"/>
  <c r="BF472" i="1"/>
  <c r="AL432" i="11" s="1"/>
  <c r="BE472" i="1"/>
  <c r="AK432" i="11" s="1"/>
  <c r="BD472" i="1"/>
  <c r="AJ432" i="11" s="1"/>
  <c r="BC472" i="1"/>
  <c r="AI432" i="11" s="1"/>
  <c r="BB472" i="1"/>
  <c r="AH432" i="11" s="1"/>
  <c r="BA472" i="1"/>
  <c r="AG432" i="11" s="1"/>
  <c r="AZ472" i="1"/>
  <c r="AF432" i="11" s="1"/>
  <c r="AU472" i="1"/>
  <c r="AS472" i="1"/>
  <c r="U432" i="11" s="1"/>
  <c r="AR472" i="1"/>
  <c r="T432" i="11" s="1"/>
  <c r="AQ472" i="1"/>
  <c r="S432" i="11" s="1"/>
  <c r="AP472" i="1"/>
  <c r="R432" i="11" s="1"/>
  <c r="AO472" i="1"/>
  <c r="Q432" i="11" s="1"/>
  <c r="AN472" i="1"/>
  <c r="P432" i="11" s="1"/>
  <c r="AM472" i="1"/>
  <c r="O432" i="11" s="1"/>
  <c r="AL472" i="1"/>
  <c r="N432" i="11" s="1"/>
  <c r="AK472" i="1"/>
  <c r="M432" i="11" s="1"/>
  <c r="AJ472" i="1"/>
  <c r="L432" i="11" s="1"/>
  <c r="AI472" i="1"/>
  <c r="K432" i="11" s="1"/>
  <c r="AH472" i="1"/>
  <c r="J432" i="11" s="1"/>
  <c r="AG472" i="1"/>
  <c r="I432" i="11" s="1"/>
  <c r="AF472" i="1"/>
  <c r="H432" i="11" s="1"/>
  <c r="AE472" i="1"/>
  <c r="G432" i="11" s="1"/>
  <c r="AD472" i="1"/>
  <c r="F432" i="11" s="1"/>
  <c r="AC472" i="1"/>
  <c r="E432" i="11" s="1"/>
  <c r="AB472" i="1"/>
  <c r="D432" i="11" s="1"/>
  <c r="AA472" i="1"/>
  <c r="C432" i="11" s="1"/>
  <c r="Z472" i="1"/>
  <c r="Y472" i="1"/>
  <c r="X472" i="1"/>
  <c r="W472" i="1"/>
  <c r="V472" i="1"/>
  <c r="U472" i="1"/>
  <c r="T472" i="1"/>
  <c r="S472" i="1"/>
  <c r="R472" i="1"/>
  <c r="Q472" i="1"/>
  <c r="P472" i="1"/>
  <c r="O472" i="1"/>
  <c r="N472" i="1"/>
  <c r="M472" i="1"/>
  <c r="L472" i="1"/>
  <c r="K472" i="1"/>
  <c r="J472" i="1"/>
  <c r="I472" i="1"/>
  <c r="H472" i="1"/>
  <c r="G472" i="1"/>
  <c r="F472" i="1"/>
  <c r="E472" i="1"/>
  <c r="D472" i="1"/>
  <c r="C472" i="1"/>
  <c r="A472" i="1"/>
  <c r="BP471" i="1"/>
  <c r="BN471" i="1"/>
  <c r="AT431" i="11" s="1"/>
  <c r="BM471" i="1"/>
  <c r="AS431" i="11" s="1"/>
  <c r="BL471" i="1"/>
  <c r="AR431" i="11" s="1"/>
  <c r="BK471" i="1"/>
  <c r="AQ431" i="11" s="1"/>
  <c r="BJ471" i="1"/>
  <c r="AP431" i="11" s="1"/>
  <c r="BI471" i="1"/>
  <c r="AO431" i="11" s="1"/>
  <c r="BH471" i="1"/>
  <c r="AN431" i="11" s="1"/>
  <c r="BG471" i="1"/>
  <c r="AM431" i="11" s="1"/>
  <c r="BF471" i="1"/>
  <c r="AL431" i="11" s="1"/>
  <c r="BE471" i="1"/>
  <c r="AK431" i="11" s="1"/>
  <c r="BD471" i="1"/>
  <c r="AJ431" i="11" s="1"/>
  <c r="BC471" i="1"/>
  <c r="AI431" i="11" s="1"/>
  <c r="BB471" i="1"/>
  <c r="AH431" i="11" s="1"/>
  <c r="BA471" i="1"/>
  <c r="AG431" i="11" s="1"/>
  <c r="AZ471" i="1"/>
  <c r="AF431" i="11" s="1"/>
  <c r="AU471" i="1"/>
  <c r="AS471" i="1"/>
  <c r="U431" i="11" s="1"/>
  <c r="AR471" i="1"/>
  <c r="T431" i="11" s="1"/>
  <c r="AQ471" i="1"/>
  <c r="S431" i="11" s="1"/>
  <c r="AO471" i="1"/>
  <c r="Q431" i="11" s="1"/>
  <c r="AN471" i="1"/>
  <c r="P431" i="11" s="1"/>
  <c r="AM471" i="1"/>
  <c r="O431" i="11" s="1"/>
  <c r="AK471" i="1"/>
  <c r="M431" i="11" s="1"/>
  <c r="AJ471" i="1"/>
  <c r="L431" i="11" s="1"/>
  <c r="AI471" i="1"/>
  <c r="K431" i="11" s="1"/>
  <c r="AG471" i="1"/>
  <c r="I431" i="11" s="1"/>
  <c r="AF471" i="1"/>
  <c r="H431" i="11" s="1"/>
  <c r="AE471" i="1"/>
  <c r="G431" i="11" s="1"/>
  <c r="AC471" i="1"/>
  <c r="E431" i="11" s="1"/>
  <c r="AB471" i="1"/>
  <c r="D431" i="11" s="1"/>
  <c r="AA471" i="1"/>
  <c r="C431" i="11" s="1"/>
  <c r="Y471" i="1"/>
  <c r="X471" i="1"/>
  <c r="W471" i="1"/>
  <c r="U471" i="1"/>
  <c r="T471" i="1"/>
  <c r="S471" i="1"/>
  <c r="Q471" i="1"/>
  <c r="P471" i="1"/>
  <c r="O471" i="1"/>
  <c r="M471" i="1"/>
  <c r="L471" i="1"/>
  <c r="K471" i="1"/>
  <c r="I471" i="1"/>
  <c r="H471" i="1"/>
  <c r="G471" i="1"/>
  <c r="E471" i="1"/>
  <c r="D471" i="1"/>
  <c r="C471" i="1"/>
  <c r="A471" i="1"/>
  <c r="BP470" i="1"/>
  <c r="BN470" i="1"/>
  <c r="AT430" i="11" s="1"/>
  <c r="BM470" i="1"/>
  <c r="AS430" i="11" s="1"/>
  <c r="BL470" i="1"/>
  <c r="AR430" i="11" s="1"/>
  <c r="BK470" i="1"/>
  <c r="AQ430" i="11" s="1"/>
  <c r="BJ470" i="1"/>
  <c r="AP430" i="11" s="1"/>
  <c r="BI470" i="1"/>
  <c r="AO430" i="11" s="1"/>
  <c r="BH470" i="1"/>
  <c r="AN430" i="11" s="1"/>
  <c r="BG470" i="1"/>
  <c r="AM430" i="11" s="1"/>
  <c r="BF470" i="1"/>
  <c r="AL430" i="11" s="1"/>
  <c r="BE470" i="1"/>
  <c r="AK430" i="11" s="1"/>
  <c r="BD470" i="1"/>
  <c r="AJ430" i="11" s="1"/>
  <c r="BC470" i="1"/>
  <c r="AI430" i="11" s="1"/>
  <c r="BB470" i="1"/>
  <c r="AH430" i="11" s="1"/>
  <c r="BA470" i="1"/>
  <c r="AG430" i="11" s="1"/>
  <c r="AZ470" i="1"/>
  <c r="AF430" i="11" s="1"/>
  <c r="AU470" i="1"/>
  <c r="AS470" i="1"/>
  <c r="U430" i="11" s="1"/>
  <c r="AR470" i="1"/>
  <c r="T430" i="11" s="1"/>
  <c r="AQ470" i="1"/>
  <c r="S430" i="11" s="1"/>
  <c r="AO470" i="1"/>
  <c r="Q430" i="11" s="1"/>
  <c r="AN470" i="1"/>
  <c r="P430" i="11" s="1"/>
  <c r="AM470" i="1"/>
  <c r="O430" i="11" s="1"/>
  <c r="AK470" i="1"/>
  <c r="M430" i="11" s="1"/>
  <c r="AJ470" i="1"/>
  <c r="L430" i="11" s="1"/>
  <c r="AI470" i="1"/>
  <c r="K430" i="11" s="1"/>
  <c r="AG470" i="1"/>
  <c r="I430" i="11" s="1"/>
  <c r="AF470" i="1"/>
  <c r="H430" i="11" s="1"/>
  <c r="AE470" i="1"/>
  <c r="G430" i="11" s="1"/>
  <c r="AC470" i="1"/>
  <c r="E430" i="11" s="1"/>
  <c r="AB470" i="1"/>
  <c r="D430" i="11" s="1"/>
  <c r="AA470" i="1"/>
  <c r="C430" i="11" s="1"/>
  <c r="Y470" i="1"/>
  <c r="X470" i="1"/>
  <c r="W470" i="1"/>
  <c r="U470" i="1"/>
  <c r="T470" i="1"/>
  <c r="S470" i="1"/>
  <c r="Q470" i="1"/>
  <c r="P470" i="1"/>
  <c r="O470" i="1"/>
  <c r="M470" i="1"/>
  <c r="L470" i="1"/>
  <c r="K470" i="1"/>
  <c r="I470" i="1"/>
  <c r="H470" i="1"/>
  <c r="G470" i="1"/>
  <c r="E470" i="1"/>
  <c r="D470" i="1"/>
  <c r="C470" i="1"/>
  <c r="A470" i="1"/>
  <c r="BP469" i="1"/>
  <c r="BN469" i="1"/>
  <c r="AT429" i="11" s="1"/>
  <c r="BM469" i="1"/>
  <c r="AS429" i="11" s="1"/>
  <c r="BL469" i="1"/>
  <c r="AR429" i="11" s="1"/>
  <c r="BK469" i="1"/>
  <c r="AQ429" i="11" s="1"/>
  <c r="BJ469" i="1"/>
  <c r="AP429" i="11" s="1"/>
  <c r="BI469" i="1"/>
  <c r="AO429" i="11" s="1"/>
  <c r="BH469" i="1"/>
  <c r="AN429" i="11" s="1"/>
  <c r="BG469" i="1"/>
  <c r="AM429" i="11" s="1"/>
  <c r="BF469" i="1"/>
  <c r="AL429" i="11" s="1"/>
  <c r="BE469" i="1"/>
  <c r="AK429" i="11" s="1"/>
  <c r="BD469" i="1"/>
  <c r="AJ429" i="11" s="1"/>
  <c r="BC469" i="1"/>
  <c r="AI429" i="11" s="1"/>
  <c r="BB469" i="1"/>
  <c r="AH429" i="11" s="1"/>
  <c r="BA469" i="1"/>
  <c r="AG429" i="11" s="1"/>
  <c r="AZ469" i="1"/>
  <c r="AF429" i="11" s="1"/>
  <c r="AU469" i="1"/>
  <c r="AS469" i="1"/>
  <c r="U429" i="11" s="1"/>
  <c r="AR469" i="1"/>
  <c r="T429" i="11" s="1"/>
  <c r="AQ469" i="1"/>
  <c r="S429" i="11" s="1"/>
  <c r="AO469" i="1"/>
  <c r="Q429" i="11" s="1"/>
  <c r="AN469" i="1"/>
  <c r="P429" i="11" s="1"/>
  <c r="AM469" i="1"/>
  <c r="O429" i="11" s="1"/>
  <c r="AK469" i="1"/>
  <c r="M429" i="11" s="1"/>
  <c r="AJ469" i="1"/>
  <c r="L429" i="11" s="1"/>
  <c r="AI469" i="1"/>
  <c r="K429" i="11" s="1"/>
  <c r="AG469" i="1"/>
  <c r="I429" i="11" s="1"/>
  <c r="AF469" i="1"/>
  <c r="H429" i="11" s="1"/>
  <c r="AE469" i="1"/>
  <c r="G429" i="11" s="1"/>
  <c r="AC469" i="1"/>
  <c r="E429" i="11" s="1"/>
  <c r="AB469" i="1"/>
  <c r="D429" i="11" s="1"/>
  <c r="AA469" i="1"/>
  <c r="C429" i="11" s="1"/>
  <c r="Y469" i="1"/>
  <c r="X469" i="1"/>
  <c r="W469" i="1"/>
  <c r="U469" i="1"/>
  <c r="T469" i="1"/>
  <c r="S469" i="1"/>
  <c r="Q469" i="1"/>
  <c r="P469" i="1"/>
  <c r="O469" i="1"/>
  <c r="M469" i="1"/>
  <c r="L469" i="1"/>
  <c r="K469" i="1"/>
  <c r="I469" i="1"/>
  <c r="H469" i="1"/>
  <c r="G469" i="1"/>
  <c r="E469" i="1"/>
  <c r="D469" i="1"/>
  <c r="C469" i="1"/>
  <c r="A469" i="1"/>
  <c r="BP468" i="1"/>
  <c r="BN468" i="1"/>
  <c r="AT428" i="11" s="1"/>
  <c r="BM468" i="1"/>
  <c r="AS428" i="11" s="1"/>
  <c r="BL468" i="1"/>
  <c r="AR428" i="11" s="1"/>
  <c r="BK468" i="1"/>
  <c r="AQ428" i="11" s="1"/>
  <c r="BJ468" i="1"/>
  <c r="AP428" i="11" s="1"/>
  <c r="BI468" i="1"/>
  <c r="AO428" i="11" s="1"/>
  <c r="BH468" i="1"/>
  <c r="AN428" i="11" s="1"/>
  <c r="BG468" i="1"/>
  <c r="AM428" i="11" s="1"/>
  <c r="BF468" i="1"/>
  <c r="AL428" i="11" s="1"/>
  <c r="BE468" i="1"/>
  <c r="AK428" i="11" s="1"/>
  <c r="BD468" i="1"/>
  <c r="AJ428" i="11" s="1"/>
  <c r="BC468" i="1"/>
  <c r="AI428" i="11" s="1"/>
  <c r="BB468" i="1"/>
  <c r="AH428" i="11" s="1"/>
  <c r="BA468" i="1"/>
  <c r="AG428" i="11" s="1"/>
  <c r="AZ468" i="1"/>
  <c r="AF428" i="11" s="1"/>
  <c r="AU468" i="1"/>
  <c r="AS468" i="1"/>
  <c r="U428" i="11" s="1"/>
  <c r="AR468" i="1"/>
  <c r="T428" i="11" s="1"/>
  <c r="AQ468" i="1"/>
  <c r="S428" i="11" s="1"/>
  <c r="AO468" i="1"/>
  <c r="Q428" i="11" s="1"/>
  <c r="AN468" i="1"/>
  <c r="P428" i="11" s="1"/>
  <c r="AM468" i="1"/>
  <c r="O428" i="11" s="1"/>
  <c r="AK468" i="1"/>
  <c r="M428" i="11" s="1"/>
  <c r="AJ468" i="1"/>
  <c r="L428" i="11" s="1"/>
  <c r="AI468" i="1"/>
  <c r="K428" i="11" s="1"/>
  <c r="AG468" i="1"/>
  <c r="I428" i="11" s="1"/>
  <c r="AF468" i="1"/>
  <c r="H428" i="11" s="1"/>
  <c r="AE468" i="1"/>
  <c r="G428" i="11" s="1"/>
  <c r="AC468" i="1"/>
  <c r="E428" i="11" s="1"/>
  <c r="AB468" i="1"/>
  <c r="D428" i="11" s="1"/>
  <c r="AA468" i="1"/>
  <c r="C428" i="11" s="1"/>
  <c r="Y468" i="1"/>
  <c r="X468" i="1"/>
  <c r="W468" i="1"/>
  <c r="U468" i="1"/>
  <c r="T468" i="1"/>
  <c r="S468" i="1"/>
  <c r="Q468" i="1"/>
  <c r="P468" i="1"/>
  <c r="O468" i="1"/>
  <c r="M468" i="1"/>
  <c r="L468" i="1"/>
  <c r="K468" i="1"/>
  <c r="I468" i="1"/>
  <c r="H468" i="1"/>
  <c r="G468" i="1"/>
  <c r="E468" i="1"/>
  <c r="D468" i="1"/>
  <c r="C468" i="1"/>
  <c r="A468" i="1"/>
  <c r="BP467" i="1"/>
  <c r="BN467" i="1"/>
  <c r="AT427" i="11" s="1"/>
  <c r="BM467" i="1"/>
  <c r="AS427" i="11" s="1"/>
  <c r="BL467" i="1"/>
  <c r="AR427" i="11" s="1"/>
  <c r="BK467" i="1"/>
  <c r="AQ427" i="11" s="1"/>
  <c r="BJ467" i="1"/>
  <c r="AP427" i="11" s="1"/>
  <c r="BI467" i="1"/>
  <c r="AO427" i="11" s="1"/>
  <c r="BH467" i="1"/>
  <c r="AN427" i="11" s="1"/>
  <c r="BG467" i="1"/>
  <c r="AM427" i="11" s="1"/>
  <c r="BF467" i="1"/>
  <c r="AL427" i="11" s="1"/>
  <c r="BE467" i="1"/>
  <c r="AK427" i="11" s="1"/>
  <c r="BD467" i="1"/>
  <c r="AJ427" i="11" s="1"/>
  <c r="BC467" i="1"/>
  <c r="AI427" i="11" s="1"/>
  <c r="BB467" i="1"/>
  <c r="AH427" i="11" s="1"/>
  <c r="BA467" i="1"/>
  <c r="AG427" i="11" s="1"/>
  <c r="AZ467" i="1"/>
  <c r="AF427" i="11" s="1"/>
  <c r="AU467" i="1"/>
  <c r="AS467" i="1"/>
  <c r="U427" i="11" s="1"/>
  <c r="AR467" i="1"/>
  <c r="T427" i="11" s="1"/>
  <c r="AQ467" i="1"/>
  <c r="S427" i="11" s="1"/>
  <c r="AO467" i="1"/>
  <c r="Q427" i="11" s="1"/>
  <c r="AN467" i="1"/>
  <c r="P427" i="11" s="1"/>
  <c r="AM467" i="1"/>
  <c r="O427" i="11" s="1"/>
  <c r="AK467" i="1"/>
  <c r="M427" i="11" s="1"/>
  <c r="AJ467" i="1"/>
  <c r="L427" i="11" s="1"/>
  <c r="AI467" i="1"/>
  <c r="K427" i="11" s="1"/>
  <c r="AG467" i="1"/>
  <c r="I427" i="11" s="1"/>
  <c r="AF467" i="1"/>
  <c r="H427" i="11" s="1"/>
  <c r="AE467" i="1"/>
  <c r="G427" i="11" s="1"/>
  <c r="AC467" i="1"/>
  <c r="E427" i="11" s="1"/>
  <c r="AB467" i="1"/>
  <c r="D427" i="11" s="1"/>
  <c r="AA467" i="1"/>
  <c r="C427" i="11" s="1"/>
  <c r="Y467" i="1"/>
  <c r="X467" i="1"/>
  <c r="W467" i="1"/>
  <c r="U467" i="1"/>
  <c r="T467" i="1"/>
  <c r="S467" i="1"/>
  <c r="Q467" i="1"/>
  <c r="P467" i="1"/>
  <c r="O467" i="1"/>
  <c r="M467" i="1"/>
  <c r="L467" i="1"/>
  <c r="K467" i="1"/>
  <c r="I467" i="1"/>
  <c r="H467" i="1"/>
  <c r="G467" i="1"/>
  <c r="E467" i="1"/>
  <c r="D467" i="1"/>
  <c r="C467" i="1"/>
  <c r="A467" i="1"/>
  <c r="BP466" i="1"/>
  <c r="BN466" i="1"/>
  <c r="AT426" i="11" s="1"/>
  <c r="BM466" i="1"/>
  <c r="AS426" i="11" s="1"/>
  <c r="BL466" i="1"/>
  <c r="AR426" i="11" s="1"/>
  <c r="BK466" i="1"/>
  <c r="AQ426" i="11" s="1"/>
  <c r="BJ466" i="1"/>
  <c r="AP426" i="11" s="1"/>
  <c r="BI466" i="1"/>
  <c r="AO426" i="11" s="1"/>
  <c r="BH466" i="1"/>
  <c r="AN426" i="11" s="1"/>
  <c r="BG466" i="1"/>
  <c r="AM426" i="11" s="1"/>
  <c r="BF466" i="1"/>
  <c r="AL426" i="11" s="1"/>
  <c r="BE466" i="1"/>
  <c r="AK426" i="11" s="1"/>
  <c r="BD466" i="1"/>
  <c r="AJ426" i="11" s="1"/>
  <c r="BC466" i="1"/>
  <c r="AI426" i="11" s="1"/>
  <c r="BB466" i="1"/>
  <c r="AH426" i="11" s="1"/>
  <c r="BA466" i="1"/>
  <c r="AG426" i="11" s="1"/>
  <c r="AZ466" i="1"/>
  <c r="AF426" i="11" s="1"/>
  <c r="AU466" i="1"/>
  <c r="AS466" i="1"/>
  <c r="U426" i="11" s="1"/>
  <c r="AR466" i="1"/>
  <c r="T426" i="11" s="1"/>
  <c r="AQ466" i="1"/>
  <c r="S426" i="11" s="1"/>
  <c r="AO466" i="1"/>
  <c r="Q426" i="11" s="1"/>
  <c r="AN466" i="1"/>
  <c r="P426" i="11" s="1"/>
  <c r="AM466" i="1"/>
  <c r="O426" i="11" s="1"/>
  <c r="AK466" i="1"/>
  <c r="M426" i="11" s="1"/>
  <c r="AJ466" i="1"/>
  <c r="L426" i="11" s="1"/>
  <c r="AI466" i="1"/>
  <c r="K426" i="11" s="1"/>
  <c r="AG466" i="1"/>
  <c r="I426" i="11" s="1"/>
  <c r="AF466" i="1"/>
  <c r="H426" i="11" s="1"/>
  <c r="AE466" i="1"/>
  <c r="G426" i="11" s="1"/>
  <c r="AC466" i="1"/>
  <c r="E426" i="11" s="1"/>
  <c r="AB466" i="1"/>
  <c r="D426" i="11" s="1"/>
  <c r="AA466" i="1"/>
  <c r="C426" i="11" s="1"/>
  <c r="Y466" i="1"/>
  <c r="X466" i="1"/>
  <c r="W466" i="1"/>
  <c r="U466" i="1"/>
  <c r="T466" i="1"/>
  <c r="S466" i="1"/>
  <c r="Q466" i="1"/>
  <c r="P466" i="1"/>
  <c r="O466" i="1"/>
  <c r="M466" i="1"/>
  <c r="L466" i="1"/>
  <c r="K466" i="1"/>
  <c r="I466" i="1"/>
  <c r="H466" i="1"/>
  <c r="G466" i="1"/>
  <c r="E466" i="1"/>
  <c r="D466" i="1"/>
  <c r="C466" i="1"/>
  <c r="A466" i="1"/>
  <c r="BP465" i="1"/>
  <c r="BN465" i="1"/>
  <c r="AT425" i="11" s="1"/>
  <c r="BM465" i="1"/>
  <c r="AS425" i="11" s="1"/>
  <c r="BL465" i="1"/>
  <c r="AR425" i="11" s="1"/>
  <c r="BK465" i="1"/>
  <c r="AQ425" i="11" s="1"/>
  <c r="BJ465" i="1"/>
  <c r="AP425" i="11" s="1"/>
  <c r="BI465" i="1"/>
  <c r="AO425" i="11" s="1"/>
  <c r="BH465" i="1"/>
  <c r="AN425" i="11" s="1"/>
  <c r="BG465" i="1"/>
  <c r="AM425" i="11" s="1"/>
  <c r="BF465" i="1"/>
  <c r="AL425" i="11" s="1"/>
  <c r="BE465" i="1"/>
  <c r="AK425" i="11" s="1"/>
  <c r="BD465" i="1"/>
  <c r="AJ425" i="11" s="1"/>
  <c r="BC465" i="1"/>
  <c r="AI425" i="11" s="1"/>
  <c r="BB465" i="1"/>
  <c r="AH425" i="11" s="1"/>
  <c r="BA465" i="1"/>
  <c r="AG425" i="11" s="1"/>
  <c r="AZ465" i="1"/>
  <c r="AF425" i="11" s="1"/>
  <c r="AU465" i="1"/>
  <c r="AS465" i="1"/>
  <c r="U425" i="11" s="1"/>
  <c r="AR465" i="1"/>
  <c r="T425" i="11" s="1"/>
  <c r="AQ465" i="1"/>
  <c r="S425" i="11" s="1"/>
  <c r="AO465" i="1"/>
  <c r="Q425" i="11" s="1"/>
  <c r="AN465" i="1"/>
  <c r="P425" i="11" s="1"/>
  <c r="AM465" i="1"/>
  <c r="O425" i="11" s="1"/>
  <c r="AK465" i="1"/>
  <c r="M425" i="11" s="1"/>
  <c r="AJ465" i="1"/>
  <c r="L425" i="11" s="1"/>
  <c r="AI465" i="1"/>
  <c r="K425" i="11" s="1"/>
  <c r="AG465" i="1"/>
  <c r="I425" i="11" s="1"/>
  <c r="AF465" i="1"/>
  <c r="H425" i="11" s="1"/>
  <c r="AE465" i="1"/>
  <c r="G425" i="11" s="1"/>
  <c r="AC465" i="1"/>
  <c r="E425" i="11" s="1"/>
  <c r="AB465" i="1"/>
  <c r="D425" i="11" s="1"/>
  <c r="AA465" i="1"/>
  <c r="C425" i="11" s="1"/>
  <c r="Y465" i="1"/>
  <c r="X465" i="1"/>
  <c r="W465" i="1"/>
  <c r="U465" i="1"/>
  <c r="T465" i="1"/>
  <c r="S465" i="1"/>
  <c r="Q465" i="1"/>
  <c r="P465" i="1"/>
  <c r="O465" i="1"/>
  <c r="M465" i="1"/>
  <c r="L465" i="1"/>
  <c r="K465" i="1"/>
  <c r="I465" i="1"/>
  <c r="H465" i="1"/>
  <c r="G465" i="1"/>
  <c r="E465" i="1"/>
  <c r="D465" i="1"/>
  <c r="C465" i="1"/>
  <c r="A465" i="1"/>
  <c r="BP464" i="1"/>
  <c r="BN464" i="1"/>
  <c r="AT417" i="11" s="1"/>
  <c r="BM464" i="1"/>
  <c r="AS417" i="11" s="1"/>
  <c r="BL464" i="1"/>
  <c r="AR417" i="11" s="1"/>
  <c r="BK464" i="1"/>
  <c r="AQ417" i="11" s="1"/>
  <c r="BJ464" i="1"/>
  <c r="AP417" i="11" s="1"/>
  <c r="BI464" i="1"/>
  <c r="AO417" i="11" s="1"/>
  <c r="BH464" i="1"/>
  <c r="AN417" i="11" s="1"/>
  <c r="BG464" i="1"/>
  <c r="AM417" i="11" s="1"/>
  <c r="BF464" i="1"/>
  <c r="AL417" i="11" s="1"/>
  <c r="BE464" i="1"/>
  <c r="AK417" i="11" s="1"/>
  <c r="BD464" i="1"/>
  <c r="AJ417" i="11" s="1"/>
  <c r="BC464" i="1"/>
  <c r="AI417" i="11" s="1"/>
  <c r="BB464" i="1"/>
  <c r="AH417" i="11" s="1"/>
  <c r="BA464" i="1"/>
  <c r="AG417" i="11" s="1"/>
  <c r="AZ464" i="1"/>
  <c r="AF417" i="11" s="1"/>
  <c r="AU464" i="1"/>
  <c r="AS464" i="1"/>
  <c r="U417" i="11" s="1"/>
  <c r="AR464" i="1"/>
  <c r="T417" i="11" s="1"/>
  <c r="AQ464" i="1"/>
  <c r="S417" i="11" s="1"/>
  <c r="AO464" i="1"/>
  <c r="Q417" i="11" s="1"/>
  <c r="AN464" i="1"/>
  <c r="P417" i="11" s="1"/>
  <c r="AM464" i="1"/>
  <c r="O417" i="11" s="1"/>
  <c r="AL464" i="1"/>
  <c r="N417" i="11" s="1"/>
  <c r="AK464" i="1"/>
  <c r="M417" i="11" s="1"/>
  <c r="AJ464" i="1"/>
  <c r="L417" i="11" s="1"/>
  <c r="AI464" i="1"/>
  <c r="K417" i="11" s="1"/>
  <c r="AH464" i="1"/>
  <c r="J417" i="11" s="1"/>
  <c r="AG464" i="1"/>
  <c r="I417" i="11" s="1"/>
  <c r="AF464" i="1"/>
  <c r="H417" i="11" s="1"/>
  <c r="AE464" i="1"/>
  <c r="G417" i="11" s="1"/>
  <c r="AD464" i="1"/>
  <c r="F417" i="11" s="1"/>
  <c r="AC464" i="1"/>
  <c r="E417" i="11" s="1"/>
  <c r="AB464" i="1"/>
  <c r="D417" i="11" s="1"/>
  <c r="AA464" i="1"/>
  <c r="C417" i="11" s="1"/>
  <c r="Z464" i="1"/>
  <c r="Y464" i="1"/>
  <c r="X464" i="1"/>
  <c r="W464" i="1"/>
  <c r="V464" i="1"/>
  <c r="U464" i="1"/>
  <c r="T464" i="1"/>
  <c r="S464" i="1"/>
  <c r="R464" i="1"/>
  <c r="Q464" i="1"/>
  <c r="P464" i="1"/>
  <c r="O464" i="1"/>
  <c r="N464" i="1"/>
  <c r="M464" i="1"/>
  <c r="L464" i="1"/>
  <c r="K464" i="1"/>
  <c r="J464" i="1"/>
  <c r="I464" i="1"/>
  <c r="H464" i="1"/>
  <c r="G464" i="1"/>
  <c r="F464" i="1"/>
  <c r="E464" i="1"/>
  <c r="D464" i="1"/>
  <c r="C464" i="1"/>
  <c r="A464" i="1"/>
  <c r="BS463" i="1"/>
  <c r="BR463" i="1"/>
  <c r="BQ463" i="1"/>
  <c r="BN463" i="1"/>
  <c r="AT416" i="11" s="1"/>
  <c r="BM463" i="1"/>
  <c r="AS416" i="11" s="1"/>
  <c r="BL463" i="1"/>
  <c r="AR416" i="11" s="1"/>
  <c r="BK463" i="1"/>
  <c r="AQ416" i="11" s="1"/>
  <c r="BJ463" i="1"/>
  <c r="AP416" i="11" s="1"/>
  <c r="BI463" i="1"/>
  <c r="AO416" i="11" s="1"/>
  <c r="BH463" i="1"/>
  <c r="AN416" i="11" s="1"/>
  <c r="BG463" i="1"/>
  <c r="AM416" i="11" s="1"/>
  <c r="BF463" i="1"/>
  <c r="AL416" i="11" s="1"/>
  <c r="BE463" i="1"/>
  <c r="AK416" i="11" s="1"/>
  <c r="BD463" i="1"/>
  <c r="AJ416" i="11" s="1"/>
  <c r="BC463" i="1"/>
  <c r="AI416" i="11" s="1"/>
  <c r="BB463" i="1"/>
  <c r="AH416" i="11" s="1"/>
  <c r="BA463" i="1"/>
  <c r="AG416" i="11" s="1"/>
  <c r="AZ463" i="1"/>
  <c r="AF416" i="11" s="1"/>
  <c r="AX463" i="1"/>
  <c r="AW463" i="1"/>
  <c r="AV463" i="1"/>
  <c r="AU463" i="1"/>
  <c r="W416" i="11" s="1"/>
  <c r="Z416" i="11" s="1"/>
  <c r="AS463" i="1"/>
  <c r="U416" i="11" s="1"/>
  <c r="AR463" i="1"/>
  <c r="T416" i="11" s="1"/>
  <c r="AQ463" i="1"/>
  <c r="S416" i="11" s="1"/>
  <c r="AO463" i="1"/>
  <c r="Q416" i="11" s="1"/>
  <c r="AN463" i="1"/>
  <c r="P416" i="11" s="1"/>
  <c r="AM463" i="1"/>
  <c r="O416" i="11" s="1"/>
  <c r="AK463" i="1"/>
  <c r="M416" i="11" s="1"/>
  <c r="AJ463" i="1"/>
  <c r="L416" i="11" s="1"/>
  <c r="AI463" i="1"/>
  <c r="K416" i="11" s="1"/>
  <c r="AG463" i="1"/>
  <c r="I416" i="11" s="1"/>
  <c r="AF463" i="1"/>
  <c r="H416" i="11" s="1"/>
  <c r="AE463" i="1"/>
  <c r="G416" i="11" s="1"/>
  <c r="AC463" i="1"/>
  <c r="E416" i="11" s="1"/>
  <c r="AB463" i="1"/>
  <c r="D416" i="11" s="1"/>
  <c r="AA463" i="1"/>
  <c r="C416" i="11" s="1"/>
  <c r="Y463" i="1"/>
  <c r="X463" i="1"/>
  <c r="W463" i="1"/>
  <c r="U463" i="1"/>
  <c r="T463" i="1"/>
  <c r="S463" i="1"/>
  <c r="Q463" i="1"/>
  <c r="P463" i="1"/>
  <c r="O463" i="1"/>
  <c r="M463" i="1"/>
  <c r="L463" i="1"/>
  <c r="K463" i="1"/>
  <c r="I463" i="1"/>
  <c r="H463" i="1"/>
  <c r="G463" i="1"/>
  <c r="E463" i="1"/>
  <c r="D463" i="1"/>
  <c r="C463" i="1"/>
  <c r="A463" i="1"/>
  <c r="BP462" i="1"/>
  <c r="BN462" i="1"/>
  <c r="AT424" i="11" s="1"/>
  <c r="BM462" i="1"/>
  <c r="AS424" i="11" s="1"/>
  <c r="BL462" i="1"/>
  <c r="AR424" i="11" s="1"/>
  <c r="BK462" i="1"/>
  <c r="AQ424" i="11" s="1"/>
  <c r="BJ462" i="1"/>
  <c r="AP424" i="11" s="1"/>
  <c r="BI462" i="1"/>
  <c r="AO424" i="11" s="1"/>
  <c r="BH462" i="1"/>
  <c r="AN424" i="11" s="1"/>
  <c r="BG462" i="1"/>
  <c r="AM424" i="11" s="1"/>
  <c r="BF462" i="1"/>
  <c r="AL424" i="11" s="1"/>
  <c r="BE462" i="1"/>
  <c r="AK424" i="11" s="1"/>
  <c r="BD462" i="1"/>
  <c r="AJ424" i="11" s="1"/>
  <c r="BC462" i="1"/>
  <c r="AI424" i="11" s="1"/>
  <c r="BB462" i="1"/>
  <c r="AH424" i="11" s="1"/>
  <c r="BA462" i="1"/>
  <c r="AG424" i="11" s="1"/>
  <c r="AZ462" i="1"/>
  <c r="AF424" i="11" s="1"/>
  <c r="AU462" i="1"/>
  <c r="AS462" i="1"/>
  <c r="U424" i="11" s="1"/>
  <c r="AR462" i="1"/>
  <c r="T424" i="11" s="1"/>
  <c r="AQ462" i="1"/>
  <c r="S424" i="11" s="1"/>
  <c r="AO462" i="1"/>
  <c r="Q424" i="11" s="1"/>
  <c r="AN462" i="1"/>
  <c r="P424" i="11" s="1"/>
  <c r="AM462" i="1"/>
  <c r="O424" i="11" s="1"/>
  <c r="AK462" i="1"/>
  <c r="M424" i="11" s="1"/>
  <c r="AJ462" i="1"/>
  <c r="L424" i="11" s="1"/>
  <c r="AI462" i="1"/>
  <c r="K424" i="11" s="1"/>
  <c r="AH462" i="1"/>
  <c r="J424" i="11" s="1"/>
  <c r="AG462" i="1"/>
  <c r="I424" i="11" s="1"/>
  <c r="AF462" i="1"/>
  <c r="H424" i="11" s="1"/>
  <c r="AE462" i="1"/>
  <c r="G424" i="11" s="1"/>
  <c r="AD462" i="1"/>
  <c r="F424" i="11" s="1"/>
  <c r="AC462" i="1"/>
  <c r="E424" i="11" s="1"/>
  <c r="AB462" i="1"/>
  <c r="D424" i="11" s="1"/>
  <c r="AA462" i="1"/>
  <c r="C424" i="11" s="1"/>
  <c r="Z462" i="1"/>
  <c r="Y462" i="1"/>
  <c r="X462" i="1"/>
  <c r="W462" i="1"/>
  <c r="V462" i="1"/>
  <c r="U462" i="1"/>
  <c r="T462" i="1"/>
  <c r="S462" i="1"/>
  <c r="R462" i="1"/>
  <c r="Q462" i="1"/>
  <c r="P462" i="1"/>
  <c r="O462" i="1"/>
  <c r="N462" i="1"/>
  <c r="M462" i="1"/>
  <c r="L462" i="1"/>
  <c r="K462" i="1"/>
  <c r="J462" i="1"/>
  <c r="I462" i="1"/>
  <c r="H462" i="1"/>
  <c r="G462" i="1"/>
  <c r="F462" i="1"/>
  <c r="E462" i="1"/>
  <c r="D462" i="1"/>
  <c r="C462" i="1"/>
  <c r="A462" i="1"/>
  <c r="BP461" i="1"/>
  <c r="BN461" i="1"/>
  <c r="AT423" i="11" s="1"/>
  <c r="BM461" i="1"/>
  <c r="AS423" i="11" s="1"/>
  <c r="BL461" i="1"/>
  <c r="AR423" i="11" s="1"/>
  <c r="BK461" i="1"/>
  <c r="AQ423" i="11" s="1"/>
  <c r="BJ461" i="1"/>
  <c r="AP423" i="11" s="1"/>
  <c r="BI461" i="1"/>
  <c r="AO423" i="11" s="1"/>
  <c r="BH461" i="1"/>
  <c r="AN423" i="11" s="1"/>
  <c r="BG461" i="1"/>
  <c r="AM423" i="11" s="1"/>
  <c r="BF461" i="1"/>
  <c r="AL423" i="11" s="1"/>
  <c r="BE461" i="1"/>
  <c r="AK423" i="11" s="1"/>
  <c r="BD461" i="1"/>
  <c r="AJ423" i="11" s="1"/>
  <c r="BC461" i="1"/>
  <c r="AI423" i="11" s="1"/>
  <c r="BB461" i="1"/>
  <c r="AH423" i="11" s="1"/>
  <c r="BA461" i="1"/>
  <c r="AG423" i="11" s="1"/>
  <c r="AZ461" i="1"/>
  <c r="AF423" i="11" s="1"/>
  <c r="AU461" i="1"/>
  <c r="AS461" i="1"/>
  <c r="U423" i="11" s="1"/>
  <c r="AR461" i="1"/>
  <c r="T423" i="11" s="1"/>
  <c r="AQ461" i="1"/>
  <c r="S423" i="11" s="1"/>
  <c r="AO461" i="1"/>
  <c r="Q423" i="11" s="1"/>
  <c r="AN461" i="1"/>
  <c r="P423" i="11" s="1"/>
  <c r="AM461" i="1"/>
  <c r="O423" i="11" s="1"/>
  <c r="AK461" i="1"/>
  <c r="M423" i="11" s="1"/>
  <c r="AJ461" i="1"/>
  <c r="L423" i="11" s="1"/>
  <c r="AI461" i="1"/>
  <c r="K423" i="11" s="1"/>
  <c r="AH461" i="1"/>
  <c r="J423" i="11" s="1"/>
  <c r="AG461" i="1"/>
  <c r="I423" i="11" s="1"/>
  <c r="AF461" i="1"/>
  <c r="H423" i="11" s="1"/>
  <c r="AE461" i="1"/>
  <c r="G423" i="11" s="1"/>
  <c r="AD461" i="1"/>
  <c r="F423" i="11" s="1"/>
  <c r="AC461" i="1"/>
  <c r="E423" i="11" s="1"/>
  <c r="AB461" i="1"/>
  <c r="D423" i="11" s="1"/>
  <c r="AA461" i="1"/>
  <c r="C423" i="11" s="1"/>
  <c r="Z461" i="1"/>
  <c r="Y461" i="1"/>
  <c r="X461" i="1"/>
  <c r="W461" i="1"/>
  <c r="V461" i="1"/>
  <c r="U461" i="1"/>
  <c r="T461" i="1"/>
  <c r="S461" i="1"/>
  <c r="R461" i="1"/>
  <c r="Q461" i="1"/>
  <c r="P461" i="1"/>
  <c r="O461" i="1"/>
  <c r="N461" i="1"/>
  <c r="M461" i="1"/>
  <c r="L461" i="1"/>
  <c r="K461" i="1"/>
  <c r="J461" i="1"/>
  <c r="I461" i="1"/>
  <c r="H461" i="1"/>
  <c r="G461" i="1"/>
  <c r="F461" i="1"/>
  <c r="E461" i="1"/>
  <c r="D461" i="1"/>
  <c r="C461" i="1"/>
  <c r="A461" i="1"/>
  <c r="BP460" i="1"/>
  <c r="BN460" i="1"/>
  <c r="AT422" i="11" s="1"/>
  <c r="BM460" i="1"/>
  <c r="AS422" i="11" s="1"/>
  <c r="BL460" i="1"/>
  <c r="AR422" i="11" s="1"/>
  <c r="BK460" i="1"/>
  <c r="AQ422" i="11" s="1"/>
  <c r="BJ460" i="1"/>
  <c r="AP422" i="11" s="1"/>
  <c r="BI460" i="1"/>
  <c r="AO422" i="11" s="1"/>
  <c r="BH460" i="1"/>
  <c r="AN422" i="11" s="1"/>
  <c r="BG460" i="1"/>
  <c r="AM422" i="11" s="1"/>
  <c r="BF460" i="1"/>
  <c r="AL422" i="11" s="1"/>
  <c r="BE460" i="1"/>
  <c r="AK422" i="11" s="1"/>
  <c r="BD460" i="1"/>
  <c r="AJ422" i="11" s="1"/>
  <c r="BC460" i="1"/>
  <c r="AI422" i="11" s="1"/>
  <c r="BB460" i="1"/>
  <c r="AH422" i="11" s="1"/>
  <c r="BA460" i="1"/>
  <c r="AG422" i="11" s="1"/>
  <c r="AZ460" i="1"/>
  <c r="AF422" i="11" s="1"/>
  <c r="AU460" i="1"/>
  <c r="AS460" i="1"/>
  <c r="U422" i="11" s="1"/>
  <c r="AR460" i="1"/>
  <c r="T422" i="11" s="1"/>
  <c r="AQ460" i="1"/>
  <c r="S422" i="11" s="1"/>
  <c r="AO460" i="1"/>
  <c r="Q422" i="11" s="1"/>
  <c r="AN460" i="1"/>
  <c r="P422" i="11" s="1"/>
  <c r="AM460" i="1"/>
  <c r="O422" i="11" s="1"/>
  <c r="AK460" i="1"/>
  <c r="M422" i="11" s="1"/>
  <c r="AJ460" i="1"/>
  <c r="L422" i="11" s="1"/>
  <c r="AI460" i="1"/>
  <c r="K422" i="11" s="1"/>
  <c r="AG460" i="1"/>
  <c r="I422" i="11" s="1"/>
  <c r="AF460" i="1"/>
  <c r="H422" i="11" s="1"/>
  <c r="AE460" i="1"/>
  <c r="G422" i="11" s="1"/>
  <c r="AD460" i="1"/>
  <c r="F422" i="11" s="1"/>
  <c r="AC460" i="1"/>
  <c r="E422" i="11" s="1"/>
  <c r="AB460" i="1"/>
  <c r="D422" i="11" s="1"/>
  <c r="AA460" i="1"/>
  <c r="C422" i="11" s="1"/>
  <c r="Z460" i="1"/>
  <c r="Y460" i="1"/>
  <c r="X460" i="1"/>
  <c r="W460" i="1"/>
  <c r="V460" i="1"/>
  <c r="U460" i="1"/>
  <c r="T460" i="1"/>
  <c r="S460" i="1"/>
  <c r="R460" i="1"/>
  <c r="Q460" i="1"/>
  <c r="P460" i="1"/>
  <c r="O460" i="1"/>
  <c r="N460" i="1"/>
  <c r="M460" i="1"/>
  <c r="L460" i="1"/>
  <c r="K460" i="1"/>
  <c r="J460" i="1"/>
  <c r="I460" i="1"/>
  <c r="H460" i="1"/>
  <c r="G460" i="1"/>
  <c r="F460" i="1"/>
  <c r="E460" i="1"/>
  <c r="D460" i="1"/>
  <c r="C460" i="1"/>
  <c r="A460" i="1"/>
  <c r="BP459" i="1"/>
  <c r="BN459" i="1"/>
  <c r="AT421" i="11" s="1"/>
  <c r="BM459" i="1"/>
  <c r="AS421" i="11" s="1"/>
  <c r="BL459" i="1"/>
  <c r="AR421" i="11" s="1"/>
  <c r="BK459" i="1"/>
  <c r="AQ421" i="11" s="1"/>
  <c r="BJ459" i="1"/>
  <c r="AP421" i="11" s="1"/>
  <c r="BI459" i="1"/>
  <c r="AO421" i="11" s="1"/>
  <c r="BH459" i="1"/>
  <c r="AN421" i="11" s="1"/>
  <c r="BG459" i="1"/>
  <c r="AM421" i="11" s="1"/>
  <c r="BF459" i="1"/>
  <c r="AL421" i="11" s="1"/>
  <c r="BE459" i="1"/>
  <c r="AK421" i="11" s="1"/>
  <c r="BD459" i="1"/>
  <c r="AJ421" i="11" s="1"/>
  <c r="BC459" i="1"/>
  <c r="AI421" i="11" s="1"/>
  <c r="BB459" i="1"/>
  <c r="AH421" i="11" s="1"/>
  <c r="BA459" i="1"/>
  <c r="AG421" i="11" s="1"/>
  <c r="AZ459" i="1"/>
  <c r="AF421" i="11" s="1"/>
  <c r="AU459" i="1"/>
  <c r="AS459" i="1"/>
  <c r="U421" i="11" s="1"/>
  <c r="AR459" i="1"/>
  <c r="T421" i="11" s="1"/>
  <c r="AQ459" i="1"/>
  <c r="S421" i="11" s="1"/>
  <c r="AO459" i="1"/>
  <c r="Q421" i="11" s="1"/>
  <c r="AN459" i="1"/>
  <c r="P421" i="11" s="1"/>
  <c r="AM459" i="1"/>
  <c r="O421" i="11" s="1"/>
  <c r="AK459" i="1"/>
  <c r="M421" i="11" s="1"/>
  <c r="AJ459" i="1"/>
  <c r="L421" i="11" s="1"/>
  <c r="AI459" i="1"/>
  <c r="K421" i="11" s="1"/>
  <c r="AG459" i="1"/>
  <c r="I421" i="11" s="1"/>
  <c r="AF459" i="1"/>
  <c r="H421" i="11" s="1"/>
  <c r="AE459" i="1"/>
  <c r="G421" i="11" s="1"/>
  <c r="AD459" i="1"/>
  <c r="F421" i="11" s="1"/>
  <c r="AC459" i="1"/>
  <c r="E421" i="11" s="1"/>
  <c r="AB459" i="1"/>
  <c r="D421" i="11" s="1"/>
  <c r="AA459" i="1"/>
  <c r="C421" i="11" s="1"/>
  <c r="Z459" i="1"/>
  <c r="Y459" i="1"/>
  <c r="X459" i="1"/>
  <c r="W459" i="1"/>
  <c r="V459" i="1"/>
  <c r="U459" i="1"/>
  <c r="T459" i="1"/>
  <c r="S459" i="1"/>
  <c r="R459" i="1"/>
  <c r="Q459" i="1"/>
  <c r="P459" i="1"/>
  <c r="O459" i="1"/>
  <c r="N459" i="1"/>
  <c r="M459" i="1"/>
  <c r="L459" i="1"/>
  <c r="K459" i="1"/>
  <c r="J459" i="1"/>
  <c r="I459" i="1"/>
  <c r="H459" i="1"/>
  <c r="G459" i="1"/>
  <c r="F459" i="1"/>
  <c r="E459" i="1"/>
  <c r="D459" i="1"/>
  <c r="C459" i="1"/>
  <c r="BP458" i="1"/>
  <c r="BN458" i="1"/>
  <c r="AT420" i="11" s="1"/>
  <c r="BM458" i="1"/>
  <c r="AS420" i="11" s="1"/>
  <c r="BL458" i="1"/>
  <c r="AR420" i="11" s="1"/>
  <c r="BK458" i="1"/>
  <c r="AQ420" i="11" s="1"/>
  <c r="BJ458" i="1"/>
  <c r="BI458" i="1"/>
  <c r="BH458" i="1"/>
  <c r="BG458" i="1"/>
  <c r="BF458" i="1"/>
  <c r="BE458" i="1"/>
  <c r="BD458" i="1"/>
  <c r="BC458" i="1"/>
  <c r="AI420" i="11" s="1"/>
  <c r="BB458" i="1"/>
  <c r="AH420" i="11" s="1"/>
  <c r="BA458" i="1"/>
  <c r="AG420" i="11" s="1"/>
  <c r="AZ458" i="1"/>
  <c r="AF420" i="11" s="1"/>
  <c r="AU458" i="1"/>
  <c r="W420" i="11" s="1"/>
  <c r="Z420" i="11" s="1"/>
  <c r="AS458" i="1"/>
  <c r="U420" i="11" s="1"/>
  <c r="AR458" i="1"/>
  <c r="T420" i="11" s="1"/>
  <c r="AQ458" i="1"/>
  <c r="S420" i="11" s="1"/>
  <c r="AO458" i="1"/>
  <c r="Q420" i="11" s="1"/>
  <c r="AN458" i="1"/>
  <c r="P420" i="11" s="1"/>
  <c r="AM458" i="1"/>
  <c r="O420" i="11" s="1"/>
  <c r="AK458" i="1"/>
  <c r="M420" i="11" s="1"/>
  <c r="AJ458" i="1"/>
  <c r="L420" i="11" s="1"/>
  <c r="AI458" i="1"/>
  <c r="K420" i="11" s="1"/>
  <c r="AG458" i="1"/>
  <c r="I420" i="11" s="1"/>
  <c r="AF458" i="1"/>
  <c r="H420" i="11" s="1"/>
  <c r="AE458" i="1"/>
  <c r="G420" i="11" s="1"/>
  <c r="AC458" i="1"/>
  <c r="E420" i="11" s="1"/>
  <c r="AB458" i="1"/>
  <c r="D420" i="11" s="1"/>
  <c r="AA458" i="1"/>
  <c r="C420" i="11" s="1"/>
  <c r="Y458" i="1"/>
  <c r="X458" i="1"/>
  <c r="W458" i="1"/>
  <c r="U458" i="1"/>
  <c r="T458" i="1"/>
  <c r="S458" i="1"/>
  <c r="Q458" i="1"/>
  <c r="P458" i="1"/>
  <c r="O458" i="1"/>
  <c r="N458" i="1"/>
  <c r="M458" i="1"/>
  <c r="L458" i="1"/>
  <c r="K458" i="1"/>
  <c r="J458" i="1"/>
  <c r="I458" i="1"/>
  <c r="H458" i="1"/>
  <c r="G458" i="1"/>
  <c r="F458" i="1"/>
  <c r="E458" i="1"/>
  <c r="D458" i="1"/>
  <c r="C458" i="1"/>
  <c r="A458" i="1"/>
  <c r="BP457" i="1"/>
  <c r="BN457" i="1"/>
  <c r="AT419" i="11" s="1"/>
  <c r="BM457" i="1"/>
  <c r="AS419" i="11" s="1"/>
  <c r="BL457" i="1"/>
  <c r="AR419" i="11" s="1"/>
  <c r="BK457" i="1"/>
  <c r="AQ419" i="11" s="1"/>
  <c r="BJ457" i="1"/>
  <c r="AP419" i="11" s="1"/>
  <c r="BI457" i="1"/>
  <c r="AO419" i="11" s="1"/>
  <c r="BH457" i="1"/>
  <c r="AN419" i="11" s="1"/>
  <c r="BG457" i="1"/>
  <c r="AM419" i="11" s="1"/>
  <c r="BF457" i="1"/>
  <c r="AL419" i="11" s="1"/>
  <c r="BE457" i="1"/>
  <c r="AK419" i="11" s="1"/>
  <c r="BD457" i="1"/>
  <c r="AJ419" i="11" s="1"/>
  <c r="BC457" i="1"/>
  <c r="AI419" i="11" s="1"/>
  <c r="BB457" i="1"/>
  <c r="AH419" i="11" s="1"/>
  <c r="BA457" i="1"/>
  <c r="AG419" i="11" s="1"/>
  <c r="AZ457" i="1"/>
  <c r="AF419" i="11" s="1"/>
  <c r="AU457" i="1"/>
  <c r="AS457" i="1"/>
  <c r="U419" i="11" s="1"/>
  <c r="AR457" i="1"/>
  <c r="T419" i="11" s="1"/>
  <c r="AQ457" i="1"/>
  <c r="S419" i="11" s="1"/>
  <c r="AO457" i="1"/>
  <c r="Q419" i="11" s="1"/>
  <c r="AN457" i="1"/>
  <c r="P419" i="11" s="1"/>
  <c r="AM457" i="1"/>
  <c r="O419" i="11" s="1"/>
  <c r="AK457" i="1"/>
  <c r="M419" i="11" s="1"/>
  <c r="AJ457" i="1"/>
  <c r="L419" i="11" s="1"/>
  <c r="AI457" i="1"/>
  <c r="K419" i="11" s="1"/>
  <c r="AG457" i="1"/>
  <c r="I419" i="11" s="1"/>
  <c r="AF457" i="1"/>
  <c r="H419" i="11" s="1"/>
  <c r="AE457" i="1"/>
  <c r="G419" i="11" s="1"/>
  <c r="AC457" i="1"/>
  <c r="E419" i="11" s="1"/>
  <c r="AB457" i="1"/>
  <c r="D419" i="11" s="1"/>
  <c r="AA457" i="1"/>
  <c r="C419" i="11" s="1"/>
  <c r="Y457" i="1"/>
  <c r="X457" i="1"/>
  <c r="W457" i="1"/>
  <c r="U457" i="1"/>
  <c r="T457" i="1"/>
  <c r="S457" i="1"/>
  <c r="Q457" i="1"/>
  <c r="P457" i="1"/>
  <c r="O457" i="1"/>
  <c r="M457" i="1"/>
  <c r="L457" i="1"/>
  <c r="K457" i="1"/>
  <c r="I457" i="1"/>
  <c r="H457" i="1"/>
  <c r="G457" i="1"/>
  <c r="E457" i="1"/>
  <c r="D457" i="1"/>
  <c r="C457" i="1"/>
  <c r="A457" i="1"/>
  <c r="BP456" i="1"/>
  <c r="BN456" i="1"/>
  <c r="AT418" i="11" s="1"/>
  <c r="BM456" i="1"/>
  <c r="AS418" i="11" s="1"/>
  <c r="BL456" i="1"/>
  <c r="AR418" i="11" s="1"/>
  <c r="BK456" i="1"/>
  <c r="AQ418" i="11" s="1"/>
  <c r="BJ456" i="1"/>
  <c r="AP418" i="11" s="1"/>
  <c r="BI456" i="1"/>
  <c r="AO418" i="11" s="1"/>
  <c r="BH456" i="1"/>
  <c r="AN418" i="11" s="1"/>
  <c r="BG456" i="1"/>
  <c r="AM418" i="11" s="1"/>
  <c r="BF456" i="1"/>
  <c r="AL418" i="11" s="1"/>
  <c r="BE456" i="1"/>
  <c r="AK418" i="11" s="1"/>
  <c r="BD456" i="1"/>
  <c r="AJ418" i="11" s="1"/>
  <c r="BC456" i="1"/>
  <c r="AI418" i="11" s="1"/>
  <c r="BB456" i="1"/>
  <c r="AH418" i="11" s="1"/>
  <c r="BA456" i="1"/>
  <c r="AG418" i="11" s="1"/>
  <c r="AZ456" i="1"/>
  <c r="AF418" i="11" s="1"/>
  <c r="AU456" i="1"/>
  <c r="AS456" i="1"/>
  <c r="U418" i="11" s="1"/>
  <c r="AR456" i="1"/>
  <c r="T418" i="11" s="1"/>
  <c r="AQ456" i="1"/>
  <c r="S418" i="11" s="1"/>
  <c r="AO456" i="1"/>
  <c r="Q418" i="11" s="1"/>
  <c r="AN456" i="1"/>
  <c r="P418" i="11" s="1"/>
  <c r="AM456" i="1"/>
  <c r="O418" i="11" s="1"/>
  <c r="AK456" i="1"/>
  <c r="M418" i="11" s="1"/>
  <c r="AJ456" i="1"/>
  <c r="L418" i="11" s="1"/>
  <c r="AI456" i="1"/>
  <c r="K418" i="11" s="1"/>
  <c r="AG456" i="1"/>
  <c r="I418" i="11" s="1"/>
  <c r="AF456" i="1"/>
  <c r="H418" i="11" s="1"/>
  <c r="AE456" i="1"/>
  <c r="G418" i="11" s="1"/>
  <c r="AC456" i="1"/>
  <c r="E418" i="11" s="1"/>
  <c r="AB456" i="1"/>
  <c r="D418" i="11" s="1"/>
  <c r="AA456" i="1"/>
  <c r="C418" i="11" s="1"/>
  <c r="Y456" i="1"/>
  <c r="X456" i="1"/>
  <c r="W456" i="1"/>
  <c r="U456" i="1"/>
  <c r="T456" i="1"/>
  <c r="S456" i="1"/>
  <c r="R456" i="1"/>
  <c r="Q456" i="1"/>
  <c r="P456" i="1"/>
  <c r="O456" i="1"/>
  <c r="N456" i="1"/>
  <c r="M456" i="1"/>
  <c r="L456" i="1"/>
  <c r="K456" i="1"/>
  <c r="J456" i="1"/>
  <c r="I456" i="1"/>
  <c r="H456" i="1"/>
  <c r="G456" i="1"/>
  <c r="F456" i="1"/>
  <c r="E456" i="1"/>
  <c r="D456" i="1"/>
  <c r="C456" i="1"/>
  <c r="A456" i="1"/>
  <c r="BP455" i="1"/>
  <c r="BN455" i="1"/>
  <c r="AT415" i="11" s="1"/>
  <c r="BM455" i="1"/>
  <c r="AS415" i="11" s="1"/>
  <c r="BL455" i="1"/>
  <c r="AR415" i="11" s="1"/>
  <c r="BK455" i="1"/>
  <c r="AQ415" i="11" s="1"/>
  <c r="BJ455" i="1"/>
  <c r="AP415" i="11" s="1"/>
  <c r="BI455" i="1"/>
  <c r="AO415" i="11" s="1"/>
  <c r="BH455" i="1"/>
  <c r="AN415" i="11" s="1"/>
  <c r="BG455" i="1"/>
  <c r="AM415" i="11" s="1"/>
  <c r="BF455" i="1"/>
  <c r="AL415" i="11" s="1"/>
  <c r="BE455" i="1"/>
  <c r="AK415" i="11" s="1"/>
  <c r="BD455" i="1"/>
  <c r="AJ415" i="11" s="1"/>
  <c r="BC455" i="1"/>
  <c r="AI415" i="11" s="1"/>
  <c r="BB455" i="1"/>
  <c r="AH415" i="11" s="1"/>
  <c r="BA455" i="1"/>
  <c r="AG415" i="11" s="1"/>
  <c r="AZ455" i="1"/>
  <c r="AF415" i="11" s="1"/>
  <c r="AU455" i="1"/>
  <c r="AS455" i="1"/>
  <c r="U415" i="11" s="1"/>
  <c r="AR455" i="1"/>
  <c r="T415" i="11" s="1"/>
  <c r="AQ455" i="1"/>
  <c r="S415" i="11" s="1"/>
  <c r="AO455" i="1"/>
  <c r="Q415" i="11" s="1"/>
  <c r="AN455" i="1"/>
  <c r="P415" i="11" s="1"/>
  <c r="AM455" i="1"/>
  <c r="O415" i="11" s="1"/>
  <c r="AK455" i="1"/>
  <c r="M415" i="11" s="1"/>
  <c r="AJ455" i="1"/>
  <c r="L415" i="11" s="1"/>
  <c r="AI455" i="1"/>
  <c r="K415" i="11" s="1"/>
  <c r="AG455" i="1"/>
  <c r="I415" i="11" s="1"/>
  <c r="AF455" i="1"/>
  <c r="H415" i="11" s="1"/>
  <c r="AE455" i="1"/>
  <c r="G415" i="11" s="1"/>
  <c r="AC455" i="1"/>
  <c r="E415" i="11" s="1"/>
  <c r="AB455" i="1"/>
  <c r="D415" i="11" s="1"/>
  <c r="AA455" i="1"/>
  <c r="C415" i="11" s="1"/>
  <c r="Y455" i="1"/>
  <c r="X455" i="1"/>
  <c r="W455" i="1"/>
  <c r="U455" i="1"/>
  <c r="T455" i="1"/>
  <c r="S455" i="1"/>
  <c r="R455" i="1"/>
  <c r="Q455" i="1"/>
  <c r="P455" i="1"/>
  <c r="O455" i="1"/>
  <c r="N455" i="1"/>
  <c r="M455" i="1"/>
  <c r="L455" i="1"/>
  <c r="K455" i="1"/>
  <c r="J455" i="1"/>
  <c r="I455" i="1"/>
  <c r="H455" i="1"/>
  <c r="G455" i="1"/>
  <c r="F455" i="1"/>
  <c r="E455" i="1"/>
  <c r="D455" i="1"/>
  <c r="C455" i="1"/>
  <c r="A455" i="1"/>
  <c r="BP454" i="1"/>
  <c r="BN454" i="1"/>
  <c r="AT414" i="11" s="1"/>
  <c r="BM454" i="1"/>
  <c r="AS414" i="11" s="1"/>
  <c r="BL454" i="1"/>
  <c r="AR414" i="11" s="1"/>
  <c r="BK454" i="1"/>
  <c r="AQ414" i="11" s="1"/>
  <c r="BJ454" i="1"/>
  <c r="AP414" i="11" s="1"/>
  <c r="AP58" i="11" s="1"/>
  <c r="BI454" i="1"/>
  <c r="AO414" i="11" s="1"/>
  <c r="AO58" i="11" s="1"/>
  <c r="BH454" i="1"/>
  <c r="AN414" i="11" s="1"/>
  <c r="AN58" i="11" s="1"/>
  <c r="BG454" i="1"/>
  <c r="AM414" i="11" s="1"/>
  <c r="AM58" i="11" s="1"/>
  <c r="BF454" i="1"/>
  <c r="AL414" i="11" s="1"/>
  <c r="AL58" i="11" s="1"/>
  <c r="BE454" i="1"/>
  <c r="AK414" i="11" s="1"/>
  <c r="AK58" i="11" s="1"/>
  <c r="BD454" i="1"/>
  <c r="AJ414" i="11" s="1"/>
  <c r="AJ58" i="11" s="1"/>
  <c r="BC454" i="1"/>
  <c r="AI414" i="11" s="1"/>
  <c r="BB454" i="1"/>
  <c r="AH414" i="11" s="1"/>
  <c r="BA454" i="1"/>
  <c r="AG414" i="11" s="1"/>
  <c r="AZ454" i="1"/>
  <c r="AF414" i="11" s="1"/>
  <c r="AU454" i="1"/>
  <c r="W414" i="11" s="1"/>
  <c r="AS454" i="1"/>
  <c r="AR454" i="1"/>
  <c r="AQ454" i="1"/>
  <c r="AO454" i="1"/>
  <c r="Q414" i="11" s="1"/>
  <c r="AN454" i="1"/>
  <c r="AM454" i="1"/>
  <c r="AK454" i="1"/>
  <c r="AJ454" i="1"/>
  <c r="AI454" i="1"/>
  <c r="AG454" i="1"/>
  <c r="AF454" i="1"/>
  <c r="AE454" i="1"/>
  <c r="AC454" i="1"/>
  <c r="AB454" i="1"/>
  <c r="AA454" i="1"/>
  <c r="Y454" i="1"/>
  <c r="X454" i="1"/>
  <c r="W454" i="1"/>
  <c r="U454" i="1"/>
  <c r="T454" i="1"/>
  <c r="S454" i="1"/>
  <c r="Q454" i="1"/>
  <c r="P454" i="1"/>
  <c r="O454" i="1"/>
  <c r="M454" i="1"/>
  <c r="L454" i="1"/>
  <c r="K454" i="1"/>
  <c r="I454" i="1"/>
  <c r="H454" i="1"/>
  <c r="G454" i="1"/>
  <c r="E454" i="1"/>
  <c r="D454" i="1"/>
  <c r="C454" i="1"/>
  <c r="A454" i="1"/>
  <c r="A58" i="11" s="1"/>
  <c r="BN453" i="1"/>
  <c r="AT413" i="11" s="1"/>
  <c r="BM453" i="1"/>
  <c r="AS413" i="11" s="1"/>
  <c r="BL453" i="1"/>
  <c r="AR413" i="11" s="1"/>
  <c r="BK453" i="1"/>
  <c r="AQ413" i="11" s="1"/>
  <c r="BJ453" i="1"/>
  <c r="AP413" i="11" s="1"/>
  <c r="AP57" i="11" s="1"/>
  <c r="BI453" i="1"/>
  <c r="AO413" i="11" s="1"/>
  <c r="AO57" i="11" s="1"/>
  <c r="BH453" i="1"/>
  <c r="AN413" i="11" s="1"/>
  <c r="AN57" i="11" s="1"/>
  <c r="BG453" i="1"/>
  <c r="AM413" i="11" s="1"/>
  <c r="AM57" i="11" s="1"/>
  <c r="BF453" i="1"/>
  <c r="AL413" i="11" s="1"/>
  <c r="AL57" i="11" s="1"/>
  <c r="BE453" i="1"/>
  <c r="AK413" i="11" s="1"/>
  <c r="AK57" i="11" s="1"/>
  <c r="BD453" i="1"/>
  <c r="AJ413" i="11" s="1"/>
  <c r="AJ57" i="11" s="1"/>
  <c r="BC453" i="1"/>
  <c r="AI413" i="11" s="1"/>
  <c r="BB453" i="1"/>
  <c r="AH413" i="11" s="1"/>
  <c r="BA453" i="1"/>
  <c r="AG413" i="11" s="1"/>
  <c r="AZ453" i="1"/>
  <c r="AF413" i="11" s="1"/>
  <c r="AU453" i="1"/>
  <c r="AS453" i="1"/>
  <c r="U413" i="11" s="1"/>
  <c r="AR453" i="1"/>
  <c r="T413" i="11" s="1"/>
  <c r="AQ453" i="1"/>
  <c r="S413" i="11" s="1"/>
  <c r="AO453" i="1"/>
  <c r="AN453" i="1"/>
  <c r="P413" i="11" s="1"/>
  <c r="AM453" i="1"/>
  <c r="AK453" i="1"/>
  <c r="AJ453" i="1"/>
  <c r="AI453" i="1"/>
  <c r="AG453" i="1"/>
  <c r="I413" i="11" s="1"/>
  <c r="AF453" i="1"/>
  <c r="H413" i="11" s="1"/>
  <c r="AE453" i="1"/>
  <c r="G413" i="11" s="1"/>
  <c r="AC453" i="1"/>
  <c r="AB453" i="1"/>
  <c r="D413" i="11" s="1"/>
  <c r="AA453" i="1"/>
  <c r="C413" i="11" s="1"/>
  <c r="Y453" i="1"/>
  <c r="X453" i="1"/>
  <c r="W453" i="1"/>
  <c r="U453" i="1"/>
  <c r="T453" i="1"/>
  <c r="S453" i="1"/>
  <c r="Q453" i="1"/>
  <c r="P453" i="1"/>
  <c r="O453" i="1"/>
  <c r="M453" i="1"/>
  <c r="L453" i="1"/>
  <c r="K453" i="1"/>
  <c r="I453" i="1"/>
  <c r="H453" i="1"/>
  <c r="G453" i="1"/>
  <c r="E453" i="1"/>
  <c r="D453" i="1"/>
  <c r="C453" i="1"/>
  <c r="A453" i="1"/>
  <c r="A57" i="11" s="1"/>
  <c r="BN452" i="1"/>
  <c r="AT412" i="11" s="1"/>
  <c r="BM452" i="1"/>
  <c r="AS412" i="11" s="1"/>
  <c r="BL452" i="1"/>
  <c r="AR412" i="11" s="1"/>
  <c r="BK452" i="1"/>
  <c r="AQ412" i="11" s="1"/>
  <c r="BJ452" i="1"/>
  <c r="AP412" i="11" s="1"/>
  <c r="AP56" i="11" s="1"/>
  <c r="BI452" i="1"/>
  <c r="AO412" i="11" s="1"/>
  <c r="AO56" i="11" s="1"/>
  <c r="BH452" i="1"/>
  <c r="AN412" i="11" s="1"/>
  <c r="AN56" i="11" s="1"/>
  <c r="BG452" i="1"/>
  <c r="AM412" i="11" s="1"/>
  <c r="AM56" i="11" s="1"/>
  <c r="BF452" i="1"/>
  <c r="AL412" i="11" s="1"/>
  <c r="AL56" i="11" s="1"/>
  <c r="BE452" i="1"/>
  <c r="AK412" i="11" s="1"/>
  <c r="AK56" i="11" s="1"/>
  <c r="BD452" i="1"/>
  <c r="AJ412" i="11" s="1"/>
  <c r="AJ56" i="11" s="1"/>
  <c r="BC452" i="1"/>
  <c r="AI412" i="11" s="1"/>
  <c r="BB452" i="1"/>
  <c r="AH412" i="11" s="1"/>
  <c r="BA452" i="1"/>
  <c r="AG412" i="11" s="1"/>
  <c r="AZ452" i="1"/>
  <c r="AF412" i="11" s="1"/>
  <c r="AU452" i="1"/>
  <c r="AS452" i="1"/>
  <c r="AR452" i="1"/>
  <c r="AQ452" i="1"/>
  <c r="S412" i="11" s="1"/>
  <c r="AO452" i="1"/>
  <c r="AN452" i="1"/>
  <c r="AM452" i="1"/>
  <c r="O412" i="11" s="1"/>
  <c r="AK452" i="1"/>
  <c r="AJ452" i="1"/>
  <c r="AI452" i="1"/>
  <c r="AG452" i="1"/>
  <c r="AF452" i="1"/>
  <c r="AE452" i="1"/>
  <c r="AC452" i="1"/>
  <c r="AB452" i="1"/>
  <c r="AA452" i="1"/>
  <c r="Y452" i="1"/>
  <c r="X452" i="1"/>
  <c r="W452" i="1"/>
  <c r="U452" i="1"/>
  <c r="T452" i="1"/>
  <c r="S452" i="1"/>
  <c r="Q452" i="1"/>
  <c r="P452" i="1"/>
  <c r="O452" i="1"/>
  <c r="M452" i="1"/>
  <c r="L452" i="1"/>
  <c r="K452" i="1"/>
  <c r="I452" i="1"/>
  <c r="H452" i="1"/>
  <c r="G452" i="1"/>
  <c r="E452" i="1"/>
  <c r="D452" i="1"/>
  <c r="C452" i="1"/>
  <c r="A452" i="1"/>
  <c r="A56" i="11" s="1"/>
  <c r="A451" i="1"/>
  <c r="A449" i="1"/>
  <c r="A448" i="1"/>
  <c r="BP447" i="1"/>
  <c r="BN447" i="1"/>
  <c r="AT408" i="11" s="1"/>
  <c r="BM447" i="1"/>
  <c r="AS408" i="11" s="1"/>
  <c r="BL447" i="1"/>
  <c r="AR408" i="11" s="1"/>
  <c r="BK447" i="1"/>
  <c r="AQ408" i="11" s="1"/>
  <c r="BJ447" i="1"/>
  <c r="AP408" i="11" s="1"/>
  <c r="BI447" i="1"/>
  <c r="AO408" i="11" s="1"/>
  <c r="BH447" i="1"/>
  <c r="AN408" i="11" s="1"/>
  <c r="BG447" i="1"/>
  <c r="AM408" i="11" s="1"/>
  <c r="BF447" i="1"/>
  <c r="AL408" i="11" s="1"/>
  <c r="BE447" i="1"/>
  <c r="AK408" i="11" s="1"/>
  <c r="BD447" i="1"/>
  <c r="AJ408" i="11" s="1"/>
  <c r="BC447" i="1"/>
  <c r="AI408" i="11" s="1"/>
  <c r="BB447" i="1"/>
  <c r="AH408" i="11" s="1"/>
  <c r="BA447" i="1"/>
  <c r="AG408" i="11" s="1"/>
  <c r="AZ447" i="1"/>
  <c r="AF408" i="11" s="1"/>
  <c r="AU447" i="1"/>
  <c r="AS447" i="1"/>
  <c r="U408" i="11" s="1"/>
  <c r="AR447" i="1"/>
  <c r="T408" i="11" s="1"/>
  <c r="AQ447" i="1"/>
  <c r="S408" i="11" s="1"/>
  <c r="AO447" i="1"/>
  <c r="Q408" i="11" s="1"/>
  <c r="AN447" i="1"/>
  <c r="P408" i="11" s="1"/>
  <c r="AM447" i="1"/>
  <c r="O408" i="11" s="1"/>
  <c r="AK447" i="1"/>
  <c r="M408" i="11" s="1"/>
  <c r="AJ447" i="1"/>
  <c r="L408" i="11" s="1"/>
  <c r="AI447" i="1"/>
  <c r="K408" i="11" s="1"/>
  <c r="AG447" i="1"/>
  <c r="I408" i="11" s="1"/>
  <c r="AF447" i="1"/>
  <c r="H408" i="11" s="1"/>
  <c r="AE447" i="1"/>
  <c r="G408" i="11" s="1"/>
  <c r="AC447" i="1"/>
  <c r="E408" i="11" s="1"/>
  <c r="AB447" i="1"/>
  <c r="D408" i="11" s="1"/>
  <c r="AA447" i="1"/>
  <c r="C408" i="11" s="1"/>
  <c r="Y447" i="1"/>
  <c r="X447" i="1"/>
  <c r="W447" i="1"/>
  <c r="U447" i="1"/>
  <c r="T447" i="1"/>
  <c r="S447" i="1"/>
  <c r="Q447" i="1"/>
  <c r="P447" i="1"/>
  <c r="O447" i="1"/>
  <c r="M447" i="1"/>
  <c r="L447" i="1"/>
  <c r="K447" i="1"/>
  <c r="I447" i="1"/>
  <c r="H447" i="1"/>
  <c r="G447" i="1"/>
  <c r="E447" i="1"/>
  <c r="D447" i="1"/>
  <c r="C447" i="1"/>
  <c r="A447" i="1"/>
  <c r="BP446" i="1"/>
  <c r="BN446" i="1"/>
  <c r="AT407" i="11" s="1"/>
  <c r="BM446" i="1"/>
  <c r="AS407" i="11" s="1"/>
  <c r="BL446" i="1"/>
  <c r="AR407" i="11" s="1"/>
  <c r="BK446" i="1"/>
  <c r="AQ407" i="11" s="1"/>
  <c r="BJ446" i="1"/>
  <c r="AP407" i="11" s="1"/>
  <c r="BI446" i="1"/>
  <c r="AO407" i="11" s="1"/>
  <c r="BH446" i="1"/>
  <c r="AN407" i="11" s="1"/>
  <c r="BG446" i="1"/>
  <c r="AM407" i="11" s="1"/>
  <c r="BF446" i="1"/>
  <c r="AL407" i="11" s="1"/>
  <c r="BE446" i="1"/>
  <c r="AK407" i="11" s="1"/>
  <c r="BD446" i="1"/>
  <c r="AJ407" i="11" s="1"/>
  <c r="BC446" i="1"/>
  <c r="AI407" i="11" s="1"/>
  <c r="BB446" i="1"/>
  <c r="AH407" i="11" s="1"/>
  <c r="BA446" i="1"/>
  <c r="AG407" i="11" s="1"/>
  <c r="AZ446" i="1"/>
  <c r="AF407" i="11" s="1"/>
  <c r="AU446" i="1"/>
  <c r="AS446" i="1"/>
  <c r="U407" i="11" s="1"/>
  <c r="AR446" i="1"/>
  <c r="T407" i="11" s="1"/>
  <c r="AQ446" i="1"/>
  <c r="S407" i="11" s="1"/>
  <c r="AO446" i="1"/>
  <c r="Q407" i="11" s="1"/>
  <c r="AN446" i="1"/>
  <c r="P407" i="11" s="1"/>
  <c r="AM446" i="1"/>
  <c r="O407" i="11" s="1"/>
  <c r="AK446" i="1"/>
  <c r="M407" i="11" s="1"/>
  <c r="AJ446" i="1"/>
  <c r="L407" i="11" s="1"/>
  <c r="AI446" i="1"/>
  <c r="K407" i="11" s="1"/>
  <c r="AG446" i="1"/>
  <c r="I407" i="11" s="1"/>
  <c r="AF446" i="1"/>
  <c r="H407" i="11" s="1"/>
  <c r="AE446" i="1"/>
  <c r="G407" i="11" s="1"/>
  <c r="AC446" i="1"/>
  <c r="E407" i="11" s="1"/>
  <c r="AB446" i="1"/>
  <c r="D407" i="11" s="1"/>
  <c r="AA446" i="1"/>
  <c r="C407" i="11" s="1"/>
  <c r="Y446" i="1"/>
  <c r="X446" i="1"/>
  <c r="W446" i="1"/>
  <c r="U446" i="1"/>
  <c r="T446" i="1"/>
  <c r="S446" i="1"/>
  <c r="Q446" i="1"/>
  <c r="P446" i="1"/>
  <c r="O446" i="1"/>
  <c r="M446" i="1"/>
  <c r="L446" i="1"/>
  <c r="K446" i="1"/>
  <c r="I446" i="1"/>
  <c r="H446" i="1"/>
  <c r="G446" i="1"/>
  <c r="E446" i="1"/>
  <c r="D446" i="1"/>
  <c r="C446" i="1"/>
  <c r="A446" i="1"/>
  <c r="BN445" i="1"/>
  <c r="AT406" i="11" s="1"/>
  <c r="BM445" i="1"/>
  <c r="AS406" i="11" s="1"/>
  <c r="BL445" i="1"/>
  <c r="AR406" i="11" s="1"/>
  <c r="BK445" i="1"/>
  <c r="AQ406" i="11" s="1"/>
  <c r="BJ445" i="1"/>
  <c r="AP406" i="11" s="1"/>
  <c r="BI445" i="1"/>
  <c r="AO406" i="11" s="1"/>
  <c r="BH445" i="1"/>
  <c r="AN406" i="11" s="1"/>
  <c r="BG445" i="1"/>
  <c r="AM406" i="11" s="1"/>
  <c r="BF445" i="1"/>
  <c r="AL406" i="11" s="1"/>
  <c r="BE445" i="1"/>
  <c r="AK406" i="11" s="1"/>
  <c r="BD445" i="1"/>
  <c r="AJ406" i="11" s="1"/>
  <c r="BC445" i="1"/>
  <c r="AI406" i="11" s="1"/>
  <c r="BB445" i="1"/>
  <c r="AH406" i="11" s="1"/>
  <c r="BA445" i="1"/>
  <c r="AG406" i="11" s="1"/>
  <c r="AZ445" i="1"/>
  <c r="AF406" i="11" s="1"/>
  <c r="AU445" i="1"/>
  <c r="W406" i="11" s="1"/>
  <c r="AS445" i="1"/>
  <c r="U406" i="11" s="1"/>
  <c r="AR445" i="1"/>
  <c r="T406" i="11" s="1"/>
  <c r="AQ445" i="1"/>
  <c r="S406" i="11" s="1"/>
  <c r="AO445" i="1"/>
  <c r="Q406" i="11" s="1"/>
  <c r="AN445" i="1"/>
  <c r="P406" i="11" s="1"/>
  <c r="AM445" i="1"/>
  <c r="O406" i="11" s="1"/>
  <c r="AK445" i="1"/>
  <c r="M406" i="11" s="1"/>
  <c r="AJ445" i="1"/>
  <c r="L406" i="11" s="1"/>
  <c r="AI445" i="1"/>
  <c r="K406" i="11" s="1"/>
  <c r="AG445" i="1"/>
  <c r="I406" i="11" s="1"/>
  <c r="AF445" i="1"/>
  <c r="H406" i="11" s="1"/>
  <c r="AE445" i="1"/>
  <c r="G406" i="11" s="1"/>
  <c r="AC445" i="1"/>
  <c r="E406" i="11" s="1"/>
  <c r="AB445" i="1"/>
  <c r="D406" i="11" s="1"/>
  <c r="AA445" i="1"/>
  <c r="C406" i="11" s="1"/>
  <c r="Y445" i="1"/>
  <c r="X445" i="1"/>
  <c r="W445" i="1"/>
  <c r="U445" i="1"/>
  <c r="T445" i="1"/>
  <c r="S445" i="1"/>
  <c r="Q445" i="1"/>
  <c r="P445" i="1"/>
  <c r="O445" i="1"/>
  <c r="M445" i="1"/>
  <c r="L445" i="1"/>
  <c r="K445" i="1"/>
  <c r="I445" i="1"/>
  <c r="H445" i="1"/>
  <c r="G445" i="1"/>
  <c r="E445" i="1"/>
  <c r="D445" i="1"/>
  <c r="C445" i="1"/>
  <c r="A445" i="1"/>
  <c r="BN444" i="1"/>
  <c r="AT405" i="11" s="1"/>
  <c r="BM444" i="1"/>
  <c r="AS405" i="11" s="1"/>
  <c r="BL444" i="1"/>
  <c r="AR405" i="11" s="1"/>
  <c r="BK444" i="1"/>
  <c r="AQ405" i="11" s="1"/>
  <c r="BJ444" i="1"/>
  <c r="AP405" i="11" s="1"/>
  <c r="BI444" i="1"/>
  <c r="AO405" i="11" s="1"/>
  <c r="BH444" i="1"/>
  <c r="AN405" i="11" s="1"/>
  <c r="BG444" i="1"/>
  <c r="AM405" i="11" s="1"/>
  <c r="BF444" i="1"/>
  <c r="AL405" i="11" s="1"/>
  <c r="BE444" i="1"/>
  <c r="AK405" i="11" s="1"/>
  <c r="BD444" i="1"/>
  <c r="AJ405" i="11" s="1"/>
  <c r="BC444" i="1"/>
  <c r="AI405" i="11" s="1"/>
  <c r="BB444" i="1"/>
  <c r="AH405" i="11" s="1"/>
  <c r="BA444" i="1"/>
  <c r="AG405" i="11" s="1"/>
  <c r="AZ444" i="1"/>
  <c r="AF405" i="11" s="1"/>
  <c r="AU444" i="1"/>
  <c r="W405" i="11" s="1"/>
  <c r="AS444" i="1"/>
  <c r="U405" i="11" s="1"/>
  <c r="AR444" i="1"/>
  <c r="T405" i="11" s="1"/>
  <c r="AQ444" i="1"/>
  <c r="S405" i="11" s="1"/>
  <c r="AO444" i="1"/>
  <c r="Q405" i="11" s="1"/>
  <c r="AN444" i="1"/>
  <c r="P405" i="11" s="1"/>
  <c r="AM444" i="1"/>
  <c r="O405" i="11" s="1"/>
  <c r="AK444" i="1"/>
  <c r="M405" i="11" s="1"/>
  <c r="AJ444" i="1"/>
  <c r="L405" i="11" s="1"/>
  <c r="AI444" i="1"/>
  <c r="K405" i="11" s="1"/>
  <c r="AG444" i="1"/>
  <c r="I405" i="11" s="1"/>
  <c r="AF444" i="1"/>
  <c r="H405" i="11" s="1"/>
  <c r="AE444" i="1"/>
  <c r="G405" i="11" s="1"/>
  <c r="AD444" i="1"/>
  <c r="F405" i="11" s="1"/>
  <c r="AC444" i="1"/>
  <c r="E405" i="11" s="1"/>
  <c r="AB444" i="1"/>
  <c r="D405" i="11" s="1"/>
  <c r="AA444" i="1"/>
  <c r="C405" i="11" s="1"/>
  <c r="Z444" i="1"/>
  <c r="Y444" i="1"/>
  <c r="X444" i="1"/>
  <c r="W444" i="1"/>
  <c r="V444" i="1"/>
  <c r="U444" i="1"/>
  <c r="T444" i="1"/>
  <c r="S444" i="1"/>
  <c r="R444" i="1"/>
  <c r="Q444" i="1"/>
  <c r="P444" i="1"/>
  <c r="O444" i="1"/>
  <c r="N444" i="1"/>
  <c r="M444" i="1"/>
  <c r="L444" i="1"/>
  <c r="K444" i="1"/>
  <c r="J444" i="1"/>
  <c r="I444" i="1"/>
  <c r="H444" i="1"/>
  <c r="G444" i="1"/>
  <c r="F444" i="1"/>
  <c r="E444" i="1"/>
  <c r="D444" i="1"/>
  <c r="C444" i="1"/>
  <c r="A444" i="1"/>
  <c r="BN443" i="1"/>
  <c r="AT404" i="11" s="1"/>
  <c r="BM443" i="1"/>
  <c r="AS404" i="11" s="1"/>
  <c r="BL443" i="1"/>
  <c r="AR404" i="11" s="1"/>
  <c r="BK443" i="1"/>
  <c r="AQ404" i="11" s="1"/>
  <c r="BJ443" i="1"/>
  <c r="AP404" i="11" s="1"/>
  <c r="BI443" i="1"/>
  <c r="AO404" i="11" s="1"/>
  <c r="BH443" i="1"/>
  <c r="AN404" i="11" s="1"/>
  <c r="BG443" i="1"/>
  <c r="AM404" i="11" s="1"/>
  <c r="BF443" i="1"/>
  <c r="AL404" i="11" s="1"/>
  <c r="BE443" i="1"/>
  <c r="AK404" i="11" s="1"/>
  <c r="BD443" i="1"/>
  <c r="AJ404" i="11" s="1"/>
  <c r="BC443" i="1"/>
  <c r="AI404" i="11" s="1"/>
  <c r="BB443" i="1"/>
  <c r="AH404" i="11" s="1"/>
  <c r="BA443" i="1"/>
  <c r="AG404" i="11" s="1"/>
  <c r="AZ443" i="1"/>
  <c r="AF404" i="11" s="1"/>
  <c r="AU443" i="1"/>
  <c r="W404" i="11" s="1"/>
  <c r="AS443" i="1"/>
  <c r="U404" i="11" s="1"/>
  <c r="AR443" i="1"/>
  <c r="T404" i="11" s="1"/>
  <c r="AQ443" i="1"/>
  <c r="S404" i="11" s="1"/>
  <c r="AO443" i="1"/>
  <c r="Q404" i="11" s="1"/>
  <c r="AN443" i="1"/>
  <c r="P404" i="11" s="1"/>
  <c r="AM443" i="1"/>
  <c r="O404" i="11" s="1"/>
  <c r="AK443" i="1"/>
  <c r="M404" i="11" s="1"/>
  <c r="AJ443" i="1"/>
  <c r="L404" i="11" s="1"/>
  <c r="AI443" i="1"/>
  <c r="K404" i="11" s="1"/>
  <c r="AG443" i="1"/>
  <c r="I404" i="11" s="1"/>
  <c r="AF443" i="1"/>
  <c r="H404" i="11" s="1"/>
  <c r="AE443" i="1"/>
  <c r="G404" i="11" s="1"/>
  <c r="AC443" i="1"/>
  <c r="E404" i="11" s="1"/>
  <c r="AB443" i="1"/>
  <c r="D404" i="11" s="1"/>
  <c r="AA443" i="1"/>
  <c r="C404" i="11" s="1"/>
  <c r="Y443" i="1"/>
  <c r="X443" i="1"/>
  <c r="W443" i="1"/>
  <c r="U443" i="1"/>
  <c r="T443" i="1"/>
  <c r="S443" i="1"/>
  <c r="Q443" i="1"/>
  <c r="P443" i="1"/>
  <c r="O443" i="1"/>
  <c r="M443" i="1"/>
  <c r="L443" i="1"/>
  <c r="K443" i="1"/>
  <c r="I443" i="1"/>
  <c r="H443" i="1"/>
  <c r="G443" i="1"/>
  <c r="E443" i="1"/>
  <c r="D443" i="1"/>
  <c r="C443" i="1"/>
  <c r="A443" i="1"/>
  <c r="BN442" i="1"/>
  <c r="AT403" i="11" s="1"/>
  <c r="BM442" i="1"/>
  <c r="AS403" i="11" s="1"/>
  <c r="BL442" i="1"/>
  <c r="AR403" i="11" s="1"/>
  <c r="BK442" i="1"/>
  <c r="AQ403" i="11" s="1"/>
  <c r="BJ442" i="1"/>
  <c r="AP403" i="11" s="1"/>
  <c r="BI442" i="1"/>
  <c r="AO403" i="11" s="1"/>
  <c r="BH442" i="1"/>
  <c r="AN403" i="11" s="1"/>
  <c r="BG442" i="1"/>
  <c r="AM403" i="11" s="1"/>
  <c r="BF442" i="1"/>
  <c r="AL403" i="11" s="1"/>
  <c r="BE442" i="1"/>
  <c r="AK403" i="11" s="1"/>
  <c r="BD442" i="1"/>
  <c r="AJ403" i="11" s="1"/>
  <c r="BC442" i="1"/>
  <c r="AI403" i="11" s="1"/>
  <c r="BB442" i="1"/>
  <c r="AH403" i="11" s="1"/>
  <c r="BA442" i="1"/>
  <c r="AG403" i="11" s="1"/>
  <c r="AZ442" i="1"/>
  <c r="AF403" i="11" s="1"/>
  <c r="AU442" i="1"/>
  <c r="W403" i="11" s="1"/>
  <c r="AS442" i="1"/>
  <c r="U403" i="11" s="1"/>
  <c r="AR442" i="1"/>
  <c r="T403" i="11" s="1"/>
  <c r="AQ442" i="1"/>
  <c r="S403" i="11" s="1"/>
  <c r="AO442" i="1"/>
  <c r="Q403" i="11" s="1"/>
  <c r="AN442" i="1"/>
  <c r="P403" i="11" s="1"/>
  <c r="AM442" i="1"/>
  <c r="O403" i="11" s="1"/>
  <c r="AK442" i="1"/>
  <c r="M403" i="11" s="1"/>
  <c r="AJ442" i="1"/>
  <c r="L403" i="11" s="1"/>
  <c r="AI442" i="1"/>
  <c r="K403" i="11" s="1"/>
  <c r="AG442" i="1"/>
  <c r="I403" i="11" s="1"/>
  <c r="AF442" i="1"/>
  <c r="H403" i="11" s="1"/>
  <c r="AE442" i="1"/>
  <c r="G403" i="11" s="1"/>
  <c r="AC442" i="1"/>
  <c r="E403" i="11" s="1"/>
  <c r="AB442" i="1"/>
  <c r="D403" i="11" s="1"/>
  <c r="AA442" i="1"/>
  <c r="C403" i="11" s="1"/>
  <c r="Y442" i="1"/>
  <c r="X442" i="1"/>
  <c r="W442" i="1"/>
  <c r="U442" i="1"/>
  <c r="T442" i="1"/>
  <c r="S442" i="1"/>
  <c r="Q442" i="1"/>
  <c r="P442" i="1"/>
  <c r="O442" i="1"/>
  <c r="M442" i="1"/>
  <c r="L442" i="1"/>
  <c r="K442" i="1"/>
  <c r="I442" i="1"/>
  <c r="H442" i="1"/>
  <c r="G442" i="1"/>
  <c r="E442" i="1"/>
  <c r="D442" i="1"/>
  <c r="C442" i="1"/>
  <c r="A442" i="1"/>
  <c r="BN441" i="1"/>
  <c r="AT402" i="11" s="1"/>
  <c r="BM441" i="1"/>
  <c r="AS402" i="11" s="1"/>
  <c r="BL441" i="1"/>
  <c r="AR402" i="11" s="1"/>
  <c r="BK441" i="1"/>
  <c r="AQ402" i="11" s="1"/>
  <c r="BJ441" i="1"/>
  <c r="AP402" i="11" s="1"/>
  <c r="BI441" i="1"/>
  <c r="AO402" i="11" s="1"/>
  <c r="BH441" i="1"/>
  <c r="AN402" i="11" s="1"/>
  <c r="BG441" i="1"/>
  <c r="AM402" i="11" s="1"/>
  <c r="BF441" i="1"/>
  <c r="AL402" i="11" s="1"/>
  <c r="BE441" i="1"/>
  <c r="AK402" i="11" s="1"/>
  <c r="BD441" i="1"/>
  <c r="AJ402" i="11" s="1"/>
  <c r="BC441" i="1"/>
  <c r="AI402" i="11" s="1"/>
  <c r="BB441" i="1"/>
  <c r="AH402" i="11" s="1"/>
  <c r="BA441" i="1"/>
  <c r="AG402" i="11" s="1"/>
  <c r="AZ441" i="1"/>
  <c r="AF402" i="11" s="1"/>
  <c r="AU441" i="1"/>
  <c r="W402" i="11" s="1"/>
  <c r="AS441" i="1"/>
  <c r="U402" i="11" s="1"/>
  <c r="AR441" i="1"/>
  <c r="T402" i="11" s="1"/>
  <c r="AQ441" i="1"/>
  <c r="S402" i="11" s="1"/>
  <c r="AO441" i="1"/>
  <c r="Q402" i="11" s="1"/>
  <c r="AN441" i="1"/>
  <c r="P402" i="11" s="1"/>
  <c r="AM441" i="1"/>
  <c r="O402" i="11" s="1"/>
  <c r="AK441" i="1"/>
  <c r="M402" i="11" s="1"/>
  <c r="AJ441" i="1"/>
  <c r="L402" i="11" s="1"/>
  <c r="AI441" i="1"/>
  <c r="K402" i="11" s="1"/>
  <c r="AG441" i="1"/>
  <c r="I402" i="11" s="1"/>
  <c r="AF441" i="1"/>
  <c r="H402" i="11" s="1"/>
  <c r="AE441" i="1"/>
  <c r="G402" i="11" s="1"/>
  <c r="AC441" i="1"/>
  <c r="E402" i="11" s="1"/>
  <c r="AB441" i="1"/>
  <c r="D402" i="11" s="1"/>
  <c r="AA441" i="1"/>
  <c r="C402" i="11" s="1"/>
  <c r="Y441" i="1"/>
  <c r="X441" i="1"/>
  <c r="W441" i="1"/>
  <c r="U441" i="1"/>
  <c r="T441" i="1"/>
  <c r="S441" i="1"/>
  <c r="Q441" i="1"/>
  <c r="P441" i="1"/>
  <c r="O441" i="1"/>
  <c r="M441" i="1"/>
  <c r="L441" i="1"/>
  <c r="K441" i="1"/>
  <c r="I441" i="1"/>
  <c r="H441" i="1"/>
  <c r="G441" i="1"/>
  <c r="E441" i="1"/>
  <c r="D441" i="1"/>
  <c r="C441" i="1"/>
  <c r="A441" i="1"/>
  <c r="BP440" i="1"/>
  <c r="BN440" i="1"/>
  <c r="AT401" i="11" s="1"/>
  <c r="BM440" i="1"/>
  <c r="AS401" i="11" s="1"/>
  <c r="BL440" i="1"/>
  <c r="AR401" i="11" s="1"/>
  <c r="BK440" i="1"/>
  <c r="AQ401" i="11" s="1"/>
  <c r="BJ440" i="1"/>
  <c r="AP401" i="11" s="1"/>
  <c r="BI440" i="1"/>
  <c r="AO401" i="11" s="1"/>
  <c r="BH440" i="1"/>
  <c r="AN401" i="11" s="1"/>
  <c r="BG440" i="1"/>
  <c r="AM401" i="11" s="1"/>
  <c r="BF440" i="1"/>
  <c r="AL401" i="11" s="1"/>
  <c r="BE440" i="1"/>
  <c r="AK401" i="11" s="1"/>
  <c r="BD440" i="1"/>
  <c r="AJ401" i="11" s="1"/>
  <c r="BC440" i="1"/>
  <c r="AI401" i="11" s="1"/>
  <c r="BB440" i="1"/>
  <c r="AH401" i="11" s="1"/>
  <c r="BA440" i="1"/>
  <c r="AG401" i="11" s="1"/>
  <c r="AZ440" i="1"/>
  <c r="AF401" i="11" s="1"/>
  <c r="AU440" i="1"/>
  <c r="AS440" i="1"/>
  <c r="U401" i="11" s="1"/>
  <c r="AR440" i="1"/>
  <c r="T401" i="11" s="1"/>
  <c r="AQ440" i="1"/>
  <c r="S401" i="11" s="1"/>
  <c r="AO440" i="1"/>
  <c r="Q401" i="11" s="1"/>
  <c r="AN440" i="1"/>
  <c r="P401" i="11" s="1"/>
  <c r="AM440" i="1"/>
  <c r="O401" i="11" s="1"/>
  <c r="AK440" i="1"/>
  <c r="M401" i="11" s="1"/>
  <c r="AJ440" i="1"/>
  <c r="L401" i="11" s="1"/>
  <c r="AI440" i="1"/>
  <c r="K401" i="11" s="1"/>
  <c r="AG440" i="1"/>
  <c r="I401" i="11" s="1"/>
  <c r="AF440" i="1"/>
  <c r="H401" i="11" s="1"/>
  <c r="AE440" i="1"/>
  <c r="G401" i="11" s="1"/>
  <c r="AC440" i="1"/>
  <c r="E401" i="11" s="1"/>
  <c r="AB440" i="1"/>
  <c r="D401" i="11" s="1"/>
  <c r="AA440" i="1"/>
  <c r="C401" i="11" s="1"/>
  <c r="Y440" i="1"/>
  <c r="X440" i="1"/>
  <c r="W440" i="1"/>
  <c r="U440" i="1"/>
  <c r="T440" i="1"/>
  <c r="S440" i="1"/>
  <c r="Q440" i="1"/>
  <c r="P440" i="1"/>
  <c r="O440" i="1"/>
  <c r="M440" i="1"/>
  <c r="L440" i="1"/>
  <c r="K440" i="1"/>
  <c r="I440" i="1"/>
  <c r="H440" i="1"/>
  <c r="G440" i="1"/>
  <c r="E440" i="1"/>
  <c r="D440" i="1"/>
  <c r="C440" i="1"/>
  <c r="A440" i="1"/>
  <c r="BP439" i="1"/>
  <c r="BN439" i="1"/>
  <c r="AT400" i="11" s="1"/>
  <c r="BM439" i="1"/>
  <c r="AS400" i="11" s="1"/>
  <c r="BL439" i="1"/>
  <c r="AR400" i="11" s="1"/>
  <c r="BK439" i="1"/>
  <c r="AQ400" i="11" s="1"/>
  <c r="BJ439" i="1"/>
  <c r="AP400" i="11" s="1"/>
  <c r="BI439" i="1"/>
  <c r="AO400" i="11" s="1"/>
  <c r="BH439" i="1"/>
  <c r="AN400" i="11" s="1"/>
  <c r="BG439" i="1"/>
  <c r="AM400" i="11" s="1"/>
  <c r="BF439" i="1"/>
  <c r="AL400" i="11" s="1"/>
  <c r="BE439" i="1"/>
  <c r="AK400" i="11" s="1"/>
  <c r="BD439" i="1"/>
  <c r="AJ400" i="11" s="1"/>
  <c r="BC439" i="1"/>
  <c r="AI400" i="11" s="1"/>
  <c r="BB439" i="1"/>
  <c r="AH400" i="11" s="1"/>
  <c r="BA439" i="1"/>
  <c r="AG400" i="11" s="1"/>
  <c r="AZ439" i="1"/>
  <c r="AF400" i="11" s="1"/>
  <c r="AU439" i="1"/>
  <c r="AS439" i="1"/>
  <c r="U400" i="11" s="1"/>
  <c r="AR439" i="1"/>
  <c r="T400" i="11" s="1"/>
  <c r="AQ439" i="1"/>
  <c r="S400" i="11" s="1"/>
  <c r="AO439" i="1"/>
  <c r="Q400" i="11" s="1"/>
  <c r="AN439" i="1"/>
  <c r="P400" i="11" s="1"/>
  <c r="AM439" i="1"/>
  <c r="O400" i="11" s="1"/>
  <c r="AK439" i="1"/>
  <c r="M400" i="11" s="1"/>
  <c r="AJ439" i="1"/>
  <c r="L400" i="11" s="1"/>
  <c r="AI439" i="1"/>
  <c r="K400" i="11" s="1"/>
  <c r="AG439" i="1"/>
  <c r="I400" i="11" s="1"/>
  <c r="AF439" i="1"/>
  <c r="H400" i="11" s="1"/>
  <c r="AE439" i="1"/>
  <c r="G400" i="11" s="1"/>
  <c r="AC439" i="1"/>
  <c r="E400" i="11" s="1"/>
  <c r="AB439" i="1"/>
  <c r="D400" i="11" s="1"/>
  <c r="AA439" i="1"/>
  <c r="C400" i="11" s="1"/>
  <c r="Y439" i="1"/>
  <c r="X439" i="1"/>
  <c r="W439" i="1"/>
  <c r="U439" i="1"/>
  <c r="T439" i="1"/>
  <c r="S439" i="1"/>
  <c r="Q439" i="1"/>
  <c r="P439" i="1"/>
  <c r="O439" i="1"/>
  <c r="M439" i="1"/>
  <c r="L439" i="1"/>
  <c r="K439" i="1"/>
  <c r="I439" i="1"/>
  <c r="H439" i="1"/>
  <c r="G439" i="1"/>
  <c r="E439" i="1"/>
  <c r="D439" i="1"/>
  <c r="C439" i="1"/>
  <c r="A439" i="1"/>
  <c r="BP438" i="1"/>
  <c r="BN438" i="1"/>
  <c r="AT399" i="11" s="1"/>
  <c r="BM438" i="1"/>
  <c r="AS399" i="11" s="1"/>
  <c r="BL438" i="1"/>
  <c r="AR399" i="11" s="1"/>
  <c r="BK438" i="1"/>
  <c r="AQ399" i="11" s="1"/>
  <c r="BJ438" i="1"/>
  <c r="AP399" i="11" s="1"/>
  <c r="BI438" i="1"/>
  <c r="AO399" i="11" s="1"/>
  <c r="BH438" i="1"/>
  <c r="AN399" i="11" s="1"/>
  <c r="BG438" i="1"/>
  <c r="AM399" i="11" s="1"/>
  <c r="BF438" i="1"/>
  <c r="AL399" i="11" s="1"/>
  <c r="BE438" i="1"/>
  <c r="AK399" i="11" s="1"/>
  <c r="BD438" i="1"/>
  <c r="AJ399" i="11" s="1"/>
  <c r="BC438" i="1"/>
  <c r="AI399" i="11" s="1"/>
  <c r="BB438" i="1"/>
  <c r="AH399" i="11" s="1"/>
  <c r="BA438" i="1"/>
  <c r="AG399" i="11" s="1"/>
  <c r="AZ438" i="1"/>
  <c r="AF399" i="11" s="1"/>
  <c r="AU438" i="1"/>
  <c r="AS438" i="1"/>
  <c r="U399" i="11" s="1"/>
  <c r="AR438" i="1"/>
  <c r="T399" i="11" s="1"/>
  <c r="AQ438" i="1"/>
  <c r="S399" i="11" s="1"/>
  <c r="AO438" i="1"/>
  <c r="Q399" i="11" s="1"/>
  <c r="AN438" i="1"/>
  <c r="P399" i="11" s="1"/>
  <c r="AM438" i="1"/>
  <c r="O399" i="11" s="1"/>
  <c r="AK438" i="1"/>
  <c r="M399" i="11" s="1"/>
  <c r="AJ438" i="1"/>
  <c r="L399" i="11" s="1"/>
  <c r="AI438" i="1"/>
  <c r="K399" i="11" s="1"/>
  <c r="AG438" i="1"/>
  <c r="I399" i="11" s="1"/>
  <c r="AF438" i="1"/>
  <c r="H399" i="11" s="1"/>
  <c r="AE438" i="1"/>
  <c r="G399" i="11" s="1"/>
  <c r="AC438" i="1"/>
  <c r="E399" i="11" s="1"/>
  <c r="AB438" i="1"/>
  <c r="D399" i="11" s="1"/>
  <c r="AA438" i="1"/>
  <c r="C399" i="11" s="1"/>
  <c r="Y438" i="1"/>
  <c r="X438" i="1"/>
  <c r="W438" i="1"/>
  <c r="U438" i="1"/>
  <c r="T438" i="1"/>
  <c r="S438" i="1"/>
  <c r="Q438" i="1"/>
  <c r="P438" i="1"/>
  <c r="O438" i="1"/>
  <c r="M438" i="1"/>
  <c r="L438" i="1"/>
  <c r="K438" i="1"/>
  <c r="I438" i="1"/>
  <c r="H438" i="1"/>
  <c r="G438" i="1"/>
  <c r="E438" i="1"/>
  <c r="D438" i="1"/>
  <c r="C438" i="1"/>
  <c r="A438" i="1"/>
  <c r="BN437" i="1"/>
  <c r="AT398" i="11" s="1"/>
  <c r="BM437" i="1"/>
  <c r="AS398" i="11" s="1"/>
  <c r="BL437" i="1"/>
  <c r="AR398" i="11" s="1"/>
  <c r="BK437" i="1"/>
  <c r="AQ398" i="11" s="1"/>
  <c r="BJ437" i="1"/>
  <c r="AP398" i="11" s="1"/>
  <c r="BI437" i="1"/>
  <c r="AO398" i="11" s="1"/>
  <c r="BH437" i="1"/>
  <c r="AN398" i="11" s="1"/>
  <c r="BG437" i="1"/>
  <c r="AM398" i="11" s="1"/>
  <c r="BF437" i="1"/>
  <c r="AL398" i="11" s="1"/>
  <c r="BE437" i="1"/>
  <c r="AK398" i="11" s="1"/>
  <c r="BD437" i="1"/>
  <c r="AJ398" i="11" s="1"/>
  <c r="BC437" i="1"/>
  <c r="AI398" i="11" s="1"/>
  <c r="BB437" i="1"/>
  <c r="AH398" i="11" s="1"/>
  <c r="BA437" i="1"/>
  <c r="AG398" i="11" s="1"/>
  <c r="AZ437" i="1"/>
  <c r="AF398" i="11" s="1"/>
  <c r="AU437" i="1"/>
  <c r="W398" i="11" s="1"/>
  <c r="AS437" i="1"/>
  <c r="U398" i="11" s="1"/>
  <c r="AR437" i="1"/>
  <c r="T398" i="11" s="1"/>
  <c r="AQ437" i="1"/>
  <c r="S398" i="11" s="1"/>
  <c r="AO437" i="1"/>
  <c r="Q398" i="11" s="1"/>
  <c r="AN437" i="1"/>
  <c r="P398" i="11" s="1"/>
  <c r="AM437" i="1"/>
  <c r="O398" i="11" s="1"/>
  <c r="AK437" i="1"/>
  <c r="M398" i="11" s="1"/>
  <c r="AJ437" i="1"/>
  <c r="L398" i="11" s="1"/>
  <c r="AI437" i="1"/>
  <c r="K398" i="11" s="1"/>
  <c r="AG437" i="1"/>
  <c r="I398" i="11" s="1"/>
  <c r="AF437" i="1"/>
  <c r="H398" i="11" s="1"/>
  <c r="AE437" i="1"/>
  <c r="G398" i="11" s="1"/>
  <c r="AC437" i="1"/>
  <c r="E398" i="11" s="1"/>
  <c r="AB437" i="1"/>
  <c r="D398" i="11" s="1"/>
  <c r="AA437" i="1"/>
  <c r="C398" i="11" s="1"/>
  <c r="Y437" i="1"/>
  <c r="X437" i="1"/>
  <c r="W437" i="1"/>
  <c r="U437" i="1"/>
  <c r="T437" i="1"/>
  <c r="S437" i="1"/>
  <c r="Q437" i="1"/>
  <c r="P437" i="1"/>
  <c r="O437" i="1"/>
  <c r="M437" i="1"/>
  <c r="L437" i="1"/>
  <c r="K437" i="1"/>
  <c r="I437" i="1"/>
  <c r="H437" i="1"/>
  <c r="G437" i="1"/>
  <c r="E437" i="1"/>
  <c r="D437" i="1"/>
  <c r="C437" i="1"/>
  <c r="A437" i="1"/>
  <c r="BN436" i="1"/>
  <c r="AT397" i="11" s="1"/>
  <c r="BM436" i="1"/>
  <c r="AS397" i="11" s="1"/>
  <c r="BL436" i="1"/>
  <c r="AR397" i="11" s="1"/>
  <c r="BK436" i="1"/>
  <c r="AQ397" i="11" s="1"/>
  <c r="BJ436" i="1"/>
  <c r="AP397" i="11" s="1"/>
  <c r="BI436" i="1"/>
  <c r="AO397" i="11" s="1"/>
  <c r="BH436" i="1"/>
  <c r="AN397" i="11" s="1"/>
  <c r="BG436" i="1"/>
  <c r="AM397" i="11" s="1"/>
  <c r="BF436" i="1"/>
  <c r="AL397" i="11" s="1"/>
  <c r="BE436" i="1"/>
  <c r="AK397" i="11" s="1"/>
  <c r="BD436" i="1"/>
  <c r="AJ397" i="11" s="1"/>
  <c r="BC436" i="1"/>
  <c r="AI397" i="11" s="1"/>
  <c r="BB436" i="1"/>
  <c r="AH397" i="11" s="1"/>
  <c r="BA436" i="1"/>
  <c r="AG397" i="11" s="1"/>
  <c r="AZ436" i="1"/>
  <c r="AF397" i="11" s="1"/>
  <c r="AU436" i="1"/>
  <c r="W397" i="11" s="1"/>
  <c r="AS436" i="1"/>
  <c r="U397" i="11" s="1"/>
  <c r="AR436" i="1"/>
  <c r="T397" i="11" s="1"/>
  <c r="AQ436" i="1"/>
  <c r="S397" i="11" s="1"/>
  <c r="AO436" i="1"/>
  <c r="Q397" i="11" s="1"/>
  <c r="AN436" i="1"/>
  <c r="P397" i="11" s="1"/>
  <c r="AM436" i="1"/>
  <c r="O397" i="11" s="1"/>
  <c r="AK436" i="1"/>
  <c r="M397" i="11" s="1"/>
  <c r="AJ436" i="1"/>
  <c r="L397" i="11" s="1"/>
  <c r="AI436" i="1"/>
  <c r="K397" i="11" s="1"/>
  <c r="AG436" i="1"/>
  <c r="I397" i="11" s="1"/>
  <c r="AF436" i="1"/>
  <c r="H397" i="11" s="1"/>
  <c r="AE436" i="1"/>
  <c r="G397" i="11" s="1"/>
  <c r="AC436" i="1"/>
  <c r="E397" i="11" s="1"/>
  <c r="AB436" i="1"/>
  <c r="D397" i="11" s="1"/>
  <c r="AA436" i="1"/>
  <c r="C397" i="11" s="1"/>
  <c r="Y436" i="1"/>
  <c r="X436" i="1"/>
  <c r="W436" i="1"/>
  <c r="U436" i="1"/>
  <c r="T436" i="1"/>
  <c r="S436" i="1"/>
  <c r="Q436" i="1"/>
  <c r="P436" i="1"/>
  <c r="O436" i="1"/>
  <c r="M436" i="1"/>
  <c r="L436" i="1"/>
  <c r="K436" i="1"/>
  <c r="I436" i="1"/>
  <c r="H436" i="1"/>
  <c r="G436" i="1"/>
  <c r="E436" i="1"/>
  <c r="D436" i="1"/>
  <c r="C436" i="1"/>
  <c r="A436" i="1"/>
  <c r="A435" i="1"/>
  <c r="BP434" i="1"/>
  <c r="BN434" i="1"/>
  <c r="AT395" i="11" s="1"/>
  <c r="BM434" i="1"/>
  <c r="AS395" i="11" s="1"/>
  <c r="BL434" i="1"/>
  <c r="AR395" i="11" s="1"/>
  <c r="BK434" i="1"/>
  <c r="AQ395" i="11" s="1"/>
  <c r="BJ434" i="1"/>
  <c r="AP395" i="11" s="1"/>
  <c r="BI434" i="1"/>
  <c r="AO395" i="11" s="1"/>
  <c r="BH434" i="1"/>
  <c r="AN395" i="11" s="1"/>
  <c r="BG434" i="1"/>
  <c r="AM395" i="11" s="1"/>
  <c r="BF434" i="1"/>
  <c r="AL395" i="11" s="1"/>
  <c r="BE434" i="1"/>
  <c r="AK395" i="11" s="1"/>
  <c r="BD434" i="1"/>
  <c r="AJ395" i="11" s="1"/>
  <c r="BC434" i="1"/>
  <c r="AI395" i="11" s="1"/>
  <c r="BB434" i="1"/>
  <c r="AH395" i="11" s="1"/>
  <c r="BA434" i="1"/>
  <c r="AG395" i="11" s="1"/>
  <c r="AZ434" i="1"/>
  <c r="AF395" i="11" s="1"/>
  <c r="AU434" i="1"/>
  <c r="AS434" i="1"/>
  <c r="U395" i="11" s="1"/>
  <c r="AR434" i="1"/>
  <c r="T395" i="11" s="1"/>
  <c r="AQ434" i="1"/>
  <c r="S395" i="11" s="1"/>
  <c r="AO434" i="1"/>
  <c r="Q395" i="11" s="1"/>
  <c r="AN434" i="1"/>
  <c r="P395" i="11" s="1"/>
  <c r="AM434" i="1"/>
  <c r="O395" i="11" s="1"/>
  <c r="AK434" i="1"/>
  <c r="M395" i="11" s="1"/>
  <c r="AJ434" i="1"/>
  <c r="L395" i="11" s="1"/>
  <c r="AI434" i="1"/>
  <c r="K395" i="11" s="1"/>
  <c r="AG434" i="1"/>
  <c r="I395" i="11" s="1"/>
  <c r="AF434" i="1"/>
  <c r="H395" i="11" s="1"/>
  <c r="AE434" i="1"/>
  <c r="G395" i="11" s="1"/>
  <c r="AC434" i="1"/>
  <c r="E395" i="11" s="1"/>
  <c r="AB434" i="1"/>
  <c r="D395" i="11" s="1"/>
  <c r="AA434" i="1"/>
  <c r="C395" i="11" s="1"/>
  <c r="Y434" i="1"/>
  <c r="X434" i="1"/>
  <c r="W434" i="1"/>
  <c r="U434" i="1"/>
  <c r="T434" i="1"/>
  <c r="S434" i="1"/>
  <c r="R434" i="1"/>
  <c r="Q434" i="1"/>
  <c r="P434" i="1"/>
  <c r="O434" i="1"/>
  <c r="N434" i="1"/>
  <c r="M434" i="1"/>
  <c r="L434" i="1"/>
  <c r="K434" i="1"/>
  <c r="J434" i="1"/>
  <c r="I434" i="1"/>
  <c r="H434" i="1"/>
  <c r="G434" i="1"/>
  <c r="F434" i="1"/>
  <c r="E434" i="1"/>
  <c r="D434" i="1"/>
  <c r="C434" i="1"/>
  <c r="A434" i="1"/>
  <c r="BP433" i="1"/>
  <c r="BN433" i="1"/>
  <c r="AT394" i="11" s="1"/>
  <c r="BM433" i="1"/>
  <c r="AS394" i="11" s="1"/>
  <c r="BL433" i="1"/>
  <c r="AR394" i="11" s="1"/>
  <c r="BK433" i="1"/>
  <c r="AQ394" i="11" s="1"/>
  <c r="BJ433" i="1"/>
  <c r="AP394" i="11" s="1"/>
  <c r="BI433" i="1"/>
  <c r="AO394" i="11" s="1"/>
  <c r="BH433" i="1"/>
  <c r="AN394" i="11" s="1"/>
  <c r="BG433" i="1"/>
  <c r="AM394" i="11" s="1"/>
  <c r="BF433" i="1"/>
  <c r="AL394" i="11" s="1"/>
  <c r="BE433" i="1"/>
  <c r="AK394" i="11" s="1"/>
  <c r="BD433" i="1"/>
  <c r="AJ394" i="11" s="1"/>
  <c r="BC433" i="1"/>
  <c r="AI394" i="11" s="1"/>
  <c r="BB433" i="1"/>
  <c r="AH394" i="11" s="1"/>
  <c r="BA433" i="1"/>
  <c r="AG394" i="11" s="1"/>
  <c r="AZ433" i="1"/>
  <c r="AF394" i="11" s="1"/>
  <c r="AU433" i="1"/>
  <c r="AS433" i="1"/>
  <c r="U394" i="11" s="1"/>
  <c r="AR433" i="1"/>
  <c r="T394" i="11" s="1"/>
  <c r="AQ433" i="1"/>
  <c r="S394" i="11" s="1"/>
  <c r="AO433" i="1"/>
  <c r="Q394" i="11" s="1"/>
  <c r="AN433" i="1"/>
  <c r="P394" i="11" s="1"/>
  <c r="AM433" i="1"/>
  <c r="O394" i="11" s="1"/>
  <c r="AK433" i="1"/>
  <c r="M394" i="11" s="1"/>
  <c r="AJ433" i="1"/>
  <c r="L394" i="11" s="1"/>
  <c r="AI433" i="1"/>
  <c r="K394" i="11" s="1"/>
  <c r="AH433" i="1"/>
  <c r="J394" i="11" s="1"/>
  <c r="AG433" i="1"/>
  <c r="I394" i="11" s="1"/>
  <c r="AF433" i="1"/>
  <c r="H394" i="11" s="1"/>
  <c r="AE433" i="1"/>
  <c r="G394" i="11" s="1"/>
  <c r="AD433" i="1"/>
  <c r="F394" i="11" s="1"/>
  <c r="AC433" i="1"/>
  <c r="E394" i="11" s="1"/>
  <c r="AB433" i="1"/>
  <c r="D394" i="11" s="1"/>
  <c r="AA433" i="1"/>
  <c r="C394" i="11" s="1"/>
  <c r="Z433" i="1"/>
  <c r="Y433" i="1"/>
  <c r="X433" i="1"/>
  <c r="W433" i="1"/>
  <c r="V433" i="1"/>
  <c r="U433" i="1"/>
  <c r="T433" i="1"/>
  <c r="S433" i="1"/>
  <c r="R433" i="1"/>
  <c r="Q433" i="1"/>
  <c r="P433" i="1"/>
  <c r="O433" i="1"/>
  <c r="N433" i="1"/>
  <c r="M433" i="1"/>
  <c r="L433" i="1"/>
  <c r="K433" i="1"/>
  <c r="J433" i="1"/>
  <c r="I433" i="1"/>
  <c r="H433" i="1"/>
  <c r="G433" i="1"/>
  <c r="F433" i="1"/>
  <c r="E433" i="1"/>
  <c r="D433" i="1"/>
  <c r="C433" i="1"/>
  <c r="A433" i="1"/>
  <c r="BP432" i="1"/>
  <c r="BN432" i="1"/>
  <c r="AT393" i="11" s="1"/>
  <c r="BM432" i="1"/>
  <c r="AS393" i="11" s="1"/>
  <c r="BL432" i="1"/>
  <c r="AR393" i="11" s="1"/>
  <c r="BK432" i="1"/>
  <c r="AQ393" i="11" s="1"/>
  <c r="BJ432" i="1"/>
  <c r="AP393" i="11" s="1"/>
  <c r="BI432" i="1"/>
  <c r="AO393" i="11" s="1"/>
  <c r="BH432" i="1"/>
  <c r="AN393" i="11" s="1"/>
  <c r="BG432" i="1"/>
  <c r="AM393" i="11" s="1"/>
  <c r="BF432" i="1"/>
  <c r="AL393" i="11" s="1"/>
  <c r="BE432" i="1"/>
  <c r="AK393" i="11" s="1"/>
  <c r="BD432" i="1"/>
  <c r="AJ393" i="11" s="1"/>
  <c r="BC432" i="1"/>
  <c r="AI393" i="11" s="1"/>
  <c r="BB432" i="1"/>
  <c r="AH393" i="11" s="1"/>
  <c r="BA432" i="1"/>
  <c r="AG393" i="11" s="1"/>
  <c r="AZ432" i="1"/>
  <c r="AF393" i="11" s="1"/>
  <c r="AU432" i="1"/>
  <c r="AS432" i="1"/>
  <c r="U393" i="11" s="1"/>
  <c r="AR432" i="1"/>
  <c r="T393" i="11" s="1"/>
  <c r="AQ432" i="1"/>
  <c r="S393" i="11" s="1"/>
  <c r="AO432" i="1"/>
  <c r="Q393" i="11" s="1"/>
  <c r="AN432" i="1"/>
  <c r="P393" i="11" s="1"/>
  <c r="AM432" i="1"/>
  <c r="O393" i="11" s="1"/>
  <c r="AK432" i="1"/>
  <c r="M393" i="11" s="1"/>
  <c r="AJ432" i="1"/>
  <c r="L393" i="11" s="1"/>
  <c r="AI432" i="1"/>
  <c r="K393" i="11" s="1"/>
  <c r="AG432" i="1"/>
  <c r="I393" i="11" s="1"/>
  <c r="AF432" i="1"/>
  <c r="H393" i="11" s="1"/>
  <c r="AE432" i="1"/>
  <c r="G393" i="11" s="1"/>
  <c r="AC432" i="1"/>
  <c r="E393" i="11" s="1"/>
  <c r="AB432" i="1"/>
  <c r="D393" i="11" s="1"/>
  <c r="AA432" i="1"/>
  <c r="C393" i="11" s="1"/>
  <c r="Y432" i="1"/>
  <c r="X432" i="1"/>
  <c r="W432" i="1"/>
  <c r="U432" i="1"/>
  <c r="T432" i="1"/>
  <c r="S432" i="1"/>
  <c r="R432" i="1"/>
  <c r="Q432" i="1"/>
  <c r="P432" i="1"/>
  <c r="O432" i="1"/>
  <c r="N432" i="1"/>
  <c r="M432" i="1"/>
  <c r="L432" i="1"/>
  <c r="K432" i="1"/>
  <c r="J432" i="1"/>
  <c r="I432" i="1"/>
  <c r="H432" i="1"/>
  <c r="G432" i="1"/>
  <c r="F432" i="1"/>
  <c r="E432" i="1"/>
  <c r="D432" i="1"/>
  <c r="C432" i="1"/>
  <c r="A432" i="1"/>
  <c r="BP431" i="1"/>
  <c r="BN431" i="1"/>
  <c r="AT392" i="11" s="1"/>
  <c r="BM431" i="1"/>
  <c r="AS392" i="11" s="1"/>
  <c r="BL431" i="1"/>
  <c r="AR392" i="11" s="1"/>
  <c r="BK431" i="1"/>
  <c r="AQ392" i="11" s="1"/>
  <c r="BJ431" i="1"/>
  <c r="AP392" i="11" s="1"/>
  <c r="BI431" i="1"/>
  <c r="AO392" i="11" s="1"/>
  <c r="BH431" i="1"/>
  <c r="AN392" i="11" s="1"/>
  <c r="BG431" i="1"/>
  <c r="AM392" i="11" s="1"/>
  <c r="BF431" i="1"/>
  <c r="AL392" i="11" s="1"/>
  <c r="BE431" i="1"/>
  <c r="AK392" i="11" s="1"/>
  <c r="BD431" i="1"/>
  <c r="AJ392" i="11" s="1"/>
  <c r="BC431" i="1"/>
  <c r="AI392" i="11" s="1"/>
  <c r="BB431" i="1"/>
  <c r="AH392" i="11" s="1"/>
  <c r="BA431" i="1"/>
  <c r="AG392" i="11" s="1"/>
  <c r="AZ431" i="1"/>
  <c r="AF392" i="11" s="1"/>
  <c r="AU431" i="1"/>
  <c r="AS431" i="1"/>
  <c r="U392" i="11" s="1"/>
  <c r="AR431" i="1"/>
  <c r="T392" i="11" s="1"/>
  <c r="AQ431" i="1"/>
  <c r="S392" i="11" s="1"/>
  <c r="AO431" i="1"/>
  <c r="Q392" i="11" s="1"/>
  <c r="AN431" i="1"/>
  <c r="P392" i="11" s="1"/>
  <c r="AM431" i="1"/>
  <c r="O392" i="11" s="1"/>
  <c r="AK431" i="1"/>
  <c r="M392" i="11" s="1"/>
  <c r="AJ431" i="1"/>
  <c r="L392" i="11" s="1"/>
  <c r="AI431" i="1"/>
  <c r="K392" i="11" s="1"/>
  <c r="AG431" i="1"/>
  <c r="I392" i="11" s="1"/>
  <c r="AF431" i="1"/>
  <c r="H392" i="11" s="1"/>
  <c r="AE431" i="1"/>
  <c r="G392" i="11" s="1"/>
  <c r="AC431" i="1"/>
  <c r="E392" i="11" s="1"/>
  <c r="AB431" i="1"/>
  <c r="D392" i="11" s="1"/>
  <c r="AA431" i="1"/>
  <c r="C392" i="11" s="1"/>
  <c r="Y431" i="1"/>
  <c r="X431" i="1"/>
  <c r="W431" i="1"/>
  <c r="U431" i="1"/>
  <c r="T431" i="1"/>
  <c r="S431" i="1"/>
  <c r="Q431" i="1"/>
  <c r="P431" i="1"/>
  <c r="O431" i="1"/>
  <c r="M431" i="1"/>
  <c r="L431" i="1"/>
  <c r="K431" i="1"/>
  <c r="I431" i="1"/>
  <c r="H431" i="1"/>
  <c r="G431" i="1"/>
  <c r="E431" i="1"/>
  <c r="D431" i="1"/>
  <c r="C431" i="1"/>
  <c r="A431" i="1"/>
  <c r="BP430" i="1"/>
  <c r="BN430" i="1"/>
  <c r="AT391" i="11" s="1"/>
  <c r="BM430" i="1"/>
  <c r="AS391" i="11" s="1"/>
  <c r="BL430" i="1"/>
  <c r="AR391" i="11" s="1"/>
  <c r="BK430" i="1"/>
  <c r="AQ391" i="11" s="1"/>
  <c r="BJ430" i="1"/>
  <c r="AP391" i="11" s="1"/>
  <c r="BI430" i="1"/>
  <c r="AO391" i="11" s="1"/>
  <c r="BH430" i="1"/>
  <c r="AN391" i="11" s="1"/>
  <c r="BG430" i="1"/>
  <c r="AM391" i="11" s="1"/>
  <c r="BF430" i="1"/>
  <c r="AL391" i="11" s="1"/>
  <c r="BE430" i="1"/>
  <c r="AK391" i="11" s="1"/>
  <c r="BD430" i="1"/>
  <c r="AJ391" i="11" s="1"/>
  <c r="BC430" i="1"/>
  <c r="AI391" i="11" s="1"/>
  <c r="BB430" i="1"/>
  <c r="AH391" i="11" s="1"/>
  <c r="BA430" i="1"/>
  <c r="AG391" i="11" s="1"/>
  <c r="AZ430" i="1"/>
  <c r="AF391" i="11" s="1"/>
  <c r="AU430" i="1"/>
  <c r="AS430" i="1"/>
  <c r="U391" i="11" s="1"/>
  <c r="AR430" i="1"/>
  <c r="T391" i="11" s="1"/>
  <c r="AQ430" i="1"/>
  <c r="S391" i="11" s="1"/>
  <c r="AO430" i="1"/>
  <c r="Q391" i="11" s="1"/>
  <c r="AN430" i="1"/>
  <c r="P391" i="11" s="1"/>
  <c r="AM430" i="1"/>
  <c r="O391" i="11" s="1"/>
  <c r="AK430" i="1"/>
  <c r="M391" i="11" s="1"/>
  <c r="AJ430" i="1"/>
  <c r="L391" i="11" s="1"/>
  <c r="AI430" i="1"/>
  <c r="K391" i="11" s="1"/>
  <c r="AG430" i="1"/>
  <c r="I391" i="11" s="1"/>
  <c r="AF430" i="1"/>
  <c r="H391" i="11" s="1"/>
  <c r="AE430" i="1"/>
  <c r="G391" i="11" s="1"/>
  <c r="AC430" i="1"/>
  <c r="E391" i="11" s="1"/>
  <c r="AB430" i="1"/>
  <c r="D391" i="11" s="1"/>
  <c r="AA430" i="1"/>
  <c r="C391" i="11" s="1"/>
  <c r="Y430" i="1"/>
  <c r="X430" i="1"/>
  <c r="W430" i="1"/>
  <c r="U430" i="1"/>
  <c r="T430" i="1"/>
  <c r="S430" i="1"/>
  <c r="Q430" i="1"/>
  <c r="P430" i="1"/>
  <c r="O430" i="1"/>
  <c r="M430" i="1"/>
  <c r="L430" i="1"/>
  <c r="K430" i="1"/>
  <c r="I430" i="1"/>
  <c r="H430" i="1"/>
  <c r="G430" i="1"/>
  <c r="E430" i="1"/>
  <c r="D430" i="1"/>
  <c r="C430" i="1"/>
  <c r="A430" i="1"/>
  <c r="BP429" i="1"/>
  <c r="BN429" i="1"/>
  <c r="AT390" i="11" s="1"/>
  <c r="BM429" i="1"/>
  <c r="AS390" i="11" s="1"/>
  <c r="BL429" i="1"/>
  <c r="AR390" i="11" s="1"/>
  <c r="BK429" i="1"/>
  <c r="AQ390" i="11" s="1"/>
  <c r="BJ429" i="1"/>
  <c r="AP390" i="11" s="1"/>
  <c r="BI429" i="1"/>
  <c r="AO390" i="11" s="1"/>
  <c r="BH429" i="1"/>
  <c r="AN390" i="11" s="1"/>
  <c r="BG429" i="1"/>
  <c r="AM390" i="11" s="1"/>
  <c r="BF429" i="1"/>
  <c r="AL390" i="11" s="1"/>
  <c r="BE429" i="1"/>
  <c r="AK390" i="11" s="1"/>
  <c r="BD429" i="1"/>
  <c r="AJ390" i="11" s="1"/>
  <c r="BC429" i="1"/>
  <c r="AI390" i="11" s="1"/>
  <c r="BB429" i="1"/>
  <c r="AH390" i="11" s="1"/>
  <c r="BA429" i="1"/>
  <c r="AG390" i="11" s="1"/>
  <c r="AZ429" i="1"/>
  <c r="AF390" i="11" s="1"/>
  <c r="AU429" i="1"/>
  <c r="AS429" i="1"/>
  <c r="U390" i="11" s="1"/>
  <c r="AR429" i="1"/>
  <c r="T390" i="11" s="1"/>
  <c r="AQ429" i="1"/>
  <c r="S390" i="11" s="1"/>
  <c r="AO429" i="1"/>
  <c r="Q390" i="11" s="1"/>
  <c r="AN429" i="1"/>
  <c r="P390" i="11" s="1"/>
  <c r="AM429" i="1"/>
  <c r="O390" i="11" s="1"/>
  <c r="AK429" i="1"/>
  <c r="M390" i="11" s="1"/>
  <c r="AJ429" i="1"/>
  <c r="L390" i="11" s="1"/>
  <c r="AI429" i="1"/>
  <c r="K390" i="11" s="1"/>
  <c r="AG429" i="1"/>
  <c r="I390" i="11" s="1"/>
  <c r="AF429" i="1"/>
  <c r="H390" i="11" s="1"/>
  <c r="AE429" i="1"/>
  <c r="G390" i="11" s="1"/>
  <c r="AC429" i="1"/>
  <c r="E390" i="11" s="1"/>
  <c r="AB429" i="1"/>
  <c r="D390" i="11" s="1"/>
  <c r="AA429" i="1"/>
  <c r="C390" i="11" s="1"/>
  <c r="Y429" i="1"/>
  <c r="X429" i="1"/>
  <c r="W429" i="1"/>
  <c r="U429" i="1"/>
  <c r="T429" i="1"/>
  <c r="S429" i="1"/>
  <c r="Q429" i="1"/>
  <c r="P429" i="1"/>
  <c r="O429" i="1"/>
  <c r="M429" i="1"/>
  <c r="L429" i="1"/>
  <c r="K429" i="1"/>
  <c r="I429" i="1"/>
  <c r="H429" i="1"/>
  <c r="G429" i="1"/>
  <c r="E429" i="1"/>
  <c r="D429" i="1"/>
  <c r="C429" i="1"/>
  <c r="A429" i="1"/>
  <c r="BP428" i="1"/>
  <c r="BN428" i="1"/>
  <c r="AT389" i="11" s="1"/>
  <c r="BM428" i="1"/>
  <c r="AS389" i="11" s="1"/>
  <c r="BL428" i="1"/>
  <c r="AR389" i="11" s="1"/>
  <c r="BK428" i="1"/>
  <c r="AQ389" i="11" s="1"/>
  <c r="BJ428" i="1"/>
  <c r="AP389" i="11" s="1"/>
  <c r="BI428" i="1"/>
  <c r="AO389" i="11" s="1"/>
  <c r="BH428" i="1"/>
  <c r="AN389" i="11" s="1"/>
  <c r="BG428" i="1"/>
  <c r="AM389" i="11" s="1"/>
  <c r="BF428" i="1"/>
  <c r="AL389" i="11" s="1"/>
  <c r="BE428" i="1"/>
  <c r="AK389" i="11" s="1"/>
  <c r="BD428" i="1"/>
  <c r="AJ389" i="11" s="1"/>
  <c r="BC428" i="1"/>
  <c r="AI389" i="11" s="1"/>
  <c r="BB428" i="1"/>
  <c r="AH389" i="11" s="1"/>
  <c r="BA428" i="1"/>
  <c r="AG389" i="11" s="1"/>
  <c r="AZ428" i="1"/>
  <c r="AF389" i="11" s="1"/>
  <c r="AU428" i="1"/>
  <c r="AS428" i="1"/>
  <c r="U389" i="11" s="1"/>
  <c r="AR428" i="1"/>
  <c r="T389" i="11" s="1"/>
  <c r="AQ428" i="1"/>
  <c r="S389" i="11" s="1"/>
  <c r="AO428" i="1"/>
  <c r="Q389" i="11" s="1"/>
  <c r="AN428" i="1"/>
  <c r="P389" i="11" s="1"/>
  <c r="AM428" i="1"/>
  <c r="O389" i="11" s="1"/>
  <c r="AK428" i="1"/>
  <c r="M389" i="11" s="1"/>
  <c r="AJ428" i="1"/>
  <c r="L389" i="11" s="1"/>
  <c r="AI428" i="1"/>
  <c r="K389" i="11" s="1"/>
  <c r="AG428" i="1"/>
  <c r="I389" i="11" s="1"/>
  <c r="AF428" i="1"/>
  <c r="H389" i="11" s="1"/>
  <c r="AE428" i="1"/>
  <c r="G389" i="11" s="1"/>
  <c r="AC428" i="1"/>
  <c r="E389" i="11" s="1"/>
  <c r="AB428" i="1"/>
  <c r="D389" i="11" s="1"/>
  <c r="AA428" i="1"/>
  <c r="C389" i="11" s="1"/>
  <c r="Y428" i="1"/>
  <c r="X428" i="1"/>
  <c r="W428" i="1"/>
  <c r="U428" i="1"/>
  <c r="T428" i="1"/>
  <c r="S428" i="1"/>
  <c r="Q428" i="1"/>
  <c r="P428" i="1"/>
  <c r="O428" i="1"/>
  <c r="M428" i="1"/>
  <c r="L428" i="1"/>
  <c r="K428" i="1"/>
  <c r="I428" i="1"/>
  <c r="H428" i="1"/>
  <c r="G428" i="1"/>
  <c r="E428" i="1"/>
  <c r="D428" i="1"/>
  <c r="C428" i="1"/>
  <c r="A428" i="1"/>
  <c r="BP427" i="1"/>
  <c r="BN427" i="1"/>
  <c r="AT388" i="11" s="1"/>
  <c r="BM427" i="1"/>
  <c r="AS388" i="11" s="1"/>
  <c r="BL427" i="1"/>
  <c r="AR388" i="11" s="1"/>
  <c r="BK427" i="1"/>
  <c r="AQ388" i="11" s="1"/>
  <c r="BJ427" i="1"/>
  <c r="AP388" i="11" s="1"/>
  <c r="BI427" i="1"/>
  <c r="AO388" i="11" s="1"/>
  <c r="BH427" i="1"/>
  <c r="AN388" i="11" s="1"/>
  <c r="BG427" i="1"/>
  <c r="AM388" i="11" s="1"/>
  <c r="BF427" i="1"/>
  <c r="AL388" i="11" s="1"/>
  <c r="BE427" i="1"/>
  <c r="AK388" i="11" s="1"/>
  <c r="BD427" i="1"/>
  <c r="AJ388" i="11" s="1"/>
  <c r="BC427" i="1"/>
  <c r="AI388" i="11" s="1"/>
  <c r="BB427" i="1"/>
  <c r="AH388" i="11" s="1"/>
  <c r="BA427" i="1"/>
  <c r="AG388" i="11" s="1"/>
  <c r="AZ427" i="1"/>
  <c r="AF388" i="11" s="1"/>
  <c r="AU427" i="1"/>
  <c r="AS427" i="1"/>
  <c r="U388" i="11" s="1"/>
  <c r="AR427" i="1"/>
  <c r="T388" i="11" s="1"/>
  <c r="AQ427" i="1"/>
  <c r="S388" i="11" s="1"/>
  <c r="AO427" i="1"/>
  <c r="Q388" i="11" s="1"/>
  <c r="AN427" i="1"/>
  <c r="P388" i="11" s="1"/>
  <c r="AM427" i="1"/>
  <c r="O388" i="11" s="1"/>
  <c r="AK427" i="1"/>
  <c r="M388" i="11" s="1"/>
  <c r="AJ427" i="1"/>
  <c r="L388" i="11" s="1"/>
  <c r="AI427" i="1"/>
  <c r="K388" i="11" s="1"/>
  <c r="AG427" i="1"/>
  <c r="I388" i="11" s="1"/>
  <c r="AF427" i="1"/>
  <c r="H388" i="11" s="1"/>
  <c r="AE427" i="1"/>
  <c r="G388" i="11" s="1"/>
  <c r="AC427" i="1"/>
  <c r="E388" i="11" s="1"/>
  <c r="AB427" i="1"/>
  <c r="D388" i="11" s="1"/>
  <c r="AA427" i="1"/>
  <c r="C388" i="11" s="1"/>
  <c r="Y427" i="1"/>
  <c r="X427" i="1"/>
  <c r="W427" i="1"/>
  <c r="U427" i="1"/>
  <c r="T427" i="1"/>
  <c r="S427" i="1"/>
  <c r="Q427" i="1"/>
  <c r="P427" i="1"/>
  <c r="O427" i="1"/>
  <c r="M427" i="1"/>
  <c r="L427" i="1"/>
  <c r="K427" i="1"/>
  <c r="I427" i="1"/>
  <c r="H427" i="1"/>
  <c r="G427" i="1"/>
  <c r="E427" i="1"/>
  <c r="D427" i="1"/>
  <c r="C427" i="1"/>
  <c r="A427" i="1"/>
  <c r="BP426" i="1"/>
  <c r="BN426" i="1"/>
  <c r="AT387" i="11" s="1"/>
  <c r="BM426" i="1"/>
  <c r="AS387" i="11" s="1"/>
  <c r="BL426" i="1"/>
  <c r="AR387" i="11" s="1"/>
  <c r="BK426" i="1"/>
  <c r="AQ387" i="11" s="1"/>
  <c r="BJ426" i="1"/>
  <c r="AP387" i="11" s="1"/>
  <c r="BI426" i="1"/>
  <c r="AO387" i="11" s="1"/>
  <c r="BH426" i="1"/>
  <c r="AN387" i="11" s="1"/>
  <c r="BG426" i="1"/>
  <c r="AM387" i="11" s="1"/>
  <c r="BF426" i="1"/>
  <c r="AL387" i="11" s="1"/>
  <c r="BE426" i="1"/>
  <c r="AK387" i="11" s="1"/>
  <c r="BD426" i="1"/>
  <c r="AJ387" i="11" s="1"/>
  <c r="BC426" i="1"/>
  <c r="AI387" i="11" s="1"/>
  <c r="BB426" i="1"/>
  <c r="AH387" i="11" s="1"/>
  <c r="BA426" i="1"/>
  <c r="AG387" i="11" s="1"/>
  <c r="AZ426" i="1"/>
  <c r="AF387" i="11" s="1"/>
  <c r="AU426" i="1"/>
  <c r="AS426" i="1"/>
  <c r="U387" i="11" s="1"/>
  <c r="AR426" i="1"/>
  <c r="T387" i="11" s="1"/>
  <c r="AQ426" i="1"/>
  <c r="S387" i="11" s="1"/>
  <c r="AO426" i="1"/>
  <c r="Q387" i="11" s="1"/>
  <c r="AN426" i="1"/>
  <c r="P387" i="11" s="1"/>
  <c r="AM426" i="1"/>
  <c r="O387" i="11" s="1"/>
  <c r="AK426" i="1"/>
  <c r="M387" i="11" s="1"/>
  <c r="AJ426" i="1"/>
  <c r="L387" i="11" s="1"/>
  <c r="AI426" i="1"/>
  <c r="K387" i="11" s="1"/>
  <c r="AH426" i="1"/>
  <c r="J387" i="11" s="1"/>
  <c r="AG426" i="1"/>
  <c r="I387" i="11" s="1"/>
  <c r="AF426" i="1"/>
  <c r="H387" i="11" s="1"/>
  <c r="AE426" i="1"/>
  <c r="G387" i="11" s="1"/>
  <c r="AD426" i="1"/>
  <c r="F387" i="11" s="1"/>
  <c r="AC426" i="1"/>
  <c r="E387" i="11" s="1"/>
  <c r="AB426" i="1"/>
  <c r="D387" i="11" s="1"/>
  <c r="AA426" i="1"/>
  <c r="C387" i="11" s="1"/>
  <c r="Z426" i="1"/>
  <c r="Y426" i="1"/>
  <c r="X426" i="1"/>
  <c r="W426" i="1"/>
  <c r="V426" i="1"/>
  <c r="U426" i="1"/>
  <c r="T426" i="1"/>
  <c r="S426" i="1"/>
  <c r="R426" i="1"/>
  <c r="Q426" i="1"/>
  <c r="P426" i="1"/>
  <c r="O426" i="1"/>
  <c r="N426" i="1"/>
  <c r="M426" i="1"/>
  <c r="L426" i="1"/>
  <c r="K426" i="1"/>
  <c r="J426" i="1"/>
  <c r="I426" i="1"/>
  <c r="H426" i="1"/>
  <c r="G426" i="1"/>
  <c r="F426" i="1"/>
  <c r="E426" i="1"/>
  <c r="D426" i="1"/>
  <c r="C426" i="1"/>
  <c r="A426" i="1"/>
  <c r="BP425" i="1"/>
  <c r="BN425" i="1"/>
  <c r="AT386" i="11" s="1"/>
  <c r="BM425" i="1"/>
  <c r="AS386" i="11" s="1"/>
  <c r="BL425" i="1"/>
  <c r="AR386" i="11" s="1"/>
  <c r="BK425" i="1"/>
  <c r="AQ386" i="11" s="1"/>
  <c r="BJ425" i="1"/>
  <c r="AP386" i="11" s="1"/>
  <c r="BI425" i="1"/>
  <c r="AO386" i="11" s="1"/>
  <c r="BH425" i="1"/>
  <c r="AN386" i="11" s="1"/>
  <c r="BG425" i="1"/>
  <c r="AM386" i="11" s="1"/>
  <c r="BF425" i="1"/>
  <c r="AL386" i="11" s="1"/>
  <c r="BE425" i="1"/>
  <c r="AK386" i="11" s="1"/>
  <c r="BD425" i="1"/>
  <c r="AJ386" i="11" s="1"/>
  <c r="BC425" i="1"/>
  <c r="AI386" i="11" s="1"/>
  <c r="BB425" i="1"/>
  <c r="AH386" i="11" s="1"/>
  <c r="BA425" i="1"/>
  <c r="AG386" i="11" s="1"/>
  <c r="AZ425" i="1"/>
  <c r="AF386" i="11" s="1"/>
  <c r="AU425" i="1"/>
  <c r="AS425" i="1"/>
  <c r="U386" i="11" s="1"/>
  <c r="AR425" i="1"/>
  <c r="T386" i="11" s="1"/>
  <c r="AQ425" i="1"/>
  <c r="S386" i="11" s="1"/>
  <c r="AO425" i="1"/>
  <c r="Q386" i="11" s="1"/>
  <c r="AN425" i="1"/>
  <c r="P386" i="11" s="1"/>
  <c r="AM425" i="1"/>
  <c r="O386" i="11" s="1"/>
  <c r="AK425" i="1"/>
  <c r="M386" i="11" s="1"/>
  <c r="AJ425" i="1"/>
  <c r="L386" i="11" s="1"/>
  <c r="AI425" i="1"/>
  <c r="K386" i="11" s="1"/>
  <c r="AG425" i="1"/>
  <c r="I386" i="11" s="1"/>
  <c r="AF425" i="1"/>
  <c r="H386" i="11" s="1"/>
  <c r="AE425" i="1"/>
  <c r="G386" i="11" s="1"/>
  <c r="AC425" i="1"/>
  <c r="E386" i="11" s="1"/>
  <c r="AB425" i="1"/>
  <c r="D386" i="11" s="1"/>
  <c r="AA425" i="1"/>
  <c r="C386" i="11" s="1"/>
  <c r="Y425" i="1"/>
  <c r="X425" i="1"/>
  <c r="W425" i="1"/>
  <c r="U425" i="1"/>
  <c r="T425" i="1"/>
  <c r="S425" i="1"/>
  <c r="Q425" i="1"/>
  <c r="P425" i="1"/>
  <c r="O425" i="1"/>
  <c r="M425" i="1"/>
  <c r="L425" i="1"/>
  <c r="K425" i="1"/>
  <c r="I425" i="1"/>
  <c r="H425" i="1"/>
  <c r="G425" i="1"/>
  <c r="E425" i="1"/>
  <c r="D425" i="1"/>
  <c r="C425" i="1"/>
  <c r="A425" i="1"/>
  <c r="BN424" i="1"/>
  <c r="BM424" i="1"/>
  <c r="BL424" i="1"/>
  <c r="BK424" i="1"/>
  <c r="BJ424" i="1"/>
  <c r="BI424" i="1"/>
  <c r="BH424" i="1"/>
  <c r="BG424" i="1"/>
  <c r="BF424" i="1"/>
  <c r="BE424" i="1"/>
  <c r="BD424" i="1"/>
  <c r="BC424" i="1"/>
  <c r="BB424" i="1"/>
  <c r="BA424" i="1"/>
  <c r="AZ424" i="1"/>
  <c r="AU424" i="1"/>
  <c r="AS424" i="1"/>
  <c r="AR424" i="1"/>
  <c r="AQ424" i="1"/>
  <c r="S385" i="11" s="1"/>
  <c r="AO424" i="1"/>
  <c r="Q385" i="11" s="1"/>
  <c r="AN424" i="1"/>
  <c r="P385" i="11" s="1"/>
  <c r="AM424" i="1"/>
  <c r="O385" i="11" s="1"/>
  <c r="AK424" i="1"/>
  <c r="M385" i="11" s="1"/>
  <c r="AJ424" i="1"/>
  <c r="L385" i="11" s="1"/>
  <c r="AI424" i="1"/>
  <c r="K385" i="11" s="1"/>
  <c r="AG424" i="1"/>
  <c r="I385" i="11" s="1"/>
  <c r="AF424" i="1"/>
  <c r="H385" i="11" s="1"/>
  <c r="AE424" i="1"/>
  <c r="G385" i="11" s="1"/>
  <c r="AC424" i="1"/>
  <c r="E385" i="11" s="1"/>
  <c r="AB424" i="1"/>
  <c r="D385" i="11" s="1"/>
  <c r="AA424" i="1"/>
  <c r="C385" i="11" s="1"/>
  <c r="Y424" i="1"/>
  <c r="Y214" i="1" s="1"/>
  <c r="Y213" i="1" s="1"/>
  <c r="Y46" i="9" s="1"/>
  <c r="X424" i="1"/>
  <c r="X214" i="1" s="1"/>
  <c r="W424" i="1"/>
  <c r="W214" i="1" s="1"/>
  <c r="W213" i="1" s="1"/>
  <c r="W46" i="9" s="1"/>
  <c r="U424" i="1"/>
  <c r="U214" i="1" s="1"/>
  <c r="T424" i="1"/>
  <c r="T214" i="1" s="1"/>
  <c r="T213" i="1" s="1"/>
  <c r="S424" i="1"/>
  <c r="S214" i="1" s="1"/>
  <c r="Q424" i="1"/>
  <c r="Q214" i="1" s="1"/>
  <c r="P424" i="1"/>
  <c r="P214" i="1" s="1"/>
  <c r="P213" i="1" s="1"/>
  <c r="O424" i="1"/>
  <c r="O214" i="1" s="1"/>
  <c r="O213" i="1" s="1"/>
  <c r="M424" i="1"/>
  <c r="M214" i="1" s="1"/>
  <c r="L424" i="1"/>
  <c r="L214" i="1" s="1"/>
  <c r="K424" i="1"/>
  <c r="K214" i="1" s="1"/>
  <c r="K213" i="1" s="1"/>
  <c r="I424" i="1"/>
  <c r="I214" i="1" s="1"/>
  <c r="H424" i="1"/>
  <c r="H214" i="1" s="1"/>
  <c r="H213" i="1" s="1"/>
  <c r="G424" i="1"/>
  <c r="G214" i="1" s="1"/>
  <c r="E424" i="1"/>
  <c r="E214" i="1" s="1"/>
  <c r="E213" i="1" s="1"/>
  <c r="D424" i="1"/>
  <c r="D214" i="1" s="1"/>
  <c r="C424" i="1"/>
  <c r="C214" i="1" s="1"/>
  <c r="C213" i="1" s="1"/>
  <c r="C46" i="9" s="1"/>
  <c r="A424" i="1"/>
  <c r="BP423" i="1"/>
  <c r="BN423" i="1"/>
  <c r="AT384" i="11" s="1"/>
  <c r="BM423" i="1"/>
  <c r="AS384" i="11" s="1"/>
  <c r="BL423" i="1"/>
  <c r="AR384" i="11" s="1"/>
  <c r="BK423" i="1"/>
  <c r="AQ384" i="11" s="1"/>
  <c r="BJ423" i="1"/>
  <c r="AP384" i="11" s="1"/>
  <c r="BI423" i="1"/>
  <c r="AO384" i="11" s="1"/>
  <c r="BH423" i="1"/>
  <c r="AN384" i="11" s="1"/>
  <c r="BG423" i="1"/>
  <c r="AM384" i="11" s="1"/>
  <c r="BF423" i="1"/>
  <c r="AL384" i="11" s="1"/>
  <c r="BE423" i="1"/>
  <c r="AK384" i="11" s="1"/>
  <c r="BD423" i="1"/>
  <c r="AJ384" i="11" s="1"/>
  <c r="BC423" i="1"/>
  <c r="AI384" i="11" s="1"/>
  <c r="BB423" i="1"/>
  <c r="AH384" i="11" s="1"/>
  <c r="BA423" i="1"/>
  <c r="AG384" i="11" s="1"/>
  <c r="AZ423" i="1"/>
  <c r="AF384" i="11" s="1"/>
  <c r="AU423" i="1"/>
  <c r="AS423" i="1"/>
  <c r="U384" i="11" s="1"/>
  <c r="AR423" i="1"/>
  <c r="T384" i="11" s="1"/>
  <c r="AQ423" i="1"/>
  <c r="S384" i="11" s="1"/>
  <c r="AO423" i="1"/>
  <c r="Q384" i="11" s="1"/>
  <c r="AN423" i="1"/>
  <c r="P384" i="11" s="1"/>
  <c r="AM423" i="1"/>
  <c r="O384" i="11" s="1"/>
  <c r="AK423" i="1"/>
  <c r="M384" i="11" s="1"/>
  <c r="AJ423" i="1"/>
  <c r="L384" i="11" s="1"/>
  <c r="AI423" i="1"/>
  <c r="K384" i="11" s="1"/>
  <c r="AG423" i="1"/>
  <c r="I384" i="11" s="1"/>
  <c r="AF423" i="1"/>
  <c r="H384" i="11" s="1"/>
  <c r="AE423" i="1"/>
  <c r="G384" i="11" s="1"/>
  <c r="AC423" i="1"/>
  <c r="E384" i="11" s="1"/>
  <c r="AB423" i="1"/>
  <c r="D384" i="11" s="1"/>
  <c r="AA423" i="1"/>
  <c r="C384" i="11" s="1"/>
  <c r="Y423" i="1"/>
  <c r="X423" i="1"/>
  <c r="W423" i="1"/>
  <c r="U423" i="1"/>
  <c r="T423" i="1"/>
  <c r="S423" i="1"/>
  <c r="Q423" i="1"/>
  <c r="P423" i="1"/>
  <c r="O423" i="1"/>
  <c r="M423" i="1"/>
  <c r="L423" i="1"/>
  <c r="K423" i="1"/>
  <c r="I423" i="1"/>
  <c r="H423" i="1"/>
  <c r="G423" i="1"/>
  <c r="E423" i="1"/>
  <c r="D423" i="1"/>
  <c r="C423" i="1"/>
  <c r="A423" i="1"/>
  <c r="BS422" i="1"/>
  <c r="BR422" i="1"/>
  <c r="BQ422" i="1"/>
  <c r="BN422" i="1"/>
  <c r="BM422" i="1"/>
  <c r="BL422" i="1"/>
  <c r="BK422" i="1"/>
  <c r="BJ422" i="1"/>
  <c r="BI422" i="1"/>
  <c r="BH422" i="1"/>
  <c r="BG422" i="1"/>
  <c r="BF422" i="1"/>
  <c r="BE422" i="1"/>
  <c r="BD422" i="1"/>
  <c r="BC422" i="1"/>
  <c r="BB422" i="1"/>
  <c r="BA422" i="1"/>
  <c r="AZ422" i="1"/>
  <c r="AX422" i="1"/>
  <c r="AW422" i="1"/>
  <c r="AV422" i="1"/>
  <c r="AV600" i="1" s="1"/>
  <c r="AU422" i="1"/>
  <c r="AS422" i="1"/>
  <c r="AR422" i="1"/>
  <c r="AQ422" i="1"/>
  <c r="S383" i="11" s="1"/>
  <c r="AO422" i="1"/>
  <c r="Q383" i="11" s="1"/>
  <c r="AN422" i="1"/>
  <c r="P383" i="11" s="1"/>
  <c r="AM422" i="1"/>
  <c r="O383" i="11" s="1"/>
  <c r="AK422" i="1"/>
  <c r="M383" i="11" s="1"/>
  <c r="AJ422" i="1"/>
  <c r="L383" i="11" s="1"/>
  <c r="AI422" i="1"/>
  <c r="K383" i="11" s="1"/>
  <c r="AG422" i="1"/>
  <c r="I383" i="11" s="1"/>
  <c r="AF422" i="1"/>
  <c r="H383" i="11" s="1"/>
  <c r="AE422" i="1"/>
  <c r="G383" i="11" s="1"/>
  <c r="AC422" i="1"/>
  <c r="E383" i="11" s="1"/>
  <c r="AB422" i="1"/>
  <c r="D383" i="11" s="1"/>
  <c r="AA422" i="1"/>
  <c r="C383" i="11" s="1"/>
  <c r="Y422" i="1"/>
  <c r="Y203" i="1" s="1"/>
  <c r="X422" i="1"/>
  <c r="X203" i="1" s="1"/>
  <c r="X174" i="1" s="1"/>
  <c r="X179" i="1" s="1"/>
  <c r="W422" i="1"/>
  <c r="W203" i="1" s="1"/>
  <c r="U422" i="1"/>
  <c r="U203" i="1" s="1"/>
  <c r="T422" i="1"/>
  <c r="T203" i="1" s="1"/>
  <c r="S422" i="1"/>
  <c r="S203" i="1" s="1"/>
  <c r="S174" i="1" s="1"/>
  <c r="S179" i="1" s="1"/>
  <c r="Q422" i="1"/>
  <c r="Q203" i="1" s="1"/>
  <c r="P422" i="1"/>
  <c r="P203" i="1" s="1"/>
  <c r="P174" i="1" s="1"/>
  <c r="P179" i="1" s="1"/>
  <c r="O422" i="1"/>
  <c r="O203" i="1" s="1"/>
  <c r="O174" i="1" s="1"/>
  <c r="O179" i="1" s="1"/>
  <c r="M422" i="1"/>
  <c r="M203" i="1" s="1"/>
  <c r="M174" i="1" s="1"/>
  <c r="M179" i="1" s="1"/>
  <c r="L422" i="1"/>
  <c r="L203" i="1" s="1"/>
  <c r="K422" i="1"/>
  <c r="K203" i="1" s="1"/>
  <c r="K174" i="1" s="1"/>
  <c r="K179" i="1" s="1"/>
  <c r="I422" i="1"/>
  <c r="I203" i="1" s="1"/>
  <c r="I174" i="1" s="1"/>
  <c r="I179" i="1" s="1"/>
  <c r="H422" i="1"/>
  <c r="H203" i="1" s="1"/>
  <c r="H174" i="1" s="1"/>
  <c r="H179" i="1" s="1"/>
  <c r="G422" i="1"/>
  <c r="G203" i="1" s="1"/>
  <c r="G174" i="1" s="1"/>
  <c r="G179" i="1" s="1"/>
  <c r="E422" i="1"/>
  <c r="E203" i="1" s="1"/>
  <c r="D422" i="1"/>
  <c r="D203" i="1" s="1"/>
  <c r="C422" i="1"/>
  <c r="C203" i="1" s="1"/>
  <c r="A422" i="1"/>
  <c r="BN421" i="1"/>
  <c r="BM421" i="1"/>
  <c r="BL421" i="1"/>
  <c r="BK421" i="1"/>
  <c r="BJ421" i="1"/>
  <c r="BI421" i="1"/>
  <c r="BH421" i="1"/>
  <c r="BG421" i="1"/>
  <c r="BF421" i="1"/>
  <c r="BE421" i="1"/>
  <c r="BD421" i="1"/>
  <c r="BC421" i="1"/>
  <c r="BB421" i="1"/>
  <c r="BA421" i="1"/>
  <c r="AZ421" i="1"/>
  <c r="AU421" i="1"/>
  <c r="AS421" i="1"/>
  <c r="AR421" i="1"/>
  <c r="AQ421" i="1"/>
  <c r="S382" i="11" s="1"/>
  <c r="AO421" i="1"/>
  <c r="Q382" i="11" s="1"/>
  <c r="AN421" i="1"/>
  <c r="P382" i="11" s="1"/>
  <c r="AM421" i="1"/>
  <c r="O382" i="11" s="1"/>
  <c r="AK421" i="1"/>
  <c r="M382" i="11" s="1"/>
  <c r="AJ421" i="1"/>
  <c r="L382" i="11" s="1"/>
  <c r="AI421" i="1"/>
  <c r="K382" i="11" s="1"/>
  <c r="AG421" i="1"/>
  <c r="I382" i="11" s="1"/>
  <c r="AF421" i="1"/>
  <c r="H382" i="11" s="1"/>
  <c r="AE421" i="1"/>
  <c r="G382" i="11" s="1"/>
  <c r="AC421" i="1"/>
  <c r="E382" i="11" s="1"/>
  <c r="AB421" i="1"/>
  <c r="D382" i="11" s="1"/>
  <c r="AA421" i="1"/>
  <c r="C382" i="11" s="1"/>
  <c r="Y421" i="1"/>
  <c r="Y88" i="1" s="1"/>
  <c r="Y177" i="1" s="1"/>
  <c r="X421" i="1"/>
  <c r="X88" i="1" s="1"/>
  <c r="W421" i="1"/>
  <c r="W88" i="1" s="1"/>
  <c r="U421" i="1"/>
  <c r="T421" i="1"/>
  <c r="T88" i="1" s="1"/>
  <c r="S421" i="1"/>
  <c r="S88" i="1" s="1"/>
  <c r="Q421" i="1"/>
  <c r="Q88" i="1" s="1"/>
  <c r="P421" i="1"/>
  <c r="P88" i="1" s="1"/>
  <c r="O421" i="1"/>
  <c r="O88" i="1" s="1"/>
  <c r="M421" i="1"/>
  <c r="M88" i="1" s="1"/>
  <c r="L421" i="1"/>
  <c r="L88" i="1" s="1"/>
  <c r="K421" i="1"/>
  <c r="K88" i="1" s="1"/>
  <c r="I421" i="1"/>
  <c r="I88" i="1" s="1"/>
  <c r="I177" i="1" s="1"/>
  <c r="H421" i="1"/>
  <c r="H88" i="1" s="1"/>
  <c r="H177" i="1" s="1"/>
  <c r="G421" i="1"/>
  <c r="G88" i="1" s="1"/>
  <c r="E421" i="1"/>
  <c r="E88" i="1" s="1"/>
  <c r="E177" i="1" s="1"/>
  <c r="D421" i="1"/>
  <c r="D88" i="1" s="1"/>
  <c r="D177" i="1" s="1"/>
  <c r="C421" i="1"/>
  <c r="C88" i="1" s="1"/>
  <c r="C177" i="1" s="1"/>
  <c r="A421" i="1"/>
  <c r="BN420" i="1"/>
  <c r="AT380" i="11" s="1"/>
  <c r="BM420" i="1"/>
  <c r="AS380" i="11" s="1"/>
  <c r="BL420" i="1"/>
  <c r="AR380" i="11" s="1"/>
  <c r="BK420" i="1"/>
  <c r="AQ380" i="11" s="1"/>
  <c r="BJ420" i="1"/>
  <c r="AP380" i="11" s="1"/>
  <c r="BI420" i="1"/>
  <c r="AO380" i="11" s="1"/>
  <c r="BH420" i="1"/>
  <c r="AN380" i="11" s="1"/>
  <c r="BG420" i="1"/>
  <c r="AM380" i="11" s="1"/>
  <c r="BF420" i="1"/>
  <c r="AL380" i="11" s="1"/>
  <c r="BE420" i="1"/>
  <c r="AK380" i="11" s="1"/>
  <c r="BD420" i="1"/>
  <c r="AJ380" i="11" s="1"/>
  <c r="BC420" i="1"/>
  <c r="AI380" i="11" s="1"/>
  <c r="BB420" i="1"/>
  <c r="AH380" i="11" s="1"/>
  <c r="BA420" i="1"/>
  <c r="AG380" i="11" s="1"/>
  <c r="AZ420" i="1"/>
  <c r="AF380" i="11" s="1"/>
  <c r="AU420" i="1"/>
  <c r="W380" i="11" s="1"/>
  <c r="AS420" i="1"/>
  <c r="U380" i="11" s="1"/>
  <c r="AR420" i="1"/>
  <c r="T380" i="11" s="1"/>
  <c r="AQ420" i="1"/>
  <c r="S380" i="11" s="1"/>
  <c r="AO420" i="1"/>
  <c r="Q380" i="11" s="1"/>
  <c r="AN420" i="1"/>
  <c r="P380" i="11" s="1"/>
  <c r="AM420" i="1"/>
  <c r="O380" i="11" s="1"/>
  <c r="AK420" i="1"/>
  <c r="M380" i="11" s="1"/>
  <c r="AJ420" i="1"/>
  <c r="L380" i="11" s="1"/>
  <c r="AI420" i="1"/>
  <c r="K380" i="11" s="1"/>
  <c r="AG420" i="1"/>
  <c r="I380" i="11" s="1"/>
  <c r="AF420" i="1"/>
  <c r="H380" i="11" s="1"/>
  <c r="AE420" i="1"/>
  <c r="G380" i="11" s="1"/>
  <c r="AC420" i="1"/>
  <c r="E380" i="11" s="1"/>
  <c r="AB420" i="1"/>
  <c r="D380" i="11" s="1"/>
  <c r="AA420" i="1"/>
  <c r="C380" i="11" s="1"/>
  <c r="Y420" i="1"/>
  <c r="X420" i="1"/>
  <c r="W420" i="1"/>
  <c r="U420" i="1"/>
  <c r="T420" i="1"/>
  <c r="S420" i="1"/>
  <c r="Q420" i="1"/>
  <c r="P420" i="1"/>
  <c r="O420" i="1"/>
  <c r="M420" i="1"/>
  <c r="L420" i="1"/>
  <c r="K420" i="1"/>
  <c r="I420" i="1"/>
  <c r="H420" i="1"/>
  <c r="G420" i="1"/>
  <c r="E420" i="1"/>
  <c r="D420" i="1"/>
  <c r="C420" i="1"/>
  <c r="A420" i="1"/>
  <c r="A419" i="1"/>
  <c r="AT416" i="1"/>
  <c r="AT508" i="1" s="1"/>
  <c r="AP416" i="1"/>
  <c r="AP508" i="1" s="1"/>
  <c r="AL416" i="1"/>
  <c r="AL508" i="1" s="1"/>
  <c r="AH416" i="1"/>
  <c r="AH508" i="1" s="1"/>
  <c r="AD416" i="1"/>
  <c r="AD508" i="1" s="1"/>
  <c r="Z416" i="1"/>
  <c r="Z508" i="1" s="1"/>
  <c r="V416" i="1"/>
  <c r="V508" i="1" s="1"/>
  <c r="R416" i="1"/>
  <c r="R508" i="1" s="1"/>
  <c r="N416" i="1"/>
  <c r="N508" i="1" s="1"/>
  <c r="J416" i="1"/>
  <c r="J508" i="1" s="1"/>
  <c r="F416" i="1"/>
  <c r="F508" i="1" s="1"/>
  <c r="AT415" i="1"/>
  <c r="AT507" i="1" s="1"/>
  <c r="AP415" i="1"/>
  <c r="AP507" i="1" s="1"/>
  <c r="AL415" i="1"/>
  <c r="AL507" i="1" s="1"/>
  <c r="AH415" i="1"/>
  <c r="AH507" i="1" s="1"/>
  <c r="AD415" i="1"/>
  <c r="AD507" i="1" s="1"/>
  <c r="Z415" i="1"/>
  <c r="Z507" i="1" s="1"/>
  <c r="V415" i="1"/>
  <c r="V507" i="1" s="1"/>
  <c r="R415" i="1"/>
  <c r="R507" i="1" s="1"/>
  <c r="N415" i="1"/>
  <c r="N507" i="1" s="1"/>
  <c r="J415" i="1"/>
  <c r="J507" i="1" s="1"/>
  <c r="F415" i="1"/>
  <c r="F507" i="1" s="1"/>
  <c r="AX409" i="1"/>
  <c r="AT409" i="1"/>
  <c r="AT501" i="1" s="1"/>
  <c r="AP409" i="1"/>
  <c r="AP501" i="1" s="1"/>
  <c r="AL409" i="1"/>
  <c r="AL501" i="1" s="1"/>
  <c r="AH409" i="1"/>
  <c r="AH501" i="1" s="1"/>
  <c r="AD409" i="1"/>
  <c r="AD501" i="1" s="1"/>
  <c r="Z409" i="1"/>
  <c r="Z501" i="1" s="1"/>
  <c r="V409" i="1"/>
  <c r="V501" i="1" s="1"/>
  <c r="R409" i="1"/>
  <c r="R501" i="1" s="1"/>
  <c r="N409" i="1"/>
  <c r="N501" i="1" s="1"/>
  <c r="J409" i="1"/>
  <c r="J501" i="1" s="1"/>
  <c r="F409" i="1"/>
  <c r="F501" i="1" s="1"/>
  <c r="BS407" i="1"/>
  <c r="BR407" i="1"/>
  <c r="BQ407" i="1"/>
  <c r="BP407" i="1"/>
  <c r="BO407" i="1"/>
  <c r="BN407" i="1"/>
  <c r="BM407" i="1"/>
  <c r="BL407" i="1"/>
  <c r="BK407" i="1"/>
  <c r="BJ407" i="1"/>
  <c r="BI407" i="1"/>
  <c r="BH407" i="1"/>
  <c r="BG407" i="1"/>
  <c r="BF407" i="1"/>
  <c r="BE407" i="1"/>
  <c r="BD407" i="1"/>
  <c r="BC407" i="1"/>
  <c r="BB407" i="1"/>
  <c r="BA407" i="1"/>
  <c r="AZ407" i="1"/>
  <c r="AW407" i="1"/>
  <c r="AV407" i="1"/>
  <c r="AU407" i="1"/>
  <c r="AS407" i="1"/>
  <c r="AR407" i="1"/>
  <c r="AQ407" i="1"/>
  <c r="AO407" i="1"/>
  <c r="AN407" i="1"/>
  <c r="AM407" i="1"/>
  <c r="AK407" i="1"/>
  <c r="AJ407" i="1"/>
  <c r="AI407" i="1"/>
  <c r="AG407" i="1"/>
  <c r="AF407" i="1"/>
  <c r="AE407" i="1"/>
  <c r="AC407" i="1"/>
  <c r="AB407" i="1"/>
  <c r="AA407" i="1"/>
  <c r="Y407" i="1"/>
  <c r="X407" i="1"/>
  <c r="W407" i="1"/>
  <c r="U407" i="1"/>
  <c r="T407" i="1"/>
  <c r="S407" i="1"/>
  <c r="Q407" i="1"/>
  <c r="P407" i="1"/>
  <c r="O407" i="1"/>
  <c r="M407" i="1"/>
  <c r="L407" i="1"/>
  <c r="K407" i="1"/>
  <c r="I407" i="1"/>
  <c r="H407" i="1"/>
  <c r="G407" i="1"/>
  <c r="E407" i="1"/>
  <c r="D407" i="1"/>
  <c r="C407" i="1"/>
  <c r="AX406" i="1"/>
  <c r="AT406" i="1"/>
  <c r="AT498" i="1" s="1"/>
  <c r="AP406" i="1"/>
  <c r="AP498" i="1" s="1"/>
  <c r="AL406" i="1"/>
  <c r="AL498" i="1" s="1"/>
  <c r="AH406" i="1"/>
  <c r="AH498" i="1" s="1"/>
  <c r="AD406" i="1"/>
  <c r="AD498" i="1" s="1"/>
  <c r="Z406" i="1"/>
  <c r="Z498" i="1" s="1"/>
  <c r="Z267" i="1" s="1"/>
  <c r="Z74" i="9" s="1"/>
  <c r="V406" i="1"/>
  <c r="V498" i="1" s="1"/>
  <c r="V267" i="1" s="1"/>
  <c r="V74" i="9" s="1"/>
  <c r="R406" i="1"/>
  <c r="R498" i="1" s="1"/>
  <c r="R267" i="1" s="1"/>
  <c r="R74" i="9" s="1"/>
  <c r="N406" i="1"/>
  <c r="N498" i="1" s="1"/>
  <c r="N267" i="1" s="1"/>
  <c r="N74" i="9" s="1"/>
  <c r="J406" i="1"/>
  <c r="J498" i="1" s="1"/>
  <c r="J267" i="1" s="1"/>
  <c r="J74" i="9" s="1"/>
  <c r="F406" i="1"/>
  <c r="F498" i="1" s="1"/>
  <c r="F267" i="1" s="1"/>
  <c r="F74" i="9" s="1"/>
  <c r="AX405" i="1"/>
  <c r="AT405" i="1"/>
  <c r="AT497" i="1" s="1"/>
  <c r="V457" i="11" s="1"/>
  <c r="AP405" i="1"/>
  <c r="AP497" i="1" s="1"/>
  <c r="R457" i="11" s="1"/>
  <c r="AL405" i="1"/>
  <c r="AL497" i="1" s="1"/>
  <c r="N457" i="11" s="1"/>
  <c r="AX404" i="1"/>
  <c r="AT404" i="1"/>
  <c r="AT496" i="1" s="1"/>
  <c r="V456" i="11" s="1"/>
  <c r="AP404" i="1"/>
  <c r="AP496" i="1" s="1"/>
  <c r="R456" i="11" s="1"/>
  <c r="AL404" i="1"/>
  <c r="AL496" i="1" s="1"/>
  <c r="N456" i="11" s="1"/>
  <c r="AX403" i="1"/>
  <c r="AT403" i="1"/>
  <c r="AT495" i="1" s="1"/>
  <c r="V455" i="11" s="1"/>
  <c r="AP403" i="1"/>
  <c r="AP495" i="1" s="1"/>
  <c r="R455" i="11" s="1"/>
  <c r="AL403" i="1"/>
  <c r="AL495" i="1" s="1"/>
  <c r="N455" i="11" s="1"/>
  <c r="AH403" i="1"/>
  <c r="AH495" i="1" s="1"/>
  <c r="J455" i="11" s="1"/>
  <c r="AD403" i="1"/>
  <c r="AD495" i="1" s="1"/>
  <c r="F455" i="11" s="1"/>
  <c r="Z403" i="1"/>
  <c r="Z495" i="1" s="1"/>
  <c r="V403" i="1"/>
  <c r="V495" i="1" s="1"/>
  <c r="R403" i="1"/>
  <c r="R495" i="1" s="1"/>
  <c r="N403" i="1"/>
  <c r="N495" i="1" s="1"/>
  <c r="J403" i="1"/>
  <c r="J495" i="1" s="1"/>
  <c r="F403" i="1"/>
  <c r="F495" i="1" s="1"/>
  <c r="AX402" i="1"/>
  <c r="AT402" i="1"/>
  <c r="AT494" i="1" s="1"/>
  <c r="V454" i="11" s="1"/>
  <c r="AP402" i="1"/>
  <c r="AP494" i="1" s="1"/>
  <c r="R454" i="11" s="1"/>
  <c r="AL402" i="1"/>
  <c r="AL494" i="1" s="1"/>
  <c r="N454" i="11" s="1"/>
  <c r="AH402" i="1"/>
  <c r="AH494" i="1" s="1"/>
  <c r="J454" i="11" s="1"/>
  <c r="AD402" i="1"/>
  <c r="AD494" i="1" s="1"/>
  <c r="F454" i="11" s="1"/>
  <c r="Z402" i="1"/>
  <c r="Z494" i="1" s="1"/>
  <c r="V402" i="1"/>
  <c r="V494" i="1" s="1"/>
  <c r="R402" i="1"/>
  <c r="R494" i="1" s="1"/>
  <c r="N402" i="1"/>
  <c r="N494" i="1" s="1"/>
  <c r="J402" i="1"/>
  <c r="J494" i="1" s="1"/>
  <c r="F402" i="1"/>
  <c r="F494" i="1" s="1"/>
  <c r="AX401" i="1"/>
  <c r="AT401" i="1"/>
  <c r="AT493" i="1" s="1"/>
  <c r="V453" i="11" s="1"/>
  <c r="AP401" i="1"/>
  <c r="AP493" i="1" s="1"/>
  <c r="R453" i="11" s="1"/>
  <c r="AL401" i="1"/>
  <c r="AL493" i="1" s="1"/>
  <c r="N453" i="11" s="1"/>
  <c r="AH401" i="1"/>
  <c r="AH493" i="1" s="1"/>
  <c r="J453" i="11" s="1"/>
  <c r="AD401" i="1"/>
  <c r="AD493" i="1" s="1"/>
  <c r="F453" i="11" s="1"/>
  <c r="Z401" i="1"/>
  <c r="Z493" i="1" s="1"/>
  <c r="V401" i="1"/>
  <c r="V493" i="1" s="1"/>
  <c r="R401" i="1"/>
  <c r="R493" i="1" s="1"/>
  <c r="N401" i="1"/>
  <c r="N493" i="1" s="1"/>
  <c r="J401" i="1"/>
  <c r="J493" i="1" s="1"/>
  <c r="F401" i="1"/>
  <c r="F493" i="1" s="1"/>
  <c r="AX400" i="1"/>
  <c r="AT400" i="1"/>
  <c r="AT492" i="1" s="1"/>
  <c r="V452" i="11" s="1"/>
  <c r="AP400" i="1"/>
  <c r="AP492" i="1" s="1"/>
  <c r="R452" i="11" s="1"/>
  <c r="AL400" i="1"/>
  <c r="AL492" i="1" s="1"/>
  <c r="N452" i="11" s="1"/>
  <c r="AH400" i="1"/>
  <c r="AH492" i="1" s="1"/>
  <c r="J452" i="11" s="1"/>
  <c r="AD400" i="1"/>
  <c r="AD492" i="1" s="1"/>
  <c r="F452" i="11" s="1"/>
  <c r="Z400" i="1"/>
  <c r="Z492" i="1" s="1"/>
  <c r="V400" i="1"/>
  <c r="V492" i="1" s="1"/>
  <c r="R400" i="1"/>
  <c r="R492" i="1" s="1"/>
  <c r="N400" i="1"/>
  <c r="N492" i="1" s="1"/>
  <c r="J400" i="1"/>
  <c r="J492" i="1" s="1"/>
  <c r="F400" i="1"/>
  <c r="F492" i="1" s="1"/>
  <c r="AX399" i="1"/>
  <c r="AT399" i="1"/>
  <c r="AT491" i="1" s="1"/>
  <c r="V451" i="11" s="1"/>
  <c r="AP399" i="1"/>
  <c r="AP491" i="1" s="1"/>
  <c r="R451" i="11" s="1"/>
  <c r="AL399" i="1"/>
  <c r="AL491" i="1" s="1"/>
  <c r="N451" i="11" s="1"/>
  <c r="AH399" i="1"/>
  <c r="AH491" i="1" s="1"/>
  <c r="J451" i="11" s="1"/>
  <c r="AD399" i="1"/>
  <c r="AD491" i="1" s="1"/>
  <c r="F451" i="11" s="1"/>
  <c r="Z399" i="1"/>
  <c r="Z491" i="1" s="1"/>
  <c r="V399" i="1"/>
  <c r="V491" i="1" s="1"/>
  <c r="R399" i="1"/>
  <c r="R491" i="1" s="1"/>
  <c r="N399" i="1"/>
  <c r="N491" i="1" s="1"/>
  <c r="J399" i="1"/>
  <c r="J491" i="1" s="1"/>
  <c r="F399" i="1"/>
  <c r="F491" i="1" s="1"/>
  <c r="AX398" i="1"/>
  <c r="AT398" i="1"/>
  <c r="AT490" i="1" s="1"/>
  <c r="V450" i="11" s="1"/>
  <c r="AP398" i="1"/>
  <c r="AP490" i="1" s="1"/>
  <c r="R450" i="11" s="1"/>
  <c r="AL398" i="1"/>
  <c r="AL490" i="1" s="1"/>
  <c r="N450" i="11" s="1"/>
  <c r="AX397" i="1"/>
  <c r="AT397" i="1"/>
  <c r="AT489" i="1" s="1"/>
  <c r="V449" i="11" s="1"/>
  <c r="AP397" i="1"/>
  <c r="AP489" i="1" s="1"/>
  <c r="R449" i="11" s="1"/>
  <c r="AL397" i="1"/>
  <c r="AL489" i="1" s="1"/>
  <c r="N449" i="11" s="1"/>
  <c r="AH397" i="1"/>
  <c r="AH489" i="1" s="1"/>
  <c r="J449" i="11" s="1"/>
  <c r="AD397" i="1"/>
  <c r="AD489" i="1" s="1"/>
  <c r="F449" i="11" s="1"/>
  <c r="Z397" i="1"/>
  <c r="Z489" i="1" s="1"/>
  <c r="V397" i="1"/>
  <c r="V489" i="1" s="1"/>
  <c r="R397" i="1"/>
  <c r="R489" i="1" s="1"/>
  <c r="N397" i="1"/>
  <c r="N489" i="1" s="1"/>
  <c r="J397" i="1"/>
  <c r="J489" i="1" s="1"/>
  <c r="F397" i="1"/>
  <c r="F489" i="1" s="1"/>
  <c r="AX396" i="1"/>
  <c r="AT396" i="1"/>
  <c r="AT488" i="1" s="1"/>
  <c r="V448" i="11" s="1"/>
  <c r="AP396" i="1"/>
  <c r="AP488" i="1" s="1"/>
  <c r="R448" i="11" s="1"/>
  <c r="AL396" i="1"/>
  <c r="AL488" i="1" s="1"/>
  <c r="N448" i="11" s="1"/>
  <c r="AH396" i="1"/>
  <c r="AH488" i="1" s="1"/>
  <c r="J448" i="11" s="1"/>
  <c r="AD396" i="1"/>
  <c r="AD488" i="1" s="1"/>
  <c r="F448" i="11" s="1"/>
  <c r="Z396" i="1"/>
  <c r="Z488" i="1" s="1"/>
  <c r="V396" i="1"/>
  <c r="V488" i="1" s="1"/>
  <c r="R396" i="1"/>
  <c r="R488" i="1" s="1"/>
  <c r="N396" i="1"/>
  <c r="N488" i="1" s="1"/>
  <c r="J396" i="1"/>
  <c r="J488" i="1" s="1"/>
  <c r="F396" i="1"/>
  <c r="F488" i="1" s="1"/>
  <c r="AX395" i="1"/>
  <c r="AT395" i="1"/>
  <c r="AT487" i="1" s="1"/>
  <c r="V447" i="11" s="1"/>
  <c r="AP395" i="1"/>
  <c r="AP487" i="1" s="1"/>
  <c r="R447" i="11" s="1"/>
  <c r="AL395" i="1"/>
  <c r="AL487" i="1" s="1"/>
  <c r="N447" i="11" s="1"/>
  <c r="AH395" i="1"/>
  <c r="AH487" i="1" s="1"/>
  <c r="J447" i="11" s="1"/>
  <c r="AD395" i="1"/>
  <c r="AD487" i="1" s="1"/>
  <c r="F447" i="11" s="1"/>
  <c r="Z395" i="1"/>
  <c r="Z487" i="1" s="1"/>
  <c r="V395" i="1"/>
  <c r="V487" i="1" s="1"/>
  <c r="R395" i="1"/>
  <c r="R487" i="1" s="1"/>
  <c r="N395" i="1"/>
  <c r="N487" i="1" s="1"/>
  <c r="J395" i="1"/>
  <c r="J487" i="1" s="1"/>
  <c r="F395" i="1"/>
  <c r="F487" i="1" s="1"/>
  <c r="AX394" i="1"/>
  <c r="AT394" i="1"/>
  <c r="AT486" i="1" s="1"/>
  <c r="V446" i="11" s="1"/>
  <c r="AP394" i="1"/>
  <c r="AP486" i="1" s="1"/>
  <c r="R446" i="11" s="1"/>
  <c r="AL394" i="1"/>
  <c r="AL486" i="1" s="1"/>
  <c r="N446" i="11" s="1"/>
  <c r="AH394" i="1"/>
  <c r="AH486" i="1" s="1"/>
  <c r="J446" i="11" s="1"/>
  <c r="AD394" i="1"/>
  <c r="AD486" i="1" s="1"/>
  <c r="F446" i="11" s="1"/>
  <c r="Z394" i="1"/>
  <c r="Z486" i="1" s="1"/>
  <c r="V394" i="1"/>
  <c r="V486" i="1" s="1"/>
  <c r="R394" i="1"/>
  <c r="R486" i="1" s="1"/>
  <c r="N394" i="1"/>
  <c r="N486" i="1" s="1"/>
  <c r="J394" i="1"/>
  <c r="J486" i="1" s="1"/>
  <c r="F394" i="1"/>
  <c r="F486" i="1" s="1"/>
  <c r="AX393" i="1"/>
  <c r="AT393" i="1"/>
  <c r="AT485" i="1" s="1"/>
  <c r="V445" i="11" s="1"/>
  <c r="AP393" i="1"/>
  <c r="AP485" i="1" s="1"/>
  <c r="R445" i="11" s="1"/>
  <c r="AL393" i="1"/>
  <c r="AL485" i="1" s="1"/>
  <c r="N445" i="11" s="1"/>
  <c r="AH393" i="1"/>
  <c r="AH485" i="1" s="1"/>
  <c r="J445" i="11" s="1"/>
  <c r="AD393" i="1"/>
  <c r="AD485" i="1" s="1"/>
  <c r="F445" i="11" s="1"/>
  <c r="Z393" i="1"/>
  <c r="Z485" i="1" s="1"/>
  <c r="V393" i="1"/>
  <c r="V485" i="1" s="1"/>
  <c r="R393" i="1"/>
  <c r="R485" i="1" s="1"/>
  <c r="N393" i="1"/>
  <c r="N485" i="1" s="1"/>
  <c r="J393" i="1"/>
  <c r="J485" i="1" s="1"/>
  <c r="F393" i="1"/>
  <c r="F485" i="1" s="1"/>
  <c r="AX392" i="1"/>
  <c r="AT392" i="1"/>
  <c r="AT484" i="1" s="1"/>
  <c r="V444" i="11" s="1"/>
  <c r="AP392" i="1"/>
  <c r="AP484" i="1" s="1"/>
  <c r="R444" i="11" s="1"/>
  <c r="AL392" i="1"/>
  <c r="AL484" i="1" s="1"/>
  <c r="N444" i="11" s="1"/>
  <c r="AH392" i="1"/>
  <c r="AH484" i="1" s="1"/>
  <c r="J444" i="11" s="1"/>
  <c r="AD392" i="1"/>
  <c r="AD484" i="1" s="1"/>
  <c r="F444" i="11" s="1"/>
  <c r="Z392" i="1"/>
  <c r="Z484" i="1" s="1"/>
  <c r="V392" i="1"/>
  <c r="V484" i="1" s="1"/>
  <c r="R392" i="1"/>
  <c r="R484" i="1" s="1"/>
  <c r="N392" i="1"/>
  <c r="N484" i="1" s="1"/>
  <c r="J392" i="1"/>
  <c r="J484" i="1" s="1"/>
  <c r="F392" i="1"/>
  <c r="F484" i="1" s="1"/>
  <c r="AX391" i="1"/>
  <c r="AT391" i="1"/>
  <c r="AT483" i="1" s="1"/>
  <c r="V443" i="11" s="1"/>
  <c r="AP391" i="1"/>
  <c r="AP483" i="1" s="1"/>
  <c r="R443" i="11" s="1"/>
  <c r="AL391" i="1"/>
  <c r="AL483" i="1" s="1"/>
  <c r="N443" i="11" s="1"/>
  <c r="AH391" i="1"/>
  <c r="AH483" i="1" s="1"/>
  <c r="J443" i="11" s="1"/>
  <c r="AD391" i="1"/>
  <c r="AD483" i="1" s="1"/>
  <c r="F443" i="11" s="1"/>
  <c r="Z391" i="1"/>
  <c r="Z483" i="1" s="1"/>
  <c r="V391" i="1"/>
  <c r="V483" i="1" s="1"/>
  <c r="R391" i="1"/>
  <c r="R483" i="1" s="1"/>
  <c r="N391" i="1"/>
  <c r="N483" i="1" s="1"/>
  <c r="J391" i="1"/>
  <c r="J483" i="1" s="1"/>
  <c r="F391" i="1"/>
  <c r="F483" i="1" s="1"/>
  <c r="AX390" i="1"/>
  <c r="AT390" i="1"/>
  <c r="AT482" i="1" s="1"/>
  <c r="V442" i="11" s="1"/>
  <c r="AP390" i="1"/>
  <c r="AP482" i="1" s="1"/>
  <c r="R442" i="11" s="1"/>
  <c r="AX389" i="1"/>
  <c r="AT389" i="1"/>
  <c r="AT481" i="1" s="1"/>
  <c r="V441" i="11" s="1"/>
  <c r="AP389" i="1"/>
  <c r="AP481" i="1" s="1"/>
  <c r="R441" i="11" s="1"/>
  <c r="AL389" i="1"/>
  <c r="AL481" i="1" s="1"/>
  <c r="N441" i="11" s="1"/>
  <c r="AH389" i="1"/>
  <c r="AH481" i="1" s="1"/>
  <c r="J441" i="11" s="1"/>
  <c r="AD389" i="1"/>
  <c r="AD481" i="1" s="1"/>
  <c r="F441" i="11" s="1"/>
  <c r="AX388" i="1"/>
  <c r="AT388" i="1"/>
  <c r="AT480" i="1" s="1"/>
  <c r="AP388" i="1"/>
  <c r="AL388" i="1"/>
  <c r="AH388" i="1"/>
  <c r="AH480" i="1" s="1"/>
  <c r="AD388" i="1"/>
  <c r="Z388" i="1"/>
  <c r="Z480" i="1" s="1"/>
  <c r="V388" i="1"/>
  <c r="V480" i="1" s="1"/>
  <c r="R388" i="1"/>
  <c r="R480" i="1" s="1"/>
  <c r="N388" i="1"/>
  <c r="N480" i="1" s="1"/>
  <c r="J388" i="1"/>
  <c r="J480" i="1" s="1"/>
  <c r="F388" i="1"/>
  <c r="BS385" i="1"/>
  <c r="BR385" i="1"/>
  <c r="BQ385" i="1"/>
  <c r="BP385" i="1"/>
  <c r="BO385" i="1"/>
  <c r="BN385" i="1"/>
  <c r="BM385" i="1"/>
  <c r="BL385" i="1"/>
  <c r="BK385" i="1"/>
  <c r="BJ385" i="1"/>
  <c r="BI385" i="1"/>
  <c r="BH385" i="1"/>
  <c r="BG385" i="1"/>
  <c r="BF385" i="1"/>
  <c r="BE385" i="1"/>
  <c r="BD385" i="1"/>
  <c r="BC385" i="1"/>
  <c r="BB385" i="1"/>
  <c r="BA385" i="1"/>
  <c r="AZ385" i="1"/>
  <c r="AW385" i="1"/>
  <c r="AV385" i="1"/>
  <c r="AU385" i="1"/>
  <c r="AS385" i="1"/>
  <c r="AR385" i="1"/>
  <c r="AQ385" i="1"/>
  <c r="AO385" i="1"/>
  <c r="AN385" i="1"/>
  <c r="AM385" i="1"/>
  <c r="AK385" i="1"/>
  <c r="AJ385" i="1"/>
  <c r="AI385" i="1"/>
  <c r="AG385" i="1"/>
  <c r="AF385" i="1"/>
  <c r="AE385" i="1"/>
  <c r="AC385" i="1"/>
  <c r="AB385" i="1"/>
  <c r="AA385" i="1"/>
  <c r="Y385" i="1"/>
  <c r="X385" i="1"/>
  <c r="W385" i="1"/>
  <c r="U385" i="1"/>
  <c r="T385" i="1"/>
  <c r="S385" i="1"/>
  <c r="Q385" i="1"/>
  <c r="P385" i="1"/>
  <c r="O385" i="1"/>
  <c r="M385" i="1"/>
  <c r="L385" i="1"/>
  <c r="K385" i="1"/>
  <c r="I385" i="1"/>
  <c r="H385" i="1"/>
  <c r="G385" i="1"/>
  <c r="E385" i="1"/>
  <c r="D385" i="1"/>
  <c r="C385" i="1"/>
  <c r="AX384" i="1"/>
  <c r="AT384" i="1"/>
  <c r="AT476" i="1" s="1"/>
  <c r="V436" i="11" s="1"/>
  <c r="AP384" i="1"/>
  <c r="AP476" i="1" s="1"/>
  <c r="R436" i="11" s="1"/>
  <c r="AL384" i="1"/>
  <c r="AL476" i="1" s="1"/>
  <c r="N436" i="11" s="1"/>
  <c r="AH384" i="1"/>
  <c r="AH476" i="1" s="1"/>
  <c r="J436" i="11" s="1"/>
  <c r="AD384" i="1"/>
  <c r="AD476" i="1" s="1"/>
  <c r="F436" i="11" s="1"/>
  <c r="Z384" i="1"/>
  <c r="Z476" i="1" s="1"/>
  <c r="V384" i="1"/>
  <c r="V476" i="1" s="1"/>
  <c r="R384" i="1"/>
  <c r="R476" i="1" s="1"/>
  <c r="N384" i="1"/>
  <c r="N476" i="1" s="1"/>
  <c r="J384" i="1"/>
  <c r="J476" i="1" s="1"/>
  <c r="F384" i="1"/>
  <c r="F476" i="1" s="1"/>
  <c r="AX383" i="1"/>
  <c r="AT383" i="1"/>
  <c r="AT475" i="1" s="1"/>
  <c r="V435" i="11" s="1"/>
  <c r="AP383" i="1"/>
  <c r="AP475" i="1" s="1"/>
  <c r="R435" i="11" s="1"/>
  <c r="AL383" i="1"/>
  <c r="AL475" i="1" s="1"/>
  <c r="N435" i="11" s="1"/>
  <c r="AX382" i="1"/>
  <c r="AT382" i="1"/>
  <c r="AT474" i="1" s="1"/>
  <c r="V434" i="11" s="1"/>
  <c r="AP382" i="1"/>
  <c r="AP474" i="1" s="1"/>
  <c r="R434" i="11" s="1"/>
  <c r="AX381" i="1"/>
  <c r="AT381" i="1"/>
  <c r="AT473" i="1" s="1"/>
  <c r="V433" i="11" s="1"/>
  <c r="AP381" i="1"/>
  <c r="AP473" i="1" s="1"/>
  <c r="R433" i="11" s="1"/>
  <c r="AL381" i="1"/>
  <c r="AL473" i="1" s="1"/>
  <c r="N433" i="11" s="1"/>
  <c r="AH381" i="1"/>
  <c r="AH473" i="1" s="1"/>
  <c r="J433" i="11" s="1"/>
  <c r="AD381" i="1"/>
  <c r="AD473" i="1" s="1"/>
  <c r="F433" i="11" s="1"/>
  <c r="Z381" i="1"/>
  <c r="Z473" i="1" s="1"/>
  <c r="V381" i="1"/>
  <c r="V473" i="1" s="1"/>
  <c r="R381" i="1"/>
  <c r="R473" i="1" s="1"/>
  <c r="N381" i="1"/>
  <c r="N473" i="1" s="1"/>
  <c r="J381" i="1"/>
  <c r="J473" i="1" s="1"/>
  <c r="F381" i="1"/>
  <c r="F473" i="1" s="1"/>
  <c r="AX380" i="1"/>
  <c r="AT380" i="1"/>
  <c r="AT472" i="1" s="1"/>
  <c r="V432" i="11" s="1"/>
  <c r="AX379" i="1"/>
  <c r="AT379" i="1"/>
  <c r="AT471" i="1" s="1"/>
  <c r="V431" i="11" s="1"/>
  <c r="AP379" i="1"/>
  <c r="AP471" i="1" s="1"/>
  <c r="R431" i="11" s="1"/>
  <c r="AL379" i="1"/>
  <c r="AL471" i="1" s="1"/>
  <c r="N431" i="11" s="1"/>
  <c r="AH379" i="1"/>
  <c r="AH471" i="1" s="1"/>
  <c r="J431" i="11" s="1"/>
  <c r="AD379" i="1"/>
  <c r="AD471" i="1" s="1"/>
  <c r="F431" i="11" s="1"/>
  <c r="Z379" i="1"/>
  <c r="Z471" i="1" s="1"/>
  <c r="V379" i="1"/>
  <c r="V471" i="1" s="1"/>
  <c r="R379" i="1"/>
  <c r="R471" i="1" s="1"/>
  <c r="N379" i="1"/>
  <c r="N471" i="1" s="1"/>
  <c r="J379" i="1"/>
  <c r="J471" i="1" s="1"/>
  <c r="F379" i="1"/>
  <c r="F471" i="1" s="1"/>
  <c r="AX378" i="1"/>
  <c r="AT378" i="1"/>
  <c r="AT470" i="1" s="1"/>
  <c r="V430" i="11" s="1"/>
  <c r="AP378" i="1"/>
  <c r="AP470" i="1" s="1"/>
  <c r="R430" i="11" s="1"/>
  <c r="AL378" i="1"/>
  <c r="AL470" i="1" s="1"/>
  <c r="N430" i="11" s="1"/>
  <c r="AH378" i="1"/>
  <c r="AH470" i="1" s="1"/>
  <c r="J430" i="11" s="1"/>
  <c r="AD378" i="1"/>
  <c r="AD470" i="1" s="1"/>
  <c r="F430" i="11" s="1"/>
  <c r="Z378" i="1"/>
  <c r="Z470" i="1" s="1"/>
  <c r="V378" i="1"/>
  <c r="V470" i="1" s="1"/>
  <c r="R378" i="1"/>
  <c r="R470" i="1" s="1"/>
  <c r="N378" i="1"/>
  <c r="N470" i="1" s="1"/>
  <c r="J378" i="1"/>
  <c r="J470" i="1" s="1"/>
  <c r="F378" i="1"/>
  <c r="F470" i="1" s="1"/>
  <c r="AX377" i="1"/>
  <c r="AT377" i="1"/>
  <c r="AT469" i="1" s="1"/>
  <c r="V429" i="11" s="1"/>
  <c r="AP377" i="1"/>
  <c r="AP469" i="1" s="1"/>
  <c r="R429" i="11" s="1"/>
  <c r="AL377" i="1"/>
  <c r="AL469" i="1" s="1"/>
  <c r="N429" i="11" s="1"/>
  <c r="AH377" i="1"/>
  <c r="AH469" i="1" s="1"/>
  <c r="J429" i="11" s="1"/>
  <c r="AD377" i="1"/>
  <c r="AD469" i="1" s="1"/>
  <c r="F429" i="11" s="1"/>
  <c r="Z377" i="1"/>
  <c r="Z469" i="1" s="1"/>
  <c r="V377" i="1"/>
  <c r="V469" i="1" s="1"/>
  <c r="R377" i="1"/>
  <c r="R469" i="1" s="1"/>
  <c r="N377" i="1"/>
  <c r="N469" i="1" s="1"/>
  <c r="J377" i="1"/>
  <c r="J469" i="1" s="1"/>
  <c r="F377" i="1"/>
  <c r="F469" i="1" s="1"/>
  <c r="AX376" i="1"/>
  <c r="AT376" i="1"/>
  <c r="AT468" i="1" s="1"/>
  <c r="V428" i="11" s="1"/>
  <c r="AP376" i="1"/>
  <c r="AP468" i="1" s="1"/>
  <c r="R428" i="11" s="1"/>
  <c r="AL376" i="1"/>
  <c r="AL468" i="1" s="1"/>
  <c r="N428" i="11" s="1"/>
  <c r="AH376" i="1"/>
  <c r="AH468" i="1" s="1"/>
  <c r="J428" i="11" s="1"/>
  <c r="AD376" i="1"/>
  <c r="AD468" i="1" s="1"/>
  <c r="F428" i="11" s="1"/>
  <c r="Z376" i="1"/>
  <c r="Z468" i="1" s="1"/>
  <c r="V376" i="1"/>
  <c r="V468" i="1" s="1"/>
  <c r="R376" i="1"/>
  <c r="R468" i="1" s="1"/>
  <c r="N376" i="1"/>
  <c r="N468" i="1" s="1"/>
  <c r="J376" i="1"/>
  <c r="J468" i="1" s="1"/>
  <c r="F376" i="1"/>
  <c r="F468" i="1" s="1"/>
  <c r="AX375" i="1"/>
  <c r="AT375" i="1"/>
  <c r="AT467" i="1" s="1"/>
  <c r="V427" i="11" s="1"/>
  <c r="AP375" i="1"/>
  <c r="AP467" i="1" s="1"/>
  <c r="R427" i="11" s="1"/>
  <c r="AL375" i="1"/>
  <c r="AL467" i="1" s="1"/>
  <c r="N427" i="11" s="1"/>
  <c r="AH375" i="1"/>
  <c r="AH467" i="1" s="1"/>
  <c r="J427" i="11" s="1"/>
  <c r="AD375" i="1"/>
  <c r="AD467" i="1" s="1"/>
  <c r="F427" i="11" s="1"/>
  <c r="Z375" i="1"/>
  <c r="Z467" i="1" s="1"/>
  <c r="V375" i="1"/>
  <c r="V467" i="1" s="1"/>
  <c r="R375" i="1"/>
  <c r="R467" i="1" s="1"/>
  <c r="N375" i="1"/>
  <c r="N467" i="1" s="1"/>
  <c r="J375" i="1"/>
  <c r="J467" i="1" s="1"/>
  <c r="F375" i="1"/>
  <c r="F467" i="1" s="1"/>
  <c r="AX374" i="1"/>
  <c r="AT374" i="1"/>
  <c r="AT466" i="1" s="1"/>
  <c r="V426" i="11" s="1"/>
  <c r="AP374" i="1"/>
  <c r="AP466" i="1" s="1"/>
  <c r="R426" i="11" s="1"/>
  <c r="AL374" i="1"/>
  <c r="AL466" i="1" s="1"/>
  <c r="N426" i="11" s="1"/>
  <c r="AH374" i="1"/>
  <c r="AH466" i="1" s="1"/>
  <c r="J426" i="11" s="1"/>
  <c r="AD374" i="1"/>
  <c r="AD466" i="1" s="1"/>
  <c r="F426" i="11" s="1"/>
  <c r="Z374" i="1"/>
  <c r="Z466" i="1" s="1"/>
  <c r="V374" i="1"/>
  <c r="V466" i="1" s="1"/>
  <c r="R374" i="1"/>
  <c r="R466" i="1" s="1"/>
  <c r="N374" i="1"/>
  <c r="N466" i="1" s="1"/>
  <c r="J374" i="1"/>
  <c r="J466" i="1" s="1"/>
  <c r="F374" i="1"/>
  <c r="F466" i="1" s="1"/>
  <c r="AX373" i="1"/>
  <c r="AT373" i="1"/>
  <c r="AT465" i="1" s="1"/>
  <c r="V425" i="11" s="1"/>
  <c r="AP373" i="1"/>
  <c r="AP465" i="1" s="1"/>
  <c r="R425" i="11" s="1"/>
  <c r="AL373" i="1"/>
  <c r="AL465" i="1" s="1"/>
  <c r="N425" i="11" s="1"/>
  <c r="AH373" i="1"/>
  <c r="AH465" i="1" s="1"/>
  <c r="J425" i="11" s="1"/>
  <c r="AD373" i="1"/>
  <c r="AD465" i="1" s="1"/>
  <c r="F425" i="11" s="1"/>
  <c r="Z373" i="1"/>
  <c r="Z465" i="1" s="1"/>
  <c r="V373" i="1"/>
  <c r="V465" i="1" s="1"/>
  <c r="R373" i="1"/>
  <c r="R465" i="1" s="1"/>
  <c r="N373" i="1"/>
  <c r="N465" i="1" s="1"/>
  <c r="J373" i="1"/>
  <c r="J465" i="1" s="1"/>
  <c r="F373" i="1"/>
  <c r="F465" i="1" s="1"/>
  <c r="AX372" i="1"/>
  <c r="AT372" i="1"/>
  <c r="AT464" i="1" s="1"/>
  <c r="V417" i="11" s="1"/>
  <c r="AP372" i="1"/>
  <c r="AP464" i="1" s="1"/>
  <c r="R417" i="11" s="1"/>
  <c r="AX371" i="1"/>
  <c r="AT371" i="1"/>
  <c r="AT463" i="1" s="1"/>
  <c r="V416" i="11" s="1"/>
  <c r="AP371" i="1"/>
  <c r="AP463" i="1" s="1"/>
  <c r="R416" i="11" s="1"/>
  <c r="AL371" i="1"/>
  <c r="AL463" i="1" s="1"/>
  <c r="N416" i="11" s="1"/>
  <c r="AH371" i="1"/>
  <c r="AH463" i="1" s="1"/>
  <c r="J416" i="11" s="1"/>
  <c r="AD371" i="1"/>
  <c r="AD463" i="1" s="1"/>
  <c r="F416" i="11" s="1"/>
  <c r="Z371" i="1"/>
  <c r="Z463" i="1" s="1"/>
  <c r="V371" i="1"/>
  <c r="V463" i="1" s="1"/>
  <c r="R371" i="1"/>
  <c r="R463" i="1" s="1"/>
  <c r="N371" i="1"/>
  <c r="N463" i="1" s="1"/>
  <c r="J371" i="1"/>
  <c r="J463" i="1" s="1"/>
  <c r="F371" i="1"/>
  <c r="F463" i="1" s="1"/>
  <c r="AX370" i="1"/>
  <c r="AT370" i="1"/>
  <c r="AT462" i="1" s="1"/>
  <c r="V424" i="11" s="1"/>
  <c r="AP370" i="1"/>
  <c r="AP462" i="1" s="1"/>
  <c r="R424" i="11" s="1"/>
  <c r="AL370" i="1"/>
  <c r="AL462" i="1" s="1"/>
  <c r="N424" i="11" s="1"/>
  <c r="AX369" i="1"/>
  <c r="AT369" i="1"/>
  <c r="AT461" i="1" s="1"/>
  <c r="V423" i="11" s="1"/>
  <c r="AP369" i="1"/>
  <c r="AP461" i="1" s="1"/>
  <c r="R423" i="11" s="1"/>
  <c r="AL369" i="1"/>
  <c r="AL461" i="1" s="1"/>
  <c r="N423" i="11" s="1"/>
  <c r="AX368" i="1"/>
  <c r="AT368" i="1"/>
  <c r="AT460" i="1" s="1"/>
  <c r="V422" i="11" s="1"/>
  <c r="AP368" i="1"/>
  <c r="AP460" i="1" s="1"/>
  <c r="R422" i="11" s="1"/>
  <c r="AL368" i="1"/>
  <c r="AL460" i="1" s="1"/>
  <c r="N422" i="11" s="1"/>
  <c r="AH368" i="1"/>
  <c r="AH460" i="1" s="1"/>
  <c r="J422" i="11" s="1"/>
  <c r="AX367" i="1"/>
  <c r="AT367" i="1"/>
  <c r="AT459" i="1" s="1"/>
  <c r="V421" i="11" s="1"/>
  <c r="AP367" i="1"/>
  <c r="AP459" i="1" s="1"/>
  <c r="R421" i="11" s="1"/>
  <c r="AL367" i="1"/>
  <c r="AL459" i="1" s="1"/>
  <c r="N421" i="11" s="1"/>
  <c r="AH367" i="1"/>
  <c r="AH459" i="1" s="1"/>
  <c r="J421" i="11" s="1"/>
  <c r="AX366" i="1"/>
  <c r="AT366" i="1"/>
  <c r="AT458" i="1" s="1"/>
  <c r="V420" i="11" s="1"/>
  <c r="AP366" i="1"/>
  <c r="AP458" i="1" s="1"/>
  <c r="R420" i="11" s="1"/>
  <c r="AL366" i="1"/>
  <c r="AL458" i="1" s="1"/>
  <c r="N420" i="11" s="1"/>
  <c r="AH366" i="1"/>
  <c r="AH458" i="1" s="1"/>
  <c r="J420" i="11" s="1"/>
  <c r="AD366" i="1"/>
  <c r="AD458" i="1" s="1"/>
  <c r="F420" i="11" s="1"/>
  <c r="Z366" i="1"/>
  <c r="Z458" i="1" s="1"/>
  <c r="V366" i="1"/>
  <c r="V458" i="1" s="1"/>
  <c r="R366" i="1"/>
  <c r="R458" i="1" s="1"/>
  <c r="AX365" i="1"/>
  <c r="AT365" i="1"/>
  <c r="AT457" i="1" s="1"/>
  <c r="V419" i="11" s="1"/>
  <c r="AP365" i="1"/>
  <c r="AP457" i="1" s="1"/>
  <c r="R419" i="11" s="1"/>
  <c r="AL365" i="1"/>
  <c r="AL457" i="1" s="1"/>
  <c r="N419" i="11" s="1"/>
  <c r="AH365" i="1"/>
  <c r="AH457" i="1" s="1"/>
  <c r="J419" i="11" s="1"/>
  <c r="AD365" i="1"/>
  <c r="AD457" i="1" s="1"/>
  <c r="F419" i="11" s="1"/>
  <c r="Z365" i="1"/>
  <c r="Z457" i="1" s="1"/>
  <c r="V365" i="1"/>
  <c r="V457" i="1" s="1"/>
  <c r="R365" i="1"/>
  <c r="R457" i="1" s="1"/>
  <c r="N365" i="1"/>
  <c r="N457" i="1" s="1"/>
  <c r="J365" i="1"/>
  <c r="J457" i="1" s="1"/>
  <c r="F365" i="1"/>
  <c r="F457" i="1" s="1"/>
  <c r="AX364" i="1"/>
  <c r="AT364" i="1"/>
  <c r="AT456" i="1" s="1"/>
  <c r="V418" i="11" s="1"/>
  <c r="AP364" i="1"/>
  <c r="AP456" i="1" s="1"/>
  <c r="R418" i="11" s="1"/>
  <c r="AL364" i="1"/>
  <c r="AL456" i="1" s="1"/>
  <c r="N418" i="11" s="1"/>
  <c r="AH364" i="1"/>
  <c r="AH456" i="1" s="1"/>
  <c r="J418" i="11" s="1"/>
  <c r="AD364" i="1"/>
  <c r="AD456" i="1" s="1"/>
  <c r="F418" i="11" s="1"/>
  <c r="Z364" i="1"/>
  <c r="Z456" i="1" s="1"/>
  <c r="V364" i="1"/>
  <c r="V456" i="1" s="1"/>
  <c r="AX363" i="1"/>
  <c r="AT363" i="1"/>
  <c r="AT455" i="1" s="1"/>
  <c r="V415" i="11" s="1"/>
  <c r="AP363" i="1"/>
  <c r="AP455" i="1" s="1"/>
  <c r="R415" i="11" s="1"/>
  <c r="AL363" i="1"/>
  <c r="AL455" i="1" s="1"/>
  <c r="N415" i="11" s="1"/>
  <c r="AH363" i="1"/>
  <c r="AH455" i="1" s="1"/>
  <c r="J415" i="11" s="1"/>
  <c r="AD363" i="1"/>
  <c r="AD455" i="1" s="1"/>
  <c r="F415" i="11" s="1"/>
  <c r="Z363" i="1"/>
  <c r="Z455" i="1" s="1"/>
  <c r="V363" i="1"/>
  <c r="V455" i="1" s="1"/>
  <c r="AX362" i="1"/>
  <c r="AT362" i="1"/>
  <c r="AT454" i="1" s="1"/>
  <c r="AP362" i="1"/>
  <c r="AP454" i="1" s="1"/>
  <c r="AL362" i="1"/>
  <c r="AL454" i="1" s="1"/>
  <c r="AH362" i="1"/>
  <c r="AH454" i="1" s="1"/>
  <c r="AD362" i="1"/>
  <c r="AD454" i="1" s="1"/>
  <c r="Z362" i="1"/>
  <c r="Z454" i="1" s="1"/>
  <c r="V362" i="1"/>
  <c r="V454" i="1" s="1"/>
  <c r="R362" i="1"/>
  <c r="R454" i="1" s="1"/>
  <c r="N362" i="1"/>
  <c r="N454" i="1" s="1"/>
  <c r="J362" i="1"/>
  <c r="J454" i="1" s="1"/>
  <c r="F362" i="1"/>
  <c r="F454" i="1" s="1"/>
  <c r="AX361" i="1"/>
  <c r="AT361" i="1"/>
  <c r="AT453" i="1" s="1"/>
  <c r="V413" i="11" s="1"/>
  <c r="AP361" i="1"/>
  <c r="AP453" i="1" s="1"/>
  <c r="AL361" i="1"/>
  <c r="AL453" i="1" s="1"/>
  <c r="N413" i="11" s="1"/>
  <c r="AH361" i="1"/>
  <c r="AH453" i="1" s="1"/>
  <c r="J413" i="11" s="1"/>
  <c r="AD361" i="1"/>
  <c r="AD453" i="1" s="1"/>
  <c r="F413" i="11" s="1"/>
  <c r="Z361" i="1"/>
  <c r="Z453" i="1" s="1"/>
  <c r="V361" i="1"/>
  <c r="V453" i="1" s="1"/>
  <c r="R361" i="1"/>
  <c r="R453" i="1" s="1"/>
  <c r="N361" i="1"/>
  <c r="N453" i="1" s="1"/>
  <c r="J361" i="1"/>
  <c r="J453" i="1" s="1"/>
  <c r="F361" i="1"/>
  <c r="F453" i="1" s="1"/>
  <c r="AX360" i="1"/>
  <c r="AT360" i="1"/>
  <c r="AP360" i="1"/>
  <c r="AL360" i="1"/>
  <c r="AL452" i="1" s="1"/>
  <c r="AH360" i="1"/>
  <c r="AD360" i="1"/>
  <c r="Z360" i="1"/>
  <c r="V360" i="1"/>
  <c r="V452" i="1" s="1"/>
  <c r="R360" i="1"/>
  <c r="R452" i="1" s="1"/>
  <c r="N360" i="1"/>
  <c r="N452" i="1" s="1"/>
  <c r="J360" i="1"/>
  <c r="J452" i="1" s="1"/>
  <c r="F360" i="1"/>
  <c r="F452" i="1" s="1"/>
  <c r="BS356" i="1"/>
  <c r="BR356" i="1"/>
  <c r="BQ356" i="1"/>
  <c r="BP356" i="1"/>
  <c r="BO356" i="1"/>
  <c r="BN356" i="1"/>
  <c r="BM356" i="1"/>
  <c r="BL356" i="1"/>
  <c r="BK356" i="1"/>
  <c r="BJ356" i="1"/>
  <c r="BI356" i="1"/>
  <c r="BH356" i="1"/>
  <c r="BG356" i="1"/>
  <c r="BF356" i="1"/>
  <c r="BE356" i="1"/>
  <c r="BD356" i="1"/>
  <c r="BC356" i="1"/>
  <c r="BB356" i="1"/>
  <c r="BA356" i="1"/>
  <c r="AZ356" i="1"/>
  <c r="AW356" i="1"/>
  <c r="AV356" i="1"/>
  <c r="AU356" i="1"/>
  <c r="AS356" i="1"/>
  <c r="AR356" i="1"/>
  <c r="AQ356" i="1"/>
  <c r="AO356" i="1"/>
  <c r="AN356" i="1"/>
  <c r="AM356" i="1"/>
  <c r="AK356" i="1"/>
  <c r="AJ356" i="1"/>
  <c r="AI356" i="1"/>
  <c r="AG356" i="1"/>
  <c r="AF356" i="1"/>
  <c r="AE356" i="1"/>
  <c r="AC356" i="1"/>
  <c r="AB356" i="1"/>
  <c r="AA356" i="1"/>
  <c r="Y356" i="1"/>
  <c r="X356" i="1"/>
  <c r="W356" i="1"/>
  <c r="U356" i="1"/>
  <c r="T356" i="1"/>
  <c r="S356" i="1"/>
  <c r="Q356" i="1"/>
  <c r="P356" i="1"/>
  <c r="O356" i="1"/>
  <c r="M356" i="1"/>
  <c r="L356" i="1"/>
  <c r="K356" i="1"/>
  <c r="I356" i="1"/>
  <c r="H356" i="1"/>
  <c r="G356" i="1"/>
  <c r="E356" i="1"/>
  <c r="D356" i="1"/>
  <c r="C356" i="1"/>
  <c r="AX355" i="1"/>
  <c r="AT355" i="1"/>
  <c r="AT447" i="1" s="1"/>
  <c r="V408" i="11" s="1"/>
  <c r="AP355" i="1"/>
  <c r="AP447" i="1" s="1"/>
  <c r="R408" i="11" s="1"/>
  <c r="AL355" i="1"/>
  <c r="AL447" i="1" s="1"/>
  <c r="N408" i="11" s="1"/>
  <c r="AH355" i="1"/>
  <c r="AH447" i="1" s="1"/>
  <c r="J408" i="11" s="1"/>
  <c r="AD355" i="1"/>
  <c r="AD447" i="1" s="1"/>
  <c r="F408" i="11" s="1"/>
  <c r="Z355" i="1"/>
  <c r="Z447" i="1" s="1"/>
  <c r="V355" i="1"/>
  <c r="V447" i="1" s="1"/>
  <c r="R355" i="1"/>
  <c r="R447" i="1" s="1"/>
  <c r="N355" i="1"/>
  <c r="N447" i="1" s="1"/>
  <c r="J355" i="1"/>
  <c r="J447" i="1" s="1"/>
  <c r="F355" i="1"/>
  <c r="F447" i="1" s="1"/>
  <c r="AX354" i="1"/>
  <c r="AT354" i="1"/>
  <c r="AT446" i="1" s="1"/>
  <c r="V407" i="11" s="1"/>
  <c r="AP354" i="1"/>
  <c r="AP446" i="1" s="1"/>
  <c r="R407" i="11" s="1"/>
  <c r="AL354" i="1"/>
  <c r="AL446" i="1" s="1"/>
  <c r="N407" i="11" s="1"/>
  <c r="AH354" i="1"/>
  <c r="AH446" i="1" s="1"/>
  <c r="J407" i="11" s="1"/>
  <c r="AD354" i="1"/>
  <c r="AD446" i="1" s="1"/>
  <c r="F407" i="11" s="1"/>
  <c r="Z354" i="1"/>
  <c r="Z446" i="1" s="1"/>
  <c r="V354" i="1"/>
  <c r="V446" i="1" s="1"/>
  <c r="R354" i="1"/>
  <c r="R446" i="1" s="1"/>
  <c r="N354" i="1"/>
  <c r="N446" i="1" s="1"/>
  <c r="J354" i="1"/>
  <c r="J446" i="1" s="1"/>
  <c r="F354" i="1"/>
  <c r="F446" i="1" s="1"/>
  <c r="AX353" i="1"/>
  <c r="AT353" i="1"/>
  <c r="AT445" i="1" s="1"/>
  <c r="V406" i="11" s="1"/>
  <c r="AP353" i="1"/>
  <c r="AP445" i="1" s="1"/>
  <c r="R406" i="11" s="1"/>
  <c r="AL353" i="1"/>
  <c r="AL445" i="1" s="1"/>
  <c r="N406" i="11" s="1"/>
  <c r="AH353" i="1"/>
  <c r="AH445" i="1" s="1"/>
  <c r="J406" i="11" s="1"/>
  <c r="AD353" i="1"/>
  <c r="AD445" i="1" s="1"/>
  <c r="F406" i="11" s="1"/>
  <c r="Z353" i="1"/>
  <c r="Z445" i="1" s="1"/>
  <c r="V353" i="1"/>
  <c r="V445" i="1" s="1"/>
  <c r="R353" i="1"/>
  <c r="R445" i="1" s="1"/>
  <c r="N353" i="1"/>
  <c r="N445" i="1" s="1"/>
  <c r="J353" i="1"/>
  <c r="J445" i="1" s="1"/>
  <c r="F353" i="1"/>
  <c r="F445" i="1" s="1"/>
  <c r="AX352" i="1"/>
  <c r="AT352" i="1"/>
  <c r="AT444" i="1" s="1"/>
  <c r="V405" i="11" s="1"/>
  <c r="AP352" i="1"/>
  <c r="AP444" i="1" s="1"/>
  <c r="R405" i="11" s="1"/>
  <c r="AL352" i="1"/>
  <c r="AL444" i="1" s="1"/>
  <c r="N405" i="11" s="1"/>
  <c r="AH352" i="1"/>
  <c r="AH444" i="1" s="1"/>
  <c r="J405" i="11" s="1"/>
  <c r="AX351" i="1"/>
  <c r="AT351" i="1"/>
  <c r="AT443" i="1" s="1"/>
  <c r="V404" i="11" s="1"/>
  <c r="AP351" i="1"/>
  <c r="AP443" i="1" s="1"/>
  <c r="R404" i="11" s="1"/>
  <c r="AL351" i="1"/>
  <c r="AL443" i="1" s="1"/>
  <c r="N404" i="11" s="1"/>
  <c r="AH351" i="1"/>
  <c r="AH443" i="1" s="1"/>
  <c r="J404" i="11" s="1"/>
  <c r="AD351" i="1"/>
  <c r="AD443" i="1" s="1"/>
  <c r="F404" i="11" s="1"/>
  <c r="Z351" i="1"/>
  <c r="Z443" i="1" s="1"/>
  <c r="V351" i="1"/>
  <c r="V443" i="1" s="1"/>
  <c r="R351" i="1"/>
  <c r="R443" i="1" s="1"/>
  <c r="N351" i="1"/>
  <c r="N443" i="1" s="1"/>
  <c r="J351" i="1"/>
  <c r="J443" i="1" s="1"/>
  <c r="F351" i="1"/>
  <c r="F443" i="1" s="1"/>
  <c r="AX350" i="1"/>
  <c r="AT350" i="1"/>
  <c r="AT442" i="1" s="1"/>
  <c r="V403" i="11" s="1"/>
  <c r="AP350" i="1"/>
  <c r="AP442" i="1" s="1"/>
  <c r="R403" i="11" s="1"/>
  <c r="AL350" i="1"/>
  <c r="AL442" i="1" s="1"/>
  <c r="N403" i="11" s="1"/>
  <c r="AH350" i="1"/>
  <c r="AH442" i="1" s="1"/>
  <c r="J403" i="11" s="1"/>
  <c r="AD350" i="1"/>
  <c r="AD442" i="1" s="1"/>
  <c r="F403" i="11" s="1"/>
  <c r="Z350" i="1"/>
  <c r="Z442" i="1" s="1"/>
  <c r="V350" i="1"/>
  <c r="V442" i="1" s="1"/>
  <c r="R350" i="1"/>
  <c r="R442" i="1" s="1"/>
  <c r="N350" i="1"/>
  <c r="N442" i="1" s="1"/>
  <c r="J350" i="1"/>
  <c r="J442" i="1" s="1"/>
  <c r="F350" i="1"/>
  <c r="F442" i="1" s="1"/>
  <c r="AX349" i="1"/>
  <c r="AT349" i="1"/>
  <c r="AT441" i="1" s="1"/>
  <c r="V402" i="11" s="1"/>
  <c r="AP349" i="1"/>
  <c r="AP441" i="1" s="1"/>
  <c r="R402" i="11" s="1"/>
  <c r="AL349" i="1"/>
  <c r="AL441" i="1" s="1"/>
  <c r="N402" i="11" s="1"/>
  <c r="AH349" i="1"/>
  <c r="AH441" i="1" s="1"/>
  <c r="J402" i="11" s="1"/>
  <c r="AD349" i="1"/>
  <c r="AD441" i="1" s="1"/>
  <c r="F402" i="11" s="1"/>
  <c r="Z349" i="1"/>
  <c r="Z441" i="1" s="1"/>
  <c r="V349" i="1"/>
  <c r="V441" i="1" s="1"/>
  <c r="R349" i="1"/>
  <c r="R441" i="1" s="1"/>
  <c r="N349" i="1"/>
  <c r="N441" i="1" s="1"/>
  <c r="J349" i="1"/>
  <c r="J441" i="1" s="1"/>
  <c r="F349" i="1"/>
  <c r="F441" i="1" s="1"/>
  <c r="AX348" i="1"/>
  <c r="AT348" i="1"/>
  <c r="AT440" i="1" s="1"/>
  <c r="V401" i="11" s="1"/>
  <c r="AP348" i="1"/>
  <c r="AP440" i="1" s="1"/>
  <c r="R401" i="11" s="1"/>
  <c r="AL348" i="1"/>
  <c r="AL440" i="1" s="1"/>
  <c r="N401" i="11" s="1"/>
  <c r="AH348" i="1"/>
  <c r="AH440" i="1" s="1"/>
  <c r="J401" i="11" s="1"/>
  <c r="AD348" i="1"/>
  <c r="AD440" i="1" s="1"/>
  <c r="F401" i="11" s="1"/>
  <c r="Z348" i="1"/>
  <c r="Z440" i="1" s="1"/>
  <c r="V348" i="1"/>
  <c r="V440" i="1" s="1"/>
  <c r="R348" i="1"/>
  <c r="R440" i="1" s="1"/>
  <c r="N348" i="1"/>
  <c r="N440" i="1" s="1"/>
  <c r="J348" i="1"/>
  <c r="J440" i="1" s="1"/>
  <c r="F348" i="1"/>
  <c r="F440" i="1" s="1"/>
  <c r="AX347" i="1"/>
  <c r="AT347" i="1"/>
  <c r="AT439" i="1" s="1"/>
  <c r="V400" i="11" s="1"/>
  <c r="AP347" i="1"/>
  <c r="AP439" i="1" s="1"/>
  <c r="R400" i="11" s="1"/>
  <c r="AL347" i="1"/>
  <c r="AL439" i="1" s="1"/>
  <c r="N400" i="11" s="1"/>
  <c r="AH347" i="1"/>
  <c r="AH439" i="1" s="1"/>
  <c r="J400" i="11" s="1"/>
  <c r="AD347" i="1"/>
  <c r="AD439" i="1" s="1"/>
  <c r="F400" i="11" s="1"/>
  <c r="Z347" i="1"/>
  <c r="V347" i="1"/>
  <c r="V439" i="1" s="1"/>
  <c r="R347" i="1"/>
  <c r="R439" i="1" s="1"/>
  <c r="N347" i="1"/>
  <c r="N439" i="1" s="1"/>
  <c r="J347" i="1"/>
  <c r="J439" i="1" s="1"/>
  <c r="F347" i="1"/>
  <c r="F439" i="1" s="1"/>
  <c r="AX346" i="1"/>
  <c r="AT346" i="1"/>
  <c r="AT438" i="1" s="1"/>
  <c r="V399" i="11" s="1"/>
  <c r="AP346" i="1"/>
  <c r="AP438" i="1" s="1"/>
  <c r="R399" i="11" s="1"/>
  <c r="AL346" i="1"/>
  <c r="AL438" i="1" s="1"/>
  <c r="N399" i="11" s="1"/>
  <c r="AH346" i="1"/>
  <c r="AH438" i="1" s="1"/>
  <c r="J399" i="11" s="1"/>
  <c r="AD346" i="1"/>
  <c r="AD438" i="1" s="1"/>
  <c r="F399" i="11" s="1"/>
  <c r="Z346" i="1"/>
  <c r="V346" i="1"/>
  <c r="V438" i="1" s="1"/>
  <c r="R346" i="1"/>
  <c r="R438" i="1" s="1"/>
  <c r="N346" i="1"/>
  <c r="N438" i="1" s="1"/>
  <c r="J346" i="1"/>
  <c r="J438" i="1" s="1"/>
  <c r="F346" i="1"/>
  <c r="F438" i="1" s="1"/>
  <c r="AX345" i="1"/>
  <c r="AT345" i="1"/>
  <c r="AT437" i="1" s="1"/>
  <c r="V398" i="11" s="1"/>
  <c r="AP345" i="1"/>
  <c r="AP437" i="1" s="1"/>
  <c r="R398" i="11" s="1"/>
  <c r="AL345" i="1"/>
  <c r="AH345" i="1"/>
  <c r="AH437" i="1" s="1"/>
  <c r="J398" i="11" s="1"/>
  <c r="AD345" i="1"/>
  <c r="AD437" i="1" s="1"/>
  <c r="F398" i="11" s="1"/>
  <c r="Z345" i="1"/>
  <c r="V345" i="1"/>
  <c r="V437" i="1" s="1"/>
  <c r="R345" i="1"/>
  <c r="R437" i="1" s="1"/>
  <c r="N345" i="1"/>
  <c r="N437" i="1" s="1"/>
  <c r="J345" i="1"/>
  <c r="J437" i="1" s="1"/>
  <c r="F345" i="1"/>
  <c r="F437" i="1" s="1"/>
  <c r="AX344" i="1"/>
  <c r="AT344" i="1"/>
  <c r="AP344" i="1"/>
  <c r="AP436" i="1" s="1"/>
  <c r="R397" i="11" s="1"/>
  <c r="AL344" i="1"/>
  <c r="AL436" i="1" s="1"/>
  <c r="N397" i="11" s="1"/>
  <c r="AH344" i="1"/>
  <c r="AH436" i="1" s="1"/>
  <c r="J397" i="11" s="1"/>
  <c r="AD344" i="1"/>
  <c r="AD436" i="1" s="1"/>
  <c r="F397" i="11" s="1"/>
  <c r="Z344" i="1"/>
  <c r="Z436" i="1" s="1"/>
  <c r="V344" i="1"/>
  <c r="V436" i="1" s="1"/>
  <c r="R344" i="1"/>
  <c r="R436" i="1" s="1"/>
  <c r="N344" i="1"/>
  <c r="N436" i="1" s="1"/>
  <c r="J344" i="1"/>
  <c r="J436" i="1" s="1"/>
  <c r="F344" i="1"/>
  <c r="F436" i="1" s="1"/>
  <c r="BS343" i="1"/>
  <c r="BR343" i="1"/>
  <c r="BQ343" i="1"/>
  <c r="BP343" i="1"/>
  <c r="BO343" i="1"/>
  <c r="BN343" i="1"/>
  <c r="BM343" i="1"/>
  <c r="BL343" i="1"/>
  <c r="BK343" i="1"/>
  <c r="BJ343" i="1"/>
  <c r="BI343" i="1"/>
  <c r="BH343" i="1"/>
  <c r="BG343" i="1"/>
  <c r="BF343" i="1"/>
  <c r="BE343" i="1"/>
  <c r="BD343" i="1"/>
  <c r="BC343" i="1"/>
  <c r="BB343" i="1"/>
  <c r="BA343" i="1"/>
  <c r="AZ343" i="1"/>
  <c r="AW343" i="1"/>
  <c r="AV343" i="1"/>
  <c r="AU343" i="1"/>
  <c r="AS343" i="1"/>
  <c r="AR343" i="1"/>
  <c r="AQ343" i="1"/>
  <c r="AO343" i="1"/>
  <c r="AN343" i="1"/>
  <c r="AM343" i="1"/>
  <c r="AK343" i="1"/>
  <c r="AJ343" i="1"/>
  <c r="AI343" i="1"/>
  <c r="AG343" i="1"/>
  <c r="AF343" i="1"/>
  <c r="AE343" i="1"/>
  <c r="AC343" i="1"/>
  <c r="AB343" i="1"/>
  <c r="AA343" i="1"/>
  <c r="Y343" i="1"/>
  <c r="X343" i="1"/>
  <c r="W343" i="1"/>
  <c r="U343" i="1"/>
  <c r="T343" i="1"/>
  <c r="S343" i="1"/>
  <c r="Q343" i="1"/>
  <c r="P343" i="1"/>
  <c r="O343" i="1"/>
  <c r="M343" i="1"/>
  <c r="L343" i="1"/>
  <c r="K343" i="1"/>
  <c r="I343" i="1"/>
  <c r="H343" i="1"/>
  <c r="G343" i="1"/>
  <c r="E343" i="1"/>
  <c r="D343" i="1"/>
  <c r="C343" i="1"/>
  <c r="AX342" i="1"/>
  <c r="AT342" i="1"/>
  <c r="AT434" i="1" s="1"/>
  <c r="V395" i="11" s="1"/>
  <c r="AP342" i="1"/>
  <c r="AP434" i="1" s="1"/>
  <c r="R395" i="11" s="1"/>
  <c r="AL342" i="1"/>
  <c r="AH342" i="1"/>
  <c r="AH434" i="1" s="1"/>
  <c r="J395" i="11" s="1"/>
  <c r="AD342" i="1"/>
  <c r="AD434" i="1" s="1"/>
  <c r="F395" i="11" s="1"/>
  <c r="Z342" i="1"/>
  <c r="Z434" i="1" s="1"/>
  <c r="V342" i="1"/>
  <c r="V434" i="1" s="1"/>
  <c r="AX341" i="1"/>
  <c r="AT341" i="1"/>
  <c r="AT433" i="1" s="1"/>
  <c r="V394" i="11" s="1"/>
  <c r="AP341" i="1"/>
  <c r="AP433" i="1" s="1"/>
  <c r="R394" i="11" s="1"/>
  <c r="AL341" i="1"/>
  <c r="AX340" i="1"/>
  <c r="AT340" i="1"/>
  <c r="AT432" i="1" s="1"/>
  <c r="V393" i="11" s="1"/>
  <c r="AP340" i="1"/>
  <c r="AP432" i="1" s="1"/>
  <c r="R393" i="11" s="1"/>
  <c r="AL340" i="1"/>
  <c r="AL432" i="1" s="1"/>
  <c r="N393" i="11" s="1"/>
  <c r="AH340" i="1"/>
  <c r="AH432" i="1" s="1"/>
  <c r="J393" i="11" s="1"/>
  <c r="AD340" i="1"/>
  <c r="AD432" i="1" s="1"/>
  <c r="F393" i="11" s="1"/>
  <c r="Z340" i="1"/>
  <c r="Z432" i="1" s="1"/>
  <c r="V340" i="1"/>
  <c r="V432" i="1" s="1"/>
  <c r="AX339" i="1"/>
  <c r="AT339" i="1"/>
  <c r="AT431" i="1" s="1"/>
  <c r="V392" i="11" s="1"/>
  <c r="AP339" i="1"/>
  <c r="AP431" i="1" s="1"/>
  <c r="R392" i="11" s="1"/>
  <c r="AL339" i="1"/>
  <c r="AL431" i="1" s="1"/>
  <c r="N392" i="11" s="1"/>
  <c r="AH339" i="1"/>
  <c r="AH431" i="1" s="1"/>
  <c r="J392" i="11" s="1"/>
  <c r="AD339" i="1"/>
  <c r="AD431" i="1" s="1"/>
  <c r="F392" i="11" s="1"/>
  <c r="Z339" i="1"/>
  <c r="Z431" i="1" s="1"/>
  <c r="V339" i="1"/>
  <c r="V431" i="1" s="1"/>
  <c r="R339" i="1"/>
  <c r="R431" i="1" s="1"/>
  <c r="N339" i="1"/>
  <c r="N431" i="1" s="1"/>
  <c r="J339" i="1"/>
  <c r="J431" i="1" s="1"/>
  <c r="F339" i="1"/>
  <c r="F431" i="1" s="1"/>
  <c r="AX338" i="1"/>
  <c r="AT338" i="1"/>
  <c r="AT430" i="1" s="1"/>
  <c r="V391" i="11" s="1"/>
  <c r="AP338" i="1"/>
  <c r="AP430" i="1" s="1"/>
  <c r="R391" i="11" s="1"/>
  <c r="AL338" i="1"/>
  <c r="AL430" i="1" s="1"/>
  <c r="N391" i="11" s="1"/>
  <c r="AH338" i="1"/>
  <c r="AH430" i="1" s="1"/>
  <c r="J391" i="11" s="1"/>
  <c r="AD338" i="1"/>
  <c r="AD430" i="1" s="1"/>
  <c r="F391" i="11" s="1"/>
  <c r="Z338" i="1"/>
  <c r="Z430" i="1" s="1"/>
  <c r="V338" i="1"/>
  <c r="V430" i="1" s="1"/>
  <c r="R338" i="1"/>
  <c r="R430" i="1" s="1"/>
  <c r="N338" i="1"/>
  <c r="N430" i="1" s="1"/>
  <c r="J338" i="1"/>
  <c r="J430" i="1" s="1"/>
  <c r="F338" i="1"/>
  <c r="F430" i="1" s="1"/>
  <c r="AX337" i="1"/>
  <c r="AT337" i="1"/>
  <c r="AT429" i="1" s="1"/>
  <c r="V390" i="11" s="1"/>
  <c r="AP337" i="1"/>
  <c r="AP429" i="1" s="1"/>
  <c r="R390" i="11" s="1"/>
  <c r="AL337" i="1"/>
  <c r="AL429" i="1" s="1"/>
  <c r="N390" i="11" s="1"/>
  <c r="AH337" i="1"/>
  <c r="AH429" i="1" s="1"/>
  <c r="J390" i="11" s="1"/>
  <c r="AD337" i="1"/>
  <c r="AD429" i="1" s="1"/>
  <c r="F390" i="11" s="1"/>
  <c r="Z337" i="1"/>
  <c r="Z429" i="1" s="1"/>
  <c r="V337" i="1"/>
  <c r="V429" i="1" s="1"/>
  <c r="R337" i="1"/>
  <c r="R429" i="1" s="1"/>
  <c r="N337" i="1"/>
  <c r="N429" i="1" s="1"/>
  <c r="J337" i="1"/>
  <c r="J429" i="1" s="1"/>
  <c r="F337" i="1"/>
  <c r="F429" i="1" s="1"/>
  <c r="AX336" i="1"/>
  <c r="AT336" i="1"/>
  <c r="AT428" i="1" s="1"/>
  <c r="V389" i="11" s="1"/>
  <c r="AP336" i="1"/>
  <c r="AP428" i="1" s="1"/>
  <c r="R389" i="11" s="1"/>
  <c r="AL336" i="1"/>
  <c r="AL428" i="1" s="1"/>
  <c r="N389" i="11" s="1"/>
  <c r="AH336" i="1"/>
  <c r="AH428" i="1" s="1"/>
  <c r="J389" i="11" s="1"/>
  <c r="AD336" i="1"/>
  <c r="AD428" i="1" s="1"/>
  <c r="F389" i="11" s="1"/>
  <c r="Z336" i="1"/>
  <c r="Z428" i="1" s="1"/>
  <c r="V336" i="1"/>
  <c r="V428" i="1" s="1"/>
  <c r="R336" i="1"/>
  <c r="R428" i="1" s="1"/>
  <c r="N336" i="1"/>
  <c r="N428" i="1" s="1"/>
  <c r="J336" i="1"/>
  <c r="J428" i="1" s="1"/>
  <c r="F336" i="1"/>
  <c r="F428" i="1" s="1"/>
  <c r="AX335" i="1"/>
  <c r="AT335" i="1"/>
  <c r="AT427" i="1" s="1"/>
  <c r="V388" i="11" s="1"/>
  <c r="AP335" i="1"/>
  <c r="AP427" i="1" s="1"/>
  <c r="R388" i="11" s="1"/>
  <c r="AL335" i="1"/>
  <c r="AL427" i="1" s="1"/>
  <c r="N388" i="11" s="1"/>
  <c r="AH335" i="1"/>
  <c r="AH427" i="1" s="1"/>
  <c r="J388" i="11" s="1"/>
  <c r="AD335" i="1"/>
  <c r="AD427" i="1" s="1"/>
  <c r="F388" i="11" s="1"/>
  <c r="Z335" i="1"/>
  <c r="Z427" i="1" s="1"/>
  <c r="V335" i="1"/>
  <c r="V427" i="1" s="1"/>
  <c r="R335" i="1"/>
  <c r="R427" i="1" s="1"/>
  <c r="N335" i="1"/>
  <c r="N427" i="1" s="1"/>
  <c r="J335" i="1"/>
  <c r="J427" i="1" s="1"/>
  <c r="F335" i="1"/>
  <c r="F427" i="1" s="1"/>
  <c r="AX334" i="1"/>
  <c r="AT334" i="1"/>
  <c r="AT426" i="1" s="1"/>
  <c r="V387" i="11" s="1"/>
  <c r="AP334" i="1"/>
  <c r="AP426" i="1" s="1"/>
  <c r="R387" i="11" s="1"/>
  <c r="AL334" i="1"/>
  <c r="AL426" i="1" s="1"/>
  <c r="N387" i="11" s="1"/>
  <c r="AX333" i="1"/>
  <c r="AT333" i="1"/>
  <c r="AT425" i="1" s="1"/>
  <c r="V386" i="11" s="1"/>
  <c r="AP333" i="1"/>
  <c r="AP425" i="1" s="1"/>
  <c r="R386" i="11" s="1"/>
  <c r="AL333" i="1"/>
  <c r="AL425" i="1" s="1"/>
  <c r="N386" i="11" s="1"/>
  <c r="AH333" i="1"/>
  <c r="AH425" i="1" s="1"/>
  <c r="J386" i="11" s="1"/>
  <c r="AD333" i="1"/>
  <c r="AD425" i="1" s="1"/>
  <c r="F386" i="11" s="1"/>
  <c r="Z333" i="1"/>
  <c r="Z425" i="1" s="1"/>
  <c r="V333" i="1"/>
  <c r="V425" i="1" s="1"/>
  <c r="R333" i="1"/>
  <c r="R425" i="1" s="1"/>
  <c r="N333" i="1"/>
  <c r="N425" i="1" s="1"/>
  <c r="J333" i="1"/>
  <c r="J425" i="1" s="1"/>
  <c r="F333" i="1"/>
  <c r="F425" i="1" s="1"/>
  <c r="AX332" i="1"/>
  <c r="AT332" i="1"/>
  <c r="AT424" i="1" s="1"/>
  <c r="AP332" i="1"/>
  <c r="AL332" i="1"/>
  <c r="AL424" i="1" s="1"/>
  <c r="N385" i="11" s="1"/>
  <c r="AH332" i="1"/>
  <c r="AH424" i="1" s="1"/>
  <c r="J385" i="11" s="1"/>
  <c r="AD332" i="1"/>
  <c r="AD424" i="1" s="1"/>
  <c r="F385" i="11" s="1"/>
  <c r="Z332" i="1"/>
  <c r="Z424" i="1" s="1"/>
  <c r="Z214" i="1" s="1"/>
  <c r="V332" i="1"/>
  <c r="V424" i="1" s="1"/>
  <c r="V214" i="1" s="1"/>
  <c r="R332" i="1"/>
  <c r="R424" i="1" s="1"/>
  <c r="R214" i="1" s="1"/>
  <c r="N332" i="1"/>
  <c r="N424" i="1" s="1"/>
  <c r="N214" i="1" s="1"/>
  <c r="J332" i="1"/>
  <c r="J424" i="1" s="1"/>
  <c r="J214" i="1" s="1"/>
  <c r="F332" i="1"/>
  <c r="F424" i="1" s="1"/>
  <c r="F214" i="1" s="1"/>
  <c r="AX331" i="1"/>
  <c r="AT331" i="1"/>
  <c r="AT423" i="1" s="1"/>
  <c r="V384" i="11" s="1"/>
  <c r="AP331" i="1"/>
  <c r="AP423" i="1" s="1"/>
  <c r="R384" i="11" s="1"/>
  <c r="AL331" i="1"/>
  <c r="AL423" i="1" s="1"/>
  <c r="N384" i="11" s="1"/>
  <c r="AH331" i="1"/>
  <c r="AH423" i="1" s="1"/>
  <c r="J384" i="11" s="1"/>
  <c r="AD331" i="1"/>
  <c r="AD423" i="1" s="1"/>
  <c r="F384" i="11" s="1"/>
  <c r="Z331" i="1"/>
  <c r="Z423" i="1" s="1"/>
  <c r="V331" i="1"/>
  <c r="V423" i="1" s="1"/>
  <c r="R331" i="1"/>
  <c r="R423" i="1" s="1"/>
  <c r="N331" i="1"/>
  <c r="N423" i="1" s="1"/>
  <c r="J331" i="1"/>
  <c r="J423" i="1" s="1"/>
  <c r="F331" i="1"/>
  <c r="F423" i="1" s="1"/>
  <c r="AX330" i="1"/>
  <c r="AT330" i="1"/>
  <c r="AP330" i="1"/>
  <c r="AP422" i="1" s="1"/>
  <c r="R383" i="11" s="1"/>
  <c r="AL330" i="1"/>
  <c r="AL422" i="1" s="1"/>
  <c r="N383" i="11" s="1"/>
  <c r="AH330" i="1"/>
  <c r="AH422" i="1" s="1"/>
  <c r="J383" i="11" s="1"/>
  <c r="AD330" i="1"/>
  <c r="AD422" i="1" s="1"/>
  <c r="F383" i="11" s="1"/>
  <c r="Z330" i="1"/>
  <c r="Z422" i="1" s="1"/>
  <c r="Z203" i="1" s="1"/>
  <c r="V330" i="1"/>
  <c r="V422" i="1" s="1"/>
  <c r="V203" i="1" s="1"/>
  <c r="V174" i="1" s="1"/>
  <c r="V179" i="1" s="1"/>
  <c r="R330" i="1"/>
  <c r="R422" i="1" s="1"/>
  <c r="R203" i="1" s="1"/>
  <c r="R174" i="1" s="1"/>
  <c r="R179" i="1" s="1"/>
  <c r="N330" i="1"/>
  <c r="N422" i="1" s="1"/>
  <c r="N203" i="1" s="1"/>
  <c r="N174" i="1" s="1"/>
  <c r="N179" i="1" s="1"/>
  <c r="J330" i="1"/>
  <c r="J422" i="1" s="1"/>
  <c r="J203" i="1" s="1"/>
  <c r="J174" i="1" s="1"/>
  <c r="J179" i="1" s="1"/>
  <c r="F330" i="1"/>
  <c r="F422" i="1" s="1"/>
  <c r="F203" i="1" s="1"/>
  <c r="F174" i="1" s="1"/>
  <c r="F179" i="1" s="1"/>
  <c r="AX329" i="1"/>
  <c r="AT329" i="1"/>
  <c r="AT421" i="1" s="1"/>
  <c r="AP329" i="1"/>
  <c r="AP421" i="1" s="1"/>
  <c r="R382" i="11" s="1"/>
  <c r="AL329" i="1"/>
  <c r="AL421" i="1" s="1"/>
  <c r="N382" i="11" s="1"/>
  <c r="AH329" i="1"/>
  <c r="AH421" i="1" s="1"/>
  <c r="J382" i="11" s="1"/>
  <c r="AD329" i="1"/>
  <c r="AD421" i="1" s="1"/>
  <c r="F382" i="11" s="1"/>
  <c r="Z329" i="1"/>
  <c r="V329" i="1"/>
  <c r="V421" i="1" s="1"/>
  <c r="V88" i="1" s="1"/>
  <c r="V177" i="1" s="1"/>
  <c r="R329" i="1"/>
  <c r="R421" i="1" s="1"/>
  <c r="R88" i="1" s="1"/>
  <c r="R177" i="1" s="1"/>
  <c r="N329" i="1"/>
  <c r="N421" i="1" s="1"/>
  <c r="N88" i="1" s="1"/>
  <c r="J329" i="1"/>
  <c r="J421" i="1" s="1"/>
  <c r="J88" i="1" s="1"/>
  <c r="J177" i="1" s="1"/>
  <c r="F329" i="1"/>
  <c r="F421" i="1" s="1"/>
  <c r="F88" i="1" s="1"/>
  <c r="F177" i="1" s="1"/>
  <c r="AX328" i="1"/>
  <c r="AT328" i="1"/>
  <c r="AT420" i="1" s="1"/>
  <c r="V380" i="11" s="1"/>
  <c r="AP328" i="1"/>
  <c r="AP420" i="1" s="1"/>
  <c r="R380" i="11" s="1"/>
  <c r="AL328" i="1"/>
  <c r="AH328" i="1"/>
  <c r="AD328" i="1"/>
  <c r="AD420" i="1" s="1"/>
  <c r="F380" i="11" s="1"/>
  <c r="Z328" i="1"/>
  <c r="Z420" i="1" s="1"/>
  <c r="V328" i="1"/>
  <c r="V420" i="1" s="1"/>
  <c r="R328" i="1"/>
  <c r="R420" i="1" s="1"/>
  <c r="N328" i="1"/>
  <c r="N420" i="1" s="1"/>
  <c r="J328" i="1"/>
  <c r="F328" i="1"/>
  <c r="BN324" i="1"/>
  <c r="BM324" i="1"/>
  <c r="BL324" i="1"/>
  <c r="BK324" i="1"/>
  <c r="BJ324" i="1"/>
  <c r="BI324" i="1"/>
  <c r="BH324" i="1"/>
  <c r="BG324" i="1"/>
  <c r="BF324" i="1"/>
  <c r="BE324" i="1"/>
  <c r="BD324" i="1"/>
  <c r="BC324" i="1"/>
  <c r="BB324" i="1"/>
  <c r="BA324" i="1"/>
  <c r="AZ324" i="1"/>
  <c r="AU324" i="1"/>
  <c r="AS324" i="1"/>
  <c r="AR324" i="1"/>
  <c r="AQ324" i="1"/>
  <c r="AO324" i="1"/>
  <c r="AN324" i="1"/>
  <c r="AM324" i="1"/>
  <c r="AK324" i="1"/>
  <c r="AJ324" i="1"/>
  <c r="AI324" i="1"/>
  <c r="AG324" i="1"/>
  <c r="AF324" i="1"/>
  <c r="AE324" i="1"/>
  <c r="AC324" i="1"/>
  <c r="AB324" i="1"/>
  <c r="AA324" i="1"/>
  <c r="Y324" i="1"/>
  <c r="X324" i="1"/>
  <c r="W324" i="1"/>
  <c r="U324" i="1"/>
  <c r="T324" i="1"/>
  <c r="S324" i="1"/>
  <c r="Q324" i="1"/>
  <c r="P324" i="1"/>
  <c r="O324" i="1"/>
  <c r="M324" i="1"/>
  <c r="L324" i="1"/>
  <c r="K324" i="1"/>
  <c r="I324" i="1"/>
  <c r="H324" i="1"/>
  <c r="G324" i="1"/>
  <c r="E324" i="1"/>
  <c r="D324" i="1"/>
  <c r="C324" i="1"/>
  <c r="BS322" i="1"/>
  <c r="BR322" i="1"/>
  <c r="BQ322" i="1"/>
  <c r="BP322" i="1"/>
  <c r="BO322" i="1"/>
  <c r="BN322" i="1"/>
  <c r="BM322" i="1"/>
  <c r="BL322" i="1"/>
  <c r="BK322" i="1"/>
  <c r="BJ322" i="1"/>
  <c r="BI322" i="1"/>
  <c r="BH322" i="1"/>
  <c r="BG322" i="1"/>
  <c r="BF322" i="1"/>
  <c r="BE322" i="1"/>
  <c r="BD322" i="1"/>
  <c r="BC322" i="1"/>
  <c r="BB322" i="1"/>
  <c r="BA322" i="1"/>
  <c r="AZ322" i="1"/>
  <c r="AX322" i="1"/>
  <c r="AW322" i="1"/>
  <c r="AV322" i="1"/>
  <c r="AU322" i="1"/>
  <c r="AS322" i="1"/>
  <c r="AR322" i="1"/>
  <c r="AQ322" i="1"/>
  <c r="AO322" i="1"/>
  <c r="AN322" i="1"/>
  <c r="AM322" i="1"/>
  <c r="AK322" i="1"/>
  <c r="AJ322" i="1"/>
  <c r="AI322" i="1"/>
  <c r="AG322" i="1"/>
  <c r="AF322" i="1"/>
  <c r="AE322" i="1"/>
  <c r="AC322" i="1"/>
  <c r="AB322" i="1"/>
  <c r="AA322" i="1"/>
  <c r="Y322" i="1"/>
  <c r="X322" i="1"/>
  <c r="W322" i="1"/>
  <c r="U322" i="1"/>
  <c r="T322" i="1"/>
  <c r="S322" i="1"/>
  <c r="Q322" i="1"/>
  <c r="P322" i="1"/>
  <c r="O322" i="1"/>
  <c r="M322" i="1"/>
  <c r="L322" i="1"/>
  <c r="K322" i="1"/>
  <c r="I322" i="1"/>
  <c r="H322" i="1"/>
  <c r="G322" i="1"/>
  <c r="E322" i="1"/>
  <c r="D322" i="1"/>
  <c r="C322" i="1"/>
  <c r="A311" i="1"/>
  <c r="A310" i="1"/>
  <c r="A309" i="1"/>
  <c r="A308" i="1"/>
  <c r="A653" i="1" s="1"/>
  <c r="A307" i="1"/>
  <c r="A654" i="1" s="1"/>
  <c r="A305" i="1"/>
  <c r="A304" i="1"/>
  <c r="A303" i="1"/>
  <c r="BN288" i="1"/>
  <c r="BM288" i="1"/>
  <c r="BL288" i="1"/>
  <c r="BK288" i="1"/>
  <c r="BJ288" i="1"/>
  <c r="BI288" i="1"/>
  <c r="BH288" i="1"/>
  <c r="BG288" i="1"/>
  <c r="BF288" i="1"/>
  <c r="BE288" i="1"/>
  <c r="BD288" i="1"/>
  <c r="BC288" i="1"/>
  <c r="BB288" i="1"/>
  <c r="BA288" i="1"/>
  <c r="AZ288" i="1"/>
  <c r="AU288" i="1"/>
  <c r="AU9" i="9" s="1"/>
  <c r="AS288" i="1"/>
  <c r="AS9" i="9" s="1"/>
  <c r="AR288" i="1"/>
  <c r="AR9" i="9" s="1"/>
  <c r="AQ288" i="1"/>
  <c r="AQ9" i="9" s="1"/>
  <c r="AO288" i="1"/>
  <c r="AO9" i="9" s="1"/>
  <c r="AN288" i="1"/>
  <c r="AN9" i="9" s="1"/>
  <c r="AM288" i="1"/>
  <c r="AM9" i="9" s="1"/>
  <c r="AK288" i="1"/>
  <c r="AK9" i="9" s="1"/>
  <c r="AJ288" i="1"/>
  <c r="AJ9" i="9" s="1"/>
  <c r="AI288" i="1"/>
  <c r="AI9" i="9" s="1"/>
  <c r="AG288" i="1"/>
  <c r="AG9" i="9" s="1"/>
  <c r="AF288" i="1"/>
  <c r="AF9" i="9" s="1"/>
  <c r="AE288" i="1"/>
  <c r="AE9" i="9" s="1"/>
  <c r="AD288" i="1"/>
  <c r="AD9" i="9" s="1"/>
  <c r="AC288" i="1"/>
  <c r="AC9" i="9" s="1"/>
  <c r="AB288" i="1"/>
  <c r="AB9" i="9" s="1"/>
  <c r="AA288" i="1"/>
  <c r="AA9" i="9" s="1"/>
  <c r="Z288" i="1"/>
  <c r="Z9" i="9" s="1"/>
  <c r="Y288" i="1"/>
  <c r="Y9" i="9" s="1"/>
  <c r="X288" i="1"/>
  <c r="X9" i="9" s="1"/>
  <c r="W288" i="1"/>
  <c r="W9" i="9" s="1"/>
  <c r="V288" i="1"/>
  <c r="V9" i="9" s="1"/>
  <c r="U288" i="1"/>
  <c r="U9" i="9" s="1"/>
  <c r="T288" i="1"/>
  <c r="T9" i="9" s="1"/>
  <c r="S288" i="1"/>
  <c r="S9" i="9" s="1"/>
  <c r="R288" i="1"/>
  <c r="R9" i="9" s="1"/>
  <c r="Q288" i="1"/>
  <c r="Q9" i="9" s="1"/>
  <c r="P288" i="1"/>
  <c r="P9" i="9" s="1"/>
  <c r="O288" i="1"/>
  <c r="O9" i="9" s="1"/>
  <c r="N288" i="1"/>
  <c r="N9" i="9" s="1"/>
  <c r="M288" i="1"/>
  <c r="M9" i="9" s="1"/>
  <c r="L288" i="1"/>
  <c r="L9" i="9" s="1"/>
  <c r="K288" i="1"/>
  <c r="K9" i="9" s="1"/>
  <c r="J288" i="1"/>
  <c r="J9" i="9" s="1"/>
  <c r="I288" i="1"/>
  <c r="I9" i="9" s="1"/>
  <c r="H288" i="1"/>
  <c r="H9" i="9" s="1"/>
  <c r="G288" i="1"/>
  <c r="G9" i="9" s="1"/>
  <c r="F288" i="1"/>
  <c r="F9" i="9" s="1"/>
  <c r="E288" i="1"/>
  <c r="E9" i="9" s="1"/>
  <c r="D288" i="1"/>
  <c r="D9" i="9" s="1"/>
  <c r="C288" i="1"/>
  <c r="C9" i="9" s="1"/>
  <c r="BN287" i="1"/>
  <c r="BM287" i="1"/>
  <c r="BL287" i="1"/>
  <c r="BK287" i="1"/>
  <c r="BJ287" i="1"/>
  <c r="BI287" i="1"/>
  <c r="BH287" i="1"/>
  <c r="BG287" i="1"/>
  <c r="BF287" i="1"/>
  <c r="BE287" i="1"/>
  <c r="BD287" i="1"/>
  <c r="BC287" i="1"/>
  <c r="BB287" i="1"/>
  <c r="BA287" i="1"/>
  <c r="AZ287" i="1"/>
  <c r="AU287" i="1"/>
  <c r="AV287" i="1" s="1"/>
  <c r="AW287" i="1" s="1"/>
  <c r="AS287" i="1"/>
  <c r="AR287" i="1"/>
  <c r="AQ287" i="1"/>
  <c r="AO287" i="1"/>
  <c r="AN287" i="1"/>
  <c r="AM287" i="1"/>
  <c r="AK287" i="1"/>
  <c r="AJ287" i="1"/>
  <c r="AI287" i="1"/>
  <c r="AG287" i="1"/>
  <c r="AF287" i="1"/>
  <c r="AE287" i="1"/>
  <c r="AC287" i="1"/>
  <c r="AB287" i="1"/>
  <c r="AA287" i="1"/>
  <c r="Y287" i="1"/>
  <c r="X287" i="1"/>
  <c r="W287" i="1"/>
  <c r="U287" i="1"/>
  <c r="T287" i="1"/>
  <c r="S287" i="1"/>
  <c r="O287" i="1"/>
  <c r="M287" i="1"/>
  <c r="L287" i="1"/>
  <c r="K287" i="1"/>
  <c r="I287" i="1"/>
  <c r="H287" i="1"/>
  <c r="G287" i="1"/>
  <c r="E287" i="1"/>
  <c r="D287" i="1"/>
  <c r="C287" i="1"/>
  <c r="BN286" i="1"/>
  <c r="BM286" i="1"/>
  <c r="BL286" i="1"/>
  <c r="BK286" i="1"/>
  <c r="BJ286" i="1"/>
  <c r="BI286" i="1"/>
  <c r="BH286" i="1"/>
  <c r="BG286" i="1"/>
  <c r="BF286" i="1"/>
  <c r="BE286" i="1"/>
  <c r="BD286" i="1"/>
  <c r="BC286" i="1"/>
  <c r="BB286" i="1"/>
  <c r="BA286" i="1"/>
  <c r="AZ286" i="1"/>
  <c r="AU286" i="1"/>
  <c r="AV286" i="1" s="1"/>
  <c r="AS286" i="1"/>
  <c r="AR286" i="1"/>
  <c r="AQ286" i="1"/>
  <c r="AO286" i="1"/>
  <c r="AN286" i="1"/>
  <c r="AM286" i="1"/>
  <c r="AK286" i="1"/>
  <c r="AJ286" i="1"/>
  <c r="AI286" i="1"/>
  <c r="AG286" i="1"/>
  <c r="AF286" i="1"/>
  <c r="AE286" i="1"/>
  <c r="AC286" i="1"/>
  <c r="AB286" i="1"/>
  <c r="AA286" i="1"/>
  <c r="Y286" i="1"/>
  <c r="X286" i="1"/>
  <c r="W286" i="1"/>
  <c r="U286" i="1"/>
  <c r="T286" i="1"/>
  <c r="S286" i="1"/>
  <c r="O286" i="1"/>
  <c r="M286" i="1"/>
  <c r="L286" i="1"/>
  <c r="K286" i="1"/>
  <c r="I286" i="1"/>
  <c r="H286" i="1"/>
  <c r="G286" i="1"/>
  <c r="E286" i="1"/>
  <c r="D286" i="1"/>
  <c r="C286" i="1"/>
  <c r="BN285" i="1"/>
  <c r="BM285" i="1"/>
  <c r="BL285" i="1"/>
  <c r="BK285" i="1"/>
  <c r="BJ285" i="1"/>
  <c r="BI285" i="1"/>
  <c r="BH285" i="1"/>
  <c r="BG285" i="1"/>
  <c r="BF285" i="1"/>
  <c r="BE285" i="1"/>
  <c r="BD285" i="1"/>
  <c r="BC285" i="1"/>
  <c r="BB285" i="1"/>
  <c r="BA285" i="1"/>
  <c r="AZ285" i="1"/>
  <c r="AU285" i="1"/>
  <c r="AS285" i="1"/>
  <c r="AR285" i="1"/>
  <c r="AQ285" i="1"/>
  <c r="AO285" i="1"/>
  <c r="AN285" i="1"/>
  <c r="AM285" i="1"/>
  <c r="AK285" i="1"/>
  <c r="AJ285" i="1"/>
  <c r="AI285" i="1"/>
  <c r="AG285" i="1"/>
  <c r="AF285" i="1"/>
  <c r="AE285" i="1"/>
  <c r="AC285" i="1"/>
  <c r="AB285" i="1"/>
  <c r="AA285" i="1"/>
  <c r="Y285" i="1"/>
  <c r="X285" i="1"/>
  <c r="W285" i="1"/>
  <c r="U285" i="1"/>
  <c r="T285" i="1"/>
  <c r="S285" i="1"/>
  <c r="Q285" i="1"/>
  <c r="P285" i="1"/>
  <c r="O285" i="1"/>
  <c r="M285" i="1"/>
  <c r="L285" i="1"/>
  <c r="K285" i="1"/>
  <c r="I285" i="1"/>
  <c r="H285" i="1"/>
  <c r="G285" i="1"/>
  <c r="E285" i="1"/>
  <c r="D285" i="1"/>
  <c r="C285" i="1"/>
  <c r="BN284" i="1"/>
  <c r="BM284" i="1"/>
  <c r="BL284" i="1"/>
  <c r="BK284" i="1"/>
  <c r="BJ284" i="1"/>
  <c r="BI284" i="1"/>
  <c r="BH284" i="1"/>
  <c r="BG284" i="1"/>
  <c r="BF284" i="1"/>
  <c r="BE284" i="1"/>
  <c r="BD284" i="1"/>
  <c r="BC284" i="1"/>
  <c r="BB284" i="1"/>
  <c r="BA284" i="1"/>
  <c r="AZ284" i="1"/>
  <c r="AU284" i="1"/>
  <c r="AS284" i="1"/>
  <c r="AR284" i="1"/>
  <c r="AQ284" i="1"/>
  <c r="AO284" i="1"/>
  <c r="AN284" i="1"/>
  <c r="AM284" i="1"/>
  <c r="AK284" i="1"/>
  <c r="AJ284" i="1"/>
  <c r="AI284" i="1"/>
  <c r="AG284" i="1"/>
  <c r="AF284" i="1"/>
  <c r="AE284" i="1"/>
  <c r="AC284" i="1"/>
  <c r="AB284" i="1"/>
  <c r="AA284" i="1"/>
  <c r="Y284" i="1"/>
  <c r="X284" i="1"/>
  <c r="W284" i="1"/>
  <c r="U284" i="1"/>
  <c r="T284" i="1"/>
  <c r="S284" i="1"/>
  <c r="Q284" i="1"/>
  <c r="P284" i="1"/>
  <c r="O284" i="1"/>
  <c r="M284" i="1"/>
  <c r="L284" i="1"/>
  <c r="K284" i="1"/>
  <c r="I284" i="1"/>
  <c r="H284" i="1"/>
  <c r="G284" i="1"/>
  <c r="E284" i="1"/>
  <c r="D284" i="1"/>
  <c r="C284" i="1"/>
  <c r="BP272" i="1"/>
  <c r="BO272" i="1"/>
  <c r="BP268" i="1"/>
  <c r="BT85" i="9" s="1"/>
  <c r="BO268" i="1"/>
  <c r="BS85" i="9" s="1"/>
  <c r="BN268" i="1"/>
  <c r="BR85" i="9" s="1"/>
  <c r="BM268" i="1"/>
  <c r="BQ85" i="9" s="1"/>
  <c r="BL268" i="1"/>
  <c r="BK268" i="1"/>
  <c r="BJ268" i="1"/>
  <c r="BI268" i="1"/>
  <c r="BH268" i="1"/>
  <c r="BG268" i="1"/>
  <c r="BF268" i="1"/>
  <c r="BE268" i="1"/>
  <c r="BE85" i="9" s="1"/>
  <c r="BD268" i="1"/>
  <c r="BD85" i="9" s="1"/>
  <c r="A264" i="1"/>
  <c r="AZ251" i="1"/>
  <c r="AZ252" i="1" s="1"/>
  <c r="AT249" i="1"/>
  <c r="AP249" i="1"/>
  <c r="AL249" i="1"/>
  <c r="AH249" i="1"/>
  <c r="AD249" i="1"/>
  <c r="Z249" i="1"/>
  <c r="V249" i="1"/>
  <c r="R249" i="1"/>
  <c r="N249" i="1"/>
  <c r="J249" i="1"/>
  <c r="F249" i="1"/>
  <c r="BD248" i="1"/>
  <c r="F248" i="1" s="1"/>
  <c r="BC248" i="1"/>
  <c r="BB248" i="1"/>
  <c r="AT248" i="1"/>
  <c r="AP248" i="1"/>
  <c r="AL248" i="1"/>
  <c r="AH248" i="1"/>
  <c r="AD248" i="1"/>
  <c r="Z248" i="1"/>
  <c r="V248" i="1"/>
  <c r="R248" i="1"/>
  <c r="N248" i="1"/>
  <c r="J248" i="1"/>
  <c r="E248" i="1"/>
  <c r="D248" i="1"/>
  <c r="C248" i="1"/>
  <c r="BN246" i="1"/>
  <c r="BM246" i="1"/>
  <c r="BL246" i="1"/>
  <c r="BK246" i="1"/>
  <c r="BJ246" i="1"/>
  <c r="BI246" i="1"/>
  <c r="BH246" i="1"/>
  <c r="BG246" i="1"/>
  <c r="BF246" i="1"/>
  <c r="BA246" i="1"/>
  <c r="AU246" i="1"/>
  <c r="AS246" i="1"/>
  <c r="AR246" i="1"/>
  <c r="AQ246" i="1"/>
  <c r="AO246" i="1"/>
  <c r="AN246" i="1"/>
  <c r="AM246" i="1"/>
  <c r="AK246" i="1"/>
  <c r="AJ246" i="1"/>
  <c r="AI246" i="1"/>
  <c r="AG246" i="1"/>
  <c r="AF246" i="1"/>
  <c r="AE246" i="1"/>
  <c r="AC246" i="1"/>
  <c r="AB246" i="1"/>
  <c r="AA246" i="1"/>
  <c r="Y246" i="1"/>
  <c r="X246" i="1"/>
  <c r="W246" i="1"/>
  <c r="U246" i="1"/>
  <c r="T246" i="1"/>
  <c r="S246" i="1"/>
  <c r="Q246" i="1"/>
  <c r="P246" i="1"/>
  <c r="O246" i="1"/>
  <c r="M246" i="1"/>
  <c r="L246" i="1"/>
  <c r="K246" i="1"/>
  <c r="AS245" i="1"/>
  <c r="AR245" i="1"/>
  <c r="AO245" i="1"/>
  <c r="AN245" i="1"/>
  <c r="AK245" i="1"/>
  <c r="AJ245" i="1"/>
  <c r="AG245" i="1"/>
  <c r="AF245" i="1"/>
  <c r="AC245" i="1"/>
  <c r="AB245" i="1"/>
  <c r="Y245" i="1"/>
  <c r="X245" i="1"/>
  <c r="U245" i="1"/>
  <c r="T245" i="1"/>
  <c r="Q245" i="1"/>
  <c r="P245" i="1"/>
  <c r="M245" i="1"/>
  <c r="L245" i="1"/>
  <c r="I245" i="1"/>
  <c r="H245" i="1"/>
  <c r="BD240" i="1"/>
  <c r="F240" i="1" s="1"/>
  <c r="G245" i="1" s="1"/>
  <c r="BC240" i="1"/>
  <c r="BB240" i="1"/>
  <c r="BB246" i="1" s="1"/>
  <c r="AT240" i="1"/>
  <c r="AU245" i="1" s="1"/>
  <c r="AP240" i="1"/>
  <c r="AQ245" i="1" s="1"/>
  <c r="AL240" i="1"/>
  <c r="AH240" i="1"/>
  <c r="AD240" i="1"/>
  <c r="AE245" i="1" s="1"/>
  <c r="Z240" i="1"/>
  <c r="AA245" i="1" s="1"/>
  <c r="V240" i="1"/>
  <c r="R240" i="1"/>
  <c r="N240" i="1"/>
  <c r="N245" i="1" s="1"/>
  <c r="J240" i="1"/>
  <c r="E240" i="1"/>
  <c r="I246" i="1" s="1"/>
  <c r="D240" i="1"/>
  <c r="C240" i="1"/>
  <c r="G246" i="1" s="1"/>
  <c r="BN237" i="1"/>
  <c r="BM237" i="1"/>
  <c r="BL237" i="1"/>
  <c r="BK237" i="1"/>
  <c r="BJ237" i="1"/>
  <c r="BI237" i="1"/>
  <c r="BH237" i="1"/>
  <c r="BG237" i="1"/>
  <c r="AU237" i="1"/>
  <c r="AT237" i="1"/>
  <c r="AS237" i="1"/>
  <c r="AR237" i="1"/>
  <c r="AQ237" i="1"/>
  <c r="AP237" i="1"/>
  <c r="AO237" i="1"/>
  <c r="AN237" i="1"/>
  <c r="AM237" i="1"/>
  <c r="AL237" i="1"/>
  <c r="AK237" i="1"/>
  <c r="AJ237" i="1"/>
  <c r="AI237" i="1"/>
  <c r="AH237" i="1"/>
  <c r="AG237" i="1"/>
  <c r="AF237" i="1"/>
  <c r="AE237" i="1"/>
  <c r="AD237" i="1"/>
  <c r="AC237" i="1"/>
  <c r="AB237" i="1"/>
  <c r="AA237" i="1"/>
  <c r="Z237" i="1"/>
  <c r="Z52" i="9" s="1"/>
  <c r="Y237" i="1"/>
  <c r="Y52" i="9" s="1"/>
  <c r="X237" i="1"/>
  <c r="X52" i="9" s="1"/>
  <c r="W237" i="1"/>
  <c r="W52" i="9" s="1"/>
  <c r="V237" i="1"/>
  <c r="V52" i="9" s="1"/>
  <c r="U237" i="1"/>
  <c r="U52" i="9" s="1"/>
  <c r="T237" i="1"/>
  <c r="T52" i="9" s="1"/>
  <c r="S237" i="1"/>
  <c r="S52" i="9" s="1"/>
  <c r="R237" i="1"/>
  <c r="R52" i="9" s="1"/>
  <c r="A233" i="1"/>
  <c r="BP223" i="1"/>
  <c r="BO223" i="1"/>
  <c r="BP221" i="1"/>
  <c r="BN221" i="1"/>
  <c r="BM221" i="1"/>
  <c r="BL221" i="1"/>
  <c r="BK221" i="1"/>
  <c r="BJ221" i="1"/>
  <c r="BI221" i="1"/>
  <c r="BH221" i="1"/>
  <c r="BG221" i="1"/>
  <c r="BF221" i="1"/>
  <c r="BE221" i="1"/>
  <c r="BD221" i="1"/>
  <c r="BC221" i="1"/>
  <c r="BB221" i="1"/>
  <c r="BA221" i="1"/>
  <c r="AZ221" i="1"/>
  <c r="AU221" i="1"/>
  <c r="BO221" i="1" s="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T221" i="1"/>
  <c r="S221" i="1"/>
  <c r="R221" i="1"/>
  <c r="Q221" i="1"/>
  <c r="P221" i="1"/>
  <c r="O221" i="1"/>
  <c r="N221" i="1"/>
  <c r="M221" i="1"/>
  <c r="L221" i="1"/>
  <c r="K221" i="1"/>
  <c r="J221" i="1"/>
  <c r="I221" i="1"/>
  <c r="H221" i="1"/>
  <c r="G221" i="1"/>
  <c r="E221" i="1"/>
  <c r="D221" i="1"/>
  <c r="C221" i="1"/>
  <c r="BP219" i="1"/>
  <c r="BT49" i="9" s="1"/>
  <c r="BN219" i="1"/>
  <c r="BR49" i="9" s="1"/>
  <c r="BM219" i="1"/>
  <c r="BQ49" i="9" s="1"/>
  <c r="BL219" i="1"/>
  <c r="BK219" i="1"/>
  <c r="BJ219" i="1"/>
  <c r="BI219" i="1"/>
  <c r="BH219" i="1"/>
  <c r="BG219" i="1"/>
  <c r="BF219" i="1"/>
  <c r="BE219" i="1"/>
  <c r="BD219" i="1"/>
  <c r="BC219" i="1"/>
  <c r="BB219" i="1"/>
  <c r="BA219" i="1"/>
  <c r="AZ219" i="1"/>
  <c r="AU219" i="1"/>
  <c r="AU49" i="9" s="1"/>
  <c r="AT219" i="1"/>
  <c r="AT49" i="9" s="1"/>
  <c r="AS219" i="1"/>
  <c r="AS49" i="9" s="1"/>
  <c r="AR219" i="1"/>
  <c r="AR49" i="9" s="1"/>
  <c r="AQ219" i="1"/>
  <c r="AQ49" i="9" s="1"/>
  <c r="AP219" i="1"/>
  <c r="AP49" i="9" s="1"/>
  <c r="AO219" i="1"/>
  <c r="AO49" i="9" s="1"/>
  <c r="AN219" i="1"/>
  <c r="AN49" i="9" s="1"/>
  <c r="AM219" i="1"/>
  <c r="AM49" i="9" s="1"/>
  <c r="AL219" i="1"/>
  <c r="AL49" i="9" s="1"/>
  <c r="AK219" i="1"/>
  <c r="AK49" i="9" s="1"/>
  <c r="AJ219" i="1"/>
  <c r="AJ49" i="9" s="1"/>
  <c r="AI219" i="1"/>
  <c r="AI49" i="9" s="1"/>
  <c r="AH219" i="1"/>
  <c r="AH49" i="9" s="1"/>
  <c r="AG219" i="1"/>
  <c r="AG49" i="9" s="1"/>
  <c r="AF219" i="1"/>
  <c r="AF49" i="9" s="1"/>
  <c r="AE219" i="1"/>
  <c r="AE49" i="9" s="1"/>
  <c r="AD219" i="1"/>
  <c r="AD49" i="9" s="1"/>
  <c r="AC219" i="1"/>
  <c r="AC49" i="9" s="1"/>
  <c r="AB219" i="1"/>
  <c r="AB49" i="9" s="1"/>
  <c r="AA219" i="1"/>
  <c r="AA49" i="9" s="1"/>
  <c r="Z219" i="1"/>
  <c r="Z49" i="9" s="1"/>
  <c r="Y219" i="1"/>
  <c r="Y49" i="9" s="1"/>
  <c r="X219" i="1"/>
  <c r="X49" i="9" s="1"/>
  <c r="W219" i="1"/>
  <c r="W49" i="9" s="1"/>
  <c r="V219" i="1"/>
  <c r="V49" i="9" s="1"/>
  <c r="U219" i="1"/>
  <c r="U49" i="9" s="1"/>
  <c r="T219" i="1"/>
  <c r="T49" i="9" s="1"/>
  <c r="S219" i="1"/>
  <c r="S49" i="9" s="1"/>
  <c r="R219" i="1"/>
  <c r="R49" i="9" s="1"/>
  <c r="Q219" i="1"/>
  <c r="Q49" i="9" s="1"/>
  <c r="P219" i="1"/>
  <c r="P49" i="9" s="1"/>
  <c r="O219" i="1"/>
  <c r="O49" i="9" s="1"/>
  <c r="N219" i="1"/>
  <c r="N49" i="9" s="1"/>
  <c r="M219" i="1"/>
  <c r="M49" i="9" s="1"/>
  <c r="L219" i="1"/>
  <c r="L49" i="9" s="1"/>
  <c r="K219" i="1"/>
  <c r="K49" i="9" s="1"/>
  <c r="J219" i="1"/>
  <c r="J49" i="9" s="1"/>
  <c r="I219" i="1"/>
  <c r="I49" i="9" s="1"/>
  <c r="H219" i="1"/>
  <c r="H49" i="9" s="1"/>
  <c r="G219" i="1"/>
  <c r="G49" i="9" s="1"/>
  <c r="E219" i="1"/>
  <c r="E49" i="9" s="1"/>
  <c r="D219" i="1"/>
  <c r="D49" i="9" s="1"/>
  <c r="C219" i="1"/>
  <c r="C49" i="9" s="1"/>
  <c r="BP218" i="1"/>
  <c r="BT48" i="9" s="1"/>
  <c r="BN218" i="1"/>
  <c r="BR48" i="9" s="1"/>
  <c r="BM218" i="1"/>
  <c r="BQ48" i="9" s="1"/>
  <c r="BL218" i="1"/>
  <c r="BK218" i="1"/>
  <c r="BJ218" i="1"/>
  <c r="BI218" i="1"/>
  <c r="BH218" i="1"/>
  <c r="BG218" i="1"/>
  <c r="BF218" i="1"/>
  <c r="BE218" i="1"/>
  <c r="BD218" i="1"/>
  <c r="BC218" i="1"/>
  <c r="BB218" i="1"/>
  <c r="BA218" i="1"/>
  <c r="AZ218" i="1"/>
  <c r="AU218" i="1"/>
  <c r="AS218" i="1"/>
  <c r="AS48" i="9" s="1"/>
  <c r="AR218" i="1"/>
  <c r="AR48" i="9" s="1"/>
  <c r="AQ218" i="1"/>
  <c r="AQ48" i="9" s="1"/>
  <c r="AO218" i="1"/>
  <c r="AO48" i="9" s="1"/>
  <c r="AN218" i="1"/>
  <c r="AN48" i="9" s="1"/>
  <c r="AM218" i="1"/>
  <c r="AM48" i="9" s="1"/>
  <c r="AK218" i="1"/>
  <c r="AK48" i="9" s="1"/>
  <c r="AJ218" i="1"/>
  <c r="AJ48" i="9" s="1"/>
  <c r="AI218" i="1"/>
  <c r="AI48" i="9" s="1"/>
  <c r="AG218" i="1"/>
  <c r="AG48" i="9" s="1"/>
  <c r="AF218" i="1"/>
  <c r="AF48" i="9" s="1"/>
  <c r="AE218" i="1"/>
  <c r="AE48" i="9" s="1"/>
  <c r="AC218" i="1"/>
  <c r="AC48" i="9" s="1"/>
  <c r="AB218" i="1"/>
  <c r="AB48" i="9" s="1"/>
  <c r="AA218" i="1"/>
  <c r="AA48" i="9" s="1"/>
  <c r="Y218" i="1"/>
  <c r="Y48" i="9" s="1"/>
  <c r="X218" i="1"/>
  <c r="X48" i="9" s="1"/>
  <c r="W218" i="1"/>
  <c r="W48" i="9" s="1"/>
  <c r="U218" i="1"/>
  <c r="U48" i="9" s="1"/>
  <c r="T218" i="1"/>
  <c r="T48" i="9" s="1"/>
  <c r="S218" i="1"/>
  <c r="S48" i="9" s="1"/>
  <c r="Q218" i="1"/>
  <c r="Q48" i="9" s="1"/>
  <c r="P218" i="1"/>
  <c r="P48" i="9" s="1"/>
  <c r="O218" i="1"/>
  <c r="O48" i="9" s="1"/>
  <c r="M218" i="1"/>
  <c r="M48" i="9" s="1"/>
  <c r="L218" i="1"/>
  <c r="L48" i="9" s="1"/>
  <c r="K218" i="1"/>
  <c r="K48" i="9" s="1"/>
  <c r="I218" i="1"/>
  <c r="I48" i="9" s="1"/>
  <c r="H218" i="1"/>
  <c r="H48" i="9" s="1"/>
  <c r="G218" i="1"/>
  <c r="G48" i="9" s="1"/>
  <c r="E218" i="1"/>
  <c r="E48" i="9" s="1"/>
  <c r="D218" i="1"/>
  <c r="D48" i="9" s="1"/>
  <c r="C218" i="1"/>
  <c r="C48" i="9" s="1"/>
  <c r="BP217" i="1"/>
  <c r="BT47" i="9" s="1"/>
  <c r="BO217" i="1"/>
  <c r="BS47" i="9" s="1"/>
  <c r="BP216" i="1"/>
  <c r="BT45" i="9" s="1"/>
  <c r="BN216" i="1"/>
  <c r="BR45" i="9" s="1"/>
  <c r="BM216" i="1"/>
  <c r="BQ45" i="9" s="1"/>
  <c r="BL216" i="1"/>
  <c r="BK216" i="1"/>
  <c r="BJ216" i="1"/>
  <c r="BI216" i="1"/>
  <c r="BH216" i="1"/>
  <c r="BG216" i="1"/>
  <c r="BF216" i="1"/>
  <c r="BE216" i="1"/>
  <c r="BD216" i="1"/>
  <c r="BC216" i="1"/>
  <c r="BB216" i="1"/>
  <c r="BA216" i="1"/>
  <c r="AZ216" i="1"/>
  <c r="AU216" i="1"/>
  <c r="AS216" i="1"/>
  <c r="AS45" i="9" s="1"/>
  <c r="AR216" i="1"/>
  <c r="AR45" i="9" s="1"/>
  <c r="AQ216" i="1"/>
  <c r="AQ45" i="9" s="1"/>
  <c r="AO216" i="1"/>
  <c r="AO45" i="9" s="1"/>
  <c r="AN216" i="1"/>
  <c r="AN45" i="9" s="1"/>
  <c r="AM216" i="1"/>
  <c r="AM45" i="9" s="1"/>
  <c r="AK216" i="1"/>
  <c r="AK45" i="9" s="1"/>
  <c r="AJ216" i="1"/>
  <c r="AJ45" i="9" s="1"/>
  <c r="AI216" i="1"/>
  <c r="AI45" i="9" s="1"/>
  <c r="AG216" i="1"/>
  <c r="AG45" i="9" s="1"/>
  <c r="AF216" i="1"/>
  <c r="AF45" i="9" s="1"/>
  <c r="AE216" i="1"/>
  <c r="AE45" i="9" s="1"/>
  <c r="AC216" i="1"/>
  <c r="AC45" i="9" s="1"/>
  <c r="AB216" i="1"/>
  <c r="AB45" i="9" s="1"/>
  <c r="AA216" i="1"/>
  <c r="AA45" i="9" s="1"/>
  <c r="Y216" i="1"/>
  <c r="Y45" i="9" s="1"/>
  <c r="X216" i="1"/>
  <c r="X45" i="9" s="1"/>
  <c r="W216" i="1"/>
  <c r="W45" i="9" s="1"/>
  <c r="V216" i="1"/>
  <c r="V45" i="9" s="1"/>
  <c r="U216" i="1"/>
  <c r="U45" i="9" s="1"/>
  <c r="T216" i="1"/>
  <c r="T45" i="9" s="1"/>
  <c r="S216" i="1"/>
  <c r="S45" i="9" s="1"/>
  <c r="R216" i="1"/>
  <c r="R45" i="9" s="1"/>
  <c r="Q216" i="1"/>
  <c r="Q45" i="9" s="1"/>
  <c r="P216" i="1"/>
  <c r="P45" i="9" s="1"/>
  <c r="O216" i="1"/>
  <c r="O45" i="9" s="1"/>
  <c r="N216" i="1"/>
  <c r="N45" i="9" s="1"/>
  <c r="M216" i="1"/>
  <c r="M45" i="9" s="1"/>
  <c r="L216" i="1"/>
  <c r="L45" i="9" s="1"/>
  <c r="K216" i="1"/>
  <c r="K45" i="9" s="1"/>
  <c r="J216" i="1"/>
  <c r="J45" i="9" s="1"/>
  <c r="I216" i="1"/>
  <c r="I45" i="9" s="1"/>
  <c r="H216" i="1"/>
  <c r="H45" i="9" s="1"/>
  <c r="G216" i="1"/>
  <c r="G45" i="9" s="1"/>
  <c r="F216" i="1"/>
  <c r="F45" i="9" s="1"/>
  <c r="E216" i="1"/>
  <c r="E45" i="9" s="1"/>
  <c r="D216" i="1"/>
  <c r="D45" i="9" s="1"/>
  <c r="C216" i="1"/>
  <c r="C45" i="9" s="1"/>
  <c r="BP210" i="1"/>
  <c r="BN210" i="1"/>
  <c r="BM210" i="1"/>
  <c r="BL210" i="1"/>
  <c r="BK210" i="1"/>
  <c r="BJ210" i="1"/>
  <c r="BI210" i="1"/>
  <c r="BH210" i="1"/>
  <c r="BG210" i="1"/>
  <c r="BF210" i="1"/>
  <c r="BE210" i="1"/>
  <c r="BD210" i="1"/>
  <c r="BC210" i="1"/>
  <c r="BB210" i="1"/>
  <c r="BA210" i="1"/>
  <c r="AZ210" i="1"/>
  <c r="AU210" i="1"/>
  <c r="BO210" i="1" s="1"/>
  <c r="AS210" i="1"/>
  <c r="AR210" i="1"/>
  <c r="AQ210" i="1"/>
  <c r="AO210" i="1"/>
  <c r="AN210" i="1"/>
  <c r="AM210" i="1"/>
  <c r="AK210" i="1"/>
  <c r="AJ210" i="1"/>
  <c r="AI210" i="1"/>
  <c r="AG210" i="1"/>
  <c r="AF210" i="1"/>
  <c r="AE210" i="1"/>
  <c r="AC210" i="1"/>
  <c r="AB210" i="1"/>
  <c r="AA210" i="1"/>
  <c r="Y210" i="1"/>
  <c r="X210" i="1"/>
  <c r="W210" i="1"/>
  <c r="U210" i="1"/>
  <c r="T210" i="1"/>
  <c r="S210" i="1"/>
  <c r="Q210" i="1"/>
  <c r="P210" i="1"/>
  <c r="O210" i="1"/>
  <c r="M210" i="1"/>
  <c r="L210" i="1"/>
  <c r="K210" i="1"/>
  <c r="I210" i="1"/>
  <c r="H210" i="1"/>
  <c r="G210" i="1"/>
  <c r="E210" i="1"/>
  <c r="D210" i="1"/>
  <c r="C210" i="1"/>
  <c r="BP209" i="1"/>
  <c r="BN209" i="1"/>
  <c r="BM209" i="1"/>
  <c r="BL209" i="1"/>
  <c r="BK209" i="1"/>
  <c r="BJ209" i="1"/>
  <c r="BI209" i="1"/>
  <c r="BH209" i="1"/>
  <c r="BG209" i="1"/>
  <c r="BF209" i="1"/>
  <c r="BE209" i="1"/>
  <c r="BD209" i="1"/>
  <c r="BC209" i="1"/>
  <c r="BB209" i="1"/>
  <c r="BA209" i="1"/>
  <c r="AZ209" i="1"/>
  <c r="AU209" i="1"/>
  <c r="AS209" i="1"/>
  <c r="AR209" i="1"/>
  <c r="AQ209" i="1"/>
  <c r="AO209" i="1"/>
  <c r="AN209" i="1"/>
  <c r="AM209" i="1"/>
  <c r="AK209" i="1"/>
  <c r="AJ209" i="1"/>
  <c r="AI209" i="1"/>
  <c r="AG209" i="1"/>
  <c r="AF209" i="1"/>
  <c r="AE209" i="1"/>
  <c r="AC209" i="1"/>
  <c r="AB209" i="1"/>
  <c r="AA209" i="1"/>
  <c r="Z209" i="1"/>
  <c r="Y209" i="1"/>
  <c r="X209" i="1"/>
  <c r="W209" i="1"/>
  <c r="V209" i="1"/>
  <c r="U209" i="1"/>
  <c r="T209" i="1"/>
  <c r="S209" i="1"/>
  <c r="R209" i="1"/>
  <c r="Q209" i="1"/>
  <c r="P209" i="1"/>
  <c r="O209" i="1"/>
  <c r="N209" i="1"/>
  <c r="M209" i="1"/>
  <c r="L209" i="1"/>
  <c r="K209" i="1"/>
  <c r="J209" i="1"/>
  <c r="I209" i="1"/>
  <c r="H209" i="1"/>
  <c r="G209" i="1"/>
  <c r="F209" i="1"/>
  <c r="E209" i="1"/>
  <c r="D209" i="1"/>
  <c r="C209" i="1"/>
  <c r="BN208" i="1"/>
  <c r="BM208" i="1"/>
  <c r="BL208" i="1"/>
  <c r="BK208" i="1"/>
  <c r="BJ208" i="1"/>
  <c r="BI208" i="1"/>
  <c r="BH208" i="1"/>
  <c r="BG208" i="1"/>
  <c r="BF208" i="1"/>
  <c r="BE208" i="1"/>
  <c r="BD208" i="1"/>
  <c r="BC208" i="1"/>
  <c r="BB208" i="1"/>
  <c r="BA208" i="1"/>
  <c r="AZ208" i="1"/>
  <c r="AU208" i="1"/>
  <c r="AS208" i="1"/>
  <c r="AR208" i="1"/>
  <c r="AQ208" i="1"/>
  <c r="AO208" i="1"/>
  <c r="AN208" i="1"/>
  <c r="AM208" i="1"/>
  <c r="AK208" i="1"/>
  <c r="AJ208" i="1"/>
  <c r="AI208" i="1"/>
  <c r="AG208" i="1"/>
  <c r="AF208" i="1"/>
  <c r="AE208" i="1"/>
  <c r="AC208" i="1"/>
  <c r="AB208" i="1"/>
  <c r="AA208" i="1"/>
  <c r="Y208" i="1"/>
  <c r="X208" i="1"/>
  <c r="W208" i="1"/>
  <c r="U208" i="1"/>
  <c r="T208" i="1"/>
  <c r="S208" i="1"/>
  <c r="Q208" i="1"/>
  <c r="P208" i="1"/>
  <c r="O208" i="1"/>
  <c r="M208" i="1"/>
  <c r="L208" i="1"/>
  <c r="K208" i="1"/>
  <c r="I208" i="1"/>
  <c r="H208" i="1"/>
  <c r="G208" i="1"/>
  <c r="E208" i="1"/>
  <c r="D208" i="1"/>
  <c r="C208" i="1"/>
  <c r="BP203" i="1"/>
  <c r="BN196" i="1"/>
  <c r="BM196" i="1"/>
  <c r="BL196" i="1"/>
  <c r="BK196" i="1"/>
  <c r="BJ196" i="1"/>
  <c r="BI196" i="1"/>
  <c r="BH196" i="1"/>
  <c r="BG196" i="1"/>
  <c r="BF196" i="1"/>
  <c r="BE196" i="1"/>
  <c r="BD196" i="1"/>
  <c r="BC196" i="1"/>
  <c r="BB196" i="1"/>
  <c r="BA196" i="1"/>
  <c r="AZ196" i="1"/>
  <c r="AU196" i="1"/>
  <c r="AS196" i="1"/>
  <c r="AR196" i="1"/>
  <c r="AR40" i="9" s="1"/>
  <c r="AQ196" i="1"/>
  <c r="AO196" i="1"/>
  <c r="AO40" i="9" s="1"/>
  <c r="AN196" i="1"/>
  <c r="AN40" i="9" s="1"/>
  <c r="AM196" i="1"/>
  <c r="AM40" i="9" s="1"/>
  <c r="AK196" i="1"/>
  <c r="AK40" i="9" s="1"/>
  <c r="AJ196" i="1"/>
  <c r="AJ40" i="9" s="1"/>
  <c r="AI196" i="1"/>
  <c r="AI40" i="9" s="1"/>
  <c r="AG196" i="1"/>
  <c r="AG40" i="9" s="1"/>
  <c r="AF196" i="1"/>
  <c r="AF40" i="9" s="1"/>
  <c r="AE196" i="1"/>
  <c r="AC196" i="1"/>
  <c r="AC40" i="9" s="1"/>
  <c r="AB196" i="1"/>
  <c r="AB40" i="9" s="1"/>
  <c r="AA196" i="1"/>
  <c r="AA40" i="9" s="1"/>
  <c r="Y196" i="1"/>
  <c r="Y40" i="9" s="1"/>
  <c r="X196" i="1"/>
  <c r="X40" i="9" s="1"/>
  <c r="W196" i="1"/>
  <c r="W40" i="9" s="1"/>
  <c r="U196" i="1"/>
  <c r="U40" i="9" s="1"/>
  <c r="T196" i="1"/>
  <c r="T40" i="9" s="1"/>
  <c r="S196" i="1"/>
  <c r="S40" i="9" s="1"/>
  <c r="Q196" i="1"/>
  <c r="Q40" i="9" s="1"/>
  <c r="P196" i="1"/>
  <c r="P40" i="9" s="1"/>
  <c r="O196" i="1"/>
  <c r="O40" i="9" s="1"/>
  <c r="M196" i="1"/>
  <c r="M40" i="9" s="1"/>
  <c r="L196" i="1"/>
  <c r="L40" i="9" s="1"/>
  <c r="K196" i="1"/>
  <c r="K40" i="9" s="1"/>
  <c r="I196" i="1"/>
  <c r="I40" i="9" s="1"/>
  <c r="H196" i="1"/>
  <c r="H40" i="9" s="1"/>
  <c r="G196" i="1"/>
  <c r="G40" i="9" s="1"/>
  <c r="E196" i="1"/>
  <c r="E40" i="9" s="1"/>
  <c r="D196" i="1"/>
  <c r="D40" i="9" s="1"/>
  <c r="C196" i="1"/>
  <c r="C40" i="9" s="1"/>
  <c r="BN193" i="1"/>
  <c r="BM193" i="1"/>
  <c r="BL193" i="1"/>
  <c r="BK193" i="1"/>
  <c r="BJ193" i="1"/>
  <c r="BI193" i="1"/>
  <c r="BH193" i="1"/>
  <c r="BG193" i="1"/>
  <c r="BF193" i="1"/>
  <c r="BE193" i="1"/>
  <c r="BD193" i="1"/>
  <c r="BC193" i="1"/>
  <c r="BB193" i="1"/>
  <c r="BA193" i="1"/>
  <c r="AZ193" i="1"/>
  <c r="AU193" i="1"/>
  <c r="AS193" i="1"/>
  <c r="AS39" i="9" s="1"/>
  <c r="AR193" i="1"/>
  <c r="AR39" i="9" s="1"/>
  <c r="AQ193" i="1"/>
  <c r="AO193" i="1"/>
  <c r="AO39" i="9" s="1"/>
  <c r="AN193" i="1"/>
  <c r="AN39" i="9" s="1"/>
  <c r="AM193" i="1"/>
  <c r="AK193" i="1"/>
  <c r="AJ193" i="1"/>
  <c r="AI193" i="1"/>
  <c r="AG193" i="1"/>
  <c r="AG39" i="9" s="1"/>
  <c r="AF193" i="1"/>
  <c r="AF39" i="9" s="1"/>
  <c r="AE193" i="1"/>
  <c r="AE39" i="9" s="1"/>
  <c r="AC193" i="1"/>
  <c r="AC39" i="9" s="1"/>
  <c r="AB193" i="1"/>
  <c r="AB39" i="9" s="1"/>
  <c r="AA193" i="1"/>
  <c r="Y193" i="1"/>
  <c r="Y39" i="9" s="1"/>
  <c r="X193" i="1"/>
  <c r="X39" i="9" s="1"/>
  <c r="W193" i="1"/>
  <c r="W39" i="9" s="1"/>
  <c r="U193" i="1"/>
  <c r="U39" i="9" s="1"/>
  <c r="T193" i="1"/>
  <c r="S193" i="1"/>
  <c r="Q193" i="1"/>
  <c r="Q39" i="9" s="1"/>
  <c r="P193" i="1"/>
  <c r="P39" i="9" s="1"/>
  <c r="O193" i="1"/>
  <c r="O39" i="9" s="1"/>
  <c r="M193" i="1"/>
  <c r="M39" i="9" s="1"/>
  <c r="L193" i="1"/>
  <c r="L39" i="9" s="1"/>
  <c r="K193" i="1"/>
  <c r="K39" i="9" s="1"/>
  <c r="I193" i="1"/>
  <c r="I39" i="9" s="1"/>
  <c r="H193" i="1"/>
  <c r="H39" i="9" s="1"/>
  <c r="G193" i="1"/>
  <c r="G39" i="9" s="1"/>
  <c r="E193" i="1"/>
  <c r="E39" i="9" s="1"/>
  <c r="D193" i="1"/>
  <c r="D39" i="9" s="1"/>
  <c r="C193" i="1"/>
  <c r="A191" i="1"/>
  <c r="A669" i="1" s="1"/>
  <c r="BN190" i="1"/>
  <c r="BM190" i="1"/>
  <c r="BL190" i="1"/>
  <c r="BK190" i="1"/>
  <c r="BJ190" i="1"/>
  <c r="BI190" i="1"/>
  <c r="BH190" i="1"/>
  <c r="BG190" i="1"/>
  <c r="BF190" i="1"/>
  <c r="BE190" i="1"/>
  <c r="BD190" i="1"/>
  <c r="BC190" i="1"/>
  <c r="BB190" i="1"/>
  <c r="BA190" i="1"/>
  <c r="AZ190" i="1"/>
  <c r="AU190" i="1"/>
  <c r="AS190" i="1"/>
  <c r="AR190" i="1"/>
  <c r="AQ190" i="1"/>
  <c r="AO190" i="1"/>
  <c r="AN190" i="1"/>
  <c r="AM190" i="1"/>
  <c r="AK190" i="1"/>
  <c r="AJ190" i="1"/>
  <c r="AI190" i="1"/>
  <c r="AG190" i="1"/>
  <c r="AF190" i="1"/>
  <c r="AE190" i="1"/>
  <c r="AC190" i="1"/>
  <c r="AB190" i="1"/>
  <c r="AA190" i="1"/>
  <c r="Y190" i="1"/>
  <c r="X190" i="1"/>
  <c r="W190" i="1"/>
  <c r="U190" i="1"/>
  <c r="T190" i="1"/>
  <c r="S190" i="1"/>
  <c r="Q190" i="1"/>
  <c r="P190" i="1"/>
  <c r="O190" i="1"/>
  <c r="M190" i="1"/>
  <c r="L190" i="1"/>
  <c r="K190" i="1"/>
  <c r="I190" i="1"/>
  <c r="H190" i="1"/>
  <c r="G190" i="1"/>
  <c r="E190" i="1"/>
  <c r="D190" i="1"/>
  <c r="C190" i="1"/>
  <c r="C38" i="9" s="1"/>
  <c r="F186" i="1"/>
  <c r="F221" i="1" s="1"/>
  <c r="F184" i="1"/>
  <c r="F219" i="1" s="1"/>
  <c r="F49" i="9" s="1"/>
  <c r="BP180" i="1"/>
  <c r="A180" i="1"/>
  <c r="BS175" i="1"/>
  <c r="BR175" i="1"/>
  <c r="BQ175" i="1"/>
  <c r="BN175" i="1"/>
  <c r="AT236" i="11" s="1"/>
  <c r="BM175" i="1"/>
  <c r="AS236" i="11" s="1"/>
  <c r="BL175" i="1"/>
  <c r="AR236" i="11" s="1"/>
  <c r="BK175" i="1"/>
  <c r="AQ236" i="11" s="1"/>
  <c r="AX175" i="1"/>
  <c r="AW175" i="1"/>
  <c r="AV175" i="1"/>
  <c r="AU175" i="1"/>
  <c r="AS175" i="1"/>
  <c r="AR175" i="1"/>
  <c r="AQ175" i="1"/>
  <c r="AO175" i="1"/>
  <c r="AN175" i="1"/>
  <c r="AM175" i="1"/>
  <c r="AK175" i="1"/>
  <c r="AJ175" i="1"/>
  <c r="AI175" i="1"/>
  <c r="AG175" i="1"/>
  <c r="AF175" i="1"/>
  <c r="AE175" i="1"/>
  <c r="BS174" i="1"/>
  <c r="BS179" i="1" s="1"/>
  <c r="BR174" i="1"/>
  <c r="BR179" i="1" s="1"/>
  <c r="BQ174" i="1"/>
  <c r="BQ179" i="1" s="1"/>
  <c r="AX174" i="1"/>
  <c r="AX179" i="1" s="1"/>
  <c r="AW174" i="1"/>
  <c r="AW179" i="1" s="1"/>
  <c r="AV174" i="1"/>
  <c r="AV179" i="1" s="1"/>
  <c r="BN172" i="1"/>
  <c r="BM172" i="1"/>
  <c r="BL172" i="1"/>
  <c r="BK172" i="1"/>
  <c r="BJ172" i="1"/>
  <c r="BI172" i="1"/>
  <c r="BH172" i="1"/>
  <c r="BG172" i="1"/>
  <c r="BF172" i="1"/>
  <c r="BE172" i="1"/>
  <c r="BD172" i="1"/>
  <c r="BC172" i="1"/>
  <c r="BB172" i="1"/>
  <c r="BA172" i="1"/>
  <c r="AZ172" i="1"/>
  <c r="AU172" i="1"/>
  <c r="AS172" i="1"/>
  <c r="AR172" i="1"/>
  <c r="AQ172" i="1"/>
  <c r="AO172" i="1"/>
  <c r="AN172" i="1"/>
  <c r="AM172" i="1"/>
  <c r="AK172" i="1"/>
  <c r="AJ172" i="1"/>
  <c r="AI172" i="1"/>
  <c r="AG172" i="1"/>
  <c r="AF172" i="1"/>
  <c r="AE172" i="1"/>
  <c r="AC172" i="1"/>
  <c r="AB172" i="1"/>
  <c r="AA172" i="1"/>
  <c r="Y172" i="1"/>
  <c r="X172" i="1"/>
  <c r="W172" i="1"/>
  <c r="U172" i="1"/>
  <c r="T172" i="1"/>
  <c r="S172" i="1"/>
  <c r="Q172" i="1"/>
  <c r="P172" i="1"/>
  <c r="O172" i="1"/>
  <c r="M172" i="1"/>
  <c r="L172" i="1"/>
  <c r="K172" i="1"/>
  <c r="I172" i="1"/>
  <c r="H172" i="1"/>
  <c r="G172" i="1"/>
  <c r="E172" i="1"/>
  <c r="D172" i="1"/>
  <c r="C172" i="1"/>
  <c r="BN171" i="1"/>
  <c r="BM171" i="1"/>
  <c r="BL171" i="1"/>
  <c r="BK171" i="1"/>
  <c r="BJ171" i="1"/>
  <c r="BI171" i="1"/>
  <c r="BH171" i="1"/>
  <c r="BG171" i="1"/>
  <c r="BF171" i="1"/>
  <c r="BE171" i="1"/>
  <c r="BD171" i="1"/>
  <c r="BC171" i="1"/>
  <c r="BB171" i="1"/>
  <c r="BA171" i="1"/>
  <c r="AZ171" i="1"/>
  <c r="AU171" i="1"/>
  <c r="AS171" i="1"/>
  <c r="AR171" i="1"/>
  <c r="AQ171" i="1"/>
  <c r="AO171" i="1"/>
  <c r="AN171" i="1"/>
  <c r="AM171" i="1"/>
  <c r="AK171" i="1"/>
  <c r="AJ171" i="1"/>
  <c r="AI171" i="1"/>
  <c r="AG171" i="1"/>
  <c r="AF171" i="1"/>
  <c r="AE171" i="1"/>
  <c r="AC171" i="1"/>
  <c r="AB171" i="1"/>
  <c r="AA171" i="1"/>
  <c r="Y171" i="1"/>
  <c r="X171" i="1"/>
  <c r="W171" i="1"/>
  <c r="U171" i="1"/>
  <c r="T171" i="1"/>
  <c r="S171" i="1"/>
  <c r="R171" i="1"/>
  <c r="Q171" i="1"/>
  <c r="P171" i="1"/>
  <c r="O171" i="1"/>
  <c r="N171" i="1"/>
  <c r="M171" i="1"/>
  <c r="L171" i="1"/>
  <c r="K171" i="1"/>
  <c r="J171" i="1"/>
  <c r="I171" i="1"/>
  <c r="H171" i="1"/>
  <c r="G171" i="1"/>
  <c r="F171" i="1"/>
  <c r="E171" i="1"/>
  <c r="D171" i="1"/>
  <c r="C171" i="1"/>
  <c r="BN170" i="1"/>
  <c r="BM170" i="1"/>
  <c r="BL170" i="1"/>
  <c r="BK170" i="1"/>
  <c r="BJ170" i="1"/>
  <c r="BI170" i="1"/>
  <c r="BH170" i="1"/>
  <c r="BG170" i="1"/>
  <c r="BF170" i="1"/>
  <c r="BE170" i="1"/>
  <c r="BD170" i="1"/>
  <c r="BC170" i="1"/>
  <c r="BB170" i="1"/>
  <c r="BA170" i="1"/>
  <c r="AZ170" i="1"/>
  <c r="AU170" i="1"/>
  <c r="AS170" i="1"/>
  <c r="AR170" i="1"/>
  <c r="AQ170" i="1"/>
  <c r="AO170" i="1"/>
  <c r="AN170" i="1"/>
  <c r="AM170" i="1"/>
  <c r="AK170" i="1"/>
  <c r="AJ170" i="1"/>
  <c r="AI170" i="1"/>
  <c r="AG170" i="1"/>
  <c r="AF170" i="1"/>
  <c r="AE170" i="1"/>
  <c r="AC170" i="1"/>
  <c r="AB170" i="1"/>
  <c r="AA170" i="1"/>
  <c r="Y170" i="1"/>
  <c r="X170" i="1"/>
  <c r="W170" i="1"/>
  <c r="V170" i="1"/>
  <c r="U170" i="1"/>
  <c r="T170" i="1"/>
  <c r="S170" i="1"/>
  <c r="R170" i="1"/>
  <c r="Q170" i="1"/>
  <c r="P170" i="1"/>
  <c r="O170" i="1"/>
  <c r="N170" i="1"/>
  <c r="M170" i="1"/>
  <c r="L170" i="1"/>
  <c r="K170" i="1"/>
  <c r="J170" i="1"/>
  <c r="I170" i="1"/>
  <c r="H170" i="1"/>
  <c r="G170" i="1"/>
  <c r="F170" i="1"/>
  <c r="E170" i="1"/>
  <c r="D170" i="1"/>
  <c r="C170" i="1"/>
  <c r="BN169" i="1"/>
  <c r="BN180" i="1" s="1"/>
  <c r="BM169" i="1"/>
  <c r="BM180" i="1" s="1"/>
  <c r="BL169" i="1"/>
  <c r="BL180" i="1" s="1"/>
  <c r="BK169" i="1"/>
  <c r="BK180" i="1" s="1"/>
  <c r="BJ169" i="1"/>
  <c r="BJ180" i="1" s="1"/>
  <c r="BI169" i="1"/>
  <c r="BI180" i="1" s="1"/>
  <c r="BH169" i="1"/>
  <c r="BH180" i="1" s="1"/>
  <c r="BG169" i="1"/>
  <c r="BG180" i="1" s="1"/>
  <c r="BF169" i="1"/>
  <c r="BF180" i="1" s="1"/>
  <c r="BE169" i="1"/>
  <c r="BE180" i="1" s="1"/>
  <c r="BD169" i="1"/>
  <c r="BD180" i="1" s="1"/>
  <c r="BC169" i="1"/>
  <c r="BC180" i="1" s="1"/>
  <c r="BB169" i="1"/>
  <c r="BB180" i="1" s="1"/>
  <c r="BA169" i="1"/>
  <c r="BA180" i="1" s="1"/>
  <c r="AZ169" i="1"/>
  <c r="AZ180" i="1" s="1"/>
  <c r="AU169" i="1"/>
  <c r="AU180" i="1" s="1"/>
  <c r="BO180" i="1" s="1"/>
  <c r="AS169" i="1"/>
  <c r="AS180" i="1" s="1"/>
  <c r="AR169" i="1"/>
  <c r="AR180" i="1" s="1"/>
  <c r="AQ169" i="1"/>
  <c r="AQ180" i="1" s="1"/>
  <c r="AO169" i="1"/>
  <c r="AO180" i="1" s="1"/>
  <c r="AN169" i="1"/>
  <c r="AN180" i="1" s="1"/>
  <c r="AM169" i="1"/>
  <c r="AM180" i="1" s="1"/>
  <c r="AK169" i="1"/>
  <c r="AK180" i="1" s="1"/>
  <c r="AJ169" i="1"/>
  <c r="AJ180" i="1" s="1"/>
  <c r="AI169" i="1"/>
  <c r="AI180" i="1" s="1"/>
  <c r="AG169" i="1"/>
  <c r="AG180" i="1" s="1"/>
  <c r="AF169" i="1"/>
  <c r="AF180" i="1" s="1"/>
  <c r="AE169" i="1"/>
  <c r="AE180" i="1" s="1"/>
  <c r="AC169" i="1"/>
  <c r="AC180" i="1" s="1"/>
  <c r="AB169" i="1"/>
  <c r="AB180" i="1" s="1"/>
  <c r="AA169" i="1"/>
  <c r="AA180" i="1" s="1"/>
  <c r="Y169" i="1"/>
  <c r="Y180" i="1" s="1"/>
  <c r="X169" i="1"/>
  <c r="X180" i="1" s="1"/>
  <c r="W169" i="1"/>
  <c r="W180" i="1" s="1"/>
  <c r="U169" i="1"/>
  <c r="U180" i="1" s="1"/>
  <c r="T169" i="1"/>
  <c r="T180" i="1" s="1"/>
  <c r="S169" i="1"/>
  <c r="S180" i="1" s="1"/>
  <c r="Q169" i="1"/>
  <c r="Q180" i="1" s="1"/>
  <c r="P169" i="1"/>
  <c r="P180" i="1" s="1"/>
  <c r="O169" i="1"/>
  <c r="O180" i="1" s="1"/>
  <c r="M169" i="1"/>
  <c r="M180" i="1" s="1"/>
  <c r="L169" i="1"/>
  <c r="L180" i="1" s="1"/>
  <c r="K169" i="1"/>
  <c r="K180" i="1" s="1"/>
  <c r="I169" i="1"/>
  <c r="I180" i="1" s="1"/>
  <c r="H169" i="1"/>
  <c r="H180" i="1" s="1"/>
  <c r="G169" i="1"/>
  <c r="G180" i="1" s="1"/>
  <c r="E169" i="1"/>
  <c r="E180" i="1" s="1"/>
  <c r="D169" i="1"/>
  <c r="D180" i="1" s="1"/>
  <c r="C169" i="1"/>
  <c r="C180" i="1" s="1"/>
  <c r="BN168" i="1"/>
  <c r="BM168" i="1"/>
  <c r="BL168" i="1"/>
  <c r="BK168" i="1"/>
  <c r="BJ168" i="1"/>
  <c r="BI168" i="1"/>
  <c r="BH168" i="1"/>
  <c r="BG168" i="1"/>
  <c r="BF168" i="1"/>
  <c r="BE168" i="1"/>
  <c r="BD168" i="1"/>
  <c r="BC168" i="1"/>
  <c r="BB168" i="1"/>
  <c r="BA168" i="1"/>
  <c r="AZ168" i="1"/>
  <c r="AU168" i="1"/>
  <c r="AS168" i="1"/>
  <c r="AR168" i="1"/>
  <c r="AQ168" i="1"/>
  <c r="AO168" i="1"/>
  <c r="AN168" i="1"/>
  <c r="AM168" i="1"/>
  <c r="AK168" i="1"/>
  <c r="AJ168" i="1"/>
  <c r="AI168" i="1"/>
  <c r="AG168" i="1"/>
  <c r="AF168" i="1"/>
  <c r="AE168" i="1"/>
  <c r="AC168" i="1"/>
  <c r="AB168" i="1"/>
  <c r="AA168" i="1"/>
  <c r="Y168" i="1"/>
  <c r="X168" i="1"/>
  <c r="W168" i="1"/>
  <c r="U168" i="1"/>
  <c r="T168" i="1"/>
  <c r="S168" i="1"/>
  <c r="Q168" i="1"/>
  <c r="P168" i="1"/>
  <c r="O168" i="1"/>
  <c r="M168" i="1"/>
  <c r="L168" i="1"/>
  <c r="K168" i="1"/>
  <c r="I168" i="1"/>
  <c r="H168" i="1"/>
  <c r="G168" i="1"/>
  <c r="E168" i="1"/>
  <c r="D168" i="1"/>
  <c r="C168" i="1"/>
  <c r="BN167" i="1"/>
  <c r="BM167" i="1"/>
  <c r="BL167" i="1"/>
  <c r="BK167" i="1"/>
  <c r="BJ167" i="1"/>
  <c r="BI167" i="1"/>
  <c r="BH167" i="1"/>
  <c r="BG167" i="1"/>
  <c r="BF167" i="1"/>
  <c r="BE167" i="1"/>
  <c r="BD167" i="1"/>
  <c r="BC167" i="1"/>
  <c r="BB167" i="1"/>
  <c r="BA167" i="1"/>
  <c r="AZ167" i="1"/>
  <c r="AU167" i="1"/>
  <c r="AS167" i="1"/>
  <c r="AR167" i="1"/>
  <c r="AQ167" i="1"/>
  <c r="AO167" i="1"/>
  <c r="AN167" i="1"/>
  <c r="AM167" i="1"/>
  <c r="AK167" i="1"/>
  <c r="AJ167" i="1"/>
  <c r="AI167" i="1"/>
  <c r="AG167" i="1"/>
  <c r="AF167" i="1"/>
  <c r="AE167" i="1"/>
  <c r="AC167" i="1"/>
  <c r="AB167" i="1"/>
  <c r="AA167" i="1"/>
  <c r="Z167" i="1"/>
  <c r="Y167" i="1"/>
  <c r="X167" i="1"/>
  <c r="W167" i="1"/>
  <c r="V167" i="1"/>
  <c r="U167" i="1"/>
  <c r="T167" i="1"/>
  <c r="S167" i="1"/>
  <c r="R167" i="1"/>
  <c r="Q167" i="1"/>
  <c r="P167" i="1"/>
  <c r="O167" i="1"/>
  <c r="N167" i="1"/>
  <c r="M167" i="1"/>
  <c r="L167" i="1"/>
  <c r="K167" i="1"/>
  <c r="J167" i="1"/>
  <c r="I167" i="1"/>
  <c r="H167" i="1"/>
  <c r="G167" i="1"/>
  <c r="F167" i="1"/>
  <c r="E167" i="1"/>
  <c r="D167" i="1"/>
  <c r="C167" i="1"/>
  <c r="BN166" i="1"/>
  <c r="BM166" i="1"/>
  <c r="BL166" i="1"/>
  <c r="BK166" i="1"/>
  <c r="BJ166" i="1"/>
  <c r="BI166" i="1"/>
  <c r="BH166" i="1"/>
  <c r="BG166" i="1"/>
  <c r="BF166" i="1"/>
  <c r="BE166" i="1"/>
  <c r="BD166" i="1"/>
  <c r="BC166" i="1"/>
  <c r="BB166" i="1"/>
  <c r="BA166" i="1"/>
  <c r="AZ166" i="1"/>
  <c r="AU166" i="1"/>
  <c r="AS166" i="1"/>
  <c r="AR166" i="1"/>
  <c r="AQ166" i="1"/>
  <c r="AO166" i="1"/>
  <c r="AN166" i="1"/>
  <c r="AM166" i="1"/>
  <c r="AK166" i="1"/>
  <c r="AJ166" i="1"/>
  <c r="AI166" i="1"/>
  <c r="AG166" i="1"/>
  <c r="AF166" i="1"/>
  <c r="AE166" i="1"/>
  <c r="AC166" i="1"/>
  <c r="AB166" i="1"/>
  <c r="AA166" i="1"/>
  <c r="Y166" i="1"/>
  <c r="X166" i="1"/>
  <c r="W166" i="1"/>
  <c r="U166" i="1"/>
  <c r="T166" i="1"/>
  <c r="S166" i="1"/>
  <c r="Q166" i="1"/>
  <c r="P166" i="1"/>
  <c r="O166" i="1"/>
  <c r="M166" i="1"/>
  <c r="L166" i="1"/>
  <c r="K166" i="1"/>
  <c r="I166" i="1"/>
  <c r="H166" i="1"/>
  <c r="G166" i="1"/>
  <c r="E166" i="1"/>
  <c r="D166" i="1"/>
  <c r="C166" i="1"/>
  <c r="AT159" i="1"/>
  <c r="AP159" i="1"/>
  <c r="AL159" i="1"/>
  <c r="N230" i="11" s="1"/>
  <c r="AH159" i="1"/>
  <c r="J230" i="11" s="1"/>
  <c r="AD159" i="1"/>
  <c r="F230" i="11" s="1"/>
  <c r="Z159" i="1"/>
  <c r="Z218" i="1" s="1"/>
  <c r="Z48" i="9" s="1"/>
  <c r="V159" i="1"/>
  <c r="R159" i="1"/>
  <c r="N159" i="1"/>
  <c r="N168" i="1" s="1"/>
  <c r="J159" i="1"/>
  <c r="J218" i="1" s="1"/>
  <c r="J48" i="9" s="1"/>
  <c r="F159" i="1"/>
  <c r="F218" i="1" s="1"/>
  <c r="F48" i="9" s="1"/>
  <c r="AT157" i="1"/>
  <c r="AP157" i="1"/>
  <c r="AL157" i="1"/>
  <c r="AH157" i="1"/>
  <c r="J228" i="11" s="1"/>
  <c r="AD157" i="1"/>
  <c r="F228" i="11" s="1"/>
  <c r="Z157" i="1"/>
  <c r="AT156" i="1"/>
  <c r="V227" i="11" s="1"/>
  <c r="AP156" i="1"/>
  <c r="AL156" i="1"/>
  <c r="N227" i="11" s="1"/>
  <c r="AH156" i="1"/>
  <c r="J227" i="11" s="1"/>
  <c r="AD156" i="1"/>
  <c r="F227" i="11" s="1"/>
  <c r="Z156" i="1"/>
  <c r="V156" i="1"/>
  <c r="R156" i="1"/>
  <c r="N156" i="1"/>
  <c r="J156" i="1"/>
  <c r="F156" i="1"/>
  <c r="AT154" i="1"/>
  <c r="V225" i="11" s="1"/>
  <c r="AP154" i="1"/>
  <c r="AL154" i="1"/>
  <c r="N225" i="11" s="1"/>
  <c r="AH154" i="1"/>
  <c r="AD154" i="1"/>
  <c r="F225" i="11" s="1"/>
  <c r="AT153" i="1"/>
  <c r="V224" i="11" s="1"/>
  <c r="AP153" i="1"/>
  <c r="R224" i="11" s="1"/>
  <c r="AL153" i="1"/>
  <c r="N224" i="11" s="1"/>
  <c r="AH153" i="1"/>
  <c r="AD153" i="1"/>
  <c r="Z153" i="1"/>
  <c r="Z208" i="1" s="1"/>
  <c r="V153" i="1"/>
  <c r="V208" i="1" s="1"/>
  <c r="R153" i="1"/>
  <c r="R208" i="1" s="1"/>
  <c r="N153" i="1"/>
  <c r="J153" i="1"/>
  <c r="F153" i="1"/>
  <c r="F166" i="1" s="1"/>
  <c r="AT152" i="1"/>
  <c r="AP152" i="1"/>
  <c r="AL152" i="1"/>
  <c r="AH152" i="1"/>
  <c r="AD152" i="1"/>
  <c r="Z152" i="1"/>
  <c r="Z171" i="1" s="1"/>
  <c r="V152" i="1"/>
  <c r="V171" i="1" s="1"/>
  <c r="AT151" i="1"/>
  <c r="V222" i="11" s="1"/>
  <c r="AP151" i="1"/>
  <c r="R222" i="11" s="1"/>
  <c r="AL151" i="1"/>
  <c r="N222" i="11" s="1"/>
  <c r="AH151" i="1"/>
  <c r="AD151" i="1"/>
  <c r="F222" i="11" s="1"/>
  <c r="Z151" i="1"/>
  <c r="Z169" i="1" s="1"/>
  <c r="Z180" i="1" s="1"/>
  <c r="V151" i="1"/>
  <c r="R151" i="1"/>
  <c r="N151" i="1"/>
  <c r="N210" i="1" s="1"/>
  <c r="J151" i="1"/>
  <c r="J210" i="1" s="1"/>
  <c r="F151" i="1"/>
  <c r="F210" i="1" s="1"/>
  <c r="BN149" i="1"/>
  <c r="BM149" i="1"/>
  <c r="BL149" i="1"/>
  <c r="BK149" i="1"/>
  <c r="BJ149" i="1"/>
  <c r="BI149" i="1"/>
  <c r="BH149" i="1"/>
  <c r="BG149" i="1"/>
  <c r="BF149" i="1"/>
  <c r="BE149" i="1"/>
  <c r="BD149" i="1"/>
  <c r="BC149" i="1"/>
  <c r="BB149" i="1"/>
  <c r="BA149" i="1"/>
  <c r="AZ149" i="1"/>
  <c r="AU149" i="1"/>
  <c r="AS149" i="1"/>
  <c r="AR149" i="1"/>
  <c r="AQ149" i="1"/>
  <c r="AO149" i="1"/>
  <c r="AN149" i="1"/>
  <c r="AM149" i="1"/>
  <c r="AK149" i="1"/>
  <c r="AJ149" i="1"/>
  <c r="AI149" i="1"/>
  <c r="AG149" i="1"/>
  <c r="AF149" i="1"/>
  <c r="AE149" i="1"/>
  <c r="AC149" i="1"/>
  <c r="AB149" i="1"/>
  <c r="AA149" i="1"/>
  <c r="Y149" i="1"/>
  <c r="X149" i="1"/>
  <c r="W149" i="1"/>
  <c r="U149" i="1"/>
  <c r="T149" i="1"/>
  <c r="S149" i="1"/>
  <c r="Q149" i="1"/>
  <c r="P149" i="1"/>
  <c r="O149" i="1"/>
  <c r="M149" i="1"/>
  <c r="L149" i="1"/>
  <c r="K149" i="1"/>
  <c r="I149" i="1"/>
  <c r="H149" i="1"/>
  <c r="G149" i="1"/>
  <c r="E149" i="1"/>
  <c r="D149" i="1"/>
  <c r="C149" i="1"/>
  <c r="AT148" i="1"/>
  <c r="V220" i="11" s="1"/>
  <c r="AP148" i="1"/>
  <c r="R220" i="11" s="1"/>
  <c r="AL148" i="1"/>
  <c r="N220" i="11" s="1"/>
  <c r="AH148" i="1"/>
  <c r="J220" i="11" s="1"/>
  <c r="AD148" i="1"/>
  <c r="F220" i="11" s="1"/>
  <c r="Z148" i="1"/>
  <c r="V148" i="1"/>
  <c r="R148" i="1"/>
  <c r="N148" i="1"/>
  <c r="J148" i="1"/>
  <c r="F148" i="1"/>
  <c r="AT147" i="1"/>
  <c r="V219" i="11" s="1"/>
  <c r="AP147" i="1"/>
  <c r="R219" i="11" s="1"/>
  <c r="AL147" i="1"/>
  <c r="N219" i="11" s="1"/>
  <c r="AH147" i="1"/>
  <c r="J219" i="11" s="1"/>
  <c r="AD147" i="1"/>
  <c r="F219" i="11" s="1"/>
  <c r="Z147" i="1"/>
  <c r="V147" i="1"/>
  <c r="R147" i="1"/>
  <c r="N147" i="1"/>
  <c r="J147" i="1"/>
  <c r="F147" i="1"/>
  <c r="BN146" i="1"/>
  <c r="BM146" i="1"/>
  <c r="BL146" i="1"/>
  <c r="BK146" i="1"/>
  <c r="BJ146" i="1"/>
  <c r="BI146" i="1"/>
  <c r="BH146" i="1"/>
  <c r="BG146" i="1"/>
  <c r="BF146" i="1"/>
  <c r="BE146" i="1"/>
  <c r="BD146" i="1"/>
  <c r="BC146" i="1"/>
  <c r="BB146" i="1"/>
  <c r="BA146" i="1"/>
  <c r="AZ146" i="1"/>
  <c r="AU146" i="1"/>
  <c r="AS146" i="1"/>
  <c r="AR146" i="1"/>
  <c r="AQ146" i="1"/>
  <c r="AO146" i="1"/>
  <c r="AN146" i="1"/>
  <c r="AM146" i="1"/>
  <c r="AK146" i="1"/>
  <c r="AJ146" i="1"/>
  <c r="AI146" i="1"/>
  <c r="AG146" i="1"/>
  <c r="AF146" i="1"/>
  <c r="AE146" i="1"/>
  <c r="AC146" i="1"/>
  <c r="AB146" i="1"/>
  <c r="AA146" i="1"/>
  <c r="Y146" i="1"/>
  <c r="X146" i="1"/>
  <c r="W146" i="1"/>
  <c r="U146" i="1"/>
  <c r="T146" i="1"/>
  <c r="S146" i="1"/>
  <c r="Q146" i="1"/>
  <c r="P146" i="1"/>
  <c r="O146" i="1"/>
  <c r="M146" i="1"/>
  <c r="L146" i="1"/>
  <c r="K146" i="1"/>
  <c r="I146" i="1"/>
  <c r="H146" i="1"/>
  <c r="G146" i="1"/>
  <c r="E146" i="1"/>
  <c r="D146" i="1"/>
  <c r="C146" i="1"/>
  <c r="AT145" i="1"/>
  <c r="AP145" i="1"/>
  <c r="R217" i="11" s="1"/>
  <c r="R170" i="11" s="1"/>
  <c r="R172" i="11" s="1"/>
  <c r="AL145" i="1"/>
  <c r="N217" i="11" s="1"/>
  <c r="N170" i="11" s="1"/>
  <c r="N172" i="11" s="1"/>
  <c r="AH145" i="1"/>
  <c r="J217" i="11" s="1"/>
  <c r="J170" i="11" s="1"/>
  <c r="J172" i="11" s="1"/>
  <c r="AD145" i="1"/>
  <c r="Z145" i="1"/>
  <c r="Z193" i="1" s="1"/>
  <c r="Z39" i="9" s="1"/>
  <c r="V145" i="1"/>
  <c r="V193" i="1" s="1"/>
  <c r="R145" i="1"/>
  <c r="R193" i="1" s="1"/>
  <c r="N145" i="1"/>
  <c r="J145" i="1"/>
  <c r="J193" i="1" s="1"/>
  <c r="J39" i="9" s="1"/>
  <c r="F145" i="1"/>
  <c r="F193" i="1" s="1"/>
  <c r="F39" i="9" s="1"/>
  <c r="AT144" i="1"/>
  <c r="V216" i="11" s="1"/>
  <c r="AP144" i="1"/>
  <c r="R216" i="11" s="1"/>
  <c r="AL144" i="1"/>
  <c r="N216" i="11" s="1"/>
  <c r="AH144" i="1"/>
  <c r="J216" i="11" s="1"/>
  <c r="AD144" i="1"/>
  <c r="F216" i="11" s="1"/>
  <c r="Z144" i="1"/>
  <c r="V144" i="1"/>
  <c r="R144" i="1"/>
  <c r="R190" i="1" s="1"/>
  <c r="N144" i="1"/>
  <c r="N190" i="1" s="1"/>
  <c r="J144" i="1"/>
  <c r="J190" i="1" s="1"/>
  <c r="F144" i="1"/>
  <c r="F190" i="1" s="1"/>
  <c r="AH113" i="1"/>
  <c r="AD113" i="1"/>
  <c r="Z113" i="1"/>
  <c r="V113" i="1"/>
  <c r="V21" i="1" s="1"/>
  <c r="BK112" i="1"/>
  <c r="BK114" i="1" s="1"/>
  <c r="BJ112" i="1"/>
  <c r="BI112" i="1"/>
  <c r="BH112" i="1"/>
  <c r="BG112" i="1"/>
  <c r="BF112" i="1"/>
  <c r="BF114" i="1" s="1"/>
  <c r="BE112" i="1"/>
  <c r="BE114" i="1" s="1"/>
  <c r="AG112" i="1"/>
  <c r="AF112" i="1"/>
  <c r="AE112" i="1"/>
  <c r="AE114" i="1" s="1"/>
  <c r="AC112" i="1"/>
  <c r="AC114" i="1" s="1"/>
  <c r="AB112" i="1"/>
  <c r="AB114" i="1" s="1"/>
  <c r="AA112" i="1"/>
  <c r="Y112" i="1"/>
  <c r="Y114" i="1" s="1"/>
  <c r="X112" i="1"/>
  <c r="X114" i="1" s="1"/>
  <c r="W112" i="1"/>
  <c r="W114" i="1" s="1"/>
  <c r="U112" i="1"/>
  <c r="U114" i="1" s="1"/>
  <c r="T112" i="1"/>
  <c r="S112" i="1"/>
  <c r="S114" i="1" s="1"/>
  <c r="R112" i="1"/>
  <c r="R114" i="1" s="1"/>
  <c r="Q112" i="1"/>
  <c r="Q114" i="1" s="1"/>
  <c r="P112" i="1"/>
  <c r="P114" i="1" s="1"/>
  <c r="O112" i="1"/>
  <c r="O114" i="1" s="1"/>
  <c r="N112" i="1"/>
  <c r="M112" i="1"/>
  <c r="M114" i="1" s="1"/>
  <c r="L112" i="1"/>
  <c r="L114" i="1" s="1"/>
  <c r="K112" i="1"/>
  <c r="K114" i="1" s="1"/>
  <c r="J112" i="1"/>
  <c r="J114" i="1" s="1"/>
  <c r="I112" i="1"/>
  <c r="I114" i="1" s="1"/>
  <c r="H112" i="1"/>
  <c r="H114" i="1" s="1"/>
  <c r="G112" i="1"/>
  <c r="G114" i="1" s="1"/>
  <c r="AH111" i="1"/>
  <c r="AD111" i="1"/>
  <c r="Z111" i="1"/>
  <c r="V111" i="1"/>
  <c r="V19" i="1" s="1"/>
  <c r="AH110" i="1"/>
  <c r="AD110" i="1"/>
  <c r="Z110" i="1"/>
  <c r="V110" i="1"/>
  <c r="AH109" i="1"/>
  <c r="AD109" i="1"/>
  <c r="Z109" i="1"/>
  <c r="V109" i="1"/>
  <c r="V17" i="1" s="1"/>
  <c r="BK103" i="1"/>
  <c r="AK103" i="1"/>
  <c r="AJ103" i="1"/>
  <c r="AI103" i="1"/>
  <c r="AG103" i="1"/>
  <c r="AF103" i="1"/>
  <c r="AE103" i="1"/>
  <c r="BN102" i="1"/>
  <c r="BM102" i="1"/>
  <c r="BL102" i="1"/>
  <c r="AL102" i="1" s="1"/>
  <c r="AU102" i="1"/>
  <c r="AS102" i="1"/>
  <c r="AR102" i="1"/>
  <c r="AQ102" i="1"/>
  <c r="AO102" i="1"/>
  <c r="AN102" i="1"/>
  <c r="AM102" i="1"/>
  <c r="AH102" i="1"/>
  <c r="AT101" i="1"/>
  <c r="AP101" i="1"/>
  <c r="AT100" i="1"/>
  <c r="AP100" i="1"/>
  <c r="BN99" i="1"/>
  <c r="BM99" i="1"/>
  <c r="BL99" i="1"/>
  <c r="AL99" i="1" s="1"/>
  <c r="AU99" i="1"/>
  <c r="AS99" i="1"/>
  <c r="AR99" i="1"/>
  <c r="AQ99" i="1"/>
  <c r="AO99" i="1"/>
  <c r="AN99" i="1"/>
  <c r="AM99" i="1"/>
  <c r="AH99" i="1"/>
  <c r="AT98" i="1"/>
  <c r="AP98" i="1"/>
  <c r="AT97" i="1"/>
  <c r="AP97" i="1"/>
  <c r="BN96" i="1"/>
  <c r="BM96" i="1"/>
  <c r="BL96" i="1"/>
  <c r="AL96" i="1" s="1"/>
  <c r="AU96" i="1"/>
  <c r="AS96" i="1"/>
  <c r="AR96" i="1"/>
  <c r="AQ96" i="1"/>
  <c r="AO96" i="1"/>
  <c r="AN96" i="1"/>
  <c r="AM96" i="1"/>
  <c r="AH96" i="1"/>
  <c r="AT95" i="1"/>
  <c r="AP95" i="1"/>
  <c r="AT94" i="1"/>
  <c r="AP94" i="1"/>
  <c r="BN93" i="1"/>
  <c r="BM93" i="1"/>
  <c r="BL93" i="1"/>
  <c r="BK93" i="1"/>
  <c r="AU93" i="1"/>
  <c r="AS93" i="1"/>
  <c r="AR93" i="1"/>
  <c r="AQ93" i="1"/>
  <c r="AO93" i="1"/>
  <c r="AN93" i="1"/>
  <c r="AM93" i="1"/>
  <c r="AK93" i="1"/>
  <c r="AJ93" i="1"/>
  <c r="AI93" i="1"/>
  <c r="AG93" i="1"/>
  <c r="AF93" i="1"/>
  <c r="AE93" i="1"/>
  <c r="AT92" i="1"/>
  <c r="AP92" i="1"/>
  <c r="AL92" i="1"/>
  <c r="AH92" i="1"/>
  <c r="AT91" i="1"/>
  <c r="AP91" i="1"/>
  <c r="AL91" i="1"/>
  <c r="AH91" i="1"/>
  <c r="AC86" i="1"/>
  <c r="AC202" i="1" s="1"/>
  <c r="AB86" i="1"/>
  <c r="AA86" i="1"/>
  <c r="AA202" i="1" s="1"/>
  <c r="Y86" i="1"/>
  <c r="X86" i="1"/>
  <c r="X202" i="1" s="1"/>
  <c r="X535" i="1" s="1"/>
  <c r="W86" i="1"/>
  <c r="W202" i="1" s="1"/>
  <c r="U86" i="1"/>
  <c r="U202" i="1" s="1"/>
  <c r="U535" i="1" s="1"/>
  <c r="T86" i="1"/>
  <c r="T202" i="1" s="1"/>
  <c r="T535" i="1" s="1"/>
  <c r="S86" i="1"/>
  <c r="S202" i="1" s="1"/>
  <c r="Q86" i="1"/>
  <c r="Q202" i="1" s="1"/>
  <c r="P86" i="1"/>
  <c r="P202" i="1" s="1"/>
  <c r="O86" i="1"/>
  <c r="O202" i="1" s="1"/>
  <c r="O535" i="1" s="1"/>
  <c r="M86" i="1"/>
  <c r="M202" i="1" s="1"/>
  <c r="L86" i="1"/>
  <c r="L202" i="1" s="1"/>
  <c r="K86" i="1"/>
  <c r="K202" i="1" s="1"/>
  <c r="I86" i="1"/>
  <c r="I202" i="1" s="1"/>
  <c r="H86" i="1"/>
  <c r="H202" i="1" s="1"/>
  <c r="G86" i="1"/>
  <c r="G202" i="1" s="1"/>
  <c r="E86" i="1"/>
  <c r="E202" i="1" s="1"/>
  <c r="D86" i="1"/>
  <c r="C86" i="1"/>
  <c r="C202" i="1" s="1"/>
  <c r="BP85" i="1"/>
  <c r="BP175" i="1" s="1"/>
  <c r="BO85" i="1"/>
  <c r="BO175" i="1" s="1"/>
  <c r="AT85" i="1"/>
  <c r="AT175" i="1" s="1"/>
  <c r="AP85" i="1"/>
  <c r="AP175" i="1" s="1"/>
  <c r="AL85" i="1"/>
  <c r="AL175" i="1" s="1"/>
  <c r="AH85" i="1"/>
  <c r="AH175" i="1" s="1"/>
  <c r="AD85" i="1"/>
  <c r="Z85" i="1"/>
  <c r="V85" i="1"/>
  <c r="R85" i="1"/>
  <c r="N85" i="1"/>
  <c r="J85" i="1"/>
  <c r="F85" i="1"/>
  <c r="AT84" i="1"/>
  <c r="AP84" i="1"/>
  <c r="AL84" i="1"/>
  <c r="AH84" i="1"/>
  <c r="AD84" i="1"/>
  <c r="Z84" i="1"/>
  <c r="V84" i="1"/>
  <c r="R84" i="1"/>
  <c r="N84" i="1"/>
  <c r="J84" i="1"/>
  <c r="F84" i="1"/>
  <c r="BC83" i="1"/>
  <c r="BC86" i="1" s="1"/>
  <c r="BC202" i="1" s="1"/>
  <c r="BP82" i="1"/>
  <c r="BO82" i="1"/>
  <c r="AT82" i="1"/>
  <c r="AP82" i="1"/>
  <c r="AL82" i="1"/>
  <c r="AH82" i="1"/>
  <c r="BS81" i="1"/>
  <c r="BS83" i="1" s="1"/>
  <c r="BR81" i="1"/>
  <c r="BR83" i="1" s="1"/>
  <c r="BQ81" i="1"/>
  <c r="BQ83" i="1" s="1"/>
  <c r="BN81" i="1"/>
  <c r="BN83" i="1" s="1"/>
  <c r="BN86" i="1" s="1"/>
  <c r="BN202" i="1" s="1"/>
  <c r="BM81" i="1"/>
  <c r="BM83" i="1" s="1"/>
  <c r="BM86" i="1" s="1"/>
  <c r="BM202" i="1" s="1"/>
  <c r="BL81" i="1"/>
  <c r="BL83" i="1" s="1"/>
  <c r="BL86" i="1" s="1"/>
  <c r="BL202" i="1" s="1"/>
  <c r="BK81" i="1"/>
  <c r="BK83" i="1" s="1"/>
  <c r="BK86" i="1" s="1"/>
  <c r="BK202" i="1" s="1"/>
  <c r="BJ81" i="1"/>
  <c r="BJ83" i="1" s="1"/>
  <c r="AD83" i="1" s="1"/>
  <c r="BI81" i="1"/>
  <c r="BI83" i="1" s="1"/>
  <c r="BH81" i="1"/>
  <c r="BH83" i="1" s="1"/>
  <c r="BH86" i="1" s="1"/>
  <c r="BH202" i="1" s="1"/>
  <c r="BG81" i="1"/>
  <c r="BG83" i="1" s="1"/>
  <c r="BF81" i="1"/>
  <c r="BF83" i="1" s="1"/>
  <c r="BF86" i="1" s="1"/>
  <c r="BF202" i="1" s="1"/>
  <c r="BE81" i="1"/>
  <c r="BE83" i="1" s="1"/>
  <c r="J83" i="1" s="1"/>
  <c r="BD81" i="1"/>
  <c r="BD83" i="1" s="1"/>
  <c r="BB81" i="1"/>
  <c r="BB83" i="1" s="1"/>
  <c r="BB86" i="1" s="1"/>
  <c r="BB202" i="1" s="1"/>
  <c r="BA81" i="1"/>
  <c r="BA83" i="1" s="1"/>
  <c r="BA86" i="1" s="1"/>
  <c r="BA202" i="1" s="1"/>
  <c r="AZ81" i="1"/>
  <c r="AZ83" i="1" s="1"/>
  <c r="AZ86" i="1" s="1"/>
  <c r="AZ202" i="1" s="1"/>
  <c r="AX81" i="1"/>
  <c r="AX83" i="1" s="1"/>
  <c r="AW81" i="1"/>
  <c r="AW83" i="1" s="1"/>
  <c r="AV81" i="1"/>
  <c r="AV83" i="1" s="1"/>
  <c r="AU81" i="1"/>
  <c r="AU83" i="1" s="1"/>
  <c r="AU86" i="1" s="1"/>
  <c r="AU202" i="1" s="1"/>
  <c r="AS81" i="1"/>
  <c r="AS83" i="1" s="1"/>
  <c r="AS86" i="1" s="1"/>
  <c r="AS202" i="1" s="1"/>
  <c r="AR81" i="1"/>
  <c r="AR83" i="1" s="1"/>
  <c r="AR86" i="1" s="1"/>
  <c r="AR202" i="1" s="1"/>
  <c r="AQ81" i="1"/>
  <c r="AQ83" i="1" s="1"/>
  <c r="AQ86" i="1" s="1"/>
  <c r="AQ202" i="1" s="1"/>
  <c r="AO81" i="1"/>
  <c r="AO83" i="1" s="1"/>
  <c r="AO86" i="1" s="1"/>
  <c r="AN81" i="1"/>
  <c r="AN83" i="1" s="1"/>
  <c r="AN86" i="1" s="1"/>
  <c r="AN202" i="1" s="1"/>
  <c r="AM81" i="1"/>
  <c r="AM83" i="1" s="1"/>
  <c r="AM86" i="1" s="1"/>
  <c r="AK81" i="1"/>
  <c r="AK83" i="1" s="1"/>
  <c r="AK86" i="1" s="1"/>
  <c r="AJ81" i="1"/>
  <c r="AJ83" i="1" s="1"/>
  <c r="AJ86" i="1" s="1"/>
  <c r="AJ202" i="1" s="1"/>
  <c r="AI81" i="1"/>
  <c r="AI83" i="1" s="1"/>
  <c r="AI86" i="1" s="1"/>
  <c r="AG81" i="1"/>
  <c r="AG83" i="1" s="1"/>
  <c r="AG86" i="1" s="1"/>
  <c r="AG202" i="1" s="1"/>
  <c r="AF81" i="1"/>
  <c r="AF83" i="1" s="1"/>
  <c r="AF86" i="1" s="1"/>
  <c r="AF202" i="1" s="1"/>
  <c r="AE81" i="1"/>
  <c r="AE83" i="1" s="1"/>
  <c r="AE86" i="1" s="1"/>
  <c r="AE202" i="1" s="1"/>
  <c r="BP80" i="1"/>
  <c r="BO80" i="1"/>
  <c r="AT80" i="1"/>
  <c r="AP80" i="1"/>
  <c r="AL80" i="1"/>
  <c r="AH80" i="1"/>
  <c r="BP79" i="1"/>
  <c r="BO79" i="1"/>
  <c r="AT79" i="1"/>
  <c r="AP79" i="1"/>
  <c r="AL79" i="1"/>
  <c r="AH79" i="1"/>
  <c r="BP78" i="1"/>
  <c r="BO78" i="1"/>
  <c r="AT78" i="1"/>
  <c r="AP78" i="1"/>
  <c r="AL78" i="1"/>
  <c r="AH78" i="1"/>
  <c r="BN77" i="1"/>
  <c r="BM77" i="1"/>
  <c r="BL77" i="1"/>
  <c r="BK77" i="1"/>
  <c r="BJ77" i="1"/>
  <c r="AD77" i="1" s="1"/>
  <c r="BI77" i="1"/>
  <c r="Z77" i="1" s="1"/>
  <c r="BH77" i="1"/>
  <c r="V77" i="1" s="1"/>
  <c r="BG77" i="1"/>
  <c r="R77" i="1" s="1"/>
  <c r="BF77" i="1"/>
  <c r="N77" i="1" s="1"/>
  <c r="BE77" i="1"/>
  <c r="BD77" i="1"/>
  <c r="BC77" i="1"/>
  <c r="BB77" i="1"/>
  <c r="BA77" i="1"/>
  <c r="AZ77" i="1"/>
  <c r="AU77" i="1"/>
  <c r="AS77" i="1"/>
  <c r="AR77" i="1"/>
  <c r="AQ77" i="1"/>
  <c r="AO77" i="1"/>
  <c r="AN77" i="1"/>
  <c r="AM77" i="1"/>
  <c r="AK77" i="1"/>
  <c r="AJ77" i="1"/>
  <c r="AI77" i="1"/>
  <c r="AG77" i="1"/>
  <c r="AF77" i="1"/>
  <c r="AE77" i="1"/>
  <c r="D77" i="1"/>
  <c r="AT76" i="1"/>
  <c r="AP76" i="1"/>
  <c r="AL76" i="1"/>
  <c r="AH76" i="1"/>
  <c r="BP75" i="1"/>
  <c r="BO75" i="1"/>
  <c r="AT75" i="1"/>
  <c r="AP75" i="1"/>
  <c r="AL75" i="1"/>
  <c r="AH75" i="1"/>
  <c r="BL71" i="1"/>
  <c r="AL71" i="1"/>
  <c r="AK71" i="1"/>
  <c r="AJ71" i="1"/>
  <c r="AI71" i="1"/>
  <c r="AH71" i="1"/>
  <c r="AG71" i="1"/>
  <c r="AF71" i="1"/>
  <c r="AE71" i="1"/>
  <c r="AD71" i="1"/>
  <c r="AC71" i="1"/>
  <c r="AB71" i="1"/>
  <c r="AA71" i="1"/>
  <c r="BK70" i="1"/>
  <c r="BJ70" i="1"/>
  <c r="BK69" i="1"/>
  <c r="BJ69" i="1"/>
  <c r="BL68" i="1"/>
  <c r="AL68" i="1"/>
  <c r="AK68" i="1"/>
  <c r="AJ68" i="1"/>
  <c r="AI68" i="1"/>
  <c r="BK67" i="1"/>
  <c r="BL25" i="1" s="1"/>
  <c r="BJ67" i="1"/>
  <c r="AH67" i="1"/>
  <c r="AL25" i="1" s="1"/>
  <c r="AG67" i="1"/>
  <c r="AK25" i="1" s="1"/>
  <c r="AF67" i="1"/>
  <c r="AJ25" i="1" s="1"/>
  <c r="AE67" i="1"/>
  <c r="AI25" i="1" s="1"/>
  <c r="AD67" i="1"/>
  <c r="AC67" i="1"/>
  <c r="AB67" i="1"/>
  <c r="AA67" i="1"/>
  <c r="BK66" i="1"/>
  <c r="BL24" i="1" s="1"/>
  <c r="BJ66" i="1"/>
  <c r="AH66" i="1"/>
  <c r="AG66" i="1"/>
  <c r="AF66" i="1"/>
  <c r="AE66" i="1"/>
  <c r="AD66" i="1"/>
  <c r="AC66" i="1"/>
  <c r="AB66" i="1"/>
  <c r="AA66" i="1"/>
  <c r="BN63" i="1"/>
  <c r="BM63" i="1"/>
  <c r="BL63" i="1"/>
  <c r="AU63" i="1"/>
  <c r="AT63" i="1"/>
  <c r="AS63" i="1"/>
  <c r="AR63" i="1"/>
  <c r="AQ63" i="1"/>
  <c r="AP63" i="1"/>
  <c r="AO63" i="1"/>
  <c r="AN63" i="1"/>
  <c r="AM63" i="1"/>
  <c r="AL63" i="1"/>
  <c r="AK63" i="1"/>
  <c r="AJ63" i="1"/>
  <c r="AI63" i="1"/>
  <c r="BN61" i="1"/>
  <c r="BM61" i="1"/>
  <c r="BL61" i="1"/>
  <c r="AU61" i="1"/>
  <c r="AT61" i="1"/>
  <c r="AS61" i="1"/>
  <c r="AR61" i="1"/>
  <c r="AQ61" i="1"/>
  <c r="AP61" i="1"/>
  <c r="AO61" i="1"/>
  <c r="AN61" i="1"/>
  <c r="AM61" i="1"/>
  <c r="AL61" i="1"/>
  <c r="AK61" i="1"/>
  <c r="AJ61" i="1"/>
  <c r="AI61" i="1"/>
  <c r="BN58" i="1"/>
  <c r="BM58" i="1"/>
  <c r="BL58" i="1"/>
  <c r="BP32" i="9" s="1"/>
  <c r="BK58" i="1"/>
  <c r="BO32" i="9" s="1"/>
  <c r="BJ58" i="1"/>
  <c r="BN32" i="9" s="1"/>
  <c r="AU58" i="1"/>
  <c r="AU32" i="9" s="1"/>
  <c r="AT58" i="1"/>
  <c r="AS58" i="1"/>
  <c r="AR58" i="1"/>
  <c r="AQ58" i="1"/>
  <c r="AP58" i="1"/>
  <c r="AO58" i="1"/>
  <c r="AN58" i="1"/>
  <c r="AN32" i="9" s="1"/>
  <c r="AM58" i="1"/>
  <c r="AM32" i="9" s="1"/>
  <c r="AL58" i="1"/>
  <c r="AL32" i="9" s="1"/>
  <c r="AK58" i="1"/>
  <c r="AK32" i="9" s="1"/>
  <c r="AJ58" i="1"/>
  <c r="AJ32" i="9" s="1"/>
  <c r="AI58" i="1"/>
  <c r="AH58" i="1"/>
  <c r="AH32" i="9" s="1"/>
  <c r="AG58" i="1"/>
  <c r="AF58" i="1"/>
  <c r="AF32" i="9" s="1"/>
  <c r="AE58" i="1"/>
  <c r="AD58" i="1"/>
  <c r="AD32" i="9" s="1"/>
  <c r="AC58" i="1"/>
  <c r="AC32" i="9" s="1"/>
  <c r="AB58" i="1"/>
  <c r="AB32" i="9" s="1"/>
  <c r="AA58" i="1"/>
  <c r="AA32" i="9" s="1"/>
  <c r="AY31" i="9"/>
  <c r="AX57" i="1"/>
  <c r="AX31" i="9" s="1"/>
  <c r="AW57" i="1"/>
  <c r="AV57" i="1"/>
  <c r="AY30" i="9"/>
  <c r="AX56" i="1"/>
  <c r="AX30" i="9" s="1"/>
  <c r="AW56" i="1"/>
  <c r="AW30" i="9" s="1"/>
  <c r="AV56" i="1"/>
  <c r="AL53" i="1"/>
  <c r="AK53" i="1"/>
  <c r="AJ53" i="1"/>
  <c r="AI53" i="1"/>
  <c r="AH53" i="1"/>
  <c r="AG53" i="1"/>
  <c r="AF53" i="1"/>
  <c r="AE53" i="1"/>
  <c r="AD53" i="1"/>
  <c r="AD31" i="1" s="1"/>
  <c r="AC53" i="1"/>
  <c r="AC31" i="1" s="1"/>
  <c r="AB53" i="1"/>
  <c r="AB31" i="1" s="1"/>
  <c r="D212" i="11" s="1"/>
  <c r="D146" i="11" s="1"/>
  <c r="H152" i="11" s="1"/>
  <c r="H153" i="11" s="1"/>
  <c r="H20" i="11" s="1"/>
  <c r="AA53" i="1"/>
  <c r="AA31" i="1" s="1"/>
  <c r="BL52" i="1"/>
  <c r="AR260" i="11" s="1"/>
  <c r="BK52" i="1"/>
  <c r="AQ260" i="11" s="1"/>
  <c r="BL51" i="1"/>
  <c r="AR259" i="11" s="1"/>
  <c r="BK51" i="1"/>
  <c r="AQ259" i="11" s="1"/>
  <c r="BL50" i="1"/>
  <c r="AR258" i="11" s="1"/>
  <c r="BK50" i="1"/>
  <c r="AQ258" i="11" s="1"/>
  <c r="BL49" i="1"/>
  <c r="AR257" i="11" s="1"/>
  <c r="BK49" i="1"/>
  <c r="AQ257" i="11" s="1"/>
  <c r="BJ49" i="1"/>
  <c r="AL45" i="1"/>
  <c r="N265" i="11" s="1"/>
  <c r="AK45" i="1"/>
  <c r="M265" i="11" s="1"/>
  <c r="AJ45" i="1"/>
  <c r="L265" i="11" s="1"/>
  <c r="AI45" i="1"/>
  <c r="K265" i="11" s="1"/>
  <c r="AH45" i="1"/>
  <c r="J265" i="11" s="1"/>
  <c r="AG45" i="1"/>
  <c r="I265" i="11" s="1"/>
  <c r="AF45" i="1"/>
  <c r="H265" i="11" s="1"/>
  <c r="AE45" i="1"/>
  <c r="G265" i="11" s="1"/>
  <c r="AD45" i="1"/>
  <c r="F265" i="11" s="1"/>
  <c r="AC45" i="1"/>
  <c r="E265" i="11" s="1"/>
  <c r="AB45" i="1"/>
  <c r="D265" i="11" s="1"/>
  <c r="AA45" i="1"/>
  <c r="C265" i="11" s="1"/>
  <c r="AL44" i="1"/>
  <c r="N264" i="11" s="1"/>
  <c r="AK44" i="1"/>
  <c r="M264" i="11" s="1"/>
  <c r="AJ44" i="1"/>
  <c r="L264" i="11" s="1"/>
  <c r="AI44" i="1"/>
  <c r="K264" i="11" s="1"/>
  <c r="AH44" i="1"/>
  <c r="J264" i="11" s="1"/>
  <c r="AG44" i="1"/>
  <c r="I264" i="11" s="1"/>
  <c r="AF44" i="1"/>
  <c r="H264" i="11" s="1"/>
  <c r="AE44" i="1"/>
  <c r="G264" i="11" s="1"/>
  <c r="AD44" i="1"/>
  <c r="F264" i="11" s="1"/>
  <c r="AC44" i="1"/>
  <c r="E264" i="11" s="1"/>
  <c r="AB44" i="1"/>
  <c r="D264" i="11" s="1"/>
  <c r="AA44" i="1"/>
  <c r="C264" i="11" s="1"/>
  <c r="AL43" i="1"/>
  <c r="N263" i="11" s="1"/>
  <c r="AK43" i="1"/>
  <c r="M263" i="11" s="1"/>
  <c r="AJ43" i="1"/>
  <c r="L263" i="11" s="1"/>
  <c r="AI43" i="1"/>
  <c r="K263" i="11" s="1"/>
  <c r="AH43" i="1"/>
  <c r="J263" i="11" s="1"/>
  <c r="AG43" i="1"/>
  <c r="I263" i="11" s="1"/>
  <c r="AF43" i="1"/>
  <c r="H263" i="11" s="1"/>
  <c r="AE43" i="1"/>
  <c r="G263" i="11" s="1"/>
  <c r="AD43" i="1"/>
  <c r="F263" i="11" s="1"/>
  <c r="AC43" i="1"/>
  <c r="E263" i="11" s="1"/>
  <c r="AB43" i="1"/>
  <c r="D263" i="11" s="1"/>
  <c r="AA43" i="1"/>
  <c r="C263" i="11" s="1"/>
  <c r="BL42" i="1"/>
  <c r="BK42" i="1"/>
  <c r="BJ42" i="1"/>
  <c r="BL41" i="1"/>
  <c r="BK41" i="1"/>
  <c r="BJ41" i="1"/>
  <c r="BL40" i="1"/>
  <c r="BK40" i="1"/>
  <c r="BJ40" i="1"/>
  <c r="BN36" i="1"/>
  <c r="BM36" i="1"/>
  <c r="BQ35" i="9" s="1"/>
  <c r="AU36" i="1"/>
  <c r="AU35" i="9" s="1"/>
  <c r="AT36" i="1"/>
  <c r="AT35" i="9" s="1"/>
  <c r="AS36" i="1"/>
  <c r="AS35" i="9" s="1"/>
  <c r="AR36" i="1"/>
  <c r="AR35" i="9" s="1"/>
  <c r="AQ36" i="1"/>
  <c r="AP36" i="1"/>
  <c r="AO36" i="1"/>
  <c r="AN36" i="1"/>
  <c r="AN35" i="9" s="1"/>
  <c r="AM36" i="1"/>
  <c r="AM35" i="9" s="1"/>
  <c r="AL36" i="1"/>
  <c r="AL35" i="9" s="1"/>
  <c r="AK36" i="1"/>
  <c r="AK35" i="9" s="1"/>
  <c r="AJ36" i="1"/>
  <c r="AJ35" i="9" s="1"/>
  <c r="AI36" i="1"/>
  <c r="AI35" i="9" s="1"/>
  <c r="AH36" i="1"/>
  <c r="AH35" i="9" s="1"/>
  <c r="AG36" i="1"/>
  <c r="AG35" i="9" s="1"/>
  <c r="AF36" i="1"/>
  <c r="AF35" i="9" s="1"/>
  <c r="AE36" i="1"/>
  <c r="AE35" i="9" s="1"/>
  <c r="BN34" i="1"/>
  <c r="BR34" i="9" s="1"/>
  <c r="BM34" i="1"/>
  <c r="AU34" i="1"/>
  <c r="AU34" i="9" s="1"/>
  <c r="AT34" i="1"/>
  <c r="AT34" i="9" s="1"/>
  <c r="AS34" i="1"/>
  <c r="AS34" i="9" s="1"/>
  <c r="AR34" i="1"/>
  <c r="AR34" i="9" s="1"/>
  <c r="AQ34" i="1"/>
  <c r="AQ34" i="9" s="1"/>
  <c r="AP34" i="1"/>
  <c r="AP34" i="9" s="1"/>
  <c r="AO34" i="1"/>
  <c r="AO34" i="9" s="1"/>
  <c r="AN34" i="1"/>
  <c r="AM34" i="1"/>
  <c r="BN31" i="1"/>
  <c r="BR23" i="9" s="1"/>
  <c r="BM31" i="1"/>
  <c r="AU31" i="1"/>
  <c r="AT31" i="1"/>
  <c r="AT23" i="9" s="1"/>
  <c r="AS31" i="1"/>
  <c r="AS23" i="9" s="1"/>
  <c r="AR31" i="1"/>
  <c r="AR23" i="9" s="1"/>
  <c r="AQ31" i="1"/>
  <c r="AQ23" i="9" s="1"/>
  <c r="AP31" i="1"/>
  <c r="AP23" i="9" s="1"/>
  <c r="AO31" i="1"/>
  <c r="Q10" i="11" s="1"/>
  <c r="AN31" i="1"/>
  <c r="P10" i="11" s="1"/>
  <c r="AM31" i="1"/>
  <c r="AM32" i="1" s="1"/>
  <c r="AM24" i="9" s="1"/>
  <c r="AL31" i="1"/>
  <c r="N10" i="11" s="1"/>
  <c r="AK31" i="1"/>
  <c r="M10" i="11" s="1"/>
  <c r="AJ31" i="1"/>
  <c r="L10" i="11" s="1"/>
  <c r="AI31" i="1"/>
  <c r="K10" i="11" s="1"/>
  <c r="AH31" i="1"/>
  <c r="J10" i="11" s="1"/>
  <c r="AG31" i="1"/>
  <c r="I10" i="11" s="1"/>
  <c r="AF31" i="1"/>
  <c r="AF23" i="9" s="1"/>
  <c r="AE31" i="1"/>
  <c r="G10" i="11" s="1"/>
  <c r="BL30" i="1"/>
  <c r="AR211" i="11" s="1"/>
  <c r="BK30" i="1"/>
  <c r="AX30" i="1"/>
  <c r="AX22" i="9" s="1"/>
  <c r="AW30" i="1"/>
  <c r="AW22" i="9" s="1"/>
  <c r="AV30" i="1"/>
  <c r="AZ22" i="9" s="1"/>
  <c r="BL29" i="1"/>
  <c r="AR210" i="11" s="1"/>
  <c r="BK29" i="1"/>
  <c r="AQ210" i="11" s="1"/>
  <c r="BK25" i="1"/>
  <c r="BJ25" i="1"/>
  <c r="BI25" i="1"/>
  <c r="BH25" i="1"/>
  <c r="BG25" i="1"/>
  <c r="BF25" i="1"/>
  <c r="AH25" i="1"/>
  <c r="AG25" i="1"/>
  <c r="AF25" i="1"/>
  <c r="AE25" i="1"/>
  <c r="AD25" i="1"/>
  <c r="AC25" i="1"/>
  <c r="AB25" i="1"/>
  <c r="AA25" i="1"/>
  <c r="Z25" i="1"/>
  <c r="Y25" i="1"/>
  <c r="X25" i="1"/>
  <c r="W25" i="1"/>
  <c r="V25" i="1"/>
  <c r="U25" i="1"/>
  <c r="T25" i="1"/>
  <c r="S25" i="1"/>
  <c r="R25" i="1"/>
  <c r="Q25" i="1"/>
  <c r="P25" i="1"/>
  <c r="O25" i="1"/>
  <c r="N25" i="1"/>
  <c r="M25" i="1"/>
  <c r="L25" i="1"/>
  <c r="K25" i="1"/>
  <c r="BK24" i="1"/>
  <c r="BJ24" i="1"/>
  <c r="BI24" i="1"/>
  <c r="BH24" i="1"/>
  <c r="BG24" i="1"/>
  <c r="BF24" i="1"/>
  <c r="AH24" i="1"/>
  <c r="AG24" i="1"/>
  <c r="AF24" i="1"/>
  <c r="AE24" i="1"/>
  <c r="AD24" i="1"/>
  <c r="AC24" i="1"/>
  <c r="AB24" i="1"/>
  <c r="AA24" i="1"/>
  <c r="Z24" i="1"/>
  <c r="Y24" i="1"/>
  <c r="X24" i="1"/>
  <c r="W24" i="1"/>
  <c r="V24" i="1"/>
  <c r="U24" i="1"/>
  <c r="T24" i="1"/>
  <c r="S24" i="1"/>
  <c r="R24" i="1"/>
  <c r="Q24" i="1"/>
  <c r="P24" i="1"/>
  <c r="O24" i="1"/>
  <c r="N24" i="1"/>
  <c r="M24" i="1"/>
  <c r="L24" i="1"/>
  <c r="K24" i="1"/>
  <c r="BK21" i="1"/>
  <c r="BJ21" i="1"/>
  <c r="BI21" i="1"/>
  <c r="BH21" i="1"/>
  <c r="BG21" i="1"/>
  <c r="BF21" i="1"/>
  <c r="AG21" i="1"/>
  <c r="AF21" i="1"/>
  <c r="AE21" i="1"/>
  <c r="AC21" i="1"/>
  <c r="AB21" i="1"/>
  <c r="AA21" i="1"/>
  <c r="Y21" i="1"/>
  <c r="X21" i="1"/>
  <c r="W21" i="1"/>
  <c r="U21" i="1"/>
  <c r="T21" i="1"/>
  <c r="S21" i="1"/>
  <c r="R21" i="1"/>
  <c r="Q21" i="1"/>
  <c r="P21" i="1"/>
  <c r="O21" i="1"/>
  <c r="N21" i="1"/>
  <c r="M21" i="1"/>
  <c r="L21" i="1"/>
  <c r="K21" i="1"/>
  <c r="BK19" i="1"/>
  <c r="BJ19" i="1"/>
  <c r="BI19" i="1"/>
  <c r="BH19" i="1"/>
  <c r="BG19" i="1"/>
  <c r="BF19" i="1"/>
  <c r="AG19" i="1"/>
  <c r="AF19" i="1"/>
  <c r="AE19" i="1"/>
  <c r="AC19" i="1"/>
  <c r="AB19" i="1"/>
  <c r="AA19" i="1"/>
  <c r="Y19" i="1"/>
  <c r="X19" i="1"/>
  <c r="W19" i="1"/>
  <c r="U19" i="1"/>
  <c r="T19" i="1"/>
  <c r="S19" i="1"/>
  <c r="R19" i="1"/>
  <c r="Q19" i="1"/>
  <c r="P19" i="1"/>
  <c r="O19" i="1"/>
  <c r="N19" i="1"/>
  <c r="M19" i="1"/>
  <c r="L19" i="1"/>
  <c r="K19" i="1"/>
  <c r="BK18" i="1"/>
  <c r="BJ18" i="1"/>
  <c r="BI18" i="1"/>
  <c r="BH18" i="1"/>
  <c r="BG18" i="1"/>
  <c r="BF18" i="1"/>
  <c r="AG18" i="1"/>
  <c r="AF18" i="1"/>
  <c r="AE18" i="1"/>
  <c r="AC18" i="1"/>
  <c r="AB18" i="1"/>
  <c r="AA18" i="1"/>
  <c r="Y18" i="1"/>
  <c r="X18" i="1"/>
  <c r="W18" i="1"/>
  <c r="U18" i="1"/>
  <c r="T18" i="1"/>
  <c r="S18" i="1"/>
  <c r="R18" i="1"/>
  <c r="Q18" i="1"/>
  <c r="P18" i="1"/>
  <c r="O18" i="1"/>
  <c r="N18" i="1"/>
  <c r="M18" i="1"/>
  <c r="L18" i="1"/>
  <c r="K18" i="1"/>
  <c r="BK17" i="1"/>
  <c r="BJ17" i="1"/>
  <c r="BI17" i="1"/>
  <c r="BH17" i="1"/>
  <c r="BG17" i="1"/>
  <c r="BF17" i="1"/>
  <c r="AG17" i="1"/>
  <c r="AF17" i="1"/>
  <c r="AE17" i="1"/>
  <c r="AC17" i="1"/>
  <c r="AB17" i="1"/>
  <c r="AA17" i="1"/>
  <c r="Y17" i="1"/>
  <c r="X17" i="1"/>
  <c r="W17" i="1"/>
  <c r="U17" i="1"/>
  <c r="T17" i="1"/>
  <c r="S17" i="1"/>
  <c r="R17" i="1"/>
  <c r="Q17" i="1"/>
  <c r="P17" i="1"/>
  <c r="O17" i="1"/>
  <c r="N17" i="1"/>
  <c r="M17" i="1"/>
  <c r="L17" i="1"/>
  <c r="K17" i="1"/>
  <c r="BN14" i="1"/>
  <c r="BR27" i="9" s="1"/>
  <c r="BM14" i="1"/>
  <c r="BQ27" i="9" s="1"/>
  <c r="BL14" i="1"/>
  <c r="BP27" i="9" s="1"/>
  <c r="BK14" i="1"/>
  <c r="BO27" i="9" s="1"/>
  <c r="AU14" i="1"/>
  <c r="AU27" i="9" s="1"/>
  <c r="AT14" i="1"/>
  <c r="AT27" i="9" s="1"/>
  <c r="AS14" i="1"/>
  <c r="AS27" i="9" s="1"/>
  <c r="AR14" i="1"/>
  <c r="AR27" i="9" s="1"/>
  <c r="AQ14" i="1"/>
  <c r="AQ27" i="9" s="1"/>
  <c r="AP14" i="1"/>
  <c r="AP27" i="9" s="1"/>
  <c r="AO14" i="1"/>
  <c r="AO27" i="9" s="1"/>
  <c r="AN14" i="1"/>
  <c r="AN27" i="9" s="1"/>
  <c r="AM14" i="1"/>
  <c r="AM27" i="9" s="1"/>
  <c r="AL14" i="1"/>
  <c r="AL27" i="9" s="1"/>
  <c r="AK14" i="1"/>
  <c r="AK27" i="9" s="1"/>
  <c r="AJ14" i="1"/>
  <c r="AJ27" i="9" s="1"/>
  <c r="AI14" i="1"/>
  <c r="AI27" i="9" s="1"/>
  <c r="AH14" i="1"/>
  <c r="AH27" i="9" s="1"/>
  <c r="AG14" i="1"/>
  <c r="AG27" i="9" s="1"/>
  <c r="AF14" i="1"/>
  <c r="AF27" i="9" s="1"/>
  <c r="AE14" i="1"/>
  <c r="AE27" i="9" s="1"/>
  <c r="BN13" i="1"/>
  <c r="BR26" i="9" s="1"/>
  <c r="BM13" i="1"/>
  <c r="BQ26" i="9" s="1"/>
  <c r="BL13" i="1"/>
  <c r="BP26" i="9" s="1"/>
  <c r="BK13" i="1"/>
  <c r="BO26" i="9" s="1"/>
  <c r="AU13" i="1"/>
  <c r="AU26" i="9" s="1"/>
  <c r="AT13" i="1"/>
  <c r="AT26" i="9" s="1"/>
  <c r="AS13" i="1"/>
  <c r="AS26" i="9" s="1"/>
  <c r="AR13" i="1"/>
  <c r="AR26" i="9" s="1"/>
  <c r="AQ13" i="1"/>
  <c r="AQ26" i="9" s="1"/>
  <c r="AP13" i="1"/>
  <c r="AP26" i="9" s="1"/>
  <c r="AO13" i="1"/>
  <c r="AO26" i="9" s="1"/>
  <c r="AN13" i="1"/>
  <c r="AN26" i="9" s="1"/>
  <c r="AM13" i="1"/>
  <c r="AM26" i="9" s="1"/>
  <c r="AL13" i="1"/>
  <c r="AL26" i="9" s="1"/>
  <c r="AK13" i="1"/>
  <c r="AK26" i="9" s="1"/>
  <c r="AJ13" i="1"/>
  <c r="AJ26" i="9" s="1"/>
  <c r="AI13" i="1"/>
  <c r="AI26" i="9" s="1"/>
  <c r="AH13" i="1"/>
  <c r="AH26" i="9" s="1"/>
  <c r="AG13" i="1"/>
  <c r="AG26" i="9" s="1"/>
  <c r="AF13" i="1"/>
  <c r="AF26" i="9" s="1"/>
  <c r="AE13" i="1"/>
  <c r="AE26" i="9" s="1"/>
  <c r="BN9" i="1"/>
  <c r="BR16" i="9" s="1"/>
  <c r="AU9" i="1"/>
  <c r="AU16" i="9" s="1"/>
  <c r="AT9" i="1"/>
  <c r="AT16" i="9" s="1"/>
  <c r="AS9" i="1"/>
  <c r="AS16" i="9" s="1"/>
  <c r="AR9" i="1"/>
  <c r="AR16" i="9" s="1"/>
  <c r="AQ9" i="1"/>
  <c r="AQ16" i="9" s="1"/>
  <c r="AP9" i="1"/>
  <c r="AP16" i="9" s="1"/>
  <c r="AO9" i="1"/>
  <c r="AO16" i="9" s="1"/>
  <c r="AN9" i="1"/>
  <c r="AN16" i="9" s="1"/>
  <c r="AM9" i="1"/>
  <c r="AM16" i="9" s="1"/>
  <c r="AL9" i="1"/>
  <c r="AL16" i="9" s="1"/>
  <c r="AK9" i="1"/>
  <c r="AK16" i="9" s="1"/>
  <c r="BN8" i="1"/>
  <c r="BR15" i="9" s="1"/>
  <c r="AU8" i="1"/>
  <c r="AU15" i="9" s="1"/>
  <c r="AT8" i="1"/>
  <c r="AT15" i="9" s="1"/>
  <c r="AS8" i="1"/>
  <c r="AS15" i="9" s="1"/>
  <c r="AR8" i="1"/>
  <c r="AR15" i="9" s="1"/>
  <c r="AQ8" i="1"/>
  <c r="AQ15" i="9" s="1"/>
  <c r="AP8" i="1"/>
  <c r="AP15" i="9" s="1"/>
  <c r="AO8" i="1"/>
  <c r="AO15" i="9" s="1"/>
  <c r="AN8" i="1"/>
  <c r="AN15" i="9" s="1"/>
  <c r="AM8" i="1"/>
  <c r="AM15" i="9" s="1"/>
  <c r="AL8" i="1"/>
  <c r="AL15" i="9" s="1"/>
  <c r="AK8" i="1"/>
  <c r="AK15" i="9" s="1"/>
  <c r="AJ8" i="1"/>
  <c r="AJ15" i="9" s="1"/>
  <c r="AI8" i="1"/>
  <c r="AI15" i="9" s="1"/>
  <c r="BN7" i="1"/>
  <c r="BR14" i="9" s="1"/>
  <c r="AU7" i="1"/>
  <c r="AU14" i="9" s="1"/>
  <c r="AT7" i="1"/>
  <c r="AT14" i="9" s="1"/>
  <c r="AS7" i="1"/>
  <c r="AS14" i="9" s="1"/>
  <c r="AR7" i="1"/>
  <c r="AR14" i="9" s="1"/>
  <c r="AQ7" i="1"/>
  <c r="AQ14" i="9" s="1"/>
  <c r="BA5" i="1"/>
  <c r="A5" i="1"/>
  <c r="BA4" i="1"/>
  <c r="A4" i="1"/>
  <c r="AZ2" i="1"/>
  <c r="AZ3" i="1" s="1"/>
  <c r="AZ678" i="1" s="1"/>
  <c r="H13" i="7"/>
  <c r="H11" i="7"/>
  <c r="H9" i="7"/>
  <c r="N173" i="11" l="1"/>
  <c r="O174" i="11"/>
  <c r="R174" i="11"/>
  <c r="S174" i="11"/>
  <c r="R173" i="11"/>
  <c r="BA3" i="1"/>
  <c r="BA678" i="1" s="1"/>
  <c r="F350" i="11"/>
  <c r="F351" i="11" s="1"/>
  <c r="V350" i="11"/>
  <c r="V351" i="11" s="1"/>
  <c r="J363" i="11"/>
  <c r="J350" i="11"/>
  <c r="J351" i="11" s="1"/>
  <c r="N350" i="11"/>
  <c r="N351" i="11" s="1"/>
  <c r="R339" i="11"/>
  <c r="AS339" i="11" s="1"/>
  <c r="R346" i="11"/>
  <c r="R347" i="11" s="1"/>
  <c r="V339" i="11"/>
  <c r="AT339" i="11" s="1"/>
  <c r="V346" i="11"/>
  <c r="V347" i="11" s="1"/>
  <c r="F363" i="11"/>
  <c r="R363" i="11"/>
  <c r="R350" i="11"/>
  <c r="R351" i="11" s="1"/>
  <c r="X404" i="11"/>
  <c r="Y404" i="11" s="1"/>
  <c r="Z404" i="11" s="1"/>
  <c r="X402" i="11"/>
  <c r="Y402" i="11" s="1"/>
  <c r="Z402" i="11" s="1"/>
  <c r="X451" i="11"/>
  <c r="X101" i="11" s="1"/>
  <c r="X405" i="11"/>
  <c r="Y405" i="11" s="1"/>
  <c r="X403" i="11"/>
  <c r="Y403" i="11" s="1"/>
  <c r="X398" i="11"/>
  <c r="Y398" i="11" s="1"/>
  <c r="Z398" i="11" s="1"/>
  <c r="X380" i="11"/>
  <c r="Y380" i="11" s="1"/>
  <c r="X397" i="11"/>
  <c r="Y397" i="11" s="1"/>
  <c r="X406" i="11"/>
  <c r="Y406" i="11" s="1"/>
  <c r="X433" i="11"/>
  <c r="Y433" i="11" s="1"/>
  <c r="W74" i="11"/>
  <c r="W58" i="11"/>
  <c r="X414" i="11"/>
  <c r="BG4" i="9"/>
  <c r="BH99" i="9"/>
  <c r="AM74" i="11"/>
  <c r="AM84" i="11" s="1"/>
  <c r="AJ74" i="11"/>
  <c r="AJ84" i="11" s="1"/>
  <c r="J71" i="11"/>
  <c r="J236" i="11"/>
  <c r="H71" i="11"/>
  <c r="H236" i="11"/>
  <c r="U71" i="11"/>
  <c r="U236" i="11"/>
  <c r="O71" i="11"/>
  <c r="O236" i="11"/>
  <c r="S71" i="11"/>
  <c r="S236" i="11"/>
  <c r="N71" i="11"/>
  <c r="N236" i="11"/>
  <c r="I71" i="11"/>
  <c r="I236" i="11"/>
  <c r="T71" i="11"/>
  <c r="T236" i="11"/>
  <c r="R71" i="11"/>
  <c r="R236" i="11"/>
  <c r="K71" i="11"/>
  <c r="K236" i="11"/>
  <c r="AO74" i="11"/>
  <c r="C41" i="15" s="1"/>
  <c r="V71" i="11"/>
  <c r="V236" i="11"/>
  <c r="L71" i="11"/>
  <c r="L236" i="11"/>
  <c r="W71" i="11"/>
  <c r="AU71" i="11" s="1"/>
  <c r="W236" i="11"/>
  <c r="AU236" i="11" s="1"/>
  <c r="M71" i="11"/>
  <c r="M236" i="11"/>
  <c r="P71" i="11"/>
  <c r="P236" i="11"/>
  <c r="G71" i="11"/>
  <c r="G236" i="11"/>
  <c r="Q71" i="11"/>
  <c r="Q236" i="11"/>
  <c r="AL74" i="11"/>
  <c r="AL84" i="11" s="1"/>
  <c r="AM60" i="11"/>
  <c r="AM61" i="11" s="1"/>
  <c r="AJ420" i="11"/>
  <c r="AJ437" i="11" s="1"/>
  <c r="AJ103" i="11"/>
  <c r="AN444" i="11"/>
  <c r="AN100" i="11"/>
  <c r="AO451" i="11"/>
  <c r="AO101" i="11"/>
  <c r="BO85" i="9"/>
  <c r="BK9" i="9"/>
  <c r="AK420" i="11"/>
  <c r="AK437" i="11" s="1"/>
  <c r="AK103" i="11"/>
  <c r="AO444" i="11"/>
  <c r="AO100" i="11"/>
  <c r="AL420" i="11"/>
  <c r="AL437" i="11" s="1"/>
  <c r="AL103" i="11"/>
  <c r="AK74" i="11"/>
  <c r="AK84" i="11" s="1"/>
  <c r="BG52" i="9"/>
  <c r="AM78" i="11"/>
  <c r="AM420" i="11"/>
  <c r="AM437" i="11" s="1"/>
  <c r="AM103" i="11"/>
  <c r="AJ451" i="11"/>
  <c r="AJ101" i="11"/>
  <c r="BH52" i="9"/>
  <c r="AN78" i="11"/>
  <c r="AN420" i="11"/>
  <c r="AN437" i="11" s="1"/>
  <c r="AN103" i="11"/>
  <c r="AJ444" i="11"/>
  <c r="AJ100" i="11"/>
  <c r="AK451" i="11"/>
  <c r="AK101" i="11"/>
  <c r="BI52" i="9"/>
  <c r="AO78" i="11"/>
  <c r="AO420" i="11"/>
  <c r="AO437" i="11" s="1"/>
  <c r="AO103" i="11"/>
  <c r="AK444" i="11"/>
  <c r="AK100" i="11"/>
  <c r="AL451" i="11"/>
  <c r="AL101" i="11"/>
  <c r="AN74" i="11"/>
  <c r="AN84" i="11" s="1"/>
  <c r="AP420" i="11"/>
  <c r="AP437" i="11" s="1"/>
  <c r="AP103" i="11"/>
  <c r="AL444" i="11"/>
  <c r="AL100" i="11"/>
  <c r="AM451" i="11"/>
  <c r="AM101" i="11"/>
  <c r="AM444" i="11"/>
  <c r="AM100" i="11"/>
  <c r="AN451" i="11"/>
  <c r="AN101" i="11"/>
  <c r="AN60" i="11"/>
  <c r="AN61" i="11" s="1"/>
  <c r="AO60" i="11"/>
  <c r="C29" i="15" s="1"/>
  <c r="C30" i="15" s="1"/>
  <c r="AJ60" i="11"/>
  <c r="AK60" i="11"/>
  <c r="AL60" i="11"/>
  <c r="BJ45" i="9"/>
  <c r="BF9" i="9"/>
  <c r="BJ40" i="9"/>
  <c r="BD48" i="9"/>
  <c r="AR261" i="11"/>
  <c r="BF113" i="9"/>
  <c r="BL4" i="9"/>
  <c r="BG113" i="9"/>
  <c r="BM4" i="9"/>
  <c r="BN4" i="9"/>
  <c r="BL85" i="9"/>
  <c r="BG39" i="9"/>
  <c r="BF40" i="9"/>
  <c r="BD45" i="9"/>
  <c r="BD49" i="9"/>
  <c r="BN52" i="9"/>
  <c r="BG40" i="9"/>
  <c r="BE49" i="9"/>
  <c r="BM85" i="9"/>
  <c r="BI99" i="9"/>
  <c r="BH40" i="9"/>
  <c r="BF49" i="9"/>
  <c r="BN85" i="9"/>
  <c r="BI40" i="9"/>
  <c r="BG49" i="9"/>
  <c r="R313" i="11"/>
  <c r="AH437" i="11"/>
  <c r="H266" i="11"/>
  <c r="N218" i="11"/>
  <c r="N221" i="11" s="1"/>
  <c r="N234" i="11" s="1"/>
  <c r="BH39" i="9"/>
  <c r="BE45" i="9"/>
  <c r="BJ39" i="9"/>
  <c r="BG45" i="9"/>
  <c r="BL39" i="9"/>
  <c r="BI45" i="9"/>
  <c r="BE9" i="9"/>
  <c r="D266" i="11"/>
  <c r="I266" i="11"/>
  <c r="BD40" i="9"/>
  <c r="BJ85" i="9"/>
  <c r="BN9" i="9"/>
  <c r="K266" i="11"/>
  <c r="BE40" i="9"/>
  <c r="BK85" i="9"/>
  <c r="BI113" i="9"/>
  <c r="M266" i="11"/>
  <c r="BJ113" i="9"/>
  <c r="G56" i="11"/>
  <c r="G412" i="11"/>
  <c r="BO459" i="1"/>
  <c r="W421" i="11"/>
  <c r="Z421" i="11" s="1"/>
  <c r="Q102" i="11"/>
  <c r="Q458" i="11"/>
  <c r="AZ88" i="1"/>
  <c r="AZ87" i="1" s="1"/>
  <c r="AF382" i="11"/>
  <c r="BK203" i="1"/>
  <c r="BK174" i="1" s="1"/>
  <c r="BK179" i="1" s="1"/>
  <c r="AQ383" i="11"/>
  <c r="AQ235" i="11" s="1"/>
  <c r="BC214" i="1"/>
  <c r="BC213" i="1" s="1"/>
  <c r="AI385" i="11"/>
  <c r="BA88" i="1"/>
  <c r="BA87" i="1" s="1"/>
  <c r="AG382" i="11"/>
  <c r="BL203" i="1"/>
  <c r="BL138" i="1" s="1"/>
  <c r="AR383" i="11"/>
  <c r="AR235" i="11" s="1"/>
  <c r="BD214" i="1"/>
  <c r="BD213" i="1" s="1"/>
  <c r="BD46" i="9" s="1"/>
  <c r="AJ385" i="11"/>
  <c r="H56" i="11"/>
  <c r="H412" i="11"/>
  <c r="C58" i="11"/>
  <c r="C414" i="11"/>
  <c r="S102" i="11"/>
  <c r="S458" i="11"/>
  <c r="R218" i="11"/>
  <c r="R221" i="11" s="1"/>
  <c r="R234" i="11" s="1"/>
  <c r="AT214" i="1"/>
  <c r="AT213" i="1" s="1"/>
  <c r="AT46" i="9" s="1"/>
  <c r="V385" i="11"/>
  <c r="AP218" i="1"/>
  <c r="AP48" i="9" s="1"/>
  <c r="R230" i="11"/>
  <c r="BP48" i="9"/>
  <c r="BB88" i="1"/>
  <c r="BB87" i="1" s="1"/>
  <c r="AH382" i="11"/>
  <c r="BM203" i="1"/>
  <c r="BM138" i="1" s="1"/>
  <c r="AS383" i="11"/>
  <c r="AS235" i="11" s="1"/>
  <c r="BE214" i="1"/>
  <c r="BE213" i="1" s="1"/>
  <c r="AK385" i="11"/>
  <c r="BO429" i="1"/>
  <c r="W390" i="11"/>
  <c r="Z390" i="11" s="1"/>
  <c r="I56" i="11"/>
  <c r="I412" i="11"/>
  <c r="D58" i="11"/>
  <c r="D414" i="11"/>
  <c r="T102" i="11"/>
  <c r="T458" i="11"/>
  <c r="AD286" i="1"/>
  <c r="F314" i="11"/>
  <c r="AD324" i="1"/>
  <c r="F321" i="11"/>
  <c r="BC88" i="1"/>
  <c r="BC177" i="1" s="1"/>
  <c r="AI382" i="11"/>
  <c r="BN203" i="1"/>
  <c r="BN174" i="1" s="1"/>
  <c r="BN179" i="1" s="1"/>
  <c r="AT383" i="11"/>
  <c r="AT235" i="11" s="1"/>
  <c r="BF214" i="1"/>
  <c r="BF213" i="1" s="1"/>
  <c r="BF46" i="9" s="1"/>
  <c r="AL385" i="11"/>
  <c r="BO446" i="1"/>
  <c r="W407" i="11"/>
  <c r="Z407" i="11" s="1"/>
  <c r="K56" i="11"/>
  <c r="K412" i="11"/>
  <c r="E58" i="11"/>
  <c r="E414" i="11"/>
  <c r="BO469" i="1"/>
  <c r="W429" i="11"/>
  <c r="Z429" i="11" s="1"/>
  <c r="BO486" i="1"/>
  <c r="W446" i="11"/>
  <c r="Z446" i="11" s="1"/>
  <c r="U102" i="11"/>
  <c r="U458" i="11"/>
  <c r="AH286" i="1"/>
  <c r="J314" i="11"/>
  <c r="AH324" i="1"/>
  <c r="J321" i="11"/>
  <c r="AH209" i="1"/>
  <c r="J225" i="11"/>
  <c r="BI39" i="9"/>
  <c r="BF45" i="9"/>
  <c r="N56" i="11"/>
  <c r="N412" i="11"/>
  <c r="BD88" i="1"/>
  <c r="BD177" i="1" s="1"/>
  <c r="AJ382" i="11"/>
  <c r="AJ72" i="11" s="1"/>
  <c r="AJ35" i="11" s="1"/>
  <c r="AC203" i="1"/>
  <c r="AC174" i="1" s="1"/>
  <c r="AC179" i="1" s="1"/>
  <c r="BG214" i="1"/>
  <c r="BG213" i="1" s="1"/>
  <c r="BG46" i="9" s="1"/>
  <c r="AM385" i="11"/>
  <c r="L56" i="11"/>
  <c r="L412" i="11"/>
  <c r="G58" i="11"/>
  <c r="G414" i="11"/>
  <c r="BO464" i="1"/>
  <c r="W417" i="11"/>
  <c r="Z417" i="11" s="1"/>
  <c r="W102" i="11"/>
  <c r="AU102" i="11" s="1"/>
  <c r="W458" i="11"/>
  <c r="Z458" i="11" s="1"/>
  <c r="AL324" i="1"/>
  <c r="N321" i="11"/>
  <c r="BF85" i="9"/>
  <c r="AD203" i="1"/>
  <c r="AD174" i="1" s="1"/>
  <c r="AD179" i="1" s="1"/>
  <c r="BE88" i="1"/>
  <c r="BE177" i="1" s="1"/>
  <c r="AK382" i="11"/>
  <c r="AK72" i="11" s="1"/>
  <c r="AK35" i="11" s="1"/>
  <c r="AE203" i="1"/>
  <c r="AE174" i="1" s="1"/>
  <c r="AE179" i="1" s="1"/>
  <c r="G235" i="11"/>
  <c r="BH214" i="1"/>
  <c r="BH213" i="1" s="1"/>
  <c r="AN385" i="11"/>
  <c r="M56" i="11"/>
  <c r="M412" i="11"/>
  <c r="H58" i="11"/>
  <c r="H414" i="11"/>
  <c r="BO483" i="1"/>
  <c r="W443" i="11"/>
  <c r="Z443" i="11" s="1"/>
  <c r="AZ267" i="1"/>
  <c r="AF458" i="11"/>
  <c r="AF459" i="11" s="1"/>
  <c r="AP324" i="1"/>
  <c r="R321" i="11"/>
  <c r="AP167" i="1"/>
  <c r="R225" i="11"/>
  <c r="BK39" i="9"/>
  <c r="BH45" i="9"/>
  <c r="BD9" i="9"/>
  <c r="AH203" i="1"/>
  <c r="J48" i="11" s="1"/>
  <c r="J88" i="11" s="1"/>
  <c r="J235" i="11"/>
  <c r="J240" i="11" s="1"/>
  <c r="BF88" i="1"/>
  <c r="BF87" i="1" s="1"/>
  <c r="AL382" i="11"/>
  <c r="AF203" i="1"/>
  <c r="H48" i="11" s="1"/>
  <c r="H88" i="11" s="1"/>
  <c r="H235" i="11"/>
  <c r="BI214" i="1"/>
  <c r="BI213" i="1" s="1"/>
  <c r="AO385" i="11"/>
  <c r="I58" i="11"/>
  <c r="I414" i="11"/>
  <c r="BO472" i="1"/>
  <c r="W432" i="11"/>
  <c r="Z432" i="11" s="1"/>
  <c r="BA267" i="1"/>
  <c r="AG458" i="11"/>
  <c r="AG459" i="11" s="1"/>
  <c r="J313" i="11"/>
  <c r="AT324" i="1"/>
  <c r="V321" i="11"/>
  <c r="AL203" i="1"/>
  <c r="N48" i="11" s="1"/>
  <c r="N88" i="11" s="1"/>
  <c r="N235" i="11"/>
  <c r="N240" i="11" s="1"/>
  <c r="BG88" i="1"/>
  <c r="BG177" i="1" s="1"/>
  <c r="AM382" i="11"/>
  <c r="AG203" i="1"/>
  <c r="I48" i="11" s="1"/>
  <c r="I88" i="11" s="1"/>
  <c r="I235" i="11"/>
  <c r="BJ214" i="1"/>
  <c r="BJ213" i="1" s="1"/>
  <c r="BJ46" i="9" s="1"/>
  <c r="AP385" i="11"/>
  <c r="P56" i="11"/>
  <c r="P412" i="11"/>
  <c r="K58" i="11"/>
  <c r="K414" i="11"/>
  <c r="BO455" i="1"/>
  <c r="W415" i="11"/>
  <c r="Z415" i="11" s="1"/>
  <c r="BB267" i="1"/>
  <c r="AH458" i="11"/>
  <c r="AH459" i="11" s="1"/>
  <c r="AE558" i="1"/>
  <c r="G288" i="11"/>
  <c r="G346" i="11" s="1"/>
  <c r="G347" i="11" s="1"/>
  <c r="G353" i="11" s="1"/>
  <c r="AD285" i="1"/>
  <c r="F309" i="11"/>
  <c r="F313" i="11" s="1"/>
  <c r="N313" i="11"/>
  <c r="BH88" i="1"/>
  <c r="BH87" i="1" s="1"/>
  <c r="AN382" i="11"/>
  <c r="AI203" i="1"/>
  <c r="K48" i="11" s="1"/>
  <c r="K88" i="11" s="1"/>
  <c r="K235" i="11"/>
  <c r="BK214" i="1"/>
  <c r="BK213" i="1" s="1"/>
  <c r="AQ385" i="11"/>
  <c r="BO431" i="1"/>
  <c r="W392" i="11"/>
  <c r="Z392" i="11" s="1"/>
  <c r="Q56" i="11"/>
  <c r="Q412" i="11"/>
  <c r="L58" i="11"/>
  <c r="L414" i="11"/>
  <c r="BO476" i="1"/>
  <c r="W436" i="11"/>
  <c r="Z436" i="11" s="1"/>
  <c r="BO494" i="1"/>
  <c r="W454" i="11"/>
  <c r="Z454" i="11" s="1"/>
  <c r="BC267" i="1"/>
  <c r="AI458" i="11"/>
  <c r="AI459" i="11" s="1"/>
  <c r="AF558" i="1"/>
  <c r="H288" i="11"/>
  <c r="H346" i="11" s="1"/>
  <c r="H347" i="11" s="1"/>
  <c r="H353" i="11" s="1"/>
  <c r="C266" i="11"/>
  <c r="F24" i="11"/>
  <c r="AP24" i="11" s="1"/>
  <c r="F217" i="11"/>
  <c r="BN39" i="9"/>
  <c r="BK45" i="9"/>
  <c r="BG9" i="9"/>
  <c r="BI88" i="1"/>
  <c r="BI177" i="1" s="1"/>
  <c r="AO382" i="11"/>
  <c r="AJ203" i="1"/>
  <c r="L48" i="11" s="1"/>
  <c r="L88" i="11" s="1"/>
  <c r="L235" i="11"/>
  <c r="BO423" i="1"/>
  <c r="W384" i="11"/>
  <c r="Z384" i="11" s="1"/>
  <c r="BL214" i="1"/>
  <c r="BL213" i="1" s="1"/>
  <c r="AR385" i="11"/>
  <c r="BO426" i="1"/>
  <c r="W387" i="11"/>
  <c r="BO438" i="1"/>
  <c r="W399" i="11"/>
  <c r="Z399" i="11" s="1"/>
  <c r="M58" i="11"/>
  <c r="M414" i="11"/>
  <c r="BO471" i="1"/>
  <c r="W431" i="11"/>
  <c r="Z431" i="11" s="1"/>
  <c r="BO488" i="1"/>
  <c r="W448" i="11"/>
  <c r="Z448" i="11" s="1"/>
  <c r="BD267" i="1"/>
  <c r="AJ458" i="11"/>
  <c r="AG558" i="1"/>
  <c r="I288" i="11"/>
  <c r="I346" i="11" s="1"/>
  <c r="I347" i="11" s="1"/>
  <c r="I353" i="11" s="1"/>
  <c r="V313" i="11"/>
  <c r="BJ88" i="1"/>
  <c r="BJ177" i="1" s="1"/>
  <c r="AP382" i="11"/>
  <c r="AP238" i="11" s="1"/>
  <c r="AK203" i="1"/>
  <c r="M48" i="11" s="1"/>
  <c r="M88" i="11" s="1"/>
  <c r="M235" i="11"/>
  <c r="BO466" i="1"/>
  <c r="W426" i="11"/>
  <c r="Z426" i="11" s="1"/>
  <c r="BE267" i="1"/>
  <c r="AK458" i="11"/>
  <c r="AI558" i="1"/>
  <c r="K288" i="11"/>
  <c r="K346" i="11" s="1"/>
  <c r="K347" i="11" s="1"/>
  <c r="K353" i="11" s="1"/>
  <c r="F102" i="11"/>
  <c r="F458" i="11"/>
  <c r="BM214" i="1"/>
  <c r="BM213" i="1" s="1"/>
  <c r="BM46" i="9" s="1"/>
  <c r="AS385" i="11"/>
  <c r="T56" i="11"/>
  <c r="T412" i="11"/>
  <c r="O58" i="11"/>
  <c r="O414" i="11"/>
  <c r="E266" i="11"/>
  <c r="BM45" i="9"/>
  <c r="BI9" i="9"/>
  <c r="J102" i="11"/>
  <c r="J458" i="11"/>
  <c r="BK88" i="1"/>
  <c r="BK87" i="1" s="1"/>
  <c r="AQ382" i="11"/>
  <c r="AQ238" i="11" s="1"/>
  <c r="AM203" i="1"/>
  <c r="O48" i="11" s="1"/>
  <c r="O88" i="11" s="1"/>
  <c r="O235" i="11"/>
  <c r="BN214" i="1"/>
  <c r="BN213" i="1" s="1"/>
  <c r="AT385" i="11"/>
  <c r="U56" i="11"/>
  <c r="U412" i="11"/>
  <c r="P58" i="11"/>
  <c r="P414" i="11"/>
  <c r="BF267" i="1"/>
  <c r="BF74" i="9" s="1"/>
  <c r="AL458" i="11"/>
  <c r="AJ558" i="1"/>
  <c r="L288" i="11"/>
  <c r="L346" i="11" s="1"/>
  <c r="L347" i="11" s="1"/>
  <c r="L353" i="11" s="1"/>
  <c r="AD322" i="1"/>
  <c r="F332" i="11"/>
  <c r="F333" i="11" s="1"/>
  <c r="AP203" i="1"/>
  <c r="R48" i="11" s="1"/>
  <c r="R88" i="11" s="1"/>
  <c r="R235" i="11"/>
  <c r="R240" i="11" s="1"/>
  <c r="F266" i="11"/>
  <c r="N102" i="11"/>
  <c r="N458" i="11"/>
  <c r="BL88" i="1"/>
  <c r="BL87" i="1" s="1"/>
  <c r="AR382" i="11"/>
  <c r="AR238" i="11" s="1"/>
  <c r="AN203" i="1"/>
  <c r="P48" i="11" s="1"/>
  <c r="P88" i="11" s="1"/>
  <c r="P235" i="11"/>
  <c r="W412" i="11"/>
  <c r="BG267" i="1"/>
  <c r="BG74" i="9" s="1"/>
  <c r="AM458" i="11"/>
  <c r="AK558" i="1"/>
  <c r="M288" i="11"/>
  <c r="M346" i="11" s="1"/>
  <c r="M347" i="11" s="1"/>
  <c r="M353" i="11" s="1"/>
  <c r="AH322" i="1"/>
  <c r="J332" i="11"/>
  <c r="J333" i="11" s="1"/>
  <c r="R102" i="11"/>
  <c r="R458" i="11"/>
  <c r="BM88" i="1"/>
  <c r="BM87" i="1" s="1"/>
  <c r="AS382" i="11"/>
  <c r="AS238" i="11" s="1"/>
  <c r="AO203" i="1"/>
  <c r="Q48" i="11" s="1"/>
  <c r="Q88" i="11" s="1"/>
  <c r="Q235" i="11"/>
  <c r="AA214" i="1"/>
  <c r="AA213" i="1" s="1"/>
  <c r="AA46" i="9" s="1"/>
  <c r="AF437" i="11"/>
  <c r="S58" i="11"/>
  <c r="S414" i="11"/>
  <c r="S437" i="11" s="1"/>
  <c r="BH267" i="1"/>
  <c r="BH74" i="9" s="1"/>
  <c r="AN458" i="11"/>
  <c r="AM558" i="1"/>
  <c r="O288" i="11"/>
  <c r="O346" i="11" s="1"/>
  <c r="O347" i="11" s="1"/>
  <c r="O353" i="11" s="1"/>
  <c r="AL322" i="1"/>
  <c r="N332" i="11"/>
  <c r="N333" i="11" s="1"/>
  <c r="AQ261" i="11"/>
  <c r="V102" i="11"/>
  <c r="V458" i="11"/>
  <c r="BN88" i="1"/>
  <c r="BN87" i="1" s="1"/>
  <c r="AT382" i="11"/>
  <c r="AT238" i="11" s="1"/>
  <c r="AQ203" i="1"/>
  <c r="AQ138" i="1" s="1"/>
  <c r="S235" i="11"/>
  <c r="AB214" i="1"/>
  <c r="AB213" i="1" s="1"/>
  <c r="AB46" i="9" s="1"/>
  <c r="BO425" i="1"/>
  <c r="W386" i="11"/>
  <c r="AG437" i="11"/>
  <c r="T58" i="11"/>
  <c r="T414" i="11"/>
  <c r="C59" i="11"/>
  <c r="C440" i="11"/>
  <c r="BI267" i="1"/>
  <c r="AO458" i="11"/>
  <c r="F94" i="11"/>
  <c r="F95" i="11" s="1"/>
  <c r="F283" i="11"/>
  <c r="AN558" i="1"/>
  <c r="P288" i="11"/>
  <c r="P346" i="11" s="1"/>
  <c r="P347" i="11" s="1"/>
  <c r="P353" i="11" s="1"/>
  <c r="AP322" i="1"/>
  <c r="R332" i="11"/>
  <c r="R333" i="11" s="1"/>
  <c r="AT193" i="1"/>
  <c r="AT39" i="9" s="1"/>
  <c r="V217" i="11"/>
  <c r="V170" i="11" s="1"/>
  <c r="V172" i="11" s="1"/>
  <c r="AH169" i="1"/>
  <c r="AH180" i="1" s="1"/>
  <c r="J222" i="11"/>
  <c r="U58" i="11"/>
  <c r="U414" i="11"/>
  <c r="D59" i="11"/>
  <c r="D440" i="11"/>
  <c r="BJ267" i="1"/>
  <c r="BJ74" i="9" s="1"/>
  <c r="AP458" i="11"/>
  <c r="AP459" i="11" s="1"/>
  <c r="J94" i="11"/>
  <c r="J283" i="11"/>
  <c r="AO558" i="1"/>
  <c r="Q288" i="11"/>
  <c r="Q346" i="11" s="1"/>
  <c r="Q347" i="11" s="1"/>
  <c r="Q353" i="11" s="1"/>
  <c r="AD568" i="1"/>
  <c r="F298" i="11" s="1"/>
  <c r="F299" i="11"/>
  <c r="AT322" i="1"/>
  <c r="V332" i="11"/>
  <c r="V333" i="11" s="1"/>
  <c r="AI437" i="11"/>
  <c r="BO462" i="1"/>
  <c r="W424" i="11"/>
  <c r="Z424" i="11" s="1"/>
  <c r="BO468" i="1"/>
  <c r="W428" i="11"/>
  <c r="Z428" i="11" s="1"/>
  <c r="E59" i="11"/>
  <c r="E440" i="11"/>
  <c r="BO485" i="1"/>
  <c r="W445" i="11"/>
  <c r="Z445" i="11" s="1"/>
  <c r="BK267" i="1"/>
  <c r="BK74" i="9" s="1"/>
  <c r="AQ458" i="11"/>
  <c r="AQ459" i="11" s="1"/>
  <c r="N94" i="11"/>
  <c r="N283" i="11"/>
  <c r="R57" i="11"/>
  <c r="R413" i="11"/>
  <c r="AB88" i="1"/>
  <c r="AB177" i="1" s="1"/>
  <c r="AU203" i="1"/>
  <c r="W48" i="11" s="1"/>
  <c r="AU48" i="11" s="1"/>
  <c r="I25" i="12" s="1"/>
  <c r="W383" i="11"/>
  <c r="AF214" i="1"/>
  <c r="AF213" i="1" s="1"/>
  <c r="AF46" i="9" s="1"/>
  <c r="BO434" i="1"/>
  <c r="W395" i="11"/>
  <c r="E57" i="11"/>
  <c r="E413" i="11"/>
  <c r="BO457" i="1"/>
  <c r="W419" i="11"/>
  <c r="Z419" i="11" s="1"/>
  <c r="G59" i="11"/>
  <c r="G440" i="11"/>
  <c r="BO497" i="1"/>
  <c r="W457" i="11"/>
  <c r="Z457" i="11" s="1"/>
  <c r="BL267" i="1"/>
  <c r="BL74" i="9" s="1"/>
  <c r="AR458" i="11"/>
  <c r="AR459" i="11" s="1"/>
  <c r="R94" i="11"/>
  <c r="R283" i="11"/>
  <c r="R290" i="11" s="1"/>
  <c r="R301" i="11" s="1"/>
  <c r="H59" i="11"/>
  <c r="H440" i="11"/>
  <c r="BO482" i="1"/>
  <c r="W442" i="11"/>
  <c r="Z442" i="11" s="1"/>
  <c r="BM267" i="1"/>
  <c r="BM74" i="9" s="1"/>
  <c r="AS458" i="11"/>
  <c r="AS459" i="11" s="1"/>
  <c r="V94" i="11"/>
  <c r="V283" i="11"/>
  <c r="V290" i="11" s="1"/>
  <c r="AD171" i="1"/>
  <c r="F223" i="11"/>
  <c r="AE88" i="1"/>
  <c r="AE177" i="1" s="1"/>
  <c r="AI214" i="1"/>
  <c r="AI213" i="1" s="1"/>
  <c r="AI46" i="9" s="1"/>
  <c r="I59" i="11"/>
  <c r="I440" i="11"/>
  <c r="BN267" i="1"/>
  <c r="AT458" i="11"/>
  <c r="AT459" i="11" s="1"/>
  <c r="AF88" i="1"/>
  <c r="AF177" i="1" s="1"/>
  <c r="AJ214" i="1"/>
  <c r="AJ213" i="1" s="1"/>
  <c r="K59" i="11"/>
  <c r="K440" i="11"/>
  <c r="BK113" i="9"/>
  <c r="AP172" i="1"/>
  <c r="R227" i="11"/>
  <c r="AL171" i="1"/>
  <c r="N223" i="11"/>
  <c r="AG88" i="1"/>
  <c r="AG87" i="1" s="1"/>
  <c r="AZ203" i="1"/>
  <c r="AZ174" i="1" s="1"/>
  <c r="AZ179" i="1" s="1"/>
  <c r="AF383" i="11"/>
  <c r="AK214" i="1"/>
  <c r="AK213" i="1" s="1"/>
  <c r="AK46" i="9" s="1"/>
  <c r="BO430" i="1"/>
  <c r="W391" i="11"/>
  <c r="Z391" i="11" s="1"/>
  <c r="K57" i="11"/>
  <c r="K413" i="11"/>
  <c r="BO461" i="1"/>
  <c r="W423" i="11"/>
  <c r="Z423" i="11" s="1"/>
  <c r="BO475" i="1"/>
  <c r="W435" i="11"/>
  <c r="L59" i="11"/>
  <c r="L440" i="11"/>
  <c r="C102" i="11"/>
  <c r="C458" i="11"/>
  <c r="AL532" i="1"/>
  <c r="N292" i="11"/>
  <c r="N357" i="11" s="1"/>
  <c r="N363" i="11" s="1"/>
  <c r="AA23" i="9"/>
  <c r="C212" i="11"/>
  <c r="C146" i="11" s="1"/>
  <c r="G152" i="11" s="1"/>
  <c r="G153" i="11" s="1"/>
  <c r="G20" i="11" s="1"/>
  <c r="AP171" i="1"/>
  <c r="R223" i="11"/>
  <c r="AL216" i="1"/>
  <c r="AL45" i="9" s="1"/>
  <c r="N228" i="11"/>
  <c r="BH49" i="9"/>
  <c r="BP85" i="9"/>
  <c r="AI88" i="1"/>
  <c r="AI177" i="1" s="1"/>
  <c r="BA203" i="1"/>
  <c r="BA174" i="1" s="1"/>
  <c r="BA179" i="1" s="1"/>
  <c r="AG383" i="11"/>
  <c r="AM214" i="1"/>
  <c r="AM213" i="1" s="1"/>
  <c r="BO447" i="1"/>
  <c r="W408" i="11"/>
  <c r="Z408" i="11" s="1"/>
  <c r="L57" i="11"/>
  <c r="L413" i="11"/>
  <c r="BO470" i="1"/>
  <c r="W430" i="11"/>
  <c r="Z430" i="11" s="1"/>
  <c r="M59" i="11"/>
  <c r="M440" i="11"/>
  <c r="BO481" i="1"/>
  <c r="W441" i="11"/>
  <c r="Z441" i="11" s="1"/>
  <c r="BO487" i="1"/>
  <c r="W447" i="11"/>
  <c r="Z447" i="11" s="1"/>
  <c r="BO496" i="1"/>
  <c r="W456" i="11"/>
  <c r="Z456" i="11" s="1"/>
  <c r="D102" i="11"/>
  <c r="D458" i="11"/>
  <c r="AC214" i="1"/>
  <c r="AC213" i="1" s="1"/>
  <c r="AC46" i="9" s="1"/>
  <c r="L266" i="11"/>
  <c r="AT171" i="1"/>
  <c r="V223" i="11"/>
  <c r="AP216" i="1"/>
  <c r="AP45" i="9" s="1"/>
  <c r="R228" i="11"/>
  <c r="AJ88" i="1"/>
  <c r="AJ177" i="1" s="1"/>
  <c r="BB203" i="1"/>
  <c r="BB174" i="1" s="1"/>
  <c r="BB179" i="1" s="1"/>
  <c r="AH383" i="11"/>
  <c r="AN214" i="1"/>
  <c r="AN213" i="1" s="1"/>
  <c r="AN46" i="9" s="1"/>
  <c r="M57" i="11"/>
  <c r="M413" i="11"/>
  <c r="BO465" i="1"/>
  <c r="W425" i="11"/>
  <c r="Z425" i="11" s="1"/>
  <c r="O59" i="11"/>
  <c r="O440" i="11"/>
  <c r="BO490" i="1"/>
  <c r="W450" i="11"/>
  <c r="Z450" i="11" s="1"/>
  <c r="E102" i="11"/>
  <c r="E458" i="11"/>
  <c r="AT532" i="1"/>
  <c r="V292" i="11"/>
  <c r="V357" i="11" s="1"/>
  <c r="V363" i="11" s="1"/>
  <c r="AR203" i="1"/>
  <c r="T48" i="11" s="1"/>
  <c r="T88" i="11" s="1"/>
  <c r="T383" i="11"/>
  <c r="T235" i="11" s="1"/>
  <c r="J266" i="11"/>
  <c r="AQ437" i="11"/>
  <c r="O57" i="11"/>
  <c r="O413" i="11"/>
  <c r="P59" i="11"/>
  <c r="P440" i="11"/>
  <c r="G102" i="11"/>
  <c r="G458" i="11"/>
  <c r="AE214" i="1"/>
  <c r="AE213" i="1" s="1"/>
  <c r="N266" i="11"/>
  <c r="F10" i="11"/>
  <c r="F212" i="11"/>
  <c r="F146" i="11" s="1"/>
  <c r="AZ43" i="9"/>
  <c r="AD88" i="1"/>
  <c r="AD177" i="1" s="1"/>
  <c r="AM88" i="1"/>
  <c r="AM177" i="1" s="1"/>
  <c r="BD203" i="1"/>
  <c r="BD138" i="1" s="1"/>
  <c r="AJ383" i="11"/>
  <c r="AQ214" i="1"/>
  <c r="AQ213" i="1" s="1"/>
  <c r="AQ46" i="9" s="1"/>
  <c r="AR437" i="11"/>
  <c r="Q59" i="11"/>
  <c r="Q440" i="11"/>
  <c r="H102" i="11"/>
  <c r="H458" i="11"/>
  <c r="BO428" i="1"/>
  <c r="W389" i="11"/>
  <c r="Z389" i="11" s="1"/>
  <c r="AC88" i="1"/>
  <c r="AC87" i="1" s="1"/>
  <c r="AG214" i="1"/>
  <c r="AG213" i="1" s="1"/>
  <c r="AG46" i="9" s="1"/>
  <c r="E10" i="11"/>
  <c r="E212" i="11"/>
  <c r="E146" i="11" s="1"/>
  <c r="AT216" i="1"/>
  <c r="AT45" i="9" s="1"/>
  <c r="V228" i="11"/>
  <c r="AK88" i="1"/>
  <c r="AK177" i="1" s="1"/>
  <c r="BC203" i="1"/>
  <c r="BC174" i="1" s="1"/>
  <c r="BC179" i="1" s="1"/>
  <c r="AI383" i="11"/>
  <c r="AO214" i="1"/>
  <c r="AO213" i="1" s="1"/>
  <c r="AO46" i="9" s="1"/>
  <c r="BA43" i="9"/>
  <c r="AH88" i="1"/>
  <c r="AH177" i="1" s="1"/>
  <c r="F58" i="11"/>
  <c r="F414" i="11"/>
  <c r="J59" i="11"/>
  <c r="J440" i="11"/>
  <c r="AN88" i="1"/>
  <c r="AN177" i="1" s="1"/>
  <c r="BE203" i="1"/>
  <c r="BE138" i="1" s="1"/>
  <c r="AK383" i="11"/>
  <c r="AR214" i="1"/>
  <c r="AR213" i="1" s="1"/>
  <c r="AR46" i="9" s="1"/>
  <c r="T385" i="11"/>
  <c r="BO433" i="1"/>
  <c r="W394" i="11"/>
  <c r="AS437" i="11"/>
  <c r="Q57" i="11"/>
  <c r="Q413" i="11"/>
  <c r="BO460" i="1"/>
  <c r="W422" i="11"/>
  <c r="Z422" i="11" s="1"/>
  <c r="BO474" i="1"/>
  <c r="W434" i="11"/>
  <c r="S59" i="11"/>
  <c r="S440" i="11"/>
  <c r="I102" i="11"/>
  <c r="I458" i="11"/>
  <c r="AH171" i="1"/>
  <c r="J223" i="11"/>
  <c r="BB43" i="9"/>
  <c r="BI48" i="9"/>
  <c r="BM49" i="9"/>
  <c r="AL88" i="1"/>
  <c r="AL177" i="1" s="1"/>
  <c r="J58" i="11"/>
  <c r="J414" i="11"/>
  <c r="AO88" i="1"/>
  <c r="AO87" i="1" s="1"/>
  <c r="BF203" i="1"/>
  <c r="BF138" i="1" s="1"/>
  <c r="AL383" i="11"/>
  <c r="AL235" i="11" s="1"/>
  <c r="AS214" i="1"/>
  <c r="AS213" i="1" s="1"/>
  <c r="U385" i="11"/>
  <c r="AT437" i="11"/>
  <c r="A59" i="11"/>
  <c r="A440" i="11"/>
  <c r="T59" i="11"/>
  <c r="T440" i="11"/>
  <c r="BO495" i="1"/>
  <c r="W455" i="11"/>
  <c r="Z455" i="11" s="1"/>
  <c r="K102" i="11"/>
  <c r="K458" i="11"/>
  <c r="G266" i="11"/>
  <c r="AS203" i="1"/>
  <c r="U48" i="11" s="1"/>
  <c r="U88" i="11" s="1"/>
  <c r="U383" i="11"/>
  <c r="U235" i="11" s="1"/>
  <c r="AP88" i="1"/>
  <c r="AP177" i="1" s="1"/>
  <c r="N58" i="11"/>
  <c r="N414" i="11"/>
  <c r="AQ88" i="1"/>
  <c r="AQ177" i="1" s="1"/>
  <c r="BG203" i="1"/>
  <c r="BG138" i="1" s="1"/>
  <c r="AM383" i="11"/>
  <c r="AM235" i="11" s="1"/>
  <c r="AU214" i="1"/>
  <c r="AU213" i="1" s="1"/>
  <c r="AU46" i="9" s="1"/>
  <c r="W385" i="11"/>
  <c r="BO427" i="1"/>
  <c r="W388" i="11"/>
  <c r="Z388" i="11" s="1"/>
  <c r="BO439" i="1"/>
  <c r="W400" i="11"/>
  <c r="Z400" i="11" s="1"/>
  <c r="U59" i="11"/>
  <c r="U440" i="11"/>
  <c r="BO489" i="1"/>
  <c r="W449" i="11"/>
  <c r="Z449" i="11" s="1"/>
  <c r="L102" i="11"/>
  <c r="L458" i="11"/>
  <c r="BJ99" i="9"/>
  <c r="AT168" i="1"/>
  <c r="V230" i="11"/>
  <c r="BO440" i="1"/>
  <c r="W401" i="11"/>
  <c r="Z401" i="11" s="1"/>
  <c r="AA88" i="1"/>
  <c r="AA177" i="1" s="1"/>
  <c r="BK48" i="9"/>
  <c r="AT88" i="1"/>
  <c r="AT177" i="1" s="1"/>
  <c r="V382" i="11"/>
  <c r="AD214" i="1"/>
  <c r="AD213" i="1" s="1"/>
  <c r="R58" i="11"/>
  <c r="R414" i="11"/>
  <c r="V59" i="11"/>
  <c r="V440" i="11"/>
  <c r="AR88" i="1"/>
  <c r="AR177" i="1" s="1"/>
  <c r="T382" i="11"/>
  <c r="BH203" i="1"/>
  <c r="AN48" i="11" s="1"/>
  <c r="AN88" i="11" s="1"/>
  <c r="AN383" i="11"/>
  <c r="AN235" i="11" s="1"/>
  <c r="AZ214" i="1"/>
  <c r="AZ213" i="1" s="1"/>
  <c r="AF385" i="11"/>
  <c r="C56" i="11"/>
  <c r="C412" i="11"/>
  <c r="BO467" i="1"/>
  <c r="W427" i="11"/>
  <c r="Z427" i="11" s="1"/>
  <c r="W440" i="11"/>
  <c r="BO492" i="1"/>
  <c r="W452" i="11"/>
  <c r="Z452" i="11" s="1"/>
  <c r="M102" i="11"/>
  <c r="M458" i="11"/>
  <c r="BJ53" i="1"/>
  <c r="BJ31" i="1" s="1"/>
  <c r="AP212" i="11" s="1"/>
  <c r="AP146" i="11" s="1"/>
  <c r="AP257" i="11"/>
  <c r="AP261" i="11" s="1"/>
  <c r="BJ48" i="9"/>
  <c r="BN49" i="9"/>
  <c r="AD208" i="1"/>
  <c r="AD42" i="9" s="1"/>
  <c r="F224" i="11"/>
  <c r="BP49" i="9"/>
  <c r="AH214" i="1"/>
  <c r="AH213" i="1" s="1"/>
  <c r="V58" i="11"/>
  <c r="V414" i="11"/>
  <c r="AS88" i="1"/>
  <c r="AS87" i="1" s="1"/>
  <c r="U382" i="11"/>
  <c r="BI203" i="1"/>
  <c r="BI138" i="1" s="1"/>
  <c r="AO383" i="11"/>
  <c r="AO235" i="11" s="1"/>
  <c r="BA214" i="1"/>
  <c r="BA213" i="1" s="1"/>
  <c r="AG385" i="11"/>
  <c r="D56" i="11"/>
  <c r="D412" i="11"/>
  <c r="W413" i="11"/>
  <c r="BO456" i="1"/>
  <c r="W418" i="11"/>
  <c r="Z418" i="11" s="1"/>
  <c r="O102" i="11"/>
  <c r="O458" i="11"/>
  <c r="J218" i="11"/>
  <c r="J221" i="11" s="1"/>
  <c r="J234" i="11" s="1"/>
  <c r="AH208" i="1"/>
  <c r="AH42" i="9" s="1"/>
  <c r="J224" i="11"/>
  <c r="AL214" i="1"/>
  <c r="AL213" i="1" s="1"/>
  <c r="AU88" i="1"/>
  <c r="AU87" i="1" s="1"/>
  <c r="W382" i="11"/>
  <c r="BJ203" i="1"/>
  <c r="BJ174" i="1" s="1"/>
  <c r="BJ179" i="1" s="1"/>
  <c r="AP383" i="11"/>
  <c r="AP235" i="11" s="1"/>
  <c r="BB214" i="1"/>
  <c r="BB213" i="1" s="1"/>
  <c r="AH385" i="11"/>
  <c r="BO432" i="1"/>
  <c r="W393" i="11"/>
  <c r="Z393" i="11" s="1"/>
  <c r="E56" i="11"/>
  <c r="E412" i="11"/>
  <c r="P102" i="11"/>
  <c r="P458" i="11"/>
  <c r="AR212" i="11"/>
  <c r="AR146" i="11" s="1"/>
  <c r="BG85" i="9"/>
  <c r="AZ49" i="9"/>
  <c r="BD4" i="9"/>
  <c r="BA49" i="9"/>
  <c r="BE4" i="9"/>
  <c r="BB49" i="9"/>
  <c r="BL45" i="9"/>
  <c r="BH9" i="9"/>
  <c r="BF4" i="9"/>
  <c r="AZ45" i="9"/>
  <c r="BA45" i="9"/>
  <c r="BN45" i="9"/>
  <c r="BJ9" i="9"/>
  <c r="BH4" i="9"/>
  <c r="BB45" i="9"/>
  <c r="AH568" i="1"/>
  <c r="J298" i="11" s="1"/>
  <c r="AQ298" i="11"/>
  <c r="BI4" i="9"/>
  <c r="BP45" i="9"/>
  <c r="BH85" i="9"/>
  <c r="BL9" i="9"/>
  <c r="AL568" i="1"/>
  <c r="N298" i="11" s="1"/>
  <c r="AR298" i="11"/>
  <c r="BD113" i="9"/>
  <c r="BD114" i="9" s="1"/>
  <c r="BJ4" i="9"/>
  <c r="BI85" i="9"/>
  <c r="BM9" i="9"/>
  <c r="BE113" i="9"/>
  <c r="BK4" i="9"/>
  <c r="BO47" i="9"/>
  <c r="BP47" i="9"/>
  <c r="BH113" i="9"/>
  <c r="BJ558" i="1"/>
  <c r="AP288" i="11"/>
  <c r="AP346" i="11" s="1"/>
  <c r="AP347" i="11" s="1"/>
  <c r="AP353" i="11" s="1"/>
  <c r="BK558" i="1"/>
  <c r="AQ288" i="11"/>
  <c r="AQ346" i="11" s="1"/>
  <c r="AQ347" i="11" s="1"/>
  <c r="AQ353" i="11" s="1"/>
  <c r="BL558" i="1"/>
  <c r="AR288" i="11"/>
  <c r="BD99" i="9"/>
  <c r="BD100" i="9" s="1"/>
  <c r="BJ49" i="9"/>
  <c r="BN113" i="9"/>
  <c r="BE99" i="9"/>
  <c r="BK40" i="9"/>
  <c r="BE48" i="9"/>
  <c r="BI49" i="9"/>
  <c r="BL40" i="9"/>
  <c r="BF48" i="9"/>
  <c r="BM40" i="9"/>
  <c r="BG48" i="9"/>
  <c r="BK49" i="9"/>
  <c r="BF99" i="9"/>
  <c r="BN40" i="9"/>
  <c r="BH48" i="9"/>
  <c r="BL49" i="9"/>
  <c r="BG99" i="9"/>
  <c r="AZ48" i="9"/>
  <c r="BO22" i="9"/>
  <c r="AQ211" i="11"/>
  <c r="AQ212" i="11" s="1"/>
  <c r="AQ146" i="11" s="1"/>
  <c r="BA48" i="9"/>
  <c r="BL48" i="9"/>
  <c r="BK99" i="9"/>
  <c r="BB48" i="9"/>
  <c r="BD39" i="9"/>
  <c r="BM48" i="9"/>
  <c r="BK52" i="9"/>
  <c r="BE39" i="9"/>
  <c r="BN48" i="9"/>
  <c r="BL52" i="9"/>
  <c r="BJ52" i="9"/>
  <c r="BF39" i="9"/>
  <c r="BM52" i="9"/>
  <c r="Z316" i="1"/>
  <c r="Z319" i="1" s="1"/>
  <c r="BB316" i="1"/>
  <c r="BB319" i="1" s="1"/>
  <c r="BC316" i="1"/>
  <c r="BC319" i="1" s="1"/>
  <c r="AA318" i="1"/>
  <c r="BB318" i="1"/>
  <c r="BD318" i="1"/>
  <c r="AA316" i="1"/>
  <c r="AA319" i="1" s="1"/>
  <c r="BC318" i="1"/>
  <c r="BA318" i="1"/>
  <c r="L101" i="11"/>
  <c r="M101" i="11"/>
  <c r="AU33" i="1"/>
  <c r="F101" i="11"/>
  <c r="H101" i="11"/>
  <c r="C101" i="11"/>
  <c r="K101" i="11"/>
  <c r="O101" i="11"/>
  <c r="P101" i="11"/>
  <c r="Q101" i="11"/>
  <c r="S101" i="11"/>
  <c r="T101" i="11"/>
  <c r="U101" i="11"/>
  <c r="BO491" i="1"/>
  <c r="W101" i="11"/>
  <c r="J101" i="11"/>
  <c r="N101" i="11"/>
  <c r="R101" i="11"/>
  <c r="V101" i="11"/>
  <c r="D101" i="11"/>
  <c r="E101" i="11"/>
  <c r="G101" i="11"/>
  <c r="I101" i="11"/>
  <c r="Y316" i="1"/>
  <c r="Y319" i="1" s="1"/>
  <c r="AB316" i="1"/>
  <c r="AB319" i="1" s="1"/>
  <c r="BD316" i="1"/>
  <c r="BD319" i="1" s="1"/>
  <c r="BE316" i="1"/>
  <c r="BE319" i="1" s="1"/>
  <c r="AB318" i="1"/>
  <c r="BE318" i="1"/>
  <c r="BF318" i="1"/>
  <c r="AG316" i="1"/>
  <c r="AG319" i="1" s="1"/>
  <c r="BH318" i="1"/>
  <c r="AD316" i="1"/>
  <c r="AD319" i="1" s="1"/>
  <c r="AC318" i="1"/>
  <c r="AH288" i="1"/>
  <c r="AH9" i="9" s="1"/>
  <c r="BG316" i="1"/>
  <c r="BG319" i="1" s="1"/>
  <c r="BH316" i="1"/>
  <c r="BH319" i="1" s="1"/>
  <c r="BI316" i="1"/>
  <c r="BI319" i="1" s="1"/>
  <c r="BO324" i="1"/>
  <c r="BS10" i="9" s="1"/>
  <c r="BP324" i="1"/>
  <c r="BT10" i="9" s="1"/>
  <c r="AD318" i="1"/>
  <c r="AE318" i="1"/>
  <c r="BG318" i="1"/>
  <c r="AL288" i="1"/>
  <c r="AL9" i="9" s="1"/>
  <c r="AG318" i="1"/>
  <c r="BJ316" i="1"/>
  <c r="BJ319" i="1" s="1"/>
  <c r="BJ318" i="1"/>
  <c r="BQ324" i="1"/>
  <c r="BQ10" i="9" s="1"/>
  <c r="AP288" i="1"/>
  <c r="AP9" i="9" s="1"/>
  <c r="V318" i="1"/>
  <c r="AW314" i="1"/>
  <c r="R316" i="1"/>
  <c r="R319" i="1" s="1"/>
  <c r="AK596" i="1"/>
  <c r="AK607" i="1" s="1"/>
  <c r="W316" i="1"/>
  <c r="W319" i="1" s="1"/>
  <c r="X316" i="1"/>
  <c r="X319" i="1" s="1"/>
  <c r="BB263" i="1"/>
  <c r="BB72" i="9" s="1"/>
  <c r="W573" i="1"/>
  <c r="W104" i="9" s="1"/>
  <c r="BD596" i="1"/>
  <c r="BD607" i="1" s="1"/>
  <c r="W538" i="1"/>
  <c r="X534" i="1" s="1"/>
  <c r="H150" i="1"/>
  <c r="H155" i="1" s="1"/>
  <c r="H158" i="1" s="1"/>
  <c r="H160" i="1" s="1"/>
  <c r="H165" i="1" s="1"/>
  <c r="H173" i="1" s="1"/>
  <c r="H176" i="1" s="1"/>
  <c r="AC316" i="1"/>
  <c r="AC319" i="1" s="1"/>
  <c r="H266" i="1"/>
  <c r="H77" i="9" s="1"/>
  <c r="Y538" i="1"/>
  <c r="Z534" i="1" s="1"/>
  <c r="AL266" i="1"/>
  <c r="AL77" i="9" s="1"/>
  <c r="I316" i="1"/>
  <c r="I319" i="1" s="1"/>
  <c r="D266" i="1"/>
  <c r="D77" i="9" s="1"/>
  <c r="V287" i="1"/>
  <c r="V8" i="9" s="1"/>
  <c r="AO318" i="1"/>
  <c r="R20" i="1"/>
  <c r="U316" i="1"/>
  <c r="U319" i="1" s="1"/>
  <c r="AH112" i="1"/>
  <c r="AH114" i="1" s="1"/>
  <c r="G150" i="1"/>
  <c r="G155" i="1" s="1"/>
  <c r="G158" i="1" s="1"/>
  <c r="G162" i="1" s="1"/>
  <c r="AH318" i="1"/>
  <c r="F286" i="1"/>
  <c r="N266" i="1"/>
  <c r="N77" i="9" s="1"/>
  <c r="Q266" i="1"/>
  <c r="Q77" i="9" s="1"/>
  <c r="AP266" i="1"/>
  <c r="AP77" i="9" s="1"/>
  <c r="AD245" i="1"/>
  <c r="J86" i="1"/>
  <c r="J202" i="1" s="1"/>
  <c r="J201" i="1" s="1"/>
  <c r="BE246" i="1"/>
  <c r="U318" i="1"/>
  <c r="AT287" i="1"/>
  <c r="AT8" i="9" s="1"/>
  <c r="BK357" i="1"/>
  <c r="BK410" i="1" s="1"/>
  <c r="E357" i="1"/>
  <c r="E410" i="1" s="1"/>
  <c r="AV357" i="1"/>
  <c r="AV410" i="1" s="1"/>
  <c r="AL93" i="1"/>
  <c r="AF316" i="1"/>
  <c r="AF319" i="1" s="1"/>
  <c r="BI318" i="1"/>
  <c r="AH316" i="1"/>
  <c r="AH319" i="1" s="1"/>
  <c r="BK318" i="1"/>
  <c r="BG266" i="1"/>
  <c r="AO316" i="1"/>
  <c r="AO319" i="1" s="1"/>
  <c r="AT266" i="1"/>
  <c r="AT77" i="9" s="1"/>
  <c r="AC266" i="1"/>
  <c r="AC77" i="9" s="1"/>
  <c r="M263" i="1"/>
  <c r="M72" i="9" s="1"/>
  <c r="BC573" i="1"/>
  <c r="AT285" i="1"/>
  <c r="AM266" i="1"/>
  <c r="AM77" i="9" s="1"/>
  <c r="AF266" i="1"/>
  <c r="AF77" i="9" s="1"/>
  <c r="BK316" i="1"/>
  <c r="BK319" i="1" s="1"/>
  <c r="AI72" i="1"/>
  <c r="BQ530" i="1"/>
  <c r="BQ452" i="1" s="1"/>
  <c r="BQ621" i="1" s="1"/>
  <c r="BR314" i="1"/>
  <c r="BB536" i="1"/>
  <c r="BR315" i="1"/>
  <c r="AF318" i="1"/>
  <c r="AZ201" i="1"/>
  <c r="AZ545" i="1" s="1"/>
  <c r="T266" i="1"/>
  <c r="T77" i="9" s="1"/>
  <c r="AS573" i="1"/>
  <c r="AS104" i="9" s="1"/>
  <c r="BP313" i="1"/>
  <c r="Y266" i="1"/>
  <c r="Y77" i="9" s="1"/>
  <c r="BH266" i="1"/>
  <c r="T20" i="1"/>
  <c r="BQ313" i="1"/>
  <c r="U538" i="1"/>
  <c r="V534" i="1" s="1"/>
  <c r="AV315" i="1"/>
  <c r="AN263" i="1"/>
  <c r="AN72" i="9" s="1"/>
  <c r="AC572" i="1"/>
  <c r="AC573" i="1" s="1"/>
  <c r="N213" i="1"/>
  <c r="N46" i="9" s="1"/>
  <c r="AF22" i="1"/>
  <c r="AE572" i="1"/>
  <c r="AP287" i="1"/>
  <c r="AP8" i="9" s="1"/>
  <c r="W87" i="1"/>
  <c r="AR103" i="1"/>
  <c r="AR104" i="1" s="1"/>
  <c r="BN573" i="1"/>
  <c r="Q357" i="1"/>
  <c r="Q410" i="1" s="1"/>
  <c r="AS263" i="1"/>
  <c r="AS72" i="9" s="1"/>
  <c r="S357" i="1"/>
  <c r="S410" i="1" s="1"/>
  <c r="AN357" i="1"/>
  <c r="AN410" i="1" s="1"/>
  <c r="AT271" i="1"/>
  <c r="AT78" i="9" s="1"/>
  <c r="AX530" i="1"/>
  <c r="AX452" i="1" s="1"/>
  <c r="AX621" i="1" s="1"/>
  <c r="AD287" i="1"/>
  <c r="AD8" i="9" s="1"/>
  <c r="AS103" i="1"/>
  <c r="AS104" i="1" s="1"/>
  <c r="BB266" i="1"/>
  <c r="AS266" i="1"/>
  <c r="AS77" i="9" s="1"/>
  <c r="AB20" i="1"/>
  <c r="AT102" i="1"/>
  <c r="AL434" i="1"/>
  <c r="N395" i="11" s="1"/>
  <c r="BE266" i="1"/>
  <c r="P74" i="11"/>
  <c r="P84" i="11" s="1"/>
  <c r="U20" i="1"/>
  <c r="V266" i="1"/>
  <c r="V77" i="9" s="1"/>
  <c r="AH81" i="1"/>
  <c r="AH83" i="1" s="1"/>
  <c r="AH86" i="1" s="1"/>
  <c r="AH202" i="1" s="1"/>
  <c r="AE316" i="1"/>
  <c r="AE319" i="1" s="1"/>
  <c r="Z266" i="1"/>
  <c r="Z77" i="9" s="1"/>
  <c r="BI150" i="1"/>
  <c r="BI155" i="1" s="1"/>
  <c r="BI158" i="1" s="1"/>
  <c r="BI160" i="1" s="1"/>
  <c r="BI165" i="1" s="1"/>
  <c r="BI173" i="1" s="1"/>
  <c r="AD266" i="1"/>
  <c r="AD77" i="9" s="1"/>
  <c r="AV288" i="1"/>
  <c r="AV9" i="9" s="1"/>
  <c r="AU124" i="1"/>
  <c r="AU125" i="1" s="1"/>
  <c r="S10" i="9"/>
  <c r="S270" i="1"/>
  <c r="S79" i="9" s="1"/>
  <c r="BI270" i="1"/>
  <c r="BG271" i="1"/>
  <c r="H270" i="1"/>
  <c r="H79" i="9" s="1"/>
  <c r="T10" i="9"/>
  <c r="AA266" i="1"/>
  <c r="AA77" i="9" s="1"/>
  <c r="BI266" i="1"/>
  <c r="AO150" i="1"/>
  <c r="AO155" i="1" s="1"/>
  <c r="AO158" i="1" s="1"/>
  <c r="AO160" i="1" s="1"/>
  <c r="AO165" i="1" s="1"/>
  <c r="AO173" i="1" s="1"/>
  <c r="U10" i="9"/>
  <c r="R285" i="1"/>
  <c r="E266" i="1"/>
  <c r="E77" i="9" s="1"/>
  <c r="N263" i="1"/>
  <c r="N621" i="1" s="1"/>
  <c r="AR263" i="1"/>
  <c r="AR546" i="1" s="1"/>
  <c r="AR530" i="1" s="1"/>
  <c r="AD267" i="1"/>
  <c r="AD74" i="9" s="1"/>
  <c r="R263" i="1"/>
  <c r="R621" i="1" s="1"/>
  <c r="G266" i="1"/>
  <c r="G77" i="9" s="1"/>
  <c r="AS538" i="1"/>
  <c r="AT534" i="1" s="1"/>
  <c r="AU22" i="1"/>
  <c r="T87" i="1"/>
  <c r="AP81" i="1"/>
  <c r="AP83" i="1" s="1"/>
  <c r="AP86" i="1" s="1"/>
  <c r="AP202" i="1" s="1"/>
  <c r="AT96" i="1"/>
  <c r="AR22" i="1"/>
  <c r="U201" i="1"/>
  <c r="U545" i="1" s="1"/>
  <c r="AH287" i="1"/>
  <c r="AH8" i="9" s="1"/>
  <c r="AT286" i="1"/>
  <c r="AC596" i="1"/>
  <c r="AC607" i="1" s="1"/>
  <c r="BM357" i="1"/>
  <c r="BM410" i="1" s="1"/>
  <c r="H357" i="1"/>
  <c r="H410" i="1" s="1"/>
  <c r="V271" i="1"/>
  <c r="V78" i="9" s="1"/>
  <c r="BO463" i="1"/>
  <c r="AW530" i="1"/>
  <c r="AW452" i="1" s="1"/>
  <c r="AW477" i="1" s="1"/>
  <c r="BB22" i="1"/>
  <c r="BK71" i="1"/>
  <c r="BL150" i="1"/>
  <c r="BL155" i="1" s="1"/>
  <c r="BL158" i="1" s="1"/>
  <c r="BL160" i="1" s="1"/>
  <c r="BL165" i="1" s="1"/>
  <c r="BL173" i="1" s="1"/>
  <c r="K22" i="1"/>
  <c r="BE127" i="1"/>
  <c r="BE128" i="1" s="1"/>
  <c r="BO313" i="1"/>
  <c r="BQ357" i="1"/>
  <c r="BQ410" i="1" s="1"/>
  <c r="AH266" i="1"/>
  <c r="AH77" i="9" s="1"/>
  <c r="BI572" i="1"/>
  <c r="BI573" i="1" s="1"/>
  <c r="BI104" i="9" s="1"/>
  <c r="Z287" i="1"/>
  <c r="Z8" i="9" s="1"/>
  <c r="N536" i="1"/>
  <c r="AV58" i="1"/>
  <c r="AV32" i="9" s="1"/>
  <c r="AI124" i="1"/>
  <c r="AI125" i="1" s="1"/>
  <c r="R536" i="1"/>
  <c r="H22" i="1"/>
  <c r="AP285" i="1"/>
  <c r="O266" i="1"/>
  <c r="O77" i="9" s="1"/>
  <c r="I318" i="1"/>
  <c r="L10" i="9"/>
  <c r="BM263" i="1"/>
  <c r="BM621" i="1" s="1"/>
  <c r="P266" i="1"/>
  <c r="P77" i="9" s="1"/>
  <c r="X270" i="1"/>
  <c r="X79" i="9" s="1"/>
  <c r="BN270" i="1"/>
  <c r="BR79" i="9" s="1"/>
  <c r="AS596" i="1"/>
  <c r="AS607" i="1" s="1"/>
  <c r="S266" i="1"/>
  <c r="S77" i="9" s="1"/>
  <c r="AE271" i="1"/>
  <c r="AE78" i="9" s="1"/>
  <c r="U270" i="1"/>
  <c r="U79" i="9" s="1"/>
  <c r="AA572" i="1"/>
  <c r="AA573" i="1" s="1"/>
  <c r="AA104" i="9" s="1"/>
  <c r="AG104" i="1"/>
  <c r="AU266" i="1"/>
  <c r="AU77" i="9" s="1"/>
  <c r="Y318" i="1"/>
  <c r="O10" i="9"/>
  <c r="P10" i="9"/>
  <c r="BB10" i="9"/>
  <c r="U266" i="1"/>
  <c r="U77" i="9" s="1"/>
  <c r="BF270" i="1"/>
  <c r="Y271" i="1"/>
  <c r="Y78" i="9" s="1"/>
  <c r="Y573" i="1"/>
  <c r="Y104" i="9" s="1"/>
  <c r="U271" i="1"/>
  <c r="U78" i="9" s="1"/>
  <c r="BP463" i="1"/>
  <c r="BP266" i="1" s="1"/>
  <c r="BT77" i="9" s="1"/>
  <c r="AU538" i="1"/>
  <c r="AV534" i="1" s="1"/>
  <c r="L22" i="1"/>
  <c r="AD193" i="1"/>
  <c r="AD39" i="9" s="1"/>
  <c r="AZ271" i="1"/>
  <c r="AZ538" i="1"/>
  <c r="BA534" i="1" s="1"/>
  <c r="BC538" i="1"/>
  <c r="C534" i="1" s="1"/>
  <c r="V263" i="1"/>
  <c r="V621" i="1" s="1"/>
  <c r="J285" i="1"/>
  <c r="S596" i="1"/>
  <c r="S607" i="1" s="1"/>
  <c r="BD270" i="1"/>
  <c r="AQ270" i="1"/>
  <c r="AQ79" i="9" s="1"/>
  <c r="Q271" i="1"/>
  <c r="Q78" i="9" s="1"/>
  <c r="BB271" i="1"/>
  <c r="M271" i="1"/>
  <c r="M78" i="9" s="1"/>
  <c r="AT77" i="1"/>
  <c r="BC137" i="1"/>
  <c r="AS150" i="1"/>
  <c r="AS155" i="1" s="1"/>
  <c r="AS158" i="1" s="1"/>
  <c r="AS160" i="1" s="1"/>
  <c r="AS165" i="1" s="1"/>
  <c r="AS173" i="1" s="1"/>
  <c r="U74" i="11"/>
  <c r="U84" i="11" s="1"/>
  <c r="BQ314" i="1"/>
  <c r="G357" i="1"/>
  <c r="G410" i="1" s="1"/>
  <c r="AW357" i="1"/>
  <c r="AW410" i="1" s="1"/>
  <c r="AT265" i="1"/>
  <c r="AT76" i="9" s="1"/>
  <c r="W266" i="1"/>
  <c r="W77" i="9" s="1"/>
  <c r="M270" i="1"/>
  <c r="M79" i="9" s="1"/>
  <c r="BE270" i="1"/>
  <c r="AR270" i="1"/>
  <c r="AR79" i="9" s="1"/>
  <c r="S271" i="1"/>
  <c r="S78" i="9" s="1"/>
  <c r="BC271" i="1"/>
  <c r="BN271" i="1"/>
  <c r="BR78" i="9" s="1"/>
  <c r="O271" i="1"/>
  <c r="O78" i="9" s="1"/>
  <c r="BC263" i="1"/>
  <c r="BC546" i="1" s="1"/>
  <c r="BC530" i="1" s="1"/>
  <c r="X266" i="1"/>
  <c r="X77" i="9" s="1"/>
  <c r="M265" i="1"/>
  <c r="M76" i="9" s="1"/>
  <c r="O270" i="1"/>
  <c r="O79" i="9" s="1"/>
  <c r="T271" i="1"/>
  <c r="T78" i="9" s="1"/>
  <c r="P271" i="1"/>
  <c r="P78" i="9" s="1"/>
  <c r="AG271" i="1"/>
  <c r="AG78" i="9" s="1"/>
  <c r="BE263" i="1"/>
  <c r="BE621" i="1" s="1"/>
  <c r="Q270" i="1"/>
  <c r="Q79" i="9" s="1"/>
  <c r="BH270" i="1"/>
  <c r="E270" i="1"/>
  <c r="E79" i="9" s="1"/>
  <c r="BF271" i="1"/>
  <c r="I573" i="1"/>
  <c r="I104" i="9" s="1"/>
  <c r="AL566" i="1"/>
  <c r="F263" i="1"/>
  <c r="F72" i="9" s="1"/>
  <c r="BG263" i="1"/>
  <c r="BG546" i="1" s="1"/>
  <c r="BK266" i="1"/>
  <c r="K573" i="1"/>
  <c r="K104" i="9" s="1"/>
  <c r="J10" i="9"/>
  <c r="AJ357" i="1"/>
  <c r="AJ410" i="1" s="1"/>
  <c r="BR357" i="1"/>
  <c r="BR410" i="1" s="1"/>
  <c r="C266" i="1"/>
  <c r="C77" i="9" s="1"/>
  <c r="AE266" i="1"/>
  <c r="AE77" i="9" s="1"/>
  <c r="BL266" i="1"/>
  <c r="AS265" i="1"/>
  <c r="AS76" i="9" s="1"/>
  <c r="I270" i="1"/>
  <c r="I79" i="9" s="1"/>
  <c r="BC270" i="1"/>
  <c r="AA271" i="1"/>
  <c r="AA78" i="9" s="1"/>
  <c r="BI271" i="1"/>
  <c r="V605" i="1"/>
  <c r="V99" i="9" s="1"/>
  <c r="V100" i="9" s="1"/>
  <c r="J316" i="1"/>
  <c r="J319" i="1" s="1"/>
  <c r="AK357" i="1"/>
  <c r="AK410" i="1" s="1"/>
  <c r="P357" i="1"/>
  <c r="P410" i="1" s="1"/>
  <c r="BM266" i="1"/>
  <c r="BQ77" i="9" s="1"/>
  <c r="BJ271" i="1"/>
  <c r="AD556" i="1"/>
  <c r="N316" i="1"/>
  <c r="N319" i="1" s="1"/>
  <c r="AM357" i="1"/>
  <c r="AM410" i="1" s="1"/>
  <c r="AG266" i="1"/>
  <c r="AG77" i="9" s="1"/>
  <c r="BN266" i="1"/>
  <c r="BR77" i="9" s="1"/>
  <c r="AC271" i="1"/>
  <c r="AC78" i="9" s="1"/>
  <c r="BK271" i="1"/>
  <c r="N286" i="1"/>
  <c r="Y20" i="1"/>
  <c r="AQ265" i="1"/>
  <c r="AQ76" i="9" s="1"/>
  <c r="X271" i="1"/>
  <c r="X78" i="9" s="1"/>
  <c r="L289" i="1"/>
  <c r="L107" i="9" s="1"/>
  <c r="BN10" i="1"/>
  <c r="BR17" i="9" s="1"/>
  <c r="AT170" i="1"/>
  <c r="AM263" i="1"/>
  <c r="AM546" i="1" s="1"/>
  <c r="AM530" i="1" s="1"/>
  <c r="M289" i="1"/>
  <c r="M92" i="9" s="1"/>
  <c r="Q316" i="1"/>
  <c r="Q319" i="1" s="1"/>
  <c r="I263" i="1"/>
  <c r="I621" i="1" s="1"/>
  <c r="T263" i="1"/>
  <c r="T72" i="9" s="1"/>
  <c r="BK263" i="1"/>
  <c r="BK621" i="1" s="1"/>
  <c r="AR266" i="1"/>
  <c r="AR77" i="9" s="1"/>
  <c r="BD572" i="1"/>
  <c r="BD573" i="1" s="1"/>
  <c r="R286" i="1"/>
  <c r="M22" i="1"/>
  <c r="J270" i="1"/>
  <c r="J79" i="9" s="1"/>
  <c r="N10" i="9"/>
  <c r="Z536" i="1"/>
  <c r="BB265" i="1"/>
  <c r="AI267" i="1"/>
  <c r="AI74" i="9" s="1"/>
  <c r="BG357" i="1"/>
  <c r="BG410" i="1" s="1"/>
  <c r="I265" i="1"/>
  <c r="I76" i="9" s="1"/>
  <c r="BC265" i="1"/>
  <c r="AH556" i="1"/>
  <c r="G270" i="1"/>
  <c r="G79" i="9" s="1"/>
  <c r="AP267" i="1"/>
  <c r="AP74" i="9" s="1"/>
  <c r="X263" i="1"/>
  <c r="X72" i="9" s="1"/>
  <c r="BN263" i="1"/>
  <c r="BN546" i="1" s="1"/>
  <c r="BN530" i="1" s="1"/>
  <c r="I266" i="1"/>
  <c r="I77" i="9" s="1"/>
  <c r="AZ266" i="1"/>
  <c r="AA68" i="1"/>
  <c r="AA72" i="1" s="1"/>
  <c r="AT267" i="1"/>
  <c r="AT74" i="9" s="1"/>
  <c r="Q10" i="9"/>
  <c r="AF448" i="1"/>
  <c r="BA263" i="1"/>
  <c r="BA546" i="1" s="1"/>
  <c r="BA530" i="1" s="1"/>
  <c r="BA266" i="1"/>
  <c r="BA265" i="1"/>
  <c r="BA76" i="9" s="1"/>
  <c r="BE265" i="1"/>
  <c r="BE76" i="9" s="1"/>
  <c r="BA271" i="1"/>
  <c r="AB68" i="1"/>
  <c r="AB72" i="1" s="1"/>
  <c r="AN22" i="1"/>
  <c r="AL318" i="1"/>
  <c r="D357" i="1"/>
  <c r="D410" i="1" s="1"/>
  <c r="K266" i="1"/>
  <c r="K77" i="9" s="1"/>
  <c r="AO266" i="1"/>
  <c r="AO77" i="9" s="1"/>
  <c r="BF265" i="1"/>
  <c r="H271" i="1"/>
  <c r="H78" i="9" s="1"/>
  <c r="G534" i="1"/>
  <c r="BG270" i="1"/>
  <c r="BI265" i="1"/>
  <c r="BB270" i="1"/>
  <c r="AC68" i="1"/>
  <c r="AC72" i="1" s="1"/>
  <c r="AM318" i="1"/>
  <c r="Q536" i="1"/>
  <c r="L266" i="1"/>
  <c r="L77" i="9" s="1"/>
  <c r="BC266" i="1"/>
  <c r="D538" i="1"/>
  <c r="E534" i="1" s="1"/>
  <c r="AL556" i="1"/>
  <c r="BG265" i="1"/>
  <c r="BG76" i="9" s="1"/>
  <c r="BJ266" i="1"/>
  <c r="BL8" i="1"/>
  <c r="BP15" i="9" s="1"/>
  <c r="AD68" i="1"/>
  <c r="AD72" i="1" s="1"/>
  <c r="BN150" i="1"/>
  <c r="BN155" i="1" s="1"/>
  <c r="BN158" i="1" s="1"/>
  <c r="BN162" i="1" s="1"/>
  <c r="BI124" i="1"/>
  <c r="BI125" i="1" s="1"/>
  <c r="AN318" i="1"/>
  <c r="BD10" i="9"/>
  <c r="M266" i="1"/>
  <c r="M77" i="9" s="1"/>
  <c r="BD266" i="1"/>
  <c r="I538" i="1"/>
  <c r="J534" i="1" s="1"/>
  <c r="AB572" i="1"/>
  <c r="AB573" i="1" s="1"/>
  <c r="AB104" i="9" s="1"/>
  <c r="AB266" i="1"/>
  <c r="AB77" i="9" s="1"/>
  <c r="C263" i="1"/>
  <c r="C72" i="9" s="1"/>
  <c r="AP318" i="1"/>
  <c r="D263" i="1"/>
  <c r="D546" i="1" s="1"/>
  <c r="D530" i="1" s="1"/>
  <c r="O20" i="1"/>
  <c r="P20" i="1"/>
  <c r="E263" i="1"/>
  <c r="E546" i="1" s="1"/>
  <c r="E530" i="1" s="1"/>
  <c r="S20" i="1"/>
  <c r="AC150" i="1"/>
  <c r="AC155" i="1" s="1"/>
  <c r="AC158" i="1" s="1"/>
  <c r="AC160" i="1" s="1"/>
  <c r="AC165" i="1" s="1"/>
  <c r="AC173" i="1" s="1"/>
  <c r="R196" i="1"/>
  <c r="R40" i="9" s="1"/>
  <c r="BM127" i="1"/>
  <c r="BM128" i="1" s="1"/>
  <c r="E74" i="11"/>
  <c r="E84" i="11" s="1"/>
  <c r="BJ528" i="1"/>
  <c r="M20" i="1"/>
  <c r="AF104" i="1"/>
  <c r="AI104" i="1"/>
  <c r="AE150" i="1"/>
  <c r="AE155" i="1" s="1"/>
  <c r="AE158" i="1" s="1"/>
  <c r="AE162" i="1" s="1"/>
  <c r="BA22" i="1"/>
  <c r="H263" i="1"/>
  <c r="H546" i="1" s="1"/>
  <c r="H530" i="1" s="1"/>
  <c r="BK528" i="1"/>
  <c r="X87" i="1"/>
  <c r="X177" i="1"/>
  <c r="O534" i="1"/>
  <c r="BG534" i="1"/>
  <c r="D174" i="1"/>
  <c r="D179" i="1" s="1"/>
  <c r="D138" i="1"/>
  <c r="C138" i="1"/>
  <c r="C174" i="1"/>
  <c r="C179" i="1" s="1"/>
  <c r="E174" i="1"/>
  <c r="E179" i="1" s="1"/>
  <c r="E138" i="1"/>
  <c r="X265" i="1"/>
  <c r="X76" i="9" s="1"/>
  <c r="AO265" i="1"/>
  <c r="AO76" i="9" s="1"/>
  <c r="K265" i="1"/>
  <c r="K76" i="9" s="1"/>
  <c r="W271" i="1"/>
  <c r="W78" i="9" s="1"/>
  <c r="AB271" i="1"/>
  <c r="AB78" i="9" s="1"/>
  <c r="K20" i="1"/>
  <c r="AS22" i="1"/>
  <c r="AU263" i="1"/>
  <c r="AU72" i="9" s="1"/>
  <c r="BL316" i="1"/>
  <c r="BL319" i="1" s="1"/>
  <c r="F266" i="1"/>
  <c r="F77" i="9" s="1"/>
  <c r="AG448" i="1"/>
  <c r="P263" i="1"/>
  <c r="P546" i="1" s="1"/>
  <c r="P530" i="1" s="1"/>
  <c r="AB538" i="1"/>
  <c r="AC534" i="1" s="1"/>
  <c r="L20" i="1"/>
  <c r="AD19" i="1"/>
  <c r="BJ20" i="1"/>
  <c r="AH166" i="1"/>
  <c r="BS313" i="1"/>
  <c r="BM316" i="1"/>
  <c r="BM319" i="1" s="1"/>
  <c r="M10" i="9"/>
  <c r="V265" i="1"/>
  <c r="V76" i="9" s="1"/>
  <c r="J266" i="1"/>
  <c r="J77" i="9" s="1"/>
  <c r="AP265" i="1"/>
  <c r="AP76" i="9" s="1"/>
  <c r="N265" i="1"/>
  <c r="N76" i="9" s="1"/>
  <c r="N271" i="1"/>
  <c r="N78" i="9" s="1"/>
  <c r="N270" i="1"/>
  <c r="N79" i="9" s="1"/>
  <c r="T265" i="1"/>
  <c r="T76" i="9" s="1"/>
  <c r="S265" i="1"/>
  <c r="BJ265" i="1"/>
  <c r="Z558" i="1"/>
  <c r="BA572" i="1"/>
  <c r="BA573" i="1" s="1"/>
  <c r="N285" i="1"/>
  <c r="J286" i="1"/>
  <c r="BN316" i="1"/>
  <c r="BN319" i="1" s="1"/>
  <c r="P265" i="1"/>
  <c r="P76" i="9" s="1"/>
  <c r="C265" i="1"/>
  <c r="C76" i="9" s="1"/>
  <c r="BK150" i="1"/>
  <c r="BK155" i="1" s="1"/>
  <c r="BK158" i="1" s="1"/>
  <c r="BK162" i="1" s="1"/>
  <c r="C318" i="1"/>
  <c r="BP453" i="1"/>
  <c r="E103" i="11"/>
  <c r="D265" i="1"/>
  <c r="D76" i="9" s="1"/>
  <c r="U265" i="1"/>
  <c r="U76" i="9" s="1"/>
  <c r="AS10" i="1"/>
  <c r="AS17" i="9" s="1"/>
  <c r="BM32" i="1"/>
  <c r="BQ24" i="9" s="1"/>
  <c r="Z168" i="1"/>
  <c r="BP174" i="1"/>
  <c r="D318" i="1"/>
  <c r="BK448" i="1"/>
  <c r="L536" i="1"/>
  <c r="G103" i="11"/>
  <c r="AI266" i="1"/>
  <c r="AI77" i="9" s="1"/>
  <c r="Q265" i="1"/>
  <c r="Q76" i="9" s="1"/>
  <c r="AJ265" i="1"/>
  <c r="AJ76" i="9" s="1"/>
  <c r="X573" i="1"/>
  <c r="X104" i="9" s="1"/>
  <c r="BF572" i="1"/>
  <c r="BF573" i="1" s="1"/>
  <c r="AT10" i="1"/>
  <c r="AT17" i="9" s="1"/>
  <c r="Q20" i="1"/>
  <c r="BN32" i="1"/>
  <c r="BR24" i="9" s="1"/>
  <c r="U88" i="1"/>
  <c r="U87" i="1" s="1"/>
  <c r="BM150" i="1"/>
  <c r="BM155" i="1" s="1"/>
  <c r="BM158" i="1" s="1"/>
  <c r="BM160" i="1" s="1"/>
  <c r="BM165" i="1" s="1"/>
  <c r="BM173" i="1" s="1"/>
  <c r="I22" i="1"/>
  <c r="BO314" i="1"/>
  <c r="E318" i="1"/>
  <c r="N103" i="11"/>
  <c r="M536" i="1"/>
  <c r="AJ266" i="1"/>
  <c r="AJ77" i="9" s="1"/>
  <c r="AR265" i="1"/>
  <c r="BG572" i="1"/>
  <c r="BG573" i="1" s="1"/>
  <c r="BG104" i="9" s="1"/>
  <c r="H318" i="1"/>
  <c r="R265" i="1"/>
  <c r="R76" i="9" s="1"/>
  <c r="R270" i="1"/>
  <c r="R79" i="9" s="1"/>
  <c r="AT270" i="1"/>
  <c r="AT79" i="9" s="1"/>
  <c r="L103" i="11"/>
  <c r="AN266" i="1"/>
  <c r="AN77" i="9" s="1"/>
  <c r="AZ265" i="1"/>
  <c r="BJ572" i="1"/>
  <c r="BG435" i="1"/>
  <c r="BG257" i="1" s="1"/>
  <c r="BG260" i="1" s="1"/>
  <c r="BE538" i="1"/>
  <c r="AW315" i="1"/>
  <c r="Q318" i="1"/>
  <c r="BL318" i="1"/>
  <c r="W10" i="9"/>
  <c r="BE536" i="1"/>
  <c r="O265" i="1"/>
  <c r="O76" i="9" s="1"/>
  <c r="AB270" i="1"/>
  <c r="AB79" i="9" s="1"/>
  <c r="BH538" i="1"/>
  <c r="W534" i="1" s="1"/>
  <c r="AD605" i="1"/>
  <c r="AD99" i="9" s="1"/>
  <c r="AA43" i="9"/>
  <c r="AE267" i="1"/>
  <c r="AE74" i="9" s="1"/>
  <c r="R318" i="1"/>
  <c r="BM318" i="1"/>
  <c r="AB357" i="1"/>
  <c r="AB410" i="1" s="1"/>
  <c r="BL357" i="1"/>
  <c r="BL410" i="1" s="1"/>
  <c r="AZ263" i="1"/>
  <c r="AZ546" i="1" s="1"/>
  <c r="BF536" i="1"/>
  <c r="BF266" i="1"/>
  <c r="AJ271" i="1"/>
  <c r="AJ78" i="9" s="1"/>
  <c r="BI538" i="1"/>
  <c r="BJ534" i="1" s="1"/>
  <c r="AH595" i="1"/>
  <c r="AH605" i="1"/>
  <c r="AH99" i="9" s="1"/>
  <c r="BL127" i="1"/>
  <c r="BL128" i="1" s="1"/>
  <c r="X22" i="1"/>
  <c r="BK22" i="1"/>
  <c r="AZ254" i="1"/>
  <c r="AF267" i="1"/>
  <c r="AF74" i="9" s="1"/>
  <c r="AI316" i="1"/>
  <c r="AI319" i="1" s="1"/>
  <c r="BN318" i="1"/>
  <c r="AC357" i="1"/>
  <c r="AC410" i="1" s="1"/>
  <c r="BG536" i="1"/>
  <c r="W270" i="1"/>
  <c r="W79" i="9" s="1"/>
  <c r="BM270" i="1"/>
  <c r="BQ79" i="9" s="1"/>
  <c r="AH284" i="1"/>
  <c r="AH614" i="1" s="1"/>
  <c r="BJ22" i="1"/>
  <c r="AX315" i="1"/>
  <c r="AB131" i="1"/>
  <c r="AB622" i="1" s="1"/>
  <c r="U137" i="1"/>
  <c r="BM11" i="1"/>
  <c r="BQ18" i="9" s="1"/>
  <c r="AU265" i="1"/>
  <c r="AU76" i="9" s="1"/>
  <c r="AG267" i="1"/>
  <c r="AG74" i="9" s="1"/>
  <c r="AJ316" i="1"/>
  <c r="AJ319" i="1" s="1"/>
  <c r="I357" i="1"/>
  <c r="I410" i="1" s="1"/>
  <c r="K263" i="1"/>
  <c r="K546" i="1" s="1"/>
  <c r="K530" i="1" s="1"/>
  <c r="X536" i="1"/>
  <c r="E271" i="1"/>
  <c r="E78" i="9" s="1"/>
  <c r="BM538" i="1"/>
  <c r="AQ534" i="1" s="1"/>
  <c r="AB150" i="1"/>
  <c r="AB155" i="1" s="1"/>
  <c r="AB158" i="1" s="1"/>
  <c r="AB162" i="1" s="1"/>
  <c r="Z605" i="1"/>
  <c r="Z99" i="9" s="1"/>
  <c r="AH267" i="1"/>
  <c r="AH74" i="9" s="1"/>
  <c r="AK316" i="1"/>
  <c r="AK319" i="1" s="1"/>
  <c r="AX356" i="1"/>
  <c r="Y536" i="1"/>
  <c r="BI536" i="1"/>
  <c r="R266" i="1"/>
  <c r="R77" i="9" s="1"/>
  <c r="AA270" i="1"/>
  <c r="AA79" i="9" s="1"/>
  <c r="Y270" i="1"/>
  <c r="Y79" i="9" s="1"/>
  <c r="P605" i="1"/>
  <c r="P99" i="9" s="1"/>
  <c r="BA131" i="1"/>
  <c r="BA622" i="1" s="1"/>
  <c r="AJ150" i="1"/>
  <c r="AJ155" i="1" s="1"/>
  <c r="AJ158" i="1" s="1"/>
  <c r="AJ162" i="1" s="1"/>
  <c r="X137" i="1"/>
  <c r="AL316" i="1"/>
  <c r="AL319" i="1" s="1"/>
  <c r="AZ357" i="1"/>
  <c r="AZ410" i="1" s="1"/>
  <c r="AZ413" i="1" s="1"/>
  <c r="BA412" i="1" s="1"/>
  <c r="BP357" i="1"/>
  <c r="BP410" i="1" s="1"/>
  <c r="BD263" i="1"/>
  <c r="BD546" i="1" s="1"/>
  <c r="BD530" i="1" s="1"/>
  <c r="BJ536" i="1"/>
  <c r="BN11" i="1"/>
  <c r="BR18" i="9" s="1"/>
  <c r="BJ68" i="1"/>
  <c r="E150" i="1"/>
  <c r="E155" i="1" s="1"/>
  <c r="E158" i="1" s="1"/>
  <c r="E160" i="1" s="1"/>
  <c r="E165" i="1" s="1"/>
  <c r="E173" i="1" s="1"/>
  <c r="AZ150" i="1"/>
  <c r="AZ155" i="1" s="1"/>
  <c r="AZ158" i="1" s="1"/>
  <c r="AZ160" i="1" s="1"/>
  <c r="AZ165" i="1" s="1"/>
  <c r="AZ173" i="1" s="1"/>
  <c r="BP179" i="1"/>
  <c r="Y11" i="1"/>
  <c r="Y18" i="9" s="1"/>
  <c r="AJ267" i="1"/>
  <c r="AJ74" i="9" s="1"/>
  <c r="BP315" i="1"/>
  <c r="AM316" i="1"/>
  <c r="AM319" i="1" s="1"/>
  <c r="M357" i="1"/>
  <c r="M410" i="1" s="1"/>
  <c r="AI357" i="1"/>
  <c r="AI410" i="1" s="1"/>
  <c r="AN271" i="1"/>
  <c r="AN78" i="9" s="1"/>
  <c r="AL584" i="1"/>
  <c r="AL113" i="9" s="1"/>
  <c r="P22" i="1"/>
  <c r="AW34" i="1"/>
  <c r="AW34" i="9" s="1"/>
  <c r="G138" i="1"/>
  <c r="AA11" i="1"/>
  <c r="AA18" i="9" s="1"/>
  <c r="AJ43" i="9"/>
  <c r="AK267" i="1"/>
  <c r="AK74" i="9" s="1"/>
  <c r="AU271" i="1"/>
  <c r="AU78" i="9" s="1"/>
  <c r="AN316" i="1"/>
  <c r="AN319" i="1" s="1"/>
  <c r="BB357" i="1"/>
  <c r="BB410" i="1" s="1"/>
  <c r="O263" i="1"/>
  <c r="O72" i="9" s="1"/>
  <c r="AR271" i="1"/>
  <c r="AR78" i="9" s="1"/>
  <c r="AI271" i="1"/>
  <c r="AI78" i="9" s="1"/>
  <c r="AP566" i="1"/>
  <c r="AP538" i="1" s="1"/>
  <c r="BE86" i="1"/>
  <c r="BE202" i="1" s="1"/>
  <c r="BE535" i="1" s="1"/>
  <c r="H138" i="1"/>
  <c r="AL149" i="1"/>
  <c r="AK43" i="9"/>
  <c r="AM267" i="1"/>
  <c r="AM74" i="9" s="1"/>
  <c r="G271" i="1"/>
  <c r="G78" i="9" s="1"/>
  <c r="BE271" i="1"/>
  <c r="C271" i="1"/>
  <c r="C78" i="9" s="1"/>
  <c r="AS271" i="1"/>
  <c r="AS78" i="9" s="1"/>
  <c r="F566" i="1"/>
  <c r="F538" i="1" s="1"/>
  <c r="AO270" i="1"/>
  <c r="AO79" i="9" s="1"/>
  <c r="V270" i="1"/>
  <c r="V79" i="9" s="1"/>
  <c r="Z595" i="1"/>
  <c r="BL53" i="1"/>
  <c r="BJ86" i="1"/>
  <c r="BJ202" i="1" s="1"/>
  <c r="BJ535" i="1" s="1"/>
  <c r="I138" i="1"/>
  <c r="I150" i="1"/>
  <c r="I155" i="1" s="1"/>
  <c r="I158" i="1" s="1"/>
  <c r="I162" i="1" s="1"/>
  <c r="AU127" i="1"/>
  <c r="AU128" i="1" s="1"/>
  <c r="AM43" i="9"/>
  <c r="AO267" i="1"/>
  <c r="AO74" i="9" s="1"/>
  <c r="BS315" i="1"/>
  <c r="AP316" i="1"/>
  <c r="AP319" i="1" s="1"/>
  <c r="BN536" i="1"/>
  <c r="AG270" i="1"/>
  <c r="AG79" i="9" s="1"/>
  <c r="D271" i="1"/>
  <c r="D78" i="9" s="1"/>
  <c r="AK271" i="1"/>
  <c r="AK78" i="9" s="1"/>
  <c r="J566" i="1"/>
  <c r="J538" i="1" s="1"/>
  <c r="AT288" i="1"/>
  <c r="AT9" i="9" s="1"/>
  <c r="AH18" i="1"/>
  <c r="C316" i="1"/>
  <c r="C319" i="1" s="1"/>
  <c r="AT316" i="1"/>
  <c r="AT319" i="1" s="1"/>
  <c r="S263" i="1"/>
  <c r="S546" i="1" s="1"/>
  <c r="S530" i="1" s="1"/>
  <c r="AB265" i="1"/>
  <c r="AB76" i="9" s="1"/>
  <c r="I271" i="1"/>
  <c r="I78" i="9" s="1"/>
  <c r="K270" i="1"/>
  <c r="K79" i="9" s="1"/>
  <c r="BH573" i="1"/>
  <c r="BH104" i="9" s="1"/>
  <c r="D573" i="1"/>
  <c r="D104" i="9" s="1"/>
  <c r="AN265" i="1"/>
  <c r="AN76" i="9" s="1"/>
  <c r="AR32" i="1"/>
  <c r="AR24" i="9" s="1"/>
  <c r="AL81" i="1"/>
  <c r="AL83" i="1" s="1"/>
  <c r="AL86" i="1" s="1"/>
  <c r="AL202" i="1" s="1"/>
  <c r="BJ150" i="1"/>
  <c r="BJ155" i="1" s="1"/>
  <c r="BJ158" i="1" s="1"/>
  <c r="BJ162" i="1" s="1"/>
  <c r="L265" i="1"/>
  <c r="F318" i="1"/>
  <c r="J265" i="1"/>
  <c r="J76" i="9" s="1"/>
  <c r="AA267" i="1"/>
  <c r="AA74" i="9" s="1"/>
  <c r="BG22" i="1"/>
  <c r="AB267" i="1"/>
  <c r="AB74" i="9" s="1"/>
  <c r="J318" i="1"/>
  <c r="AQ266" i="1"/>
  <c r="AQ77" i="9" s="1"/>
  <c r="BI22" i="1"/>
  <c r="AO43" i="9"/>
  <c r="O245" i="1"/>
  <c r="AQ267" i="1"/>
  <c r="AQ74" i="9" s="1"/>
  <c r="D316" i="1"/>
  <c r="D319" i="1" s="1"/>
  <c r="T357" i="1"/>
  <c r="T410" i="1" s="1"/>
  <c r="R566" i="1"/>
  <c r="R538" i="1" s="1"/>
  <c r="AP584" i="1"/>
  <c r="AP113" i="9" s="1"/>
  <c r="AW588" i="1"/>
  <c r="D596" i="1"/>
  <c r="D607" i="1" s="1"/>
  <c r="AF271" i="1"/>
  <c r="AF78" i="9" s="1"/>
  <c r="AT32" i="1"/>
  <c r="AT24" i="9" s="1"/>
  <c r="G318" i="1"/>
  <c r="Z270" i="1"/>
  <c r="Z79" i="9" s="1"/>
  <c r="AC263" i="1"/>
  <c r="AC621" i="1" s="1"/>
  <c r="AR267" i="1"/>
  <c r="AR74" i="9" s="1"/>
  <c r="AV313" i="1"/>
  <c r="E316" i="1"/>
  <c r="E319" i="1" s="1"/>
  <c r="C10" i="9"/>
  <c r="AI10" i="9"/>
  <c r="U357" i="1"/>
  <c r="U410" i="1" s="1"/>
  <c r="AQ357" i="1"/>
  <c r="AQ410" i="1" s="1"/>
  <c r="AK270" i="1"/>
  <c r="AK79" i="9" s="1"/>
  <c r="AO271" i="1"/>
  <c r="AO78" i="9" s="1"/>
  <c r="BM271" i="1"/>
  <c r="BQ78" i="9" s="1"/>
  <c r="BJ270" i="1"/>
  <c r="BF528" i="1"/>
  <c r="V566" i="1"/>
  <c r="V538" i="1" s="1"/>
  <c r="BK265" i="1"/>
  <c r="AK266" i="1"/>
  <c r="AK77" i="9" s="1"/>
  <c r="H87" i="1"/>
  <c r="BG150" i="1"/>
  <c r="BG155" i="1" s="1"/>
  <c r="BG158" i="1" s="1"/>
  <c r="BG160" i="1" s="1"/>
  <c r="BG165" i="1" s="1"/>
  <c r="BG173" i="1" s="1"/>
  <c r="AI131" i="1"/>
  <c r="AI622" i="1" s="1"/>
  <c r="AJ263" i="1"/>
  <c r="AJ621" i="1" s="1"/>
  <c r="AS267" i="1"/>
  <c r="AS74" i="9" s="1"/>
  <c r="F316" i="1"/>
  <c r="F319" i="1" s="1"/>
  <c r="AI318" i="1"/>
  <c r="W357" i="1"/>
  <c r="W410" i="1" s="1"/>
  <c r="BH357" i="1"/>
  <c r="BH410" i="1" s="1"/>
  <c r="BI528" i="1"/>
  <c r="AR92" i="11"/>
  <c r="L270" i="1"/>
  <c r="L79" i="9" s="1"/>
  <c r="AO263" i="1"/>
  <c r="AO546" i="1" s="1"/>
  <c r="AO530" i="1" s="1"/>
  <c r="AM265" i="1"/>
  <c r="AM76" i="9" s="1"/>
  <c r="Q448" i="1"/>
  <c r="J263" i="1"/>
  <c r="J621" i="1" s="1"/>
  <c r="O22" i="1"/>
  <c r="AC267" i="1"/>
  <c r="AC74" i="9" s="1"/>
  <c r="BD536" i="1"/>
  <c r="BJ127" i="1"/>
  <c r="BJ128" i="1" s="1"/>
  <c r="AK104" i="1"/>
  <c r="L150" i="1"/>
  <c r="L155" i="1" s="1"/>
  <c r="L158" i="1" s="1"/>
  <c r="L160" i="1" s="1"/>
  <c r="L165" i="1" s="1"/>
  <c r="L173" i="1" s="1"/>
  <c r="AK263" i="1"/>
  <c r="AK72" i="9" s="1"/>
  <c r="Z286" i="1"/>
  <c r="G316" i="1"/>
  <c r="G319" i="1" s="1"/>
  <c r="AJ318" i="1"/>
  <c r="E10" i="9"/>
  <c r="AK10" i="9"/>
  <c r="X357" i="1"/>
  <c r="X410" i="1" s="1"/>
  <c r="BI357" i="1"/>
  <c r="BI410" i="1" s="1"/>
  <c r="C357" i="1"/>
  <c r="C410" i="1" s="1"/>
  <c r="AN270" i="1"/>
  <c r="AN79" i="9" s="1"/>
  <c r="AS92" i="11"/>
  <c r="AU10" i="1"/>
  <c r="AU17" i="9" s="1"/>
  <c r="R10" i="9"/>
  <c r="AH271" i="1"/>
  <c r="AH78" i="9" s="1"/>
  <c r="H265" i="1"/>
  <c r="H76" i="9" s="1"/>
  <c r="BG127" i="1"/>
  <c r="BG128" i="1" s="1"/>
  <c r="AH285" i="1"/>
  <c r="BH127" i="1"/>
  <c r="BH128" i="1" s="1"/>
  <c r="F149" i="1"/>
  <c r="K138" i="1"/>
  <c r="BD150" i="1"/>
  <c r="BD155" i="1" s="1"/>
  <c r="BD158" i="1" s="1"/>
  <c r="BD162" i="1" s="1"/>
  <c r="C87" i="1"/>
  <c r="M138" i="1"/>
  <c r="E87" i="1"/>
  <c r="O138" i="1"/>
  <c r="M150" i="1"/>
  <c r="M155" i="1" s="1"/>
  <c r="M158" i="1" s="1"/>
  <c r="M160" i="1" s="1"/>
  <c r="M165" i="1" s="1"/>
  <c r="M173" i="1" s="1"/>
  <c r="M176" i="1" s="1"/>
  <c r="BF150" i="1"/>
  <c r="BF155" i="1" s="1"/>
  <c r="BF158" i="1" s="1"/>
  <c r="BF162" i="1" s="1"/>
  <c r="P150" i="1"/>
  <c r="P155" i="1" s="1"/>
  <c r="P158" i="1" s="1"/>
  <c r="P162" i="1" s="1"/>
  <c r="AL77" i="1"/>
  <c r="G87" i="1"/>
  <c r="K74" i="11"/>
  <c r="K84" i="11" s="1"/>
  <c r="AL263" i="1"/>
  <c r="AL72" i="9" s="1"/>
  <c r="AU267" i="1"/>
  <c r="AU74" i="9" s="1"/>
  <c r="H316" i="1"/>
  <c r="H319" i="1" s="1"/>
  <c r="BF316" i="1"/>
  <c r="BF319" i="1" s="1"/>
  <c r="AK318" i="1"/>
  <c r="Y357" i="1"/>
  <c r="Y410" i="1" s="1"/>
  <c r="BJ357" i="1"/>
  <c r="BJ410" i="1" s="1"/>
  <c r="AU357" i="1"/>
  <c r="AU410" i="1" s="1"/>
  <c r="AI265" i="1"/>
  <c r="AI76" i="9" s="1"/>
  <c r="W265" i="1"/>
  <c r="W76" i="9" s="1"/>
  <c r="BM573" i="1"/>
  <c r="AH566" i="1"/>
  <c r="AH538" i="1" s="1"/>
  <c r="F83" i="1"/>
  <c r="F86" i="1" s="1"/>
  <c r="F202" i="1" s="1"/>
  <c r="F535" i="1" s="1"/>
  <c r="BD86" i="1"/>
  <c r="BD202" i="1" s="1"/>
  <c r="BD201" i="1" s="1"/>
  <c r="P177" i="1"/>
  <c r="P87" i="1"/>
  <c r="BB22" i="9"/>
  <c r="C74" i="11"/>
  <c r="AV34" i="1"/>
  <c r="AV34" i="9" s="1"/>
  <c r="AE22" i="1"/>
  <c r="R149" i="1"/>
  <c r="AH265" i="1"/>
  <c r="AH76" i="9" s="1"/>
  <c r="AG265" i="1"/>
  <c r="AG76" i="9" s="1"/>
  <c r="J208" i="1"/>
  <c r="J42" i="9" s="1"/>
  <c r="J166" i="1"/>
  <c r="BH194" i="1"/>
  <c r="BH197" i="1" s="1"/>
  <c r="BH22" i="1"/>
  <c r="AL265" i="1"/>
  <c r="AL76" i="9" s="1"/>
  <c r="AC20" i="1"/>
  <c r="AP32" i="9"/>
  <c r="BK127" i="1"/>
  <c r="BK128" i="1" s="1"/>
  <c r="AF150" i="1"/>
  <c r="AF155" i="1" s="1"/>
  <c r="AF158" i="1" s="1"/>
  <c r="AF160" i="1" s="1"/>
  <c r="AF165" i="1" s="1"/>
  <c r="AF173" i="1" s="1"/>
  <c r="BC246" i="1"/>
  <c r="AE265" i="1"/>
  <c r="AE76" i="9" s="1"/>
  <c r="BL265" i="1"/>
  <c r="AR32" i="9"/>
  <c r="P131" i="1"/>
  <c r="P622" i="1" s="1"/>
  <c r="V218" i="1"/>
  <c r="V48" i="9" s="1"/>
  <c r="V168" i="1"/>
  <c r="BL22" i="1"/>
  <c r="BL44" i="1"/>
  <c r="AR264" i="11" s="1"/>
  <c r="AS32" i="9"/>
  <c r="AJ104" i="1"/>
  <c r="AA114" i="1"/>
  <c r="AE20" i="1"/>
  <c r="AA20" i="1"/>
  <c r="Q131" i="1"/>
  <c r="Q622" i="1" s="1"/>
  <c r="AD271" i="1"/>
  <c r="AD78" i="9" s="1"/>
  <c r="AD218" i="1"/>
  <c r="AD48" i="9" s="1"/>
  <c r="AD168" i="1"/>
  <c r="AI245" i="1"/>
  <c r="AH245" i="1"/>
  <c r="AH246" i="1"/>
  <c r="R103" i="11"/>
  <c r="BL448" i="1"/>
  <c r="E265" i="1"/>
  <c r="E76" i="9" s="1"/>
  <c r="BM265" i="1"/>
  <c r="BQ76" i="9" s="1"/>
  <c r="AL271" i="1"/>
  <c r="AL78" i="9" s="1"/>
  <c r="BN265" i="1"/>
  <c r="BN76" i="9" s="1"/>
  <c r="AH193" i="1"/>
  <c r="AH39" i="9" s="1"/>
  <c r="J24" i="11"/>
  <c r="AQ24" i="11" s="1"/>
  <c r="AL218" i="1"/>
  <c r="AL48" i="9" s="1"/>
  <c r="AL168" i="1"/>
  <c r="AQ39" i="9"/>
  <c r="AQ127" i="1"/>
  <c r="AQ128" i="1" s="1"/>
  <c r="AI52" i="9"/>
  <c r="K78" i="11"/>
  <c r="AP271" i="1"/>
  <c r="AP78" i="9" s="1"/>
  <c r="S56" i="11"/>
  <c r="AQ477" i="1"/>
  <c r="AQ263" i="1"/>
  <c r="AQ72" i="9" s="1"/>
  <c r="Y265" i="1"/>
  <c r="Y76" i="9" s="1"/>
  <c r="BJ45" i="1"/>
  <c r="AP265" i="11" s="1"/>
  <c r="AL193" i="1"/>
  <c r="AL39" i="9" s="1"/>
  <c r="N24" i="11"/>
  <c r="AR24" i="11" s="1"/>
  <c r="AB11" i="1"/>
  <c r="AB18" i="9" s="1"/>
  <c r="AJ52" i="9"/>
  <c r="L78" i="11"/>
  <c r="R271" i="1"/>
  <c r="R78" i="9" s="1"/>
  <c r="AA265" i="1"/>
  <c r="AA76" i="9" s="1"/>
  <c r="R218" i="1"/>
  <c r="R48" i="9" s="1"/>
  <c r="R168" i="1"/>
  <c r="C528" i="1"/>
  <c r="BD528" i="1"/>
  <c r="AL52" i="9"/>
  <c r="N78" i="11"/>
  <c r="AC448" i="1"/>
  <c r="G265" i="1"/>
  <c r="G76" i="9" s="1"/>
  <c r="AC265" i="1"/>
  <c r="AC76" i="9" s="1"/>
  <c r="G477" i="1"/>
  <c r="G263" i="1"/>
  <c r="G546" i="1" s="1"/>
  <c r="G530" i="1" s="1"/>
  <c r="AH218" i="1"/>
  <c r="AH48" i="9" s="1"/>
  <c r="AH168" i="1"/>
  <c r="AC11" i="1"/>
  <c r="AC18" i="9" s="1"/>
  <c r="AG22" i="1"/>
  <c r="AC22" i="1"/>
  <c r="AM52" i="9"/>
  <c r="O78" i="11"/>
  <c r="BP22" i="9"/>
  <c r="BM9" i="1"/>
  <c r="BQ16" i="9" s="1"/>
  <c r="BK45" i="1"/>
  <c r="AQ265" i="11" s="1"/>
  <c r="BR32" i="9"/>
  <c r="BN15" i="1"/>
  <c r="BR28" i="9" s="1"/>
  <c r="AQ32" i="9"/>
  <c r="AO52" i="9"/>
  <c r="Q78" i="11"/>
  <c r="S528" i="1"/>
  <c r="BH528" i="1"/>
  <c r="AG20" i="1"/>
  <c r="W536" i="1"/>
  <c r="W263" i="1"/>
  <c r="W546" i="1" s="1"/>
  <c r="BQ32" i="9"/>
  <c r="BM15" i="1"/>
  <c r="BQ28" i="9" s="1"/>
  <c r="BB5" i="1"/>
  <c r="S177" i="1"/>
  <c r="S87" i="1"/>
  <c r="AS52" i="9"/>
  <c r="U78" i="11"/>
  <c r="F271" i="1"/>
  <c r="F78" i="9" s="1"/>
  <c r="AA536" i="1"/>
  <c r="C57" i="11"/>
  <c r="AA263" i="1"/>
  <c r="AA72" i="9" s="1"/>
  <c r="AU270" i="1"/>
  <c r="AU79" i="9" s="1"/>
  <c r="AK572" i="1"/>
  <c r="AK538" i="1"/>
  <c r="AL534" i="1" s="1"/>
  <c r="AT52" i="9"/>
  <c r="V78" i="11"/>
  <c r="J271" i="1"/>
  <c r="J78" i="9" s="1"/>
  <c r="BM528" i="1"/>
  <c r="AM528" i="1"/>
  <c r="AH532" i="1"/>
  <c r="AU52" i="9"/>
  <c r="W78" i="11"/>
  <c r="BF263" i="1"/>
  <c r="BF621" i="1" s="1"/>
  <c r="AG499" i="1"/>
  <c r="BR35" i="9"/>
  <c r="BN37" i="1"/>
  <c r="BA22" i="9"/>
  <c r="AB23" i="9"/>
  <c r="D10" i="11"/>
  <c r="S535" i="1"/>
  <c r="S137" i="1"/>
  <c r="Q263" i="1"/>
  <c r="Q72" i="9" s="1"/>
  <c r="N193" i="1"/>
  <c r="N39" i="9" s="1"/>
  <c r="N146" i="1"/>
  <c r="G177" i="1"/>
  <c r="Z356" i="1"/>
  <c r="Z437" i="1"/>
  <c r="Z70" i="9" s="1"/>
  <c r="BH263" i="1"/>
  <c r="BH546" i="1" s="1"/>
  <c r="BH530" i="1" s="1"/>
  <c r="C270" i="1"/>
  <c r="C79" i="9" s="1"/>
  <c r="AF270" i="1"/>
  <c r="AF79" i="9" s="1"/>
  <c r="BE573" i="1"/>
  <c r="AQ52" i="9"/>
  <c r="S78" i="11"/>
  <c r="D270" i="1"/>
  <c r="D79" i="9" s="1"/>
  <c r="AM271" i="1"/>
  <c r="AM78" i="9" s="1"/>
  <c r="AN137" i="1"/>
  <c r="Y87" i="1"/>
  <c r="Y202" i="1"/>
  <c r="Y137" i="1" s="1"/>
  <c r="BG124" i="1"/>
  <c r="BG125" i="1" s="1"/>
  <c r="AL170" i="1"/>
  <c r="T177" i="1"/>
  <c r="L174" i="1"/>
  <c r="L179" i="1" s="1"/>
  <c r="L138" i="1"/>
  <c r="L263" i="1"/>
  <c r="L621" i="1" s="1"/>
  <c r="AS270" i="1"/>
  <c r="AS79" i="9" s="1"/>
  <c r="AH356" i="1"/>
  <c r="F265" i="1"/>
  <c r="F76" i="9" s="1"/>
  <c r="U263" i="1"/>
  <c r="U546" i="1" s="1"/>
  <c r="U530" i="1" s="1"/>
  <c r="AJ270" i="1"/>
  <c r="AJ79" i="9" s="1"/>
  <c r="K271" i="1"/>
  <c r="K78" i="9" s="1"/>
  <c r="BH271" i="1"/>
  <c r="P138" i="1"/>
  <c r="BH11" i="1"/>
  <c r="BL18" i="9" s="1"/>
  <c r="BI11" i="1"/>
  <c r="BM18" i="9" s="1"/>
  <c r="AQ40" i="9"/>
  <c r="AQ131" i="1"/>
  <c r="AQ622" i="1" s="1"/>
  <c r="AL356" i="1"/>
  <c r="L271" i="1"/>
  <c r="L78" i="9" s="1"/>
  <c r="AG80" i="9"/>
  <c r="AO32" i="9"/>
  <c r="AH52" i="9"/>
  <c r="J78" i="11"/>
  <c r="AK52" i="9"/>
  <c r="M78" i="11"/>
  <c r="Z17" i="1"/>
  <c r="BH124" i="1"/>
  <c r="BH125" i="1" s="1"/>
  <c r="W177" i="1"/>
  <c r="BJ11" i="1"/>
  <c r="BN18" i="9" s="1"/>
  <c r="BA499" i="1"/>
  <c r="BA270" i="1"/>
  <c r="T270" i="1"/>
  <c r="T79" i="9" s="1"/>
  <c r="BK270" i="1"/>
  <c r="BK11" i="1"/>
  <c r="BO18" i="9" s="1"/>
  <c r="AS40" i="9"/>
  <c r="AS131" i="1"/>
  <c r="AS622" i="1" s="1"/>
  <c r="G10" i="9"/>
  <c r="AM10" i="9"/>
  <c r="Y138" i="1"/>
  <c r="Y174" i="1"/>
  <c r="Y179" i="1" s="1"/>
  <c r="BD271" i="1"/>
  <c r="P270" i="1"/>
  <c r="P79" i="9" s="1"/>
  <c r="AP193" i="1"/>
  <c r="AP39" i="9" s="1"/>
  <c r="R24" i="11"/>
  <c r="AS24" i="11" s="1"/>
  <c r="AP52" i="9"/>
  <c r="R78" i="11"/>
  <c r="BG11" i="1"/>
  <c r="BK18" i="9" s="1"/>
  <c r="BK124" i="1"/>
  <c r="BK125" i="1" s="1"/>
  <c r="AA127" i="1"/>
  <c r="AA128" i="1" s="1"/>
  <c r="BL11" i="1"/>
  <c r="BP18" i="9" s="1"/>
  <c r="BL124" i="1"/>
  <c r="BL125" i="1" s="1"/>
  <c r="AP170" i="1"/>
  <c r="BD22" i="1"/>
  <c r="AU40" i="9"/>
  <c r="AU131" i="1"/>
  <c r="AU622" i="1" s="1"/>
  <c r="AA435" i="1"/>
  <c r="AA257" i="1" s="1"/>
  <c r="AA260" i="1" s="1"/>
  <c r="BL271" i="1"/>
  <c r="AM245" i="1"/>
  <c r="AL245" i="1"/>
  <c r="AL246" i="1"/>
  <c r="AA22" i="1"/>
  <c r="AN127" i="1"/>
  <c r="AN128" i="1" s="1"/>
  <c r="BE11" i="1"/>
  <c r="BI18" i="9" s="1"/>
  <c r="BE124" i="1"/>
  <c r="BE125" i="1" s="1"/>
  <c r="BE22" i="1"/>
  <c r="Q174" i="1"/>
  <c r="Q179" i="1" s="1"/>
  <c r="Q138" i="1"/>
  <c r="Z265" i="1"/>
  <c r="Z76" i="9" s="1"/>
  <c r="AB435" i="1"/>
  <c r="AB257" i="1" s="1"/>
  <c r="AB260" i="1" s="1"/>
  <c r="AB203" i="1"/>
  <c r="D48" i="11" s="1"/>
  <c r="D88" i="11" s="1"/>
  <c r="AC435" i="1"/>
  <c r="AC257" i="1" s="1"/>
  <c r="AC260" i="1" s="1"/>
  <c r="BD265" i="1"/>
  <c r="BB30" i="9"/>
  <c r="BK104" i="1"/>
  <c r="AB22" i="1"/>
  <c r="BF11" i="1"/>
  <c r="BJ18" i="9" s="1"/>
  <c r="BF22" i="1"/>
  <c r="K289" i="1"/>
  <c r="K92" i="9" s="1"/>
  <c r="BN357" i="1"/>
  <c r="BN410" i="1" s="1"/>
  <c r="AD265" i="1"/>
  <c r="AD76" i="9" s="1"/>
  <c r="AF265" i="1"/>
  <c r="AF76" i="9" s="1"/>
  <c r="AK265" i="1"/>
  <c r="BH265" i="1"/>
  <c r="BE499" i="1"/>
  <c r="X499" i="1"/>
  <c r="BR536" i="1"/>
  <c r="BR453" i="1" s="1"/>
  <c r="BR621" i="1" s="1"/>
  <c r="F285" i="1"/>
  <c r="F287" i="1"/>
  <c r="F8" i="9" s="1"/>
  <c r="D10" i="9"/>
  <c r="AJ10" i="9"/>
  <c r="AQ572" i="1"/>
  <c r="AQ573" i="1" s="1"/>
  <c r="AQ104" i="9" s="1"/>
  <c r="M70" i="9"/>
  <c r="BC448" i="1"/>
  <c r="C103" i="11"/>
  <c r="AE80" i="9"/>
  <c r="H573" i="1"/>
  <c r="H104" i="9" s="1"/>
  <c r="F10" i="9"/>
  <c r="BH70" i="9"/>
  <c r="D103" i="11"/>
  <c r="AZ499" i="1"/>
  <c r="AF80" i="9"/>
  <c r="AL605" i="1"/>
  <c r="AL99" i="9" s="1"/>
  <c r="BO493" i="1"/>
  <c r="BG528" i="1"/>
  <c r="AP605" i="1"/>
  <c r="AP99" i="9" s="1"/>
  <c r="C10" i="11"/>
  <c r="O10" i="11"/>
  <c r="BO81" i="1"/>
  <c r="BO83" i="1" s="1"/>
  <c r="Q11" i="1"/>
  <c r="Q18" i="9" s="1"/>
  <c r="AN52" i="9"/>
  <c r="P78" i="11"/>
  <c r="AZ270" i="1"/>
  <c r="I10" i="9"/>
  <c r="BC357" i="1"/>
  <c r="BC410" i="1" s="1"/>
  <c r="F103" i="11"/>
  <c r="AX385" i="1"/>
  <c r="BJ448" i="1"/>
  <c r="AV444" i="1"/>
  <c r="BC536" i="1"/>
  <c r="H103" i="11"/>
  <c r="K499" i="1"/>
  <c r="M573" i="1"/>
  <c r="M104" i="9" s="1"/>
  <c r="N566" i="1"/>
  <c r="N538" i="1" s="1"/>
  <c r="BB596" i="1"/>
  <c r="BB607" i="1" s="1"/>
  <c r="AT605" i="1"/>
  <c r="AT99" i="9" s="1"/>
  <c r="AU100" i="9" s="1"/>
  <c r="AT385" i="1"/>
  <c r="J103" i="11"/>
  <c r="Z271" i="1"/>
  <c r="Z78" i="9" s="1"/>
  <c r="U536" i="1"/>
  <c r="I103" i="11"/>
  <c r="L499" i="1"/>
  <c r="BF499" i="1"/>
  <c r="BC596" i="1"/>
  <c r="BC607" i="1" s="1"/>
  <c r="U448" i="1"/>
  <c r="K103" i="11"/>
  <c r="W499" i="1"/>
  <c r="BP493" i="1"/>
  <c r="BP270" i="1" s="1"/>
  <c r="BT79" i="9" s="1"/>
  <c r="R10" i="11"/>
  <c r="S10" i="11"/>
  <c r="BI127" i="1"/>
  <c r="BI128" i="1" s="1"/>
  <c r="AR52" i="9"/>
  <c r="T78" i="11"/>
  <c r="Z284" i="1"/>
  <c r="AL287" i="1"/>
  <c r="AL8" i="9" s="1"/>
  <c r="AX313" i="1"/>
  <c r="V343" i="1"/>
  <c r="AD448" i="1"/>
  <c r="F536" i="1"/>
  <c r="V103" i="11"/>
  <c r="M103" i="11"/>
  <c r="Y499" i="1"/>
  <c r="BL528" i="1"/>
  <c r="C538" i="1"/>
  <c r="D534" i="1" s="1"/>
  <c r="BB538" i="1"/>
  <c r="BC534" i="1" s="1"/>
  <c r="S573" i="1"/>
  <c r="S104" i="9" s="1"/>
  <c r="AD566" i="1"/>
  <c r="AD538" i="1" s="1"/>
  <c r="BF596" i="1"/>
  <c r="BF607" i="1" s="1"/>
  <c r="T10" i="11"/>
  <c r="X15" i="11" s="1"/>
  <c r="BH536" i="1"/>
  <c r="O103" i="11"/>
  <c r="U499" i="1"/>
  <c r="N605" i="1"/>
  <c r="N99" i="9" s="1"/>
  <c r="P103" i="11"/>
  <c r="E538" i="1"/>
  <c r="F534" i="1" s="1"/>
  <c r="AB536" i="1"/>
  <c r="D57" i="11"/>
  <c r="Q103" i="11"/>
  <c r="G538" i="1"/>
  <c r="H534" i="1" s="1"/>
  <c r="BI20" i="1"/>
  <c r="F146" i="1"/>
  <c r="D74" i="11"/>
  <c r="D84" i="11" s="1"/>
  <c r="AN43" i="9"/>
  <c r="AD284" i="1"/>
  <c r="AD7" i="9" s="1"/>
  <c r="AL286" i="1"/>
  <c r="J287" i="1"/>
  <c r="J615" i="1" s="1"/>
  <c r="BR324" i="1"/>
  <c r="BV10" i="9" s="1"/>
  <c r="T435" i="1"/>
  <c r="T257" i="1" s="1"/>
  <c r="T69" i="9" s="1"/>
  <c r="AA70" i="9"/>
  <c r="BK536" i="1"/>
  <c r="S103" i="11"/>
  <c r="AJ499" i="1"/>
  <c r="G528" i="1"/>
  <c r="AT566" i="1"/>
  <c r="AT538" i="1" s="1"/>
  <c r="AD584" i="1"/>
  <c r="AD113" i="9" s="1"/>
  <c r="AD114" i="9" s="1"/>
  <c r="U596" i="1"/>
  <c r="U607" i="1" s="1"/>
  <c r="F80" i="9"/>
  <c r="AZ435" i="1"/>
  <c r="AZ257" i="1" s="1"/>
  <c r="AZ260" i="1" s="1"/>
  <c r="U435" i="1"/>
  <c r="U257" i="1" s="1"/>
  <c r="U260" i="1" s="1"/>
  <c r="BK435" i="1"/>
  <c r="BK257" i="1" s="1"/>
  <c r="BK69" i="9" s="1"/>
  <c r="T477" i="1"/>
  <c r="AE536" i="1"/>
  <c r="G57" i="11"/>
  <c r="BL536" i="1"/>
  <c r="AR477" i="1"/>
  <c r="T103" i="11"/>
  <c r="BL499" i="1"/>
  <c r="BD499" i="1"/>
  <c r="C100" i="11"/>
  <c r="K538" i="1"/>
  <c r="L534" i="1" s="1"/>
  <c r="BK596" i="1"/>
  <c r="BK607" i="1" s="1"/>
  <c r="G74" i="11"/>
  <c r="AQ43" i="9"/>
  <c r="K318" i="1"/>
  <c r="AQ318" i="1"/>
  <c r="F343" i="1"/>
  <c r="AD536" i="1"/>
  <c r="F57" i="11"/>
  <c r="K435" i="1"/>
  <c r="K257" i="1" s="1"/>
  <c r="K260" i="1" s="1"/>
  <c r="AF536" i="1"/>
  <c r="H57" i="11"/>
  <c r="BM536" i="1"/>
  <c r="U103" i="11"/>
  <c r="D100" i="11"/>
  <c r="M538" i="1"/>
  <c r="N534" i="1" s="1"/>
  <c r="F595" i="1"/>
  <c r="Q593" i="1"/>
  <c r="X596" i="1"/>
  <c r="X607" i="1" s="1"/>
  <c r="L318" i="1"/>
  <c r="AR318" i="1"/>
  <c r="AE357" i="1"/>
  <c r="AE410" i="1" s="1"/>
  <c r="AH536" i="1"/>
  <c r="J57" i="11"/>
  <c r="BB435" i="1"/>
  <c r="BB257" i="1" s="1"/>
  <c r="S448" i="1"/>
  <c r="AG536" i="1"/>
  <c r="I57" i="11"/>
  <c r="BO458" i="1"/>
  <c r="W103" i="11"/>
  <c r="AU103" i="11" s="1"/>
  <c r="E100" i="11"/>
  <c r="P538" i="1"/>
  <c r="Q534" i="1" s="1"/>
  <c r="AF572" i="1"/>
  <c r="Y596" i="1"/>
  <c r="Y607" i="1" s="1"/>
  <c r="AF194" i="1"/>
  <c r="AF197" i="1" s="1"/>
  <c r="AF132" i="1" s="1"/>
  <c r="AF63" i="9" s="1"/>
  <c r="H74" i="11"/>
  <c r="H84" i="11" s="1"/>
  <c r="AD86" i="1"/>
  <c r="AD202" i="1" s="1"/>
  <c r="AP96" i="1"/>
  <c r="Z21" i="1"/>
  <c r="AC131" i="1"/>
  <c r="AC622" i="1" s="1"/>
  <c r="K150" i="1"/>
  <c r="K155" i="1" s="1"/>
  <c r="K158" i="1" s="1"/>
  <c r="K160" i="1" s="1"/>
  <c r="K165" i="1" s="1"/>
  <c r="K173" i="1" s="1"/>
  <c r="K176" i="1" s="1"/>
  <c r="AG11" i="1"/>
  <c r="AG18" i="9" s="1"/>
  <c r="I74" i="11"/>
  <c r="I84" i="11" s="1"/>
  <c r="BL270" i="1"/>
  <c r="AL285" i="1"/>
  <c r="AP286" i="1"/>
  <c r="N287" i="1"/>
  <c r="N289" i="1" s="1"/>
  <c r="N107" i="9" s="1"/>
  <c r="M318" i="1"/>
  <c r="AS318" i="1"/>
  <c r="N343" i="1"/>
  <c r="AF357" i="1"/>
  <c r="AF410" i="1" s="1"/>
  <c r="BO357" i="1"/>
  <c r="BO410" i="1" s="1"/>
  <c r="K357" i="1"/>
  <c r="K410" i="1" s="1"/>
  <c r="AL536" i="1"/>
  <c r="N57" i="11"/>
  <c r="Z407" i="1"/>
  <c r="BC435" i="1"/>
  <c r="BC257" i="1" s="1"/>
  <c r="BC260" i="1" s="1"/>
  <c r="G100" i="11"/>
  <c r="Q538" i="1"/>
  <c r="R534" i="1" s="1"/>
  <c r="BI263" i="1"/>
  <c r="BI546" i="1" s="1"/>
  <c r="BI530" i="1" s="1"/>
  <c r="N318" i="1"/>
  <c r="AT318" i="1"/>
  <c r="V10" i="9"/>
  <c r="AG357" i="1"/>
  <c r="AG410" i="1" s="1"/>
  <c r="Y435" i="1"/>
  <c r="Y257" i="1" s="1"/>
  <c r="Y260" i="1" s="1"/>
  <c r="AO477" i="1"/>
  <c r="Q58" i="11"/>
  <c r="BH499" i="1"/>
  <c r="H100" i="11"/>
  <c r="S538" i="1"/>
  <c r="T534" i="1" s="1"/>
  <c r="AA596" i="1"/>
  <c r="AA607" i="1" s="1"/>
  <c r="AJ72" i="1"/>
  <c r="AJ11" i="1"/>
  <c r="AJ18" i="9" s="1"/>
  <c r="T201" i="1"/>
  <c r="T529" i="1" s="1"/>
  <c r="L74" i="11"/>
  <c r="L84" i="11" s="1"/>
  <c r="BJ263" i="1"/>
  <c r="BJ546" i="1" s="1"/>
  <c r="BJ530" i="1" s="1"/>
  <c r="P287" i="1"/>
  <c r="P8" i="9" s="1"/>
  <c r="K316" i="1"/>
  <c r="K319" i="1" s="1"/>
  <c r="AQ316" i="1"/>
  <c r="AQ319" i="1" s="1"/>
  <c r="O318" i="1"/>
  <c r="AU318" i="1"/>
  <c r="V435" i="1"/>
  <c r="V257" i="1" s="1"/>
  <c r="V69" i="9" s="1"/>
  <c r="AT343" i="1"/>
  <c r="AT536" i="1"/>
  <c r="V57" i="11"/>
  <c r="BO473" i="1"/>
  <c r="I100" i="11"/>
  <c r="Z566" i="1"/>
  <c r="Z538" i="1" s="1"/>
  <c r="BK572" i="1"/>
  <c r="F605" i="1"/>
  <c r="F99" i="9" s="1"/>
  <c r="L316" i="1"/>
  <c r="L319" i="1" s="1"/>
  <c r="AR316" i="1"/>
  <c r="AR319" i="1" s="1"/>
  <c r="P318" i="1"/>
  <c r="AZ318" i="1"/>
  <c r="AV324" i="1"/>
  <c r="AV10" i="9" s="1"/>
  <c r="O357" i="1"/>
  <c r="O410" i="1" s="1"/>
  <c r="BF435" i="1"/>
  <c r="BF257" i="1" s="1"/>
  <c r="K100" i="11"/>
  <c r="BN538" i="1"/>
  <c r="BL572" i="1"/>
  <c r="AB596" i="1"/>
  <c r="AB607" i="1" s="1"/>
  <c r="AM194" i="1"/>
  <c r="AM197" i="1" s="1"/>
  <c r="AM111" i="9" s="1"/>
  <c r="AA203" i="1"/>
  <c r="O74" i="11"/>
  <c r="BL263" i="1"/>
  <c r="BL621" i="1" s="1"/>
  <c r="AL284" i="1"/>
  <c r="R287" i="1"/>
  <c r="R289" i="1" s="1"/>
  <c r="M316" i="1"/>
  <c r="M319" i="1" s="1"/>
  <c r="AS316" i="1"/>
  <c r="AS319" i="1" s="1"/>
  <c r="AW324" i="1"/>
  <c r="AW10" i="9" s="1"/>
  <c r="AD343" i="1"/>
  <c r="BS357" i="1"/>
  <c r="BS410" i="1" s="1"/>
  <c r="AH80" i="9"/>
  <c r="AN448" i="1"/>
  <c r="AN536" i="1"/>
  <c r="P57" i="11"/>
  <c r="T499" i="1"/>
  <c r="L100" i="11"/>
  <c r="X538" i="1"/>
  <c r="Y534" i="1" s="1"/>
  <c r="R584" i="1"/>
  <c r="R113" i="9" s="1"/>
  <c r="S114" i="9" s="1"/>
  <c r="AJ596" i="1"/>
  <c r="AJ607" i="1" s="1"/>
  <c r="AC270" i="1"/>
  <c r="AC79" i="9" s="1"/>
  <c r="S289" i="1"/>
  <c r="S107" i="9" s="1"/>
  <c r="Z10" i="9"/>
  <c r="AX324" i="1"/>
  <c r="AX10" i="9" s="1"/>
  <c r="BO454" i="1"/>
  <c r="M100" i="11"/>
  <c r="AM572" i="1"/>
  <c r="AF46" i="1"/>
  <c r="AF28" i="1" s="1"/>
  <c r="T137" i="1"/>
  <c r="Q150" i="1"/>
  <c r="Q155" i="1" s="1"/>
  <c r="Q158" i="1" s="1"/>
  <c r="Q160" i="1" s="1"/>
  <c r="Q165" i="1" s="1"/>
  <c r="Q173" i="1" s="1"/>
  <c r="V213" i="1"/>
  <c r="V46" i="9" s="1"/>
  <c r="AO127" i="1"/>
  <c r="AO128" i="1" s="1"/>
  <c r="Q74" i="11"/>
  <c r="Q84" i="11" s="1"/>
  <c r="Y263" i="1"/>
  <c r="Y72" i="9" s="1"/>
  <c r="AL267" i="1"/>
  <c r="AL74" i="9" s="1"/>
  <c r="AE270" i="1"/>
  <c r="AE79" i="9" s="1"/>
  <c r="P286" i="1"/>
  <c r="O316" i="1"/>
  <c r="O319" i="1" s="1"/>
  <c r="AU316" i="1"/>
  <c r="AU319" i="1" s="1"/>
  <c r="S318" i="1"/>
  <c r="AA10" i="9"/>
  <c r="BH10" i="9"/>
  <c r="AY10" i="9"/>
  <c r="BD357" i="1"/>
  <c r="BD410" i="1" s="1"/>
  <c r="AT422" i="1"/>
  <c r="AB448" i="1"/>
  <c r="AQ536" i="1"/>
  <c r="S57" i="11"/>
  <c r="BP473" i="1"/>
  <c r="BP265" i="1" s="1"/>
  <c r="BT76" i="9" s="1"/>
  <c r="O100" i="11"/>
  <c r="AA538" i="1"/>
  <c r="AB534" i="1" s="1"/>
  <c r="V595" i="1"/>
  <c r="AN596" i="1"/>
  <c r="AN607" i="1" s="1"/>
  <c r="AK150" i="1"/>
  <c r="AK155" i="1" s="1"/>
  <c r="AK158" i="1" s="1"/>
  <c r="AK162" i="1" s="1"/>
  <c r="F77" i="1"/>
  <c r="BH150" i="1"/>
  <c r="BH155" i="1" s="1"/>
  <c r="BH158" i="1" s="1"/>
  <c r="BH162" i="1" s="1"/>
  <c r="R213" i="1"/>
  <c r="R46" i="9" s="1"/>
  <c r="BK53" i="1"/>
  <c r="S150" i="1"/>
  <c r="S155" i="1" s="1"/>
  <c r="S158" i="1" s="1"/>
  <c r="S160" i="1" s="1"/>
  <c r="S165" i="1" s="1"/>
  <c r="S173" i="1" s="1"/>
  <c r="S176" i="1" s="1"/>
  <c r="AH210" i="1"/>
  <c r="Z213" i="1"/>
  <c r="Z46" i="9" s="1"/>
  <c r="S74" i="11"/>
  <c r="AA52" i="9"/>
  <c r="C78" i="11"/>
  <c r="P316" i="1"/>
  <c r="P319" i="1" s="1"/>
  <c r="AZ316" i="1"/>
  <c r="AZ319" i="1" s="1"/>
  <c r="T318" i="1"/>
  <c r="AZ10" i="9"/>
  <c r="AO357" i="1"/>
  <c r="AO410" i="1" s="1"/>
  <c r="BE357" i="1"/>
  <c r="BE410" i="1" s="1"/>
  <c r="BO422" i="1"/>
  <c r="AR536" i="1"/>
  <c r="T57" i="11"/>
  <c r="S477" i="1"/>
  <c r="P100" i="11"/>
  <c r="AO572" i="1"/>
  <c r="BL72" i="1"/>
  <c r="BI114" i="1"/>
  <c r="T150" i="1"/>
  <c r="T155" i="1" s="1"/>
  <c r="T158" i="1" s="1"/>
  <c r="T162" i="1" s="1"/>
  <c r="AR131" i="1"/>
  <c r="AR622" i="1" s="1"/>
  <c r="T74" i="11"/>
  <c r="T84" i="11" s="1"/>
  <c r="AB52" i="9"/>
  <c r="D78" i="11"/>
  <c r="AB263" i="1"/>
  <c r="AB546" i="1" s="1"/>
  <c r="AB530" i="1" s="1"/>
  <c r="AN267" i="1"/>
  <c r="AN74" i="9" s="1"/>
  <c r="AP284" i="1"/>
  <c r="AP614" i="1" s="1"/>
  <c r="BA316" i="1"/>
  <c r="BA319" i="1" s="1"/>
  <c r="AC10" i="9"/>
  <c r="BJ10" i="9"/>
  <c r="BA10" i="9"/>
  <c r="BF357" i="1"/>
  <c r="BF410" i="1" s="1"/>
  <c r="AT407" i="1"/>
  <c r="AO70" i="9"/>
  <c r="BE448" i="1"/>
  <c r="AS536" i="1"/>
  <c r="U57" i="11"/>
  <c r="Q100" i="11"/>
  <c r="AR573" i="1"/>
  <c r="AR104" i="9" s="1"/>
  <c r="BA596" i="1"/>
  <c r="BA607" i="1" s="1"/>
  <c r="X435" i="1"/>
  <c r="X257" i="1" s="1"/>
  <c r="X69" i="9" s="1"/>
  <c r="BF448" i="1"/>
  <c r="F100" i="11"/>
  <c r="AM11" i="1"/>
  <c r="AM18" i="9" s="1"/>
  <c r="BC124" i="1"/>
  <c r="BC125" i="1" s="1"/>
  <c r="AR137" i="1"/>
  <c r="W150" i="1"/>
  <c r="W155" i="1" s="1"/>
  <c r="W158" i="1" s="1"/>
  <c r="W160" i="1" s="1"/>
  <c r="W165" i="1" s="1"/>
  <c r="W173" i="1" s="1"/>
  <c r="D127" i="1"/>
  <c r="D128" i="1" s="1"/>
  <c r="AD52" i="9"/>
  <c r="F78" i="11"/>
  <c r="AE263" i="1"/>
  <c r="AE72" i="9" s="1"/>
  <c r="S316" i="1"/>
  <c r="S319" i="1" s="1"/>
  <c r="W318" i="1"/>
  <c r="AE10" i="9"/>
  <c r="AS357" i="1"/>
  <c r="AS410" i="1" s="1"/>
  <c r="J100" i="11"/>
  <c r="G448" i="1"/>
  <c r="BG448" i="1"/>
  <c r="T448" i="1"/>
  <c r="G536" i="1"/>
  <c r="T100" i="11"/>
  <c r="R558" i="1"/>
  <c r="AL595" i="1"/>
  <c r="AG46" i="1"/>
  <c r="AG28" i="1" s="1"/>
  <c r="AK11" i="1"/>
  <c r="AK18" i="9" s="1"/>
  <c r="S100" i="11"/>
  <c r="BG596" i="1"/>
  <c r="BG607" i="1" s="1"/>
  <c r="AN11" i="1"/>
  <c r="AN18" i="9" s="1"/>
  <c r="BJ44" i="1"/>
  <c r="AP264" i="11" s="1"/>
  <c r="BM103" i="1"/>
  <c r="BM104" i="1" s="1"/>
  <c r="BD124" i="1"/>
  <c r="BD125" i="1" s="1"/>
  <c r="X150" i="1"/>
  <c r="X155" i="1" s="1"/>
  <c r="X158" i="1" s="1"/>
  <c r="X160" i="1" s="1"/>
  <c r="X165" i="1" s="1"/>
  <c r="X173" i="1" s="1"/>
  <c r="X176" i="1" s="1"/>
  <c r="E131" i="1"/>
  <c r="E622" i="1" s="1"/>
  <c r="AE52" i="9"/>
  <c r="G78" i="11"/>
  <c r="AF263" i="1"/>
  <c r="AF72" i="9" s="1"/>
  <c r="AQ271" i="1"/>
  <c r="AQ78" i="9" s="1"/>
  <c r="T316" i="1"/>
  <c r="T319" i="1" s="1"/>
  <c r="X318" i="1"/>
  <c r="N100" i="11"/>
  <c r="BP422" i="1"/>
  <c r="AM477" i="1"/>
  <c r="O56" i="11"/>
  <c r="H536" i="1"/>
  <c r="U100" i="11"/>
  <c r="BR80" i="9"/>
  <c r="AZ573" i="1"/>
  <c r="AK72" i="1"/>
  <c r="J213" i="1"/>
  <c r="J46" i="9" s="1"/>
  <c r="AL72" i="1"/>
  <c r="AC52" i="9"/>
  <c r="E78" i="11"/>
  <c r="BN103" i="1"/>
  <c r="BN104" i="1" s="1"/>
  <c r="X20" i="1"/>
  <c r="Y150" i="1"/>
  <c r="Y155" i="1" s="1"/>
  <c r="Y158" i="1" s="1"/>
  <c r="Y162" i="1" s="1"/>
  <c r="F196" i="1"/>
  <c r="F131" i="1" s="1"/>
  <c r="F622" i="1" s="1"/>
  <c r="AP168" i="1"/>
  <c r="G137" i="1"/>
  <c r="AF52" i="9"/>
  <c r="H78" i="11"/>
  <c r="AG263" i="1"/>
  <c r="AG72" i="9" s="1"/>
  <c r="AM270" i="1"/>
  <c r="AM79" i="9" s="1"/>
  <c r="AT284" i="1"/>
  <c r="AT7" i="9" s="1"/>
  <c r="AG10" i="9"/>
  <c r="BN10" i="9"/>
  <c r="R100" i="11"/>
  <c r="BI448" i="1"/>
  <c r="W100" i="11"/>
  <c r="AI572" i="1"/>
  <c r="H10" i="11"/>
  <c r="M74" i="11"/>
  <c r="M84" i="11" s="1"/>
  <c r="U150" i="1"/>
  <c r="U155" i="1" s="1"/>
  <c r="U158" i="1" s="1"/>
  <c r="U160" i="1" s="1"/>
  <c r="U165" i="1" s="1"/>
  <c r="U173" i="1" s="1"/>
  <c r="AP210" i="1"/>
  <c r="AI270" i="1"/>
  <c r="AI79" i="9" s="1"/>
  <c r="AX407" i="1"/>
  <c r="AD46" i="1"/>
  <c r="AD28" i="1" s="1"/>
  <c r="F213" i="11" s="1"/>
  <c r="F127" i="11" s="1"/>
  <c r="AH77" i="1"/>
  <c r="AE104" i="1"/>
  <c r="AP99" i="1"/>
  <c r="BF124" i="1"/>
  <c r="BF125" i="1" s="1"/>
  <c r="AA150" i="1"/>
  <c r="AA155" i="1" s="1"/>
  <c r="AA158" i="1" s="1"/>
  <c r="AA162" i="1" s="1"/>
  <c r="N172" i="1"/>
  <c r="AG52" i="9"/>
  <c r="I78" i="11"/>
  <c r="AI263" i="1"/>
  <c r="AI72" i="9" s="1"/>
  <c r="V316" i="1"/>
  <c r="V319" i="1" s="1"/>
  <c r="Z318" i="1"/>
  <c r="AA357" i="1"/>
  <c r="AA410" i="1" s="1"/>
  <c r="V100" i="11"/>
  <c r="BE435" i="1"/>
  <c r="BE257" i="1" s="1"/>
  <c r="BE260" i="1" s="1"/>
  <c r="K536" i="1"/>
  <c r="O536" i="1"/>
  <c r="BT80" i="9"/>
  <c r="AI538" i="1"/>
  <c r="AJ534" i="1" s="1"/>
  <c r="BB573" i="1"/>
  <c r="AJ572" i="1"/>
  <c r="BL103" i="1"/>
  <c r="BL104" i="1" s="1"/>
  <c r="AN103" i="1"/>
  <c r="AN104" i="1" s="1"/>
  <c r="AM103" i="1"/>
  <c r="AM104" i="1" s="1"/>
  <c r="AO103" i="1"/>
  <c r="AO104" i="1" s="1"/>
  <c r="AP93" i="1"/>
  <c r="AQ103" i="1"/>
  <c r="AQ104" i="1" s="1"/>
  <c r="AH93" i="1"/>
  <c r="AU103" i="1"/>
  <c r="AU104" i="1" s="1"/>
  <c r="AT93" i="1"/>
  <c r="P15" i="11"/>
  <c r="N15" i="11"/>
  <c r="S14" i="11"/>
  <c r="K15" i="11"/>
  <c r="P11" i="11"/>
  <c r="Q11" i="11"/>
  <c r="U14" i="11"/>
  <c r="M15" i="11"/>
  <c r="AS9" i="11"/>
  <c r="T14" i="11"/>
  <c r="V14" i="11"/>
  <c r="W14" i="11"/>
  <c r="AT9" i="11"/>
  <c r="Q15" i="11"/>
  <c r="AR10" i="11"/>
  <c r="AT246" i="1"/>
  <c r="AT245" i="1"/>
  <c r="F245" i="1"/>
  <c r="V246" i="1"/>
  <c r="F127" i="1"/>
  <c r="F128" i="1" s="1"/>
  <c r="F138" i="1"/>
  <c r="J22" i="1"/>
  <c r="J127" i="1"/>
  <c r="J128" i="1" s="1"/>
  <c r="J138" i="1"/>
  <c r="AG124" i="1"/>
  <c r="AG125" i="1" s="1"/>
  <c r="AC127" i="1"/>
  <c r="AC128" i="1" s="1"/>
  <c r="H131" i="1"/>
  <c r="H622" i="1" s="1"/>
  <c r="AH167" i="1"/>
  <c r="J168" i="1"/>
  <c r="BB131" i="1"/>
  <c r="BB622" i="1" s="1"/>
  <c r="G43" i="9"/>
  <c r="G127" i="1"/>
  <c r="G128" i="1" s="1"/>
  <c r="AR43" i="9"/>
  <c r="I43" i="9"/>
  <c r="BE131" i="1"/>
  <c r="BE622" i="1" s="1"/>
  <c r="J43" i="9"/>
  <c r="K43" i="9"/>
  <c r="Q194" i="1"/>
  <c r="Q197" i="1" s="1"/>
  <c r="Q111" i="9" s="1"/>
  <c r="BI131" i="1"/>
  <c r="BI622" i="1" s="1"/>
  <c r="BG43" i="9"/>
  <c r="P11" i="1"/>
  <c r="P18" i="9" s="1"/>
  <c r="O127" i="1"/>
  <c r="O128" i="1" s="1"/>
  <c r="BJ131" i="1"/>
  <c r="BJ622" i="1" s="1"/>
  <c r="AC194" i="1"/>
  <c r="AC197" i="1" s="1"/>
  <c r="AC132" i="1" s="1"/>
  <c r="AC63" i="9" s="1"/>
  <c r="BL131" i="1"/>
  <c r="BL622" i="1" s="1"/>
  <c r="BJ43" i="9"/>
  <c r="AI150" i="1"/>
  <c r="AI155" i="1" s="1"/>
  <c r="AI158" i="1" s="1"/>
  <c r="AI162" i="1" s="1"/>
  <c r="BK43" i="9"/>
  <c r="Q22" i="1"/>
  <c r="AB127" i="1"/>
  <c r="AB128" i="1" s="1"/>
  <c r="C131" i="1"/>
  <c r="C622" i="1" s="1"/>
  <c r="AL196" i="1"/>
  <c r="AL40" i="9" s="1"/>
  <c r="AG194" i="1"/>
  <c r="AG197" i="1" s="1"/>
  <c r="AG111" i="9" s="1"/>
  <c r="BL43" i="9"/>
  <c r="T22" i="1"/>
  <c r="AE11" i="1"/>
  <c r="AE18" i="9" s="1"/>
  <c r="AE127" i="1"/>
  <c r="AE128" i="1" s="1"/>
  <c r="I131" i="1"/>
  <c r="I622" i="1" s="1"/>
  <c r="AM150" i="1"/>
  <c r="AM155" i="1" s="1"/>
  <c r="AM158" i="1" s="1"/>
  <c r="AM160" i="1" s="1"/>
  <c r="AM165" i="1" s="1"/>
  <c r="AM173" i="1" s="1"/>
  <c r="BN127" i="1"/>
  <c r="BN128" i="1" s="1"/>
  <c r="U43" i="9"/>
  <c r="BN43" i="9"/>
  <c r="AR127" i="1"/>
  <c r="AR128" i="1" s="1"/>
  <c r="AF131" i="1"/>
  <c r="AF622" i="1" s="1"/>
  <c r="Z172" i="1"/>
  <c r="E127" i="1"/>
  <c r="E128" i="1" s="1"/>
  <c r="BC131" i="1"/>
  <c r="BC622" i="1" s="1"/>
  <c r="H43" i="9"/>
  <c r="H127" i="1"/>
  <c r="H128" i="1" s="1"/>
  <c r="BD131" i="1"/>
  <c r="BD622" i="1" s="1"/>
  <c r="BF131" i="1"/>
  <c r="BF622" i="1" s="1"/>
  <c r="BD43" i="9"/>
  <c r="BG131" i="1"/>
  <c r="BG622" i="1" s="1"/>
  <c r="L43" i="9"/>
  <c r="BH131" i="1"/>
  <c r="BH622" i="1" s="1"/>
  <c r="H11" i="1"/>
  <c r="H18" i="9" s="1"/>
  <c r="M127" i="1"/>
  <c r="M128" i="1" s="1"/>
  <c r="Y194" i="1"/>
  <c r="Y197" i="1" s="1"/>
  <c r="Y132" i="1" s="1"/>
  <c r="Y63" i="9" s="1"/>
  <c r="BH43" i="9"/>
  <c r="BK131" i="1"/>
  <c r="BK622" i="1" s="1"/>
  <c r="AG150" i="1"/>
  <c r="AG155" i="1" s="1"/>
  <c r="AG158" i="1" s="1"/>
  <c r="AG162" i="1" s="1"/>
  <c r="AE194" i="1"/>
  <c r="AE197" i="1" s="1"/>
  <c r="AE211" i="1" s="1"/>
  <c r="AE124" i="1"/>
  <c r="AE125" i="1" s="1"/>
  <c r="AH196" i="1"/>
  <c r="AH40" i="9" s="1"/>
  <c r="AF124" i="1"/>
  <c r="AF125" i="1" s="1"/>
  <c r="S43" i="9"/>
  <c r="AF11" i="1"/>
  <c r="AF18" i="9" s="1"/>
  <c r="Y22" i="1"/>
  <c r="AO124" i="1"/>
  <c r="AO125" i="1" s="1"/>
  <c r="AF127" i="1"/>
  <c r="AF128" i="1" s="1"/>
  <c r="K131" i="1"/>
  <c r="K622" i="1" s="1"/>
  <c r="AN150" i="1"/>
  <c r="AN155" i="1" s="1"/>
  <c r="AN158" i="1" s="1"/>
  <c r="AN162" i="1" s="1"/>
  <c r="L131" i="1"/>
  <c r="L622" i="1" s="1"/>
  <c r="AK131" i="1"/>
  <c r="AK622" i="1" s="1"/>
  <c r="AM131" i="1"/>
  <c r="AM622" i="1" s="1"/>
  <c r="AN131" i="1"/>
  <c r="AN622" i="1" s="1"/>
  <c r="I127" i="1"/>
  <c r="I128" i="1" s="1"/>
  <c r="G11" i="1"/>
  <c r="G18" i="9" s="1"/>
  <c r="BF43" i="9"/>
  <c r="R166" i="1"/>
  <c r="AB194" i="1"/>
  <c r="AB197" i="1" s="1"/>
  <c r="AB132" i="1" s="1"/>
  <c r="AB63" i="9" s="1"/>
  <c r="X127" i="1"/>
  <c r="X128" i="1" s="1"/>
  <c r="P43" i="9"/>
  <c r="AD196" i="1"/>
  <c r="AD40" i="9" s="1"/>
  <c r="AT172" i="1"/>
  <c r="BM131" i="1"/>
  <c r="BM622" i="1" s="1"/>
  <c r="AQ124" i="1"/>
  <c r="AQ125" i="1" s="1"/>
  <c r="J149" i="1"/>
  <c r="AI11" i="1"/>
  <c r="AI18" i="9" s="1"/>
  <c r="AR124" i="1"/>
  <c r="AR125" i="1" s="1"/>
  <c r="AJ127" i="1"/>
  <c r="AJ128" i="1" s="1"/>
  <c r="M131" i="1"/>
  <c r="M622" i="1" s="1"/>
  <c r="C137" i="1"/>
  <c r="C150" i="1"/>
  <c r="C155" i="1" s="1"/>
  <c r="C158" i="1" s="1"/>
  <c r="C162" i="1" s="1"/>
  <c r="AQ150" i="1"/>
  <c r="AQ155" i="1" s="1"/>
  <c r="AQ158" i="1" s="1"/>
  <c r="AQ160" i="1" s="1"/>
  <c r="AQ165" i="1" s="1"/>
  <c r="AQ173" i="1" s="1"/>
  <c r="AD166" i="1"/>
  <c r="AI22" i="1"/>
  <c r="AS127" i="1"/>
  <c r="AS128" i="1" s="1"/>
  <c r="D43" i="9"/>
  <c r="E43" i="9"/>
  <c r="AS43" i="9"/>
  <c r="K127" i="1"/>
  <c r="K128" i="1" s="1"/>
  <c r="P194" i="1"/>
  <c r="P197" i="1" s="1"/>
  <c r="P132" i="1" s="1"/>
  <c r="P63" i="9" s="1"/>
  <c r="L127" i="1"/>
  <c r="L128" i="1" s="1"/>
  <c r="O43" i="9"/>
  <c r="Z196" i="1"/>
  <c r="Z40" i="9" s="1"/>
  <c r="N169" i="1"/>
  <c r="N180" i="1" s="1"/>
  <c r="BI43" i="9"/>
  <c r="Y127" i="1"/>
  <c r="Y128" i="1" s="1"/>
  <c r="AG127" i="1"/>
  <c r="AG128" i="1" s="1"/>
  <c r="AS124" i="1"/>
  <c r="AS125" i="1" s="1"/>
  <c r="AM127" i="1"/>
  <c r="AM128" i="1" s="1"/>
  <c r="O131" i="1"/>
  <c r="O622" i="1" s="1"/>
  <c r="E137" i="1"/>
  <c r="D150" i="1"/>
  <c r="D155" i="1" s="1"/>
  <c r="D158" i="1" s="1"/>
  <c r="D162" i="1" s="1"/>
  <c r="AR150" i="1"/>
  <c r="AR155" i="1" s="1"/>
  <c r="AR158" i="1" s="1"/>
  <c r="AR160" i="1" s="1"/>
  <c r="AR165" i="1" s="1"/>
  <c r="AR173" i="1" s="1"/>
  <c r="R172" i="1"/>
  <c r="BR43" i="9"/>
  <c r="Z19" i="1"/>
  <c r="AH19" i="1"/>
  <c r="BK20" i="1"/>
  <c r="AF20" i="1"/>
  <c r="BJ71" i="1"/>
  <c r="AR35" i="1"/>
  <c r="AW36" i="1"/>
  <c r="AW29" i="1" s="1"/>
  <c r="AW8" i="1" s="1"/>
  <c r="AW15" i="9" s="1"/>
  <c r="AK37" i="1"/>
  <c r="AM37" i="1"/>
  <c r="AW58" i="1"/>
  <c r="AW15" i="1" s="1"/>
  <c r="AW28" i="9" s="1"/>
  <c r="AM15" i="1"/>
  <c r="AM28" i="9" s="1"/>
  <c r="AT35" i="1"/>
  <c r="BA30" i="9"/>
  <c r="AN15" i="1"/>
  <c r="AN28" i="9" s="1"/>
  <c r="AU35" i="1"/>
  <c r="AO15" i="1"/>
  <c r="AO28" i="9" s="1"/>
  <c r="AF15" i="1"/>
  <c r="AF28" i="9" s="1"/>
  <c r="AU15" i="1"/>
  <c r="AU28" i="9" s="1"/>
  <c r="BK15" i="1"/>
  <c r="BO28" i="9" s="1"/>
  <c r="AP15" i="1"/>
  <c r="AP28" i="9" s="1"/>
  <c r="AQ15" i="1"/>
  <c r="AQ28" i="9" s="1"/>
  <c r="C62" i="9"/>
  <c r="AS15" i="1"/>
  <c r="AS28" i="9" s="1"/>
  <c r="BL15" i="1"/>
  <c r="BP28" i="9" s="1"/>
  <c r="AC23" i="9"/>
  <c r="AC36" i="1"/>
  <c r="AD23" i="9"/>
  <c r="AD36" i="1"/>
  <c r="AD35" i="9" s="1"/>
  <c r="BL43" i="1"/>
  <c r="AR263" i="11" s="1"/>
  <c r="AK46" i="1"/>
  <c r="AK28" i="1" s="1"/>
  <c r="AH46" i="1"/>
  <c r="AH28" i="1" s="1"/>
  <c r="BK535" i="1"/>
  <c r="BK201" i="1"/>
  <c r="BK137" i="1"/>
  <c r="AU535" i="1"/>
  <c r="AU137" i="1"/>
  <c r="AU201" i="1"/>
  <c r="W69" i="11" s="1"/>
  <c r="AO202" i="1"/>
  <c r="AQ535" i="1"/>
  <c r="AQ137" i="1"/>
  <c r="AQ201" i="1"/>
  <c r="S69" i="11" s="1"/>
  <c r="AS535" i="1"/>
  <c r="AS137" i="1"/>
  <c r="AS201" i="1"/>
  <c r="U69" i="11" s="1"/>
  <c r="BM535" i="1"/>
  <c r="BM201" i="1"/>
  <c r="BM137" i="1"/>
  <c r="AM202" i="1"/>
  <c r="AZ696" i="1"/>
  <c r="AZ694" i="1" s="1"/>
  <c r="AZ315" i="1" s="1"/>
  <c r="AZ689" i="1"/>
  <c r="AZ687" i="1" s="1"/>
  <c r="AZ314" i="1" s="1"/>
  <c r="AZ698" i="1"/>
  <c r="AZ682" i="1"/>
  <c r="AZ680" i="1" s="1"/>
  <c r="AZ313" i="1" s="1"/>
  <c r="AZ684" i="1"/>
  <c r="AZ691" i="1"/>
  <c r="N38" i="9"/>
  <c r="N518" i="1"/>
  <c r="N516" i="1"/>
  <c r="N515" i="1"/>
  <c r="N616" i="1"/>
  <c r="N513" i="1"/>
  <c r="N138" i="1"/>
  <c r="N11" i="1"/>
  <c r="N18" i="9" s="1"/>
  <c r="AP208" i="1"/>
  <c r="AP166" i="1"/>
  <c r="BH535" i="1"/>
  <c r="BH137" i="1"/>
  <c r="BH201" i="1"/>
  <c r="AE23" i="9"/>
  <c r="AE10" i="1"/>
  <c r="AE17" i="9" s="1"/>
  <c r="AO35" i="9"/>
  <c r="AS37" i="1"/>
  <c r="BI86" i="1"/>
  <c r="BI202" i="1" s="1"/>
  <c r="Z83" i="1"/>
  <c r="Z86" i="1" s="1"/>
  <c r="Z202" i="1" s="1"/>
  <c r="BF535" i="1"/>
  <c r="BF137" i="1"/>
  <c r="BF201" i="1"/>
  <c r="D202" i="1"/>
  <c r="D87" i="1"/>
  <c r="AH103" i="1"/>
  <c r="R146" i="1"/>
  <c r="V146" i="1"/>
  <c r="V190" i="1"/>
  <c r="W513" i="1" s="1"/>
  <c r="AD209" i="1"/>
  <c r="AD167" i="1"/>
  <c r="AP77" i="1"/>
  <c r="AE535" i="1"/>
  <c r="AE137" i="1"/>
  <c r="AE201" i="1"/>
  <c r="G69" i="11" s="1"/>
  <c r="Z112" i="1"/>
  <c r="Z18" i="1"/>
  <c r="AD146" i="1"/>
  <c r="AD190" i="1"/>
  <c r="AF514" i="1" s="1"/>
  <c r="AL209" i="1"/>
  <c r="AL167" i="1"/>
  <c r="AH216" i="1"/>
  <c r="AH45" i="9" s="1"/>
  <c r="AH170" i="1"/>
  <c r="R38" i="9"/>
  <c r="R616" i="1"/>
  <c r="R513" i="1"/>
  <c r="R516" i="1"/>
  <c r="R515" i="1"/>
  <c r="R518" i="1"/>
  <c r="R514" i="1"/>
  <c r="R517" i="1"/>
  <c r="R11" i="1"/>
  <c r="R18" i="9" s="1"/>
  <c r="R138" i="1"/>
  <c r="R194" i="1"/>
  <c r="AI23" i="9"/>
  <c r="AI10" i="1"/>
  <c r="AI17" i="9" s="1"/>
  <c r="H535" i="1"/>
  <c r="H137" i="1"/>
  <c r="H201" i="1"/>
  <c r="BL535" i="1"/>
  <c r="BL541" i="1" s="1"/>
  <c r="BL201" i="1"/>
  <c r="AD18" i="1"/>
  <c r="AD112" i="1"/>
  <c r="S38" i="9"/>
  <c r="S62" i="9" s="1"/>
  <c r="S616" i="1"/>
  <c r="S513" i="1"/>
  <c r="S518" i="1"/>
  <c r="S517" i="1"/>
  <c r="S516" i="1"/>
  <c r="S515" i="1"/>
  <c r="S514" i="1"/>
  <c r="S131" i="1"/>
  <c r="S622" i="1" s="1"/>
  <c r="S11" i="1"/>
  <c r="S18" i="9" s="1"/>
  <c r="S138" i="1"/>
  <c r="S194" i="1"/>
  <c r="S197" i="1" s="1"/>
  <c r="AG535" i="1"/>
  <c r="AG201" i="1"/>
  <c r="I69" i="11" s="1"/>
  <c r="AG137" i="1"/>
  <c r="BN535" i="1"/>
  <c r="BN201" i="1"/>
  <c r="BN137" i="1"/>
  <c r="I535" i="1"/>
  <c r="I201" i="1"/>
  <c r="I137" i="1"/>
  <c r="BG20" i="1"/>
  <c r="BG114" i="1"/>
  <c r="AL146" i="1"/>
  <c r="AL190" i="1"/>
  <c r="AO515" i="1" s="1"/>
  <c r="AR15" i="1"/>
  <c r="AR28" i="9" s="1"/>
  <c r="AJ23" i="9"/>
  <c r="AJ10" i="1"/>
  <c r="AJ17" i="9" s="1"/>
  <c r="BQ34" i="9"/>
  <c r="AK23" i="9"/>
  <c r="AK10" i="1"/>
  <c r="AK17" i="9" s="1"/>
  <c r="AE46" i="1"/>
  <c r="AE28" i="1" s="1"/>
  <c r="BK43" i="1"/>
  <c r="AQ263" i="11" s="1"/>
  <c r="AV30" i="9"/>
  <c r="BO56" i="1"/>
  <c r="U138" i="1"/>
  <c r="U174" i="1"/>
  <c r="U179" i="1" s="1"/>
  <c r="AL23" i="9"/>
  <c r="AL10" i="1"/>
  <c r="AL17" i="9" s="1"/>
  <c r="AT32" i="9"/>
  <c r="AT15" i="1"/>
  <c r="AT28" i="9" s="1"/>
  <c r="J77" i="1"/>
  <c r="AI202" i="1"/>
  <c r="K535" i="1"/>
  <c r="K201" i="1"/>
  <c r="K137" i="1"/>
  <c r="W38" i="9"/>
  <c r="W61" i="9" s="1"/>
  <c r="W616" i="1"/>
  <c r="W11" i="1"/>
  <c r="W18" i="9" s="1"/>
  <c r="W131" i="1"/>
  <c r="W622" i="1" s="1"/>
  <c r="W194" i="1"/>
  <c r="W197" i="1" s="1"/>
  <c r="W137" i="1"/>
  <c r="AG23" i="9"/>
  <c r="AG10" i="1"/>
  <c r="AG17" i="9" s="1"/>
  <c r="AQ35" i="9"/>
  <c r="AQ37" i="1"/>
  <c r="AU37" i="1"/>
  <c r="V112" i="1"/>
  <c r="V18" i="1"/>
  <c r="AD216" i="1"/>
  <c r="AD45" i="9" s="1"/>
  <c r="AD170" i="1"/>
  <c r="AM23" i="9"/>
  <c r="AM10" i="1"/>
  <c r="AM17" i="9" s="1"/>
  <c r="AJ535" i="1"/>
  <c r="AJ201" i="1"/>
  <c r="L69" i="11" s="1"/>
  <c r="AJ137" i="1"/>
  <c r="L535" i="1"/>
  <c r="L201" i="1"/>
  <c r="L137" i="1"/>
  <c r="N149" i="1"/>
  <c r="N196" i="1"/>
  <c r="V169" i="1"/>
  <c r="V180" i="1" s="1"/>
  <c r="V210" i="1"/>
  <c r="V43" i="9" s="1"/>
  <c r="X201" i="1"/>
  <c r="AN23" i="9"/>
  <c r="AN10" i="1"/>
  <c r="AN17" i="9" s="1"/>
  <c r="AO23" i="9"/>
  <c r="AO10" i="1"/>
  <c r="AO17" i="9" s="1"/>
  <c r="AO32" i="1"/>
  <c r="AO24" i="9" s="1"/>
  <c r="V196" i="1"/>
  <c r="V149" i="1"/>
  <c r="AD210" i="1"/>
  <c r="AD169" i="1"/>
  <c r="AD180" i="1" s="1"/>
  <c r="AJ46" i="1"/>
  <c r="AJ28" i="1" s="1"/>
  <c r="AI46" i="1"/>
  <c r="AI28" i="1" s="1"/>
  <c r="P535" i="1"/>
  <c r="P201" i="1"/>
  <c r="P137" i="1"/>
  <c r="I87" i="1"/>
  <c r="AI39" i="9"/>
  <c r="AI194" i="1"/>
  <c r="AI197" i="1" s="1"/>
  <c r="AI127" i="1"/>
  <c r="AI128" i="1" s="1"/>
  <c r="Q535" i="1"/>
  <c r="Q137" i="1"/>
  <c r="Q201" i="1"/>
  <c r="AH21" i="1"/>
  <c r="AD21" i="1"/>
  <c r="AL210" i="1"/>
  <c r="AL169" i="1"/>
  <c r="AL180" i="1" s="1"/>
  <c r="K177" i="1"/>
  <c r="K87" i="1"/>
  <c r="AT169" i="1"/>
  <c r="AT180" i="1" s="1"/>
  <c r="AT210" i="1"/>
  <c r="L177" i="1"/>
  <c r="L87" i="1"/>
  <c r="AV31" i="9"/>
  <c r="BO57" i="1"/>
  <c r="AZ31" i="9"/>
  <c r="M177" i="1"/>
  <c r="M87" i="1"/>
  <c r="BL137" i="1"/>
  <c r="BQ23" i="9"/>
  <c r="AI37" i="1"/>
  <c r="AW31" i="9"/>
  <c r="BA31" i="9"/>
  <c r="N83" i="1"/>
  <c r="N86" i="1" s="1"/>
  <c r="N202" i="1" s="1"/>
  <c r="N114" i="1"/>
  <c r="N20" i="1"/>
  <c r="BK44" i="1"/>
  <c r="AQ264" i="11" s="1"/>
  <c r="V83" i="1"/>
  <c r="V86" i="1" s="1"/>
  <c r="V202" i="1" s="1"/>
  <c r="O177" i="1"/>
  <c r="O87" i="1"/>
  <c r="M535" i="1"/>
  <c r="M201" i="1"/>
  <c r="M137" i="1"/>
  <c r="AM34" i="9"/>
  <c r="AQ35" i="1"/>
  <c r="AA535" i="1"/>
  <c r="AA137" i="1"/>
  <c r="AA201" i="1"/>
  <c r="C69" i="11" s="1"/>
  <c r="AO37" i="1"/>
  <c r="AI24" i="1"/>
  <c r="AE68" i="1"/>
  <c r="AE72" i="1" s="1"/>
  <c r="AT81" i="1"/>
  <c r="AT83" i="1" s="1"/>
  <c r="AT86" i="1" s="1"/>
  <c r="AT202" i="1" s="1"/>
  <c r="AN535" i="1"/>
  <c r="AN201" i="1"/>
  <c r="P69" i="11" s="1"/>
  <c r="AB202" i="1"/>
  <c r="BG86" i="1"/>
  <c r="BG202" i="1" s="1"/>
  <c r="R83" i="1"/>
  <c r="R86" i="1" s="1"/>
  <c r="AC535" i="1"/>
  <c r="AC137" i="1"/>
  <c r="AC201" i="1"/>
  <c r="E69" i="11" s="1"/>
  <c r="AF535" i="1"/>
  <c r="AF137" i="1"/>
  <c r="AF201" i="1"/>
  <c r="H69" i="11" s="1"/>
  <c r="AN32" i="1"/>
  <c r="AN24" i="9" s="1"/>
  <c r="AN34" i="9"/>
  <c r="N22" i="1"/>
  <c r="AY22" i="9"/>
  <c r="AE32" i="9"/>
  <c r="AE15" i="1"/>
  <c r="AE28" i="9" s="1"/>
  <c r="AK202" i="1"/>
  <c r="AL46" i="1"/>
  <c r="AL28" i="1" s="1"/>
  <c r="BK68" i="1"/>
  <c r="BA708" i="1"/>
  <c r="AF114" i="1"/>
  <c r="AG114" i="1"/>
  <c r="R22" i="1"/>
  <c r="AG32" i="9"/>
  <c r="AG15" i="1"/>
  <c r="AG28" i="9" s="1"/>
  <c r="BC150" i="1"/>
  <c r="BC155" i="1" s="1"/>
  <c r="BC158" i="1" s="1"/>
  <c r="AR535" i="1"/>
  <c r="AR201" i="1"/>
  <c r="T69" i="11" s="1"/>
  <c r="BB4" i="1"/>
  <c r="BL9" i="1"/>
  <c r="BP16" i="9" s="1"/>
  <c r="S22" i="1"/>
  <c r="BP81" i="1"/>
  <c r="BP83" i="1" s="1"/>
  <c r="AI32" i="9"/>
  <c r="AI15" i="1"/>
  <c r="AI28" i="9" s="1"/>
  <c r="BE150" i="1"/>
  <c r="BE155" i="1" s="1"/>
  <c r="BE158" i="1" s="1"/>
  <c r="AK24" i="1"/>
  <c r="AG68" i="1"/>
  <c r="AG72" i="1" s="1"/>
  <c r="B729" i="1"/>
  <c r="AP102" i="1"/>
  <c r="AH17" i="1"/>
  <c r="AR10" i="1"/>
  <c r="AR17" i="9" s="1"/>
  <c r="W22" i="1"/>
  <c r="BA535" i="1"/>
  <c r="BA137" i="1"/>
  <c r="BA201" i="1"/>
  <c r="AL208" i="1"/>
  <c r="AL166" i="1"/>
  <c r="T138" i="1"/>
  <c r="Z146" i="1"/>
  <c r="AT208" i="1"/>
  <c r="AT166" i="1"/>
  <c r="T38" i="9"/>
  <c r="T62" i="9" s="1"/>
  <c r="T616" i="1"/>
  <c r="T513" i="1"/>
  <c r="T518" i="1"/>
  <c r="T517" i="1"/>
  <c r="T516" i="1"/>
  <c r="T515" i="1"/>
  <c r="T514" i="1"/>
  <c r="AJ39" i="9"/>
  <c r="AJ124" i="1"/>
  <c r="AJ125" i="1" s="1"/>
  <c r="U38" i="9"/>
  <c r="U61" i="9" s="1"/>
  <c r="U616" i="1"/>
  <c r="U513" i="1"/>
  <c r="U518" i="1"/>
  <c r="U517" i="1"/>
  <c r="U516" i="1"/>
  <c r="U515" i="1"/>
  <c r="U514" i="1"/>
  <c r="BD38" i="9"/>
  <c r="AZ518" i="1"/>
  <c r="AZ517" i="1"/>
  <c r="AZ516" i="1"/>
  <c r="AZ515" i="1"/>
  <c r="AZ514" i="1"/>
  <c r="AZ513" i="1"/>
  <c r="AK39" i="9"/>
  <c r="AK124" i="1"/>
  <c r="AK125" i="1" s="1"/>
  <c r="W138" i="1"/>
  <c r="AU43" i="9"/>
  <c r="BO209" i="1"/>
  <c r="BS43" i="9" s="1"/>
  <c r="AJ24" i="1"/>
  <c r="AF68" i="1"/>
  <c r="AF72" i="1" s="1"/>
  <c r="BF20" i="1"/>
  <c r="AH190" i="1"/>
  <c r="AH146" i="1"/>
  <c r="BE38" i="9"/>
  <c r="BA518" i="1"/>
  <c r="BA517" i="1"/>
  <c r="BA516" i="1"/>
  <c r="BA515" i="1"/>
  <c r="BA514" i="1"/>
  <c r="BA513" i="1"/>
  <c r="C39" i="9"/>
  <c r="C61" i="9" s="1"/>
  <c r="C194" i="1"/>
  <c r="C197" i="1" s="1"/>
  <c r="AM39" i="9"/>
  <c r="AM124" i="1"/>
  <c r="AM125" i="1" s="1"/>
  <c r="T194" i="1"/>
  <c r="T197" i="1" s="1"/>
  <c r="X138" i="1"/>
  <c r="BF38" i="9"/>
  <c r="BB518" i="1"/>
  <c r="BB517" i="1"/>
  <c r="BB516" i="1"/>
  <c r="BB515" i="1"/>
  <c r="BB514" i="1"/>
  <c r="BB513" i="1"/>
  <c r="U194" i="1"/>
  <c r="U197" i="1" s="1"/>
  <c r="AS42" i="9"/>
  <c r="AS295" i="1"/>
  <c r="AL24" i="1"/>
  <c r="AH68" i="1"/>
  <c r="AH72" i="1" s="1"/>
  <c r="BH20" i="1"/>
  <c r="AO131" i="1"/>
  <c r="AO622" i="1" s="1"/>
  <c r="X38" i="9"/>
  <c r="X61" i="9" s="1"/>
  <c r="X616" i="1"/>
  <c r="X194" i="1"/>
  <c r="X197" i="1" s="1"/>
  <c r="BG38" i="9"/>
  <c r="BC518" i="1"/>
  <c r="BC517" i="1"/>
  <c r="BC516" i="1"/>
  <c r="BC515" i="1"/>
  <c r="BC514" i="1"/>
  <c r="BC513" i="1"/>
  <c r="Z174" i="1"/>
  <c r="Z179" i="1" s="1"/>
  <c r="AU42" i="9"/>
  <c r="AU295" i="1"/>
  <c r="AJ37" i="1"/>
  <c r="BH114" i="1"/>
  <c r="BJ124" i="1"/>
  <c r="BJ125" i="1" s="1"/>
  <c r="AT209" i="1"/>
  <c r="AT167" i="1"/>
  <c r="Y38" i="9"/>
  <c r="Y61" i="9" s="1"/>
  <c r="Y616" i="1"/>
  <c r="G42" i="9"/>
  <c r="G295" i="1"/>
  <c r="Z210" i="1"/>
  <c r="Z43" i="9" s="1"/>
  <c r="J172" i="1"/>
  <c r="Z190" i="1"/>
  <c r="AB517" i="1" s="1"/>
  <c r="AL37" i="1"/>
  <c r="C535" i="1"/>
  <c r="C201" i="1"/>
  <c r="BJ114" i="1"/>
  <c r="G131" i="1"/>
  <c r="G622" i="1" s="1"/>
  <c r="R169" i="1"/>
  <c r="R180" i="1" s="1"/>
  <c r="R210" i="1"/>
  <c r="R43" i="9" s="1"/>
  <c r="I42" i="9"/>
  <c r="I295" i="1"/>
  <c r="AN37" i="1"/>
  <c r="E535" i="1"/>
  <c r="E201" i="1"/>
  <c r="L42" i="9"/>
  <c r="L295" i="1"/>
  <c r="L296" i="1" s="1"/>
  <c r="M42" i="9"/>
  <c r="M295" i="1"/>
  <c r="BD42" i="9"/>
  <c r="AZ295" i="1"/>
  <c r="T43" i="9"/>
  <c r="U22" i="1"/>
  <c r="BC22" i="1"/>
  <c r="AH23" i="9"/>
  <c r="AH10" i="1"/>
  <c r="AH17" i="9" s="1"/>
  <c r="AP35" i="9"/>
  <c r="AT37" i="1"/>
  <c r="AP37" i="1"/>
  <c r="G535" i="1"/>
  <c r="G201" i="1"/>
  <c r="AL103" i="1"/>
  <c r="AK127" i="1"/>
  <c r="AK128" i="1" s="1"/>
  <c r="AZ131" i="1"/>
  <c r="AZ622" i="1" s="1"/>
  <c r="J196" i="1"/>
  <c r="O42" i="9"/>
  <c r="O295" i="1"/>
  <c r="P42" i="9"/>
  <c r="P295" i="1"/>
  <c r="BF42" i="9"/>
  <c r="BB295" i="1"/>
  <c r="BB296" i="1" s="1"/>
  <c r="BG42" i="9"/>
  <c r="BC295" i="1"/>
  <c r="BC296" i="1" s="1"/>
  <c r="W43" i="9"/>
  <c r="H246" i="1"/>
  <c r="D245" i="1"/>
  <c r="E245" i="1"/>
  <c r="R39" i="9"/>
  <c r="R127" i="1"/>
  <c r="R128" i="1" s="1"/>
  <c r="R42" i="9"/>
  <c r="R295" i="1"/>
  <c r="BH42" i="9"/>
  <c r="BD295" i="1"/>
  <c r="N177" i="1"/>
  <c r="C127" i="1"/>
  <c r="C128" i="1" s="1"/>
  <c r="AK38" i="9"/>
  <c r="AK62" i="9" s="1"/>
  <c r="AK194" i="1"/>
  <c r="AK197" i="1" s="1"/>
  <c r="AK22" i="1"/>
  <c r="BN517" i="1"/>
  <c r="BN516" i="1"/>
  <c r="BN515" i="1"/>
  <c r="BN514" i="1"/>
  <c r="BN513" i="1"/>
  <c r="BN518" i="1"/>
  <c r="BN194" i="1"/>
  <c r="BN197" i="1" s="1"/>
  <c r="BN22" i="1"/>
  <c r="BN131" i="1"/>
  <c r="BN622" i="1" s="1"/>
  <c r="S39" i="9"/>
  <c r="S127" i="1"/>
  <c r="S128" i="1" s="1"/>
  <c r="S42" i="9"/>
  <c r="S295" i="1"/>
  <c r="S296" i="1" s="1"/>
  <c r="BI42" i="9"/>
  <c r="BE295" i="1"/>
  <c r="T39" i="9"/>
  <c r="T127" i="1"/>
  <c r="T128" i="1" s="1"/>
  <c r="E38" i="9"/>
  <c r="E61" i="9" s="1"/>
  <c r="E194" i="1"/>
  <c r="E197" i="1" s="1"/>
  <c r="AM38" i="9"/>
  <c r="AM62" i="9" s="1"/>
  <c r="AM22" i="1"/>
  <c r="U42" i="9"/>
  <c r="U295" i="1"/>
  <c r="U296" i="1" s="1"/>
  <c r="BK42" i="9"/>
  <c r="BG295" i="1"/>
  <c r="AX58" i="1"/>
  <c r="Q87" i="1"/>
  <c r="Q177" i="1"/>
  <c r="F213" i="1"/>
  <c r="F172" i="1"/>
  <c r="V172" i="1"/>
  <c r="F38" i="9"/>
  <c r="F61" i="9" s="1"/>
  <c r="F194" i="1"/>
  <c r="AN38" i="9"/>
  <c r="AN62" i="9" s="1"/>
  <c r="AN194" i="1"/>
  <c r="AN197" i="1" s="1"/>
  <c r="V39" i="9"/>
  <c r="W42" i="9"/>
  <c r="W295" i="1"/>
  <c r="W296" i="1" s="1"/>
  <c r="X42" i="9"/>
  <c r="X295" i="1"/>
  <c r="X296" i="1" s="1"/>
  <c r="D213" i="1"/>
  <c r="AP32" i="1"/>
  <c r="AP24" i="9" s="1"/>
  <c r="T114" i="1"/>
  <c r="T131" i="1"/>
  <c r="T622" i="1" s="1"/>
  <c r="AT196" i="1"/>
  <c r="AT149" i="1"/>
  <c r="H38" i="9"/>
  <c r="H62" i="9" s="1"/>
  <c r="H616" i="1"/>
  <c r="H515" i="1"/>
  <c r="H514" i="1"/>
  <c r="H513" i="1"/>
  <c r="H516" i="1"/>
  <c r="H518" i="1"/>
  <c r="H517" i="1"/>
  <c r="H194" i="1"/>
  <c r="H197" i="1" s="1"/>
  <c r="AP190" i="1"/>
  <c r="AP514" i="1" s="1"/>
  <c r="AZ194" i="1"/>
  <c r="AZ197" i="1" s="1"/>
  <c r="Y42" i="9"/>
  <c r="Y295" i="1"/>
  <c r="Y296" i="1" s="1"/>
  <c r="AU48" i="9"/>
  <c r="BO218" i="1"/>
  <c r="BS48" i="9" s="1"/>
  <c r="W20" i="1"/>
  <c r="BO21" i="9"/>
  <c r="BK31" i="1"/>
  <c r="BP21" i="9"/>
  <c r="BM8" i="1"/>
  <c r="BQ15" i="9" s="1"/>
  <c r="BL31" i="1"/>
  <c r="BM10" i="1" s="1"/>
  <c r="BQ17" i="9" s="1"/>
  <c r="AQ32" i="1"/>
  <c r="AQ24" i="9" s="1"/>
  <c r="U131" i="1"/>
  <c r="U622" i="1" s="1"/>
  <c r="AP146" i="1"/>
  <c r="Z149" i="1"/>
  <c r="I38" i="9"/>
  <c r="I61" i="9" s="1"/>
  <c r="I516" i="1"/>
  <c r="I515" i="1"/>
  <c r="I514" i="1"/>
  <c r="I513" i="1"/>
  <c r="I518" i="1"/>
  <c r="I517" i="1"/>
  <c r="I616" i="1"/>
  <c r="I194" i="1"/>
  <c r="I197" i="1" s="1"/>
  <c r="I11" i="1"/>
  <c r="I18" i="9" s="1"/>
  <c r="AQ38" i="9"/>
  <c r="AQ11" i="1"/>
  <c r="AQ18" i="9" s="1"/>
  <c r="AQ194" i="1"/>
  <c r="AQ197" i="1" s="1"/>
  <c r="BM39" i="9"/>
  <c r="BI194" i="1"/>
  <c r="BI197" i="1" s="1"/>
  <c r="BA194" i="1"/>
  <c r="BA197" i="1" s="1"/>
  <c r="AA42" i="9"/>
  <c r="AA295" i="1"/>
  <c r="AA296" i="1" s="1"/>
  <c r="BA11" i="1"/>
  <c r="BE18" i="9" s="1"/>
  <c r="BB194" i="1"/>
  <c r="BB197" i="1" s="1"/>
  <c r="AS32" i="1"/>
  <c r="AS24" i="9" s="1"/>
  <c r="BK36" i="1"/>
  <c r="BC535" i="1"/>
  <c r="BC201" i="1"/>
  <c r="AZ127" i="1"/>
  <c r="AZ128" i="1" s="1"/>
  <c r="AP169" i="1"/>
  <c r="AP180" i="1" s="1"/>
  <c r="K38" i="9"/>
  <c r="K61" i="9" s="1"/>
  <c r="K514" i="1"/>
  <c r="K513" i="1"/>
  <c r="K515" i="1"/>
  <c r="K518" i="1"/>
  <c r="K517" i="1"/>
  <c r="K516" i="1"/>
  <c r="K616" i="1"/>
  <c r="K194" i="1"/>
  <c r="K197" i="1" s="1"/>
  <c r="K11" i="1"/>
  <c r="K18" i="9" s="1"/>
  <c r="AS38" i="9"/>
  <c r="AS61" i="9" s="1"/>
  <c r="AS11" i="1"/>
  <c r="AS18" i="9" s="1"/>
  <c r="AS194" i="1"/>
  <c r="AS197" i="1" s="1"/>
  <c r="AA39" i="9"/>
  <c r="AA194" i="1"/>
  <c r="AA197" i="1" s="1"/>
  <c r="BC194" i="1"/>
  <c r="BC197" i="1" s="1"/>
  <c r="H46" i="9"/>
  <c r="BL36" i="1"/>
  <c r="BA127" i="1"/>
  <c r="BA128" i="1" s="1"/>
  <c r="X131" i="1"/>
  <c r="X622" i="1" s="1"/>
  <c r="J146" i="1"/>
  <c r="N208" i="1"/>
  <c r="N166" i="1"/>
  <c r="AD172" i="1"/>
  <c r="L38" i="9"/>
  <c r="L62" i="9" s="1"/>
  <c r="L616" i="1"/>
  <c r="L514" i="1"/>
  <c r="L513" i="1"/>
  <c r="L515" i="1"/>
  <c r="L518" i="1"/>
  <c r="L517" i="1"/>
  <c r="L516" i="1"/>
  <c r="L194" i="1"/>
  <c r="L197" i="1" s="1"/>
  <c r="L11" i="1"/>
  <c r="L18" i="9" s="1"/>
  <c r="AT190" i="1"/>
  <c r="AT514" i="1" s="1"/>
  <c r="BD194" i="1"/>
  <c r="BD197" i="1" s="1"/>
  <c r="J38" i="9"/>
  <c r="J61" i="9" s="1"/>
  <c r="J515" i="1"/>
  <c r="J518" i="1"/>
  <c r="J517" i="1"/>
  <c r="J516" i="1"/>
  <c r="J616" i="1"/>
  <c r="J194" i="1"/>
  <c r="J11" i="1"/>
  <c r="J18" i="9" s="1"/>
  <c r="BB11" i="1"/>
  <c r="BF18" i="9" s="1"/>
  <c r="AU23" i="9"/>
  <c r="AU32" i="1"/>
  <c r="AU24" i="9" s="1"/>
  <c r="BD11" i="1"/>
  <c r="BH18" i="9" s="1"/>
  <c r="AH15" i="1"/>
  <c r="AH28" i="9" s="1"/>
  <c r="BN35" i="1"/>
  <c r="AT99" i="1"/>
  <c r="BB127" i="1"/>
  <c r="BB128" i="1" s="1"/>
  <c r="Y131" i="1"/>
  <c r="Y622" i="1" s="1"/>
  <c r="AT146" i="1"/>
  <c r="AD149" i="1"/>
  <c r="AH172" i="1"/>
  <c r="V166" i="1"/>
  <c r="M38" i="9"/>
  <c r="M62" i="9" s="1"/>
  <c r="M515" i="1"/>
  <c r="M518" i="1"/>
  <c r="M517" i="1"/>
  <c r="M516" i="1"/>
  <c r="M616" i="1"/>
  <c r="M513" i="1"/>
  <c r="M514" i="1"/>
  <c r="M194" i="1"/>
  <c r="M197" i="1" s="1"/>
  <c r="M11" i="1"/>
  <c r="M18" i="9" s="1"/>
  <c r="AU38" i="9"/>
  <c r="AU11" i="1"/>
  <c r="AU18" i="9" s="1"/>
  <c r="AU194" i="1"/>
  <c r="AU197" i="1" s="1"/>
  <c r="BM124" i="1"/>
  <c r="BM125" i="1" s="1"/>
  <c r="BF194" i="1"/>
  <c r="BF197" i="1" s="1"/>
  <c r="E46" i="9"/>
  <c r="AO38" i="9"/>
  <c r="AO61" i="9" s="1"/>
  <c r="AO11" i="1"/>
  <c r="AO18" i="9" s="1"/>
  <c r="AO194" i="1"/>
  <c r="AO197" i="1" s="1"/>
  <c r="B2" i="9"/>
  <c r="T11" i="1"/>
  <c r="T18" i="9" s="1"/>
  <c r="AA46" i="1"/>
  <c r="AA28" i="1" s="1"/>
  <c r="BJ43" i="1"/>
  <c r="AP263" i="11" s="1"/>
  <c r="BB535" i="1"/>
  <c r="BB201" i="1"/>
  <c r="BC127" i="1"/>
  <c r="BC128" i="1" s="1"/>
  <c r="O137" i="1"/>
  <c r="AU150" i="1"/>
  <c r="AU155" i="1" s="1"/>
  <c r="AU158" i="1" s="1"/>
  <c r="V42" i="9"/>
  <c r="V295" i="1"/>
  <c r="AL172" i="1"/>
  <c r="J169" i="1"/>
  <c r="J180" i="1" s="1"/>
  <c r="T174" i="1"/>
  <c r="T179" i="1" s="1"/>
  <c r="BN124" i="1"/>
  <c r="BN125" i="1" s="1"/>
  <c r="AE40" i="9"/>
  <c r="AE131" i="1"/>
  <c r="AE622" i="1" s="1"/>
  <c r="O201" i="1"/>
  <c r="G213" i="1"/>
  <c r="K46" i="9"/>
  <c r="BB31" i="9"/>
  <c r="F169" i="1"/>
  <c r="F180" i="1" s="1"/>
  <c r="AF10" i="1"/>
  <c r="AF17" i="9" s="1"/>
  <c r="BC11" i="1"/>
  <c r="BG18" i="9" s="1"/>
  <c r="AJ15" i="1"/>
  <c r="AJ28" i="9" s="1"/>
  <c r="AO22" i="1"/>
  <c r="AV22" i="9"/>
  <c r="BO30" i="1"/>
  <c r="AB46" i="1"/>
  <c r="AB28" i="1" s="1"/>
  <c r="D213" i="11" s="1"/>
  <c r="AZ124" i="1"/>
  <c r="AZ125" i="1" s="1"/>
  <c r="BD127" i="1"/>
  <c r="BD128" i="1" s="1"/>
  <c r="AA131" i="1"/>
  <c r="AA622" i="1" s="1"/>
  <c r="AZ137" i="1"/>
  <c r="Z42" i="9"/>
  <c r="Z295" i="1"/>
  <c r="O38" i="9"/>
  <c r="O62" i="9" s="1"/>
  <c r="O616" i="1"/>
  <c r="O517" i="1"/>
  <c r="O516" i="1"/>
  <c r="O515" i="1"/>
  <c r="O514" i="1"/>
  <c r="O518" i="1"/>
  <c r="O513" i="1"/>
  <c r="O11" i="1"/>
  <c r="O18" i="9" s="1"/>
  <c r="O194" i="1"/>
  <c r="O197" i="1" s="1"/>
  <c r="BJ194" i="1"/>
  <c r="BJ197" i="1" s="1"/>
  <c r="L213" i="1"/>
  <c r="AP196" i="1"/>
  <c r="AP149" i="1"/>
  <c r="G38" i="9"/>
  <c r="G62" i="9" s="1"/>
  <c r="G616" i="1"/>
  <c r="G515" i="1"/>
  <c r="G514" i="1"/>
  <c r="G513" i="1"/>
  <c r="G516" i="1"/>
  <c r="G518" i="1"/>
  <c r="G517" i="1"/>
  <c r="G22" i="1"/>
  <c r="G194" i="1"/>
  <c r="G197" i="1" s="1"/>
  <c r="AR38" i="9"/>
  <c r="AR62" i="9" s="1"/>
  <c r="AR11" i="1"/>
  <c r="AR18" i="9" s="1"/>
  <c r="AR194" i="1"/>
  <c r="AR197" i="1" s="1"/>
  <c r="AP10" i="1"/>
  <c r="AP17" i="9" s="1"/>
  <c r="AK15" i="1"/>
  <c r="AK28" i="9" s="1"/>
  <c r="AX34" i="1"/>
  <c r="AA36" i="1"/>
  <c r="AC46" i="1"/>
  <c r="AC28" i="1" s="1"/>
  <c r="BA124" i="1"/>
  <c r="BA125" i="1" s="1"/>
  <c r="U127" i="1"/>
  <c r="U128" i="1" s="1"/>
  <c r="BA150" i="1"/>
  <c r="BA155" i="1" s="1"/>
  <c r="BA158" i="1" s="1"/>
  <c r="F168" i="1"/>
  <c r="P38" i="9"/>
  <c r="P62" i="9" s="1"/>
  <c r="P616" i="1"/>
  <c r="P516" i="1"/>
  <c r="P515" i="1"/>
  <c r="P514" i="1"/>
  <c r="P518" i="1"/>
  <c r="P517" i="1"/>
  <c r="P513" i="1"/>
  <c r="P127" i="1"/>
  <c r="P128" i="1" s="1"/>
  <c r="BK194" i="1"/>
  <c r="BK197" i="1" s="1"/>
  <c r="S201" i="1"/>
  <c r="U11" i="1"/>
  <c r="U18" i="9" s="1"/>
  <c r="AQ10" i="1"/>
  <c r="AQ17" i="9" s="1"/>
  <c r="X11" i="1"/>
  <c r="X18" i="9" s="1"/>
  <c r="AL15" i="1"/>
  <c r="AL28" i="9" s="1"/>
  <c r="AQ22" i="1"/>
  <c r="AB36" i="1"/>
  <c r="BL45" i="1"/>
  <c r="AR265" i="11" s="1"/>
  <c r="AD17" i="1"/>
  <c r="BB124" i="1"/>
  <c r="BB125" i="1" s="1"/>
  <c r="W127" i="1"/>
  <c r="W128" i="1" s="1"/>
  <c r="BF127" i="1"/>
  <c r="BF128" i="1" s="1"/>
  <c r="BB137" i="1"/>
  <c r="O150" i="1"/>
  <c r="O155" i="1" s="1"/>
  <c r="O158" i="1" s="1"/>
  <c r="BB150" i="1"/>
  <c r="BB155" i="1" s="1"/>
  <c r="BB158" i="1" s="1"/>
  <c r="AH149" i="1"/>
  <c r="Z170" i="1"/>
  <c r="Z216" i="1"/>
  <c r="Z45" i="9" s="1"/>
  <c r="Z166" i="1"/>
  <c r="W174" i="1"/>
  <c r="W179" i="1" s="1"/>
  <c r="Q38" i="9"/>
  <c r="Q61" i="9" s="1"/>
  <c r="Q616" i="1"/>
  <c r="Q514" i="1"/>
  <c r="Q513" i="1"/>
  <c r="Q516" i="1"/>
  <c r="Q515" i="1"/>
  <c r="Q518" i="1"/>
  <c r="Q517" i="1"/>
  <c r="BL194" i="1"/>
  <c r="BL197" i="1" s="1"/>
  <c r="AP209" i="1"/>
  <c r="D38" i="9"/>
  <c r="D194" i="1"/>
  <c r="D197" i="1" s="1"/>
  <c r="AJ38" i="9"/>
  <c r="AJ194" i="1"/>
  <c r="AJ197" i="1" s="1"/>
  <c r="BM516" i="1"/>
  <c r="BM515" i="1"/>
  <c r="BM514" i="1"/>
  <c r="BM513" i="1"/>
  <c r="BM517" i="1"/>
  <c r="BM518" i="1"/>
  <c r="BM194" i="1"/>
  <c r="BM197" i="1" s="1"/>
  <c r="E42" i="9"/>
  <c r="E295" i="1"/>
  <c r="AN42" i="9"/>
  <c r="AN295" i="1"/>
  <c r="F208" i="1"/>
  <c r="AO42" i="9"/>
  <c r="AO295" i="1"/>
  <c r="H42" i="9"/>
  <c r="H295" i="1"/>
  <c r="AR42" i="9"/>
  <c r="AR295" i="1"/>
  <c r="AT218" i="1"/>
  <c r="AT48" i="9" s="1"/>
  <c r="M43" i="9"/>
  <c r="N218" i="1"/>
  <c r="N48" i="9" s="1"/>
  <c r="J245" i="1"/>
  <c r="J246" i="1"/>
  <c r="K245" i="1"/>
  <c r="BE194" i="1"/>
  <c r="BE197" i="1" s="1"/>
  <c r="Q42" i="9"/>
  <c r="Q295" i="1"/>
  <c r="W245" i="1"/>
  <c r="V245" i="1"/>
  <c r="W535" i="1"/>
  <c r="W201" i="1"/>
  <c r="T42" i="9"/>
  <c r="T295" i="1"/>
  <c r="T296" i="1" s="1"/>
  <c r="BE42" i="9"/>
  <c r="BA295" i="1"/>
  <c r="BA296" i="1" s="1"/>
  <c r="Q43" i="9"/>
  <c r="AU45" i="9"/>
  <c r="BO216" i="1"/>
  <c r="BS45" i="9" s="1"/>
  <c r="Z246" i="1"/>
  <c r="Z245" i="1"/>
  <c r="A672" i="1"/>
  <c r="AD246" i="1"/>
  <c r="BJ42" i="9"/>
  <c r="BF295" i="1"/>
  <c r="BM43" i="9"/>
  <c r="BO219" i="1"/>
  <c r="BS49" i="9" s="1"/>
  <c r="AB42" i="9"/>
  <c r="AB295" i="1"/>
  <c r="AB296" i="1" s="1"/>
  <c r="BL42" i="9"/>
  <c r="BH295" i="1"/>
  <c r="X43" i="9"/>
  <c r="M213" i="1"/>
  <c r="AC42" i="9"/>
  <c r="AC295" i="1"/>
  <c r="AC296" i="1" s="1"/>
  <c r="BM42" i="9"/>
  <c r="BI295" i="1"/>
  <c r="Y43" i="9"/>
  <c r="I213" i="1"/>
  <c r="BN42" i="9"/>
  <c r="BJ295" i="1"/>
  <c r="BQ43" i="9"/>
  <c r="AE42" i="9"/>
  <c r="AE295" i="1"/>
  <c r="AE296" i="1" s="1"/>
  <c r="BK295" i="1"/>
  <c r="AB38" i="9"/>
  <c r="AB61" i="9" s="1"/>
  <c r="AB616" i="1"/>
  <c r="BI38" i="9"/>
  <c r="BE616" i="1"/>
  <c r="BE518" i="1"/>
  <c r="BE517" i="1"/>
  <c r="BE516" i="1"/>
  <c r="BE515" i="1"/>
  <c r="BE514" i="1"/>
  <c r="BE513" i="1"/>
  <c r="AF42" i="9"/>
  <c r="AF295" i="1"/>
  <c r="AF296" i="1" s="1"/>
  <c r="BL295" i="1"/>
  <c r="Q127" i="1"/>
  <c r="Q128" i="1" s="1"/>
  <c r="AC38" i="9"/>
  <c r="AC62" i="9" s="1"/>
  <c r="AC616" i="1"/>
  <c r="BJ38" i="9"/>
  <c r="BF616" i="1"/>
  <c r="BF518" i="1"/>
  <c r="BF517" i="1"/>
  <c r="BF516" i="1"/>
  <c r="BF515" i="1"/>
  <c r="BF514" i="1"/>
  <c r="BF513" i="1"/>
  <c r="AG42" i="9"/>
  <c r="AG295" i="1"/>
  <c r="AC43" i="9"/>
  <c r="BT43" i="9"/>
  <c r="O46" i="9"/>
  <c r="BM22" i="1"/>
  <c r="AR37" i="1"/>
  <c r="BK38" i="9"/>
  <c r="BG616" i="1"/>
  <c r="BG518" i="1"/>
  <c r="BG517" i="1"/>
  <c r="BG516" i="1"/>
  <c r="BG515" i="1"/>
  <c r="BG514" i="1"/>
  <c r="BG513" i="1"/>
  <c r="BG194" i="1"/>
  <c r="BG197" i="1" s="1"/>
  <c r="BN295" i="1"/>
  <c r="P46" i="9"/>
  <c r="AJ22" i="1"/>
  <c r="AG131" i="1"/>
  <c r="AG622" i="1" s="1"/>
  <c r="AE38" i="9"/>
  <c r="AE61" i="9" s="1"/>
  <c r="AE616" i="1"/>
  <c r="BL38" i="9"/>
  <c r="BH616" i="1"/>
  <c r="BH517" i="1"/>
  <c r="BH516" i="1"/>
  <c r="BH515" i="1"/>
  <c r="BH514" i="1"/>
  <c r="BH513" i="1"/>
  <c r="BH518" i="1"/>
  <c r="AI42" i="9"/>
  <c r="AI295" i="1"/>
  <c r="AE43" i="9"/>
  <c r="Q213" i="1"/>
  <c r="AV36" i="1"/>
  <c r="AN124" i="1"/>
  <c r="AN125" i="1" s="1"/>
  <c r="AF38" i="9"/>
  <c r="AF616" i="1"/>
  <c r="BM38" i="9"/>
  <c r="BI616" i="1"/>
  <c r="BI517" i="1"/>
  <c r="BI516" i="1"/>
  <c r="BI515" i="1"/>
  <c r="BI514" i="1"/>
  <c r="BI513" i="1"/>
  <c r="BI518" i="1"/>
  <c r="AF43" i="9"/>
  <c r="AK42" i="9"/>
  <c r="AK295" i="1"/>
  <c r="AG43" i="9"/>
  <c r="S213" i="1"/>
  <c r="AG38" i="9"/>
  <c r="AG616" i="1"/>
  <c r="BN38" i="9"/>
  <c r="BJ518" i="1"/>
  <c r="BJ616" i="1"/>
  <c r="BJ517" i="1"/>
  <c r="BJ516" i="1"/>
  <c r="BJ515" i="1"/>
  <c r="BJ514" i="1"/>
  <c r="BJ513" i="1"/>
  <c r="AS35" i="1"/>
  <c r="AX36" i="1"/>
  <c r="D131" i="1"/>
  <c r="D622" i="1" s="1"/>
  <c r="AJ131" i="1"/>
  <c r="AJ622" i="1" s="1"/>
  <c r="BK517" i="1"/>
  <c r="BK616" i="1"/>
  <c r="BK516" i="1"/>
  <c r="BK515" i="1"/>
  <c r="BK514" i="1"/>
  <c r="BK513" i="1"/>
  <c r="BK518" i="1"/>
  <c r="AU39" i="9"/>
  <c r="C42" i="9"/>
  <c r="C295" i="1"/>
  <c r="T46" i="9"/>
  <c r="AI38" i="9"/>
  <c r="AI62" i="9" s="1"/>
  <c r="BL516" i="1"/>
  <c r="BL515" i="1"/>
  <c r="BL514" i="1"/>
  <c r="BL513" i="1"/>
  <c r="BL517" i="1"/>
  <c r="BL518" i="1"/>
  <c r="AM42" i="9"/>
  <c r="AM295" i="1"/>
  <c r="U213" i="1"/>
  <c r="X213" i="1"/>
  <c r="N246" i="1"/>
  <c r="A674" i="1"/>
  <c r="AA8" i="9"/>
  <c r="AA615" i="1"/>
  <c r="AA289" i="1"/>
  <c r="BN8" i="9"/>
  <c r="BJ615" i="1"/>
  <c r="BJ289" i="1"/>
  <c r="X7" i="9"/>
  <c r="X614" i="1"/>
  <c r="N43" i="9"/>
  <c r="R246" i="1"/>
  <c r="BR76" i="9"/>
  <c r="BN7" i="9"/>
  <c r="BJ614" i="1"/>
  <c r="AG8" i="9"/>
  <c r="AG615" i="1"/>
  <c r="AG289" i="1"/>
  <c r="BE43" i="9"/>
  <c r="AG7" i="9"/>
  <c r="AG614" i="1"/>
  <c r="AP245" i="1"/>
  <c r="AP246" i="1"/>
  <c r="AA38" i="9"/>
  <c r="AA616" i="1"/>
  <c r="BH38" i="9"/>
  <c r="BD518" i="1"/>
  <c r="BD517" i="1"/>
  <c r="BD516" i="1"/>
  <c r="BD515" i="1"/>
  <c r="BD514" i="1"/>
  <c r="BD513" i="1"/>
  <c r="D42" i="9"/>
  <c r="D295" i="1"/>
  <c r="AJ42" i="9"/>
  <c r="AJ295" i="1"/>
  <c r="BM295" i="1"/>
  <c r="AB43" i="9"/>
  <c r="BP43" i="9"/>
  <c r="H7" i="9"/>
  <c r="H614" i="1"/>
  <c r="AN7" i="9"/>
  <c r="AN614" i="1"/>
  <c r="AV589" i="1"/>
  <c r="AW286" i="1"/>
  <c r="AV285" i="1"/>
  <c r="AV576" i="1" s="1"/>
  <c r="R245" i="1"/>
  <c r="S245" i="1"/>
  <c r="K42" i="9"/>
  <c r="K295" i="1"/>
  <c r="K296" i="1" s="1"/>
  <c r="AQ42" i="9"/>
  <c r="AQ295" i="1"/>
  <c r="C43" i="9"/>
  <c r="AI43" i="9"/>
  <c r="AH499" i="1"/>
  <c r="AH270" i="1"/>
  <c r="AH79" i="9" s="1"/>
  <c r="BG8" i="9"/>
  <c r="BC615" i="1"/>
  <c r="BC289" i="1"/>
  <c r="BD246" i="1"/>
  <c r="Q7" i="9"/>
  <c r="Q614" i="1"/>
  <c r="BH8" i="9"/>
  <c r="BD615" i="1"/>
  <c r="BD289" i="1"/>
  <c r="F43" i="9"/>
  <c r="BQ72" i="9"/>
  <c r="R7" i="9"/>
  <c r="R614" i="1"/>
  <c r="BR72" i="9"/>
  <c r="BE7" i="9"/>
  <c r="BA614" i="1"/>
  <c r="N7" i="9"/>
  <c r="N614" i="1"/>
  <c r="W8" i="9"/>
  <c r="W615" i="1"/>
  <c r="BD8" i="9"/>
  <c r="AZ615" i="1"/>
  <c r="AU289" i="1"/>
  <c r="AD385" i="1"/>
  <c r="AD452" i="1"/>
  <c r="AS435" i="1"/>
  <c r="AS257" i="1" s="1"/>
  <c r="AQ70" i="9"/>
  <c r="AQ448" i="1"/>
  <c r="O7" i="9"/>
  <c r="O614" i="1"/>
  <c r="AU7" i="9"/>
  <c r="AU614" i="1"/>
  <c r="X8" i="9"/>
  <c r="X615" i="1"/>
  <c r="BE8" i="9"/>
  <c r="BA615" i="1"/>
  <c r="AH452" i="1"/>
  <c r="AH385" i="1"/>
  <c r="N477" i="1"/>
  <c r="P7" i="9"/>
  <c r="P614" i="1"/>
  <c r="Y8" i="9"/>
  <c r="Y615" i="1"/>
  <c r="BF8" i="9"/>
  <c r="BB615" i="1"/>
  <c r="AL477" i="1"/>
  <c r="AP452" i="1"/>
  <c r="AP385" i="1"/>
  <c r="J70" i="9"/>
  <c r="J448" i="1"/>
  <c r="BD70" i="9"/>
  <c r="AZ448" i="1"/>
  <c r="BF477" i="1"/>
  <c r="S7" i="9"/>
  <c r="S614" i="1"/>
  <c r="AB8" i="9"/>
  <c r="AB615" i="1"/>
  <c r="BI8" i="9"/>
  <c r="BE615" i="1"/>
  <c r="O289" i="1"/>
  <c r="L435" i="1"/>
  <c r="BA435" i="1"/>
  <c r="BA257" i="1" s="1"/>
  <c r="BE70" i="9"/>
  <c r="BA448" i="1"/>
  <c r="BG477" i="1"/>
  <c r="T7" i="9"/>
  <c r="T614" i="1"/>
  <c r="AC8" i="9"/>
  <c r="AC615" i="1"/>
  <c r="BJ8" i="9"/>
  <c r="BF615" i="1"/>
  <c r="BF70" i="9"/>
  <c r="BB448" i="1"/>
  <c r="BH477" i="1"/>
  <c r="U7" i="9"/>
  <c r="U614" i="1"/>
  <c r="BK8" i="9"/>
  <c r="BG615" i="1"/>
  <c r="BG289" i="1"/>
  <c r="AZ289" i="1"/>
  <c r="AP424" i="1"/>
  <c r="R385" i="11" s="1"/>
  <c r="AP343" i="1"/>
  <c r="N435" i="1"/>
  <c r="N257" i="1" s="1"/>
  <c r="V7" i="9"/>
  <c r="V614" i="1"/>
  <c r="AE8" i="9"/>
  <c r="AE615" i="1"/>
  <c r="AE289" i="1"/>
  <c r="BL8" i="9"/>
  <c r="BH615" i="1"/>
  <c r="BH289" i="1"/>
  <c r="BA289" i="1"/>
  <c r="O435" i="1"/>
  <c r="O448" i="1"/>
  <c r="W477" i="1"/>
  <c r="W7" i="9"/>
  <c r="W614" i="1"/>
  <c r="BD7" i="9"/>
  <c r="AZ614" i="1"/>
  <c r="AF8" i="9"/>
  <c r="AF615" i="1"/>
  <c r="AF289" i="1"/>
  <c r="BM8" i="9"/>
  <c r="BI615" i="1"/>
  <c r="BI289" i="1"/>
  <c r="T289" i="1"/>
  <c r="BB289" i="1"/>
  <c r="P435" i="1"/>
  <c r="P257" i="1" s="1"/>
  <c r="U289" i="1"/>
  <c r="Y7" i="9"/>
  <c r="Y614" i="1"/>
  <c r="BF7" i="9"/>
  <c r="BB614" i="1"/>
  <c r="BK615" i="1"/>
  <c r="J420" i="1"/>
  <c r="J435" i="1" s="1"/>
  <c r="J257" i="1" s="1"/>
  <c r="J343" i="1"/>
  <c r="V385" i="1"/>
  <c r="S435" i="1"/>
  <c r="AA477" i="1"/>
  <c r="BG7" i="9"/>
  <c r="BC614" i="1"/>
  <c r="C8" i="9"/>
  <c r="C615" i="1"/>
  <c r="AI8" i="9"/>
  <c r="AI615" i="1"/>
  <c r="BL615" i="1"/>
  <c r="W289" i="1"/>
  <c r="BE289" i="1"/>
  <c r="AB477" i="1"/>
  <c r="AA7" i="9"/>
  <c r="AA614" i="1"/>
  <c r="BH7" i="9"/>
  <c r="BD614" i="1"/>
  <c r="D8" i="9"/>
  <c r="D615" i="1"/>
  <c r="D289" i="1"/>
  <c r="AJ8" i="9"/>
  <c r="AJ615" i="1"/>
  <c r="AJ289" i="1"/>
  <c r="BM615" i="1"/>
  <c r="BM289" i="1"/>
  <c r="X289" i="1"/>
  <c r="BF289" i="1"/>
  <c r="R435" i="1"/>
  <c r="R257" i="1" s="1"/>
  <c r="AC477" i="1"/>
  <c r="AB7" i="9"/>
  <c r="AB614" i="1"/>
  <c r="BI7" i="9"/>
  <c r="BE614" i="1"/>
  <c r="E8" i="9"/>
  <c r="E615" i="1"/>
  <c r="AK8" i="9"/>
  <c r="AK615" i="1"/>
  <c r="BN615" i="1"/>
  <c r="Y289" i="1"/>
  <c r="W435" i="1"/>
  <c r="V70" i="9"/>
  <c r="V448" i="1"/>
  <c r="AC7" i="9"/>
  <c r="AC614" i="1"/>
  <c r="BJ7" i="9"/>
  <c r="BF614" i="1"/>
  <c r="BK289" i="1"/>
  <c r="F407" i="1"/>
  <c r="J80" i="9"/>
  <c r="W70" i="9"/>
  <c r="W448" i="1"/>
  <c r="BK7" i="9"/>
  <c r="BG614" i="1"/>
  <c r="G8" i="9"/>
  <c r="G615" i="1"/>
  <c r="AM8" i="9"/>
  <c r="AM615" i="1"/>
  <c r="BL289" i="1"/>
  <c r="J499" i="1"/>
  <c r="X70" i="9"/>
  <c r="X448" i="1"/>
  <c r="AE7" i="9"/>
  <c r="AE614" i="1"/>
  <c r="BL7" i="9"/>
  <c r="BH614" i="1"/>
  <c r="H8" i="9"/>
  <c r="H615" i="1"/>
  <c r="AN8" i="9"/>
  <c r="AN615" i="1"/>
  <c r="AB289" i="1"/>
  <c r="BN289" i="1"/>
  <c r="AH343" i="1"/>
  <c r="N499" i="1"/>
  <c r="Y448" i="1"/>
  <c r="AF7" i="9"/>
  <c r="AF614" i="1"/>
  <c r="BM7" i="9"/>
  <c r="BI614" i="1"/>
  <c r="I8" i="9"/>
  <c r="I615" i="1"/>
  <c r="AO8" i="9"/>
  <c r="AO615" i="1"/>
  <c r="AC289" i="1"/>
  <c r="AL343" i="1"/>
  <c r="F70" i="9"/>
  <c r="F448" i="1"/>
  <c r="R499" i="1"/>
  <c r="AN435" i="1"/>
  <c r="AM448" i="1"/>
  <c r="J356" i="1"/>
  <c r="V499" i="1"/>
  <c r="Z80" i="9"/>
  <c r="M435" i="1"/>
  <c r="M257" i="1" s="1"/>
  <c r="BK614" i="1"/>
  <c r="K8" i="9"/>
  <c r="K615" i="1"/>
  <c r="AQ8" i="9"/>
  <c r="AQ615" i="1"/>
  <c r="N70" i="9"/>
  <c r="N448" i="1"/>
  <c r="Z499" i="1"/>
  <c r="AD80" i="9"/>
  <c r="C7" i="9"/>
  <c r="C614" i="1"/>
  <c r="AI7" i="9"/>
  <c r="AI614" i="1"/>
  <c r="BL614" i="1"/>
  <c r="L8" i="9"/>
  <c r="L615" i="1"/>
  <c r="AR8" i="9"/>
  <c r="AR615" i="1"/>
  <c r="AI289" i="1"/>
  <c r="AX343" i="1"/>
  <c r="AR357" i="1"/>
  <c r="AR410" i="1" s="1"/>
  <c r="R70" i="9"/>
  <c r="R448" i="1"/>
  <c r="AD480" i="1"/>
  <c r="AD407" i="1"/>
  <c r="AN477" i="1"/>
  <c r="D7" i="9"/>
  <c r="D614" i="1"/>
  <c r="AJ7" i="9"/>
  <c r="AJ614" i="1"/>
  <c r="BM614" i="1"/>
  <c r="M8" i="9"/>
  <c r="M615" i="1"/>
  <c r="AS8" i="9"/>
  <c r="AS615" i="1"/>
  <c r="AK289" i="1"/>
  <c r="V356" i="1"/>
  <c r="AH407" i="1"/>
  <c r="AL80" i="9"/>
  <c r="AF435" i="1"/>
  <c r="E7" i="9"/>
  <c r="E614" i="1"/>
  <c r="AK7" i="9"/>
  <c r="AK614" i="1"/>
  <c r="BN614" i="1"/>
  <c r="AL407" i="1"/>
  <c r="AP80" i="9"/>
  <c r="Q435" i="1"/>
  <c r="AS448" i="1"/>
  <c r="F7" i="9"/>
  <c r="F614" i="1"/>
  <c r="AM289" i="1"/>
  <c r="AP480" i="1"/>
  <c r="AP407" i="1"/>
  <c r="AT80" i="9"/>
  <c r="BH435" i="1"/>
  <c r="BH257" i="1" s="1"/>
  <c r="AV8" i="9"/>
  <c r="AV615" i="1"/>
  <c r="AN289" i="1"/>
  <c r="AH448" i="1"/>
  <c r="AW8" i="9"/>
  <c r="AW615" i="1"/>
  <c r="C289" i="1"/>
  <c r="AO289" i="1"/>
  <c r="F477" i="1"/>
  <c r="I435" i="1"/>
  <c r="I257" i="1" s="1"/>
  <c r="AI448" i="1"/>
  <c r="AU477" i="1"/>
  <c r="P536" i="1"/>
  <c r="I7" i="9"/>
  <c r="I614" i="1"/>
  <c r="AO7" i="9"/>
  <c r="AO614" i="1"/>
  <c r="AX287" i="1"/>
  <c r="E289" i="1"/>
  <c r="AP70" i="9"/>
  <c r="AP448" i="1"/>
  <c r="J477" i="1"/>
  <c r="BA536" i="1"/>
  <c r="J7" i="9"/>
  <c r="J614" i="1"/>
  <c r="S8" i="9"/>
  <c r="S615" i="1"/>
  <c r="AQ289" i="1"/>
  <c r="Z343" i="1"/>
  <c r="L357" i="1"/>
  <c r="L410" i="1" s="1"/>
  <c r="AT436" i="1"/>
  <c r="V397" i="11" s="1"/>
  <c r="AT356" i="1"/>
  <c r="N385" i="1"/>
  <c r="BI435" i="1"/>
  <c r="BI257" i="1" s="1"/>
  <c r="H477" i="1"/>
  <c r="K7" i="9"/>
  <c r="K614" i="1"/>
  <c r="AQ7" i="9"/>
  <c r="AQ614" i="1"/>
  <c r="T8" i="9"/>
  <c r="T615" i="1"/>
  <c r="G289" i="1"/>
  <c r="AR289" i="1"/>
  <c r="AD435" i="1"/>
  <c r="AD257" i="1" s="1"/>
  <c r="R477" i="1"/>
  <c r="BD435" i="1"/>
  <c r="BD257" i="1" s="1"/>
  <c r="I477" i="1"/>
  <c r="AT499" i="1"/>
  <c r="L7" i="9"/>
  <c r="L614" i="1"/>
  <c r="AR7" i="9"/>
  <c r="AR614" i="1"/>
  <c r="U8" i="9"/>
  <c r="U615" i="1"/>
  <c r="H289" i="1"/>
  <c r="AS289" i="1"/>
  <c r="V477" i="1"/>
  <c r="R385" i="1"/>
  <c r="C448" i="1"/>
  <c r="K477" i="1"/>
  <c r="M7" i="9"/>
  <c r="M614" i="1"/>
  <c r="AS7" i="9"/>
  <c r="AS614" i="1"/>
  <c r="I289" i="1"/>
  <c r="H10" i="9"/>
  <c r="AN10" i="9"/>
  <c r="BA357" i="1"/>
  <c r="BA410" i="1" s="1"/>
  <c r="Z385" i="1"/>
  <c r="Z452" i="1"/>
  <c r="AR435" i="1"/>
  <c r="AR257" i="1" s="1"/>
  <c r="P448" i="1"/>
  <c r="V536" i="1"/>
  <c r="AP356" i="1"/>
  <c r="J407" i="1"/>
  <c r="H70" i="9"/>
  <c r="AM536" i="1"/>
  <c r="Q477" i="1"/>
  <c r="AF499" i="1"/>
  <c r="L80" i="9"/>
  <c r="AU435" i="1"/>
  <c r="I70" i="9"/>
  <c r="AT452" i="1"/>
  <c r="M80" i="9"/>
  <c r="AD532" i="1"/>
  <c r="K70" i="9"/>
  <c r="AR70" i="9"/>
  <c r="AI499" i="1"/>
  <c r="AB99" i="9"/>
  <c r="N356" i="1"/>
  <c r="F385" i="1"/>
  <c r="AL385" i="1"/>
  <c r="N407" i="1"/>
  <c r="AH420" i="1"/>
  <c r="J380" i="11" s="1"/>
  <c r="AW600" i="1"/>
  <c r="AX600" i="1" s="1"/>
  <c r="BO600" i="1" s="1"/>
  <c r="BP600" i="1" s="1"/>
  <c r="BQ600" i="1" s="1"/>
  <c r="BR600" i="1" s="1"/>
  <c r="BS600" i="1" s="1"/>
  <c r="L70" i="9"/>
  <c r="AS70" i="9"/>
  <c r="AP532" i="1"/>
  <c r="Z421" i="1"/>
  <c r="Z435" i="1" s="1"/>
  <c r="Z257" i="1" s="1"/>
  <c r="X477" i="1"/>
  <c r="AK499" i="1"/>
  <c r="AE99" i="9"/>
  <c r="BU10" i="9"/>
  <c r="AU70" i="9"/>
  <c r="AL437" i="1"/>
  <c r="Y477" i="1"/>
  <c r="C499" i="1"/>
  <c r="AL480" i="1"/>
  <c r="AO10" i="9"/>
  <c r="AK435" i="1"/>
  <c r="AK257" i="1" s="1"/>
  <c r="BN435" i="1"/>
  <c r="BN257" i="1" s="1"/>
  <c r="O70" i="9"/>
  <c r="AU536" i="1"/>
  <c r="D499" i="1"/>
  <c r="AM499" i="1"/>
  <c r="AQ528" i="1"/>
  <c r="BN528" i="1"/>
  <c r="BW10" i="9"/>
  <c r="R356" i="1"/>
  <c r="J385" i="1"/>
  <c r="R407" i="1"/>
  <c r="F420" i="1"/>
  <c r="AL420" i="1"/>
  <c r="N380" i="11" s="1"/>
  <c r="P70" i="9"/>
  <c r="BD448" i="1"/>
  <c r="U477" i="1"/>
  <c r="E499" i="1"/>
  <c r="AN499" i="1"/>
  <c r="BL80" i="9"/>
  <c r="AU528" i="1"/>
  <c r="BO528" i="1"/>
  <c r="K10" i="9"/>
  <c r="AQ10" i="9"/>
  <c r="G435" i="1"/>
  <c r="AM435" i="1"/>
  <c r="Q70" i="9"/>
  <c r="F480" i="1"/>
  <c r="AO499" i="1"/>
  <c r="X80" i="9"/>
  <c r="BM80" i="9"/>
  <c r="AE534" i="1"/>
  <c r="BK534" i="1"/>
  <c r="AR10" i="9"/>
  <c r="AD70" i="9"/>
  <c r="N80" i="9"/>
  <c r="G499" i="1"/>
  <c r="Y80" i="9"/>
  <c r="BN80" i="9"/>
  <c r="AM113" i="9"/>
  <c r="AM596" i="1"/>
  <c r="AM607" i="1" s="1"/>
  <c r="AS10" i="9"/>
  <c r="R343" i="1"/>
  <c r="R80" i="9"/>
  <c r="S70" i="9"/>
  <c r="H499" i="1"/>
  <c r="AQ499" i="1"/>
  <c r="BO80" i="9"/>
  <c r="BM534" i="1"/>
  <c r="AM534" i="1"/>
  <c r="V80" i="9"/>
  <c r="V407" i="1"/>
  <c r="T70" i="9"/>
  <c r="AA448" i="1"/>
  <c r="S536" i="1"/>
  <c r="I499" i="1"/>
  <c r="AR499" i="1"/>
  <c r="BG499" i="1"/>
  <c r="AA80" i="9"/>
  <c r="BP80" i="9"/>
  <c r="AU10" i="9"/>
  <c r="U70" i="9"/>
  <c r="T536" i="1"/>
  <c r="AS499" i="1"/>
  <c r="AB80" i="9"/>
  <c r="BQ80" i="9"/>
  <c r="AC80" i="9"/>
  <c r="AU499" i="1"/>
  <c r="AK528" i="1"/>
  <c r="M499" i="1"/>
  <c r="BJ499" i="1"/>
  <c r="AL528" i="1"/>
  <c r="J513" i="1"/>
  <c r="Y70" i="9"/>
  <c r="BG70" i="9"/>
  <c r="BI477" i="1"/>
  <c r="AS477" i="1"/>
  <c r="E528" i="1"/>
  <c r="AE477" i="1"/>
  <c r="BJ477" i="1"/>
  <c r="O499" i="1"/>
  <c r="BB499" i="1"/>
  <c r="AA499" i="1"/>
  <c r="F528" i="1"/>
  <c r="AD534" i="1"/>
  <c r="BJ435" i="1"/>
  <c r="BJ257" i="1" s="1"/>
  <c r="AF477" i="1"/>
  <c r="BK477" i="1"/>
  <c r="P499" i="1"/>
  <c r="BC499" i="1"/>
  <c r="AD356" i="1"/>
  <c r="AE435" i="1"/>
  <c r="AG477" i="1"/>
  <c r="BL477" i="1"/>
  <c r="Q499" i="1"/>
  <c r="BK499" i="1"/>
  <c r="BL435" i="1"/>
  <c r="BL257" i="1" s="1"/>
  <c r="BM477" i="1"/>
  <c r="BI499" i="1"/>
  <c r="X10" i="9"/>
  <c r="BE10" i="9"/>
  <c r="AG435" i="1"/>
  <c r="BM435" i="1"/>
  <c r="BM257" i="1" s="1"/>
  <c r="AE70" i="9"/>
  <c r="AE448" i="1"/>
  <c r="BL70" i="9"/>
  <c r="BH448" i="1"/>
  <c r="AO448" i="1"/>
  <c r="AI477" i="1"/>
  <c r="BN477" i="1"/>
  <c r="AC536" i="1"/>
  <c r="AK80" i="9"/>
  <c r="N517" i="1"/>
  <c r="G7" i="9"/>
  <c r="G614" i="1"/>
  <c r="AM7" i="9"/>
  <c r="AM614" i="1"/>
  <c r="O8" i="9"/>
  <c r="O615" i="1"/>
  <c r="AU8" i="9"/>
  <c r="AU615" i="1"/>
  <c r="Y10" i="9"/>
  <c r="BF10" i="9"/>
  <c r="J536" i="1"/>
  <c r="AF70" i="9"/>
  <c r="BM70" i="9"/>
  <c r="C477" i="1"/>
  <c r="AJ477" i="1"/>
  <c r="AG534" i="1"/>
  <c r="BP536" i="1"/>
  <c r="BG10" i="9"/>
  <c r="AI435" i="1"/>
  <c r="AG70" i="9"/>
  <c r="BN70" i="9"/>
  <c r="D477" i="1"/>
  <c r="AK477" i="1"/>
  <c r="BO484" i="1"/>
  <c r="AJ435" i="1"/>
  <c r="AJ257" i="1" s="1"/>
  <c r="AH70" i="9"/>
  <c r="H448" i="1"/>
  <c r="AR448" i="1"/>
  <c r="E477" i="1"/>
  <c r="AZ477" i="1"/>
  <c r="BP484" i="1"/>
  <c r="BP271" i="1" s="1"/>
  <c r="BT78" i="9" s="1"/>
  <c r="E80" i="9"/>
  <c r="AI534" i="1"/>
  <c r="AB10" i="9"/>
  <c r="BI10" i="9"/>
  <c r="C435" i="1"/>
  <c r="AI70" i="9"/>
  <c r="I448" i="1"/>
  <c r="BA477" i="1"/>
  <c r="AO80" i="9"/>
  <c r="D435" i="1"/>
  <c r="D257" i="1" s="1"/>
  <c r="AO435" i="1"/>
  <c r="AO257" i="1" s="1"/>
  <c r="C70" i="9"/>
  <c r="AJ70" i="9"/>
  <c r="AJ448" i="1"/>
  <c r="BM448" i="1"/>
  <c r="L477" i="1"/>
  <c r="BB477" i="1"/>
  <c r="J514" i="1"/>
  <c r="BK10" i="9"/>
  <c r="F356" i="1"/>
  <c r="E435" i="1"/>
  <c r="E257" i="1" s="1"/>
  <c r="D70" i="9"/>
  <c r="D448" i="1"/>
  <c r="AK70" i="9"/>
  <c r="AK448" i="1"/>
  <c r="BN448" i="1"/>
  <c r="K448" i="1"/>
  <c r="AU448" i="1"/>
  <c r="AI536" i="1"/>
  <c r="M477" i="1"/>
  <c r="BC477" i="1"/>
  <c r="AB499" i="1"/>
  <c r="BL10" i="9"/>
  <c r="H435" i="1"/>
  <c r="H257" i="1" s="1"/>
  <c r="AQ435" i="1"/>
  <c r="E70" i="9"/>
  <c r="E448" i="1"/>
  <c r="L448" i="1"/>
  <c r="C536" i="1"/>
  <c r="AJ536" i="1"/>
  <c r="BD477" i="1"/>
  <c r="AC499" i="1"/>
  <c r="BM499" i="1"/>
  <c r="I80" i="9"/>
  <c r="AR80" i="9"/>
  <c r="AF10" i="9"/>
  <c r="BM10" i="9"/>
  <c r="AM70" i="9"/>
  <c r="M448" i="1"/>
  <c r="D536" i="1"/>
  <c r="AK536" i="1"/>
  <c r="BO453" i="1"/>
  <c r="O477" i="1"/>
  <c r="BE477" i="1"/>
  <c r="BN499" i="1"/>
  <c r="AG572" i="1"/>
  <c r="AG538" i="1"/>
  <c r="AP536" i="1"/>
  <c r="G70" i="9"/>
  <c r="AN70" i="9"/>
  <c r="E536" i="1"/>
  <c r="P477" i="1"/>
  <c r="AE499" i="1"/>
  <c r="BO480" i="1"/>
  <c r="K80" i="9"/>
  <c r="AF99" i="9"/>
  <c r="C113" i="9"/>
  <c r="C596" i="1"/>
  <c r="C607" i="1" s="1"/>
  <c r="AG99" i="9"/>
  <c r="AI99" i="9"/>
  <c r="H113" i="9"/>
  <c r="H596" i="1"/>
  <c r="H607" i="1" s="1"/>
  <c r="AK99" i="9"/>
  <c r="F558" i="1"/>
  <c r="AN572" i="1"/>
  <c r="I113" i="9"/>
  <c r="I596" i="1"/>
  <c r="I607" i="1" s="1"/>
  <c r="BO599" i="1"/>
  <c r="C80" i="9"/>
  <c r="AI80" i="9"/>
  <c r="AR534" i="1"/>
  <c r="D80" i="9"/>
  <c r="AJ80" i="9"/>
  <c r="H538" i="1"/>
  <c r="N558" i="1"/>
  <c r="N514" i="1"/>
  <c r="C573" i="1"/>
  <c r="G80" i="9"/>
  <c r="AM80" i="9"/>
  <c r="AR538" i="1"/>
  <c r="AV603" i="1"/>
  <c r="AW603" i="1" s="1"/>
  <c r="AX603" i="1" s="1"/>
  <c r="BO603" i="1" s="1"/>
  <c r="BP603" i="1" s="1"/>
  <c r="BQ603" i="1" s="1"/>
  <c r="BR603" i="1" s="1"/>
  <c r="BS603" i="1" s="1"/>
  <c r="H80" i="9"/>
  <c r="AN80" i="9"/>
  <c r="AV530" i="1"/>
  <c r="AV452" i="1" s="1"/>
  <c r="L538" i="1"/>
  <c r="AU573" i="1"/>
  <c r="E596" i="1"/>
  <c r="E607" i="1" s="1"/>
  <c r="G99" i="9"/>
  <c r="AX561" i="1"/>
  <c r="BM113" i="9"/>
  <c r="BI596" i="1"/>
  <c r="BI607" i="1" s="1"/>
  <c r="AQ80" i="9"/>
  <c r="O538" i="1"/>
  <c r="AT558" i="1"/>
  <c r="AS80" i="9"/>
  <c r="L573" i="1"/>
  <c r="BL596" i="1"/>
  <c r="BL607" i="1" s="1"/>
  <c r="BM596" i="1"/>
  <c r="BM607" i="1" s="1"/>
  <c r="S499" i="1"/>
  <c r="O80" i="9"/>
  <c r="AU80" i="9"/>
  <c r="O573" i="1"/>
  <c r="BN596" i="1"/>
  <c r="BN607" i="1" s="1"/>
  <c r="P80" i="9"/>
  <c r="BD80" i="9"/>
  <c r="T538" i="1"/>
  <c r="P573" i="1"/>
  <c r="AO596" i="1"/>
  <c r="AO607" i="1" s="1"/>
  <c r="Q80" i="9"/>
  <c r="BE80" i="9"/>
  <c r="Q573" i="1"/>
  <c r="BF80" i="9"/>
  <c r="F584" i="1"/>
  <c r="S80" i="9"/>
  <c r="BG80" i="9"/>
  <c r="J584" i="1"/>
  <c r="AE113" i="9"/>
  <c r="AE596" i="1"/>
  <c r="AE607" i="1" s="1"/>
  <c r="T80" i="9"/>
  <c r="BH80" i="9"/>
  <c r="T573" i="1"/>
  <c r="AF113" i="9"/>
  <c r="AF596" i="1"/>
  <c r="AF607" i="1" s="1"/>
  <c r="AB70" i="9"/>
  <c r="BI70" i="9"/>
  <c r="U80" i="9"/>
  <c r="BI80" i="9"/>
  <c r="U573" i="1"/>
  <c r="AC70" i="9"/>
  <c r="BJ70" i="9"/>
  <c r="I536" i="1"/>
  <c r="AO536" i="1"/>
  <c r="BJ80" i="9"/>
  <c r="S534" i="1"/>
  <c r="AI113" i="9"/>
  <c r="AI596" i="1"/>
  <c r="AI607" i="1" s="1"/>
  <c r="BK70" i="9"/>
  <c r="W80" i="9"/>
  <c r="BK80" i="9"/>
  <c r="AR596" i="1"/>
  <c r="AR607" i="1" s="1"/>
  <c r="AJ99" i="9"/>
  <c r="AU596" i="1"/>
  <c r="AU607" i="1" s="1"/>
  <c r="AM99" i="9"/>
  <c r="C99" i="9"/>
  <c r="J595" i="1"/>
  <c r="D99" i="9"/>
  <c r="G113" i="9"/>
  <c r="G596" i="1"/>
  <c r="G607" i="1" s="1"/>
  <c r="AQ113" i="9"/>
  <c r="AQ596" i="1"/>
  <c r="AQ607" i="1" s="1"/>
  <c r="N595" i="1"/>
  <c r="E99" i="9"/>
  <c r="AQ99" i="9"/>
  <c r="N584" i="1"/>
  <c r="K113" i="9"/>
  <c r="K596" i="1"/>
  <c r="K607" i="1" s="1"/>
  <c r="AD595" i="1"/>
  <c r="V584" i="1"/>
  <c r="L596" i="1"/>
  <c r="L607" i="1" s="1"/>
  <c r="K99" i="9"/>
  <c r="Z584" i="1"/>
  <c r="M596" i="1"/>
  <c r="M607" i="1" s="1"/>
  <c r="AP595" i="1"/>
  <c r="J558" i="1"/>
  <c r="AH584" i="1"/>
  <c r="AT595" i="1"/>
  <c r="R595" i="1"/>
  <c r="O596" i="1"/>
  <c r="O607" i="1" s="1"/>
  <c r="BE596" i="1"/>
  <c r="BE607" i="1" s="1"/>
  <c r="BS530" i="1"/>
  <c r="BS452" i="1" s="1"/>
  <c r="E573" i="1"/>
  <c r="P596" i="1"/>
  <c r="BO587" i="1"/>
  <c r="V558" i="1"/>
  <c r="G573" i="1"/>
  <c r="AT584" i="1"/>
  <c r="T596" i="1"/>
  <c r="T607" i="1" s="1"/>
  <c r="W113" i="9"/>
  <c r="W596" i="1"/>
  <c r="W607" i="1" s="1"/>
  <c r="BL99" i="9"/>
  <c r="AP558" i="1"/>
  <c r="J605" i="1"/>
  <c r="X99" i="9"/>
  <c r="BM99" i="9"/>
  <c r="BN99" i="9"/>
  <c r="BL113" i="9"/>
  <c r="BH596" i="1"/>
  <c r="BH607" i="1" s="1"/>
  <c r="R605" i="1"/>
  <c r="AZ596" i="1"/>
  <c r="AZ607" i="1" s="1"/>
  <c r="AG596" i="1"/>
  <c r="AG607" i="1" s="1"/>
  <c r="BJ596" i="1"/>
  <c r="BJ607" i="1" s="1"/>
  <c r="BD692" i="1"/>
  <c r="N685" i="1"/>
  <c r="X699" i="1"/>
  <c r="O699" i="1"/>
  <c r="S685" i="1"/>
  <c r="AQ699" i="1"/>
  <c r="AU699" i="1"/>
  <c r="AC699" i="1"/>
  <c r="BO685" i="1"/>
  <c r="K699" i="1"/>
  <c r="AM685" i="1"/>
  <c r="Q699" i="1"/>
  <c r="U692" i="1"/>
  <c r="AA699" i="1"/>
  <c r="BB699" i="1"/>
  <c r="U699" i="1"/>
  <c r="BL685" i="1"/>
  <c r="AP692" i="1"/>
  <c r="BD685" i="1"/>
  <c r="R699" i="1"/>
  <c r="AZ692" i="1"/>
  <c r="AH699" i="1"/>
  <c r="AI692" i="1"/>
  <c r="R692" i="1"/>
  <c r="AW692" i="1"/>
  <c r="BA692" i="1"/>
  <c r="V692" i="1"/>
  <c r="F699" i="1"/>
  <c r="P699" i="1"/>
  <c r="AK685" i="1"/>
  <c r="W699" i="1"/>
  <c r="AV699" i="1"/>
  <c r="BP699" i="1"/>
  <c r="AE692" i="1"/>
  <c r="AM692" i="1"/>
  <c r="AN692" i="1"/>
  <c r="Y699" i="1"/>
  <c r="BE685" i="1"/>
  <c r="L699" i="1"/>
  <c r="AT699" i="1"/>
  <c r="I699" i="1"/>
  <c r="BS692" i="1"/>
  <c r="E692" i="1"/>
  <c r="AG699" i="1"/>
  <c r="AR692" i="1"/>
  <c r="AW699" i="1"/>
  <c r="Q692" i="1"/>
  <c r="AK692" i="1"/>
  <c r="Y692" i="1"/>
  <c r="AL685" i="1"/>
  <c r="BC685" i="1"/>
  <c r="M692" i="1"/>
  <c r="BQ699" i="1"/>
  <c r="R685" i="1"/>
  <c r="E699" i="1"/>
  <c r="AJ692" i="1"/>
  <c r="AZ699" i="1"/>
  <c r="AQ685" i="1"/>
  <c r="BJ685" i="1"/>
  <c r="BR699" i="1"/>
  <c r="AF699" i="1"/>
  <c r="W685" i="1"/>
  <c r="BH685" i="1"/>
  <c r="AC692" i="1"/>
  <c r="BM692" i="1"/>
  <c r="P692" i="1"/>
  <c r="AE685" i="1"/>
  <c r="AD685" i="1"/>
  <c r="AD692" i="1"/>
  <c r="AG692" i="1"/>
  <c r="I685" i="1"/>
  <c r="AL692" i="1"/>
  <c r="AO692" i="1"/>
  <c r="BI699" i="1"/>
  <c r="BN699" i="1"/>
  <c r="BA685" i="1"/>
  <c r="BK692" i="1"/>
  <c r="AG685" i="1"/>
  <c r="AH692" i="1"/>
  <c r="BH699" i="1"/>
  <c r="AH685" i="1"/>
  <c r="AN699" i="1"/>
  <c r="E685" i="1"/>
  <c r="BM685" i="1"/>
  <c r="AO699" i="1"/>
  <c r="I692" i="1"/>
  <c r="BJ692" i="1"/>
  <c r="T692" i="1"/>
  <c r="K692" i="1"/>
  <c r="AA685" i="1"/>
  <c r="AV685" i="1"/>
  <c r="H692" i="1"/>
  <c r="F692" i="1"/>
  <c r="AB699" i="1"/>
  <c r="AE699" i="1"/>
  <c r="J685" i="1"/>
  <c r="AB692" i="1"/>
  <c r="BE699" i="1"/>
  <c r="AX685" i="1"/>
  <c r="AP685" i="1"/>
  <c r="BS685" i="1"/>
  <c r="BS699" i="1"/>
  <c r="H699" i="1"/>
  <c r="N699" i="1"/>
  <c r="O692" i="1"/>
  <c r="AR699" i="1"/>
  <c r="G699" i="1"/>
  <c r="AC685" i="1"/>
  <c r="BQ685" i="1"/>
  <c r="BC692" i="1"/>
  <c r="Q685" i="1"/>
  <c r="BL692" i="1"/>
  <c r="C699" i="1"/>
  <c r="D699" i="1"/>
  <c r="BF685" i="1"/>
  <c r="AF685" i="1"/>
  <c r="BO692" i="1"/>
  <c r="AI685" i="1"/>
  <c r="AN685" i="1"/>
  <c r="AD699" i="1"/>
  <c r="L685" i="1"/>
  <c r="J699" i="1"/>
  <c r="AQ692" i="1"/>
  <c r="BL699" i="1"/>
  <c r="AJ699" i="1"/>
  <c r="BR685" i="1"/>
  <c r="T699" i="1"/>
  <c r="AI699" i="1"/>
  <c r="AF692" i="1"/>
  <c r="Z685" i="1"/>
  <c r="BF692" i="1"/>
  <c r="U685" i="1"/>
  <c r="BK699" i="1"/>
  <c r="BH692" i="1"/>
  <c r="S692" i="1"/>
  <c r="AS685" i="1"/>
  <c r="O685" i="1"/>
  <c r="AX692" i="1"/>
  <c r="AU685" i="1"/>
  <c r="F685" i="1"/>
  <c r="BN692" i="1"/>
  <c r="BR692" i="1"/>
  <c r="BP692" i="1"/>
  <c r="BE692" i="1"/>
  <c r="AA692" i="1"/>
  <c r="BA699" i="1"/>
  <c r="C692" i="1"/>
  <c r="BG699" i="1"/>
  <c r="AP699" i="1"/>
  <c r="BG692" i="1"/>
  <c r="C685" i="1"/>
  <c r="AW685" i="1"/>
  <c r="V685" i="1"/>
  <c r="K685" i="1"/>
  <c r="P685" i="1"/>
  <c r="M685" i="1"/>
  <c r="G685" i="1"/>
  <c r="AM699" i="1"/>
  <c r="BN685" i="1"/>
  <c r="S699" i="1"/>
  <c r="D685" i="1"/>
  <c r="AT692" i="1"/>
  <c r="BM699" i="1"/>
  <c r="BO699" i="1"/>
  <c r="BK685" i="1"/>
  <c r="M699" i="1"/>
  <c r="AZ685" i="1"/>
  <c r="AL699" i="1"/>
  <c r="Z699" i="1"/>
  <c r="BG685" i="1"/>
  <c r="BB685" i="1"/>
  <c r="AX699" i="1"/>
  <c r="AK699" i="1"/>
  <c r="AT685" i="1"/>
  <c r="N692" i="1"/>
  <c r="AV692" i="1"/>
  <c r="W692" i="1"/>
  <c r="BB692" i="1"/>
  <c r="AU692" i="1"/>
  <c r="Y685" i="1"/>
  <c r="BQ692" i="1"/>
  <c r="T685" i="1"/>
  <c r="L692" i="1"/>
  <c r="X685" i="1"/>
  <c r="Z692" i="1"/>
  <c r="D692" i="1"/>
  <c r="H685" i="1"/>
  <c r="BI692" i="1"/>
  <c r="BD699" i="1"/>
  <c r="V699" i="1"/>
  <c r="BP685" i="1"/>
  <c r="AJ685" i="1"/>
  <c r="BF699" i="1"/>
  <c r="AB685" i="1"/>
  <c r="BJ699" i="1"/>
  <c r="X692" i="1"/>
  <c r="AS692" i="1"/>
  <c r="BC699" i="1"/>
  <c r="AS699" i="1"/>
  <c r="J692" i="1"/>
  <c r="BI685" i="1"/>
  <c r="G692" i="1"/>
  <c r="AO685" i="1"/>
  <c r="AR685" i="1"/>
  <c r="D110" i="10"/>
  <c r="D100" i="10"/>
  <c r="D138" i="10"/>
  <c r="D59" i="10"/>
  <c r="D135" i="10"/>
  <c r="D221" i="10"/>
  <c r="D247" i="10"/>
  <c r="D91" i="10"/>
  <c r="D109" i="10"/>
  <c r="D77" i="10"/>
  <c r="D53" i="10"/>
  <c r="D194" i="10"/>
  <c r="D270" i="10"/>
  <c r="D131" i="10"/>
  <c r="D14" i="10"/>
  <c r="D79" i="10"/>
  <c r="D187" i="10"/>
  <c r="D45" i="10"/>
  <c r="D231" i="10"/>
  <c r="D283" i="10"/>
  <c r="D174" i="10"/>
  <c r="D46" i="10"/>
  <c r="D225" i="10"/>
  <c r="D277" i="10"/>
  <c r="D181" i="10"/>
  <c r="D80" i="10"/>
  <c r="D103" i="10"/>
  <c r="D67" i="10"/>
  <c r="D116" i="10"/>
  <c r="D213" i="10"/>
  <c r="D216" i="10"/>
  <c r="D132" i="10"/>
  <c r="D35" i="10"/>
  <c r="D42" i="10"/>
  <c r="D168" i="10"/>
  <c r="D127" i="10"/>
  <c r="D222" i="10"/>
  <c r="D147" i="10"/>
  <c r="D248" i="10"/>
  <c r="D210" i="10"/>
  <c r="D230" i="10"/>
  <c r="D224" i="10"/>
  <c r="D167" i="10"/>
  <c r="D106" i="10"/>
  <c r="D28" i="10"/>
  <c r="D50" i="10"/>
  <c r="D163" i="10"/>
  <c r="D74" i="10"/>
  <c r="D18" i="10"/>
  <c r="D261" i="10"/>
  <c r="D207" i="10"/>
  <c r="D89" i="10"/>
  <c r="D262" i="10"/>
  <c r="D10" i="10"/>
  <c r="D172" i="10"/>
  <c r="D119" i="10"/>
  <c r="D278" i="10"/>
  <c r="D85" i="10"/>
  <c r="D36" i="10"/>
  <c r="D233" i="10"/>
  <c r="D179" i="10"/>
  <c r="D182" i="10"/>
  <c r="D139" i="10"/>
  <c r="D73" i="10"/>
  <c r="D171" i="10"/>
  <c r="D229" i="10"/>
  <c r="D34" i="10"/>
  <c r="D196" i="10"/>
  <c r="D72" i="10"/>
  <c r="D186" i="10"/>
  <c r="D266" i="10"/>
  <c r="D93" i="10"/>
  <c r="D176" i="10"/>
  <c r="D62" i="10"/>
  <c r="D236" i="10"/>
  <c r="D150" i="10"/>
  <c r="D128" i="10"/>
  <c r="D17" i="10"/>
  <c r="D256" i="10"/>
  <c r="D183" i="10"/>
  <c r="D253" i="10"/>
  <c r="D130" i="10"/>
  <c r="D144" i="10"/>
  <c r="D152" i="10"/>
  <c r="D160" i="10"/>
  <c r="D140" i="10"/>
  <c r="D43" i="10"/>
  <c r="D120" i="10"/>
  <c r="D206" i="10"/>
  <c r="D24" i="10"/>
  <c r="D12" i="10"/>
  <c r="D137" i="10"/>
  <c r="D31" i="10"/>
  <c r="D63" i="10"/>
  <c r="D60" i="10"/>
  <c r="D217" i="10"/>
  <c r="D198" i="10"/>
  <c r="D175" i="10"/>
  <c r="D180" i="10"/>
  <c r="D84" i="10"/>
  <c r="D214" i="10"/>
  <c r="D205" i="10"/>
  <c r="D161" i="10"/>
  <c r="D71" i="10"/>
  <c r="D39" i="10"/>
  <c r="D164" i="10"/>
  <c r="D19" i="10"/>
  <c r="D273" i="10"/>
  <c r="D241" i="10"/>
  <c r="D134" i="10"/>
  <c r="D21" i="10"/>
  <c r="D57" i="10"/>
  <c r="D66" i="10"/>
  <c r="D47" i="10"/>
  <c r="D274" i="10"/>
  <c r="D195" i="10"/>
  <c r="D99" i="10"/>
  <c r="D108" i="10"/>
  <c r="D70" i="10"/>
  <c r="D83" i="10"/>
  <c r="D156" i="10"/>
  <c r="D189" i="10"/>
  <c r="D191" i="10"/>
  <c r="D86" i="10"/>
  <c r="D94" i="10"/>
  <c r="D252" i="10"/>
  <c r="D9" i="10"/>
  <c r="D20" i="10"/>
  <c r="D6" i="10"/>
  <c r="D98" i="10"/>
  <c r="D97" i="10"/>
  <c r="D200" i="10"/>
  <c r="D54" i="10"/>
  <c r="D151" i="10"/>
  <c r="D212" i="10"/>
  <c r="D51" i="10"/>
  <c r="D146" i="10"/>
  <c r="D153" i="10"/>
  <c r="D190" i="10"/>
  <c r="D204" i="10"/>
  <c r="D158" i="10"/>
  <c r="D25" i="10"/>
  <c r="D65" i="10"/>
  <c r="D13" i="10"/>
  <c r="D257" i="10"/>
  <c r="D203" i="10"/>
  <c r="D115" i="10"/>
  <c r="D122" i="10"/>
  <c r="D282" i="10"/>
  <c r="D113" i="10"/>
  <c r="D121" i="10"/>
  <c r="D269" i="10"/>
  <c r="D141" i="10"/>
  <c r="D159" i="10"/>
  <c r="D105" i="10"/>
  <c r="D52" i="10"/>
  <c r="D166" i="10"/>
  <c r="D240" i="10"/>
  <c r="D199" i="10"/>
  <c r="D125" i="10"/>
  <c r="D226" i="10"/>
  <c r="D265" i="10"/>
  <c r="D232" i="10"/>
  <c r="D32" i="10"/>
  <c r="V174" i="11" l="1"/>
  <c r="W174" i="11"/>
  <c r="F218" i="11"/>
  <c r="F221" i="11" s="1"/>
  <c r="F226" i="11" s="1"/>
  <c r="F229" i="11" s="1"/>
  <c r="F231" i="11" s="1"/>
  <c r="F170" i="11"/>
  <c r="F172" i="11" s="1"/>
  <c r="J173" i="11" s="1"/>
  <c r="V173" i="11"/>
  <c r="Z173" i="11"/>
  <c r="B4" i="1"/>
  <c r="B3" i="1" s="1"/>
  <c r="R353" i="11"/>
  <c r="R366" i="11" s="1"/>
  <c r="V353" i="11"/>
  <c r="V366" i="11" s="1"/>
  <c r="BH100" i="9"/>
  <c r="K366" i="11"/>
  <c r="Y451" i="11"/>
  <c r="Y101" i="11" s="1"/>
  <c r="O366" i="11"/>
  <c r="L366" i="11"/>
  <c r="H366" i="11"/>
  <c r="AR290" i="11"/>
  <c r="AR301" i="11" s="1"/>
  <c r="AR335" i="11" s="1"/>
  <c r="AR346" i="11"/>
  <c r="AR347" i="11" s="1"/>
  <c r="AR353" i="11" s="1"/>
  <c r="AQ366" i="11"/>
  <c r="I366" i="11"/>
  <c r="AP366" i="11"/>
  <c r="P366" i="11"/>
  <c r="M366" i="11"/>
  <c r="Q366" i="11"/>
  <c r="G366" i="11"/>
  <c r="Z397" i="11"/>
  <c r="Z380" i="11"/>
  <c r="Z405" i="11"/>
  <c r="Z406" i="11"/>
  <c r="Z403" i="11"/>
  <c r="Z433" i="11"/>
  <c r="Z100" i="11"/>
  <c r="AU100" i="11" s="1"/>
  <c r="X386" i="11"/>
  <c r="Y386" i="11" s="1"/>
  <c r="X387" i="11"/>
  <c r="Y387" i="11" s="1"/>
  <c r="Z387" i="11" s="1"/>
  <c r="X382" i="11"/>
  <c r="X238" i="11" s="1"/>
  <c r="X385" i="11"/>
  <c r="Y385" i="11" s="1"/>
  <c r="X394" i="11"/>
  <c r="Y394" i="11" s="1"/>
  <c r="X395" i="11"/>
  <c r="Y395" i="11" s="1"/>
  <c r="X434" i="11"/>
  <c r="Y434" i="11" s="1"/>
  <c r="X435" i="11"/>
  <c r="Y435" i="11" s="1"/>
  <c r="X58" i="11"/>
  <c r="Y414" i="11"/>
  <c r="Y58" i="11" s="1"/>
  <c r="AK546" i="1"/>
  <c r="AK530" i="1" s="1"/>
  <c r="AH7" i="9"/>
  <c r="BI100" i="9"/>
  <c r="AT94" i="11"/>
  <c r="V95" i="11"/>
  <c r="AS94" i="11"/>
  <c r="AS95" i="11" s="1"/>
  <c r="R95" i="11"/>
  <c r="AQ94" i="11"/>
  <c r="AQ95" i="11" s="1"/>
  <c r="J95" i="11"/>
  <c r="AR94" i="11"/>
  <c r="AR95" i="11" s="1"/>
  <c r="N95" i="11"/>
  <c r="AQ290" i="11"/>
  <c r="AQ301" i="11" s="1"/>
  <c r="AQ335" i="11" s="1"/>
  <c r="AQ339" i="11"/>
  <c r="I290" i="11"/>
  <c r="I301" i="11" s="1"/>
  <c r="I335" i="11" s="1"/>
  <c r="I339" i="11"/>
  <c r="H290" i="11"/>
  <c r="H301" i="11" s="1"/>
  <c r="H335" i="11" s="1"/>
  <c r="H339" i="11"/>
  <c r="AP290" i="11"/>
  <c r="AP301" i="11" s="1"/>
  <c r="AP335" i="11" s="1"/>
  <c r="AP339" i="11"/>
  <c r="P290" i="11"/>
  <c r="P301" i="11" s="1"/>
  <c r="P335" i="11" s="1"/>
  <c r="P339" i="11"/>
  <c r="M290" i="11"/>
  <c r="M301" i="11" s="1"/>
  <c r="M335" i="11" s="1"/>
  <c r="M339" i="11"/>
  <c r="Q290" i="11"/>
  <c r="Q301" i="11" s="1"/>
  <c r="Q335" i="11" s="1"/>
  <c r="Q339" i="11"/>
  <c r="K290" i="11"/>
  <c r="K301" i="11" s="1"/>
  <c r="K335" i="11" s="1"/>
  <c r="K339" i="11"/>
  <c r="L290" i="11"/>
  <c r="L301" i="11" s="1"/>
  <c r="L335" i="11" s="1"/>
  <c r="L339" i="11"/>
  <c r="G290" i="11"/>
  <c r="G301" i="11" s="1"/>
  <c r="G335" i="11" s="1"/>
  <c r="G339" i="11"/>
  <c r="O290" i="11"/>
  <c r="O301" i="11" s="1"/>
  <c r="O335" i="11" s="1"/>
  <c r="O339" i="11"/>
  <c r="Q238" i="11"/>
  <c r="AR621" i="1"/>
  <c r="I25" i="16"/>
  <c r="C45" i="16"/>
  <c r="C45" i="12"/>
  <c r="C32" i="16"/>
  <c r="C33" i="16" s="1"/>
  <c r="C32" i="12"/>
  <c r="C33" i="12" s="1"/>
  <c r="BC621" i="1"/>
  <c r="R72" i="9"/>
  <c r="BF177" i="1"/>
  <c r="AH295" i="1"/>
  <c r="AJ87" i="1"/>
  <c r="BN177" i="1"/>
  <c r="BF114" i="9"/>
  <c r="BA303" i="1"/>
  <c r="AJ174" i="1"/>
  <c r="AJ179" i="1" s="1"/>
  <c r="V546" i="1"/>
  <c r="V530" i="1" s="1"/>
  <c r="AS621" i="1"/>
  <c r="M621" i="1"/>
  <c r="W235" i="11"/>
  <c r="X383" i="11"/>
  <c r="W56" i="11"/>
  <c r="X412" i="11"/>
  <c r="Y412" i="11" s="1"/>
  <c r="W57" i="11"/>
  <c r="X413" i="11"/>
  <c r="W59" i="11"/>
  <c r="X440" i="11"/>
  <c r="Y440" i="11" s="1"/>
  <c r="AQ621" i="1"/>
  <c r="R546" i="1"/>
  <c r="R530" i="1" s="1"/>
  <c r="BO10" i="9"/>
  <c r="AO138" i="1"/>
  <c r="AK573" i="1"/>
  <c r="AK104" i="9" s="1"/>
  <c r="AE573" i="1"/>
  <c r="AE104" i="9" s="1"/>
  <c r="AW621" i="1"/>
  <c r="AC177" i="1"/>
  <c r="BI62" i="9"/>
  <c r="BN23" i="9"/>
  <c r="BJ36" i="1"/>
  <c r="BN35" i="9" s="1"/>
  <c r="AS609" i="1"/>
  <c r="AJ573" i="1"/>
  <c r="AJ104" i="9" s="1"/>
  <c r="AO174" i="1"/>
  <c r="AO179" i="1" s="1"/>
  <c r="P607" i="1"/>
  <c r="P609" i="1" s="1"/>
  <c r="E621" i="1"/>
  <c r="AZ177" i="1"/>
  <c r="AN573" i="1"/>
  <c r="AR619" i="1" s="1"/>
  <c r="U529" i="1"/>
  <c r="U531" i="1" s="1"/>
  <c r="AO61" i="11"/>
  <c r="AM621" i="1"/>
  <c r="AO84" i="11"/>
  <c r="BK114" i="9"/>
  <c r="BG114" i="9"/>
  <c r="AF174" i="1"/>
  <c r="AF179" i="1" s="1"/>
  <c r="AF138" i="1"/>
  <c r="AS546" i="1"/>
  <c r="AS530" i="1" s="1"/>
  <c r="BC87" i="1"/>
  <c r="AL174" i="1"/>
  <c r="AL179" i="1" s="1"/>
  <c r="AT10" i="9"/>
  <c r="AZ176" i="1"/>
  <c r="AZ198" i="1" s="1"/>
  <c r="AZ133" i="1" s="1"/>
  <c r="AH615" i="1"/>
  <c r="W72" i="9"/>
  <c r="AJ138" i="1"/>
  <c r="AO573" i="1"/>
  <c r="AO104" i="9" s="1"/>
  <c r="AK87" i="1"/>
  <c r="V72" i="9"/>
  <c r="AO162" i="1"/>
  <c r="BN138" i="1"/>
  <c r="AG174" i="1"/>
  <c r="AG179" i="1" s="1"/>
  <c r="AS177" i="1"/>
  <c r="AG138" i="1"/>
  <c r="S238" i="11"/>
  <c r="AG573" i="1"/>
  <c r="AG104" i="9" s="1"/>
  <c r="BK573" i="1"/>
  <c r="BK609" i="1" s="1"/>
  <c r="AQ174" i="1"/>
  <c r="AQ179" i="1" s="1"/>
  <c r="BH114" i="9"/>
  <c r="AD10" i="9"/>
  <c r="BB546" i="1"/>
  <c r="BB530" i="1" s="1"/>
  <c r="BL114" i="9"/>
  <c r="Z448" i="1"/>
  <c r="Z449" i="1" s="1"/>
  <c r="Z259" i="1" s="1"/>
  <c r="Z261" i="1" s="1"/>
  <c r="BK62" i="9"/>
  <c r="AZ138" i="1"/>
  <c r="J87" i="1"/>
  <c r="J137" i="1"/>
  <c r="AN138" i="1"/>
  <c r="BM174" i="1"/>
  <c r="BM179" i="1" s="1"/>
  <c r="S48" i="11"/>
  <c r="S88" i="11" s="1"/>
  <c r="AN174" i="1"/>
  <c r="AN179" i="1" s="1"/>
  <c r="G48" i="11"/>
  <c r="G88" i="11" s="1"/>
  <c r="M546" i="1"/>
  <c r="M530" i="1" s="1"/>
  <c r="BL177" i="1"/>
  <c r="AF87" i="1"/>
  <c r="BB621" i="1"/>
  <c r="W238" i="11"/>
  <c r="R238" i="11"/>
  <c r="BN79" i="9"/>
  <c r="AQ546" i="1"/>
  <c r="AQ530" i="1" s="1"/>
  <c r="H238" i="11"/>
  <c r="AH43" i="9"/>
  <c r="BB177" i="1"/>
  <c r="BF72" i="9"/>
  <c r="AC176" i="1"/>
  <c r="AC198" i="1" s="1"/>
  <c r="E37" i="11" s="1"/>
  <c r="E48" i="11"/>
  <c r="E88" i="11" s="1"/>
  <c r="AR87" i="1"/>
  <c r="AQ87" i="1"/>
  <c r="BL174" i="1"/>
  <c r="BL179" i="1" s="1"/>
  <c r="AC138" i="1"/>
  <c r="E72" i="9"/>
  <c r="K238" i="11"/>
  <c r="AG177" i="1"/>
  <c r="AE138" i="1"/>
  <c r="AR138" i="1"/>
  <c r="BJ61" i="9"/>
  <c r="J74" i="11"/>
  <c r="J84" i="11" s="1"/>
  <c r="BN534" i="1"/>
  <c r="BN537" i="1" s="1"/>
  <c r="I546" i="1"/>
  <c r="I530" i="1" s="1"/>
  <c r="AM573" i="1"/>
  <c r="AM104" i="9" s="1"/>
  <c r="BK138" i="1"/>
  <c r="AA303" i="1"/>
  <c r="J238" i="11"/>
  <c r="BJ138" i="1"/>
  <c r="BN296" i="1"/>
  <c r="BD72" i="9"/>
  <c r="AJ72" i="9"/>
  <c r="BD303" i="1"/>
  <c r="BK100" i="9"/>
  <c r="V615" i="1"/>
  <c r="V289" i="1"/>
  <c r="V92" i="9" s="1"/>
  <c r="BF61" i="9"/>
  <c r="BG77" i="9"/>
  <c r="AU546" i="1"/>
  <c r="AU530" i="1" s="1"/>
  <c r="BO530" i="1" s="1"/>
  <c r="AN87" i="1"/>
  <c r="BH296" i="1"/>
  <c r="BL61" i="9"/>
  <c r="W609" i="1"/>
  <c r="AT615" i="1"/>
  <c r="AE87" i="1"/>
  <c r="BL100" i="9"/>
  <c r="AP615" i="1"/>
  <c r="I23" i="15"/>
  <c r="M107" i="9"/>
  <c r="AA87" i="1"/>
  <c r="BK72" i="1"/>
  <c r="BK177" i="1"/>
  <c r="F572" i="1"/>
  <c r="F573" i="1" s="1"/>
  <c r="G619" i="1" s="1"/>
  <c r="M238" i="11"/>
  <c r="N238" i="11"/>
  <c r="BJ114" i="9"/>
  <c r="U238" i="11"/>
  <c r="F48" i="11"/>
  <c r="F88" i="11" s="1"/>
  <c r="BJ100" i="9"/>
  <c r="AU177" i="1"/>
  <c r="AM87" i="1"/>
  <c r="AK138" i="1"/>
  <c r="BH138" i="1"/>
  <c r="AN546" i="1"/>
  <c r="AN530" i="1" s="1"/>
  <c r="T621" i="1"/>
  <c r="S72" i="9"/>
  <c r="BN621" i="1"/>
  <c r="AI573" i="1"/>
  <c r="AI104" i="9" s="1"/>
  <c r="BH174" i="1"/>
  <c r="BH179" i="1" s="1"/>
  <c r="AS174" i="1"/>
  <c r="AS179" i="1" s="1"/>
  <c r="AP10" i="9"/>
  <c r="AL10" i="9"/>
  <c r="C621" i="1"/>
  <c r="S621" i="1"/>
  <c r="BG621" i="1"/>
  <c r="BD61" i="9"/>
  <c r="AS138" i="1"/>
  <c r="AO177" i="1"/>
  <c r="AT103" i="1"/>
  <c r="AT104" i="1" s="1"/>
  <c r="D621" i="1"/>
  <c r="AL104" i="1"/>
  <c r="V624" i="1"/>
  <c r="AN621" i="1"/>
  <c r="BE546" i="1"/>
  <c r="BE530" i="1" s="1"/>
  <c r="X546" i="1"/>
  <c r="X530" i="1" s="1"/>
  <c r="BA138" i="1"/>
  <c r="BE201" i="1"/>
  <c r="BE529" i="1" s="1"/>
  <c r="AI87" i="1"/>
  <c r="BQ477" i="1"/>
  <c r="AR174" i="1"/>
  <c r="AR179" i="1" s="1"/>
  <c r="AK174" i="1"/>
  <c r="AK179" i="1" s="1"/>
  <c r="I238" i="11"/>
  <c r="AJ459" i="11"/>
  <c r="BG72" i="9"/>
  <c r="BE114" i="9"/>
  <c r="H621" i="1"/>
  <c r="AC546" i="1"/>
  <c r="AC530" i="1" s="1"/>
  <c r="C546" i="1"/>
  <c r="C530" i="1" s="1"/>
  <c r="AR72" i="9"/>
  <c r="F546" i="1"/>
  <c r="F530" i="1" s="1"/>
  <c r="BB138" i="1"/>
  <c r="G238" i="11"/>
  <c r="L238" i="11"/>
  <c r="J237" i="11"/>
  <c r="BF100" i="9"/>
  <c r="AN240" i="11"/>
  <c r="AN237" i="11"/>
  <c r="AM240" i="11"/>
  <c r="AM237" i="11"/>
  <c r="U240" i="11"/>
  <c r="U237" i="11"/>
  <c r="T240" i="11"/>
  <c r="T237" i="11"/>
  <c r="Z303" i="1"/>
  <c r="AN72" i="11"/>
  <c r="AN238" i="11"/>
  <c r="AT240" i="11"/>
  <c r="AT237" i="11"/>
  <c r="AT239" i="11" s="1"/>
  <c r="BK546" i="1"/>
  <c r="BK530" i="1" s="1"/>
  <c r="AM138" i="1"/>
  <c r="T238" i="11"/>
  <c r="V238" i="11"/>
  <c r="P240" i="11"/>
  <c r="P237" i="11"/>
  <c r="I240" i="11"/>
  <c r="I237" i="11"/>
  <c r="G240" i="11"/>
  <c r="G237" i="11"/>
  <c r="AA534" i="1"/>
  <c r="AA537" i="1" s="1"/>
  <c r="AD295" i="1"/>
  <c r="AD296" i="1" s="1"/>
  <c r="AI174" i="1"/>
  <c r="AI179" i="1" s="1"/>
  <c r="AH174" i="1"/>
  <c r="AH179" i="1" s="1"/>
  <c r="S240" i="11"/>
  <c r="S237" i="11"/>
  <c r="H240" i="11"/>
  <c r="H237" i="11"/>
  <c r="AS240" i="11"/>
  <c r="AS237" i="11"/>
  <c r="AS239" i="11" s="1"/>
  <c r="AQ240" i="11"/>
  <c r="AQ237" i="11"/>
  <c r="AQ239" i="11" s="1"/>
  <c r="F621" i="1"/>
  <c r="BK72" i="9"/>
  <c r="BI114" i="9"/>
  <c r="BM177" i="1"/>
  <c r="AP240" i="11"/>
  <c r="AP237" i="11"/>
  <c r="AP239" i="11" s="1"/>
  <c r="P238" i="11"/>
  <c r="AM72" i="11"/>
  <c r="AM238" i="11"/>
  <c r="R237" i="11"/>
  <c r="Q240" i="11"/>
  <c r="Q237" i="11"/>
  <c r="L240" i="11"/>
  <c r="L237" i="11"/>
  <c r="AL72" i="11"/>
  <c r="AL238" i="11"/>
  <c r="AR240" i="11"/>
  <c r="AR237" i="11"/>
  <c r="AR239" i="11" s="1"/>
  <c r="AD615" i="1"/>
  <c r="L92" i="9"/>
  <c r="AB87" i="1"/>
  <c r="AF573" i="1"/>
  <c r="AF609" i="1" s="1"/>
  <c r="AM174" i="1"/>
  <c r="AM179" i="1" s="1"/>
  <c r="BO266" i="1"/>
  <c r="BS77" i="9" s="1"/>
  <c r="AO240" i="11"/>
  <c r="AO237" i="11"/>
  <c r="AL240" i="11"/>
  <c r="AL237" i="11"/>
  <c r="O238" i="11"/>
  <c r="M240" i="11"/>
  <c r="M237" i="11"/>
  <c r="X621" i="1"/>
  <c r="BG61" i="9"/>
  <c r="AI138" i="1"/>
  <c r="O240" i="11"/>
  <c r="O237" i="11"/>
  <c r="AO72" i="11"/>
  <c r="AO238" i="11"/>
  <c r="K240" i="11"/>
  <c r="K237" i="11"/>
  <c r="N237" i="11"/>
  <c r="V218" i="11"/>
  <c r="V221" i="11" s="1"/>
  <c r="V234" i="11" s="1"/>
  <c r="V24" i="11"/>
  <c r="AT24" i="11" s="1"/>
  <c r="AK459" i="11"/>
  <c r="AL459" i="11"/>
  <c r="AN83" i="11"/>
  <c r="AM459" i="11"/>
  <c r="AO459" i="11"/>
  <c r="AO83" i="11"/>
  <c r="AP94" i="11"/>
  <c r="AP95" i="11" s="1"/>
  <c r="D54" i="15" s="1"/>
  <c r="AM83" i="11"/>
  <c r="AN459" i="11"/>
  <c r="BI174" i="1"/>
  <c r="BI179" i="1" s="1"/>
  <c r="AO48" i="11"/>
  <c r="BF174" i="1"/>
  <c r="BF179" i="1" s="1"/>
  <c r="AL48" i="11"/>
  <c r="AL88" i="11" s="1"/>
  <c r="BG174" i="1"/>
  <c r="BG179" i="1" s="1"/>
  <c r="AM48" i="11"/>
  <c r="AM88" i="11" s="1"/>
  <c r="BE174" i="1"/>
  <c r="BE179" i="1" s="1"/>
  <c r="AK48" i="11"/>
  <c r="AK88" i="11" s="1"/>
  <c r="BD174" i="1"/>
  <c r="BD179" i="1" s="1"/>
  <c r="AJ48" i="11"/>
  <c r="AJ88" i="11" s="1"/>
  <c r="AJ61" i="11"/>
  <c r="AJ83" i="11"/>
  <c r="AL61" i="11"/>
  <c r="AL83" i="11"/>
  <c r="AK61" i="11"/>
  <c r="AK83" i="11"/>
  <c r="Q459" i="11"/>
  <c r="T459" i="11"/>
  <c r="AI409" i="11"/>
  <c r="AI462" i="11" s="1"/>
  <c r="W11" i="11"/>
  <c r="J152" i="11"/>
  <c r="J153" i="11"/>
  <c r="J20" i="11" s="1"/>
  <c r="AQ145" i="11"/>
  <c r="AQ152" i="11"/>
  <c r="AQ153" i="11"/>
  <c r="AQ20" i="11" s="1"/>
  <c r="AR153" i="11"/>
  <c r="AR20" i="11" s="1"/>
  <c r="AS153" i="11"/>
  <c r="AS20" i="11" s="1"/>
  <c r="S459" i="11"/>
  <c r="I152" i="11"/>
  <c r="I153" i="11"/>
  <c r="I20" i="11" s="1"/>
  <c r="J15" i="11"/>
  <c r="D214" i="11"/>
  <c r="D127" i="11"/>
  <c r="AR152" i="11"/>
  <c r="AR145" i="11"/>
  <c r="AS152" i="11"/>
  <c r="R322" i="11"/>
  <c r="R334" i="11" s="1"/>
  <c r="R335" i="11" s="1"/>
  <c r="AU174" i="1"/>
  <c r="AU179" i="1" s="1"/>
  <c r="BO179" i="1" s="1"/>
  <c r="AU138" i="1"/>
  <c r="E60" i="11"/>
  <c r="E83" i="11" s="1"/>
  <c r="BO203" i="1"/>
  <c r="BP79" i="9"/>
  <c r="BN77" i="9"/>
  <c r="BS80" i="9"/>
  <c r="AH10" i="9"/>
  <c r="AD100" i="9"/>
  <c r="N546" i="1"/>
  <c r="N530" i="1" s="1"/>
  <c r="I72" i="9"/>
  <c r="J572" i="1"/>
  <c r="J573" i="1" s="1"/>
  <c r="AX477" i="1"/>
  <c r="BM546" i="1"/>
  <c r="BM530" i="1" s="1"/>
  <c r="BH61" i="9"/>
  <c r="N72" i="9"/>
  <c r="AP174" i="1"/>
  <c r="AP179" i="1" s="1"/>
  <c r="BI162" i="1"/>
  <c r="AQ409" i="11"/>
  <c r="AQ462" i="11" s="1"/>
  <c r="AU621" i="1"/>
  <c r="BC138" i="1"/>
  <c r="BH177" i="1"/>
  <c r="BE100" i="9"/>
  <c r="BA177" i="1"/>
  <c r="AR56" i="11"/>
  <c r="BO452" i="1"/>
  <c r="BO263" i="1" s="1"/>
  <c r="BO72" i="9" s="1"/>
  <c r="K107" i="9"/>
  <c r="BO271" i="1"/>
  <c r="BS78" i="9" s="1"/>
  <c r="I609" i="1"/>
  <c r="BE61" i="9"/>
  <c r="BG78" i="9"/>
  <c r="AS102" i="11"/>
  <c r="N226" i="11"/>
  <c r="N229" i="11" s="1"/>
  <c r="N231" i="11" s="1"/>
  <c r="AT409" i="11"/>
  <c r="AT462" i="11" s="1"/>
  <c r="BH77" i="9"/>
  <c r="AQ59" i="11"/>
  <c r="AT102" i="11"/>
  <c r="T409" i="11"/>
  <c r="AR409" i="11"/>
  <c r="AR462" i="11" s="1"/>
  <c r="K409" i="11"/>
  <c r="M409" i="11"/>
  <c r="AQ102" i="11"/>
  <c r="AQ58" i="11"/>
  <c r="H409" i="11"/>
  <c r="AO409" i="11"/>
  <c r="AR102" i="11"/>
  <c r="T60" i="11"/>
  <c r="T83" i="11" s="1"/>
  <c r="M60" i="11"/>
  <c r="M83" i="11" s="1"/>
  <c r="AT58" i="11"/>
  <c r="AR58" i="11"/>
  <c r="O459" i="11"/>
  <c r="AR57" i="11"/>
  <c r="AS57" i="11"/>
  <c r="AP266" i="11"/>
  <c r="O437" i="11"/>
  <c r="U60" i="11"/>
  <c r="U83" i="11" s="1"/>
  <c r="I60" i="11"/>
  <c r="I83" i="11" s="1"/>
  <c r="D60" i="11"/>
  <c r="D83" i="11" s="1"/>
  <c r="K60" i="11"/>
  <c r="K83" i="11" s="1"/>
  <c r="AP102" i="11"/>
  <c r="I459" i="11"/>
  <c r="F322" i="11"/>
  <c r="F334" i="11" s="1"/>
  <c r="E409" i="11"/>
  <c r="G409" i="11"/>
  <c r="D409" i="11"/>
  <c r="C60" i="11"/>
  <c r="C83" i="11" s="1"/>
  <c r="P409" i="11"/>
  <c r="AJ409" i="11"/>
  <c r="AR266" i="11"/>
  <c r="H60" i="11"/>
  <c r="H83" i="11" s="1"/>
  <c r="G60" i="11"/>
  <c r="G83" i="11" s="1"/>
  <c r="I15" i="11"/>
  <c r="C437" i="11"/>
  <c r="Q60" i="11"/>
  <c r="Q83" i="11" s="1"/>
  <c r="AF409" i="11"/>
  <c r="AF462" i="11" s="1"/>
  <c r="AK409" i="11"/>
  <c r="AN409" i="11"/>
  <c r="W409" i="11"/>
  <c r="W99" i="11" s="1"/>
  <c r="I437" i="11"/>
  <c r="U409" i="11"/>
  <c r="P459" i="11"/>
  <c r="L409" i="11"/>
  <c r="S409" i="11"/>
  <c r="BG100" i="9"/>
  <c r="J409" i="11"/>
  <c r="F409" i="11"/>
  <c r="AH409" i="11"/>
  <c r="AH462" i="11" s="1"/>
  <c r="C409" i="11"/>
  <c r="L60" i="11"/>
  <c r="L83" i="11" s="1"/>
  <c r="AL409" i="11"/>
  <c r="BC303" i="1"/>
  <c r="AP409" i="11"/>
  <c r="AP462" i="11" s="1"/>
  <c r="U437" i="11"/>
  <c r="V322" i="11"/>
  <c r="V334" i="11" s="1"/>
  <c r="J226" i="11"/>
  <c r="J229" i="11" s="1"/>
  <c r="J231" i="11" s="1"/>
  <c r="AT59" i="11"/>
  <c r="J459" i="11"/>
  <c r="P437" i="11"/>
  <c r="Q409" i="11"/>
  <c r="O409" i="11"/>
  <c r="AS409" i="11"/>
  <c r="AS462" i="11" s="1"/>
  <c r="I409" i="11"/>
  <c r="BL78" i="9"/>
  <c r="C459" i="11"/>
  <c r="AG409" i="11"/>
  <c r="AG462" i="11" s="1"/>
  <c r="BM79" i="9"/>
  <c r="BM303" i="1"/>
  <c r="AM409" i="11"/>
  <c r="AQ266" i="11"/>
  <c r="J322" i="11"/>
  <c r="J334" i="11" s="1"/>
  <c r="V56" i="11"/>
  <c r="V60" i="11" s="1"/>
  <c r="V83" i="11" s="1"/>
  <c r="V412" i="11"/>
  <c r="V437" i="11" s="1"/>
  <c r="BJ78" i="9"/>
  <c r="V301" i="11"/>
  <c r="BE74" i="9"/>
  <c r="N437" i="11"/>
  <c r="BI77" i="9"/>
  <c r="M437" i="11"/>
  <c r="F214" i="11"/>
  <c r="BI74" i="9"/>
  <c r="R59" i="11"/>
  <c r="AS59" i="11" s="1"/>
  <c r="R440" i="11"/>
  <c r="R459" i="11" s="1"/>
  <c r="AL558" i="1"/>
  <c r="N288" i="11"/>
  <c r="N346" i="11" s="1"/>
  <c r="N347" i="11" s="1"/>
  <c r="N353" i="11" s="1"/>
  <c r="V459" i="11"/>
  <c r="N322" i="11"/>
  <c r="N334" i="11" s="1"/>
  <c r="H437" i="11"/>
  <c r="AP214" i="1"/>
  <c r="AP213" i="1" s="1"/>
  <c r="R409" i="11"/>
  <c r="BP10" i="9"/>
  <c r="E437" i="11"/>
  <c r="AT203" i="1"/>
  <c r="V48" i="11" s="1"/>
  <c r="V383" i="11"/>
  <c r="J9" i="11"/>
  <c r="J213" i="11"/>
  <c r="M9" i="11"/>
  <c r="M213" i="11"/>
  <c r="H459" i="11"/>
  <c r="E459" i="11"/>
  <c r="AM72" i="9"/>
  <c r="AS162" i="1"/>
  <c r="AF32" i="1"/>
  <c r="AF24" i="9" s="1"/>
  <c r="H213" i="11"/>
  <c r="BL573" i="1"/>
  <c r="BL104" i="9" s="1"/>
  <c r="AH558" i="1"/>
  <c r="J288" i="11"/>
  <c r="J346" i="11" s="1"/>
  <c r="J347" i="11" s="1"/>
  <c r="J353" i="11" s="1"/>
  <c r="F56" i="11"/>
  <c r="F412" i="11"/>
  <c r="F437" i="11" s="1"/>
  <c r="F59" i="11"/>
  <c r="F440" i="11"/>
  <c r="F459" i="11" s="1"/>
  <c r="N59" i="11"/>
  <c r="AR59" i="11" s="1"/>
  <c r="N440" i="11"/>
  <c r="N459" i="11" s="1"/>
  <c r="AL70" i="9"/>
  <c r="N398" i="11"/>
  <c r="N409" i="11" s="1"/>
  <c r="AD558" i="1"/>
  <c r="F288" i="11"/>
  <c r="R56" i="11"/>
  <c r="AS56" i="11" s="1"/>
  <c r="R412" i="11"/>
  <c r="R437" i="11" s="1"/>
  <c r="G9" i="11"/>
  <c r="G213" i="11"/>
  <c r="K459" i="11"/>
  <c r="BM77" i="9"/>
  <c r="G459" i="11"/>
  <c r="E9" i="11"/>
  <c r="E213" i="11"/>
  <c r="C9" i="11"/>
  <c r="C213" i="11"/>
  <c r="BJ76" i="9"/>
  <c r="BG79" i="9"/>
  <c r="K9" i="11"/>
  <c r="K213" i="11"/>
  <c r="BD619" i="1"/>
  <c r="BK77" i="9"/>
  <c r="L9" i="11"/>
  <c r="L213" i="11"/>
  <c r="L459" i="11"/>
  <c r="W437" i="11"/>
  <c r="J56" i="11"/>
  <c r="AQ56" i="11" s="1"/>
  <c r="J412" i="11"/>
  <c r="J437" i="11" s="1"/>
  <c r="K437" i="11"/>
  <c r="I9" i="11"/>
  <c r="I213" i="11"/>
  <c r="W459" i="11"/>
  <c r="BN74" i="9"/>
  <c r="Q437" i="11"/>
  <c r="L437" i="11"/>
  <c r="AL596" i="1"/>
  <c r="AL607" i="1" s="1"/>
  <c r="BI78" i="9"/>
  <c r="U459" i="11"/>
  <c r="M459" i="11"/>
  <c r="D459" i="11"/>
  <c r="T437" i="11"/>
  <c r="G437" i="11"/>
  <c r="N9" i="11"/>
  <c r="N213" i="11"/>
  <c r="BD74" i="9"/>
  <c r="BI72" i="9"/>
  <c r="D437" i="11"/>
  <c r="R226" i="11"/>
  <c r="R229" i="11" s="1"/>
  <c r="R231" i="11" s="1"/>
  <c r="BD76" i="9"/>
  <c r="AZ76" i="9"/>
  <c r="BD77" i="9"/>
  <c r="AZ77" i="9"/>
  <c r="BH79" i="9"/>
  <c r="BL79" i="9"/>
  <c r="BO49" i="9"/>
  <c r="BO43" i="9"/>
  <c r="BK76" i="9"/>
  <c r="BP76" i="9"/>
  <c r="BF77" i="9"/>
  <c r="BB77" i="9"/>
  <c r="BM76" i="9"/>
  <c r="BJ69" i="9"/>
  <c r="BJ71" i="9" s="1"/>
  <c r="BN78" i="9"/>
  <c r="BD78" i="9"/>
  <c r="AZ78" i="9"/>
  <c r="BH76" i="9"/>
  <c r="BJ77" i="9"/>
  <c r="AZ621" i="1"/>
  <c r="AZ72" i="9"/>
  <c r="BF79" i="9"/>
  <c r="BB79" i="9"/>
  <c r="BF76" i="9"/>
  <c r="BB76" i="9"/>
  <c r="BH78" i="9"/>
  <c r="BK79" i="9"/>
  <c r="BM78" i="9"/>
  <c r="BI79" i="9"/>
  <c r="BJ79" i="9"/>
  <c r="BK78" i="9"/>
  <c r="BO45" i="9"/>
  <c r="BP77" i="9"/>
  <c r="BO48" i="9"/>
  <c r="BE79" i="9"/>
  <c r="BA79" i="9"/>
  <c r="BE78" i="9"/>
  <c r="BA78" i="9"/>
  <c r="Z615" i="1"/>
  <c r="BI76" i="9"/>
  <c r="V296" i="1"/>
  <c r="BD79" i="9"/>
  <c r="AZ79" i="9"/>
  <c r="BP78" i="9"/>
  <c r="BE77" i="9"/>
  <c r="BA77" i="9"/>
  <c r="BR10" i="9"/>
  <c r="BE619" i="1"/>
  <c r="BD104" i="9"/>
  <c r="BD105" i="9" s="1"/>
  <c r="BD115" i="9" s="1"/>
  <c r="BE72" i="9"/>
  <c r="BA72" i="9"/>
  <c r="AL572" i="1"/>
  <c r="BF78" i="9"/>
  <c r="BB78" i="9"/>
  <c r="BL77" i="9"/>
  <c r="BB624" i="1"/>
  <c r="BM296" i="1"/>
  <c r="BJ573" i="1"/>
  <c r="BJ619" i="1" s="1"/>
  <c r="AZ624" i="1"/>
  <c r="U72" i="9"/>
  <c r="BK296" i="1"/>
  <c r="C624" i="1"/>
  <c r="H619" i="1"/>
  <c r="U621" i="1"/>
  <c r="G160" i="1"/>
  <c r="G165" i="1" s="1"/>
  <c r="G173" i="1" s="1"/>
  <c r="G176" i="1" s="1"/>
  <c r="G198" i="1" s="1"/>
  <c r="S624" i="1"/>
  <c r="S76" i="9"/>
  <c r="BM609" i="1"/>
  <c r="X624" i="1"/>
  <c r="AU624" i="1"/>
  <c r="BA621" i="1"/>
  <c r="AS624" i="1"/>
  <c r="T546" i="1"/>
  <c r="T530" i="1" s="1"/>
  <c r="T531" i="1" s="1"/>
  <c r="BC609" i="1"/>
  <c r="Y609" i="1"/>
  <c r="U136" i="1"/>
  <c r="BB303" i="1"/>
  <c r="BE624" i="1"/>
  <c r="BF546" i="1"/>
  <c r="BF530" i="1" s="1"/>
  <c r="V303" i="1"/>
  <c r="Y621" i="1"/>
  <c r="K609" i="1"/>
  <c r="AC72" i="9"/>
  <c r="BF303" i="1"/>
  <c r="BE609" i="1"/>
  <c r="P624" i="1"/>
  <c r="H162" i="1"/>
  <c r="H624" i="1"/>
  <c r="AU10" i="11"/>
  <c r="AV15" i="11" s="1"/>
  <c r="AV20" i="11" s="1"/>
  <c r="BN619" i="1"/>
  <c r="AB72" i="9"/>
  <c r="F137" i="1"/>
  <c r="R572" i="1"/>
  <c r="R573" i="1" s="1"/>
  <c r="R104" i="9" s="1"/>
  <c r="O621" i="1"/>
  <c r="AD303" i="1"/>
  <c r="AE621" i="1"/>
  <c r="AA69" i="9"/>
  <c r="AA71" i="9" s="1"/>
  <c r="AA73" i="9" s="1"/>
  <c r="J535" i="1"/>
  <c r="J537" i="1" s="1"/>
  <c r="O546" i="1"/>
  <c r="O530" i="1" s="1"/>
  <c r="N624" i="1"/>
  <c r="I624" i="1"/>
  <c r="AH289" i="1"/>
  <c r="AH107" i="9" s="1"/>
  <c r="AJ624" i="1"/>
  <c r="W624" i="1"/>
  <c r="BC624" i="1"/>
  <c r="O624" i="1"/>
  <c r="BL72" i="9"/>
  <c r="R131" i="1"/>
  <c r="R622" i="1" s="1"/>
  <c r="AZ136" i="1"/>
  <c r="K449" i="1"/>
  <c r="K259" i="1" s="1"/>
  <c r="AB303" i="1"/>
  <c r="BE303" i="1"/>
  <c r="AP596" i="1"/>
  <c r="AP607" i="1" s="1"/>
  <c r="Y303" i="1"/>
  <c r="M624" i="1"/>
  <c r="BH303" i="1"/>
  <c r="AC303" i="1"/>
  <c r="J295" i="1"/>
  <c r="J296" i="1" s="1"/>
  <c r="K274" i="1"/>
  <c r="K275" i="1" s="1"/>
  <c r="K276" i="1" s="1"/>
  <c r="K277" i="1" s="1"/>
  <c r="AO621" i="1"/>
  <c r="R62" i="9"/>
  <c r="J546" i="1"/>
  <c r="J530" i="1" s="1"/>
  <c r="X609" i="1"/>
  <c r="BN609" i="1"/>
  <c r="AV15" i="1"/>
  <c r="AV28" i="9" s="1"/>
  <c r="AL150" i="1"/>
  <c r="AL155" i="1" s="1"/>
  <c r="AL158" i="1" s="1"/>
  <c r="AL160" i="1" s="1"/>
  <c r="AL165" i="1" s="1"/>
  <c r="AL173" i="1" s="1"/>
  <c r="BI296" i="1"/>
  <c r="R197" i="1"/>
  <c r="R211" i="1" s="1"/>
  <c r="R303" i="1"/>
  <c r="AH20" i="1"/>
  <c r="BJ296" i="1"/>
  <c r="Z296" i="1"/>
  <c r="BH621" i="1"/>
  <c r="AD357" i="1"/>
  <c r="AD410" i="1" s="1"/>
  <c r="BE87" i="1"/>
  <c r="AB160" i="1"/>
  <c r="AB165" i="1" s="1"/>
  <c r="AB173" i="1" s="1"/>
  <c r="BK160" i="1"/>
  <c r="BK165" i="1" s="1"/>
  <c r="BK173" i="1" s="1"/>
  <c r="BK176" i="1" s="1"/>
  <c r="AJ546" i="1"/>
  <c r="AJ530" i="1" s="1"/>
  <c r="BD69" i="9"/>
  <c r="BD71" i="9" s="1"/>
  <c r="AQ609" i="1"/>
  <c r="BG303" i="1"/>
  <c r="Q521" i="1"/>
  <c r="AC162" i="1"/>
  <c r="U177" i="1"/>
  <c r="N92" i="9"/>
  <c r="AE303" i="1"/>
  <c r="AX357" i="1"/>
  <c r="AX410" i="1" s="1"/>
  <c r="AJ160" i="1"/>
  <c r="AJ165" i="1" s="1"/>
  <c r="AJ173" i="1" s="1"/>
  <c r="AO72" i="9"/>
  <c r="BJ303" i="1"/>
  <c r="AG303" i="1"/>
  <c r="AG621" i="1"/>
  <c r="X303" i="1"/>
  <c r="W88" i="11"/>
  <c r="AU88" i="11" s="1"/>
  <c r="J289" i="1"/>
  <c r="J107" i="9" s="1"/>
  <c r="E624" i="1"/>
  <c r="W621" i="1"/>
  <c r="AP7" i="9"/>
  <c r="BI303" i="1"/>
  <c r="H609" i="1"/>
  <c r="AP572" i="1"/>
  <c r="AP573" i="1" s="1"/>
  <c r="Y201" i="1"/>
  <c r="Y204" i="1" s="1"/>
  <c r="Y139" i="1" s="1"/>
  <c r="Y65" i="9" s="1"/>
  <c r="Y535" i="1"/>
  <c r="Y537" i="1" s="1"/>
  <c r="L15" i="11"/>
  <c r="AU14" i="11"/>
  <c r="AU19" i="11" s="1"/>
  <c r="R11" i="11"/>
  <c r="G15" i="11"/>
  <c r="AZ449" i="1"/>
  <c r="AZ259" i="1" s="1"/>
  <c r="AZ261" i="1" s="1"/>
  <c r="BG624" i="1"/>
  <c r="D609" i="1"/>
  <c r="W303" i="1"/>
  <c r="BD534" i="1"/>
  <c r="BJ72" i="9"/>
  <c r="BC449" i="1"/>
  <c r="BC259" i="1" s="1"/>
  <c r="BC261" i="1" s="1"/>
  <c r="U624" i="1"/>
  <c r="BG274" i="1"/>
  <c r="BG275" i="1" s="1"/>
  <c r="BG276" i="1" s="1"/>
  <c r="BG277" i="1" s="1"/>
  <c r="BN160" i="1"/>
  <c r="BN165" i="1" s="1"/>
  <c r="BN173" i="1" s="1"/>
  <c r="BN176" i="1" s="1"/>
  <c r="W84" i="11"/>
  <c r="AU74" i="11"/>
  <c r="U303" i="1"/>
  <c r="BB609" i="1"/>
  <c r="AZ609" i="1"/>
  <c r="BH609" i="1"/>
  <c r="F357" i="1"/>
  <c r="F410" i="1" s="1"/>
  <c r="AA449" i="1"/>
  <c r="C99" i="11" s="1"/>
  <c r="N572" i="1"/>
  <c r="N573" i="1" s="1"/>
  <c r="O619" i="1" s="1"/>
  <c r="P615" i="1"/>
  <c r="BI624" i="1"/>
  <c r="BG69" i="9"/>
  <c r="BG71" i="9" s="1"/>
  <c r="BB274" i="1"/>
  <c r="BB275" i="1" s="1"/>
  <c r="BB276" i="1" s="1"/>
  <c r="BB277" i="1" s="1"/>
  <c r="BF104" i="9"/>
  <c r="BG105" i="9" s="1"/>
  <c r="BJ621" i="1"/>
  <c r="AL357" i="1"/>
  <c r="AL410" i="1" s="1"/>
  <c r="S92" i="9"/>
  <c r="BM162" i="1"/>
  <c r="T449" i="1"/>
  <c r="T502" i="1" s="1"/>
  <c r="U274" i="1"/>
  <c r="U275" i="1" s="1"/>
  <c r="U276" i="1" s="1"/>
  <c r="U277" i="1" s="1"/>
  <c r="BF624" i="1"/>
  <c r="AA546" i="1"/>
  <c r="AA530" i="1" s="1"/>
  <c r="AK621" i="1"/>
  <c r="BJ160" i="1"/>
  <c r="BJ165" i="1" s="1"/>
  <c r="BJ173" i="1" s="1"/>
  <c r="BJ176" i="1" s="1"/>
  <c r="BJ198" i="1" s="1"/>
  <c r="BJ624" i="1"/>
  <c r="AH357" i="1"/>
  <c r="AH410" i="1" s="1"/>
  <c r="R624" i="1"/>
  <c r="T136" i="1"/>
  <c r="BN72" i="9"/>
  <c r="K69" i="9"/>
  <c r="K71" i="9" s="1"/>
  <c r="H72" i="9"/>
  <c r="R596" i="1"/>
  <c r="R607" i="1" s="1"/>
  <c r="J624" i="1"/>
  <c r="Z289" i="1"/>
  <c r="Z107" i="9" s="1"/>
  <c r="G72" i="9"/>
  <c r="BK274" i="1"/>
  <c r="BK275" i="1" s="1"/>
  <c r="BK276" i="1" s="1"/>
  <c r="BK277" i="1" s="1"/>
  <c r="Q621" i="1"/>
  <c r="G621" i="1"/>
  <c r="G624" i="1"/>
  <c r="T545" i="1"/>
  <c r="AE160" i="1"/>
  <c r="AE165" i="1" s="1"/>
  <c r="AE173" i="1" s="1"/>
  <c r="AE176" i="1" s="1"/>
  <c r="AE178" i="1" s="1"/>
  <c r="Q546" i="1"/>
  <c r="Q530" i="1" s="1"/>
  <c r="E176" i="1"/>
  <c r="E198" i="1" s="1"/>
  <c r="AM624" i="1"/>
  <c r="AN537" i="1"/>
  <c r="BK303" i="1"/>
  <c r="AZ162" i="1"/>
  <c r="BD609" i="1"/>
  <c r="BD160" i="1"/>
  <c r="BD183" i="1" s="1"/>
  <c r="BD185" i="1" s="1"/>
  <c r="BD187" i="1" s="1"/>
  <c r="S609" i="1"/>
  <c r="F615" i="1"/>
  <c r="AT357" i="1"/>
  <c r="AT410" i="1" s="1"/>
  <c r="Z614" i="1"/>
  <c r="E183" i="1"/>
  <c r="E185" i="1" s="1"/>
  <c r="E187" i="1" s="1"/>
  <c r="Z7" i="9"/>
  <c r="AI624" i="1"/>
  <c r="N127" i="1"/>
  <c r="N128" i="1" s="1"/>
  <c r="D624" i="1"/>
  <c r="AQ61" i="9"/>
  <c r="AT572" i="1"/>
  <c r="AT573" i="1" s="1"/>
  <c r="AT104" i="9" s="1"/>
  <c r="AT105" i="9" s="1"/>
  <c r="AK624" i="1"/>
  <c r="BL543" i="1"/>
  <c r="AD596" i="1"/>
  <c r="AD607" i="1" s="1"/>
  <c r="AA515" i="1"/>
  <c r="AZ34" i="9"/>
  <c r="AT513" i="1"/>
  <c r="AX513" i="1" s="1"/>
  <c r="E162" i="1"/>
  <c r="J72" i="9"/>
  <c r="AF303" i="1"/>
  <c r="Y449" i="1"/>
  <c r="Y259" i="1" s="1"/>
  <c r="Y258" i="1" s="1"/>
  <c r="BK449" i="1"/>
  <c r="BK259" i="1" s="1"/>
  <c r="BK300" i="1" s="1"/>
  <c r="AB174" i="1"/>
  <c r="AB179" i="1" s="1"/>
  <c r="BG631" i="1"/>
  <c r="AK76" i="9"/>
  <c r="AO303" i="1"/>
  <c r="R615" i="1"/>
  <c r="BJ201" i="1"/>
  <c r="BJ545" i="1" s="1"/>
  <c r="Q624" i="1"/>
  <c r="AF518" i="1"/>
  <c r="AF111" i="9"/>
  <c r="BN303" i="1"/>
  <c r="AE546" i="1"/>
  <c r="AE530" i="1" s="1"/>
  <c r="BF449" i="1"/>
  <c r="BF259" i="1" s="1"/>
  <c r="BF261" i="1" s="1"/>
  <c r="BD624" i="1"/>
  <c r="AB274" i="1"/>
  <c r="AB275" i="1" s="1"/>
  <c r="AB276" i="1" s="1"/>
  <c r="AB277" i="1" s="1"/>
  <c r="BD524" i="1"/>
  <c r="AB69" i="9"/>
  <c r="AB71" i="9" s="1"/>
  <c r="BL162" i="1"/>
  <c r="AF621" i="1"/>
  <c r="V357" i="1"/>
  <c r="V410" i="1" s="1"/>
  <c r="BA624" i="1"/>
  <c r="BL624" i="1"/>
  <c r="N194" i="1"/>
  <c r="N197" i="1" s="1"/>
  <c r="N357" i="1"/>
  <c r="N410" i="1" s="1"/>
  <c r="F624" i="1"/>
  <c r="AC274" i="1"/>
  <c r="AC275" i="1" s="1"/>
  <c r="AC276" i="1" s="1"/>
  <c r="AC277" i="1" s="1"/>
  <c r="BK537" i="1"/>
  <c r="BL546" i="1"/>
  <c r="BL530" i="1" s="1"/>
  <c r="P72" i="9"/>
  <c r="BK624" i="1"/>
  <c r="P289" i="1"/>
  <c r="P107" i="9" s="1"/>
  <c r="D72" i="9"/>
  <c r="BL537" i="1"/>
  <c r="BN624" i="1"/>
  <c r="BL46" i="1"/>
  <c r="BL28" i="1" s="1"/>
  <c r="Y69" i="9"/>
  <c r="Y71" i="9" s="1"/>
  <c r="T274" i="1"/>
  <c r="T275" i="1" s="1"/>
  <c r="T276" i="1" s="1"/>
  <c r="T277" i="1" s="1"/>
  <c r="BJ87" i="1"/>
  <c r="F150" i="1"/>
  <c r="F155" i="1" s="1"/>
  <c r="F158" i="1" s="1"/>
  <c r="F160" i="1" s="1"/>
  <c r="F183" i="1" s="1"/>
  <c r="F185" i="1" s="1"/>
  <c r="F187" i="1" s="1"/>
  <c r="AT289" i="1"/>
  <c r="AT107" i="9" s="1"/>
  <c r="AL289" i="1"/>
  <c r="AL92" i="9" s="1"/>
  <c r="I303" i="1"/>
  <c r="AB624" i="1"/>
  <c r="AL621" i="1"/>
  <c r="R150" i="1"/>
  <c r="R155" i="1" s="1"/>
  <c r="R158" i="1" s="1"/>
  <c r="R160" i="1" s="1"/>
  <c r="R165" i="1" s="1"/>
  <c r="R173" i="1" s="1"/>
  <c r="R176" i="1" s="1"/>
  <c r="R178" i="1" s="1"/>
  <c r="W162" i="1"/>
  <c r="AC111" i="9"/>
  <c r="BL303" i="1"/>
  <c r="AL546" i="1"/>
  <c r="AL530" i="1" s="1"/>
  <c r="X537" i="1"/>
  <c r="BF274" i="1"/>
  <c r="BF275" i="1" s="1"/>
  <c r="BF276" i="1" s="1"/>
  <c r="BF277" i="1" s="1"/>
  <c r="U449" i="1"/>
  <c r="U259" i="1" s="1"/>
  <c r="U261" i="1" s="1"/>
  <c r="BC541" i="1"/>
  <c r="F201" i="1"/>
  <c r="F136" i="1" s="1"/>
  <c r="F289" i="1"/>
  <c r="F107" i="9" s="1"/>
  <c r="AH303" i="1"/>
  <c r="AH535" i="1"/>
  <c r="AH201" i="1"/>
  <c r="J69" i="11" s="1"/>
  <c r="AQ69" i="11" s="1"/>
  <c r="AE204" i="1"/>
  <c r="AE139" i="1" s="1"/>
  <c r="AE65" i="9" s="1"/>
  <c r="AR624" i="1"/>
  <c r="Y274" i="1"/>
  <c r="Y275" i="1" s="1"/>
  <c r="Y276" i="1" s="1"/>
  <c r="Y277" i="1" s="1"/>
  <c r="AB516" i="1"/>
  <c r="Y62" i="9"/>
  <c r="N8" i="9"/>
  <c r="BC619" i="1"/>
  <c r="AI621" i="1"/>
  <c r="Y546" i="1"/>
  <c r="Y530" i="1" s="1"/>
  <c r="AF624" i="1"/>
  <c r="AI546" i="1"/>
  <c r="AI530" i="1" s="1"/>
  <c r="AC624" i="1"/>
  <c r="AV28" i="1"/>
  <c r="AV20" i="9" s="1"/>
  <c r="M609" i="1"/>
  <c r="BD621" i="1"/>
  <c r="P621" i="1"/>
  <c r="C41" i="9"/>
  <c r="C44" i="9" s="1"/>
  <c r="C50" i="9" s="1"/>
  <c r="BE537" i="1"/>
  <c r="J8" i="9"/>
  <c r="AF162" i="1"/>
  <c r="AH87" i="1"/>
  <c r="BH72" i="9"/>
  <c r="AH137" i="1"/>
  <c r="AL614" i="1"/>
  <c r="AB621" i="1"/>
  <c r="AB138" i="1"/>
  <c r="BP30" i="1"/>
  <c r="BP9" i="1" s="1"/>
  <c r="BT16" i="9" s="1"/>
  <c r="BH537" i="1"/>
  <c r="BA34" i="9"/>
  <c r="J303" i="1"/>
  <c r="U162" i="1"/>
  <c r="AB449" i="1"/>
  <c r="AB502" i="1" s="1"/>
  <c r="BE631" i="1"/>
  <c r="AN303" i="1"/>
  <c r="H303" i="1"/>
  <c r="AF20" i="9"/>
  <c r="BF160" i="1"/>
  <c r="BF165" i="1" s="1"/>
  <c r="BF173" i="1" s="1"/>
  <c r="BG449" i="1"/>
  <c r="BG259" i="1" s="1"/>
  <c r="BG261" i="1" s="1"/>
  <c r="AQ537" i="1"/>
  <c r="L624" i="1"/>
  <c r="Q162" i="1"/>
  <c r="AM303" i="1"/>
  <c r="V513" i="1"/>
  <c r="V520" i="1" s="1"/>
  <c r="G449" i="1"/>
  <c r="G259" i="1" s="1"/>
  <c r="R8" i="9"/>
  <c r="AG546" i="1"/>
  <c r="AG530" i="1" s="1"/>
  <c r="K162" i="1"/>
  <c r="BJ137" i="1"/>
  <c r="F87" i="1"/>
  <c r="AL624" i="1"/>
  <c r="AD614" i="1"/>
  <c r="Q525" i="1"/>
  <c r="P524" i="1"/>
  <c r="BM624" i="1"/>
  <c r="S449" i="1"/>
  <c r="S259" i="1" s="1"/>
  <c r="AF513" i="1"/>
  <c r="BM104" i="9"/>
  <c r="BI619" i="1"/>
  <c r="AD289" i="1"/>
  <c r="AD107" i="9" s="1"/>
  <c r="AF537" i="1"/>
  <c r="AB111" i="9"/>
  <c r="L546" i="1"/>
  <c r="L530" i="1" s="1"/>
  <c r="O523" i="1"/>
  <c r="L72" i="9"/>
  <c r="C303" i="1"/>
  <c r="AC518" i="1"/>
  <c r="P160" i="1"/>
  <c r="P165" i="1" s="1"/>
  <c r="P173" i="1" s="1"/>
  <c r="P176" i="1" s="1"/>
  <c r="P198" i="1" s="1"/>
  <c r="H547" i="1"/>
  <c r="AW28" i="1"/>
  <c r="AR76" i="9"/>
  <c r="BL296" i="1"/>
  <c r="BE137" i="1"/>
  <c r="AA621" i="1"/>
  <c r="BI609" i="1"/>
  <c r="AL615" i="1"/>
  <c r="L76" i="9"/>
  <c r="BF631" i="1"/>
  <c r="BH631" i="1"/>
  <c r="BL631" i="1"/>
  <c r="Y624" i="1"/>
  <c r="S303" i="1"/>
  <c r="AL7" i="9"/>
  <c r="AQ624" i="1"/>
  <c r="AP289" i="1"/>
  <c r="AP107" i="9" s="1"/>
  <c r="L162" i="1"/>
  <c r="P547" i="1"/>
  <c r="AP535" i="1"/>
  <c r="AP537" i="1" s="1"/>
  <c r="AP201" i="1"/>
  <c r="R69" i="11" s="1"/>
  <c r="AO624" i="1"/>
  <c r="AP303" i="1"/>
  <c r="Y111" i="9"/>
  <c r="Y160" i="1"/>
  <c r="Y165" i="1" s="1"/>
  <c r="Y173" i="1" s="1"/>
  <c r="Y176" i="1" s="1"/>
  <c r="Y198" i="1" s="1"/>
  <c r="AS303" i="1"/>
  <c r="N615" i="1"/>
  <c r="AP137" i="1"/>
  <c r="T303" i="1"/>
  <c r="AE624" i="1"/>
  <c r="AL538" i="1"/>
  <c r="K624" i="1"/>
  <c r="AQ303" i="1"/>
  <c r="K621" i="1"/>
  <c r="AC69" i="9"/>
  <c r="AC71" i="9" s="1"/>
  <c r="BD296" i="1"/>
  <c r="W514" i="1"/>
  <c r="W521" i="1" s="1"/>
  <c r="AZ274" i="1"/>
  <c r="AZ275" i="1" s="1"/>
  <c r="AZ276" i="1" s="1"/>
  <c r="AZ277" i="1" s="1"/>
  <c r="AU449" i="1"/>
  <c r="Z357" i="1"/>
  <c r="Z410" i="1" s="1"/>
  <c r="AA609" i="1"/>
  <c r="AP87" i="1"/>
  <c r="X162" i="1"/>
  <c r="BH105" i="9"/>
  <c r="AE537" i="1"/>
  <c r="BJ72" i="1"/>
  <c r="G119" i="9"/>
  <c r="AT614" i="1"/>
  <c r="M449" i="1"/>
  <c r="M259" i="1" s="1"/>
  <c r="M278" i="1" s="1"/>
  <c r="M279" i="1" s="1"/>
  <c r="M280" i="1" s="1"/>
  <c r="M281" i="1" s="1"/>
  <c r="X515" i="1"/>
  <c r="X522" i="1" s="1"/>
  <c r="Y211" i="1"/>
  <c r="Y215" i="1" s="1"/>
  <c r="Y613" i="1" s="1"/>
  <c r="U15" i="11"/>
  <c r="X449" i="1"/>
  <c r="X259" i="1" s="1"/>
  <c r="X278" i="1" s="1"/>
  <c r="X279" i="1" s="1"/>
  <c r="X280" i="1" s="1"/>
  <c r="X281" i="1" s="1"/>
  <c r="F537" i="1"/>
  <c r="BI630" i="1"/>
  <c r="R15" i="11"/>
  <c r="Y518" i="1"/>
  <c r="Y525" i="1" s="1"/>
  <c r="BG162" i="1"/>
  <c r="M162" i="1"/>
  <c r="F303" i="1"/>
  <c r="K72" i="9"/>
  <c r="P204" i="1"/>
  <c r="P139" i="1" s="1"/>
  <c r="P65" i="9" s="1"/>
  <c r="BH619" i="1"/>
  <c r="T624" i="1"/>
  <c r="AZ303" i="1"/>
  <c r="AZ304" i="1" s="1"/>
  <c r="AZ305" i="1" s="1"/>
  <c r="V449" i="1"/>
  <c r="V259" i="1" s="1"/>
  <c r="V261" i="1" s="1"/>
  <c r="T260" i="1"/>
  <c r="V274" i="1"/>
  <c r="V275" i="1" s="1"/>
  <c r="V276" i="1" s="1"/>
  <c r="V277" i="1" s="1"/>
  <c r="BC521" i="1"/>
  <c r="AG160" i="1"/>
  <c r="AG165" i="1" s="1"/>
  <c r="AG173" i="1" s="1"/>
  <c r="AU303" i="1"/>
  <c r="AM547" i="1"/>
  <c r="AF546" i="1"/>
  <c r="AR547" i="1"/>
  <c r="AN100" i="9"/>
  <c r="BE449" i="1"/>
  <c r="BE259" i="1" s="1"/>
  <c r="BE261" i="1" s="1"/>
  <c r="AM162" i="1"/>
  <c r="AC204" i="1"/>
  <c r="AC139" i="1" s="1"/>
  <c r="AC65" i="9" s="1"/>
  <c r="N100" i="9"/>
  <c r="AR449" i="1"/>
  <c r="AR259" i="1" s="1"/>
  <c r="AR278" i="1" s="1"/>
  <c r="AR279" i="1" s="1"/>
  <c r="AR280" i="1" s="1"/>
  <c r="AR281" i="1" s="1"/>
  <c r="BB449" i="1"/>
  <c r="BB259" i="1" s="1"/>
  <c r="BB261" i="1" s="1"/>
  <c r="AR515" i="1"/>
  <c r="AV515" i="1" s="1"/>
  <c r="BI87" i="1"/>
  <c r="AA274" i="1"/>
  <c r="AA275" i="1" s="1"/>
  <c r="AA276" i="1" s="1"/>
  <c r="AA277" i="1" s="1"/>
  <c r="S162" i="1"/>
  <c r="BG619" i="1"/>
  <c r="AK160" i="1"/>
  <c r="AK165" i="1" s="1"/>
  <c r="AK173" i="1" s="1"/>
  <c r="AO517" i="1"/>
  <c r="BG609" i="1"/>
  <c r="E303" i="1"/>
  <c r="AR303" i="1"/>
  <c r="U62" i="9"/>
  <c r="AN624" i="1"/>
  <c r="AP103" i="1"/>
  <c r="AP104" i="1" s="1"/>
  <c r="BE104" i="9"/>
  <c r="BA619" i="1"/>
  <c r="BB619" i="1"/>
  <c r="AZ619" i="1"/>
  <c r="BN104" i="9"/>
  <c r="P303" i="1"/>
  <c r="BB520" i="1"/>
  <c r="U176" i="1"/>
  <c r="U198" i="1" s="1"/>
  <c r="AA624" i="1"/>
  <c r="AQ518" i="1"/>
  <c r="I160" i="1"/>
  <c r="I165" i="1" s="1"/>
  <c r="I173" i="1" s="1"/>
  <c r="I176" i="1" s="1"/>
  <c r="I198" i="1" s="1"/>
  <c r="N303" i="1"/>
  <c r="AU515" i="1"/>
  <c r="AS514" i="1"/>
  <c r="AW514" i="1" s="1"/>
  <c r="AQ513" i="1"/>
  <c r="BO265" i="1"/>
  <c r="BS76" i="9" s="1"/>
  <c r="BI449" i="1"/>
  <c r="BI259" i="1" s="1"/>
  <c r="BI261" i="1" s="1"/>
  <c r="BE274" i="1"/>
  <c r="BE275" i="1" s="1"/>
  <c r="BE276" i="1" s="1"/>
  <c r="BE277" i="1" s="1"/>
  <c r="AU517" i="1"/>
  <c r="AN160" i="1"/>
  <c r="AN165" i="1" s="1"/>
  <c r="AN173" i="1" s="1"/>
  <c r="AP10" i="11"/>
  <c r="AP513" i="1"/>
  <c r="BI69" i="9"/>
  <c r="BI71" i="9" s="1"/>
  <c r="AU62" i="9"/>
  <c r="AR100" i="9"/>
  <c r="BF260" i="1"/>
  <c r="T160" i="1"/>
  <c r="T165" i="1" s="1"/>
  <c r="T173" i="1" s="1"/>
  <c r="T176" i="1" s="1"/>
  <c r="T178" i="1" s="1"/>
  <c r="N150" i="1"/>
  <c r="N155" i="1" s="1"/>
  <c r="N158" i="1" s="1"/>
  <c r="N160" i="1" s="1"/>
  <c r="N165" i="1" s="1"/>
  <c r="N173" i="1" s="1"/>
  <c r="N176" i="1" s="1"/>
  <c r="AB609" i="1"/>
  <c r="BK520" i="1"/>
  <c r="G303" i="1"/>
  <c r="AJ303" i="1"/>
  <c r="Q100" i="9"/>
  <c r="BA547" i="1"/>
  <c r="AL87" i="1"/>
  <c r="BA35" i="9"/>
  <c r="P100" i="9"/>
  <c r="AD43" i="9"/>
  <c r="BH624" i="1"/>
  <c r="BE629" i="1"/>
  <c r="AR101" i="11"/>
  <c r="AO449" i="1"/>
  <c r="Q99" i="11" s="1"/>
  <c r="BC274" i="1"/>
  <c r="BC275" i="1" s="1"/>
  <c r="BC276" i="1" s="1"/>
  <c r="BC277" i="1" s="1"/>
  <c r="BM521" i="1"/>
  <c r="V138" i="1"/>
  <c r="AL303" i="1"/>
  <c r="AW31" i="1"/>
  <c r="AW23" i="9" s="1"/>
  <c r="AR609" i="1"/>
  <c r="V127" i="1"/>
  <c r="V128" i="1" s="1"/>
  <c r="BI534" i="1"/>
  <c r="F40" i="9"/>
  <c r="F62" i="9" s="1"/>
  <c r="F197" i="1"/>
  <c r="F132" i="1" s="1"/>
  <c r="F63" i="9" s="1"/>
  <c r="P111" i="9"/>
  <c r="S15" i="11"/>
  <c r="BJ547" i="1"/>
  <c r="BD631" i="1"/>
  <c r="AS10" i="11"/>
  <c r="AQ78" i="11"/>
  <c r="AS101" i="11"/>
  <c r="AS48" i="11"/>
  <c r="W15" i="11"/>
  <c r="V15" i="11"/>
  <c r="S11" i="11"/>
  <c r="O11" i="11"/>
  <c r="O15" i="11"/>
  <c r="AR103" i="11"/>
  <c r="AQ101" i="11"/>
  <c r="H198" i="1"/>
  <c r="H133" i="1" s="1"/>
  <c r="H64" i="9" s="1"/>
  <c r="H178" i="1"/>
  <c r="H205" i="1" s="1"/>
  <c r="AT87" i="1"/>
  <c r="BC543" i="1"/>
  <c r="AG515" i="1"/>
  <c r="BH525" i="1"/>
  <c r="BM522" i="1"/>
  <c r="K520" i="1"/>
  <c r="BB521" i="1"/>
  <c r="AI160" i="1"/>
  <c r="AI165" i="1" s="1"/>
  <c r="AI173" i="1" s="1"/>
  <c r="AW32" i="9"/>
  <c r="T11" i="11"/>
  <c r="N449" i="1"/>
  <c r="N259" i="1" s="1"/>
  <c r="N278" i="1" s="1"/>
  <c r="N279" i="1" s="1"/>
  <c r="N280" i="1" s="1"/>
  <c r="N281" i="1" s="1"/>
  <c r="U69" i="9"/>
  <c r="U71" i="9" s="1"/>
  <c r="AG518" i="1"/>
  <c r="AR517" i="1"/>
  <c r="AV517" i="1" s="1"/>
  <c r="BB523" i="1"/>
  <c r="O303" i="1"/>
  <c r="BF520" i="1"/>
  <c r="AR518" i="1"/>
  <c r="AV518" i="1" s="1"/>
  <c r="BB524" i="1"/>
  <c r="AM132" i="1"/>
  <c r="AM63" i="9" s="1"/>
  <c r="P60" i="11"/>
  <c r="P83" i="11" s="1"/>
  <c r="AP100" i="11"/>
  <c r="AQ103" i="11"/>
  <c r="AM211" i="1"/>
  <c r="AM228" i="1" s="1"/>
  <c r="AB547" i="1"/>
  <c r="AR513" i="1"/>
  <c r="AV513" i="1" s="1"/>
  <c r="AA160" i="1"/>
  <c r="AA165" i="1" s="1"/>
  <c r="AA173" i="1" s="1"/>
  <c r="AH572" i="1"/>
  <c r="AW288" i="1"/>
  <c r="AW9" i="9" s="1"/>
  <c r="AW444" i="1"/>
  <c r="AX588" i="1"/>
  <c r="J357" i="1"/>
  <c r="J410" i="1" s="1"/>
  <c r="E62" i="9"/>
  <c r="AR514" i="1"/>
  <c r="AV514" i="1" s="1"/>
  <c r="AT10" i="11"/>
  <c r="V260" i="1"/>
  <c r="AP43" i="9"/>
  <c r="BJ46" i="1"/>
  <c r="BJ28" i="1" s="1"/>
  <c r="BE296" i="1"/>
  <c r="AF204" i="1"/>
  <c r="AF139" i="1" s="1"/>
  <c r="AF65" i="9" s="1"/>
  <c r="BG62" i="9"/>
  <c r="AF100" i="9"/>
  <c r="BN547" i="1"/>
  <c r="AC513" i="1"/>
  <c r="X62" i="9"/>
  <c r="AL43" i="9"/>
  <c r="AH34" i="1"/>
  <c r="AH34" i="9" s="1"/>
  <c r="BD547" i="1"/>
  <c r="AC517" i="1"/>
  <c r="AH32" i="1"/>
  <c r="AH24" i="9" s="1"/>
  <c r="T15" i="11"/>
  <c r="AH20" i="9"/>
  <c r="BD87" i="1"/>
  <c r="G547" i="1"/>
  <c r="O100" i="9"/>
  <c r="K534" i="1"/>
  <c r="K537" i="1" s="1"/>
  <c r="BF534" i="1"/>
  <c r="BF543" i="1" s="1"/>
  <c r="P523" i="1"/>
  <c r="AI303" i="1"/>
  <c r="D303" i="1"/>
  <c r="BK46" i="1"/>
  <c r="BK28" i="1" s="1"/>
  <c r="AQ213" i="11" s="1"/>
  <c r="BA609" i="1"/>
  <c r="BI105" i="9"/>
  <c r="AO100" i="9"/>
  <c r="AF515" i="1"/>
  <c r="AS517" i="1"/>
  <c r="AW517" i="1" s="1"/>
  <c r="U114" i="9"/>
  <c r="AD449" i="1"/>
  <c r="AD259" i="1" s="1"/>
  <c r="AD258" i="1" s="1"/>
  <c r="BE521" i="1"/>
  <c r="AS518" i="1"/>
  <c r="AW518" i="1" s="1"/>
  <c r="AK303" i="1"/>
  <c r="AG624" i="1"/>
  <c r="BE523" i="1"/>
  <c r="AQ515" i="1"/>
  <c r="AQ162" i="1"/>
  <c r="L176" i="1"/>
  <c r="L198" i="1" s="1"/>
  <c r="V572" i="1"/>
  <c r="V573" i="1" s="1"/>
  <c r="AG211" i="1"/>
  <c r="AG215" i="1" s="1"/>
  <c r="AG612" i="1" s="1"/>
  <c r="AQ514" i="1"/>
  <c r="AP124" i="1"/>
  <c r="AP125" i="1" s="1"/>
  <c r="AG132" i="1"/>
  <c r="AG63" i="9" s="1"/>
  <c r="Q303" i="1"/>
  <c r="BA413" i="1"/>
  <c r="BB412" i="1" s="1"/>
  <c r="BB413" i="1" s="1"/>
  <c r="BC412" i="1" s="1"/>
  <c r="BC413" i="1" s="1"/>
  <c r="C412" i="1" s="1"/>
  <c r="BJ627" i="1"/>
  <c r="V74" i="11"/>
  <c r="V84" i="11" s="1"/>
  <c r="AR48" i="11"/>
  <c r="AC449" i="1"/>
  <c r="AC259" i="1" s="1"/>
  <c r="AJ100" i="9"/>
  <c r="Q537" i="1"/>
  <c r="BH449" i="1"/>
  <c r="BH259" i="1" s="1"/>
  <c r="BH258" i="1" s="1"/>
  <c r="BN100" i="9"/>
  <c r="I449" i="1"/>
  <c r="I259" i="1" s="1"/>
  <c r="I278" i="1" s="1"/>
  <c r="I279" i="1" s="1"/>
  <c r="I280" i="1" s="1"/>
  <c r="I281" i="1" s="1"/>
  <c r="AE449" i="1"/>
  <c r="G99" i="11" s="1"/>
  <c r="BL76" i="9"/>
  <c r="AP101" i="11"/>
  <c r="AT100" i="11"/>
  <c r="AU516" i="1"/>
  <c r="AS516" i="1"/>
  <c r="AW516" i="1" s="1"/>
  <c r="AG204" i="1"/>
  <c r="AG139" i="1" s="1"/>
  <c r="AG65" i="9" s="1"/>
  <c r="AQ10" i="11"/>
  <c r="Q176" i="1"/>
  <c r="Q198" i="1" s="1"/>
  <c r="Q56" i="9" s="1"/>
  <c r="Q135" i="9" s="1"/>
  <c r="M303" i="1"/>
  <c r="BM524" i="1"/>
  <c r="AD20" i="9"/>
  <c r="F9" i="11"/>
  <c r="BM520" i="1"/>
  <c r="N522" i="1"/>
  <c r="AH7" i="1"/>
  <c r="AH14" i="9" s="1"/>
  <c r="AD34" i="1"/>
  <c r="AD34" i="9" s="1"/>
  <c r="Z572" i="1"/>
  <c r="Z573" i="1" s="1"/>
  <c r="AA619" i="1" s="1"/>
  <c r="BM72" i="9"/>
  <c r="AA516" i="1"/>
  <c r="O525" i="1"/>
  <c r="AS513" i="1"/>
  <c r="AW513" i="1" s="1"/>
  <c r="W62" i="9"/>
  <c r="AC211" i="1"/>
  <c r="AC215" i="1" s="1"/>
  <c r="AC613" i="1" s="1"/>
  <c r="AF34" i="1"/>
  <c r="AF34" i="9" s="1"/>
  <c r="H9" i="11"/>
  <c r="AT92" i="11"/>
  <c r="AS78" i="11"/>
  <c r="O84" i="11"/>
  <c r="F74" i="11"/>
  <c r="F84" i="11" s="1"/>
  <c r="BH547" i="1"/>
  <c r="AU61" i="9"/>
  <c r="BM523" i="1"/>
  <c r="O522" i="1"/>
  <c r="AS515" i="1"/>
  <c r="AS522" i="1" s="1"/>
  <c r="W515" i="1"/>
  <c r="AA174" i="1"/>
  <c r="AA179" i="1" s="1"/>
  <c r="C48" i="11"/>
  <c r="AA138" i="1"/>
  <c r="BN449" i="1"/>
  <c r="BN259" i="1" s="1"/>
  <c r="BN261" i="1" s="1"/>
  <c r="W516" i="1"/>
  <c r="W523" i="1" s="1"/>
  <c r="H15" i="11"/>
  <c r="BF296" i="1"/>
  <c r="AQ516" i="1"/>
  <c r="W517" i="1"/>
  <c r="W524" i="1" s="1"/>
  <c r="AD201" i="1"/>
  <c r="F69" i="11" s="1"/>
  <c r="AK449" i="1"/>
  <c r="BK543" i="1"/>
  <c r="J449" i="1"/>
  <c r="J259" i="1" s="1"/>
  <c r="J261" i="1" s="1"/>
  <c r="AQ62" i="9"/>
  <c r="AR516" i="1"/>
  <c r="AV516" i="1" s="1"/>
  <c r="AQ517" i="1"/>
  <c r="W518" i="1"/>
  <c r="W525" i="1" s="1"/>
  <c r="AD87" i="1"/>
  <c r="AD535" i="1"/>
  <c r="AD537" i="1" s="1"/>
  <c r="AS100" i="11"/>
  <c r="AD32" i="1"/>
  <c r="AD24" i="9" s="1"/>
  <c r="R525" i="1"/>
  <c r="BO534" i="1"/>
  <c r="AU534" i="1"/>
  <c r="AU537" i="1" s="1"/>
  <c r="AQ100" i="11"/>
  <c r="AR100" i="11"/>
  <c r="L525" i="1"/>
  <c r="AT57" i="11"/>
  <c r="K303" i="1"/>
  <c r="AT101" i="11"/>
  <c r="AT103" i="11"/>
  <c r="K525" i="1"/>
  <c r="BC5" i="1"/>
  <c r="S60" i="11"/>
  <c r="S83" i="11" s="1"/>
  <c r="BD62" i="9"/>
  <c r="O60" i="11"/>
  <c r="O83" i="11" s="1"/>
  <c r="C449" i="1"/>
  <c r="C502" i="1" s="1"/>
  <c r="X260" i="1"/>
  <c r="L521" i="1"/>
  <c r="M61" i="9"/>
  <c r="BB522" i="1"/>
  <c r="N74" i="11"/>
  <c r="N84" i="11" s="1"/>
  <c r="AR78" i="11"/>
  <c r="BM114" i="9"/>
  <c r="X274" i="1"/>
  <c r="X275" i="1" s="1"/>
  <c r="X276" i="1" s="1"/>
  <c r="X277" i="1" s="1"/>
  <c r="K521" i="1"/>
  <c r="AS58" i="11"/>
  <c r="G84" i="11"/>
  <c r="V616" i="1"/>
  <c r="AP78" i="11"/>
  <c r="AY35" i="9"/>
  <c r="AF7" i="1"/>
  <c r="AF14" i="9" s="1"/>
  <c r="D9" i="11"/>
  <c r="AT150" i="1"/>
  <c r="AT155" i="1" s="1"/>
  <c r="AT158" i="1" s="1"/>
  <c r="AT162" i="1" s="1"/>
  <c r="BB525" i="1"/>
  <c r="S84" i="11"/>
  <c r="BF69" i="9"/>
  <c r="BF71" i="9" s="1"/>
  <c r="BB260" i="1"/>
  <c r="R449" i="1"/>
  <c r="R259" i="1" s="1"/>
  <c r="R278" i="1" s="1"/>
  <c r="R279" i="1" s="1"/>
  <c r="R280" i="1" s="1"/>
  <c r="R281" i="1" s="1"/>
  <c r="BJ543" i="1"/>
  <c r="AF516" i="1"/>
  <c r="BE520" i="1"/>
  <c r="Q520" i="1"/>
  <c r="P522" i="1"/>
  <c r="AF211" i="1"/>
  <c r="AF215" i="1" s="1"/>
  <c r="AF613" i="1" s="1"/>
  <c r="AO7" i="1"/>
  <c r="AO14" i="9" s="1"/>
  <c r="AT303" i="1"/>
  <c r="AI449" i="1"/>
  <c r="K99" i="11" s="1"/>
  <c r="BJ521" i="1"/>
  <c r="AK34" i="1"/>
  <c r="AO35" i="1" s="1"/>
  <c r="X100" i="9"/>
  <c r="AK32" i="1"/>
  <c r="AK24" i="9" s="1"/>
  <c r="L303" i="1"/>
  <c r="P111" i="11"/>
  <c r="BJ523" i="1"/>
  <c r="Y513" i="1"/>
  <c r="AK7" i="1"/>
  <c r="AK14" i="9" s="1"/>
  <c r="BH160" i="1"/>
  <c r="BH165" i="1" s="1"/>
  <c r="BH173" i="1" s="1"/>
  <c r="BC537" i="1"/>
  <c r="BJ524" i="1"/>
  <c r="AT127" i="1"/>
  <c r="AT128" i="1" s="1"/>
  <c r="AM517" i="1"/>
  <c r="Y514" i="1"/>
  <c r="Y521" i="1" s="1"/>
  <c r="AH37" i="1"/>
  <c r="V87" i="1"/>
  <c r="AW35" i="9"/>
  <c r="AK20" i="9"/>
  <c r="BJ522" i="1"/>
  <c r="E547" i="1"/>
  <c r="AM518" i="1"/>
  <c r="Y515" i="1"/>
  <c r="Y522" i="1" s="1"/>
  <c r="AG32" i="1"/>
  <c r="AG24" i="9" s="1"/>
  <c r="AQ57" i="11"/>
  <c r="C84" i="11"/>
  <c r="S547" i="1"/>
  <c r="BJ525" i="1"/>
  <c r="Y516" i="1"/>
  <c r="Y523" i="1" s="1"/>
  <c r="X513" i="1"/>
  <c r="X520" i="1" s="1"/>
  <c r="AG34" i="1"/>
  <c r="AG34" i="9" s="1"/>
  <c r="BI621" i="1"/>
  <c r="BK61" i="9"/>
  <c r="Y517" i="1"/>
  <c r="Y524" i="1" s="1"/>
  <c r="X514" i="1"/>
  <c r="X521" i="1" s="1"/>
  <c r="AG20" i="9"/>
  <c r="BR477" i="1"/>
  <c r="J197" i="1"/>
  <c r="J211" i="1" s="1"/>
  <c r="R74" i="11"/>
  <c r="R84" i="11" s="1"/>
  <c r="BK260" i="1"/>
  <c r="AY34" i="9"/>
  <c r="AS103" i="11"/>
  <c r="AT517" i="1"/>
  <c r="AX517" i="1" s="1"/>
  <c r="AA100" i="9"/>
  <c r="AE100" i="9"/>
  <c r="BJ449" i="1"/>
  <c r="BJ259" i="1" s="1"/>
  <c r="BJ261" i="1" s="1"/>
  <c r="AB518" i="1"/>
  <c r="BA28" i="9"/>
  <c r="AT78" i="11"/>
  <c r="BD535" i="1"/>
  <c r="BD137" i="1"/>
  <c r="G100" i="9"/>
  <c r="R357" i="1"/>
  <c r="R410" i="1" s="1"/>
  <c r="BC547" i="1"/>
  <c r="W100" i="9"/>
  <c r="AG516" i="1"/>
  <c r="X516" i="1"/>
  <c r="X523" i="1" s="1"/>
  <c r="AD572" i="1"/>
  <c r="AT435" i="1"/>
  <c r="AT257" i="1" s="1"/>
  <c r="AU513" i="1"/>
  <c r="X517" i="1"/>
  <c r="AB524" i="1" s="1"/>
  <c r="AW21" i="9"/>
  <c r="Q595" i="1"/>
  <c r="Q596" i="1" s="1"/>
  <c r="Q607" i="1" s="1"/>
  <c r="Q609" i="1" s="1"/>
  <c r="Q286" i="1"/>
  <c r="Q287" i="1"/>
  <c r="Q25" i="11"/>
  <c r="P25" i="11"/>
  <c r="AH104" i="1"/>
  <c r="AT14" i="11"/>
  <c r="AA513" i="1"/>
  <c r="AA520" i="1" s="1"/>
  <c r="AD131" i="1"/>
  <c r="AD622" i="1" s="1"/>
  <c r="AA517" i="1"/>
  <c r="AF517" i="1"/>
  <c r="AF524" i="1" s="1"/>
  <c r="AC514" i="1"/>
  <c r="P61" i="9"/>
  <c r="AO513" i="1"/>
  <c r="AB62" i="9"/>
  <c r="AA518" i="1"/>
  <c r="AG513" i="1"/>
  <c r="AC515" i="1"/>
  <c r="AO516" i="1"/>
  <c r="J150" i="1"/>
  <c r="J155" i="1" s="1"/>
  <c r="J158" i="1" s="1"/>
  <c r="J162" i="1" s="1"/>
  <c r="Z150" i="1"/>
  <c r="Z155" i="1" s="1"/>
  <c r="Z158" i="1" s="1"/>
  <c r="Z160" i="1" s="1"/>
  <c r="Z165" i="1" s="1"/>
  <c r="Z173" i="1" s="1"/>
  <c r="Z176" i="1" s="1"/>
  <c r="AG514" i="1"/>
  <c r="AC516" i="1"/>
  <c r="AK515" i="1"/>
  <c r="AG517" i="1"/>
  <c r="AK517" i="1"/>
  <c r="D160" i="1"/>
  <c r="D165" i="1" s="1"/>
  <c r="D173" i="1" s="1"/>
  <c r="D176" i="1" s="1"/>
  <c r="AB211" i="1"/>
  <c r="BG523" i="1"/>
  <c r="AJ518" i="1"/>
  <c r="AM513" i="1"/>
  <c r="Q132" i="1"/>
  <c r="Q63" i="9" s="1"/>
  <c r="AM515" i="1"/>
  <c r="Q211" i="1"/>
  <c r="Q228" i="1" s="1"/>
  <c r="AJ513" i="1"/>
  <c r="AH517" i="1"/>
  <c r="AJ514" i="1"/>
  <c r="AJ521" i="1" s="1"/>
  <c r="AD616" i="1"/>
  <c r="Z131" i="1"/>
  <c r="Z622" i="1" s="1"/>
  <c r="N524" i="1"/>
  <c r="AL516" i="1"/>
  <c r="AN114" i="9"/>
  <c r="BK521" i="1"/>
  <c r="BH520" i="1"/>
  <c r="AJ515" i="1"/>
  <c r="AU518" i="1"/>
  <c r="BK522" i="1"/>
  <c r="H61" i="9"/>
  <c r="BC525" i="1"/>
  <c r="O61" i="9"/>
  <c r="BK523" i="1"/>
  <c r="BH522" i="1"/>
  <c r="P211" i="1"/>
  <c r="P227" i="1" s="1"/>
  <c r="W520" i="1"/>
  <c r="AM516" i="1"/>
  <c r="L61" i="9"/>
  <c r="BE524" i="1"/>
  <c r="BF62" i="9"/>
  <c r="AE518" i="1"/>
  <c r="BE525" i="1"/>
  <c r="M523" i="1"/>
  <c r="AN516" i="1"/>
  <c r="AE513" i="1"/>
  <c r="AN514" i="1"/>
  <c r="BA523" i="1"/>
  <c r="C160" i="1"/>
  <c r="C183" i="1" s="1"/>
  <c r="C185" i="1" s="1"/>
  <c r="C187" i="1" s="1"/>
  <c r="R520" i="1"/>
  <c r="AE111" i="9"/>
  <c r="AE132" i="1"/>
  <c r="AE63" i="9" s="1"/>
  <c r="BC520" i="1"/>
  <c r="V150" i="1"/>
  <c r="V155" i="1" s="1"/>
  <c r="V158" i="1" s="1"/>
  <c r="V160" i="1" s="1"/>
  <c r="V165" i="1" s="1"/>
  <c r="V173" i="1" s="1"/>
  <c r="V176" i="1" s="1"/>
  <c r="AH513" i="1"/>
  <c r="M520" i="1"/>
  <c r="BN114" i="9"/>
  <c r="BL521" i="1"/>
  <c r="BI525" i="1"/>
  <c r="BA521" i="1"/>
  <c r="R522" i="1"/>
  <c r="R523" i="1"/>
  <c r="BI521" i="1"/>
  <c r="AE514" i="1"/>
  <c r="Q524" i="1"/>
  <c r="M525" i="1"/>
  <c r="K523" i="1"/>
  <c r="AT43" i="9"/>
  <c r="X518" i="1"/>
  <c r="X525" i="1" s="1"/>
  <c r="AD137" i="1"/>
  <c r="BH523" i="1"/>
  <c r="AI518" i="1"/>
  <c r="AE515" i="1"/>
  <c r="AB513" i="1"/>
  <c r="M522" i="1"/>
  <c r="K524" i="1"/>
  <c r="BA525" i="1"/>
  <c r="AI516" i="1"/>
  <c r="BI524" i="1"/>
  <c r="AB514" i="1"/>
  <c r="AR162" i="1"/>
  <c r="AI515" i="1"/>
  <c r="Z138" i="1"/>
  <c r="O521" i="1"/>
  <c r="BL525" i="1"/>
  <c r="BD522" i="1"/>
  <c r="AI517" i="1"/>
  <c r="AE516" i="1"/>
  <c r="BF521" i="1"/>
  <c r="Q522" i="1"/>
  <c r="AL124" i="1"/>
  <c r="AL125" i="1" s="1"/>
  <c r="L522" i="1"/>
  <c r="N521" i="1"/>
  <c r="BD523" i="1"/>
  <c r="AI514" i="1"/>
  <c r="BJ520" i="1"/>
  <c r="AE517" i="1"/>
  <c r="BF522" i="1"/>
  <c r="AB515" i="1"/>
  <c r="Q523" i="1"/>
  <c r="L520" i="1"/>
  <c r="K522" i="1"/>
  <c r="I62" i="9"/>
  <c r="AF114" i="9"/>
  <c r="AR114" i="9"/>
  <c r="BL62" i="9"/>
  <c r="AO62" i="9"/>
  <c r="S61" i="9"/>
  <c r="R61" i="9"/>
  <c r="AS62" i="9"/>
  <c r="AC35" i="9"/>
  <c r="AG37" i="1"/>
  <c r="O537" i="1"/>
  <c r="P534" i="1"/>
  <c r="BL449" i="1"/>
  <c r="BL259" i="1" s="1"/>
  <c r="BL300" i="1" s="1"/>
  <c r="BE46" i="9"/>
  <c r="T104" i="9"/>
  <c r="T619" i="1"/>
  <c r="T609" i="1"/>
  <c r="X619" i="1"/>
  <c r="AU104" i="9"/>
  <c r="AU609" i="1"/>
  <c r="BF629" i="1"/>
  <c r="C257" i="1"/>
  <c r="AS107" i="9"/>
  <c r="AS92" i="9"/>
  <c r="AX8" i="9"/>
  <c r="AX615" i="1"/>
  <c r="C537" i="1"/>
  <c r="AQ257" i="1"/>
  <c r="BM543" i="1"/>
  <c r="BM537" i="1"/>
  <c r="H107" i="9"/>
  <c r="H92" i="9"/>
  <c r="AK107" i="9"/>
  <c r="AK92" i="9"/>
  <c r="AN257" i="1"/>
  <c r="AN449" i="1"/>
  <c r="AC104" i="9"/>
  <c r="AC609" i="1"/>
  <c r="AO547" i="1"/>
  <c r="F113" i="9"/>
  <c r="F114" i="9" s="1"/>
  <c r="F596" i="1"/>
  <c r="F607" i="1" s="1"/>
  <c r="AG537" i="1"/>
  <c r="AH534" i="1"/>
  <c r="H69" i="9"/>
  <c r="H71" i="9" s="1"/>
  <c r="H274" i="1"/>
  <c r="H275" i="1" s="1"/>
  <c r="H276" i="1" s="1"/>
  <c r="H277" i="1" s="1"/>
  <c r="H260" i="1"/>
  <c r="BA537" i="1"/>
  <c r="Z477" i="1"/>
  <c r="Z263" i="1"/>
  <c r="Z274" i="1" s="1"/>
  <c r="Z275" i="1" s="1"/>
  <c r="Z276" i="1" s="1"/>
  <c r="Z277" i="1" s="1"/>
  <c r="AP499" i="1"/>
  <c r="BM630" i="1" s="1"/>
  <c r="AP270" i="1"/>
  <c r="AP79" i="9" s="1"/>
  <c r="BK525" i="1"/>
  <c r="AL100" i="9"/>
  <c r="AC100" i="9"/>
  <c r="BF619" i="1"/>
  <c r="BF609" i="1"/>
  <c r="AH100" i="9"/>
  <c r="AJ107" i="9"/>
  <c r="AJ92" i="9"/>
  <c r="AE119" i="9"/>
  <c r="AA41" i="9"/>
  <c r="AA62" i="9"/>
  <c r="BB541" i="1"/>
  <c r="BB537" i="1"/>
  <c r="BB543" i="1"/>
  <c r="BL274" i="1"/>
  <c r="BL275" i="1" s="1"/>
  <c r="BL276" i="1" s="1"/>
  <c r="BL277" i="1" s="1"/>
  <c r="BL260" i="1"/>
  <c r="BH629" i="1"/>
  <c r="R99" i="9"/>
  <c r="AT113" i="9"/>
  <c r="AT596" i="1"/>
  <c r="AT607" i="1" s="1"/>
  <c r="AG114" i="9"/>
  <c r="BN630" i="1"/>
  <c r="AL114" i="9"/>
  <c r="O449" i="1"/>
  <c r="O502" i="1" s="1"/>
  <c r="AQ100" i="9"/>
  <c r="AS100" i="9"/>
  <c r="G104" i="9"/>
  <c r="G609" i="1"/>
  <c r="AM100" i="9"/>
  <c r="BD449" i="1"/>
  <c r="BD259" i="1" s="1"/>
  <c r="BG627" i="1"/>
  <c r="O257" i="1"/>
  <c r="BS22" i="9"/>
  <c r="BO9" i="1"/>
  <c r="BS16" i="9" s="1"/>
  <c r="U534" i="1"/>
  <c r="T537" i="1"/>
  <c r="BS621" i="1"/>
  <c r="BS477" i="1"/>
  <c r="Z113" i="9"/>
  <c r="Z596" i="1"/>
  <c r="Z607" i="1" s="1"/>
  <c r="BG629" i="1"/>
  <c r="BM449" i="1"/>
  <c r="BM259" i="1" s="1"/>
  <c r="BM300" i="1" s="1"/>
  <c r="AL499" i="1"/>
  <c r="AL270" i="1"/>
  <c r="AL79" i="9" s="1"/>
  <c r="AH435" i="1"/>
  <c r="AH257" i="1" s="1"/>
  <c r="AJ69" i="9"/>
  <c r="AJ71" i="9" s="1"/>
  <c r="AJ274" i="1"/>
  <c r="AJ275" i="1" s="1"/>
  <c r="AJ276" i="1" s="1"/>
  <c r="AJ277" i="1" s="1"/>
  <c r="AJ260" i="1"/>
  <c r="R114" i="9"/>
  <c r="T114" i="9"/>
  <c r="Q104" i="9"/>
  <c r="U104" i="9"/>
  <c r="U609" i="1"/>
  <c r="AG100" i="9"/>
  <c r="AL435" i="1"/>
  <c r="AL257" i="1" s="1"/>
  <c r="AT477" i="1"/>
  <c r="BN629" i="1" s="1"/>
  <c r="AT263" i="1"/>
  <c r="AT621" i="1" s="1"/>
  <c r="I107" i="9"/>
  <c r="I92" i="9"/>
  <c r="BM69" i="9"/>
  <c r="BM71" i="9" s="1"/>
  <c r="BI274" i="1"/>
  <c r="BI275" i="1" s="1"/>
  <c r="BI276" i="1" s="1"/>
  <c r="BI277" i="1" s="1"/>
  <c r="BI260" i="1"/>
  <c r="AS449" i="1"/>
  <c r="AS502" i="1" s="1"/>
  <c r="BO561" i="1"/>
  <c r="AJ449" i="1"/>
  <c r="AJ502" i="1" s="1"/>
  <c r="BJ537" i="1"/>
  <c r="F435" i="1"/>
  <c r="F257" i="1" s="1"/>
  <c r="Q257" i="1"/>
  <c r="Q449" i="1"/>
  <c r="Q259" i="1" s="1"/>
  <c r="BI627" i="1"/>
  <c r="W257" i="1"/>
  <c r="AW589" i="1"/>
  <c r="AW285" i="1"/>
  <c r="AW576" i="1" s="1"/>
  <c r="AX286" i="1"/>
  <c r="AX589" i="1" s="1"/>
  <c r="AT70" i="9"/>
  <c r="AT448" i="1"/>
  <c r="AK100" i="9"/>
  <c r="AC537" i="1"/>
  <c r="W449" i="1"/>
  <c r="W502" i="1" s="1"/>
  <c r="I46" i="9"/>
  <c r="BH69" i="9"/>
  <c r="BH71" i="9" s="1"/>
  <c r="BD274" i="1"/>
  <c r="BD275" i="1" s="1"/>
  <c r="BD276" i="1" s="1"/>
  <c r="BD277" i="1" s="1"/>
  <c r="BD260" i="1"/>
  <c r="AQ107" i="9"/>
  <c r="AQ92" i="9"/>
  <c r="D69" i="9"/>
  <c r="D71" i="9" s="1"/>
  <c r="D274" i="1"/>
  <c r="D275" i="1" s="1"/>
  <c r="D276" i="1" s="1"/>
  <c r="D277" i="1" s="1"/>
  <c r="D260" i="1"/>
  <c r="L104" i="9"/>
  <c r="L619" i="1"/>
  <c r="L609" i="1"/>
  <c r="BF630" i="1"/>
  <c r="F499" i="1"/>
  <c r="BD630" i="1" s="1"/>
  <c r="F270" i="1"/>
  <c r="F79" i="9" s="1"/>
  <c r="K111" i="9"/>
  <c r="K204" i="1"/>
  <c r="K139" i="1" s="1"/>
  <c r="K65" i="9" s="1"/>
  <c r="K211" i="1"/>
  <c r="K132" i="1"/>
  <c r="K63" i="9" s="1"/>
  <c r="BM100" i="9"/>
  <c r="H100" i="9"/>
  <c r="AT521" i="1"/>
  <c r="AX514" i="1"/>
  <c r="H449" i="1"/>
  <c r="H259" i="1" s="1"/>
  <c r="AE257" i="1"/>
  <c r="AL448" i="1"/>
  <c r="BN119" i="9"/>
  <c r="BM41" i="9"/>
  <c r="AE215" i="1"/>
  <c r="AE228" i="1"/>
  <c r="AM114" i="9"/>
  <c r="AO114" i="9"/>
  <c r="BI92" i="9"/>
  <c r="BI107" i="9"/>
  <c r="BE300" i="1"/>
  <c r="BE299" i="1"/>
  <c r="L257" i="1"/>
  <c r="BF627" i="1"/>
  <c r="AM257" i="1"/>
  <c r="G107" i="9"/>
  <c r="G92" i="9"/>
  <c r="AO107" i="9"/>
  <c r="AO92" i="9"/>
  <c r="W92" i="9"/>
  <c r="W107" i="9"/>
  <c r="U92" i="9"/>
  <c r="U107" i="9"/>
  <c r="BN111" i="9"/>
  <c r="BN112" i="9" s="1"/>
  <c r="BJ132" i="1"/>
  <c r="BJ211" i="1"/>
  <c r="BJ227" i="1" s="1"/>
  <c r="P104" i="9"/>
  <c r="P619" i="1"/>
  <c r="H537" i="1"/>
  <c r="I534" i="1"/>
  <c r="N113" i="9"/>
  <c r="N596" i="1"/>
  <c r="N607" i="1" s="1"/>
  <c r="C107" i="9"/>
  <c r="P69" i="9"/>
  <c r="P71" i="9" s="1"/>
  <c r="P274" i="1"/>
  <c r="P275" i="1" s="1"/>
  <c r="P276" i="1" s="1"/>
  <c r="P277" i="1" s="1"/>
  <c r="P260" i="1"/>
  <c r="AS69" i="9"/>
  <c r="AS71" i="9" s="1"/>
  <c r="AS274" i="1"/>
  <c r="AS275" i="1" s="1"/>
  <c r="AS276" i="1" s="1"/>
  <c r="AS277" i="1" s="1"/>
  <c r="AS260" i="1"/>
  <c r="W530" i="1"/>
  <c r="W547" i="1"/>
  <c r="V113" i="9"/>
  <c r="W114" i="9" s="1"/>
  <c r="V596" i="1"/>
  <c r="V607" i="1" s="1"/>
  <c r="AD477" i="1"/>
  <c r="BJ629" i="1" s="1"/>
  <c r="AD263" i="1"/>
  <c r="AC20" i="9"/>
  <c r="AC34" i="1"/>
  <c r="AC34" i="9" s="1"/>
  <c r="AC32" i="1"/>
  <c r="AC24" i="9" s="1"/>
  <c r="AG7" i="1"/>
  <c r="AG14" i="9" s="1"/>
  <c r="I100" i="9"/>
  <c r="O104" i="9"/>
  <c r="O609" i="1"/>
  <c r="AT100" i="9"/>
  <c r="BO270" i="1"/>
  <c r="BS79" i="9" s="1"/>
  <c r="D449" i="1"/>
  <c r="D259" i="1" s="1"/>
  <c r="AB92" i="9"/>
  <c r="AB107" i="9"/>
  <c r="BJ119" i="9"/>
  <c r="BI41" i="9"/>
  <c r="BI61" i="9"/>
  <c r="E104" i="9"/>
  <c r="E609" i="1"/>
  <c r="D619" i="1"/>
  <c r="AV621" i="1"/>
  <c r="AV477" i="1"/>
  <c r="AP114" i="9"/>
  <c r="BK630" i="1"/>
  <c r="BM274" i="1"/>
  <c r="BM275" i="1" s="1"/>
  <c r="BM276" i="1" s="1"/>
  <c r="BM277" i="1" s="1"/>
  <c r="BM260" i="1"/>
  <c r="AB619" i="1"/>
  <c r="AI107" i="9"/>
  <c r="AI92" i="9"/>
  <c r="M69" i="9"/>
  <c r="M71" i="9" s="1"/>
  <c r="M274" i="1"/>
  <c r="M275" i="1" s="1"/>
  <c r="M276" i="1" s="1"/>
  <c r="M277" i="1" s="1"/>
  <c r="M260" i="1"/>
  <c r="BD92" i="9"/>
  <c r="BD107" i="9"/>
  <c r="BD108" i="9" s="1"/>
  <c r="BD109" i="9" s="1"/>
  <c r="AZ299" i="1"/>
  <c r="AZ300" i="1"/>
  <c r="BN41" i="9"/>
  <c r="BN61" i="9"/>
  <c r="BN62" i="9"/>
  <c r="C104" i="9"/>
  <c r="C609" i="1"/>
  <c r="C619" i="1"/>
  <c r="J99" i="9"/>
  <c r="E69" i="9"/>
  <c r="E71" i="9" s="1"/>
  <c r="E274" i="1"/>
  <c r="E275" i="1" s="1"/>
  <c r="E276" i="1" s="1"/>
  <c r="E277" i="1" s="1"/>
  <c r="E260" i="1"/>
  <c r="AJ537" i="1"/>
  <c r="AG257" i="1"/>
  <c r="AG449" i="1"/>
  <c r="U547" i="1"/>
  <c r="AJ119" i="9"/>
  <c r="AF41" i="9"/>
  <c r="AF61" i="9"/>
  <c r="BI111" i="9"/>
  <c r="BI112" i="9" s="1"/>
  <c r="BE211" i="1"/>
  <c r="BE227" i="1" s="1"/>
  <c r="BE132" i="1"/>
  <c r="BH46" i="9"/>
  <c r="Y100" i="9"/>
  <c r="AV35" i="9"/>
  <c r="AV29" i="1"/>
  <c r="Z100" i="9"/>
  <c r="BM107" i="9"/>
  <c r="BM92" i="9"/>
  <c r="BI300" i="1"/>
  <c r="BI299" i="1"/>
  <c r="AQ114" i="9"/>
  <c r="BP530" i="1"/>
  <c r="BG630" i="1"/>
  <c r="BH630" i="1"/>
  <c r="AN107" i="9"/>
  <c r="AN92" i="9"/>
  <c r="AE114" i="9"/>
  <c r="AP100" i="9"/>
  <c r="L449" i="1"/>
  <c r="AF257" i="1"/>
  <c r="AF449" i="1"/>
  <c r="AF502" i="1" s="1"/>
  <c r="AR537" i="1"/>
  <c r="AS534" i="1"/>
  <c r="BN274" i="1"/>
  <c r="BN275" i="1" s="1"/>
  <c r="BN276" i="1" s="1"/>
  <c r="BN277" i="1" s="1"/>
  <c r="BN260" i="1"/>
  <c r="E537" i="1"/>
  <c r="AP435" i="1"/>
  <c r="AP257" i="1" s="1"/>
  <c r="BM62" i="9"/>
  <c r="AF62" i="9"/>
  <c r="AH113" i="9"/>
  <c r="AJ114" i="9" s="1"/>
  <c r="AH596" i="1"/>
  <c r="AH607" i="1" s="1"/>
  <c r="AI100" i="9"/>
  <c r="AS114" i="9"/>
  <c r="BI547" i="1"/>
  <c r="S537" i="1"/>
  <c r="E449" i="1"/>
  <c r="E259" i="1" s="1"/>
  <c r="AK69" i="9"/>
  <c r="AK71" i="9" s="1"/>
  <c r="AK274" i="1"/>
  <c r="AK275" i="1" s="1"/>
  <c r="AK276" i="1" s="1"/>
  <c r="AK277" i="1" s="1"/>
  <c r="AK260" i="1"/>
  <c r="AR69" i="9"/>
  <c r="AR71" i="9" s="1"/>
  <c r="AR274" i="1"/>
  <c r="AR275" i="1" s="1"/>
  <c r="AR276" i="1" s="1"/>
  <c r="AR277" i="1" s="1"/>
  <c r="AR260" i="1"/>
  <c r="E107" i="9"/>
  <c r="BL69" i="9"/>
  <c r="BL71" i="9" s="1"/>
  <c r="BH274" i="1"/>
  <c r="BH275" i="1" s="1"/>
  <c r="BH276" i="1" s="1"/>
  <c r="BH277" i="1" s="1"/>
  <c r="BH260" i="1"/>
  <c r="AK119" i="9"/>
  <c r="AG41" i="9"/>
  <c r="AG62" i="9"/>
  <c r="AG61" i="9"/>
  <c r="BK71" i="9"/>
  <c r="BK111" i="9"/>
  <c r="BK112" i="9" s="1"/>
  <c r="BG211" i="1"/>
  <c r="BG132" i="1"/>
  <c r="F42" i="9"/>
  <c r="F295" i="1"/>
  <c r="F296" i="1" s="1"/>
  <c r="AN119" i="9"/>
  <c r="AJ41" i="9"/>
  <c r="AA111" i="9"/>
  <c r="AA211" i="1"/>
  <c r="AA204" i="1"/>
  <c r="AA139" i="1" s="1"/>
  <c r="AA65" i="9" s="1"/>
  <c r="AA132" i="1"/>
  <c r="AA63" i="9" s="1"/>
  <c r="AO535" i="1"/>
  <c r="AO201" i="1"/>
  <c r="Q69" i="11" s="1"/>
  <c r="AO137" i="1"/>
  <c r="BJ62" i="9"/>
  <c r="BG520" i="1"/>
  <c r="W529" i="1"/>
  <c r="W545" i="1"/>
  <c r="W136" i="1"/>
  <c r="D111" i="9"/>
  <c r="D132" i="1"/>
  <c r="D63" i="9" s="1"/>
  <c r="D211" i="1"/>
  <c r="D227" i="1" s="1"/>
  <c r="BH111" i="9"/>
  <c r="BH112" i="9" s="1"/>
  <c r="BD204" i="1"/>
  <c r="BD139" i="1" s="1"/>
  <c r="BD211" i="1"/>
  <c r="BD227" i="1" s="1"/>
  <c r="BD132" i="1"/>
  <c r="AA61" i="9"/>
  <c r="AN513" i="1"/>
  <c r="BH62" i="9"/>
  <c r="AK516" i="1"/>
  <c r="BE62" i="9"/>
  <c r="BA520" i="1"/>
  <c r="AJ545" i="1"/>
  <c r="AJ529" i="1"/>
  <c r="AJ136" i="1"/>
  <c r="BL545" i="1"/>
  <c r="BL529" i="1"/>
  <c r="BL136" i="1"/>
  <c r="BM545" i="1"/>
  <c r="BM529" i="1"/>
  <c r="BM136" i="1"/>
  <c r="R69" i="9"/>
  <c r="R71" i="9" s="1"/>
  <c r="R274" i="1"/>
  <c r="R275" i="1" s="1"/>
  <c r="R276" i="1" s="1"/>
  <c r="R277" i="1" s="1"/>
  <c r="R260" i="1"/>
  <c r="AU107" i="9"/>
  <c r="AU92" i="9"/>
  <c r="BG521" i="1"/>
  <c r="W537" i="1"/>
  <c r="H119" i="9"/>
  <c r="D41" i="9"/>
  <c r="BA160" i="1"/>
  <c r="BA165" i="1" s="1"/>
  <c r="BA173" i="1" s="1"/>
  <c r="BA176" i="1" s="1"/>
  <c r="BA162" i="1"/>
  <c r="AM46" i="9"/>
  <c r="Q62" i="9"/>
  <c r="BE119" i="9"/>
  <c r="BD41" i="9"/>
  <c r="AA119" i="9"/>
  <c r="W41" i="9"/>
  <c r="J545" i="1"/>
  <c r="J529" i="1"/>
  <c r="J136" i="1"/>
  <c r="BM541" i="1"/>
  <c r="F100" i="9"/>
  <c r="D547" i="1"/>
  <c r="BO536" i="1"/>
  <c r="I69" i="9"/>
  <c r="I71" i="9" s="1"/>
  <c r="I274" i="1"/>
  <c r="I275" i="1" s="1"/>
  <c r="I276" i="1" s="1"/>
  <c r="I277" i="1" s="1"/>
  <c r="I260" i="1"/>
  <c r="BJ92" i="9"/>
  <c r="BJ107" i="9"/>
  <c r="BF299" i="1"/>
  <c r="BF300" i="1"/>
  <c r="BD525" i="1"/>
  <c r="AM119" i="9"/>
  <c r="AI41" i="9"/>
  <c r="Z616" i="1"/>
  <c r="BH521" i="1"/>
  <c r="BG522" i="1"/>
  <c r="AO111" i="9"/>
  <c r="AO211" i="1"/>
  <c r="AO132" i="1"/>
  <c r="AO63" i="9" s="1"/>
  <c r="M524" i="1"/>
  <c r="AS111" i="9"/>
  <c r="AS204" i="1"/>
  <c r="AS139" i="1" s="1"/>
  <c r="AS65" i="9" s="1"/>
  <c r="AS211" i="1"/>
  <c r="AS227" i="1" s="1"/>
  <c r="AS132" i="1"/>
  <c r="AS63" i="9" s="1"/>
  <c r="AN515" i="1"/>
  <c r="AO119" i="9"/>
  <c r="AK41" i="9"/>
  <c r="BA522" i="1"/>
  <c r="U521" i="1"/>
  <c r="H545" i="1"/>
  <c r="H529" i="1"/>
  <c r="H136" i="1"/>
  <c r="X92" i="9"/>
  <c r="X107" i="9"/>
  <c r="N69" i="9"/>
  <c r="N71" i="9" s="1"/>
  <c r="N274" i="1"/>
  <c r="N275" i="1" s="1"/>
  <c r="N276" i="1" s="1"/>
  <c r="N277" i="1" s="1"/>
  <c r="N260" i="1"/>
  <c r="AH477" i="1"/>
  <c r="BK629" i="1" s="1"/>
  <c r="AH263" i="1"/>
  <c r="AH621" i="1" s="1"/>
  <c r="BI119" i="9"/>
  <c r="BH41" i="9"/>
  <c r="AX35" i="9"/>
  <c r="AX29" i="1"/>
  <c r="AG119" i="9"/>
  <c r="AC41" i="9"/>
  <c r="K119" i="9"/>
  <c r="G41" i="9"/>
  <c r="L119" i="9"/>
  <c r="H41" i="9"/>
  <c r="AR119" i="9"/>
  <c r="AN41" i="9"/>
  <c r="U522" i="1"/>
  <c r="A2" i="1"/>
  <c r="I545" i="1"/>
  <c r="I529" i="1"/>
  <c r="I136" i="1"/>
  <c r="AD38" i="9"/>
  <c r="AD62" i="9" s="1"/>
  <c r="AD518" i="1"/>
  <c r="AD517" i="1"/>
  <c r="AD516" i="1"/>
  <c r="AD515" i="1"/>
  <c r="AD514" i="1"/>
  <c r="AD513" i="1"/>
  <c r="AD194" i="1"/>
  <c r="AD197" i="1" s="1"/>
  <c r="AD138" i="1"/>
  <c r="AD22" i="1"/>
  <c r="AD127" i="1"/>
  <c r="AD128" i="1" s="1"/>
  <c r="AD11" i="1"/>
  <c r="AD18" i="9" s="1"/>
  <c r="BH545" i="1"/>
  <c r="BH529" i="1"/>
  <c r="BH136" i="1"/>
  <c r="BG524" i="1"/>
  <c r="AL46" i="9"/>
  <c r="AT38" i="9"/>
  <c r="AT518" i="1"/>
  <c r="AT516" i="1"/>
  <c r="AT515" i="1"/>
  <c r="AT194" i="1"/>
  <c r="AT197" i="1" s="1"/>
  <c r="AT22" i="1"/>
  <c r="AT11" i="1"/>
  <c r="AT18" i="9" s="1"/>
  <c r="M119" i="9"/>
  <c r="I41" i="9"/>
  <c r="T61" i="9"/>
  <c r="BA524" i="1"/>
  <c r="U523" i="1"/>
  <c r="V40" i="9"/>
  <c r="V131" i="1"/>
  <c r="V622" i="1" s="1"/>
  <c r="AD150" i="1"/>
  <c r="AD155" i="1" s="1"/>
  <c r="AD158" i="1" s="1"/>
  <c r="J113" i="9"/>
  <c r="K114" i="9" s="1"/>
  <c r="J596" i="1"/>
  <c r="J607" i="1" s="1"/>
  <c r="L537" i="1"/>
  <c r="M534" i="1"/>
  <c r="AI257" i="1"/>
  <c r="BE630" i="1"/>
  <c r="Z201" i="1"/>
  <c r="Z88" i="1"/>
  <c r="AD69" i="9"/>
  <c r="AD71" i="9" s="1"/>
  <c r="AD260" i="1"/>
  <c r="AC92" i="9"/>
  <c r="AC107" i="9"/>
  <c r="BF92" i="9"/>
  <c r="BF107" i="9"/>
  <c r="BB299" i="1"/>
  <c r="BB300" i="1"/>
  <c r="AA514" i="1"/>
  <c r="BI520" i="1"/>
  <c r="BH524" i="1"/>
  <c r="BG525" i="1"/>
  <c r="AP40" i="9"/>
  <c r="AP131" i="1"/>
  <c r="AP622" i="1" s="1"/>
  <c r="AO518" i="1"/>
  <c r="Q119" i="9"/>
  <c r="M41" i="9"/>
  <c r="J119" i="9"/>
  <c r="BE541" i="1"/>
  <c r="BE543" i="1"/>
  <c r="G61" i="9"/>
  <c r="U524" i="1"/>
  <c r="AL42" i="9"/>
  <c r="AL295" i="1"/>
  <c r="BH541" i="1"/>
  <c r="BH543" i="1"/>
  <c r="AU545" i="1"/>
  <c r="AU529" i="1"/>
  <c r="AU136" i="1"/>
  <c r="AO69" i="9"/>
  <c r="AO71" i="9" s="1"/>
  <c r="AO274" i="1"/>
  <c r="AO275" i="1" s="1"/>
  <c r="AO276" i="1" s="1"/>
  <c r="AO277" i="1" s="1"/>
  <c r="AO260" i="1"/>
  <c r="BN69" i="9"/>
  <c r="BN71" i="9" s="1"/>
  <c r="BJ260" i="1"/>
  <c r="BJ274" i="1"/>
  <c r="BJ275" i="1" s="1"/>
  <c r="BJ276" i="1" s="1"/>
  <c r="BJ277" i="1" s="1"/>
  <c r="AR107" i="9"/>
  <c r="AR92" i="9"/>
  <c r="T92" i="9"/>
  <c r="T107" i="9"/>
  <c r="AP357" i="1"/>
  <c r="AP410" i="1" s="1"/>
  <c r="BA449" i="1"/>
  <c r="BA259" i="1" s="1"/>
  <c r="BG92" i="9"/>
  <c r="BG107" i="9"/>
  <c r="BC300" i="1"/>
  <c r="BC299" i="1"/>
  <c r="T71" i="9"/>
  <c r="BL132" i="1"/>
  <c r="BL211" i="1"/>
  <c r="BL204" i="1"/>
  <c r="BL139" i="1" s="1"/>
  <c r="L111" i="9"/>
  <c r="L204" i="1"/>
  <c r="L139" i="1" s="1"/>
  <c r="L65" i="9" s="1"/>
  <c r="L211" i="1"/>
  <c r="L132" i="1"/>
  <c r="L63" i="9" s="1"/>
  <c r="BF119" i="9"/>
  <c r="BE41" i="9"/>
  <c r="U525" i="1"/>
  <c r="N535" i="1"/>
  <c r="N201" i="1"/>
  <c r="N137" i="1"/>
  <c r="Q529" i="1"/>
  <c r="Q545" i="1"/>
  <c r="Q136" i="1"/>
  <c r="N61" i="9"/>
  <c r="BN545" i="1"/>
  <c r="BN529" i="1"/>
  <c r="BN542" i="1" s="1"/>
  <c r="BN136" i="1"/>
  <c r="BI522" i="1"/>
  <c r="BM119" i="9"/>
  <c r="BL41" i="9"/>
  <c r="BL119" i="9"/>
  <c r="BK41" i="9"/>
  <c r="AB35" i="9"/>
  <c r="AF37" i="1"/>
  <c r="L46" i="9"/>
  <c r="AU160" i="1"/>
  <c r="AU165" i="1" s="1"/>
  <c r="AU173" i="1" s="1"/>
  <c r="AU162" i="1"/>
  <c r="AO514" i="1"/>
  <c r="L523" i="1"/>
  <c r="BF111" i="9"/>
  <c r="BF112" i="9" s="1"/>
  <c r="BB211" i="1"/>
  <c r="BB204" i="1"/>
  <c r="BB139" i="1" s="1"/>
  <c r="BB132" i="1"/>
  <c r="AT40" i="9"/>
  <c r="AT131" i="1"/>
  <c r="AT622" i="1" s="1"/>
  <c r="U520" i="1"/>
  <c r="BA529" i="1"/>
  <c r="BA545" i="1"/>
  <c r="BA136" i="1"/>
  <c r="AP42" i="9"/>
  <c r="AP295" i="1"/>
  <c r="BH627" i="1"/>
  <c r="S257" i="1"/>
  <c r="BE69" i="9"/>
  <c r="BE71" i="9" s="1"/>
  <c r="BA274" i="1"/>
  <c r="BA275" i="1" s="1"/>
  <c r="BA276" i="1" s="1"/>
  <c r="BA277" i="1" s="1"/>
  <c r="BA260" i="1"/>
  <c r="AP477" i="1"/>
  <c r="BM629" i="1" s="1"/>
  <c r="AP263" i="1"/>
  <c r="BI523" i="1"/>
  <c r="AB20" i="9"/>
  <c r="AB32" i="1"/>
  <c r="AB24" i="9" s="1"/>
  <c r="AB34" i="1"/>
  <c r="AH46" i="9"/>
  <c r="L524" i="1"/>
  <c r="AP150" i="1"/>
  <c r="AP155" i="1" s="1"/>
  <c r="AP158" i="1" s="1"/>
  <c r="F46" i="9"/>
  <c r="N87" i="1"/>
  <c r="AH150" i="1"/>
  <c r="AH155" i="1" s="1"/>
  <c r="AH158" i="1" s="1"/>
  <c r="BG87" i="1"/>
  <c r="K545" i="1"/>
  <c r="K529" i="1"/>
  <c r="K136" i="1"/>
  <c r="BS30" i="9"/>
  <c r="BO58" i="1"/>
  <c r="BO13" i="1"/>
  <c r="BS26" i="9" s="1"/>
  <c r="Y119" i="9"/>
  <c r="U41" i="9"/>
  <c r="BA543" i="1"/>
  <c r="BA541" i="1"/>
  <c r="BB708" i="1"/>
  <c r="BC4" i="1"/>
  <c r="BB3" i="1"/>
  <c r="BB678" i="1" s="1"/>
  <c r="W176" i="1"/>
  <c r="V114" i="1"/>
  <c r="V20" i="1"/>
  <c r="AG545" i="1"/>
  <c r="AG529" i="1"/>
  <c r="AG136" i="1"/>
  <c r="AD499" i="1"/>
  <c r="AD270" i="1"/>
  <c r="AD79" i="9" s="1"/>
  <c r="D107" i="9"/>
  <c r="AF107" i="9"/>
  <c r="AF92" i="9"/>
  <c r="BK107" i="9"/>
  <c r="BK92" i="9"/>
  <c r="BG300" i="1"/>
  <c r="BG299" i="1"/>
  <c r="BB529" i="1"/>
  <c r="BB545" i="1"/>
  <c r="BB136" i="1"/>
  <c r="AS119" i="9"/>
  <c r="AO41" i="9"/>
  <c r="AS41" i="9"/>
  <c r="AH38" i="9"/>
  <c r="AH62" i="9" s="1"/>
  <c r="AH516" i="1"/>
  <c r="AH515" i="1"/>
  <c r="AH514" i="1"/>
  <c r="AH518" i="1"/>
  <c r="AH22" i="1"/>
  <c r="AH194" i="1"/>
  <c r="AH197" i="1" s="1"/>
  <c r="AH11" i="1"/>
  <c r="AH18" i="9" s="1"/>
  <c r="AH138" i="1"/>
  <c r="AR545" i="1"/>
  <c r="AR529" i="1"/>
  <c r="AR136" i="1"/>
  <c r="AL20" i="9"/>
  <c r="AL7" i="1"/>
  <c r="AL14" i="9" s="1"/>
  <c r="AP7" i="1"/>
  <c r="AP14" i="9" s="1"/>
  <c r="AL34" i="1"/>
  <c r="AL32" i="1"/>
  <c r="AL24" i="9" s="1"/>
  <c r="AZ30" i="9"/>
  <c r="BP56" i="1"/>
  <c r="AE46" i="9"/>
  <c r="AE227" i="1"/>
  <c r="AI535" i="1"/>
  <c r="AI201" i="1"/>
  <c r="AI204" i="1" s="1"/>
  <c r="AI139" i="1" s="1"/>
  <c r="AI65" i="9" s="1"/>
  <c r="AI137" i="1"/>
  <c r="AE20" i="9"/>
  <c r="AE7" i="1"/>
  <c r="AE14" i="9" s="1"/>
  <c r="AE34" i="1"/>
  <c r="AE32" i="1"/>
  <c r="AE24" i="9" s="1"/>
  <c r="N520" i="1"/>
  <c r="S198" i="1"/>
  <c r="S178" i="1"/>
  <c r="AI111" i="9"/>
  <c r="AI132" i="1"/>
  <c r="AI63" i="9" s="1"/>
  <c r="AI211" i="1"/>
  <c r="Z20" i="1"/>
  <c r="Z114" i="1"/>
  <c r="J69" i="9"/>
  <c r="J71" i="9" s="1"/>
  <c r="J274" i="1"/>
  <c r="J275" i="1" s="1"/>
  <c r="J276" i="1" s="1"/>
  <c r="J277" i="1" s="1"/>
  <c r="J260" i="1"/>
  <c r="O107" i="9"/>
  <c r="O92" i="9"/>
  <c r="BN107" i="9"/>
  <c r="BN92" i="9"/>
  <c r="BJ300" i="1"/>
  <c r="BJ299" i="1"/>
  <c r="X46" i="9"/>
  <c r="AA35" i="9"/>
  <c r="AE37" i="1"/>
  <c r="BP23" i="9"/>
  <c r="BL10" i="1"/>
  <c r="BP17" i="9" s="1"/>
  <c r="AJ46" i="9"/>
  <c r="AX32" i="9"/>
  <c r="AX15" i="1"/>
  <c r="AX28" i="9" s="1"/>
  <c r="AC119" i="9"/>
  <c r="Y41" i="9"/>
  <c r="BC522" i="1"/>
  <c r="D62" i="9"/>
  <c r="AH616" i="1"/>
  <c r="AK535" i="1"/>
  <c r="AK201" i="1"/>
  <c r="M69" i="11" s="1"/>
  <c r="AK137" i="1"/>
  <c r="AC545" i="1"/>
  <c r="AC529" i="1"/>
  <c r="AC136" i="1"/>
  <c r="AI61" i="9"/>
  <c r="BJ541" i="1"/>
  <c r="BK46" i="9"/>
  <c r="S529" i="1"/>
  <c r="S545" i="1"/>
  <c r="S136" i="1"/>
  <c r="AX34" i="9"/>
  <c r="AX28" i="1"/>
  <c r="AA20" i="9"/>
  <c r="AA34" i="1"/>
  <c r="AA34" i="9" s="1"/>
  <c r="AA32" i="1"/>
  <c r="AA24" i="9" s="1"/>
  <c r="BJ111" i="9"/>
  <c r="BJ112" i="9" s="1"/>
  <c r="BF211" i="1"/>
  <c r="BF204" i="1"/>
  <c r="BF139" i="1" s="1"/>
  <c r="BF132" i="1"/>
  <c r="P119" i="9"/>
  <c r="L41" i="9"/>
  <c r="BE111" i="9"/>
  <c r="BE112" i="9" s="1"/>
  <c r="BA211" i="1"/>
  <c r="BA227" i="1" s="1"/>
  <c r="BA204" i="1"/>
  <c r="BA139" i="1" s="1"/>
  <c r="BA132" i="1"/>
  <c r="C545" i="1"/>
  <c r="C529" i="1"/>
  <c r="C136" i="1"/>
  <c r="BC523" i="1"/>
  <c r="U111" i="9"/>
  <c r="U211" i="1"/>
  <c r="U227" i="1" s="1"/>
  <c r="U204" i="1"/>
  <c r="U139" i="1" s="1"/>
  <c r="U65" i="9" s="1"/>
  <c r="U132" i="1"/>
  <c r="U63" i="9" s="1"/>
  <c r="AJ61" i="9"/>
  <c r="AA545" i="1"/>
  <c r="AA529" i="1"/>
  <c r="AA136" i="1"/>
  <c r="AE545" i="1"/>
  <c r="AE529" i="1"/>
  <c r="AE136" i="1"/>
  <c r="N523" i="1"/>
  <c r="BG530" i="1"/>
  <c r="BG547" i="1"/>
  <c r="AG107" i="9"/>
  <c r="AG92" i="9"/>
  <c r="BI46" i="9"/>
  <c r="AI119" i="9"/>
  <c r="AE41" i="9"/>
  <c r="O111" i="9"/>
  <c r="O204" i="1"/>
  <c r="O139" i="1" s="1"/>
  <c r="O65" i="9" s="1"/>
  <c r="O211" i="1"/>
  <c r="O132" i="1"/>
  <c r="O63" i="9" s="1"/>
  <c r="BM111" i="9"/>
  <c r="BM112" i="9" s="1"/>
  <c r="BI211" i="1"/>
  <c r="BI132" i="1"/>
  <c r="BC524" i="1"/>
  <c r="AN61" i="9"/>
  <c r="T521" i="1"/>
  <c r="BC162" i="1"/>
  <c r="BC160" i="1"/>
  <c r="N525" i="1"/>
  <c r="AH124" i="1"/>
  <c r="AH125" i="1" s="1"/>
  <c r="BD629" i="1"/>
  <c r="BL629" i="1"/>
  <c r="K547" i="1"/>
  <c r="P449" i="1"/>
  <c r="P259" i="1" s="1"/>
  <c r="Y92" i="9"/>
  <c r="Y107" i="9"/>
  <c r="AA107" i="9"/>
  <c r="AA92" i="9"/>
  <c r="U46" i="9"/>
  <c r="BE522" i="1"/>
  <c r="BM132" i="1"/>
  <c r="BM211" i="1"/>
  <c r="BM204" i="1"/>
  <c r="BM139" i="1" s="1"/>
  <c r="U119" i="9"/>
  <c r="Q41" i="9"/>
  <c r="BK204" i="1"/>
  <c r="BK139" i="1" s="1"/>
  <c r="BK132" i="1"/>
  <c r="BK211" i="1"/>
  <c r="AD46" i="9"/>
  <c r="BM61" i="9"/>
  <c r="BO23" i="9"/>
  <c r="BK10" i="1"/>
  <c r="BO17" i="9" s="1"/>
  <c r="D46" i="9"/>
  <c r="D61" i="9"/>
  <c r="T522" i="1"/>
  <c r="R202" i="1"/>
  <c r="R87" i="1"/>
  <c r="X545" i="1"/>
  <c r="X529" i="1"/>
  <c r="X136" i="1"/>
  <c r="R119" i="9"/>
  <c r="AH127" i="1"/>
  <c r="AH128" i="1" s="1"/>
  <c r="BM525" i="1"/>
  <c r="AR111" i="9"/>
  <c r="AR204" i="1"/>
  <c r="AR139" i="1" s="1"/>
  <c r="AR65" i="9" s="1"/>
  <c r="AR211" i="1"/>
  <c r="AR132" i="1"/>
  <c r="AR63" i="9" s="1"/>
  <c r="O520" i="1"/>
  <c r="AC61" i="9"/>
  <c r="BD529" i="1"/>
  <c r="BD545" i="1"/>
  <c r="BD136" i="1"/>
  <c r="BH119" i="9"/>
  <c r="BG41" i="9"/>
  <c r="T523" i="1"/>
  <c r="BG535" i="1"/>
  <c r="BG137" i="1"/>
  <c r="BG201" i="1"/>
  <c r="BG204" i="1" s="1"/>
  <c r="BG139" i="1" s="1"/>
  <c r="M198" i="1"/>
  <c r="M178" i="1"/>
  <c r="AJ62" i="9"/>
  <c r="S111" i="9"/>
  <c r="S211" i="1"/>
  <c r="S227" i="1" s="1"/>
  <c r="S204" i="1"/>
  <c r="S139" i="1" s="1"/>
  <c r="S65" i="9" s="1"/>
  <c r="S132" i="1"/>
  <c r="S63" i="9" s="1"/>
  <c r="R524" i="1"/>
  <c r="N42" i="9"/>
  <c r="N295" i="1"/>
  <c r="AQ111" i="9"/>
  <c r="AQ204" i="1"/>
  <c r="AQ139" i="1" s="1"/>
  <c r="AQ65" i="9" s="1"/>
  <c r="AQ211" i="1"/>
  <c r="AQ132" i="1"/>
  <c r="AQ63" i="9" s="1"/>
  <c r="BN211" i="1"/>
  <c r="BN204" i="1"/>
  <c r="BN139" i="1" s="1"/>
  <c r="BN132" i="1"/>
  <c r="X111" i="9"/>
  <c r="X204" i="1"/>
  <c r="X139" i="1" s="1"/>
  <c r="X65" i="9" s="1"/>
  <c r="X211" i="1"/>
  <c r="X227" i="1" s="1"/>
  <c r="X132" i="1"/>
  <c r="X63" i="9" s="1"/>
  <c r="T524" i="1"/>
  <c r="R521" i="1"/>
  <c r="AU111" i="9"/>
  <c r="AU204" i="1"/>
  <c r="AU139" i="1" s="1"/>
  <c r="AU65" i="9" s="1"/>
  <c r="AU211" i="1"/>
  <c r="AU132" i="1"/>
  <c r="AU63" i="9" s="1"/>
  <c r="BN525" i="1"/>
  <c r="T525" i="1"/>
  <c r="BS31" i="9"/>
  <c r="BO14" i="1"/>
  <c r="BS27" i="9" s="1"/>
  <c r="P520" i="1"/>
  <c r="O119" i="9"/>
  <c r="K41" i="9"/>
  <c r="BN520" i="1"/>
  <c r="BN46" i="9"/>
  <c r="T520" i="1"/>
  <c r="AH131" i="1"/>
  <c r="AH622" i="1" s="1"/>
  <c r="X198" i="1"/>
  <c r="X178" i="1"/>
  <c r="BN521" i="1"/>
  <c r="K198" i="1"/>
  <c r="K178" i="1"/>
  <c r="M545" i="1"/>
  <c r="M529" i="1"/>
  <c r="M136" i="1"/>
  <c r="S521" i="1"/>
  <c r="D535" i="1"/>
  <c r="D201" i="1"/>
  <c r="D137" i="1"/>
  <c r="BE92" i="9"/>
  <c r="BE107" i="9"/>
  <c r="BA299" i="1"/>
  <c r="BA300" i="1"/>
  <c r="BH92" i="9"/>
  <c r="BH107" i="9"/>
  <c r="BD300" i="1"/>
  <c r="BD299" i="1"/>
  <c r="Z69" i="9"/>
  <c r="Z71" i="9" s="1"/>
  <c r="Z260" i="1"/>
  <c r="BL524" i="1"/>
  <c r="P525" i="1"/>
  <c r="O524" i="1"/>
  <c r="G46" i="9"/>
  <c r="BN522" i="1"/>
  <c r="X119" i="9"/>
  <c r="T41" i="9"/>
  <c r="S522" i="1"/>
  <c r="BF529" i="1"/>
  <c r="BF545" i="1"/>
  <c r="BF136" i="1"/>
  <c r="BL107" i="9"/>
  <c r="BL92" i="9"/>
  <c r="BH300" i="1"/>
  <c r="BH299" i="1"/>
  <c r="BL520" i="1"/>
  <c r="BF523" i="1"/>
  <c r="P521" i="1"/>
  <c r="BP57" i="1"/>
  <c r="BN523" i="1"/>
  <c r="J40" i="9"/>
  <c r="J62" i="9" s="1"/>
  <c r="J131" i="1"/>
  <c r="J622" i="1" s="1"/>
  <c r="BG119" i="9"/>
  <c r="BF41" i="9"/>
  <c r="W111" i="9"/>
  <c r="W204" i="1"/>
  <c r="W139" i="1" s="1"/>
  <c r="W65" i="9" s="1"/>
  <c r="W211" i="1"/>
  <c r="W132" i="1"/>
  <c r="W63" i="9" s="1"/>
  <c r="AL38" i="9"/>
  <c r="AL515" i="1"/>
  <c r="AL514" i="1"/>
  <c r="AL513" i="1"/>
  <c r="AL518" i="1"/>
  <c r="AL517" i="1"/>
  <c r="AL22" i="1"/>
  <c r="AL194" i="1"/>
  <c r="AL197" i="1" s="1"/>
  <c r="AL11" i="1"/>
  <c r="AL18" i="9" s="1"/>
  <c r="AL138" i="1"/>
  <c r="AL127" i="1"/>
  <c r="AL128" i="1" s="1"/>
  <c r="AL131" i="1"/>
  <c r="AL622" i="1" s="1"/>
  <c r="S523" i="1"/>
  <c r="BF524" i="1"/>
  <c r="AJ111" i="9"/>
  <c r="AJ132" i="1"/>
  <c r="AJ63" i="9" s="1"/>
  <c r="AJ204" i="1"/>
  <c r="AJ139" i="1" s="1"/>
  <c r="AJ65" i="9" s="1"/>
  <c r="AJ211" i="1"/>
  <c r="AJ227" i="1" s="1"/>
  <c r="BB162" i="1"/>
  <c r="BB160" i="1"/>
  <c r="S119" i="9"/>
  <c r="O41" i="9"/>
  <c r="O545" i="1"/>
  <c r="O529" i="1"/>
  <c r="O136" i="1"/>
  <c r="BP35" i="9"/>
  <c r="BM37" i="1"/>
  <c r="BL37" i="1"/>
  <c r="BD111" i="9"/>
  <c r="BD112" i="9" s="1"/>
  <c r="AZ204" i="1"/>
  <c r="AZ211" i="1"/>
  <c r="AZ132" i="1"/>
  <c r="BN524" i="1"/>
  <c r="AT42" i="9"/>
  <c r="AT295" i="1"/>
  <c r="BE162" i="1"/>
  <c r="BE160" i="1"/>
  <c r="BE165" i="1" s="1"/>
  <c r="BE173" i="1" s="1"/>
  <c r="P529" i="1"/>
  <c r="P545" i="1"/>
  <c r="P136" i="1"/>
  <c r="S524" i="1"/>
  <c r="R41" i="9"/>
  <c r="AS545" i="1"/>
  <c r="AS529" i="1"/>
  <c r="AS136" i="1"/>
  <c r="AQ449" i="1"/>
  <c r="R92" i="9"/>
  <c r="R107" i="9"/>
  <c r="BL522" i="1"/>
  <c r="S46" i="9"/>
  <c r="Q46" i="9"/>
  <c r="BF525" i="1"/>
  <c r="O162" i="1"/>
  <c r="O160" i="1"/>
  <c r="O165" i="1" s="1"/>
  <c r="O173" i="1" s="1"/>
  <c r="O176" i="1" s="1"/>
  <c r="AR41" i="9"/>
  <c r="N40" i="9"/>
  <c r="N62" i="9" s="1"/>
  <c r="N131" i="1"/>
  <c r="N622" i="1" s="1"/>
  <c r="S525" i="1"/>
  <c r="Z535" i="1"/>
  <c r="Z137" i="1"/>
  <c r="AE107" i="9"/>
  <c r="AE92" i="9"/>
  <c r="BL523" i="1"/>
  <c r="AS46" i="9"/>
  <c r="X71" i="9"/>
  <c r="AJ517" i="1"/>
  <c r="G111" i="9"/>
  <c r="G211" i="1"/>
  <c r="G227" i="1" s="1"/>
  <c r="G204" i="1"/>
  <c r="G139" i="1" s="1"/>
  <c r="G65" i="9" s="1"/>
  <c r="G132" i="1"/>
  <c r="G63" i="9" s="1"/>
  <c r="AE62" i="9"/>
  <c r="AU514" i="1"/>
  <c r="BC529" i="1"/>
  <c r="BC545" i="1"/>
  <c r="BC136" i="1"/>
  <c r="AU119" i="9"/>
  <c r="AQ41" i="9"/>
  <c r="AP38" i="9"/>
  <c r="AP515" i="1"/>
  <c r="AP518" i="1"/>
  <c r="AP517" i="1"/>
  <c r="AP516" i="1"/>
  <c r="AP11" i="1"/>
  <c r="AP18" i="9" s="1"/>
  <c r="AP194" i="1"/>
  <c r="AP197" i="1" s="1"/>
  <c r="AP22" i="1"/>
  <c r="AP127" i="1"/>
  <c r="AP128" i="1" s="1"/>
  <c r="AP138" i="1"/>
  <c r="AM514" i="1"/>
  <c r="AB119" i="9"/>
  <c r="X41" i="9"/>
  <c r="AK61" i="9"/>
  <c r="AL535" i="1"/>
  <c r="AL201" i="1"/>
  <c r="N69" i="11" s="1"/>
  <c r="AL137" i="1"/>
  <c r="AB535" i="1"/>
  <c r="AB137" i="1"/>
  <c r="AB201" i="1"/>
  <c r="D69" i="11" s="1"/>
  <c r="V535" i="1"/>
  <c r="V201" i="1"/>
  <c r="V137" i="1"/>
  <c r="AI20" i="9"/>
  <c r="AM7" i="1"/>
  <c r="AM14" i="9" s="1"/>
  <c r="AI7" i="1"/>
  <c r="AI14" i="9" s="1"/>
  <c r="AI32" i="1"/>
  <c r="AI24" i="9" s="1"/>
  <c r="AI34" i="1"/>
  <c r="S520" i="1"/>
  <c r="Q204" i="1"/>
  <c r="Q139" i="1" s="1"/>
  <c r="Q65" i="9" s="1"/>
  <c r="BI535" i="1"/>
  <c r="BI137" i="1"/>
  <c r="BI201" i="1"/>
  <c r="BI204" i="1" s="1"/>
  <c r="BI139" i="1" s="1"/>
  <c r="BK524" i="1"/>
  <c r="BK119" i="9"/>
  <c r="BJ41" i="9"/>
  <c r="T119" i="9"/>
  <c r="P41" i="9"/>
  <c r="BL111" i="9"/>
  <c r="BL112" i="9" s="1"/>
  <c r="BH211" i="1"/>
  <c r="BH227" i="1" s="1"/>
  <c r="BH132" i="1"/>
  <c r="BH204" i="1"/>
  <c r="BH139" i="1" s="1"/>
  <c r="AU41" i="9"/>
  <c r="N119" i="9"/>
  <c r="H111" i="9"/>
  <c r="H204" i="1"/>
  <c r="H139" i="1" s="1"/>
  <c r="H65" i="9" s="1"/>
  <c r="H211" i="1"/>
  <c r="H132" i="1"/>
  <c r="H63" i="9" s="1"/>
  <c r="AK111" i="9"/>
  <c r="AK132" i="1"/>
  <c r="AK63" i="9" s="1"/>
  <c r="AK211" i="1"/>
  <c r="E545" i="1"/>
  <c r="E529" i="1"/>
  <c r="E136" i="1"/>
  <c r="Z38" i="9"/>
  <c r="Z62" i="9" s="1"/>
  <c r="Z518" i="1"/>
  <c r="Z517" i="1"/>
  <c r="Z516" i="1"/>
  <c r="Z515" i="1"/>
  <c r="Z514" i="1"/>
  <c r="Z513" i="1"/>
  <c r="Z194" i="1"/>
  <c r="Z197" i="1" s="1"/>
  <c r="Z11" i="1"/>
  <c r="Z18" i="9" s="1"/>
  <c r="Z22" i="1"/>
  <c r="Z127" i="1"/>
  <c r="Z128" i="1" s="1"/>
  <c r="T111" i="9"/>
  <c r="T204" i="1"/>
  <c r="T139" i="1" s="1"/>
  <c r="T65" i="9" s="1"/>
  <c r="T132" i="1"/>
  <c r="T63" i="9" s="1"/>
  <c r="T211" i="1"/>
  <c r="AF545" i="1"/>
  <c r="AF529" i="1"/>
  <c r="AF136" i="1"/>
  <c r="AN545" i="1"/>
  <c r="AN529" i="1"/>
  <c r="AN136" i="1"/>
  <c r="AJ20" i="9"/>
  <c r="AJ7" i="1"/>
  <c r="AJ14" i="9" s="1"/>
  <c r="AJ32" i="1"/>
  <c r="AJ24" i="9" s="1"/>
  <c r="AJ34" i="1"/>
  <c r="AN7" i="1"/>
  <c r="AN14" i="9" s="1"/>
  <c r="AQ545" i="1"/>
  <c r="AQ529" i="1"/>
  <c r="AQ136" i="1"/>
  <c r="M46" i="9"/>
  <c r="AY32" i="9"/>
  <c r="AY28" i="9"/>
  <c r="BO35" i="9"/>
  <c r="I111" i="9"/>
  <c r="I204" i="1"/>
  <c r="I139" i="1" s="1"/>
  <c r="I65" i="9" s="1"/>
  <c r="I211" i="1"/>
  <c r="I132" i="1"/>
  <c r="I63" i="9" s="1"/>
  <c r="AN111" i="9"/>
  <c r="AN204" i="1"/>
  <c r="AN139" i="1" s="1"/>
  <c r="AN65" i="9" s="1"/>
  <c r="AN211" i="1"/>
  <c r="AN132" i="1"/>
  <c r="AN63" i="9" s="1"/>
  <c r="AM41" i="9"/>
  <c r="AQ119" i="9"/>
  <c r="AK518" i="1"/>
  <c r="G545" i="1"/>
  <c r="G529" i="1"/>
  <c r="G136" i="1"/>
  <c r="BA696" i="1"/>
  <c r="BA694" i="1" s="1"/>
  <c r="BA315" i="1" s="1"/>
  <c r="BA698" i="1"/>
  <c r="BA682" i="1"/>
  <c r="BA680" i="1" s="1"/>
  <c r="BA313" i="1" s="1"/>
  <c r="BA689" i="1"/>
  <c r="BA687" i="1" s="1"/>
  <c r="BA314" i="1" s="1"/>
  <c r="BA684" i="1"/>
  <c r="BA691" i="1"/>
  <c r="W119" i="9"/>
  <c r="S41" i="9"/>
  <c r="BE627" i="1"/>
  <c r="G257" i="1"/>
  <c r="AB100" i="9"/>
  <c r="AU257" i="1"/>
  <c r="AM107" i="9"/>
  <c r="AM92" i="9"/>
  <c r="AM449" i="1"/>
  <c r="O99" i="11" s="1"/>
  <c r="BD520" i="1"/>
  <c r="AF119" i="9"/>
  <c r="AB41" i="9"/>
  <c r="M111" i="9"/>
  <c r="M204" i="1"/>
  <c r="M139" i="1" s="1"/>
  <c r="M65" i="9" s="1"/>
  <c r="M211" i="1"/>
  <c r="M132" i="1"/>
  <c r="M63" i="9" s="1"/>
  <c r="BG111" i="9"/>
  <c r="BG112" i="9" s="1"/>
  <c r="BC211" i="1"/>
  <c r="BC204" i="1"/>
  <c r="BC139" i="1" s="1"/>
  <c r="BC132" i="1"/>
  <c r="AN517" i="1"/>
  <c r="E111" i="9"/>
  <c r="E204" i="1"/>
  <c r="E139" i="1" s="1"/>
  <c r="E65" i="9" s="1"/>
  <c r="E211" i="1"/>
  <c r="E132" i="1"/>
  <c r="E63" i="9" s="1"/>
  <c r="AK513" i="1"/>
  <c r="G537" i="1"/>
  <c r="AM61" i="9"/>
  <c r="AT124" i="1"/>
  <c r="AT125" i="1" s="1"/>
  <c r="L545" i="1"/>
  <c r="L529" i="1"/>
  <c r="L136" i="1"/>
  <c r="AD114" i="1"/>
  <c r="AD20" i="1"/>
  <c r="BK545" i="1"/>
  <c r="BK529" i="1"/>
  <c r="BK136" i="1"/>
  <c r="BD521" i="1"/>
  <c r="AI513" i="1"/>
  <c r="K62" i="9"/>
  <c r="AR61" i="9"/>
  <c r="V71" i="9"/>
  <c r="AJ516" i="1"/>
  <c r="M521" i="1"/>
  <c r="AN518" i="1"/>
  <c r="I119" i="9"/>
  <c r="E41" i="9"/>
  <c r="AK514" i="1"/>
  <c r="BL46" i="9"/>
  <c r="C111" i="9"/>
  <c r="C132" i="1"/>
  <c r="C63" i="9" s="1"/>
  <c r="C204" i="1"/>
  <c r="C139" i="1" s="1"/>
  <c r="C65" i="9" s="1"/>
  <c r="C211" i="1"/>
  <c r="AT535" i="1"/>
  <c r="AT137" i="1"/>
  <c r="AT201" i="1"/>
  <c r="V69" i="11" s="1"/>
  <c r="AT69" i="11" s="1"/>
  <c r="V38" i="9"/>
  <c r="V119" i="9" s="1"/>
  <c r="V518" i="1"/>
  <c r="V525" i="1" s="1"/>
  <c r="V517" i="1"/>
  <c r="V524" i="1" s="1"/>
  <c r="V516" i="1"/>
  <c r="V523" i="1" s="1"/>
  <c r="V515" i="1"/>
  <c r="V522" i="1" s="1"/>
  <c r="V514" i="1"/>
  <c r="V521" i="1" s="1"/>
  <c r="V11" i="1"/>
  <c r="V18" i="9" s="1"/>
  <c r="V194" i="1"/>
  <c r="V197" i="1" s="1"/>
  <c r="V22" i="1"/>
  <c r="AM535" i="1"/>
  <c r="AM537" i="1" s="1"/>
  <c r="AM201" i="1"/>
  <c r="O69" i="11" s="1"/>
  <c r="AM137" i="1"/>
  <c r="BK541" i="1"/>
  <c r="C50" i="15" l="1"/>
  <c r="C23" i="15"/>
  <c r="C38" i="15"/>
  <c r="C17" i="15"/>
  <c r="AA21" i="11"/>
  <c r="AA16" i="11"/>
  <c r="Z451" i="11"/>
  <c r="Z101" i="11" s="1"/>
  <c r="AU101" i="11" s="1"/>
  <c r="W354" i="11"/>
  <c r="U354" i="11"/>
  <c r="Z354" i="11"/>
  <c r="Y354" i="11"/>
  <c r="X354" i="11"/>
  <c r="G367" i="11"/>
  <c r="H370" i="11"/>
  <c r="R370" i="11"/>
  <c r="Q367" i="11"/>
  <c r="U367" i="11"/>
  <c r="M367" i="11"/>
  <c r="S370" i="11"/>
  <c r="R354" i="11"/>
  <c r="V354" i="11"/>
  <c r="Z367" i="11"/>
  <c r="V367" i="11"/>
  <c r="W370" i="11"/>
  <c r="V370" i="11"/>
  <c r="Q370" i="11"/>
  <c r="P367" i="11"/>
  <c r="T367" i="11"/>
  <c r="AQ370" i="11"/>
  <c r="AP367" i="11"/>
  <c r="AP370" i="11"/>
  <c r="I367" i="11"/>
  <c r="AQ367" i="11"/>
  <c r="T354" i="11"/>
  <c r="F290" i="11"/>
  <c r="F301" i="11" s="1"/>
  <c r="F335" i="11" s="1"/>
  <c r="F346" i="11"/>
  <c r="F347" i="11" s="1"/>
  <c r="F353" i="11" s="1"/>
  <c r="N366" i="11"/>
  <c r="R367" i="11" s="1"/>
  <c r="S354" i="11"/>
  <c r="AR366" i="11"/>
  <c r="AR370" i="11" s="1"/>
  <c r="H367" i="11"/>
  <c r="I370" i="11"/>
  <c r="M370" i="11"/>
  <c r="L367" i="11"/>
  <c r="P370" i="11"/>
  <c r="O367" i="11"/>
  <c r="S367" i="11"/>
  <c r="J366" i="11"/>
  <c r="J370" i="11" s="1"/>
  <c r="K367" i="11"/>
  <c r="L370" i="11"/>
  <c r="Z394" i="11"/>
  <c r="Z395" i="11"/>
  <c r="Z434" i="11"/>
  <c r="Y382" i="11"/>
  <c r="Z382" i="11" s="1"/>
  <c r="Z238" i="11" s="1"/>
  <c r="Z435" i="11"/>
  <c r="Z440" i="11"/>
  <c r="Z385" i="11"/>
  <c r="Z386" i="11"/>
  <c r="AT95" i="11"/>
  <c r="Z412" i="11"/>
  <c r="W240" i="11"/>
  <c r="AU240" i="11" s="1"/>
  <c r="AU235" i="11"/>
  <c r="Z414" i="11"/>
  <c r="Z58" i="11" s="1"/>
  <c r="AU58" i="11" s="1"/>
  <c r="AK547" i="1"/>
  <c r="Y56" i="11"/>
  <c r="X57" i="11"/>
  <c r="Y413" i="11"/>
  <c r="Y57" i="11" s="1"/>
  <c r="X409" i="11"/>
  <c r="X99" i="11" s="1"/>
  <c r="Y383" i="11"/>
  <c r="Y459" i="11"/>
  <c r="Y59" i="11"/>
  <c r="N290" i="11"/>
  <c r="N301" i="11" s="1"/>
  <c r="N335" i="11" s="1"/>
  <c r="N339" i="11"/>
  <c r="AR339" i="11" s="1"/>
  <c r="J290" i="11"/>
  <c r="J301" i="11" s="1"/>
  <c r="J335" i="11" s="1"/>
  <c r="J339" i="11"/>
  <c r="Q239" i="11"/>
  <c r="Q241" i="11" s="1"/>
  <c r="BN178" i="1"/>
  <c r="BN205" i="1" s="1"/>
  <c r="AJ176" i="1"/>
  <c r="AJ178" i="1" s="1"/>
  <c r="AJ205" i="1" s="1"/>
  <c r="L43" i="11" s="1"/>
  <c r="I54" i="16"/>
  <c r="I54" i="12"/>
  <c r="E54" i="15"/>
  <c r="E58" i="16"/>
  <c r="E58" i="12"/>
  <c r="F25" i="16"/>
  <c r="F54" i="16"/>
  <c r="F54" i="12"/>
  <c r="F25" i="12"/>
  <c r="G54" i="16"/>
  <c r="G54" i="12"/>
  <c r="G25" i="12"/>
  <c r="G25" i="16"/>
  <c r="C25" i="16"/>
  <c r="C54" i="12"/>
  <c r="C25" i="12"/>
  <c r="C54" i="16"/>
  <c r="I41" i="15"/>
  <c r="I45" i="16"/>
  <c r="I45" i="12"/>
  <c r="C42" i="12"/>
  <c r="C43" i="12" s="1"/>
  <c r="C19" i="16"/>
  <c r="C41" i="16" s="1"/>
  <c r="C42" i="16"/>
  <c r="C43" i="16" s="1"/>
  <c r="C19" i="12"/>
  <c r="C41" i="12" s="1"/>
  <c r="V547" i="1"/>
  <c r="D58" i="16"/>
  <c r="D58" i="12"/>
  <c r="AF176" i="1"/>
  <c r="AF198" i="1" s="1"/>
  <c r="H37" i="11" s="1"/>
  <c r="BK65" i="9"/>
  <c r="AK609" i="1"/>
  <c r="W237" i="11"/>
  <c r="AJ609" i="1"/>
  <c r="W60" i="11"/>
  <c r="W83" i="11" s="1"/>
  <c r="W90" i="11" s="1"/>
  <c r="R547" i="1"/>
  <c r="X459" i="11"/>
  <c r="X59" i="11"/>
  <c r="X16" i="11"/>
  <c r="X21" i="11"/>
  <c r="X56" i="11"/>
  <c r="X437" i="11"/>
  <c r="AU11" i="11"/>
  <c r="AN609" i="1"/>
  <c r="AN104" i="9"/>
  <c r="BB547" i="1"/>
  <c r="AE609" i="1"/>
  <c r="BK37" i="1"/>
  <c r="AS176" i="1"/>
  <c r="AS178" i="1" s="1"/>
  <c r="AO176" i="1"/>
  <c r="AO198" i="1" s="1"/>
  <c r="Q37" i="11" s="1"/>
  <c r="AZ178" i="1"/>
  <c r="AZ205" i="1" s="1"/>
  <c r="AZ308" i="1" s="1"/>
  <c r="AN619" i="1"/>
  <c r="I547" i="1"/>
  <c r="AO609" i="1"/>
  <c r="N239" i="11"/>
  <c r="N241" i="11" s="1"/>
  <c r="BM176" i="1"/>
  <c r="BM178" i="1" s="1"/>
  <c r="BM205" i="1" s="1"/>
  <c r="BM55" i="9" s="1"/>
  <c r="AS547" i="1"/>
  <c r="AN176" i="1"/>
  <c r="AN198" i="1" s="1"/>
  <c r="P37" i="11" s="1"/>
  <c r="AM609" i="1"/>
  <c r="AQ619" i="1"/>
  <c r="AC178" i="1"/>
  <c r="AC181" i="1" s="1"/>
  <c r="AO88" i="11"/>
  <c r="AQ48" i="11"/>
  <c r="AL176" i="1"/>
  <c r="AL178" i="1" s="1"/>
  <c r="R239" i="11"/>
  <c r="R241" i="11" s="1"/>
  <c r="BK104" i="9"/>
  <c r="BL105" i="9" s="1"/>
  <c r="BL115" i="9" s="1"/>
  <c r="BL116" i="9" s="1"/>
  <c r="BH115" i="9"/>
  <c r="BH116" i="9" s="1"/>
  <c r="C547" i="1"/>
  <c r="AG176" i="1"/>
  <c r="AG178" i="1" s="1"/>
  <c r="AG181" i="1" s="1"/>
  <c r="O108" i="9"/>
  <c r="O109" i="9" s="1"/>
  <c r="BN543" i="1"/>
  <c r="BM619" i="1"/>
  <c r="H239" i="11"/>
  <c r="H241" i="11" s="1"/>
  <c r="AG609" i="1"/>
  <c r="BL619" i="1"/>
  <c r="AQ176" i="1"/>
  <c r="AQ178" i="1" s="1"/>
  <c r="AQ205" i="1" s="1"/>
  <c r="S43" i="11" s="1"/>
  <c r="BN541" i="1"/>
  <c r="BL176" i="1"/>
  <c r="BL178" i="1" s="1"/>
  <c r="BL181" i="1" s="1"/>
  <c r="AQ547" i="1"/>
  <c r="BL609" i="1"/>
  <c r="AR176" i="1"/>
  <c r="AR198" i="1" s="1"/>
  <c r="T37" i="11" s="1"/>
  <c r="S239" i="11"/>
  <c r="S241" i="11" s="1"/>
  <c r="M547" i="1"/>
  <c r="AQ74" i="11"/>
  <c r="K239" i="11"/>
  <c r="K241" i="11" s="1"/>
  <c r="BF547" i="1"/>
  <c r="J239" i="11"/>
  <c r="J241" i="11" s="1"/>
  <c r="AP48" i="11"/>
  <c r="AI176" i="1"/>
  <c r="AI178" i="1" s="1"/>
  <c r="AI205" i="1" s="1"/>
  <c r="K43" i="11" s="1"/>
  <c r="N108" i="9"/>
  <c r="N109" i="9" s="1"/>
  <c r="M239" i="11"/>
  <c r="M241" i="11" s="1"/>
  <c r="V107" i="9"/>
  <c r="X108" i="9" s="1"/>
  <c r="X109" i="9" s="1"/>
  <c r="BO477" i="1"/>
  <c r="M108" i="9"/>
  <c r="BE176" i="1"/>
  <c r="BE198" i="1" s="1"/>
  <c r="AK37" i="11" s="1"/>
  <c r="BO174" i="1"/>
  <c r="N547" i="1"/>
  <c r="AU547" i="1"/>
  <c r="BO547" i="1" s="1"/>
  <c r="AP241" i="11"/>
  <c r="BE547" i="1"/>
  <c r="U239" i="11"/>
  <c r="U241" i="11" s="1"/>
  <c r="BK178" i="1"/>
  <c r="BK181" i="1" s="1"/>
  <c r="AP69" i="11"/>
  <c r="AI609" i="1"/>
  <c r="BO629" i="1"/>
  <c r="AF619" i="1"/>
  <c r="F50" i="15"/>
  <c r="F23" i="15"/>
  <c r="T547" i="1"/>
  <c r="AF104" i="9"/>
  <c r="AJ619" i="1"/>
  <c r="AM176" i="1"/>
  <c r="AM198" i="1" s="1"/>
  <c r="O37" i="11" s="1"/>
  <c r="X547" i="1"/>
  <c r="F547" i="1"/>
  <c r="BH176" i="1"/>
  <c r="BH198" i="1" s="1"/>
  <c r="AN37" i="11" s="1"/>
  <c r="G50" i="15"/>
  <c r="G23" i="15"/>
  <c r="AK176" i="1"/>
  <c r="AK178" i="1" s="1"/>
  <c r="AK205" i="1" s="1"/>
  <c r="M43" i="11" s="1"/>
  <c r="AS69" i="11"/>
  <c r="I50" i="15"/>
  <c r="K69" i="11"/>
  <c r="AR69" i="11" s="1"/>
  <c r="I239" i="11"/>
  <c r="I241" i="11" s="1"/>
  <c r="AD573" i="1"/>
  <c r="AE619" i="1" s="1"/>
  <c r="AN547" i="1"/>
  <c r="BE136" i="1"/>
  <c r="BE204" i="1"/>
  <c r="BE139" i="1" s="1"/>
  <c r="BE65" i="9" s="1"/>
  <c r="BF176" i="1"/>
  <c r="BF198" i="1" s="1"/>
  <c r="AL37" i="11" s="1"/>
  <c r="BE545" i="1"/>
  <c r="G178" i="1"/>
  <c r="G205" i="1" s="1"/>
  <c r="BO77" i="9"/>
  <c r="AT174" i="1"/>
  <c r="AT179" i="1" s="1"/>
  <c r="BI115" i="9"/>
  <c r="BI116" i="9" s="1"/>
  <c r="BM547" i="1"/>
  <c r="AL573" i="1"/>
  <c r="AK619" i="1" s="1"/>
  <c r="BK547" i="1"/>
  <c r="G239" i="11"/>
  <c r="G241" i="11" s="1"/>
  <c r="AT138" i="1"/>
  <c r="BJ104" i="9"/>
  <c r="BJ105" i="9" s="1"/>
  <c r="BJ115" i="9" s="1"/>
  <c r="BJ116" i="9" s="1"/>
  <c r="BK619" i="1"/>
  <c r="L239" i="11"/>
  <c r="L241" i="11" s="1"/>
  <c r="BJ609" i="1"/>
  <c r="W25" i="11"/>
  <c r="AA26" i="11" s="1"/>
  <c r="AC547" i="1"/>
  <c r="AN239" i="11"/>
  <c r="AN241" i="11" s="1"/>
  <c r="V226" i="11"/>
  <c r="V229" i="11" s="1"/>
  <c r="V231" i="11" s="1"/>
  <c r="P239" i="11"/>
  <c r="P241" i="11" s="1"/>
  <c r="AL239" i="11"/>
  <c r="AL241" i="11" s="1"/>
  <c r="BL63" i="9"/>
  <c r="O239" i="11"/>
  <c r="O241" i="11" s="1"/>
  <c r="AT241" i="11"/>
  <c r="V409" i="11"/>
  <c r="V462" i="11" s="1"/>
  <c r="V235" i="11"/>
  <c r="V240" i="11" s="1"/>
  <c r="AO239" i="11"/>
  <c r="AO241" i="11" s="1"/>
  <c r="AQ241" i="11"/>
  <c r="BG176" i="1"/>
  <c r="AR241" i="11"/>
  <c r="AS241" i="11"/>
  <c r="BI176" i="1"/>
  <c r="AM239" i="11"/>
  <c r="AM241" i="11" s="1"/>
  <c r="T239" i="11"/>
  <c r="T241" i="11" s="1"/>
  <c r="G90" i="11"/>
  <c r="S21" i="11"/>
  <c r="W21" i="11"/>
  <c r="V21" i="11"/>
  <c r="AJ462" i="11"/>
  <c r="AJ90" i="11"/>
  <c r="AO462" i="11"/>
  <c r="AO99" i="11"/>
  <c r="AO90" i="11" s="1"/>
  <c r="C52" i="15" s="1"/>
  <c r="T21" i="11"/>
  <c r="AK462" i="11"/>
  <c r="AK90" i="11"/>
  <c r="AL462" i="11"/>
  <c r="AL90" i="11"/>
  <c r="U21" i="11"/>
  <c r="AM462" i="11"/>
  <c r="AM99" i="11"/>
  <c r="AM90" i="11" s="1"/>
  <c r="AN462" i="11"/>
  <c r="AN99" i="11"/>
  <c r="AN90" i="11" s="1"/>
  <c r="O462" i="11"/>
  <c r="E11" i="11"/>
  <c r="M11" i="11"/>
  <c r="G11" i="11"/>
  <c r="G25" i="11" s="1"/>
  <c r="J11" i="11"/>
  <c r="K90" i="11"/>
  <c r="S462" i="11"/>
  <c r="AP60" i="11"/>
  <c r="D29" i="15" s="1"/>
  <c r="AT56" i="11"/>
  <c r="AT60" i="11" s="1"/>
  <c r="E214" i="11"/>
  <c r="E127" i="11"/>
  <c r="AQ214" i="11"/>
  <c r="AQ127" i="11"/>
  <c r="N214" i="11"/>
  <c r="N127" i="11"/>
  <c r="I214" i="11"/>
  <c r="I127" i="11"/>
  <c r="J214" i="11"/>
  <c r="J127" i="11"/>
  <c r="K214" i="11"/>
  <c r="K127" i="11"/>
  <c r="AR151" i="11"/>
  <c r="AS151" i="11"/>
  <c r="G214" i="11"/>
  <c r="G127" i="11"/>
  <c r="M214" i="11"/>
  <c r="M127" i="11"/>
  <c r="P14" i="11"/>
  <c r="L214" i="11"/>
  <c r="L127" i="11"/>
  <c r="C214" i="11"/>
  <c r="C127" i="11"/>
  <c r="H214" i="11"/>
  <c r="H127" i="11"/>
  <c r="BO78" i="9"/>
  <c r="BF63" i="9"/>
  <c r="J60" i="11"/>
  <c r="J83" i="11" s="1"/>
  <c r="AH573" i="1"/>
  <c r="R60" i="11"/>
  <c r="R83" i="11" s="1"/>
  <c r="T462" i="11"/>
  <c r="N11" i="11"/>
  <c r="E462" i="11"/>
  <c r="N14" i="11"/>
  <c r="I462" i="11"/>
  <c r="R14" i="11"/>
  <c r="F462" i="11"/>
  <c r="AR60" i="11"/>
  <c r="J462" i="11"/>
  <c r="P462" i="11"/>
  <c r="I11" i="11"/>
  <c r="C90" i="11"/>
  <c r="C462" i="11"/>
  <c r="H462" i="11"/>
  <c r="Q61" i="11"/>
  <c r="Q14" i="11"/>
  <c r="I14" i="11"/>
  <c r="N60" i="11"/>
  <c r="N83" i="11" s="1"/>
  <c r="U462" i="11"/>
  <c r="K462" i="11"/>
  <c r="AR9" i="11"/>
  <c r="Q90" i="11"/>
  <c r="O14" i="11"/>
  <c r="V335" i="11"/>
  <c r="D462" i="11"/>
  <c r="G462" i="11"/>
  <c r="BM105" i="9"/>
  <c r="BM115" i="9" s="1"/>
  <c r="BM116" i="9" s="1"/>
  <c r="M462" i="11"/>
  <c r="F60" i="11"/>
  <c r="F83" i="11" s="1"/>
  <c r="Q462" i="11"/>
  <c r="BC309" i="1"/>
  <c r="W462" i="11"/>
  <c r="N462" i="11"/>
  <c r="K11" i="11"/>
  <c r="L462" i="11"/>
  <c r="BI63" i="9"/>
  <c r="R462" i="11"/>
  <c r="G14" i="11"/>
  <c r="K14" i="11"/>
  <c r="BE105" i="9"/>
  <c r="BE115" i="9" s="1"/>
  <c r="BE116" i="9" s="1"/>
  <c r="BG63" i="9"/>
  <c r="L11" i="11"/>
  <c r="M14" i="11"/>
  <c r="C11" i="11"/>
  <c r="BG65" i="9"/>
  <c r="BL65" i="9"/>
  <c r="BN20" i="9"/>
  <c r="AP213" i="11"/>
  <c r="BI65" i="9"/>
  <c r="BM65" i="9"/>
  <c r="BF65" i="9"/>
  <c r="BK63" i="9"/>
  <c r="K502" i="1"/>
  <c r="BL32" i="1"/>
  <c r="BP24" i="9" s="1"/>
  <c r="AR213" i="11"/>
  <c r="BH63" i="9"/>
  <c r="BO79" i="9"/>
  <c r="BN63" i="9"/>
  <c r="BE63" i="9"/>
  <c r="P92" i="9"/>
  <c r="BM63" i="9"/>
  <c r="BH65" i="9"/>
  <c r="BD63" i="9"/>
  <c r="BJ63" i="9"/>
  <c r="BO76" i="9"/>
  <c r="BN198" i="1"/>
  <c r="BN133" i="1" s="1"/>
  <c r="AH92" i="9"/>
  <c r="BB309" i="1"/>
  <c r="AP136" i="1"/>
  <c r="BF309" i="1"/>
  <c r="R111" i="9"/>
  <c r="S112" i="9" s="1"/>
  <c r="O547" i="1"/>
  <c r="BD165" i="1"/>
  <c r="BD173" i="1" s="1"/>
  <c r="BD176" i="1" s="1"/>
  <c r="BD178" i="1" s="1"/>
  <c r="BK502" i="1"/>
  <c r="AJ547" i="1"/>
  <c r="R132" i="1"/>
  <c r="R63" i="9" s="1"/>
  <c r="BJ309" i="1"/>
  <c r="BE309" i="1"/>
  <c r="AL162" i="1"/>
  <c r="BF278" i="1"/>
  <c r="BF279" i="1" s="1"/>
  <c r="BF280" i="1" s="1"/>
  <c r="BF281" i="1" s="1"/>
  <c r="AZ258" i="1"/>
  <c r="AZ278" i="1"/>
  <c r="AZ311" i="1" s="1"/>
  <c r="BK198" i="1"/>
  <c r="J547" i="1"/>
  <c r="AA521" i="1"/>
  <c r="AS88" i="11"/>
  <c r="BG309" i="1"/>
  <c r="AD92" i="9"/>
  <c r="BI309" i="1"/>
  <c r="AB176" i="1"/>
  <c r="AB198" i="1" s="1"/>
  <c r="D37" i="11" s="1"/>
  <c r="Y545" i="1"/>
  <c r="J92" i="9"/>
  <c r="AA502" i="1"/>
  <c r="T259" i="1"/>
  <c r="T278" i="1" s="1"/>
  <c r="T279" i="1" s="1"/>
  <c r="T280" i="1" s="1"/>
  <c r="T281" i="1" s="1"/>
  <c r="F529" i="1"/>
  <c r="F531" i="1" s="1"/>
  <c r="P178" i="1"/>
  <c r="P205" i="1" s="1"/>
  <c r="BC258" i="1"/>
  <c r="BC502" i="1"/>
  <c r="Y136" i="1"/>
  <c r="AE198" i="1"/>
  <c r="G37" i="11" s="1"/>
  <c r="BC278" i="1"/>
  <c r="BC279" i="1" s="1"/>
  <c r="BC280" i="1" s="1"/>
  <c r="BC281" i="1" s="1"/>
  <c r="Y529" i="1"/>
  <c r="Y531" i="1" s="1"/>
  <c r="BG258" i="1"/>
  <c r="BG278" i="1"/>
  <c r="BG279" i="1" s="1"/>
  <c r="BG280" i="1" s="1"/>
  <c r="BG281" i="1" s="1"/>
  <c r="R25" i="11"/>
  <c r="AZ502" i="1"/>
  <c r="AZ505" i="1" s="1"/>
  <c r="BA504" i="1" s="1"/>
  <c r="AU15" i="11"/>
  <c r="AU20" i="11" s="1"/>
  <c r="S25" i="11"/>
  <c r="D11" i="11"/>
  <c r="AR15" i="11"/>
  <c r="AS15" i="11"/>
  <c r="O25" i="11"/>
  <c r="F11" i="11"/>
  <c r="H181" i="1"/>
  <c r="BJ178" i="1"/>
  <c r="BJ181" i="1" s="1"/>
  <c r="U258" i="1"/>
  <c r="M261" i="1"/>
  <c r="AA259" i="1"/>
  <c r="AA258" i="1" s="1"/>
  <c r="M258" i="1"/>
  <c r="AU84" i="11"/>
  <c r="AA547" i="1"/>
  <c r="U25" i="11"/>
  <c r="Y26" i="11" s="1"/>
  <c r="Z92" i="9"/>
  <c r="BJ204" i="1"/>
  <c r="BJ139" i="1" s="1"/>
  <c r="BN65" i="9" s="1"/>
  <c r="AL107" i="9"/>
  <c r="AN108" i="9" s="1"/>
  <c r="AN109" i="9" s="1"/>
  <c r="Q619" i="1"/>
  <c r="AH136" i="1"/>
  <c r="BK258" i="1"/>
  <c r="AF525" i="1"/>
  <c r="BF258" i="1"/>
  <c r="Y278" i="1"/>
  <c r="Y279" i="1" s="1"/>
  <c r="Y280" i="1" s="1"/>
  <c r="Y281" i="1" s="1"/>
  <c r="AJ525" i="1"/>
  <c r="Y261" i="1"/>
  <c r="BK278" i="1"/>
  <c r="BK279" i="1" s="1"/>
  <c r="BK280" i="1" s="1"/>
  <c r="BK281" i="1" s="1"/>
  <c r="F545" i="1"/>
  <c r="Y502" i="1"/>
  <c r="AZ20" i="9"/>
  <c r="AE522" i="1"/>
  <c r="BJ136" i="1"/>
  <c r="Y227" i="1"/>
  <c r="F92" i="9"/>
  <c r="X261" i="1"/>
  <c r="U502" i="1"/>
  <c r="Q547" i="1"/>
  <c r="L178" i="1"/>
  <c r="L205" i="1" s="1"/>
  <c r="E178" i="1"/>
  <c r="E181" i="1" s="1"/>
  <c r="S502" i="1"/>
  <c r="AS524" i="1"/>
  <c r="F41" i="9"/>
  <c r="F133" i="9" s="1"/>
  <c r="AH529" i="1"/>
  <c r="BE502" i="1"/>
  <c r="BJ529" i="1"/>
  <c r="BJ531" i="1" s="1"/>
  <c r="D99" i="11"/>
  <c r="D90" i="11" s="1"/>
  <c r="BJ32" i="1"/>
  <c r="BN24" i="9" s="1"/>
  <c r="N162" i="1"/>
  <c r="AT92" i="9"/>
  <c r="AB522" i="1"/>
  <c r="F165" i="1"/>
  <c r="F173" i="1" s="1"/>
  <c r="F176" i="1" s="1"/>
  <c r="F178" i="1" s="1"/>
  <c r="AR502" i="1"/>
  <c r="I178" i="1"/>
  <c r="I205" i="1" s="1"/>
  <c r="C133" i="9"/>
  <c r="AU520" i="1"/>
  <c r="AP523" i="1"/>
  <c r="BQ30" i="1"/>
  <c r="BU22" i="9" s="1"/>
  <c r="BK261" i="1"/>
  <c r="BK309" i="1" s="1"/>
  <c r="AT520" i="1"/>
  <c r="BF502" i="1"/>
  <c r="AG547" i="1"/>
  <c r="AA522" i="1"/>
  <c r="AV7" i="1"/>
  <c r="AV14" i="9" s="1"/>
  <c r="H56" i="9"/>
  <c r="H135" i="9" s="1"/>
  <c r="BP20" i="9"/>
  <c r="AE547" i="1"/>
  <c r="BL7" i="1"/>
  <c r="BP14" i="9" s="1"/>
  <c r="L547" i="1"/>
  <c r="BG502" i="1"/>
  <c r="AH545" i="1"/>
  <c r="F204" i="1"/>
  <c r="F139" i="1" s="1"/>
  <c r="F65" i="9" s="1"/>
  <c r="I261" i="1"/>
  <c r="AI547" i="1"/>
  <c r="AK520" i="1"/>
  <c r="F111" i="9"/>
  <c r="I112" i="9" s="1"/>
  <c r="AJ520" i="1"/>
  <c r="U16" i="11"/>
  <c r="AP545" i="1"/>
  <c r="BL547" i="1"/>
  <c r="AB523" i="1"/>
  <c r="U278" i="1"/>
  <c r="U279" i="1" s="1"/>
  <c r="U280" i="1" s="1"/>
  <c r="U281" i="1" s="1"/>
  <c r="BL34" i="1"/>
  <c r="BP34" i="9" s="1"/>
  <c r="R162" i="1"/>
  <c r="BJ628" i="1"/>
  <c r="BM7" i="1"/>
  <c r="BQ14" i="9" s="1"/>
  <c r="AW515" i="1"/>
  <c r="BT22" i="9"/>
  <c r="X258" i="1"/>
  <c r="Y612" i="1"/>
  <c r="BN309" i="1"/>
  <c r="AM525" i="1"/>
  <c r="AM521" i="1"/>
  <c r="S619" i="1"/>
  <c r="F162" i="1"/>
  <c r="R609" i="1"/>
  <c r="BJ34" i="1"/>
  <c r="BN34" i="9" s="1"/>
  <c r="AB259" i="1"/>
  <c r="AB258" i="1" s="1"/>
  <c r="AG525" i="1"/>
  <c r="U61" i="11"/>
  <c r="X502" i="1"/>
  <c r="AL547" i="1"/>
  <c r="AZ309" i="1"/>
  <c r="V258" i="1"/>
  <c r="W522" i="1"/>
  <c r="V278" i="1"/>
  <c r="V279" i="1" s="1"/>
  <c r="V280" i="1" s="1"/>
  <c r="V281" i="1" s="1"/>
  <c r="G502" i="1"/>
  <c r="AO204" i="1"/>
  <c r="AO139" i="1" s="1"/>
  <c r="AO65" i="9" s="1"/>
  <c r="AF523" i="1"/>
  <c r="AA525" i="1"/>
  <c r="R619" i="1"/>
  <c r="AS619" i="1"/>
  <c r="AR521" i="1"/>
  <c r="M502" i="1"/>
  <c r="Z520" i="1"/>
  <c r="N502" i="1"/>
  <c r="Y220" i="1"/>
  <c r="Y222" i="1" s="1"/>
  <c r="Y547" i="1"/>
  <c r="BN105" i="9"/>
  <c r="BN115" i="9" s="1"/>
  <c r="BN116" i="9" s="1"/>
  <c r="AG220" i="1"/>
  <c r="AG225" i="1" s="1"/>
  <c r="D183" i="1"/>
  <c r="D185" i="1" s="1"/>
  <c r="D187" i="1" s="1"/>
  <c r="AC612" i="1"/>
  <c r="T61" i="11"/>
  <c r="W16" i="11"/>
  <c r="AQ522" i="1"/>
  <c r="V16" i="11"/>
  <c r="AC525" i="1"/>
  <c r="AF228" i="1"/>
  <c r="V25" i="11"/>
  <c r="Z26" i="11" s="1"/>
  <c r="N258" i="1"/>
  <c r="AF520" i="1"/>
  <c r="BF541" i="1"/>
  <c r="AK522" i="1"/>
  <c r="AT15" i="11"/>
  <c r="AM523" i="1"/>
  <c r="AR523" i="1"/>
  <c r="C259" i="1"/>
  <c r="C258" i="1" s="1"/>
  <c r="AG227" i="1"/>
  <c r="AW7" i="1"/>
  <c r="AW14" i="9" s="1"/>
  <c r="AW20" i="9"/>
  <c r="AU522" i="1"/>
  <c r="BF105" i="9"/>
  <c r="BF115" i="9" s="1"/>
  <c r="BF116" i="9" s="1"/>
  <c r="AN525" i="1"/>
  <c r="AG228" i="1"/>
  <c r="AP92" i="9"/>
  <c r="AD529" i="1"/>
  <c r="BE258" i="1"/>
  <c r="AD545" i="1"/>
  <c r="BF628" i="1"/>
  <c r="AQ525" i="1"/>
  <c r="AD136" i="1"/>
  <c r="BE278" i="1"/>
  <c r="BE279" i="1" s="1"/>
  <c r="BE280" i="1" s="1"/>
  <c r="BE281" i="1" s="1"/>
  <c r="BI258" i="1"/>
  <c r="AJ522" i="1"/>
  <c r="AG613" i="1"/>
  <c r="AO502" i="1"/>
  <c r="AW10" i="1"/>
  <c r="AW17" i="9" s="1"/>
  <c r="AK525" i="1"/>
  <c r="AM524" i="1"/>
  <c r="AU525" i="1"/>
  <c r="T99" i="11"/>
  <c r="T90" i="11" s="1"/>
  <c r="AU502" i="1"/>
  <c r="N261" i="1"/>
  <c r="AT274" i="1"/>
  <c r="AT275" i="1" s="1"/>
  <c r="AT276" i="1" s="1"/>
  <c r="AT277" i="1" s="1"/>
  <c r="AQ520" i="1"/>
  <c r="J132" i="1"/>
  <c r="J63" i="9" s="1"/>
  <c r="AI502" i="1"/>
  <c r="Q133" i="1"/>
  <c r="Q64" i="9" s="1"/>
  <c r="BF537" i="1"/>
  <c r="BK34" i="1"/>
  <c r="BO34" i="9" s="1"/>
  <c r="AG524" i="1"/>
  <c r="AU524" i="1"/>
  <c r="BK32" i="1"/>
  <c r="BO24" i="9" s="1"/>
  <c r="Y178" i="1"/>
  <c r="Y205" i="1" s="1"/>
  <c r="BO20" i="9"/>
  <c r="AP529" i="1"/>
  <c r="AK34" i="9"/>
  <c r="I258" i="1"/>
  <c r="AC220" i="1"/>
  <c r="AC230" i="1" s="1"/>
  <c r="AU259" i="1"/>
  <c r="AU258" i="1" s="1"/>
  <c r="BH628" i="1"/>
  <c r="AS520" i="1"/>
  <c r="BB502" i="1"/>
  <c r="AO259" i="1"/>
  <c r="BB258" i="1"/>
  <c r="AW32" i="1"/>
  <c r="AW24" i="9" s="1"/>
  <c r="AM215" i="1"/>
  <c r="AM220" i="1" s="1"/>
  <c r="Y228" i="1"/>
  <c r="F211" i="1"/>
  <c r="F227" i="1" s="1"/>
  <c r="AP104" i="9"/>
  <c r="R261" i="1"/>
  <c r="BB278" i="1"/>
  <c r="BB279" i="1" s="1"/>
  <c r="BB280" i="1" s="1"/>
  <c r="BB281" i="1" s="1"/>
  <c r="BI278" i="1"/>
  <c r="BI279" i="1" s="1"/>
  <c r="BI280" i="1" s="1"/>
  <c r="BI281" i="1" s="1"/>
  <c r="AO619" i="1"/>
  <c r="AA176" i="1"/>
  <c r="AA178" i="1" s="1"/>
  <c r="AA205" i="1" s="1"/>
  <c r="C43" i="11" s="1"/>
  <c r="AC524" i="1"/>
  <c r="AT609" i="1"/>
  <c r="BI502" i="1"/>
  <c r="AL524" i="1"/>
  <c r="AF530" i="1"/>
  <c r="AF531" i="1" s="1"/>
  <c r="AF547" i="1"/>
  <c r="L108" i="9"/>
  <c r="BA32" i="9"/>
  <c r="AN520" i="1"/>
  <c r="X524" i="1"/>
  <c r="AT74" i="11"/>
  <c r="AT69" i="9"/>
  <c r="AT71" i="9" s="1"/>
  <c r="AT83" i="9" s="1"/>
  <c r="AG521" i="1"/>
  <c r="E99" i="11"/>
  <c r="E90" i="11" s="1"/>
  <c r="AT619" i="1"/>
  <c r="AU523" i="1"/>
  <c r="V502" i="1"/>
  <c r="AP609" i="1"/>
  <c r="AI259" i="1"/>
  <c r="AI278" i="1" s="1"/>
  <c r="AI279" i="1" s="1"/>
  <c r="AI280" i="1" s="1"/>
  <c r="AI281" i="1" s="1"/>
  <c r="F99" i="11"/>
  <c r="AC502" i="1"/>
  <c r="BK7" i="1"/>
  <c r="BO14" i="9" s="1"/>
  <c r="AF227" i="1"/>
  <c r="AM227" i="1"/>
  <c r="BH502" i="1"/>
  <c r="AC108" i="9"/>
  <c r="AC109" i="9" s="1"/>
  <c r="AL520" i="1"/>
  <c r="U178" i="1"/>
  <c r="U181" i="1" s="1"/>
  <c r="AQ524" i="1"/>
  <c r="AS11" i="11"/>
  <c r="AS354" i="11" s="1"/>
  <c r="AH521" i="1"/>
  <c r="AS521" i="1"/>
  <c r="BB703" i="1"/>
  <c r="BB701" i="1" s="1"/>
  <c r="BB317" i="1" s="1"/>
  <c r="BL108" i="9"/>
  <c r="BL109" i="9" s="1"/>
  <c r="Y619" i="1"/>
  <c r="AE525" i="1"/>
  <c r="AJ523" i="1"/>
  <c r="AN522" i="1"/>
  <c r="AI524" i="1"/>
  <c r="AD278" i="1"/>
  <c r="AD279" i="1" s="1"/>
  <c r="AD280" i="1" s="1"/>
  <c r="AD281" i="1" s="1"/>
  <c r="BN300" i="1"/>
  <c r="BH261" i="1"/>
  <c r="BH309" i="1" s="1"/>
  <c r="AG523" i="1"/>
  <c r="BH278" i="1"/>
  <c r="BH279" i="1" s="1"/>
  <c r="BH280" i="1" s="1"/>
  <c r="BH281" i="1" s="1"/>
  <c r="BJ258" i="1"/>
  <c r="AE108" i="9"/>
  <c r="AE109" i="9" s="1"/>
  <c r="J204" i="1"/>
  <c r="J139" i="1" s="1"/>
  <c r="J65" i="9" s="1"/>
  <c r="AG35" i="1"/>
  <c r="AT11" i="11"/>
  <c r="AT354" i="11" s="1"/>
  <c r="AR88" i="11"/>
  <c r="V61" i="11"/>
  <c r="T16" i="11"/>
  <c r="S16" i="11"/>
  <c r="L14" i="11"/>
  <c r="AQ15" i="11"/>
  <c r="AA83" i="9"/>
  <c r="T25" i="11"/>
  <c r="X26" i="11" s="1"/>
  <c r="W619" i="1"/>
  <c r="V104" i="9"/>
  <c r="Y105" i="9" s="1"/>
  <c r="V619" i="1"/>
  <c r="U619" i="1"/>
  <c r="BL627" i="1"/>
  <c r="Z502" i="1"/>
  <c r="AC521" i="1"/>
  <c r="I502" i="1"/>
  <c r="AB521" i="1"/>
  <c r="V609" i="1"/>
  <c r="U105" i="9"/>
  <c r="U115" i="9" s="1"/>
  <c r="R502" i="1"/>
  <c r="C165" i="1"/>
  <c r="C173" i="1" s="1"/>
  <c r="C176" i="1" s="1"/>
  <c r="C178" i="1" s="1"/>
  <c r="AS525" i="1"/>
  <c r="AN521" i="1"/>
  <c r="AQ9" i="11"/>
  <c r="AS523" i="1"/>
  <c r="AI520" i="1"/>
  <c r="AM522" i="1"/>
  <c r="AJ524" i="1"/>
  <c r="BK108" i="9"/>
  <c r="BK109" i="9" s="1"/>
  <c r="H502" i="1"/>
  <c r="AR74" i="11"/>
  <c r="Z278" i="1"/>
  <c r="Z279" i="1" s="1"/>
  <c r="Z280" i="1" s="1"/>
  <c r="Z281" i="1" s="1"/>
  <c r="AD502" i="1"/>
  <c r="BO588" i="1"/>
  <c r="AX444" i="1"/>
  <c r="BO444" i="1" s="1"/>
  <c r="AX288" i="1"/>
  <c r="AX9" i="9" s="1"/>
  <c r="AF220" i="1"/>
  <c r="AF225" i="1" s="1"/>
  <c r="AC228" i="1"/>
  <c r="AK523" i="1"/>
  <c r="AK524" i="1"/>
  <c r="P61" i="11"/>
  <c r="AC523" i="1"/>
  <c r="J111" i="9"/>
  <c r="M112" i="9" s="1"/>
  <c r="AC520" i="1"/>
  <c r="AD524" i="1"/>
  <c r="AE502" i="1"/>
  <c r="AR258" i="1"/>
  <c r="O61" i="11"/>
  <c r="AR261" i="1"/>
  <c r="AC227" i="1"/>
  <c r="J160" i="1"/>
  <c r="J165" i="1" s="1"/>
  <c r="J173" i="1" s="1"/>
  <c r="J176" i="1" s="1"/>
  <c r="J198" i="1" s="1"/>
  <c r="AD261" i="1"/>
  <c r="Z521" i="1"/>
  <c r="T198" i="1"/>
  <c r="T133" i="1" s="1"/>
  <c r="T64" i="9" s="1"/>
  <c r="AT260" i="1"/>
  <c r="AT524" i="1"/>
  <c r="AE259" i="1"/>
  <c r="AE258" i="1" s="1"/>
  <c r="BN258" i="1"/>
  <c r="AT160" i="1"/>
  <c r="AT165" i="1" s="1"/>
  <c r="AT173" i="1" s="1"/>
  <c r="BN278" i="1"/>
  <c r="BN279" i="1" s="1"/>
  <c r="BN280" i="1" s="1"/>
  <c r="BN281" i="1" s="1"/>
  <c r="K108" i="9"/>
  <c r="AE523" i="1"/>
  <c r="AH35" i="1"/>
  <c r="Z609" i="1"/>
  <c r="Z522" i="1"/>
  <c r="P215" i="1"/>
  <c r="P220" i="1" s="1"/>
  <c r="F449" i="1"/>
  <c r="F259" i="1" s="1"/>
  <c r="F278" i="1" s="1"/>
  <c r="F279" i="1" s="1"/>
  <c r="F280" i="1" s="1"/>
  <c r="F281" i="1" s="1"/>
  <c r="AG520" i="1"/>
  <c r="AP74" i="11"/>
  <c r="D41" i="15" s="1"/>
  <c r="BF83" i="9"/>
  <c r="BF128" i="9" s="1"/>
  <c r="BF73" i="9"/>
  <c r="BF75" i="9" s="1"/>
  <c r="BF81" i="9" s="1"/>
  <c r="BF94" i="9"/>
  <c r="BF91" i="9" s="1"/>
  <c r="S61" i="11"/>
  <c r="BE108" i="9"/>
  <c r="BE109" i="9" s="1"/>
  <c r="BK627" i="1"/>
  <c r="AI525" i="1"/>
  <c r="AF522" i="1"/>
  <c r="AK204" i="1"/>
  <c r="AK139" i="1" s="1"/>
  <c r="AK65" i="9" s="1"/>
  <c r="AI523" i="1"/>
  <c r="AP449" i="1"/>
  <c r="BM628" i="1" s="1"/>
  <c r="C5" i="1"/>
  <c r="BD5" i="1"/>
  <c r="BD2" i="9" s="1"/>
  <c r="AK35" i="1"/>
  <c r="BD541" i="1"/>
  <c r="BD543" i="1"/>
  <c r="BD537" i="1"/>
  <c r="AQ502" i="1"/>
  <c r="S99" i="11"/>
  <c r="AT449" i="1"/>
  <c r="AT502" i="1" s="1"/>
  <c r="AN259" i="1"/>
  <c r="AN261" i="1" s="1"/>
  <c r="P99" i="11"/>
  <c r="P90" i="11" s="1"/>
  <c r="AH525" i="1"/>
  <c r="AH449" i="1"/>
  <c r="AH502" i="1" s="1"/>
  <c r="AF612" i="1"/>
  <c r="P228" i="1"/>
  <c r="BJ278" i="1"/>
  <c r="BJ279" i="1" s="1"/>
  <c r="BJ280" i="1" s="1"/>
  <c r="BJ281" i="1" s="1"/>
  <c r="BI629" i="1"/>
  <c r="AQ523" i="1"/>
  <c r="AG259" i="1"/>
  <c r="AG258" i="1" s="1"/>
  <c r="I99" i="11"/>
  <c r="I90" i="11" s="1"/>
  <c r="AS74" i="11"/>
  <c r="V88" i="11"/>
  <c r="AT48" i="11"/>
  <c r="O108" i="11"/>
  <c r="O110" i="11" s="1"/>
  <c r="P110" i="11" s="1"/>
  <c r="P109" i="11"/>
  <c r="AK259" i="1"/>
  <c r="M99" i="11"/>
  <c r="M90" i="11" s="1"/>
  <c r="BN108" i="9"/>
  <c r="BN109" i="9" s="1"/>
  <c r="AD274" i="1"/>
  <c r="AD275" i="1" s="1"/>
  <c r="AD276" i="1" s="1"/>
  <c r="AD277" i="1" s="1"/>
  <c r="Z619" i="1"/>
  <c r="BN627" i="1"/>
  <c r="AO522" i="1"/>
  <c r="Q215" i="1"/>
  <c r="Q220" i="1" s="1"/>
  <c r="Z104" i="9"/>
  <c r="Z105" i="9" s="1"/>
  <c r="AK502" i="1"/>
  <c r="AO524" i="1"/>
  <c r="H11" i="11"/>
  <c r="H14" i="11"/>
  <c r="Q289" i="1"/>
  <c r="Q8" i="9"/>
  <c r="Q615" i="1"/>
  <c r="AC278" i="1"/>
  <c r="AC279" i="1" s="1"/>
  <c r="AC280" i="1" s="1"/>
  <c r="AC281" i="1" s="1"/>
  <c r="AC258" i="1"/>
  <c r="AC261" i="1"/>
  <c r="E619" i="1"/>
  <c r="Z258" i="1"/>
  <c r="AY20" i="9"/>
  <c r="AY14" i="9"/>
  <c r="AP9" i="11"/>
  <c r="Z621" i="1"/>
  <c r="AD108" i="9"/>
  <c r="AD109" i="9" s="1"/>
  <c r="AF259" i="1"/>
  <c r="AF261" i="1" s="1"/>
  <c r="H99" i="11"/>
  <c r="Y520" i="1"/>
  <c r="AC522" i="1"/>
  <c r="Q178" i="1"/>
  <c r="AI522" i="1"/>
  <c r="BG296" i="1"/>
  <c r="AQ60" i="11"/>
  <c r="BG122" i="9"/>
  <c r="AJ259" i="1"/>
  <c r="AJ261" i="1" s="1"/>
  <c r="L99" i="11"/>
  <c r="L90" i="11" s="1"/>
  <c r="BM627" i="1"/>
  <c r="R258" i="1"/>
  <c r="AS259" i="1"/>
  <c r="AS258" i="1" s="1"/>
  <c r="U99" i="11"/>
  <c r="U90" i="11" s="1"/>
  <c r="AA523" i="1"/>
  <c r="AH61" i="9"/>
  <c r="AB108" i="9"/>
  <c r="AB109" i="9" s="1"/>
  <c r="BJ108" i="9"/>
  <c r="BJ109" i="9" s="1"/>
  <c r="AY21" i="9"/>
  <c r="AY15" i="9"/>
  <c r="O90" i="11"/>
  <c r="J278" i="1"/>
  <c r="J279" i="1" s="1"/>
  <c r="J280" i="1" s="1"/>
  <c r="J281" i="1" s="1"/>
  <c r="AS60" i="11"/>
  <c r="C88" i="11"/>
  <c r="BJ502" i="1"/>
  <c r="BH108" i="9"/>
  <c r="BH109" i="9" s="1"/>
  <c r="J502" i="1"/>
  <c r="J258" i="1"/>
  <c r="Q227" i="1"/>
  <c r="BL502" i="1"/>
  <c r="BN502" i="1"/>
  <c r="AA524" i="1"/>
  <c r="J14" i="11"/>
  <c r="AL525" i="1"/>
  <c r="AP62" i="9"/>
  <c r="AB520" i="1"/>
  <c r="P27" i="11"/>
  <c r="Q27" i="11"/>
  <c r="M114" i="9"/>
  <c r="AB215" i="1"/>
  <c r="AB228" i="1"/>
  <c r="AL521" i="1"/>
  <c r="J41" i="9"/>
  <c r="J133" i="9" s="1"/>
  <c r="AB525" i="1"/>
  <c r="R198" i="1"/>
  <c r="R133" i="1" s="1"/>
  <c r="R64" i="9" s="1"/>
  <c r="G114" i="9"/>
  <c r="AK521" i="1"/>
  <c r="AH522" i="1"/>
  <c r="AG522" i="1"/>
  <c r="AH523" i="1"/>
  <c r="AN524" i="1"/>
  <c r="AB227" i="1"/>
  <c r="AE520" i="1"/>
  <c r="I114" i="9"/>
  <c r="AQ521" i="1"/>
  <c r="AR520" i="1"/>
  <c r="AR522" i="1"/>
  <c r="AE524" i="1"/>
  <c r="Z523" i="1"/>
  <c r="Z162" i="1"/>
  <c r="AD520" i="1"/>
  <c r="AI521" i="1"/>
  <c r="AD521" i="1"/>
  <c r="V162" i="1"/>
  <c r="AF521" i="1"/>
  <c r="V61" i="9"/>
  <c r="H114" i="9"/>
  <c r="AI114" i="9"/>
  <c r="AT62" i="9"/>
  <c r="AA94" i="9"/>
  <c r="AA91" i="9" s="1"/>
  <c r="AP119" i="9"/>
  <c r="AL41" i="9"/>
  <c r="AL61" i="9"/>
  <c r="AL62" i="9"/>
  <c r="AE531" i="1"/>
  <c r="BT30" i="9"/>
  <c r="BP58" i="1"/>
  <c r="BP13" i="1"/>
  <c r="BT26" i="9" s="1"/>
  <c r="BQ56" i="1"/>
  <c r="AC122" i="9"/>
  <c r="Y73" i="9"/>
  <c r="Y83" i="9"/>
  <c r="Z198" i="1"/>
  <c r="O531" i="1"/>
  <c r="D178" i="1"/>
  <c r="D198" i="1"/>
  <c r="AR524" i="1"/>
  <c r="BG541" i="1"/>
  <c r="BG543" i="1"/>
  <c r="BG537" i="1"/>
  <c r="AH160" i="1"/>
  <c r="AH165" i="1" s="1"/>
  <c r="AH173" i="1" s="1"/>
  <c r="AH176" i="1" s="1"/>
  <c r="AH162" i="1"/>
  <c r="Y122" i="9"/>
  <c r="U73" i="9"/>
  <c r="U83" i="9"/>
  <c r="AD119" i="9"/>
  <c r="Z41" i="9"/>
  <c r="Z61" i="9"/>
  <c r="BJ133" i="1"/>
  <c r="AM520" i="1"/>
  <c r="AI215" i="1"/>
  <c r="AI227" i="1"/>
  <c r="AI228" i="1"/>
  <c r="AL34" i="9"/>
  <c r="AP35" i="1"/>
  <c r="AL35" i="1"/>
  <c r="J108" i="9"/>
  <c r="BN540" i="1"/>
  <c r="BN531" i="1"/>
  <c r="BG108" i="9"/>
  <c r="BG109" i="9" s="1"/>
  <c r="AT525" i="1"/>
  <c r="AX518" i="1"/>
  <c r="AX21" i="9"/>
  <c r="AX8" i="1"/>
  <c r="AX15" i="9" s="1"/>
  <c r="AX31" i="1"/>
  <c r="AX32" i="1" s="1"/>
  <c r="N104" i="9"/>
  <c r="N105" i="9" s="1"/>
  <c r="N609" i="1"/>
  <c r="N619" i="1"/>
  <c r="M619" i="1"/>
  <c r="P502" i="1"/>
  <c r="BP452" i="1"/>
  <c r="BD116" i="9"/>
  <c r="AU521" i="1"/>
  <c r="BJ133" i="9"/>
  <c r="BJ44" i="9"/>
  <c r="BJ50" i="9" s="1"/>
  <c r="AB122" i="9"/>
  <c r="X73" i="9"/>
  <c r="X83" i="9"/>
  <c r="R215" i="1"/>
  <c r="R227" i="1"/>
  <c r="R228" i="1"/>
  <c r="BC708" i="1"/>
  <c r="C4" i="1"/>
  <c r="BC3" i="1"/>
  <c r="BC678" i="1" s="1"/>
  <c r="AP72" i="9"/>
  <c r="AP546" i="1"/>
  <c r="AP624" i="1"/>
  <c r="BM631" i="1"/>
  <c r="AT41" i="9"/>
  <c r="AT61" i="9"/>
  <c r="I531" i="1"/>
  <c r="BB35" i="9"/>
  <c r="U56" i="9"/>
  <c r="U135" i="9" s="1"/>
  <c r="U133" i="1"/>
  <c r="U64" i="9" s="1"/>
  <c r="Z108" i="9"/>
  <c r="Z109" i="9" s="1"/>
  <c r="BG215" i="1"/>
  <c r="BG228" i="1"/>
  <c r="E278" i="1"/>
  <c r="E279" i="1" s="1"/>
  <c r="E280" i="1" s="1"/>
  <c r="E281" i="1" s="1"/>
  <c r="E261" i="1"/>
  <c r="E258" i="1"/>
  <c r="J100" i="9"/>
  <c r="M100" i="9"/>
  <c r="L100" i="9"/>
  <c r="AB73" i="9"/>
  <c r="AB94" i="9"/>
  <c r="AB91" i="9" s="1"/>
  <c r="AB83" i="9"/>
  <c r="BD215" i="1"/>
  <c r="BD228" i="1"/>
  <c r="G278" i="1"/>
  <c r="G279" i="1" s="1"/>
  <c r="G280" i="1" s="1"/>
  <c r="G281" i="1" s="1"/>
  <c r="G261" i="1"/>
  <c r="G258" i="1"/>
  <c r="L69" i="9"/>
  <c r="L71" i="9" s="1"/>
  <c r="N94" i="9" s="1"/>
  <c r="N91" i="9" s="1"/>
  <c r="L274" i="1"/>
  <c r="L275" i="1" s="1"/>
  <c r="L276" i="1" s="1"/>
  <c r="L277" i="1" s="1"/>
  <c r="L260" i="1"/>
  <c r="T105" i="9"/>
  <c r="Z537" i="1"/>
  <c r="D545" i="1"/>
  <c r="D529" i="1"/>
  <c r="D136" i="1"/>
  <c r="J104" i="9"/>
  <c r="L105" i="9" s="1"/>
  <c r="J609" i="1"/>
  <c r="J619" i="1"/>
  <c r="I619" i="1"/>
  <c r="AP522" i="1"/>
  <c r="BB165" i="1"/>
  <c r="BB173" i="1" s="1"/>
  <c r="BB176" i="1" s="1"/>
  <c r="BB183" i="1"/>
  <c r="BB185" i="1" s="1"/>
  <c r="BB187" i="1" s="1"/>
  <c r="BD540" i="1"/>
  <c r="BD542" i="1"/>
  <c r="BD531" i="1"/>
  <c r="BI215" i="1"/>
  <c r="BI227" i="1"/>
  <c r="BI228" i="1"/>
  <c r="AP621" i="1"/>
  <c r="C102" i="9"/>
  <c r="N198" i="1"/>
  <c r="N178" i="1"/>
  <c r="BE628" i="1"/>
  <c r="AL523" i="1"/>
  <c r="AP520" i="1"/>
  <c r="AL449" i="1"/>
  <c r="N99" i="11" s="1"/>
  <c r="BG628" i="1"/>
  <c r="O259" i="1"/>
  <c r="E502" i="1"/>
  <c r="BC228" i="1"/>
  <c r="BC215" i="1"/>
  <c r="BC227" i="1"/>
  <c r="K531" i="1"/>
  <c r="AI69" i="9"/>
  <c r="AI71" i="9" s="1"/>
  <c r="AI274" i="1"/>
  <c r="AI275" i="1" s="1"/>
  <c r="AI276" i="1" s="1"/>
  <c r="AI277" i="1" s="1"/>
  <c r="AI260" i="1"/>
  <c r="BF133" i="9"/>
  <c r="BF44" i="9"/>
  <c r="BF50" i="9" s="1"/>
  <c r="BB691" i="1"/>
  <c r="BB696" i="1"/>
  <c r="BB694" i="1" s="1"/>
  <c r="BB315" i="1" s="1"/>
  <c r="BB698" i="1"/>
  <c r="BB682" i="1"/>
  <c r="BB680" i="1" s="1"/>
  <c r="BB313" i="1" s="1"/>
  <c r="BB689" i="1"/>
  <c r="BB687" i="1" s="1"/>
  <c r="BB314" i="1" s="1"/>
  <c r="BB684" i="1"/>
  <c r="BF540" i="1"/>
  <c r="BF531" i="1"/>
  <c r="BF542" i="1"/>
  <c r="U215" i="1"/>
  <c r="U228" i="1"/>
  <c r="BA278" i="1"/>
  <c r="BA261" i="1"/>
  <c r="BA309" i="1" s="1"/>
  <c r="BA258" i="1"/>
  <c r="AD160" i="1"/>
  <c r="AD165" i="1" s="1"/>
  <c r="AD173" i="1" s="1"/>
  <c r="AD176" i="1" s="1"/>
  <c r="AD162" i="1"/>
  <c r="BK94" i="9"/>
  <c r="BK91" i="9" s="1"/>
  <c r="BK83" i="9"/>
  <c r="BK128" i="9" s="1"/>
  <c r="BL122" i="9"/>
  <c r="BK73" i="9"/>
  <c r="AH524" i="1"/>
  <c r="AT119" i="9"/>
  <c r="AP41" i="9"/>
  <c r="S205" i="1"/>
  <c r="S181" i="1"/>
  <c r="AR531" i="1"/>
  <c r="Q531" i="1"/>
  <c r="AC56" i="9"/>
  <c r="AC135" i="9" s="1"/>
  <c r="AC133" i="1"/>
  <c r="AC64" i="9" s="1"/>
  <c r="BH133" i="9"/>
  <c r="BH44" i="9"/>
  <c r="BH50" i="9" s="1"/>
  <c r="AU531" i="1"/>
  <c r="AS537" i="1"/>
  <c r="V114" i="9"/>
  <c r="X114" i="9"/>
  <c r="Y114" i="9"/>
  <c r="AQ108" i="9"/>
  <c r="AQ109" i="9" s="1"/>
  <c r="U537" i="1"/>
  <c r="N537" i="1"/>
  <c r="AN531" i="1"/>
  <c r="AL111" i="9"/>
  <c r="AN112" i="9" s="1"/>
  <c r="AL211" i="1"/>
  <c r="AL132" i="1"/>
  <c r="AL63" i="9" s="1"/>
  <c r="AL204" i="1"/>
  <c r="AL139" i="1" s="1"/>
  <c r="AL65" i="9" s="1"/>
  <c r="X133" i="9"/>
  <c r="X44" i="9"/>
  <c r="X50" i="9" s="1"/>
  <c r="AP524" i="1"/>
  <c r="AK228" i="1"/>
  <c r="AK215" i="1"/>
  <c r="AK227" i="1"/>
  <c r="BI543" i="1"/>
  <c r="BI541" i="1"/>
  <c r="BI537" i="1"/>
  <c r="P531" i="1"/>
  <c r="AJ34" i="9"/>
  <c r="AJ35" i="1"/>
  <c r="AN35" i="1"/>
  <c r="BN228" i="1"/>
  <c r="BN215" i="1"/>
  <c r="BN227" i="1"/>
  <c r="P278" i="1"/>
  <c r="P279" i="1" s="1"/>
  <c r="P280" i="1" s="1"/>
  <c r="P281" i="1" s="1"/>
  <c r="P258" i="1"/>
  <c r="P261" i="1"/>
  <c r="O215" i="1"/>
  <c r="O228" i="1"/>
  <c r="O227" i="1"/>
  <c r="S56" i="9"/>
  <c r="S135" i="9" s="1"/>
  <c r="S133" i="1"/>
  <c r="S64" i="9" s="1"/>
  <c r="BB705" i="1"/>
  <c r="BF122" i="9"/>
  <c r="BE73" i="9"/>
  <c r="BE94" i="9"/>
  <c r="BE91" i="9" s="1"/>
  <c r="BE83" i="9"/>
  <c r="BE128" i="9" s="1"/>
  <c r="AK133" i="9"/>
  <c r="AK44" i="9"/>
  <c r="AK50" i="9" s="1"/>
  <c r="BI108" i="9"/>
  <c r="BI109" i="9" s="1"/>
  <c r="BI545" i="1"/>
  <c r="BI529" i="1"/>
  <c r="BI136" i="1"/>
  <c r="AP525" i="1"/>
  <c r="AO521" i="1"/>
  <c r="AQ44" i="9"/>
  <c r="AQ50" i="9" s="1"/>
  <c r="AQ133" i="9"/>
  <c r="P108" i="9"/>
  <c r="P109" i="9" s="1"/>
  <c r="O198" i="1"/>
  <c r="O178" i="1"/>
  <c r="AJ215" i="1"/>
  <c r="AJ228" i="1"/>
  <c r="S69" i="9"/>
  <c r="S71" i="9" s="1"/>
  <c r="U94" i="9" s="1"/>
  <c r="U91" i="9" s="1"/>
  <c r="S274" i="1"/>
  <c r="S275" i="1" s="1"/>
  <c r="S276" i="1" s="1"/>
  <c r="S277" i="1" s="1"/>
  <c r="S260" i="1"/>
  <c r="N529" i="1"/>
  <c r="N545" i="1"/>
  <c r="N136" i="1"/>
  <c r="AU108" i="9"/>
  <c r="AU109" i="9" s="1"/>
  <c r="AM133" i="9"/>
  <c r="AM44" i="9"/>
  <c r="AM50" i="9" s="1"/>
  <c r="I215" i="1"/>
  <c r="I228" i="1"/>
  <c r="AZ227" i="1"/>
  <c r="AZ215" i="1"/>
  <c r="AZ228" i="1"/>
  <c r="P133" i="9"/>
  <c r="P44" i="9"/>
  <c r="P50" i="9" s="1"/>
  <c r="AN133" i="9"/>
  <c r="AN44" i="9"/>
  <c r="AN50" i="9" s="1"/>
  <c r="Z119" i="9"/>
  <c r="V41" i="9"/>
  <c r="E531" i="1"/>
  <c r="AP160" i="1"/>
  <c r="AP165" i="1" s="1"/>
  <c r="AP173" i="1" s="1"/>
  <c r="AP176" i="1" s="1"/>
  <c r="AP162" i="1"/>
  <c r="AR133" i="9"/>
  <c r="AR44" i="9"/>
  <c r="AR50" i="9" s="1"/>
  <c r="J215" i="1"/>
  <c r="J227" i="1"/>
  <c r="J228" i="1"/>
  <c r="L56" i="9"/>
  <c r="L135" i="9" s="1"/>
  <c r="L133" i="1"/>
  <c r="L64" i="9" s="1"/>
  <c r="AM259" i="1"/>
  <c r="AI34" i="9"/>
  <c r="AI35" i="1"/>
  <c r="AM35" i="1"/>
  <c r="AR215" i="1"/>
  <c r="AR227" i="1"/>
  <c r="AR228" i="1"/>
  <c r="C531" i="1"/>
  <c r="AC531" i="1"/>
  <c r="AI133" i="9"/>
  <c r="AI44" i="9"/>
  <c r="AI50" i="9" s="1"/>
  <c r="BN133" i="9"/>
  <c r="BN44" i="9"/>
  <c r="BN50" i="9" s="1"/>
  <c r="AE69" i="9"/>
  <c r="AE71" i="9" s="1"/>
  <c r="AE274" i="1"/>
  <c r="AE275" i="1" s="1"/>
  <c r="AE276" i="1" s="1"/>
  <c r="AE277" i="1" s="1"/>
  <c r="AE260" i="1"/>
  <c r="BI122" i="9"/>
  <c r="BH73" i="9"/>
  <c r="BH94" i="9"/>
  <c r="BH91" i="9" s="1"/>
  <c r="BH83" i="9"/>
  <c r="BH128" i="9" s="1"/>
  <c r="BO589" i="1"/>
  <c r="AX285" i="1"/>
  <c r="AX576" i="1" s="1"/>
  <c r="BL278" i="1"/>
  <c r="BL261" i="1"/>
  <c r="BL309" i="1" s="1"/>
  <c r="BL258" i="1"/>
  <c r="AT545" i="1"/>
  <c r="AT529" i="1"/>
  <c r="AT136" i="1"/>
  <c r="G531" i="1"/>
  <c r="BC531" i="1"/>
  <c r="BC540" i="1"/>
  <c r="BC542" i="1"/>
  <c r="BT31" i="9"/>
  <c r="BQ57" i="1"/>
  <c r="BP14" i="1"/>
  <c r="BT27" i="9" s="1"/>
  <c r="AR525" i="1"/>
  <c r="AQ215" i="1"/>
  <c r="AQ228" i="1"/>
  <c r="AQ227" i="1"/>
  <c r="AE133" i="9"/>
  <c r="AE44" i="9"/>
  <c r="AE50" i="9" s="1"/>
  <c r="AE34" i="9"/>
  <c r="AE35" i="1"/>
  <c r="AH111" i="9"/>
  <c r="AH112" i="9" s="1"/>
  <c r="AH204" i="1"/>
  <c r="AH139" i="1" s="1"/>
  <c r="AH65" i="9" s="1"/>
  <c r="AH132" i="1"/>
  <c r="AH63" i="9" s="1"/>
  <c r="AH211" i="1"/>
  <c r="J531" i="1"/>
  <c r="AM502" i="1"/>
  <c r="BN122" i="9"/>
  <c r="BM94" i="9"/>
  <c r="BM91" i="9" s="1"/>
  <c r="BM83" i="9"/>
  <c r="BM128" i="9" s="1"/>
  <c r="BM73" i="9"/>
  <c r="U133" i="9"/>
  <c r="U44" i="9"/>
  <c r="U50" i="9" s="1"/>
  <c r="BE133" i="9"/>
  <c r="BE44" i="9"/>
  <c r="BE50" i="9" s="1"/>
  <c r="G56" i="9"/>
  <c r="G135" i="9" s="1"/>
  <c r="G133" i="1"/>
  <c r="G64" i="9" s="1"/>
  <c r="AF69" i="9"/>
  <c r="AF71" i="9" s="1"/>
  <c r="AF122" i="9" s="1"/>
  <c r="AF274" i="1"/>
  <c r="AF275" i="1" s="1"/>
  <c r="AF276" i="1" s="1"/>
  <c r="AF277" i="1" s="1"/>
  <c r="AF260" i="1"/>
  <c r="K94" i="9"/>
  <c r="K91" i="9" s="1"/>
  <c r="K83" i="9"/>
  <c r="K73" i="9"/>
  <c r="H278" i="1"/>
  <c r="H279" i="1" s="1"/>
  <c r="H280" i="1" s="1"/>
  <c r="H281" i="1" s="1"/>
  <c r="H261" i="1"/>
  <c r="H258" i="1"/>
  <c r="AJ83" i="9"/>
  <c r="AJ73" i="9"/>
  <c r="AA84" i="9"/>
  <c r="AA86" i="9" s="1"/>
  <c r="AA75" i="9"/>
  <c r="AA81" i="9" s="1"/>
  <c r="P537" i="1"/>
  <c r="AS215" i="1"/>
  <c r="AS228" i="1"/>
  <c r="AT537" i="1"/>
  <c r="Z122" i="9"/>
  <c r="V73" i="9"/>
  <c r="V83" i="9"/>
  <c r="E215" i="1"/>
  <c r="E228" i="1"/>
  <c r="E227" i="1"/>
  <c r="H215" i="1"/>
  <c r="H227" i="1"/>
  <c r="H228" i="1"/>
  <c r="AK545" i="1"/>
  <c r="AK529" i="1"/>
  <c r="AK136" i="1"/>
  <c r="AF108" i="9"/>
  <c r="AF109" i="9" s="1"/>
  <c r="W133" i="9"/>
  <c r="W44" i="9"/>
  <c r="W50" i="9" s="1"/>
  <c r="BE215" i="1"/>
  <c r="BE228" i="1"/>
  <c r="AP521" i="1"/>
  <c r="K278" i="1"/>
  <c r="K279" i="1" s="1"/>
  <c r="K280" i="1" s="1"/>
  <c r="K281" i="1" s="1"/>
  <c r="K261" i="1"/>
  <c r="K258" i="1"/>
  <c r="F108" i="9"/>
  <c r="F109" i="9" s="1"/>
  <c r="T133" i="9"/>
  <c r="T44" i="9"/>
  <c r="T50" i="9" s="1"/>
  <c r="BK215" i="1"/>
  <c r="BK228" i="1"/>
  <c r="BK227" i="1"/>
  <c r="BA215" i="1"/>
  <c r="BA228" i="1"/>
  <c r="AK537" i="1"/>
  <c r="V62" i="9"/>
  <c r="AH72" i="9"/>
  <c r="AH546" i="1"/>
  <c r="BK631" i="1"/>
  <c r="AH624" i="1"/>
  <c r="V122" i="9"/>
  <c r="R73" i="9"/>
  <c r="R83" i="9"/>
  <c r="AS83" i="9"/>
  <c r="AS73" i="9"/>
  <c r="O69" i="9"/>
  <c r="O71" i="9" s="1"/>
  <c r="O122" i="9" s="1"/>
  <c r="O260" i="1"/>
  <c r="O274" i="1"/>
  <c r="O275" i="1" s="1"/>
  <c r="O276" i="1" s="1"/>
  <c r="O277" i="1" s="1"/>
  <c r="S278" i="1"/>
  <c r="S279" i="1" s="1"/>
  <c r="S280" i="1" s="1"/>
  <c r="S281" i="1" s="1"/>
  <c r="S261" i="1"/>
  <c r="S258" i="1"/>
  <c r="H55" i="9"/>
  <c r="H298" i="1"/>
  <c r="H140" i="1"/>
  <c r="AG133" i="9"/>
  <c r="AG44" i="9"/>
  <c r="AG50" i="9" s="1"/>
  <c r="AQ531" i="1"/>
  <c r="AI545" i="1"/>
  <c r="AI529" i="1"/>
  <c r="AI136" i="1"/>
  <c r="C215" i="1"/>
  <c r="C227" i="1"/>
  <c r="C228" i="1"/>
  <c r="AU69" i="9"/>
  <c r="AU71" i="9" s="1"/>
  <c r="AU260" i="1"/>
  <c r="AU274" i="1"/>
  <c r="AU275" i="1" s="1"/>
  <c r="AU276" i="1" s="1"/>
  <c r="AU277" i="1" s="1"/>
  <c r="X205" i="1"/>
  <c r="X181" i="1"/>
  <c r="BE540" i="1"/>
  <c r="BE531" i="1"/>
  <c r="BE542" i="1"/>
  <c r="P56" i="9"/>
  <c r="P135" i="9" s="1"/>
  <c r="P133" i="1"/>
  <c r="P64" i="9" s="1"/>
  <c r="AI537" i="1"/>
  <c r="AD83" i="9"/>
  <c r="AD94" i="9"/>
  <c r="AD91" i="9" s="1"/>
  <c r="I227" i="1"/>
  <c r="Q502" i="1"/>
  <c r="I108" i="9"/>
  <c r="I109" i="9" s="1"/>
  <c r="AG502" i="1"/>
  <c r="V529" i="1"/>
  <c r="V545" i="1"/>
  <c r="V136" i="1"/>
  <c r="L133" i="9"/>
  <c r="L44" i="9"/>
  <c r="L50" i="9" s="1"/>
  <c r="AE205" i="1"/>
  <c r="G43" i="11" s="1"/>
  <c r="AE181" i="1"/>
  <c r="AN215" i="1"/>
  <c r="AN228" i="1"/>
  <c r="AN227" i="1"/>
  <c r="V537" i="1"/>
  <c r="D412" i="1"/>
  <c r="C413" i="1"/>
  <c r="X56" i="9"/>
  <c r="X135" i="9" s="1"/>
  <c r="X133" i="1"/>
  <c r="X64" i="9" s="1"/>
  <c r="AL119" i="9"/>
  <c r="AH41" i="9"/>
  <c r="AH108" i="9"/>
  <c r="AH109" i="9" s="1"/>
  <c r="AO215" i="1"/>
  <c r="AO227" i="1"/>
  <c r="AO228" i="1"/>
  <c r="L259" i="1"/>
  <c r="L502" i="1"/>
  <c r="AF133" i="9"/>
  <c r="AF44" i="9"/>
  <c r="AF50" i="9" s="1"/>
  <c r="P83" i="9"/>
  <c r="T122" i="9"/>
  <c r="P73" i="9"/>
  <c r="AT72" i="9"/>
  <c r="AT546" i="1"/>
  <c r="BN631" i="1"/>
  <c r="AT624" i="1"/>
  <c r="AN69" i="9"/>
  <c r="AN71" i="9" s="1"/>
  <c r="AN274" i="1"/>
  <c r="AN275" i="1" s="1"/>
  <c r="AN276" i="1" s="1"/>
  <c r="AN277" i="1" s="1"/>
  <c r="AN260" i="1"/>
  <c r="AS108" i="9"/>
  <c r="AS109" i="9" s="1"/>
  <c r="AU133" i="9"/>
  <c r="AU44" i="9"/>
  <c r="AU50" i="9" s="1"/>
  <c r="AB545" i="1"/>
  <c r="AB529" i="1"/>
  <c r="AB136" i="1"/>
  <c r="AB204" i="1"/>
  <c r="AB139" i="1" s="1"/>
  <c r="AB65" i="9" s="1"/>
  <c r="N41" i="9"/>
  <c r="Q133" i="9"/>
  <c r="Q44" i="9"/>
  <c r="Q50" i="9" s="1"/>
  <c r="Z87" i="1"/>
  <c r="Z177" i="1"/>
  <c r="Z178" i="1" s="1"/>
  <c r="AP61" i="9"/>
  <c r="BD133" i="9"/>
  <c r="BD44" i="9"/>
  <c r="BD50" i="9" s="1"/>
  <c r="BM540" i="1"/>
  <c r="BM542" i="1"/>
  <c r="BM531" i="1"/>
  <c r="AO545" i="1"/>
  <c r="AO529" i="1"/>
  <c r="AO136" i="1"/>
  <c r="G108" i="9"/>
  <c r="G109" i="9" s="1"/>
  <c r="W69" i="9"/>
  <c r="W71" i="9" s="1"/>
  <c r="Z94" i="9" s="1"/>
  <c r="Z91" i="9" s="1"/>
  <c r="W274" i="1"/>
  <c r="W275" i="1" s="1"/>
  <c r="W276" i="1" s="1"/>
  <c r="W277" i="1" s="1"/>
  <c r="W260" i="1"/>
  <c r="R105" i="9"/>
  <c r="Z545" i="1"/>
  <c r="Z529" i="1"/>
  <c r="Z136" i="1"/>
  <c r="AO537" i="1"/>
  <c r="BM108" i="9"/>
  <c r="BM109" i="9" s="1"/>
  <c r="D83" i="9"/>
  <c r="H122" i="9"/>
  <c r="D73" i="9"/>
  <c r="T215" i="1"/>
  <c r="T228" i="1"/>
  <c r="T227" i="1"/>
  <c r="AB537" i="1"/>
  <c r="BD73" i="9"/>
  <c r="BD94" i="9"/>
  <c r="BD91" i="9" s="1"/>
  <c r="BD83" i="9"/>
  <c r="BD128" i="9" s="1"/>
  <c r="BE122" i="9"/>
  <c r="BF215" i="1"/>
  <c r="BF228" i="1"/>
  <c r="BF227" i="1"/>
  <c r="Y133" i="9"/>
  <c r="Y44" i="9"/>
  <c r="Y50" i="9" s="1"/>
  <c r="BH540" i="1"/>
  <c r="BH531" i="1"/>
  <c r="BH542" i="1"/>
  <c r="R122" i="9"/>
  <c r="N83" i="9"/>
  <c r="N73" i="9"/>
  <c r="V198" i="1"/>
  <c r="V178" i="1"/>
  <c r="AH114" i="9"/>
  <c r="AK114" i="9"/>
  <c r="AM69" i="9"/>
  <c r="AM71" i="9" s="1"/>
  <c r="AM274" i="1"/>
  <c r="AM275" i="1" s="1"/>
  <c r="AM276" i="1" s="1"/>
  <c r="AM277" i="1" s="1"/>
  <c r="AM260" i="1"/>
  <c r="Q258" i="1"/>
  <c r="Q278" i="1"/>
  <c r="Q279" i="1" s="1"/>
  <c r="Q280" i="1" s="1"/>
  <c r="Q281" i="1" s="1"/>
  <c r="Q261" i="1"/>
  <c r="AT108" i="9"/>
  <c r="AT109" i="9" s="1"/>
  <c r="AA133" i="9"/>
  <c r="AA44" i="9"/>
  <c r="AA50" i="9" s="1"/>
  <c r="C69" i="9"/>
  <c r="C71" i="9" s="1"/>
  <c r="C274" i="1"/>
  <c r="C275" i="1" s="1"/>
  <c r="C276" i="1" s="1"/>
  <c r="C277" i="1" s="1"/>
  <c r="C260" i="1"/>
  <c r="BM215" i="1"/>
  <c r="BM227" i="1"/>
  <c r="BM228" i="1"/>
  <c r="AU176" i="1"/>
  <c r="L215" i="1"/>
  <c r="L228" i="1"/>
  <c r="AP108" i="9"/>
  <c r="AP109" i="9" s="1"/>
  <c r="BR319" i="1"/>
  <c r="BQ319" i="1"/>
  <c r="BP319" i="1"/>
  <c r="BO319" i="1"/>
  <c r="AW316" i="1"/>
  <c r="BS319" i="1"/>
  <c r="AX316" i="1"/>
  <c r="AV316" i="1"/>
  <c r="BS316" i="1"/>
  <c r="BR316" i="1"/>
  <c r="BQ316" i="1"/>
  <c r="BP316" i="1"/>
  <c r="BO316" i="1"/>
  <c r="AX319" i="1"/>
  <c r="AW319" i="1"/>
  <c r="AV319" i="1"/>
  <c r="BI133" i="9"/>
  <c r="BI44" i="9"/>
  <c r="BI50" i="9" s="1"/>
  <c r="N114" i="9"/>
  <c r="O114" i="9"/>
  <c r="P114" i="9"/>
  <c r="Q114" i="9"/>
  <c r="BJ122" i="9"/>
  <c r="BI73" i="9"/>
  <c r="BI94" i="9"/>
  <c r="BI91" i="9" s="1"/>
  <c r="BI83" i="9"/>
  <c r="BI128" i="9" s="1"/>
  <c r="BI628" i="1"/>
  <c r="W259" i="1"/>
  <c r="Q69" i="9"/>
  <c r="Q71" i="9" s="1"/>
  <c r="Q122" i="9" s="1"/>
  <c r="Q260" i="1"/>
  <c r="Q274" i="1"/>
  <c r="Q275" i="1" s="1"/>
  <c r="Q276" i="1" s="1"/>
  <c r="Q277" i="1" s="1"/>
  <c r="BD627" i="1"/>
  <c r="M215" i="1"/>
  <c r="M228" i="1"/>
  <c r="BG115" i="9"/>
  <c r="BG116" i="9" s="1"/>
  <c r="BH215" i="1"/>
  <c r="BH228" i="1"/>
  <c r="AL545" i="1"/>
  <c r="AL529" i="1"/>
  <c r="AL136" i="1"/>
  <c r="AZ139" i="1"/>
  <c r="BD65" i="9" s="1"/>
  <c r="S215" i="1"/>
  <c r="S228" i="1"/>
  <c r="R181" i="1"/>
  <c r="R205" i="1"/>
  <c r="BS32" i="9"/>
  <c r="BO15" i="1"/>
  <c r="BS28" i="9" s="1"/>
  <c r="BA540" i="1"/>
  <c r="BA531" i="1"/>
  <c r="BA542" i="1"/>
  <c r="AR108" i="9"/>
  <c r="AR109" i="9" s="1"/>
  <c r="AZ705" i="1"/>
  <c r="AZ703" i="1"/>
  <c r="AZ701" i="1" s="1"/>
  <c r="AZ317" i="1" s="1"/>
  <c r="A319" i="1"/>
  <c r="A315" i="1"/>
  <c r="A317" i="1"/>
  <c r="A316" i="1"/>
  <c r="A318" i="1"/>
  <c r="A313" i="1"/>
  <c r="A314" i="1"/>
  <c r="A3" i="1"/>
  <c r="BA703" i="1"/>
  <c r="BA701" i="1" s="1"/>
  <c r="BA317" i="1" s="1"/>
  <c r="B722" i="1"/>
  <c r="BT4" i="9" s="1"/>
  <c r="BA705" i="1"/>
  <c r="BL540" i="1"/>
  <c r="BL531" i="1"/>
  <c r="BL542" i="1"/>
  <c r="Y56" i="9"/>
  <c r="Y135" i="9" s="1"/>
  <c r="Y133" i="1"/>
  <c r="Y64" i="9" s="1"/>
  <c r="M83" i="9"/>
  <c r="M73" i="9"/>
  <c r="I537" i="1"/>
  <c r="BJ630" i="1"/>
  <c r="AH69" i="9"/>
  <c r="AH71" i="9" s="1"/>
  <c r="AH274" i="1"/>
  <c r="AH275" i="1" s="1"/>
  <c r="AH276" i="1" s="1"/>
  <c r="AH277" i="1" s="1"/>
  <c r="AH260" i="1"/>
  <c r="BD278" i="1"/>
  <c r="BD261" i="1"/>
  <c r="BD309" i="1" s="1"/>
  <c r="BD258" i="1"/>
  <c r="AT114" i="9"/>
  <c r="AT115" i="9" s="1"/>
  <c r="AU114" i="9"/>
  <c r="AK108" i="9"/>
  <c r="AK109" i="9" s="1"/>
  <c r="E133" i="9"/>
  <c r="E44" i="9"/>
  <c r="E50" i="9" s="1"/>
  <c r="AL537" i="1"/>
  <c r="I56" i="9"/>
  <c r="I135" i="9" s="1"/>
  <c r="I133" i="1"/>
  <c r="I64" i="9" s="1"/>
  <c r="BC165" i="1"/>
  <c r="BC173" i="1" s="1"/>
  <c r="BC176" i="1" s="1"/>
  <c r="BC183" i="1"/>
  <c r="BC185" i="1" s="1"/>
  <c r="BC187" i="1" s="1"/>
  <c r="AO133" i="9"/>
  <c r="AO44" i="9"/>
  <c r="AO50" i="9" s="1"/>
  <c r="L227" i="1"/>
  <c r="D215" i="1"/>
  <c r="D228" i="1"/>
  <c r="BM122" i="9"/>
  <c r="BL94" i="9"/>
  <c r="BL91" i="9" s="1"/>
  <c r="BL83" i="9"/>
  <c r="BL128" i="9" s="1"/>
  <c r="BL73" i="9"/>
  <c r="AP46" i="9"/>
  <c r="K215" i="1"/>
  <c r="K228" i="1"/>
  <c r="K227" i="1"/>
  <c r="AQ259" i="1"/>
  <c r="AB34" i="9"/>
  <c r="AF35" i="1"/>
  <c r="AO520" i="1"/>
  <c r="I133" i="9"/>
  <c r="I44" i="9"/>
  <c r="I50" i="9" s="1"/>
  <c r="D204" i="1"/>
  <c r="D139" i="1" s="1"/>
  <c r="D65" i="9" s="1"/>
  <c r="AN523" i="1"/>
  <c r="AG69" i="9"/>
  <c r="AG71" i="9" s="1"/>
  <c r="AG260" i="1"/>
  <c r="AG274" i="1"/>
  <c r="AG275" i="1" s="1"/>
  <c r="AG276" i="1" s="1"/>
  <c r="AG277" i="1" s="1"/>
  <c r="F69" i="9"/>
  <c r="F71" i="9" s="1"/>
  <c r="F260" i="1"/>
  <c r="F274" i="1"/>
  <c r="F275" i="1" s="1"/>
  <c r="F276" i="1" s="1"/>
  <c r="F277" i="1" s="1"/>
  <c r="AL69" i="9"/>
  <c r="AL71" i="9" s="1"/>
  <c r="AL274" i="1"/>
  <c r="AL275" i="1" s="1"/>
  <c r="AL276" i="1" s="1"/>
  <c r="AL277" i="1" s="1"/>
  <c r="AL260" i="1"/>
  <c r="R100" i="9"/>
  <c r="U100" i="9"/>
  <c r="S100" i="9"/>
  <c r="T100" i="9"/>
  <c r="BD502" i="1"/>
  <c r="AJ531" i="1"/>
  <c r="BM278" i="1"/>
  <c r="BM261" i="1"/>
  <c r="BM309" i="1" s="1"/>
  <c r="BM258" i="1"/>
  <c r="Z72" i="9"/>
  <c r="Z73" i="9" s="1"/>
  <c r="Z546" i="1"/>
  <c r="BI631" i="1"/>
  <c r="Z624" i="1"/>
  <c r="D537" i="1"/>
  <c r="M56" i="9"/>
  <c r="M135" i="9" s="1"/>
  <c r="M133" i="1"/>
  <c r="M64" i="9" s="1"/>
  <c r="BB34" i="9"/>
  <c r="N111" i="9"/>
  <c r="O112" i="9" s="1"/>
  <c r="N211" i="1"/>
  <c r="N204" i="1"/>
  <c r="N139" i="1" s="1"/>
  <c r="N65" i="9" s="1"/>
  <c r="N132" i="1"/>
  <c r="N63" i="9" s="1"/>
  <c r="AG531" i="1"/>
  <c r="BL215" i="1"/>
  <c r="BL228" i="1"/>
  <c r="BN94" i="9"/>
  <c r="BN91" i="9" s="1"/>
  <c r="BN73" i="9"/>
  <c r="BN83" i="9"/>
  <c r="BN128" i="9" s="1"/>
  <c r="AD111" i="9"/>
  <c r="AD211" i="1"/>
  <c r="AD204" i="1"/>
  <c r="AD139" i="1" s="1"/>
  <c r="AD65" i="9" s="1"/>
  <c r="AD132" i="1"/>
  <c r="AD63" i="9" s="1"/>
  <c r="BA178" i="1"/>
  <c r="BA198" i="1"/>
  <c r="AI108" i="9"/>
  <c r="AI109" i="9" s="1"/>
  <c r="AS133" i="9"/>
  <c r="AS44" i="9"/>
  <c r="AS50" i="9" s="1"/>
  <c r="G69" i="9"/>
  <c r="G71" i="9" s="1"/>
  <c r="J94" i="9" s="1"/>
  <c r="J91" i="9" s="1"/>
  <c r="G274" i="1"/>
  <c r="G275" i="1" s="1"/>
  <c r="G276" i="1" s="1"/>
  <c r="G277" i="1" s="1"/>
  <c r="G260" i="1"/>
  <c r="AM545" i="1"/>
  <c r="AM529" i="1"/>
  <c r="AM136" i="1"/>
  <c r="AM204" i="1"/>
  <c r="AM139" i="1" s="1"/>
  <c r="AM65" i="9" s="1"/>
  <c r="BK122" i="9"/>
  <c r="BJ94" i="9"/>
  <c r="BJ91" i="9" s="1"/>
  <c r="BJ83" i="9"/>
  <c r="BJ128" i="9" s="1"/>
  <c r="BJ73" i="9"/>
  <c r="AD72" i="9"/>
  <c r="AD73" i="9" s="1"/>
  <c r="AD546" i="1"/>
  <c r="AD624" i="1"/>
  <c r="BJ631" i="1"/>
  <c r="BJ215" i="1"/>
  <c r="BJ228" i="1"/>
  <c r="K619" i="1"/>
  <c r="H108" i="9"/>
  <c r="H109" i="9" s="1"/>
  <c r="M133" i="9"/>
  <c r="M44" i="9"/>
  <c r="M50" i="9" s="1"/>
  <c r="AL522" i="1"/>
  <c r="AO525" i="1"/>
  <c r="M531" i="1"/>
  <c r="BK133" i="9"/>
  <c r="BK44" i="9"/>
  <c r="BK50" i="9" s="1"/>
  <c r="D133" i="9"/>
  <c r="D44" i="9"/>
  <c r="D50" i="9" s="1"/>
  <c r="AR83" i="9"/>
  <c r="AR73" i="9"/>
  <c r="E83" i="9"/>
  <c r="I122" i="9"/>
  <c r="E73" i="9"/>
  <c r="BK540" i="1"/>
  <c r="BK542" i="1"/>
  <c r="BK531" i="1"/>
  <c r="AG108" i="9"/>
  <c r="AG109" i="9" s="1"/>
  <c r="BB540" i="1"/>
  <c r="BB531" i="1"/>
  <c r="BB542" i="1"/>
  <c r="AS531" i="1"/>
  <c r="K133" i="9"/>
  <c r="K44" i="9"/>
  <c r="K50" i="9" s="1"/>
  <c r="BG545" i="1"/>
  <c r="BG529" i="1"/>
  <c r="BG136" i="1"/>
  <c r="AZ32" i="9"/>
  <c r="AZ28" i="9"/>
  <c r="AC94" i="9"/>
  <c r="AC91" i="9" s="1"/>
  <c r="AC73" i="9"/>
  <c r="AC83" i="9"/>
  <c r="X122" i="9"/>
  <c r="T73" i="9"/>
  <c r="T83" i="9"/>
  <c r="AO83" i="9"/>
  <c r="AO73" i="9"/>
  <c r="AS122" i="9"/>
  <c r="AD522" i="1"/>
  <c r="G133" i="9"/>
  <c r="G44" i="9"/>
  <c r="G50" i="9" s="1"/>
  <c r="I83" i="9"/>
  <c r="M122" i="9"/>
  <c r="I73" i="9"/>
  <c r="W531" i="1"/>
  <c r="AO523" i="1"/>
  <c r="BL630" i="1"/>
  <c r="AD621" i="1"/>
  <c r="AH520" i="1"/>
  <c r="AN502" i="1"/>
  <c r="BA502" i="1"/>
  <c r="S133" i="9"/>
  <c r="S44" i="9"/>
  <c r="S50" i="9" s="1"/>
  <c r="AX20" i="9"/>
  <c r="AX7" i="1"/>
  <c r="AX14" i="9" s="1"/>
  <c r="BO28" i="1"/>
  <c r="H133" i="9"/>
  <c r="H44" i="9"/>
  <c r="H50" i="9" s="1"/>
  <c r="X531" i="1"/>
  <c r="T181" i="1"/>
  <c r="T205" i="1"/>
  <c r="BL133" i="9"/>
  <c r="BL44" i="9"/>
  <c r="BL50" i="9" s="1"/>
  <c r="BF108" i="9"/>
  <c r="BF109" i="9" s="1"/>
  <c r="M537" i="1"/>
  <c r="AD523" i="1"/>
  <c r="AJ133" i="9"/>
  <c r="AJ44" i="9"/>
  <c r="AJ50" i="9" s="1"/>
  <c r="S105" i="9"/>
  <c r="AV21" i="9"/>
  <c r="AV31" i="1"/>
  <c r="BO29" i="1"/>
  <c r="AV8" i="1"/>
  <c r="AV15" i="9" s="1"/>
  <c r="D502" i="1"/>
  <c r="AE220" i="1"/>
  <c r="AE613" i="1"/>
  <c r="AE612" i="1"/>
  <c r="F104" i="9"/>
  <c r="F105" i="9" s="1"/>
  <c r="F115" i="9" s="1"/>
  <c r="F619" i="1"/>
  <c r="F609" i="1"/>
  <c r="BG227" i="1"/>
  <c r="BB215" i="1"/>
  <c r="BB227" i="1"/>
  <c r="BB228" i="1"/>
  <c r="AT111" i="9"/>
  <c r="AT112" i="9" s="1"/>
  <c r="AT204" i="1"/>
  <c r="AT139" i="1" s="1"/>
  <c r="AT65" i="9" s="1"/>
  <c r="AT211" i="1"/>
  <c r="AT132" i="1"/>
  <c r="AT63" i="9" s="1"/>
  <c r="H531" i="1"/>
  <c r="AU105" i="9"/>
  <c r="BS72" i="9"/>
  <c r="BO546" i="1"/>
  <c r="M205" i="1"/>
  <c r="M181" i="1"/>
  <c r="E56" i="9"/>
  <c r="E135" i="9" s="1"/>
  <c r="E133" i="1"/>
  <c r="E64" i="9" s="1"/>
  <c r="Z111" i="9"/>
  <c r="Z211" i="1"/>
  <c r="Z204" i="1"/>
  <c r="Z139" i="1" s="1"/>
  <c r="Z65" i="9" s="1"/>
  <c r="Z132" i="1"/>
  <c r="Z63" i="9" s="1"/>
  <c r="W228" i="1"/>
  <c r="W215" i="1"/>
  <c r="W227" i="1"/>
  <c r="AO122" i="9"/>
  <c r="AK83" i="9"/>
  <c r="AK73" i="9"/>
  <c r="AZ35" i="9"/>
  <c r="BM133" i="9"/>
  <c r="BM44" i="9"/>
  <c r="BM50" i="9" s="1"/>
  <c r="K205" i="1"/>
  <c r="K181" i="1"/>
  <c r="R535" i="1"/>
  <c r="R201" i="1"/>
  <c r="R137" i="1"/>
  <c r="BL227" i="1"/>
  <c r="AE521" i="1"/>
  <c r="BB32" i="9"/>
  <c r="BB28" i="9"/>
  <c r="AT522" i="1"/>
  <c r="AX515" i="1"/>
  <c r="AD525" i="1"/>
  <c r="AC133" i="9"/>
  <c r="AC44" i="9"/>
  <c r="AC50" i="9" s="1"/>
  <c r="AP69" i="9"/>
  <c r="AP71" i="9" s="1"/>
  <c r="AP274" i="1"/>
  <c r="AP275" i="1" s="1"/>
  <c r="AP276" i="1" s="1"/>
  <c r="AP277" i="1" s="1"/>
  <c r="AP260" i="1"/>
  <c r="BM502" i="1"/>
  <c r="U108" i="9"/>
  <c r="K100" i="9"/>
  <c r="H83" i="9"/>
  <c r="H73" i="9"/>
  <c r="AU215" i="1"/>
  <c r="AU228" i="1"/>
  <c r="AU227" i="1"/>
  <c r="J83" i="9"/>
  <c r="N122" i="9"/>
  <c r="J73" i="9"/>
  <c r="AA215" i="1"/>
  <c r="AA227" i="1"/>
  <c r="AA228" i="1"/>
  <c r="V111" i="9"/>
  <c r="V112" i="9" s="1"/>
  <c r="V204" i="1"/>
  <c r="V139" i="1" s="1"/>
  <c r="V65" i="9" s="1"/>
  <c r="V211" i="1"/>
  <c r="V132" i="1"/>
  <c r="V63" i="9" s="1"/>
  <c r="L531" i="1"/>
  <c r="M227" i="1"/>
  <c r="S531" i="1"/>
  <c r="AB133" i="9"/>
  <c r="AB44" i="9"/>
  <c r="AB50" i="9" s="1"/>
  <c r="BJ56" i="9"/>
  <c r="BJ135" i="9" s="1"/>
  <c r="D278" i="1"/>
  <c r="D279" i="1" s="1"/>
  <c r="D280" i="1" s="1"/>
  <c r="D281" i="1" s="1"/>
  <c r="D261" i="1"/>
  <c r="D258" i="1"/>
  <c r="Z524" i="1"/>
  <c r="AP111" i="9"/>
  <c r="AP112" i="9" s="1"/>
  <c r="AP211" i="1"/>
  <c r="AP227" i="1" s="1"/>
  <c r="AP204" i="1"/>
  <c r="AP139" i="1" s="1"/>
  <c r="AP65" i="9" s="1"/>
  <c r="AP132" i="1"/>
  <c r="AP63" i="9" s="1"/>
  <c r="G215" i="1"/>
  <c r="G228" i="1"/>
  <c r="AD122" i="9"/>
  <c r="Z83" i="9"/>
  <c r="Z525" i="1"/>
  <c r="R133" i="9"/>
  <c r="R44" i="9"/>
  <c r="R50" i="9" s="1"/>
  <c r="O133" i="9"/>
  <c r="O44" i="9"/>
  <c r="O50" i="9" s="1"/>
  <c r="K56" i="9"/>
  <c r="K135" i="9" s="1"/>
  <c r="K133" i="1"/>
  <c r="K64" i="9" s="1"/>
  <c r="X215" i="1"/>
  <c r="X228" i="1"/>
  <c r="BG133" i="9"/>
  <c r="BG44" i="9"/>
  <c r="BG50" i="9" s="1"/>
  <c r="AA108" i="9"/>
  <c r="AA109" i="9" s="1"/>
  <c r="AA531" i="1"/>
  <c r="BH122" i="9"/>
  <c r="BG73" i="9"/>
  <c r="BG94" i="9"/>
  <c r="BG91" i="9" s="1"/>
  <c r="BG83" i="9"/>
  <c r="BG128" i="9" s="1"/>
  <c r="W198" i="1"/>
  <c r="W178" i="1"/>
  <c r="J114" i="9"/>
  <c r="L114" i="9"/>
  <c r="AT523" i="1"/>
  <c r="AX516" i="1"/>
  <c r="AH119" i="9"/>
  <c r="AD41" i="9"/>
  <c r="AD61" i="9"/>
  <c r="Z114" i="9"/>
  <c r="AA114" i="9"/>
  <c r="AB114" i="9"/>
  <c r="AC114" i="9"/>
  <c r="AJ108" i="9"/>
  <c r="AJ109" i="9" s="1"/>
  <c r="AH537" i="1"/>
  <c r="AQ69" i="9"/>
  <c r="AQ71" i="9" s="1"/>
  <c r="AQ274" i="1"/>
  <c r="AQ275" i="1" s="1"/>
  <c r="AQ276" i="1" s="1"/>
  <c r="AQ277" i="1" s="1"/>
  <c r="AQ260" i="1"/>
  <c r="BO621" i="1"/>
  <c r="H39" i="11" l="1"/>
  <c r="P40" i="11"/>
  <c r="AN40" i="11"/>
  <c r="AL40" i="11"/>
  <c r="AL39" i="11"/>
  <c r="O40" i="11"/>
  <c r="O187" i="11" s="1"/>
  <c r="X39" i="11"/>
  <c r="Q40" i="11"/>
  <c r="Q186" i="11" s="1"/>
  <c r="P186" i="11"/>
  <c r="P187" i="11"/>
  <c r="O186" i="11"/>
  <c r="C37" i="15"/>
  <c r="C36" i="15" s="1"/>
  <c r="D50" i="15"/>
  <c r="D23" i="15"/>
  <c r="C39" i="15"/>
  <c r="AU354" i="11"/>
  <c r="AV16" i="11"/>
  <c r="AV21" i="11"/>
  <c r="J10" i="12" s="1"/>
  <c r="N370" i="11"/>
  <c r="N354" i="11"/>
  <c r="I354" i="11"/>
  <c r="AU25" i="11"/>
  <c r="K354" i="11"/>
  <c r="G354" i="11"/>
  <c r="P16" i="11"/>
  <c r="O354" i="11"/>
  <c r="L354" i="11"/>
  <c r="K370" i="11"/>
  <c r="J354" i="11"/>
  <c r="R21" i="11"/>
  <c r="Q354" i="11"/>
  <c r="Y409" i="11"/>
  <c r="Y99" i="11" s="1"/>
  <c r="J25" i="11"/>
  <c r="J27" i="11" s="1"/>
  <c r="M354" i="11"/>
  <c r="Y238" i="11"/>
  <c r="AU238" i="11" s="1"/>
  <c r="M61" i="11"/>
  <c r="P354" i="11"/>
  <c r="AR367" i="11"/>
  <c r="AS370" i="11"/>
  <c r="AS367" i="11"/>
  <c r="E61" i="11"/>
  <c r="H354" i="11"/>
  <c r="N367" i="11"/>
  <c r="O370" i="11"/>
  <c r="F354" i="11"/>
  <c r="F366" i="11"/>
  <c r="J367" i="11" s="1"/>
  <c r="W37" i="11"/>
  <c r="AU237" i="11"/>
  <c r="Z59" i="11"/>
  <c r="AU59" i="11" s="1"/>
  <c r="Z459" i="11"/>
  <c r="Z383" i="11"/>
  <c r="Z409" i="11" s="1"/>
  <c r="Z99" i="11" s="1"/>
  <c r="Z56" i="11"/>
  <c r="AU56" i="11" s="1"/>
  <c r="Z413" i="11"/>
  <c r="Z57" i="11" s="1"/>
  <c r="AU57" i="11" s="1"/>
  <c r="Y60" i="11"/>
  <c r="Y437" i="11"/>
  <c r="AJ181" i="1"/>
  <c r="BN181" i="1"/>
  <c r="C40" i="16"/>
  <c r="AJ198" i="1"/>
  <c r="L37" i="11" s="1"/>
  <c r="W239" i="11"/>
  <c r="G41" i="15"/>
  <c r="G45" i="16"/>
  <c r="G45" i="12"/>
  <c r="D45" i="16"/>
  <c r="D45" i="12"/>
  <c r="G8" i="15"/>
  <c r="G8" i="16"/>
  <c r="G8" i="12"/>
  <c r="E41" i="15"/>
  <c r="E45" i="12"/>
  <c r="E45" i="16"/>
  <c r="H32" i="12"/>
  <c r="H32" i="16"/>
  <c r="G29" i="15"/>
  <c r="G32" i="16"/>
  <c r="G32" i="12"/>
  <c r="E29" i="15"/>
  <c r="E32" i="12"/>
  <c r="E32" i="16"/>
  <c r="G54" i="15"/>
  <c r="G58" i="16"/>
  <c r="G58" i="12"/>
  <c r="D32" i="16"/>
  <c r="D32" i="12"/>
  <c r="I8" i="12"/>
  <c r="I8" i="16"/>
  <c r="C40" i="12"/>
  <c r="H45" i="16"/>
  <c r="H45" i="12"/>
  <c r="H54" i="15"/>
  <c r="H58" i="16"/>
  <c r="H58" i="12"/>
  <c r="F32" i="16"/>
  <c r="F32" i="12"/>
  <c r="F54" i="15"/>
  <c r="F58" i="16"/>
  <c r="F58" i="12"/>
  <c r="D25" i="12"/>
  <c r="D25" i="16"/>
  <c r="D54" i="16"/>
  <c r="D54" i="12"/>
  <c r="H8" i="15"/>
  <c r="H8" i="16"/>
  <c r="H8" i="12"/>
  <c r="C56" i="16"/>
  <c r="C56" i="12"/>
  <c r="E50" i="15"/>
  <c r="E54" i="16"/>
  <c r="E54" i="12"/>
  <c r="E25" i="12"/>
  <c r="E25" i="16"/>
  <c r="H54" i="16"/>
  <c r="H54" i="12"/>
  <c r="H25" i="12"/>
  <c r="H25" i="16"/>
  <c r="F45" i="16"/>
  <c r="F45" i="12"/>
  <c r="H38" i="11"/>
  <c r="AF178" i="1"/>
  <c r="AF205" i="1" s="1"/>
  <c r="H43" i="11" s="1"/>
  <c r="H72" i="11" s="1"/>
  <c r="W61" i="11"/>
  <c r="AF56" i="9"/>
  <c r="AF135" i="9" s="1"/>
  <c r="AF133" i="1"/>
  <c r="AF64" i="9" s="1"/>
  <c r="BL205" i="1"/>
  <c r="BL298" i="1" s="1"/>
  <c r="AC205" i="1"/>
  <c r="E43" i="11" s="1"/>
  <c r="E72" i="11" s="1"/>
  <c r="AS198" i="1"/>
  <c r="U37" i="11" s="1"/>
  <c r="AP105" i="9"/>
  <c r="AP115" i="9" s="1"/>
  <c r="AP116" i="9" s="1"/>
  <c r="AI181" i="1"/>
  <c r="I8" i="15"/>
  <c r="J8" i="15" s="1"/>
  <c r="J23" i="15" s="1"/>
  <c r="X60" i="11"/>
  <c r="X38" i="11"/>
  <c r="X41" i="11"/>
  <c r="X462" i="11"/>
  <c r="AO133" i="1"/>
  <c r="AO64" i="9" s="1"/>
  <c r="AO56" i="9"/>
  <c r="AO135" i="9" s="1"/>
  <c r="AN178" i="1"/>
  <c r="AN181" i="1" s="1"/>
  <c r="AZ140" i="1"/>
  <c r="AO178" i="1"/>
  <c r="AO181" i="1" s="1"/>
  <c r="AG205" i="1"/>
  <c r="I43" i="11" s="1"/>
  <c r="AR133" i="1"/>
  <c r="AR64" i="9" s="1"/>
  <c r="AR56" i="9"/>
  <c r="AR135" i="9" s="1"/>
  <c r="AZ298" i="1"/>
  <c r="BM198" i="1"/>
  <c r="BM56" i="9" s="1"/>
  <c r="BM135" i="9" s="1"/>
  <c r="AZ181" i="1"/>
  <c r="AI198" i="1"/>
  <c r="K37" i="11" s="1"/>
  <c r="AN133" i="1"/>
  <c r="AN64" i="9" s="1"/>
  <c r="AN56" i="9"/>
  <c r="AN135" i="9" s="1"/>
  <c r="AK181" i="1"/>
  <c r="AQ88" i="11"/>
  <c r="AL198" i="1"/>
  <c r="N37" i="11" s="1"/>
  <c r="T38" i="11"/>
  <c r="E23" i="15"/>
  <c r="T41" i="11"/>
  <c r="T40" i="11"/>
  <c r="AG198" i="1"/>
  <c r="AG133" i="1" s="1"/>
  <c r="AG64" i="9" s="1"/>
  <c r="M109" i="9"/>
  <c r="Y108" i="9"/>
  <c r="Y109" i="9" s="1"/>
  <c r="AR178" i="1"/>
  <c r="AR205" i="1" s="1"/>
  <c r="T43" i="11" s="1"/>
  <c r="T72" i="11" s="1"/>
  <c r="BL198" i="1"/>
  <c r="BL133" i="1" s="1"/>
  <c r="BL64" i="9" s="1"/>
  <c r="AQ198" i="1"/>
  <c r="S37" i="11" s="1"/>
  <c r="AQ181" i="1"/>
  <c r="AP619" i="1"/>
  <c r="AQ84" i="11"/>
  <c r="V108" i="9"/>
  <c r="V109" i="9" s="1"/>
  <c r="W108" i="9"/>
  <c r="W109" i="9" s="1"/>
  <c r="AH619" i="1"/>
  <c r="AI619" i="1"/>
  <c r="AD609" i="1"/>
  <c r="BK205" i="1"/>
  <c r="BK55" i="9" s="1"/>
  <c r="BK134" i="9" s="1"/>
  <c r="AC619" i="1"/>
  <c r="AM619" i="1"/>
  <c r="BE178" i="1"/>
  <c r="BE205" i="1" s="1"/>
  <c r="AK43" i="11" s="1"/>
  <c r="AK29" i="11" s="1"/>
  <c r="AK36" i="11" s="1"/>
  <c r="AL104" i="9"/>
  <c r="AO105" i="9" s="1"/>
  <c r="AO115" i="9" s="1"/>
  <c r="BF133" i="1"/>
  <c r="AZ310" i="1"/>
  <c r="AK198" i="1"/>
  <c r="M37" i="11" s="1"/>
  <c r="AL41" i="11"/>
  <c r="W27" i="11"/>
  <c r="G181" i="1"/>
  <c r="BH133" i="1"/>
  <c r="BH178" i="1"/>
  <c r="BH181" i="1" s="1"/>
  <c r="AM178" i="1"/>
  <c r="AM181" i="1" s="1"/>
  <c r="BJ64" i="9"/>
  <c r="AM133" i="1"/>
  <c r="AM64" i="9" s="1"/>
  <c r="AL609" i="1"/>
  <c r="AM56" i="9"/>
  <c r="AM135" i="9" s="1"/>
  <c r="BF178" i="1"/>
  <c r="BF181" i="1" s="1"/>
  <c r="H23" i="15"/>
  <c r="H50" i="15"/>
  <c r="AD104" i="9"/>
  <c r="AF105" i="9" s="1"/>
  <c r="AF115" i="9" s="1"/>
  <c r="AH104" i="9"/>
  <c r="AH105" i="9" s="1"/>
  <c r="AH115" i="9" s="1"/>
  <c r="AH116" i="9" s="1"/>
  <c r="F41" i="15"/>
  <c r="AH609" i="1"/>
  <c r="AD619" i="1"/>
  <c r="AL619" i="1"/>
  <c r="AG619" i="1"/>
  <c r="H29" i="15"/>
  <c r="F29" i="15"/>
  <c r="AT176" i="1"/>
  <c r="AT198" i="1" s="1"/>
  <c r="V37" i="11" s="1"/>
  <c r="AT84" i="11"/>
  <c r="H41" i="15"/>
  <c r="AP83" i="11"/>
  <c r="BK105" i="9"/>
  <c r="BK115" i="9" s="1"/>
  <c r="BK116" i="9" s="1"/>
  <c r="BM181" i="1"/>
  <c r="E25" i="11"/>
  <c r="E27" i="11" s="1"/>
  <c r="V237" i="11"/>
  <c r="V239" i="11" s="1"/>
  <c r="V241" i="11" s="1"/>
  <c r="R112" i="9"/>
  <c r="T112" i="9"/>
  <c r="BG198" i="1"/>
  <c r="BG178" i="1"/>
  <c r="BI198" i="1"/>
  <c r="BI56" i="9" s="1"/>
  <c r="BI135" i="9" s="1"/>
  <c r="BI178" i="1"/>
  <c r="G61" i="11"/>
  <c r="N25" i="11"/>
  <c r="N27" i="11" s="1"/>
  <c r="K21" i="11"/>
  <c r="H21" i="11"/>
  <c r="R27" i="11"/>
  <c r="O27" i="11"/>
  <c r="G27" i="11"/>
  <c r="G29" i="11"/>
  <c r="G36" i="11" s="1"/>
  <c r="S27" i="11"/>
  <c r="S29" i="11"/>
  <c r="AT21" i="11"/>
  <c r="H10" i="12" s="1"/>
  <c r="R16" i="11"/>
  <c r="I21" i="11"/>
  <c r="AK40" i="11"/>
  <c r="AL38" i="11"/>
  <c r="O21" i="11"/>
  <c r="L21" i="11"/>
  <c r="P21" i="11"/>
  <c r="J21" i="11"/>
  <c r="G21" i="11"/>
  <c r="M25" i="11"/>
  <c r="M21" i="11"/>
  <c r="Q21" i="11"/>
  <c r="Q16" i="11"/>
  <c r="N16" i="11"/>
  <c r="N21" i="11"/>
  <c r="AU21" i="11"/>
  <c r="I10" i="12" s="1"/>
  <c r="E40" i="11"/>
  <c r="AR83" i="11"/>
  <c r="L25" i="11"/>
  <c r="AS14" i="11"/>
  <c r="K61" i="11"/>
  <c r="I25" i="11"/>
  <c r="I27" i="11" s="1"/>
  <c r="C61" i="11"/>
  <c r="AP214" i="11"/>
  <c r="AP127" i="11"/>
  <c r="AQ133" i="11" s="1"/>
  <c r="AQ134" i="11" s="1"/>
  <c r="AQ19" i="11" s="1"/>
  <c r="J126" i="11"/>
  <c r="J133" i="11"/>
  <c r="J134" i="11" s="1"/>
  <c r="J19" i="11" s="1"/>
  <c r="H126" i="11"/>
  <c r="H133" i="11"/>
  <c r="H134" i="11" s="1"/>
  <c r="H19" i="11" s="1"/>
  <c r="J61" i="11"/>
  <c r="G126" i="11"/>
  <c r="G133" i="11"/>
  <c r="G134" i="11" s="1"/>
  <c r="G19" i="11" s="1"/>
  <c r="I126" i="11"/>
  <c r="I133" i="11"/>
  <c r="I134" i="11" s="1"/>
  <c r="I19" i="11" s="1"/>
  <c r="AQ126" i="11"/>
  <c r="R61" i="11"/>
  <c r="N133" i="11"/>
  <c r="N134" i="11" s="1"/>
  <c r="N19" i="11" s="1"/>
  <c r="N126" i="11"/>
  <c r="R133" i="11"/>
  <c r="R134" i="11" s="1"/>
  <c r="R19" i="11" s="1"/>
  <c r="AR214" i="11"/>
  <c r="AR127" i="11"/>
  <c r="L133" i="11"/>
  <c r="L134" i="11" s="1"/>
  <c r="L19" i="11" s="1"/>
  <c r="L126" i="11"/>
  <c r="P133" i="11"/>
  <c r="P134" i="11" s="1"/>
  <c r="P19" i="11" s="1"/>
  <c r="K126" i="11"/>
  <c r="K133" i="11"/>
  <c r="K134" i="11" s="1"/>
  <c r="K19" i="11" s="1"/>
  <c r="O133" i="11"/>
  <c r="O134" i="11" s="1"/>
  <c r="O19" i="11" s="1"/>
  <c r="M133" i="11"/>
  <c r="M134" i="11" s="1"/>
  <c r="M19" i="11" s="1"/>
  <c r="M126" i="11"/>
  <c r="Q133" i="11"/>
  <c r="Q134" i="11" s="1"/>
  <c r="Q19" i="11" s="1"/>
  <c r="M16" i="11"/>
  <c r="I16" i="11"/>
  <c r="I61" i="11"/>
  <c r="N61" i="11"/>
  <c r="O16" i="11"/>
  <c r="G16" i="11"/>
  <c r="N90" i="11"/>
  <c r="K16" i="11"/>
  <c r="AR11" i="11"/>
  <c r="AR354" i="11" s="1"/>
  <c r="BN56" i="9"/>
  <c r="BN135" i="9" s="1"/>
  <c r="L61" i="11"/>
  <c r="U112" i="9"/>
  <c r="U116" i="9" s="1"/>
  <c r="K25" i="11"/>
  <c r="C25" i="11"/>
  <c r="BJ65" i="9"/>
  <c r="BK56" i="9"/>
  <c r="BK135" i="9" s="1"/>
  <c r="BR4" i="9"/>
  <c r="BQ4" i="9"/>
  <c r="BP4" i="9"/>
  <c r="BO4" i="9"/>
  <c r="BN64" i="9"/>
  <c r="AZ279" i="1"/>
  <c r="AZ280" i="1" s="1"/>
  <c r="AZ281" i="1" s="1"/>
  <c r="BJ542" i="1"/>
  <c r="BL617" i="1"/>
  <c r="F198" i="1"/>
  <c r="F56" i="9" s="1"/>
  <c r="F135" i="9" s="1"/>
  <c r="BJ540" i="1"/>
  <c r="BD198" i="1"/>
  <c r="AJ37" i="11" s="1"/>
  <c r="AK41" i="11" s="1"/>
  <c r="BK133" i="1"/>
  <c r="AE133" i="1"/>
  <c r="AE64" i="9" s="1"/>
  <c r="AB178" i="1"/>
  <c r="AB181" i="1" s="1"/>
  <c r="AE56" i="9"/>
  <c r="AE135" i="9" s="1"/>
  <c r="AL108" i="9"/>
  <c r="AL109" i="9" s="1"/>
  <c r="AZ510" i="1"/>
  <c r="AZ620" i="1"/>
  <c r="AA138" i="9"/>
  <c r="T258" i="1"/>
  <c r="T261" i="1"/>
  <c r="G72" i="11"/>
  <c r="P181" i="1"/>
  <c r="G40" i="11"/>
  <c r="AC222" i="1"/>
  <c r="AC231" i="1" s="1"/>
  <c r="AC51" i="9" s="1"/>
  <c r="D61" i="11"/>
  <c r="D40" i="11"/>
  <c r="H41" i="11"/>
  <c r="H40" i="11"/>
  <c r="AS25" i="11"/>
  <c r="W26" i="11"/>
  <c r="S26" i="11"/>
  <c r="BJ205" i="1"/>
  <c r="BN55" i="9" s="1"/>
  <c r="BN120" i="9" s="1"/>
  <c r="F112" i="9"/>
  <c r="F116" i="9" s="1"/>
  <c r="G112" i="9"/>
  <c r="AO108" i="9"/>
  <c r="AO109" i="9" s="1"/>
  <c r="AU261" i="1"/>
  <c r="T617" i="1"/>
  <c r="AR14" i="11"/>
  <c r="F25" i="11"/>
  <c r="D25" i="11"/>
  <c r="F61" i="11"/>
  <c r="AP11" i="11"/>
  <c r="J16" i="11"/>
  <c r="U26" i="11"/>
  <c r="AA261" i="1"/>
  <c r="U27" i="11"/>
  <c r="AB617" i="1"/>
  <c r="K109" i="9"/>
  <c r="AA278" i="1"/>
  <c r="AA279" i="1" s="1"/>
  <c r="AA280" i="1" s="1"/>
  <c r="AA281" i="1" s="1"/>
  <c r="AM108" i="9"/>
  <c r="AM109" i="9" s="1"/>
  <c r="AN278" i="1"/>
  <c r="AN279" i="1" s="1"/>
  <c r="AN280" i="1" s="1"/>
  <c r="AN281" i="1" s="1"/>
  <c r="X617" i="1"/>
  <c r="AU16" i="11"/>
  <c r="L181" i="1"/>
  <c r="Y225" i="1"/>
  <c r="Y57" i="9" s="1"/>
  <c r="F44" i="9"/>
  <c r="F50" i="9" s="1"/>
  <c r="F102" i="9" s="1"/>
  <c r="BR30" i="1"/>
  <c r="BV22" i="9" s="1"/>
  <c r="S617" i="1"/>
  <c r="BP28" i="1"/>
  <c r="BP34" i="1" s="1"/>
  <c r="E205" i="1"/>
  <c r="E140" i="1" s="1"/>
  <c r="Y181" i="1"/>
  <c r="I181" i="1"/>
  <c r="AG222" i="1"/>
  <c r="AG231" i="1" s="1"/>
  <c r="AG51" i="9" s="1"/>
  <c r="W617" i="1"/>
  <c r="AZ14" i="9"/>
  <c r="AU278" i="1"/>
  <c r="AU279" i="1" s="1"/>
  <c r="AU280" i="1" s="1"/>
  <c r="AU281" i="1" s="1"/>
  <c r="AB261" i="1"/>
  <c r="Y230" i="1"/>
  <c r="BK35" i="1"/>
  <c r="BF617" i="1"/>
  <c r="BH617" i="1"/>
  <c r="C198" i="1"/>
  <c r="C133" i="1" s="1"/>
  <c r="C64" i="9" s="1"/>
  <c r="AJ258" i="1"/>
  <c r="T56" i="9"/>
  <c r="T135" i="9" s="1"/>
  <c r="AG230" i="1"/>
  <c r="C278" i="1"/>
  <c r="C279" i="1" s="1"/>
  <c r="C280" i="1" s="1"/>
  <c r="C281" i="1" s="1"/>
  <c r="BG617" i="1"/>
  <c r="BI617" i="1"/>
  <c r="BA21" i="9"/>
  <c r="AJ617" i="1"/>
  <c r="AA198" i="1"/>
  <c r="BA15" i="9"/>
  <c r="BL35" i="1"/>
  <c r="AM612" i="1"/>
  <c r="AA181" i="1"/>
  <c r="H112" i="9"/>
  <c r="C261" i="1"/>
  <c r="AC617" i="1"/>
  <c r="AS105" i="9"/>
  <c r="AS115" i="9" s="1"/>
  <c r="V27" i="11"/>
  <c r="Y115" i="9"/>
  <c r="O617" i="1"/>
  <c r="AM613" i="1"/>
  <c r="BM35" i="1"/>
  <c r="V26" i="11"/>
  <c r="AB278" i="1"/>
  <c r="AB279" i="1" s="1"/>
  <c r="AB280" i="1" s="1"/>
  <c r="AB281" i="1" s="1"/>
  <c r="F215" i="1"/>
  <c r="G618" i="1" s="1"/>
  <c r="N617" i="1"/>
  <c r="F261" i="1"/>
  <c r="AC225" i="1"/>
  <c r="AC57" i="9" s="1"/>
  <c r="BF138" i="9"/>
  <c r="AI261" i="1"/>
  <c r="AT25" i="11"/>
  <c r="AR105" i="9"/>
  <c r="AR115" i="9" s="1"/>
  <c r="AW190" i="1"/>
  <c r="AW22" i="1" s="1"/>
  <c r="BA20" i="9"/>
  <c r="BA14" i="9"/>
  <c r="BD628" i="1"/>
  <c r="U205" i="1"/>
  <c r="U298" i="1" s="1"/>
  <c r="Q617" i="1"/>
  <c r="AJ278" i="1"/>
  <c r="AJ279" i="1" s="1"/>
  <c r="AJ280" i="1" s="1"/>
  <c r="AJ281" i="1" s="1"/>
  <c r="AP99" i="11"/>
  <c r="L112" i="9"/>
  <c r="AQ105" i="9"/>
  <c r="AQ115" i="9" s="1"/>
  <c r="F502" i="1"/>
  <c r="J617" i="1" s="1"/>
  <c r="F90" i="11"/>
  <c r="BN628" i="1"/>
  <c r="AP502" i="1"/>
  <c r="AT617" i="1" s="1"/>
  <c r="AF230" i="1"/>
  <c r="L109" i="9"/>
  <c r="AE617" i="1"/>
  <c r="F258" i="1"/>
  <c r="BJ617" i="1"/>
  <c r="AO261" i="1"/>
  <c r="AO258" i="1"/>
  <c r="Z617" i="1"/>
  <c r="AF278" i="1"/>
  <c r="AF279" i="1" s="1"/>
  <c r="AF280" i="1" s="1"/>
  <c r="AF281" i="1" s="1"/>
  <c r="AS261" i="1"/>
  <c r="AO278" i="1"/>
  <c r="AO279" i="1" s="1"/>
  <c r="AO280" i="1" s="1"/>
  <c r="AO281" i="1" s="1"/>
  <c r="K112" i="9"/>
  <c r="F228" i="1"/>
  <c r="AI617" i="1"/>
  <c r="AA617" i="1"/>
  <c r="BK628" i="1"/>
  <c r="J112" i="9"/>
  <c r="O105" i="9"/>
  <c r="O115" i="9" s="1"/>
  <c r="O116" i="9" s="1"/>
  <c r="AG278" i="1"/>
  <c r="AG279" i="1" s="1"/>
  <c r="AG280" i="1" s="1"/>
  <c r="AG281" i="1" s="1"/>
  <c r="R56" i="9"/>
  <c r="R135" i="9" s="1"/>
  <c r="BP629" i="1"/>
  <c r="AG261" i="1"/>
  <c r="V105" i="9"/>
  <c r="V115" i="9" s="1"/>
  <c r="V116" i="9" s="1"/>
  <c r="Y617" i="1"/>
  <c r="L617" i="1"/>
  <c r="AT16" i="11"/>
  <c r="P612" i="1"/>
  <c r="X105" i="9"/>
  <c r="X115" i="9" s="1"/>
  <c r="AI258" i="1"/>
  <c r="P105" i="9"/>
  <c r="P115" i="9" s="1"/>
  <c r="P613" i="1"/>
  <c r="V617" i="1"/>
  <c r="AS278" i="1"/>
  <c r="AS279" i="1" s="1"/>
  <c r="AS280" i="1" s="1"/>
  <c r="AS281" i="1" s="1"/>
  <c r="AR617" i="1"/>
  <c r="BM617" i="1"/>
  <c r="AR84" i="11"/>
  <c r="AD617" i="1"/>
  <c r="U109" i="9"/>
  <c r="K617" i="1"/>
  <c r="AL502" i="1"/>
  <c r="AK617" i="1" s="1"/>
  <c r="T27" i="11"/>
  <c r="T26" i="11"/>
  <c r="AP84" i="11"/>
  <c r="AT83" i="11"/>
  <c r="AT61" i="11"/>
  <c r="BF84" i="9"/>
  <c r="BF86" i="9" s="1"/>
  <c r="AF258" i="1"/>
  <c r="BO288" i="1"/>
  <c r="J109" i="9"/>
  <c r="Q612" i="1"/>
  <c r="Q613" i="1"/>
  <c r="U617" i="1"/>
  <c r="Q105" i="9"/>
  <c r="Q115" i="9" s="1"/>
  <c r="J44" i="9"/>
  <c r="J50" i="9" s="1"/>
  <c r="J102" i="9" s="1"/>
  <c r="AF222" i="1"/>
  <c r="AF231" i="1" s="1"/>
  <c r="AF51" i="9" s="1"/>
  <c r="AQ14" i="11"/>
  <c r="AE261" i="1"/>
  <c r="AA105" i="9"/>
  <c r="AA115" i="9" s="1"/>
  <c r="AB105" i="9"/>
  <c r="AB115" i="9" s="1"/>
  <c r="AG617" i="1"/>
  <c r="J178" i="1"/>
  <c r="J181" i="1" s="1"/>
  <c r="AN258" i="1"/>
  <c r="AC105" i="9"/>
  <c r="AC115" i="9" s="1"/>
  <c r="AE278" i="1"/>
  <c r="AE279" i="1" s="1"/>
  <c r="AE280" i="1" s="1"/>
  <c r="AE281" i="1" s="1"/>
  <c r="W105" i="9"/>
  <c r="W115" i="9" s="1"/>
  <c r="H61" i="11"/>
  <c r="H25" i="11"/>
  <c r="H16" i="11"/>
  <c r="AQ11" i="11"/>
  <c r="AQ354" i="11" s="1"/>
  <c r="L16" i="11"/>
  <c r="AT259" i="1"/>
  <c r="V99" i="11"/>
  <c r="V90" i="11" s="1"/>
  <c r="S49" i="11"/>
  <c r="S45" i="11"/>
  <c r="S90" i="11"/>
  <c r="K44" i="11"/>
  <c r="K49" i="11"/>
  <c r="K46" i="11"/>
  <c r="K45" i="11"/>
  <c r="AQ83" i="11"/>
  <c r="L49" i="11"/>
  <c r="L45" i="11"/>
  <c r="D617" i="1"/>
  <c r="Q205" i="1"/>
  <c r="Q181" i="1"/>
  <c r="BE5" i="1"/>
  <c r="BE2" i="9" s="1"/>
  <c r="G5" i="1"/>
  <c r="AR99" i="11"/>
  <c r="AS205" i="1"/>
  <c r="AS181" i="1"/>
  <c r="C2" i="9"/>
  <c r="D5" i="1"/>
  <c r="AP88" i="11"/>
  <c r="H90" i="11"/>
  <c r="AT88" i="11"/>
  <c r="AS83" i="11"/>
  <c r="AS84" i="11"/>
  <c r="BK617" i="1"/>
  <c r="AY23" i="9"/>
  <c r="AY17" i="9"/>
  <c r="AP259" i="1"/>
  <c r="R99" i="11"/>
  <c r="R90" i="11" s="1"/>
  <c r="AS61" i="11"/>
  <c r="C49" i="11"/>
  <c r="C45" i="11"/>
  <c r="G44" i="11"/>
  <c r="G49" i="11"/>
  <c r="G51" i="11" s="1"/>
  <c r="G46" i="11"/>
  <c r="G45" i="11"/>
  <c r="C617" i="1"/>
  <c r="M49" i="11"/>
  <c r="M45" i="11"/>
  <c r="AK278" i="1"/>
  <c r="AK279" i="1" s="1"/>
  <c r="AK280" i="1" s="1"/>
  <c r="AK281" i="1" s="1"/>
  <c r="AK261" i="1"/>
  <c r="AK258" i="1"/>
  <c r="AH259" i="1"/>
  <c r="J99" i="11"/>
  <c r="J90" i="11" s="1"/>
  <c r="P618" i="1"/>
  <c r="AN617" i="1"/>
  <c r="Z115" i="9"/>
  <c r="Q92" i="9"/>
  <c r="Q107" i="9"/>
  <c r="AT73" i="9"/>
  <c r="AT84" i="9" s="1"/>
  <c r="AT86" i="9" s="1"/>
  <c r="AX4" i="9"/>
  <c r="BW4" i="9"/>
  <c r="AB613" i="1"/>
  <c r="AB612" i="1"/>
  <c r="AF618" i="1"/>
  <c r="AB220" i="1"/>
  <c r="AO112" i="9"/>
  <c r="AU112" i="9"/>
  <c r="M94" i="9"/>
  <c r="M91" i="9" s="1"/>
  <c r="BB4" i="9"/>
  <c r="AV4" i="9"/>
  <c r="AJ112" i="9"/>
  <c r="AT116" i="9"/>
  <c r="AK112" i="9"/>
  <c r="AO94" i="9"/>
  <c r="AO91" i="9" s="1"/>
  <c r="BA4" i="9"/>
  <c r="AZ4" i="9"/>
  <c r="P94" i="9"/>
  <c r="P91" i="9" s="1"/>
  <c r="L122" i="9"/>
  <c r="AR94" i="9"/>
  <c r="AR91" i="9" s="1"/>
  <c r="T94" i="9"/>
  <c r="T91" i="9" s="1"/>
  <c r="V94" i="9"/>
  <c r="V91" i="9" s="1"/>
  <c r="BU4" i="9"/>
  <c r="H94" i="9"/>
  <c r="H91" i="9" s="1"/>
  <c r="AW4" i="9"/>
  <c r="AT94" i="9"/>
  <c r="AT91" i="9" s="1"/>
  <c r="R94" i="9"/>
  <c r="R91" i="9" s="1"/>
  <c r="AK94" i="9"/>
  <c r="AK91" i="9" s="1"/>
  <c r="BC696" i="1"/>
  <c r="BC694" i="1" s="1"/>
  <c r="BC315" i="1" s="1"/>
  <c r="BC698" i="1"/>
  <c r="BC689" i="1"/>
  <c r="BC687" i="1" s="1"/>
  <c r="BC314" i="1" s="1"/>
  <c r="BC684" i="1"/>
  <c r="BC691" i="1"/>
  <c r="BC682" i="1"/>
  <c r="BC680" i="1" s="1"/>
  <c r="BC313" i="1" s="1"/>
  <c r="BC705" i="1"/>
  <c r="BC703" i="1"/>
  <c r="BC701" i="1" s="1"/>
  <c r="BC317" i="1" s="1"/>
  <c r="AD123" i="9"/>
  <c r="Z75" i="9"/>
  <c r="Z81" i="9" s="1"/>
  <c r="Z138" i="9" s="1"/>
  <c r="Z84" i="9"/>
  <c r="Z86" i="9" s="1"/>
  <c r="L115" i="9"/>
  <c r="Z181" i="1"/>
  <c r="Z205" i="1"/>
  <c r="AD84" i="9"/>
  <c r="AD86" i="9" s="1"/>
  <c r="AD75" i="9"/>
  <c r="AD81" i="9" s="1"/>
  <c r="AD138" i="9" s="1"/>
  <c r="M102" i="9"/>
  <c r="AP83" i="9"/>
  <c r="AP73" i="9"/>
  <c r="AP94" i="9"/>
  <c r="AP91" i="9" s="1"/>
  <c r="AT122" i="9"/>
  <c r="I94" i="9"/>
  <c r="I91" i="9" s="1"/>
  <c r="BB20" i="9"/>
  <c r="BB14" i="9"/>
  <c r="BC178" i="1"/>
  <c r="BC198" i="1"/>
  <c r="L278" i="1"/>
  <c r="L279" i="1" s="1"/>
  <c r="L280" i="1" s="1"/>
  <c r="L281" i="1" s="1"/>
  <c r="L261" i="1"/>
  <c r="L258" i="1"/>
  <c r="BE133" i="1"/>
  <c r="AL112" i="9"/>
  <c r="AM112" i="9"/>
  <c r="BJ123" i="9"/>
  <c r="BI84" i="9"/>
  <c r="BI86" i="9" s="1"/>
  <c r="BI75" i="9"/>
  <c r="BI81" i="9" s="1"/>
  <c r="BI138" i="9" s="1"/>
  <c r="V181" i="1"/>
  <c r="V205" i="1"/>
  <c r="AA122" i="9"/>
  <c r="W94" i="9"/>
  <c r="W91" i="9" s="1"/>
  <c r="W73" i="9"/>
  <c r="W83" i="9"/>
  <c r="AN618" i="1"/>
  <c r="AN220" i="1"/>
  <c r="AN137" i="9" s="1"/>
  <c r="AN613" i="1"/>
  <c r="AN612" i="1"/>
  <c r="AP198" i="1"/>
  <c r="R37" i="11" s="1"/>
  <c r="AP178" i="1"/>
  <c r="T115" i="9"/>
  <c r="BU30" i="9"/>
  <c r="BQ58" i="1"/>
  <c r="BR56" i="1"/>
  <c r="AJ102" i="9"/>
  <c r="AF102" i="9"/>
  <c r="AF137" i="9"/>
  <c r="AR102" i="9"/>
  <c r="AT215" i="1"/>
  <c r="AS618" i="1" s="1"/>
  <c r="AT227" i="1"/>
  <c r="AT228" i="1"/>
  <c r="E84" i="9"/>
  <c r="E86" i="9" s="1"/>
  <c r="E75" i="9"/>
  <c r="E81" i="9" s="1"/>
  <c r="E138" i="9" s="1"/>
  <c r="I123" i="9"/>
  <c r="AK122" i="9"/>
  <c r="AG73" i="9"/>
  <c r="AG123" i="9" s="1"/>
  <c r="AG83" i="9"/>
  <c r="AG94" i="9"/>
  <c r="AG91" i="9" s="1"/>
  <c r="BM618" i="1"/>
  <c r="BM220" i="1"/>
  <c r="BM613" i="1"/>
  <c r="BM612" i="1"/>
  <c r="AH122" i="9"/>
  <c r="AS84" i="9"/>
  <c r="AS86" i="9" s="1"/>
  <c r="AS75" i="9"/>
  <c r="AS81" i="9" s="1"/>
  <c r="AS138" i="9" s="1"/>
  <c r="H618" i="1"/>
  <c r="H220" i="1"/>
  <c r="H137" i="9" s="1"/>
  <c r="H613" i="1"/>
  <c r="H612" i="1"/>
  <c r="BM298" i="1"/>
  <c r="BM140" i="1"/>
  <c r="BM299" i="1"/>
  <c r="Z133" i="9"/>
  <c r="Z44" i="9"/>
  <c r="Z50" i="9" s="1"/>
  <c r="V56" i="9"/>
  <c r="V135" i="9" s="1"/>
  <c r="V133" i="1"/>
  <c r="V64" i="9" s="1"/>
  <c r="K102" i="9"/>
  <c r="AS617" i="1"/>
  <c r="AB531" i="1"/>
  <c r="F205" i="1"/>
  <c r="F181" i="1"/>
  <c r="AE55" i="9"/>
  <c r="AE298" i="1"/>
  <c r="AE140" i="1"/>
  <c r="K75" i="9"/>
  <c r="K81" i="9" s="1"/>
  <c r="K138" i="9" s="1"/>
  <c r="K84" i="9"/>
  <c r="K86" i="9" s="1"/>
  <c r="AP530" i="1"/>
  <c r="AP531" i="1" s="1"/>
  <c r="AP547" i="1"/>
  <c r="N115" i="9"/>
  <c r="BT32" i="9"/>
  <c r="BP15" i="1"/>
  <c r="BT28" i="9" s="1"/>
  <c r="BH123" i="9"/>
  <c r="BG75" i="9"/>
  <c r="BG81" i="9" s="1"/>
  <c r="BG138" i="9" s="1"/>
  <c r="BG84" i="9"/>
  <c r="BG86" i="9" s="1"/>
  <c r="W278" i="1"/>
  <c r="W279" i="1" s="1"/>
  <c r="W280" i="1" s="1"/>
  <c r="W281" i="1" s="1"/>
  <c r="W258" i="1"/>
  <c r="W261" i="1"/>
  <c r="BG102" i="9"/>
  <c r="BG103" i="9" s="1"/>
  <c r="BG106" i="9" s="1"/>
  <c r="K618" i="1"/>
  <c r="K220" i="1"/>
  <c r="K137" i="9" s="1"/>
  <c r="K613" i="1"/>
  <c r="K612" i="1"/>
  <c r="BL102" i="9"/>
  <c r="BL103" i="9" s="1"/>
  <c r="L102" i="9"/>
  <c r="AG137" i="9"/>
  <c r="AG102" i="9"/>
  <c r="AS94" i="9"/>
  <c r="AS91" i="9" s="1"/>
  <c r="V133" i="9"/>
  <c r="V44" i="9"/>
  <c r="V50" i="9" s="1"/>
  <c r="N531" i="1"/>
  <c r="AA220" i="1"/>
  <c r="AA137" i="9" s="1"/>
  <c r="AA613" i="1"/>
  <c r="AA612" i="1"/>
  <c r="BA505" i="1"/>
  <c r="X618" i="1"/>
  <c r="X220" i="1"/>
  <c r="X137" i="9" s="1"/>
  <c r="X613" i="1"/>
  <c r="X612" i="1"/>
  <c r="AB618" i="1"/>
  <c r="AD178" i="1"/>
  <c r="AD198" i="1"/>
  <c r="F37" i="11" s="1"/>
  <c r="F40" i="11" s="1"/>
  <c r="AI112" i="9"/>
  <c r="Y123" i="9"/>
  <c r="U75" i="9"/>
  <c r="U81" i="9" s="1"/>
  <c r="U138" i="9" s="1"/>
  <c r="U84" i="9"/>
  <c r="U86" i="9" s="1"/>
  <c r="AP215" i="1"/>
  <c r="AO618" i="1" s="1"/>
  <c r="AP228" i="1"/>
  <c r="Y251" i="1"/>
  <c r="Y231" i="1"/>
  <c r="Y51" i="9" s="1"/>
  <c r="AU102" i="9"/>
  <c r="T55" i="9"/>
  <c r="T298" i="1"/>
  <c r="T140" i="1"/>
  <c r="R55" i="9"/>
  <c r="R298" i="1"/>
  <c r="R140" i="1"/>
  <c r="R123" i="9"/>
  <c r="N75" i="9"/>
  <c r="N81" i="9" s="1"/>
  <c r="N138" i="9" s="1"/>
  <c r="N84" i="9"/>
  <c r="N86" i="9" s="1"/>
  <c r="D84" i="9"/>
  <c r="D86" i="9" s="1"/>
  <c r="D75" i="9"/>
  <c r="D81" i="9" s="1"/>
  <c r="D138" i="9" s="1"/>
  <c r="H123" i="9"/>
  <c r="AO220" i="1"/>
  <c r="AO137" i="9" s="1"/>
  <c r="AO613" i="1"/>
  <c r="AO612" i="1"/>
  <c r="BF102" i="9"/>
  <c r="BF103" i="9" s="1"/>
  <c r="BF106" i="9" s="1"/>
  <c r="BM134" i="9"/>
  <c r="BM93" i="9"/>
  <c r="BM90" i="9" s="1"/>
  <c r="BM66" i="9"/>
  <c r="M617" i="1"/>
  <c r="C708" i="1"/>
  <c r="C1" i="9"/>
  <c r="D4" i="1"/>
  <c r="C3" i="1"/>
  <c r="AD133" i="9"/>
  <c r="AD44" i="9"/>
  <c r="AD50" i="9" s="1"/>
  <c r="Z112" i="9"/>
  <c r="AC112" i="9"/>
  <c r="AB112" i="9"/>
  <c r="AJ55" i="9"/>
  <c r="AJ298" i="1"/>
  <c r="AJ140" i="1"/>
  <c r="AO123" i="9"/>
  <c r="AK84" i="9"/>
  <c r="AK86" i="9" s="1"/>
  <c r="AK75" i="9"/>
  <c r="AK81" i="9" s="1"/>
  <c r="AK138" i="9" s="1"/>
  <c r="T618" i="1"/>
  <c r="T220" i="1"/>
  <c r="T137" i="9" s="1"/>
  <c r="T613" i="1"/>
  <c r="T612" i="1"/>
  <c r="AC102" i="9"/>
  <c r="AC137" i="9"/>
  <c r="G102" i="9"/>
  <c r="BB618" i="1"/>
  <c r="BB220" i="1"/>
  <c r="BB612" i="1"/>
  <c r="BB613" i="1"/>
  <c r="E220" i="1"/>
  <c r="E137" i="9" s="1"/>
  <c r="E613" i="1"/>
  <c r="E612" i="1"/>
  <c r="AX23" i="9"/>
  <c r="AX10" i="1"/>
  <c r="AX17" i="9" s="1"/>
  <c r="AO102" i="9"/>
  <c r="W220" i="1"/>
  <c r="W137" i="9" s="1"/>
  <c r="W613" i="1"/>
  <c r="W612" i="1"/>
  <c r="BA23" i="9"/>
  <c r="BA17" i="9"/>
  <c r="BI102" i="9"/>
  <c r="BI103" i="9" s="1"/>
  <c r="BI106" i="9" s="1"/>
  <c r="G122" i="9"/>
  <c r="C83" i="9"/>
  <c r="C73" i="9"/>
  <c r="AO531" i="1"/>
  <c r="AF617" i="1"/>
  <c r="V531" i="1"/>
  <c r="P230" i="1"/>
  <c r="P222" i="1"/>
  <c r="P225" i="1"/>
  <c r="W122" i="9"/>
  <c r="S94" i="9"/>
  <c r="S91" i="9" s="1"/>
  <c r="S73" i="9"/>
  <c r="S83" i="9"/>
  <c r="BI618" i="1"/>
  <c r="BI220" i="1"/>
  <c r="BI613" i="1"/>
  <c r="BI612" i="1"/>
  <c r="BI540" i="1"/>
  <c r="BI542" i="1"/>
  <c r="BI531" i="1"/>
  <c r="W112" i="9"/>
  <c r="J75" i="9"/>
  <c r="J81" i="9" s="1"/>
  <c r="J138" i="9" s="1"/>
  <c r="N123" i="9"/>
  <c r="J84" i="9"/>
  <c r="J86" i="9" s="1"/>
  <c r="AR84" i="9"/>
  <c r="AR86" i="9" s="1"/>
  <c r="AR75" i="9"/>
  <c r="AR81" i="9" s="1"/>
  <c r="AR138" i="9" s="1"/>
  <c r="O102" i="9"/>
  <c r="Z530" i="1"/>
  <c r="Z531" i="1" s="1"/>
  <c r="Z547" i="1"/>
  <c r="I102" i="9"/>
  <c r="E102" i="9"/>
  <c r="AA102" i="9"/>
  <c r="Z123" i="9"/>
  <c r="V75" i="9"/>
  <c r="V81" i="9" s="1"/>
  <c r="V138" i="9" s="1"/>
  <c r="V84" i="9"/>
  <c r="V86" i="9" s="1"/>
  <c r="AJ122" i="9"/>
  <c r="AF73" i="9"/>
  <c r="AF123" i="9" s="1"/>
  <c r="AF83" i="9"/>
  <c r="AF94" i="9"/>
  <c r="AF91" i="9" s="1"/>
  <c r="AN102" i="9"/>
  <c r="BA279" i="1"/>
  <c r="BA280" i="1" s="1"/>
  <c r="BA281" i="1" s="1"/>
  <c r="AL205" i="1"/>
  <c r="N43" i="11" s="1"/>
  <c r="AL181" i="1"/>
  <c r="L83" i="9"/>
  <c r="P122" i="9"/>
  <c r="L94" i="9"/>
  <c r="L91" i="9" s="1"/>
  <c r="L73" i="9"/>
  <c r="L123" i="9" s="1"/>
  <c r="AI55" i="9"/>
  <c r="AI298" i="1"/>
  <c r="AI140" i="1"/>
  <c r="V123" i="9"/>
  <c r="R75" i="9"/>
  <c r="R81" i="9" s="1"/>
  <c r="R138" i="9" s="1"/>
  <c r="R84" i="9"/>
  <c r="R86" i="9" s="1"/>
  <c r="AK102" i="9"/>
  <c r="AL133" i="9"/>
  <c r="AL44" i="9"/>
  <c r="AL50" i="9" s="1"/>
  <c r="BE56" i="9"/>
  <c r="BE135" i="9" s="1"/>
  <c r="BA133" i="1"/>
  <c r="R102" i="9"/>
  <c r="I105" i="9"/>
  <c r="BJ618" i="1"/>
  <c r="BJ220" i="1"/>
  <c r="BJ613" i="1"/>
  <c r="BJ612" i="1"/>
  <c r="BA205" i="1"/>
  <c r="BA181" i="1"/>
  <c r="P137" i="9"/>
  <c r="P102" i="9"/>
  <c r="AK55" i="9"/>
  <c r="AK298" i="1"/>
  <c r="AK140" i="1"/>
  <c r="Y112" i="9"/>
  <c r="BK123" i="9"/>
  <c r="BJ84" i="9"/>
  <c r="BJ86" i="9" s="1"/>
  <c r="BJ75" i="9"/>
  <c r="BJ81" i="9" s="1"/>
  <c r="BJ138" i="9" s="1"/>
  <c r="AA112" i="9"/>
  <c r="G105" i="9"/>
  <c r="H102" i="9"/>
  <c r="AO84" i="9"/>
  <c r="AO86" i="9" s="1"/>
  <c r="AO75" i="9"/>
  <c r="AO81" i="9" s="1"/>
  <c r="AO138" i="9" s="1"/>
  <c r="AS123" i="9"/>
  <c r="BD181" i="1"/>
  <c r="BD205" i="1"/>
  <c r="S618" i="1"/>
  <c r="S220" i="1"/>
  <c r="S137" i="9" s="1"/>
  <c r="S613" i="1"/>
  <c r="S612" i="1"/>
  <c r="Y55" i="9"/>
  <c r="Y298" i="1"/>
  <c r="Y140" i="1"/>
  <c r="AR112" i="9"/>
  <c r="AM222" i="1"/>
  <c r="AM225" i="1"/>
  <c r="AM230" i="1"/>
  <c r="AH228" i="1"/>
  <c r="AH215" i="1"/>
  <c r="BK625" i="1" s="1"/>
  <c r="AH227" i="1"/>
  <c r="BL279" i="1"/>
  <c r="BL280" i="1" s="1"/>
  <c r="BL281" i="1" s="1"/>
  <c r="AM122" i="9"/>
  <c r="AI83" i="9"/>
  <c r="AI73" i="9"/>
  <c r="AI94" i="9"/>
  <c r="AI91" i="9" s="1"/>
  <c r="AS112" i="9"/>
  <c r="BO576" i="1"/>
  <c r="AR618" i="1"/>
  <c r="AR220" i="1"/>
  <c r="AR613" i="1"/>
  <c r="AR612" i="1"/>
  <c r="S55" i="9"/>
  <c r="S298" i="1"/>
  <c r="S140" i="1"/>
  <c r="U220" i="1"/>
  <c r="U137" i="9" s="1"/>
  <c r="U613" i="1"/>
  <c r="U612" i="1"/>
  <c r="AH178" i="1"/>
  <c r="AH198" i="1"/>
  <c r="J37" i="11" s="1"/>
  <c r="D102" i="9"/>
  <c r="BL84" i="9"/>
  <c r="BL86" i="9" s="1"/>
  <c r="BL75" i="9"/>
  <c r="BL81" i="9" s="1"/>
  <c r="BL138" i="9" s="1"/>
  <c r="BM123" i="9"/>
  <c r="AU220" i="1"/>
  <c r="AU137" i="9" s="1"/>
  <c r="AU612" i="1"/>
  <c r="AU613" i="1"/>
  <c r="BS20" i="9"/>
  <c r="BO7" i="1"/>
  <c r="BS14" i="9" s="1"/>
  <c r="BO34" i="1"/>
  <c r="AD530" i="1"/>
  <c r="AD531" i="1" s="1"/>
  <c r="AD547" i="1"/>
  <c r="Y102" i="9"/>
  <c r="Y137" i="9"/>
  <c r="BD102" i="9"/>
  <c r="BD103" i="9" s="1"/>
  <c r="AZ618" i="1"/>
  <c r="AZ220" i="1"/>
  <c r="AZ613" i="1"/>
  <c r="AZ612" i="1"/>
  <c r="BM279" i="1"/>
  <c r="BM280" i="1" s="1"/>
  <c r="BM281" i="1" s="1"/>
  <c r="AD215" i="1"/>
  <c r="BJ625" i="1" s="1"/>
  <c r="AD228" i="1"/>
  <c r="AD227" i="1"/>
  <c r="AY4" i="9"/>
  <c r="AH133" i="9"/>
  <c r="AH44" i="9"/>
  <c r="AH50" i="9" s="1"/>
  <c r="L55" i="9"/>
  <c r="L120" i="9" s="1"/>
  <c r="L298" i="1"/>
  <c r="L140" i="1"/>
  <c r="R220" i="1"/>
  <c r="R137" i="9" s="1"/>
  <c r="R613" i="1"/>
  <c r="R612" i="1"/>
  <c r="AH617" i="1"/>
  <c r="AB102" i="9"/>
  <c r="AX24" i="9"/>
  <c r="AX190" i="1"/>
  <c r="X123" i="9"/>
  <c r="T75" i="9"/>
  <c r="T81" i="9" s="1"/>
  <c r="T138" i="9" s="1"/>
  <c r="T84" i="9"/>
  <c r="T86" i="9" s="1"/>
  <c r="H84" i="9"/>
  <c r="H86" i="9" s="1"/>
  <c r="H75" i="9"/>
  <c r="H81" i="9" s="1"/>
  <c r="H138" i="9" s="1"/>
  <c r="Z215" i="1"/>
  <c r="Y618" i="1" s="1"/>
  <c r="Z228" i="1"/>
  <c r="Z227" i="1"/>
  <c r="BK102" i="9"/>
  <c r="BK103" i="9" s="1"/>
  <c r="AD112" i="9"/>
  <c r="AE112" i="9"/>
  <c r="AG112" i="9"/>
  <c r="AF112" i="9"/>
  <c r="BD279" i="1"/>
  <c r="BD280" i="1" s="1"/>
  <c r="BD281" i="1" s="1"/>
  <c r="AN83" i="9"/>
  <c r="AN73" i="9"/>
  <c r="AN123" i="9" s="1"/>
  <c r="AR122" i="9"/>
  <c r="AN94" i="9"/>
  <c r="AN91" i="9" s="1"/>
  <c r="X55" i="9"/>
  <c r="X298" i="1"/>
  <c r="X140" i="1"/>
  <c r="AH530" i="1"/>
  <c r="AH531" i="1" s="1"/>
  <c r="AH547" i="1"/>
  <c r="BE618" i="1"/>
  <c r="BE625" i="1"/>
  <c r="BE220" i="1"/>
  <c r="BE612" i="1"/>
  <c r="BE613" i="1"/>
  <c r="AS220" i="1"/>
  <c r="AS137" i="9" s="1"/>
  <c r="AS612" i="1"/>
  <c r="AS613" i="1"/>
  <c r="BE102" i="9"/>
  <c r="BE103" i="9" s="1"/>
  <c r="BF123" i="9"/>
  <c r="BE75" i="9"/>
  <c r="BE81" i="9" s="1"/>
  <c r="BE138" i="9" s="1"/>
  <c r="BE84" i="9"/>
  <c r="BE86" i="9" s="1"/>
  <c r="BG618" i="1"/>
  <c r="BG625" i="1"/>
  <c r="BG220" i="1"/>
  <c r="BG612" i="1"/>
  <c r="BG613" i="1"/>
  <c r="X112" i="9"/>
  <c r="AL531" i="1"/>
  <c r="BO286" i="1"/>
  <c r="I618" i="1"/>
  <c r="I220" i="1"/>
  <c r="I137" i="9" s="1"/>
  <c r="I613" i="1"/>
  <c r="I612" i="1"/>
  <c r="AJ618" i="1"/>
  <c r="AJ220" i="1"/>
  <c r="AJ137" i="9" s="1"/>
  <c r="AJ613" i="1"/>
  <c r="AJ612" i="1"/>
  <c r="BB178" i="1"/>
  <c r="BB198" i="1"/>
  <c r="S102" i="9"/>
  <c r="BD617" i="1"/>
  <c r="BE617" i="1"/>
  <c r="BF618" i="1"/>
  <c r="BF220" i="1"/>
  <c r="BF613" i="1"/>
  <c r="BF612" i="1"/>
  <c r="BN617" i="1"/>
  <c r="H134" i="9"/>
  <c r="H66" i="9"/>
  <c r="U102" i="9"/>
  <c r="AE102" i="9"/>
  <c r="AE137" i="9"/>
  <c r="O205" i="1"/>
  <c r="O181" i="1"/>
  <c r="AK220" i="1"/>
  <c r="AK137" i="9" s="1"/>
  <c r="AK613" i="1"/>
  <c r="AK612" i="1"/>
  <c r="AB123" i="9"/>
  <c r="X75" i="9"/>
  <c r="X81" i="9" s="1"/>
  <c r="X138" i="9" s="1"/>
  <c r="X84" i="9"/>
  <c r="X86" i="9" s="1"/>
  <c r="D56" i="9"/>
  <c r="D135" i="9" s="1"/>
  <c r="D133" i="1"/>
  <c r="D64" i="9" s="1"/>
  <c r="BN84" i="9"/>
  <c r="BN86" i="9" s="1"/>
  <c r="BN75" i="9"/>
  <c r="BN81" i="9" s="1"/>
  <c r="BN138" i="9" s="1"/>
  <c r="R529" i="1"/>
  <c r="R545" i="1"/>
  <c r="R136" i="1"/>
  <c r="R204" i="1"/>
  <c r="R139" i="1" s="1"/>
  <c r="R65" i="9" s="1"/>
  <c r="AE230" i="1"/>
  <c r="AE225" i="1"/>
  <c r="AE222" i="1"/>
  <c r="AC84" i="9"/>
  <c r="AC86" i="9" s="1"/>
  <c r="AC75" i="9"/>
  <c r="AC81" i="9" s="1"/>
  <c r="AC138" i="9" s="1"/>
  <c r="AH94" i="9"/>
  <c r="AH91" i="9" s="1"/>
  <c r="AL122" i="9"/>
  <c r="AH73" i="9"/>
  <c r="AH123" i="9" s="1"/>
  <c r="AH83" i="9"/>
  <c r="AT530" i="1"/>
  <c r="AT531" i="1" s="1"/>
  <c r="AT547" i="1"/>
  <c r="W102" i="9"/>
  <c r="AM278" i="1"/>
  <c r="AM279" i="1" s="1"/>
  <c r="AM280" i="1" s="1"/>
  <c r="AM281" i="1" s="1"/>
  <c r="AM261" i="1"/>
  <c r="AM258" i="1"/>
  <c r="AM102" i="9"/>
  <c r="AM137" i="9"/>
  <c r="O56" i="9"/>
  <c r="O135" i="9" s="1"/>
  <c r="O133" i="1"/>
  <c r="O64" i="9" s="1"/>
  <c r="BC618" i="1"/>
  <c r="BC220" i="1"/>
  <c r="BC612" i="1"/>
  <c r="BC613" i="1"/>
  <c r="X94" i="9"/>
  <c r="X91" i="9" s="1"/>
  <c r="D205" i="1"/>
  <c r="D181" i="1"/>
  <c r="BH84" i="9"/>
  <c r="BH86" i="9" s="1"/>
  <c r="BI123" i="9"/>
  <c r="BH75" i="9"/>
  <c r="BH81" i="9" s="1"/>
  <c r="BH138" i="9" s="1"/>
  <c r="AP133" i="9"/>
  <c r="AP44" i="9"/>
  <c r="AP50" i="9" s="1"/>
  <c r="AG122" i="9"/>
  <c r="AM83" i="9"/>
  <c r="AM73" i="9"/>
  <c r="AQ122" i="9"/>
  <c r="AM94" i="9"/>
  <c r="AM91" i="9" s="1"/>
  <c r="P55" i="9"/>
  <c r="P298" i="1"/>
  <c r="P140" i="1"/>
  <c r="I617" i="1"/>
  <c r="BN298" i="1"/>
  <c r="BN140" i="1"/>
  <c r="BN299" i="1"/>
  <c r="BJ102" i="9"/>
  <c r="BJ103" i="9" s="1"/>
  <c r="AA55" i="9"/>
  <c r="AA298" i="1"/>
  <c r="AA140" i="1"/>
  <c r="R537" i="1"/>
  <c r="BA617" i="1"/>
  <c r="BB617" i="1"/>
  <c r="AZ617" i="1"/>
  <c r="BH618" i="1"/>
  <c r="BH220" i="1"/>
  <c r="BH613" i="1"/>
  <c r="BH612" i="1"/>
  <c r="K55" i="9"/>
  <c r="K298" i="1"/>
  <c r="K140" i="1"/>
  <c r="M55" i="9"/>
  <c r="M298" i="1"/>
  <c r="M140" i="1"/>
  <c r="BL618" i="1"/>
  <c r="BL220" i="1"/>
  <c r="BL613" i="1"/>
  <c r="BL612" i="1"/>
  <c r="T123" i="9"/>
  <c r="P75" i="9"/>
  <c r="P81" i="9" s="1"/>
  <c r="P138" i="9" s="1"/>
  <c r="P84" i="9"/>
  <c r="P86" i="9" s="1"/>
  <c r="AU94" i="9"/>
  <c r="AU91" i="9" s="1"/>
  <c r="AU83" i="9"/>
  <c r="AU73" i="9"/>
  <c r="AQ220" i="1"/>
  <c r="AQ137" i="9" s="1"/>
  <c r="AQ613" i="1"/>
  <c r="AQ612" i="1"/>
  <c r="AQ102" i="9"/>
  <c r="O278" i="1"/>
  <c r="O279" i="1" s="1"/>
  <c r="O280" i="1" s="1"/>
  <c r="O281" i="1" s="1"/>
  <c r="O258" i="1"/>
  <c r="O261" i="1"/>
  <c r="BB21" i="9"/>
  <c r="BB15" i="9"/>
  <c r="AI220" i="1"/>
  <c r="AI613" i="1"/>
  <c r="AI612" i="1"/>
  <c r="L618" i="1"/>
  <c r="L220" i="1"/>
  <c r="L137" i="9" s="1"/>
  <c r="L612" i="1"/>
  <c r="L613" i="1"/>
  <c r="BE123" i="9"/>
  <c r="BD75" i="9"/>
  <c r="BD81" i="9" s="1"/>
  <c r="BD138" i="9" s="1"/>
  <c r="BD84" i="9"/>
  <c r="BD86" i="9" s="1"/>
  <c r="AB56" i="9"/>
  <c r="AB135" i="9" s="1"/>
  <c r="AB133" i="1"/>
  <c r="AB64" i="9" s="1"/>
  <c r="G55" i="9"/>
  <c r="G298" i="1"/>
  <c r="G140" i="1"/>
  <c r="Z56" i="9"/>
  <c r="Z135" i="9" s="1"/>
  <c r="Z133" i="1"/>
  <c r="Z64" i="9" s="1"/>
  <c r="D618" i="1"/>
  <c r="D220" i="1"/>
  <c r="D137" i="9" s="1"/>
  <c r="D613" i="1"/>
  <c r="D612" i="1"/>
  <c r="AM531" i="1"/>
  <c r="W205" i="1"/>
  <c r="W181" i="1"/>
  <c r="I55" i="9"/>
  <c r="I298" i="1"/>
  <c r="I140" i="1"/>
  <c r="AX318" i="1"/>
  <c r="AX303" i="1" s="1"/>
  <c r="BS318" i="1"/>
  <c r="BS303" i="1" s="1"/>
  <c r="BR318" i="1"/>
  <c r="BR303" i="1" s="1"/>
  <c r="BQ318" i="1"/>
  <c r="BQ303" i="1" s="1"/>
  <c r="AW318" i="1"/>
  <c r="AW303" i="1" s="1"/>
  <c r="AV318" i="1"/>
  <c r="AV303" i="1" s="1"/>
  <c r="BP318" i="1"/>
  <c r="BP303" i="1" s="1"/>
  <c r="BO318" i="1"/>
  <c r="BO303" i="1" s="1"/>
  <c r="M220" i="1"/>
  <c r="M137" i="9" s="1"/>
  <c r="M612" i="1"/>
  <c r="M613" i="1"/>
  <c r="BS4" i="9"/>
  <c r="AU198" i="1"/>
  <c r="AU178" i="1"/>
  <c r="Q137" i="9"/>
  <c r="Q102" i="9"/>
  <c r="AJ94" i="9"/>
  <c r="AJ91" i="9" s="1"/>
  <c r="BN123" i="9"/>
  <c r="BM84" i="9"/>
  <c r="BM86" i="9" s="1"/>
  <c r="BM75" i="9"/>
  <c r="BM81" i="9" s="1"/>
  <c r="BM138" i="9" s="1"/>
  <c r="AI122" i="9"/>
  <c r="AE73" i="9"/>
  <c r="AE94" i="9"/>
  <c r="AE91" i="9" s="1"/>
  <c r="AE83" i="9"/>
  <c r="AE122" i="9"/>
  <c r="BD618" i="1"/>
  <c r="BD220" i="1"/>
  <c r="BD613" i="1"/>
  <c r="BD612" i="1"/>
  <c r="BS21" i="9"/>
  <c r="BO36" i="1"/>
  <c r="BO8" i="1"/>
  <c r="BS15" i="9" s="1"/>
  <c r="BO31" i="1"/>
  <c r="BO32" i="1" s="1"/>
  <c r="BS24" i="9" s="1"/>
  <c r="W56" i="9"/>
  <c r="W135" i="9" s="1"/>
  <c r="W133" i="1"/>
  <c r="W64" i="9" s="1"/>
  <c r="AV23" i="9"/>
  <c r="AV10" i="1"/>
  <c r="AV17" i="9" s="1"/>
  <c r="AV32" i="1"/>
  <c r="AQ261" i="1"/>
  <c r="AQ258" i="1"/>
  <c r="AQ278" i="1"/>
  <c r="AQ279" i="1" s="1"/>
  <c r="AQ280" i="1" s="1"/>
  <c r="AQ281" i="1" s="1"/>
  <c r="R115" i="9"/>
  <c r="C618" i="1"/>
  <c r="C220" i="1"/>
  <c r="C613" i="1"/>
  <c r="C612" i="1"/>
  <c r="BA618" i="1"/>
  <c r="BA220" i="1"/>
  <c r="BA612" i="1"/>
  <c r="BA613" i="1"/>
  <c r="AJ84" i="9"/>
  <c r="AJ86" i="9" s="1"/>
  <c r="AJ75" i="9"/>
  <c r="AJ81" i="9" s="1"/>
  <c r="AJ138" i="9" s="1"/>
  <c r="BN102" i="9"/>
  <c r="BN103" i="9" s="1"/>
  <c r="O220" i="1"/>
  <c r="O137" i="9" s="1"/>
  <c r="O612" i="1"/>
  <c r="O613" i="1"/>
  <c r="AL259" i="1"/>
  <c r="BL628" i="1"/>
  <c r="C205" i="1"/>
  <c r="C181" i="1"/>
  <c r="M75" i="9"/>
  <c r="M81" i="9" s="1"/>
  <c r="M138" i="9" s="1"/>
  <c r="M84" i="9"/>
  <c r="M86" i="9" s="1"/>
  <c r="G220" i="1"/>
  <c r="G613" i="1"/>
  <c r="G612" i="1"/>
  <c r="BV4" i="9"/>
  <c r="N133" i="9"/>
  <c r="N44" i="9"/>
  <c r="N50" i="9" s="1"/>
  <c r="BC617" i="1"/>
  <c r="J220" i="1"/>
  <c r="J612" i="1"/>
  <c r="J613" i="1"/>
  <c r="J105" i="9"/>
  <c r="K105" i="9"/>
  <c r="V228" i="1"/>
  <c r="V215" i="1"/>
  <c r="W618" i="1" s="1"/>
  <c r="V227" i="1"/>
  <c r="BM102" i="9"/>
  <c r="BM103" i="9" s="1"/>
  <c r="BM106" i="9" s="1"/>
  <c r="S115" i="9"/>
  <c r="S116" i="9" s="1"/>
  <c r="G83" i="9"/>
  <c r="K122" i="9"/>
  <c r="G94" i="9"/>
  <c r="G91" i="9" s="1"/>
  <c r="G73" i="9"/>
  <c r="AG57" i="9"/>
  <c r="AG232" i="1"/>
  <c r="AG58" i="9" s="1"/>
  <c r="AG87" i="9" s="1"/>
  <c r="Q225" i="1"/>
  <c r="Q222" i="1"/>
  <c r="Q230" i="1"/>
  <c r="E412" i="1"/>
  <c r="D413" i="1"/>
  <c r="R617" i="1"/>
  <c r="AI531" i="1"/>
  <c r="AN122" i="9"/>
  <c r="X102" i="9"/>
  <c r="AB84" i="9"/>
  <c r="AB86" i="9" s="1"/>
  <c r="AB75" i="9"/>
  <c r="AB81" i="9" s="1"/>
  <c r="AB138" i="9" s="1"/>
  <c r="AF57" i="9"/>
  <c r="AF232" i="1"/>
  <c r="AF58" i="9" s="1"/>
  <c r="AF87" i="9" s="1"/>
  <c r="AS102" i="9"/>
  <c r="N215" i="1"/>
  <c r="R618" i="1" s="1"/>
  <c r="N228" i="1"/>
  <c r="N227" i="1"/>
  <c r="AL94" i="9"/>
  <c r="AL91" i="9" s="1"/>
  <c r="AP122" i="9"/>
  <c r="AL83" i="9"/>
  <c r="AL73" i="9"/>
  <c r="H617" i="1"/>
  <c r="Q94" i="9"/>
  <c r="Q91" i="9" s="1"/>
  <c r="U122" i="9"/>
  <c r="Q83" i="9"/>
  <c r="Q73" i="9"/>
  <c r="Q618" i="1"/>
  <c r="J56" i="9"/>
  <c r="J135" i="9" s="1"/>
  <c r="J133" i="1"/>
  <c r="J64" i="9" s="1"/>
  <c r="O94" i="9"/>
  <c r="O91" i="9" s="1"/>
  <c r="S122" i="9"/>
  <c r="O83" i="9"/>
  <c r="O73" i="9"/>
  <c r="O123" i="9" s="1"/>
  <c r="BK618" i="1"/>
  <c r="BK220" i="1"/>
  <c r="BK613" i="1"/>
  <c r="BK612" i="1"/>
  <c r="AK531" i="1"/>
  <c r="BU31" i="9"/>
  <c r="BR57" i="1"/>
  <c r="AI102" i="9"/>
  <c r="D531" i="1"/>
  <c r="AT133" i="9"/>
  <c r="AT44" i="9"/>
  <c r="AT50" i="9" s="1"/>
  <c r="BP477" i="1"/>
  <c r="BP263" i="1"/>
  <c r="M105" i="9"/>
  <c r="AU115" i="9"/>
  <c r="N112" i="9"/>
  <c r="P112" i="9"/>
  <c r="Q112" i="9"/>
  <c r="BG123" i="9"/>
  <c r="BH102" i="9"/>
  <c r="BH103" i="9" s="1"/>
  <c r="BL123" i="9"/>
  <c r="BK84" i="9"/>
  <c r="BK86" i="9" s="1"/>
  <c r="BK75" i="9"/>
  <c r="BK81" i="9" s="1"/>
  <c r="BK138" i="9" s="1"/>
  <c r="AC123" i="9"/>
  <c r="Y75" i="9"/>
  <c r="Y81" i="9" s="1"/>
  <c r="Y138" i="9" s="1"/>
  <c r="Y84" i="9"/>
  <c r="Y86" i="9" s="1"/>
  <c r="N205" i="1"/>
  <c r="N181" i="1"/>
  <c r="Y94" i="9"/>
  <c r="Y91" i="9" s="1"/>
  <c r="BG540" i="1"/>
  <c r="BG542" i="1"/>
  <c r="BG531" i="1"/>
  <c r="T102" i="9"/>
  <c r="AQ112" i="9"/>
  <c r="BN618" i="1"/>
  <c r="BN220" i="1"/>
  <c r="BN613" i="1"/>
  <c r="BN612" i="1"/>
  <c r="AQ94" i="9"/>
  <c r="AQ91" i="9" s="1"/>
  <c r="AU122" i="9"/>
  <c r="AQ83" i="9"/>
  <c r="AQ73" i="9"/>
  <c r="AQ55" i="9"/>
  <c r="AQ298" i="1"/>
  <c r="AQ140" i="1"/>
  <c r="AZ21" i="9"/>
  <c r="AZ15" i="9"/>
  <c r="BP29" i="1"/>
  <c r="I84" i="9"/>
  <c r="I86" i="9" s="1"/>
  <c r="I75" i="9"/>
  <c r="I81" i="9" s="1"/>
  <c r="I138" i="9" s="1"/>
  <c r="M123" i="9"/>
  <c r="F94" i="9"/>
  <c r="F91" i="9" s="1"/>
  <c r="F83" i="9"/>
  <c r="J122" i="9"/>
  <c r="F73" i="9"/>
  <c r="AL215" i="1"/>
  <c r="AK618" i="1" s="1"/>
  <c r="AL228" i="1"/>
  <c r="AL227" i="1"/>
  <c r="N56" i="9"/>
  <c r="N135" i="9" s="1"/>
  <c r="N133" i="1"/>
  <c r="N64" i="9" s="1"/>
  <c r="P617" i="1"/>
  <c r="H105" i="9"/>
  <c r="Q187" i="11" l="1"/>
  <c r="Q188" i="11"/>
  <c r="Q39" i="11" s="1"/>
  <c r="S72" i="11"/>
  <c r="L41" i="11"/>
  <c r="Z39" i="11"/>
  <c r="AA39" i="11"/>
  <c r="N40" i="11"/>
  <c r="N187" i="11" s="1"/>
  <c r="K72" i="11"/>
  <c r="K73" i="11" s="1"/>
  <c r="Y39" i="11"/>
  <c r="M72" i="11"/>
  <c r="M73" i="11" s="1"/>
  <c r="T186" i="11"/>
  <c r="T187" i="11"/>
  <c r="O188" i="11"/>
  <c r="O39" i="11" s="1"/>
  <c r="P188" i="11"/>
  <c r="P39" i="11" s="1"/>
  <c r="AX11" i="11"/>
  <c r="AB27" i="11"/>
  <c r="AC27" i="11" s="1"/>
  <c r="AP354" i="11"/>
  <c r="D8" i="15"/>
  <c r="X8" i="16"/>
  <c r="J9" i="16"/>
  <c r="AA38" i="11"/>
  <c r="AA41" i="11"/>
  <c r="AU27" i="11"/>
  <c r="X8" i="12"/>
  <c r="J9" i="12"/>
  <c r="AU37" i="11"/>
  <c r="G370" i="11"/>
  <c r="F370" i="11"/>
  <c r="Y462" i="11"/>
  <c r="Z60" i="11"/>
  <c r="Z61" i="11" s="1"/>
  <c r="Z41" i="11"/>
  <c r="Z38" i="11"/>
  <c r="Z437" i="11"/>
  <c r="Z462" i="11" s="1"/>
  <c r="W241" i="11"/>
  <c r="AU241" i="11" s="1"/>
  <c r="AU239" i="11"/>
  <c r="H94" i="16"/>
  <c r="Y41" i="11"/>
  <c r="Y38" i="11"/>
  <c r="Y61" i="11"/>
  <c r="Y83" i="11"/>
  <c r="Y63" i="11"/>
  <c r="AJ133" i="1"/>
  <c r="AJ64" i="9" s="1"/>
  <c r="AJ56" i="9"/>
  <c r="AJ135" i="9" s="1"/>
  <c r="BL299" i="1"/>
  <c r="AS56" i="9"/>
  <c r="AS135" i="9" s="1"/>
  <c r="AS133" i="1"/>
  <c r="AS64" i="9" s="1"/>
  <c r="BL140" i="1"/>
  <c r="U41" i="11"/>
  <c r="AF140" i="1"/>
  <c r="AF298" i="1"/>
  <c r="AF181" i="1"/>
  <c r="U38" i="11"/>
  <c r="AF55" i="9"/>
  <c r="AJ120" i="9" s="1"/>
  <c r="F42" i="15"/>
  <c r="H30" i="15"/>
  <c r="H45" i="11"/>
  <c r="H49" i="11"/>
  <c r="G30" i="15"/>
  <c r="L46" i="11"/>
  <c r="L44" i="11"/>
  <c r="G42" i="15"/>
  <c r="H9" i="15"/>
  <c r="H33" i="12"/>
  <c r="AI133" i="1"/>
  <c r="AI64" i="9" s="1"/>
  <c r="H42" i="15"/>
  <c r="H33" i="16"/>
  <c r="E8" i="15"/>
  <c r="E30" i="15" s="1"/>
  <c r="E8" i="16"/>
  <c r="E8" i="12"/>
  <c r="E33" i="12" s="1"/>
  <c r="F46" i="12"/>
  <c r="H46" i="16"/>
  <c r="W8" i="15"/>
  <c r="I44" i="11"/>
  <c r="F46" i="16"/>
  <c r="I9" i="16"/>
  <c r="H46" i="12"/>
  <c r="I9" i="12"/>
  <c r="AC140" i="1"/>
  <c r="E45" i="11"/>
  <c r="G33" i="12"/>
  <c r="AC298" i="1"/>
  <c r="E49" i="11"/>
  <c r="E73" i="11" s="1"/>
  <c r="G33" i="16"/>
  <c r="G46" i="12"/>
  <c r="AC55" i="9"/>
  <c r="AC120" i="9" s="1"/>
  <c r="H9" i="12"/>
  <c r="G46" i="16"/>
  <c r="D8" i="16"/>
  <c r="D9" i="16" s="1"/>
  <c r="D8" i="12"/>
  <c r="D9" i="12" s="1"/>
  <c r="F8" i="15"/>
  <c r="G9" i="15" s="1"/>
  <c r="F8" i="16"/>
  <c r="F8" i="12"/>
  <c r="G9" i="12" s="1"/>
  <c r="H9" i="16"/>
  <c r="K8" i="15"/>
  <c r="K23" i="15" s="1"/>
  <c r="U40" i="11"/>
  <c r="AI56" i="9"/>
  <c r="AI135" i="9" s="1"/>
  <c r="M46" i="11"/>
  <c r="AO205" i="1"/>
  <c r="Q43" i="11" s="1"/>
  <c r="Q72" i="11" s="1"/>
  <c r="M44" i="11"/>
  <c r="I9" i="15"/>
  <c r="BM133" i="1"/>
  <c r="BM64" i="9" s="1"/>
  <c r="AG140" i="1"/>
  <c r="AG298" i="1"/>
  <c r="AG55" i="9"/>
  <c r="I45" i="11"/>
  <c r="I46" i="11"/>
  <c r="I49" i="11"/>
  <c r="AG56" i="9"/>
  <c r="AG135" i="9" s="1"/>
  <c r="AN205" i="1"/>
  <c r="P43" i="11" s="1"/>
  <c r="P72" i="11" s="1"/>
  <c r="X61" i="11"/>
  <c r="X83" i="11"/>
  <c r="AR140" i="1"/>
  <c r="AR298" i="1"/>
  <c r="BL623" i="1"/>
  <c r="AL133" i="1"/>
  <c r="AL64" i="9" s="1"/>
  <c r="T49" i="11"/>
  <c r="AQ56" i="9"/>
  <c r="AQ135" i="9" s="1"/>
  <c r="BL56" i="9"/>
  <c r="BL135" i="9" s="1"/>
  <c r="AL56" i="9"/>
  <c r="AL135" i="9" s="1"/>
  <c r="AR55" i="9"/>
  <c r="AR134" i="9" s="1"/>
  <c r="BK298" i="1"/>
  <c r="BK140" i="1"/>
  <c r="I37" i="11"/>
  <c r="AQ133" i="1"/>
  <c r="AQ64" i="9" s="1"/>
  <c r="T45" i="11"/>
  <c r="BK299" i="1"/>
  <c r="T29" i="11"/>
  <c r="T36" i="11" s="1"/>
  <c r="BK66" i="9"/>
  <c r="BK93" i="9"/>
  <c r="BK90" i="9" s="1"/>
  <c r="AR181" i="1"/>
  <c r="BE181" i="1"/>
  <c r="BE623" i="1" s="1"/>
  <c r="AT133" i="1"/>
  <c r="AT64" i="9" s="1"/>
  <c r="AT56" i="9"/>
  <c r="AT135" i="9" s="1"/>
  <c r="BH205" i="1"/>
  <c r="BH298" i="1" s="1"/>
  <c r="AM105" i="9"/>
  <c r="AM115" i="9" s="1"/>
  <c r="AM116" i="9" s="1"/>
  <c r="AL105" i="9"/>
  <c r="AL115" i="9" s="1"/>
  <c r="AL116" i="9" s="1"/>
  <c r="AN105" i="9"/>
  <c r="AN115" i="9" s="1"/>
  <c r="AN116" i="9" s="1"/>
  <c r="AK56" i="9"/>
  <c r="AK135" i="9" s="1"/>
  <c r="BF205" i="1"/>
  <c r="BF298" i="1" s="1"/>
  <c r="AK133" i="1"/>
  <c r="AK64" i="9" s="1"/>
  <c r="AG105" i="9"/>
  <c r="AG115" i="9" s="1"/>
  <c r="AG116" i="9" s="1"/>
  <c r="BH623" i="1"/>
  <c r="AT178" i="1"/>
  <c r="AT205" i="1" s="1"/>
  <c r="V43" i="11" s="1"/>
  <c r="AP90" i="11"/>
  <c r="D52" i="15" s="1"/>
  <c r="AM205" i="1"/>
  <c r="O43" i="11" s="1"/>
  <c r="O72" i="11" s="1"/>
  <c r="V40" i="11"/>
  <c r="R116" i="9"/>
  <c r="N29" i="11"/>
  <c r="N36" i="11" s="1"/>
  <c r="N26" i="11"/>
  <c r="R26" i="11"/>
  <c r="AE105" i="9"/>
  <c r="AE115" i="9" s="1"/>
  <c r="AE116" i="9" s="1"/>
  <c r="AK105" i="9"/>
  <c r="AK115" i="9" s="1"/>
  <c r="AK116" i="9" s="1"/>
  <c r="AI105" i="9"/>
  <c r="AI115" i="9" s="1"/>
  <c r="AI116" i="9" s="1"/>
  <c r="AD105" i="9"/>
  <c r="AD115" i="9" s="1"/>
  <c r="AD116" i="9" s="1"/>
  <c r="AJ105" i="9"/>
  <c r="AJ115" i="9" s="1"/>
  <c r="AJ116" i="9" s="1"/>
  <c r="F133" i="1"/>
  <c r="F64" i="9" s="1"/>
  <c r="T116" i="9"/>
  <c r="AP16" i="11"/>
  <c r="AP21" i="11" s="1"/>
  <c r="D10" i="12" s="1"/>
  <c r="E29" i="11"/>
  <c r="E33" i="11" s="1"/>
  <c r="BG205" i="1"/>
  <c r="BG181" i="1"/>
  <c r="BG623" i="1" s="1"/>
  <c r="AM37" i="11"/>
  <c r="BG133" i="1"/>
  <c r="BI205" i="1"/>
  <c r="BI55" i="9" s="1"/>
  <c r="BI181" i="1"/>
  <c r="BI623" i="1" s="1"/>
  <c r="AO37" i="11"/>
  <c r="BI133" i="1"/>
  <c r="BI64" i="9" s="1"/>
  <c r="S36" i="11"/>
  <c r="AQ21" i="11"/>
  <c r="E10" i="12" s="1"/>
  <c r="AR90" i="11"/>
  <c r="K29" i="11"/>
  <c r="K36" i="11" s="1"/>
  <c r="H29" i="11"/>
  <c r="I26" i="11"/>
  <c r="I29" i="11"/>
  <c r="AK33" i="11"/>
  <c r="D27" i="11"/>
  <c r="G33" i="11"/>
  <c r="J26" i="11"/>
  <c r="P26" i="11"/>
  <c r="L29" i="11"/>
  <c r="M26" i="11"/>
  <c r="AS27" i="11"/>
  <c r="M27" i="11"/>
  <c r="M29" i="11"/>
  <c r="C27" i="11"/>
  <c r="C29" i="11"/>
  <c r="C33" i="11" s="1"/>
  <c r="S33" i="11"/>
  <c r="L27" i="11"/>
  <c r="Q26" i="11"/>
  <c r="AK49" i="11"/>
  <c r="AK45" i="11"/>
  <c r="BD55" i="9"/>
  <c r="BD134" i="9" s="1"/>
  <c r="AJ43" i="11"/>
  <c r="BL55" i="9"/>
  <c r="BL134" i="9" s="1"/>
  <c r="AK38" i="11"/>
  <c r="AJ40" i="11"/>
  <c r="AR25" i="11"/>
  <c r="AS26" i="11" s="1"/>
  <c r="AR21" i="11"/>
  <c r="F10" i="12" s="1"/>
  <c r="AS21" i="11"/>
  <c r="G10" i="12" s="1"/>
  <c r="AS16" i="11"/>
  <c r="AR61" i="11"/>
  <c r="AR133" i="11"/>
  <c r="AR134" i="11" s="1"/>
  <c r="AR19" i="11" s="1"/>
  <c r="AR126" i="11"/>
  <c r="AS133" i="11"/>
  <c r="AS134" i="11" s="1"/>
  <c r="AS19" i="11" s="1"/>
  <c r="L132" i="11"/>
  <c r="P132" i="11"/>
  <c r="M132" i="11"/>
  <c r="Q132" i="11"/>
  <c r="N132" i="11"/>
  <c r="R132" i="11"/>
  <c r="K132" i="11"/>
  <c r="O132" i="11"/>
  <c r="K27" i="11"/>
  <c r="O26" i="11"/>
  <c r="K26" i="11"/>
  <c r="G26" i="11"/>
  <c r="BG137" i="9"/>
  <c r="BD137" i="9"/>
  <c r="BL137" i="9"/>
  <c r="BN137" i="9"/>
  <c r="BM137" i="9"/>
  <c r="BH137" i="9"/>
  <c r="BK64" i="9"/>
  <c r="BH56" i="9"/>
  <c r="BH135" i="9" s="1"/>
  <c r="BD56" i="9"/>
  <c r="BD135" i="9" s="1"/>
  <c r="BK137" i="9"/>
  <c r="BP621" i="1"/>
  <c r="BP72" i="9"/>
  <c r="BO9" i="9"/>
  <c r="BJ137" i="9"/>
  <c r="BE64" i="9"/>
  <c r="BD133" i="1"/>
  <c r="AB205" i="1"/>
  <c r="D43" i="11" s="1"/>
  <c r="D29" i="11" s="1"/>
  <c r="AC251" i="1"/>
  <c r="AC254" i="1" s="1"/>
  <c r="BT20" i="9"/>
  <c r="BJ140" i="1"/>
  <c r="BJ298" i="1"/>
  <c r="S73" i="11"/>
  <c r="J41" i="11"/>
  <c r="G73" i="11"/>
  <c r="L72" i="11"/>
  <c r="L73" i="11" s="1"/>
  <c r="AR43" i="11"/>
  <c r="AR45" i="11" s="1"/>
  <c r="N72" i="11"/>
  <c r="E298" i="1"/>
  <c r="E55" i="9"/>
  <c r="I120" i="9" s="1"/>
  <c r="Q41" i="11"/>
  <c r="Q38" i="11"/>
  <c r="M40" i="11"/>
  <c r="R38" i="11"/>
  <c r="AS37" i="11"/>
  <c r="R41" i="11"/>
  <c r="R40" i="11"/>
  <c r="O38" i="11"/>
  <c r="AR37" i="11"/>
  <c r="K38" i="11"/>
  <c r="K40" i="11"/>
  <c r="K41" i="11"/>
  <c r="O41" i="11"/>
  <c r="W40" i="11"/>
  <c r="W41" i="11"/>
  <c r="V41" i="11"/>
  <c r="W38" i="11"/>
  <c r="S38" i="11"/>
  <c r="AT37" i="11"/>
  <c r="S41" i="11"/>
  <c r="S40" i="11"/>
  <c r="AA56" i="9"/>
  <c r="AA135" i="9" s="1"/>
  <c r="C37" i="11"/>
  <c r="L38" i="11"/>
  <c r="P38" i="11"/>
  <c r="P41" i="11"/>
  <c r="L40" i="11"/>
  <c r="J38" i="11"/>
  <c r="J40" i="11"/>
  <c r="V38" i="11"/>
  <c r="N41" i="11"/>
  <c r="N38" i="11"/>
  <c r="AP61" i="11"/>
  <c r="F27" i="11"/>
  <c r="BF623" i="1"/>
  <c r="Y232" i="1"/>
  <c r="Y58" i="9" s="1"/>
  <c r="Y87" i="9" s="1"/>
  <c r="BS30" i="1"/>
  <c r="BW22" i="9" s="1"/>
  <c r="AW138" i="1"/>
  <c r="BJ55" i="9"/>
  <c r="BJ134" i="9" s="1"/>
  <c r="AP25" i="11"/>
  <c r="AG251" i="1"/>
  <c r="AG252" i="1" s="1"/>
  <c r="AQ116" i="9"/>
  <c r="AW38" i="9"/>
  <c r="AW194" i="1"/>
  <c r="AW193" i="1" s="1"/>
  <c r="AW39" i="9" s="1"/>
  <c r="AW11" i="1"/>
  <c r="AW18" i="9" s="1"/>
  <c r="AW196" i="1"/>
  <c r="AW40" i="9" s="1"/>
  <c r="AT27" i="11"/>
  <c r="AU26" i="11"/>
  <c r="AC232" i="1"/>
  <c r="AC58" i="9" s="1"/>
  <c r="AC87" i="9" s="1"/>
  <c r="C56" i="9"/>
  <c r="C135" i="9" s="1"/>
  <c r="J618" i="1"/>
  <c r="BP7" i="1"/>
  <c r="BT14" i="9" s="1"/>
  <c r="BD625" i="1"/>
  <c r="Y116" i="9"/>
  <c r="F612" i="1"/>
  <c r="L116" i="9"/>
  <c r="AA133" i="1"/>
  <c r="AA64" i="9" s="1"/>
  <c r="AF251" i="1"/>
  <c r="AF252" i="1" s="1"/>
  <c r="F617" i="1"/>
  <c r="E617" i="1"/>
  <c r="E618" i="1"/>
  <c r="F613" i="1"/>
  <c r="F618" i="1"/>
  <c r="AP617" i="1"/>
  <c r="AT26" i="11"/>
  <c r="AI618" i="1"/>
  <c r="F220" i="1"/>
  <c r="F137" i="9" s="1"/>
  <c r="U140" i="1"/>
  <c r="U55" i="9"/>
  <c r="Y120" i="9" s="1"/>
  <c r="G617" i="1"/>
  <c r="AO617" i="1"/>
  <c r="AQ617" i="1"/>
  <c r="AM617" i="1"/>
  <c r="J205" i="1"/>
  <c r="J55" i="9" s="1"/>
  <c r="M93" i="9" s="1"/>
  <c r="M90" i="9" s="1"/>
  <c r="AQ618" i="1"/>
  <c r="Z116" i="9"/>
  <c r="J137" i="9"/>
  <c r="AL617" i="1"/>
  <c r="AS99" i="11"/>
  <c r="AS90" i="11" s="1"/>
  <c r="AT99" i="11"/>
  <c r="AT90" i="11" s="1"/>
  <c r="AY9" i="9"/>
  <c r="T108" i="9"/>
  <c r="T109" i="9" s="1"/>
  <c r="R108" i="9"/>
  <c r="R109" i="9" s="1"/>
  <c r="Q108" i="9"/>
  <c r="Q109" i="9" s="1"/>
  <c r="S108" i="9"/>
  <c r="S109" i="9" s="1"/>
  <c r="G82" i="11"/>
  <c r="G63" i="11"/>
  <c r="G50" i="11"/>
  <c r="G52" i="11"/>
  <c r="G53" i="11"/>
  <c r="L82" i="11"/>
  <c r="L63" i="11"/>
  <c r="L52" i="11"/>
  <c r="BF625" i="1"/>
  <c r="AU116" i="9"/>
  <c r="M618" i="1"/>
  <c r="AQ99" i="11"/>
  <c r="AQ90" i="11" s="1"/>
  <c r="K82" i="11"/>
  <c r="K50" i="11"/>
  <c r="K52" i="11"/>
  <c r="K53" i="11"/>
  <c r="K63" i="11"/>
  <c r="C82" i="11"/>
  <c r="C63" i="11"/>
  <c r="C52" i="11"/>
  <c r="O618" i="1"/>
  <c r="AH278" i="1"/>
  <c r="AH279" i="1" s="1"/>
  <c r="AH280" i="1" s="1"/>
  <c r="AH281" i="1" s="1"/>
  <c r="AH261" i="1"/>
  <c r="AH258" i="1"/>
  <c r="AY24" i="9"/>
  <c r="S82" i="11"/>
  <c r="S52" i="11"/>
  <c r="S63" i="11"/>
  <c r="AP261" i="1"/>
  <c r="AP258" i="1"/>
  <c r="AP278" i="1"/>
  <c r="AP279" i="1" s="1"/>
  <c r="AP280" i="1" s="1"/>
  <c r="AP281" i="1" s="1"/>
  <c r="AT278" i="1"/>
  <c r="AT279" i="1" s="1"/>
  <c r="AT280" i="1" s="1"/>
  <c r="AT281" i="1" s="1"/>
  <c r="AT261" i="1"/>
  <c r="AT258" i="1"/>
  <c r="N49" i="11"/>
  <c r="N45" i="11"/>
  <c r="D2" i="9"/>
  <c r="E5" i="1"/>
  <c r="AO116" i="9"/>
  <c r="AQ16" i="11"/>
  <c r="AQ61" i="11"/>
  <c r="AR16" i="11"/>
  <c r="U43" i="11"/>
  <c r="AS55" i="9"/>
  <c r="AS298" i="1"/>
  <c r="AS140" i="1"/>
  <c r="H26" i="11"/>
  <c r="H27" i="11"/>
  <c r="AQ25" i="11"/>
  <c r="L26" i="11"/>
  <c r="G2" i="9"/>
  <c r="H5" i="1"/>
  <c r="BF5" i="1"/>
  <c r="BF2" i="9" s="1"/>
  <c r="K5" i="1"/>
  <c r="M82" i="11"/>
  <c r="M52" i="11"/>
  <c r="M63" i="11"/>
  <c r="Q55" i="9"/>
  <c r="Q120" i="9" s="1"/>
  <c r="Q298" i="1"/>
  <c r="Q140" i="1"/>
  <c r="BH625" i="1"/>
  <c r="AT75" i="9"/>
  <c r="AT81" i="9" s="1"/>
  <c r="AT138" i="9" s="1"/>
  <c r="BG110" i="9"/>
  <c r="BM110" i="9"/>
  <c r="AS116" i="9"/>
  <c r="U618" i="1"/>
  <c r="BD623" i="1"/>
  <c r="BM625" i="1"/>
  <c r="BF110" i="9"/>
  <c r="AA116" i="9"/>
  <c r="AB225" i="1"/>
  <c r="AB222" i="1"/>
  <c r="AB230" i="1"/>
  <c r="AC116" i="9"/>
  <c r="AB137" i="9"/>
  <c r="T103" i="9"/>
  <c r="T106" i="9" s="1"/>
  <c r="R103" i="9"/>
  <c r="R106" i="9" s="1"/>
  <c r="AB116" i="9"/>
  <c r="F103" i="9"/>
  <c r="F110" i="9" s="1"/>
  <c r="AR116" i="9"/>
  <c r="BB24" i="9"/>
  <c r="BJ106" i="9"/>
  <c r="BJ110" i="9"/>
  <c r="N102" i="9"/>
  <c r="N103" i="9" s="1"/>
  <c r="U123" i="9"/>
  <c r="Q75" i="9"/>
  <c r="Q81" i="9" s="1"/>
  <c r="Q138" i="9" s="1"/>
  <c r="Q84" i="9"/>
  <c r="Q86" i="9" s="1"/>
  <c r="AX38" i="9"/>
  <c r="AX196" i="1"/>
  <c r="AX40" i="9" s="1"/>
  <c r="AX194" i="1"/>
  <c r="AX138" i="1"/>
  <c r="AX22" i="1"/>
  <c r="AX11" i="1"/>
  <c r="AX18" i="9" s="1"/>
  <c r="AU123" i="9"/>
  <c r="AQ75" i="9"/>
  <c r="AQ81" i="9" s="1"/>
  <c r="AQ138" i="9" s="1"/>
  <c r="AQ84" i="9"/>
  <c r="AQ86" i="9" s="1"/>
  <c r="M120" i="9"/>
  <c r="I134" i="9"/>
  <c r="I66" i="9"/>
  <c r="BG225" i="1"/>
  <c r="BG222" i="1"/>
  <c r="BG231" i="1" s="1"/>
  <c r="BG230" i="1"/>
  <c r="AD220" i="1"/>
  <c r="AD137" i="9" s="1"/>
  <c r="AD618" i="1"/>
  <c r="AD612" i="1"/>
  <c r="AC618" i="1"/>
  <c r="AE618" i="1"/>
  <c r="AD613" i="1"/>
  <c r="P57" i="9"/>
  <c r="P232" i="1"/>
  <c r="P58" i="9" s="1"/>
  <c r="P87" i="9" s="1"/>
  <c r="BB230" i="1"/>
  <c r="BB225" i="1"/>
  <c r="BB222" i="1"/>
  <c r="Y252" i="1"/>
  <c r="Y254" i="1"/>
  <c r="H222" i="1"/>
  <c r="H230" i="1"/>
  <c r="H225" i="1"/>
  <c r="C222" i="1"/>
  <c r="C230" i="1"/>
  <c r="C225" i="1"/>
  <c r="C137" i="9"/>
  <c r="P231" i="1"/>
  <c r="P51" i="9" s="1"/>
  <c r="P251" i="1"/>
  <c r="W230" i="1"/>
  <c r="W225" i="1"/>
  <c r="W222" i="1"/>
  <c r="Q116" i="9"/>
  <c r="M103" i="9"/>
  <c r="M110" i="9" s="1"/>
  <c r="BA24" i="9"/>
  <c r="AL220" i="1"/>
  <c r="AL137" i="9" s="1"/>
  <c r="AL618" i="1"/>
  <c r="AL612" i="1"/>
  <c r="AL613" i="1"/>
  <c r="AM618" i="1"/>
  <c r="BS35" i="9"/>
  <c r="BO37" i="1"/>
  <c r="F412" i="1"/>
  <c r="E413" i="1"/>
  <c r="BE298" i="1"/>
  <c r="BE140" i="1"/>
  <c r="G222" i="1"/>
  <c r="G230" i="1"/>
  <c r="G225" i="1"/>
  <c r="U103" i="9"/>
  <c r="AJ123" i="9"/>
  <c r="AF84" i="9"/>
  <c r="AF86" i="9" s="1"/>
  <c r="AF75" i="9"/>
  <c r="AF81" i="9" s="1"/>
  <c r="AF138" i="9" s="1"/>
  <c r="G137" i="9"/>
  <c r="AP220" i="1"/>
  <c r="AP137" i="9" s="1"/>
  <c r="AP612" i="1"/>
  <c r="AP618" i="1"/>
  <c r="AP613" i="1"/>
  <c r="BL106" i="9"/>
  <c r="BL110" i="9"/>
  <c r="AT220" i="1"/>
  <c r="AT137" i="9" s="1"/>
  <c r="AT613" i="1"/>
  <c r="AT618" i="1"/>
  <c r="AT612" i="1"/>
  <c r="AT102" i="9"/>
  <c r="AT103" i="9" s="1"/>
  <c r="AI222" i="1"/>
  <c r="AI230" i="1"/>
  <c r="AI225" i="1"/>
  <c r="BV31" i="9"/>
  <c r="BS57" i="1"/>
  <c r="BW31" i="9" s="1"/>
  <c r="BS34" i="9"/>
  <c r="BO35" i="1"/>
  <c r="AR230" i="1"/>
  <c r="AR225" i="1"/>
  <c r="AR222" i="1"/>
  <c r="AM57" i="9"/>
  <c r="AM232" i="1"/>
  <c r="AM58" i="9" s="1"/>
  <c r="AM87" i="9" s="1"/>
  <c r="G103" i="9"/>
  <c r="G110" i="9" s="1"/>
  <c r="W55" i="9"/>
  <c r="W298" i="1"/>
  <c r="W140" i="1"/>
  <c r="AM231" i="1"/>
  <c r="AM51" i="9" s="1"/>
  <c r="AE231" i="1"/>
  <c r="AE51" i="9" s="1"/>
  <c r="AR123" i="9"/>
  <c r="AN84" i="9"/>
  <c r="AN86" i="9" s="1"/>
  <c r="AN75" i="9"/>
  <c r="AN81" i="9" s="1"/>
  <c r="AN138" i="9" s="1"/>
  <c r="P116" i="9"/>
  <c r="AR137" i="9"/>
  <c r="BK222" i="1"/>
  <c r="BK231" i="1" s="1"/>
  <c r="BK225" i="1"/>
  <c r="BK230" i="1"/>
  <c r="BN222" i="1"/>
  <c r="BN231" i="1" s="1"/>
  <c r="BN230" i="1"/>
  <c r="BN225" i="1"/>
  <c r="AP123" i="9"/>
  <c r="AL84" i="9"/>
  <c r="AL86" i="9" s="1"/>
  <c r="AL75" i="9"/>
  <c r="AL81" i="9" s="1"/>
  <c r="AL138" i="9" s="1"/>
  <c r="J115" i="9"/>
  <c r="J116" i="9" s="1"/>
  <c r="Q123" i="9"/>
  <c r="BO285" i="1"/>
  <c r="BO287" i="1"/>
  <c r="BO8" i="9" s="1"/>
  <c r="H103" i="9"/>
  <c r="H110" i="9" s="1"/>
  <c r="K230" i="1"/>
  <c r="K225" i="1"/>
  <c r="K222" i="1"/>
  <c r="K103" i="9"/>
  <c r="K110" i="9" s="1"/>
  <c r="AE120" i="9"/>
  <c r="AA134" i="9"/>
  <c r="AA66" i="9"/>
  <c r="BF56" i="9"/>
  <c r="BF135" i="9" s="1"/>
  <c r="BB133" i="1"/>
  <c r="BF64" i="9" s="1"/>
  <c r="BF137" i="9"/>
  <c r="AV24" i="9"/>
  <c r="AV190" i="1"/>
  <c r="AX582" i="1" s="1"/>
  <c r="AL123" i="9"/>
  <c r="AH84" i="9"/>
  <c r="AH86" i="9" s="1"/>
  <c r="AH75" i="9"/>
  <c r="AH81" i="9" s="1"/>
  <c r="AH138" i="9" s="1"/>
  <c r="AQ134" i="9"/>
  <c r="AQ66" i="9"/>
  <c r="V220" i="1"/>
  <c r="V618" i="1"/>
  <c r="V612" i="1"/>
  <c r="V613" i="1"/>
  <c r="K115" i="9"/>
  <c r="K116" i="9" s="1"/>
  <c r="AE57" i="9"/>
  <c r="AE232" i="1"/>
  <c r="AE58" i="9" s="1"/>
  <c r="AE87" i="9" s="1"/>
  <c r="S123" i="9"/>
  <c r="O75" i="9"/>
  <c r="O81" i="9" s="1"/>
  <c r="O138" i="9" s="1"/>
  <c r="O84" i="9"/>
  <c r="O86" i="9" s="1"/>
  <c r="BL222" i="1"/>
  <c r="BL231" i="1" s="1"/>
  <c r="BL230" i="1"/>
  <c r="BL225" i="1"/>
  <c r="R225" i="1"/>
  <c r="R222" i="1"/>
  <c r="R230" i="1"/>
  <c r="J103" i="9"/>
  <c r="J110" i="9" s="1"/>
  <c r="BN625" i="1"/>
  <c r="BH106" i="9"/>
  <c r="BH110" i="9"/>
  <c r="C55" i="9"/>
  <c r="C298" i="1"/>
  <c r="C140" i="1"/>
  <c r="BE106" i="9"/>
  <c r="BE110" i="9"/>
  <c r="AU230" i="1"/>
  <c r="AU225" i="1"/>
  <c r="AU222" i="1"/>
  <c r="T230" i="1"/>
  <c r="T225" i="1"/>
  <c r="T222" i="1"/>
  <c r="R134" i="9"/>
  <c r="R66" i="9"/>
  <c r="Z55" i="9"/>
  <c r="AA93" i="9" s="1"/>
  <c r="AA90" i="9" s="1"/>
  <c r="Z298" i="1"/>
  <c r="Z140" i="1"/>
  <c r="N55" i="9"/>
  <c r="N298" i="1"/>
  <c r="N140" i="1"/>
  <c r="BC230" i="1"/>
  <c r="BC225" i="1"/>
  <c r="BC222" i="1"/>
  <c r="BA230" i="1"/>
  <c r="BA225" i="1"/>
  <c r="BA222" i="1"/>
  <c r="I103" i="9"/>
  <c r="I110" i="9" s="1"/>
  <c r="BD230" i="1"/>
  <c r="BD225" i="1"/>
  <c r="BD222" i="1"/>
  <c r="BD231" i="1" s="1"/>
  <c r="G115" i="9"/>
  <c r="G116" i="9" s="1"/>
  <c r="AQ225" i="1"/>
  <c r="AQ222" i="1"/>
  <c r="AQ230" i="1"/>
  <c r="BL625" i="1"/>
  <c r="W116" i="9"/>
  <c r="BE137" i="9"/>
  <c r="AC97" i="9"/>
  <c r="AG121" i="9"/>
  <c r="AC136" i="9"/>
  <c r="AP102" i="9"/>
  <c r="AP103" i="9" s="1"/>
  <c r="BI110" i="9"/>
  <c r="V102" i="9"/>
  <c r="V103" i="9" s="1"/>
  <c r="BV30" i="9"/>
  <c r="BR58" i="1"/>
  <c r="BS56" i="1"/>
  <c r="AA123" i="9"/>
  <c r="W75" i="9"/>
  <c r="W81" i="9" s="1"/>
  <c r="W138" i="9" s="1"/>
  <c r="W84" i="9"/>
  <c r="W86" i="9" s="1"/>
  <c r="AZ230" i="1"/>
  <c r="AZ225" i="1"/>
  <c r="AZ222" i="1"/>
  <c r="AZ231" i="1" s="1"/>
  <c r="X120" i="9"/>
  <c r="T134" i="9"/>
  <c r="T66" i="9"/>
  <c r="BU32" i="9"/>
  <c r="BQ15" i="1"/>
  <c r="BU28" i="9" s="1"/>
  <c r="R531" i="1"/>
  <c r="N220" i="1"/>
  <c r="N613" i="1"/>
  <c r="N618" i="1"/>
  <c r="N612" i="1"/>
  <c r="AL278" i="1"/>
  <c r="AL279" i="1" s="1"/>
  <c r="AL280" i="1" s="1"/>
  <c r="AL281" i="1" s="1"/>
  <c r="AL261" i="1"/>
  <c r="AL258" i="1"/>
  <c r="AU56" i="9"/>
  <c r="AU135" i="9" s="1"/>
  <c r="AU133" i="1"/>
  <c r="AU64" i="9" s="1"/>
  <c r="M134" i="9"/>
  <c r="M66" i="9"/>
  <c r="AS225" i="1"/>
  <c r="AS222" i="1"/>
  <c r="AS230" i="1"/>
  <c r="L134" i="9"/>
  <c r="P120" i="9"/>
  <c r="L66" i="9"/>
  <c r="BN134" i="9"/>
  <c r="BN66" i="9"/>
  <c r="BN93" i="9"/>
  <c r="BN90" i="9" s="1"/>
  <c r="BE55" i="9"/>
  <c r="BA298" i="1"/>
  <c r="BA140" i="1"/>
  <c r="AD56" i="9"/>
  <c r="AD135" i="9" s="1"/>
  <c r="AD133" i="1"/>
  <c r="AD64" i="9" s="1"/>
  <c r="AU84" i="9"/>
  <c r="AU86" i="9" s="1"/>
  <c r="AU75" i="9"/>
  <c r="AU81" i="9" s="1"/>
  <c r="AU138" i="9" s="1"/>
  <c r="T120" i="9"/>
  <c r="P134" i="9"/>
  <c r="P66" i="9"/>
  <c r="E222" i="1"/>
  <c r="E230" i="1"/>
  <c r="E225" i="1"/>
  <c r="AD181" i="1"/>
  <c r="BJ623" i="1" s="1"/>
  <c r="AD205" i="1"/>
  <c r="F43" i="11" s="1"/>
  <c r="F72" i="11" s="1"/>
  <c r="V55" i="9"/>
  <c r="V120" i="9" s="1"/>
  <c r="V298" i="1"/>
  <c r="V140" i="1"/>
  <c r="Q231" i="1"/>
  <c r="Q51" i="9" s="1"/>
  <c r="Q251" i="1"/>
  <c r="AJ222" i="1"/>
  <c r="AJ225" i="1"/>
  <c r="AJ230" i="1"/>
  <c r="Y136" i="9"/>
  <c r="AC121" i="9"/>
  <c r="Y97" i="9"/>
  <c r="AU205" i="1"/>
  <c r="W43" i="11" s="1"/>
  <c r="AU181" i="1"/>
  <c r="J222" i="1"/>
  <c r="J230" i="1"/>
  <c r="J225" i="1"/>
  <c r="Q57" i="9"/>
  <c r="Q232" i="1"/>
  <c r="Q58" i="9" s="1"/>
  <c r="Q87" i="9" s="1"/>
  <c r="O230" i="1"/>
  <c r="O225" i="1"/>
  <c r="O222" i="1"/>
  <c r="K134" i="9"/>
  <c r="K66" i="9"/>
  <c r="BF225" i="1"/>
  <c r="BF222" i="1"/>
  <c r="BF231" i="1" s="1"/>
  <c r="BF230" i="1"/>
  <c r="BJ222" i="1"/>
  <c r="BJ231" i="1" s="1"/>
  <c r="BJ230" i="1"/>
  <c r="BJ225" i="1"/>
  <c r="X116" i="9"/>
  <c r="AJ134" i="9"/>
  <c r="AJ66" i="9"/>
  <c r="AF116" i="9"/>
  <c r="L103" i="9"/>
  <c r="BG56" i="9"/>
  <c r="BG135" i="9" s="1"/>
  <c r="BC133" i="1"/>
  <c r="BE230" i="1"/>
  <c r="BE225" i="1"/>
  <c r="BE222" i="1"/>
  <c r="BE231" i="1" s="1"/>
  <c r="AI120" i="9"/>
  <c r="AE134" i="9"/>
  <c r="AE66" i="9"/>
  <c r="BC181" i="1"/>
  <c r="BC205" i="1"/>
  <c r="AI134" i="9"/>
  <c r="AI66" i="9"/>
  <c r="BT34" i="9"/>
  <c r="BP35" i="1"/>
  <c r="BQ34" i="1"/>
  <c r="AF136" i="9"/>
  <c r="AF97" i="9"/>
  <c r="AI123" i="9"/>
  <c r="AE84" i="9"/>
  <c r="AE86" i="9" s="1"/>
  <c r="AE75" i="9"/>
  <c r="AE81" i="9" s="1"/>
  <c r="AE138" i="9" s="1"/>
  <c r="AE123" i="9"/>
  <c r="L225" i="1"/>
  <c r="L222" i="1"/>
  <c r="L230" i="1"/>
  <c r="M115" i="9"/>
  <c r="M116" i="9" s="1"/>
  <c r="AG136" i="9"/>
  <c r="AG97" i="9"/>
  <c r="BH230" i="1"/>
  <c r="BH225" i="1"/>
  <c r="BH222" i="1"/>
  <c r="BH231" i="1" s="1"/>
  <c r="I222" i="1"/>
  <c r="I225" i="1"/>
  <c r="I230" i="1"/>
  <c r="F84" i="9"/>
  <c r="F86" i="9" s="1"/>
  <c r="F75" i="9"/>
  <c r="F81" i="9" s="1"/>
  <c r="F138" i="9" s="1"/>
  <c r="J123" i="9"/>
  <c r="BT72" i="9"/>
  <c r="BP546" i="1"/>
  <c r="BN106" i="9"/>
  <c r="BN110" i="9"/>
  <c r="D55" i="9"/>
  <c r="D298" i="1"/>
  <c r="D140" i="1"/>
  <c r="P123" i="9"/>
  <c r="L84" i="9"/>
  <c r="L86" i="9" s="1"/>
  <c r="L75" i="9"/>
  <c r="L81" i="9" s="1"/>
  <c r="L138" i="9" s="1"/>
  <c r="BI230" i="1"/>
  <c r="BI225" i="1"/>
  <c r="BI222" i="1"/>
  <c r="BI231" i="1" s="1"/>
  <c r="Z102" i="9"/>
  <c r="Z103" i="9" s="1"/>
  <c r="AH56" i="9"/>
  <c r="AH135" i="9" s="1"/>
  <c r="AH133" i="1"/>
  <c r="AH64" i="9" s="1"/>
  <c r="AK134" i="9"/>
  <c r="AK66" i="9"/>
  <c r="I115" i="9"/>
  <c r="I116" i="9" s="1"/>
  <c r="AP205" i="1"/>
  <c r="R43" i="11" s="1"/>
  <c r="AP181" i="1"/>
  <c r="BM623" i="1" s="1"/>
  <c r="M230" i="1"/>
  <c r="M225" i="1"/>
  <c r="M222" i="1"/>
  <c r="BK106" i="9"/>
  <c r="BK110" i="9"/>
  <c r="AH181" i="1"/>
  <c r="AH205" i="1"/>
  <c r="J43" i="11" s="1"/>
  <c r="J29" i="11" s="1"/>
  <c r="BI625" i="1"/>
  <c r="AP56" i="9"/>
  <c r="AP135" i="9" s="1"/>
  <c r="AP133" i="1"/>
  <c r="AP64" i="9" s="1"/>
  <c r="S103" i="9"/>
  <c r="S106" i="9" s="1"/>
  <c r="C84" i="9"/>
  <c r="C86" i="9" s="1"/>
  <c r="C75" i="9"/>
  <c r="C81" i="9" s="1"/>
  <c r="C138" i="9" s="1"/>
  <c r="G123" i="9"/>
  <c r="X230" i="1"/>
  <c r="X225" i="1"/>
  <c r="X222" i="1"/>
  <c r="BM222" i="1"/>
  <c r="BM231" i="1" s="1"/>
  <c r="BM230" i="1"/>
  <c r="BM225" i="1"/>
  <c r="X134" i="9"/>
  <c r="X66" i="9"/>
  <c r="AM123" i="9"/>
  <c r="AI84" i="9"/>
  <c r="AI86" i="9" s="1"/>
  <c r="AI75" i="9"/>
  <c r="AI81" i="9" s="1"/>
  <c r="AI138" i="9" s="1"/>
  <c r="AD102" i="9"/>
  <c r="AD103" i="9" s="1"/>
  <c r="AH102" i="9"/>
  <c r="AH103" i="9" s="1"/>
  <c r="Y134" i="9"/>
  <c r="Y66" i="9"/>
  <c r="AL55" i="9"/>
  <c r="AL298" i="1"/>
  <c r="AL140" i="1"/>
  <c r="W123" i="9"/>
  <c r="S75" i="9"/>
  <c r="S81" i="9" s="1"/>
  <c r="S138" i="9" s="1"/>
  <c r="S84" i="9"/>
  <c r="S86" i="9" s="1"/>
  <c r="BI137" i="9"/>
  <c r="AP75" i="9"/>
  <c r="AP81" i="9" s="1"/>
  <c r="AP138" i="9" s="1"/>
  <c r="AT123" i="9"/>
  <c r="AP84" i="9"/>
  <c r="AP86" i="9" s="1"/>
  <c r="G84" i="9"/>
  <c r="G86" i="9" s="1"/>
  <c r="G75" i="9"/>
  <c r="G81" i="9" s="1"/>
  <c r="G138" i="9" s="1"/>
  <c r="K123" i="9"/>
  <c r="Z220" i="1"/>
  <c r="Z137" i="9" s="1"/>
  <c r="Z618" i="1"/>
  <c r="Z612" i="1"/>
  <c r="Z613" i="1"/>
  <c r="AZ23" i="9"/>
  <c r="AZ17" i="9"/>
  <c r="BS23" i="9"/>
  <c r="BO10" i="1"/>
  <c r="BS17" i="9" s="1"/>
  <c r="BA620" i="1"/>
  <c r="BB504" i="1"/>
  <c r="BB505" i="1" s="1"/>
  <c r="BA510" i="1"/>
  <c r="AN222" i="1"/>
  <c r="AN225" i="1"/>
  <c r="AN230" i="1"/>
  <c r="BD106" i="9"/>
  <c r="BD110" i="9"/>
  <c r="D708" i="1"/>
  <c r="D1" i="9"/>
  <c r="E4" i="1"/>
  <c r="D3" i="1"/>
  <c r="D678" i="1" s="1"/>
  <c r="AK123" i="9"/>
  <c r="AG84" i="9"/>
  <c r="AG86" i="9" s="1"/>
  <c r="AG75" i="9"/>
  <c r="AG81" i="9" s="1"/>
  <c r="AG138" i="9" s="1"/>
  <c r="BT21" i="9"/>
  <c r="BP36" i="1"/>
  <c r="BP31" i="1"/>
  <c r="BP8" i="1"/>
  <c r="BT15" i="9" s="1"/>
  <c r="K120" i="9"/>
  <c r="G134" i="9"/>
  <c r="G66" i="9"/>
  <c r="AK222" i="1"/>
  <c r="AK230" i="1"/>
  <c r="AK225" i="1"/>
  <c r="U230" i="1"/>
  <c r="U225" i="1"/>
  <c r="U222" i="1"/>
  <c r="BB23" i="9"/>
  <c r="BB17" i="9"/>
  <c r="S230" i="1"/>
  <c r="S225" i="1"/>
  <c r="S222" i="1"/>
  <c r="C678" i="1"/>
  <c r="H115" i="9"/>
  <c r="H116" i="9" s="1"/>
  <c r="AA230" i="1"/>
  <c r="AA225" i="1"/>
  <c r="AA222" i="1"/>
  <c r="AI137" i="9"/>
  <c r="AQ123" i="9"/>
  <c r="AM84" i="9"/>
  <c r="AM86" i="9" s="1"/>
  <c r="AM75" i="9"/>
  <c r="AM81" i="9" s="1"/>
  <c r="AM138" i="9" s="1"/>
  <c r="O55" i="9"/>
  <c r="O298" i="1"/>
  <c r="O140" i="1"/>
  <c r="BB205" i="1"/>
  <c r="BB181" i="1"/>
  <c r="S134" i="9"/>
  <c r="S66" i="9"/>
  <c r="AL102" i="9"/>
  <c r="AL103" i="9" s="1"/>
  <c r="AO222" i="1"/>
  <c r="AO230" i="1"/>
  <c r="AO225" i="1"/>
  <c r="AA618" i="1"/>
  <c r="N116" i="9"/>
  <c r="F55" i="9"/>
  <c r="I93" i="9" s="1"/>
  <c r="I90" i="9" s="1"/>
  <c r="F298" i="1"/>
  <c r="F140" i="1"/>
  <c r="D222" i="1"/>
  <c r="D230" i="1"/>
  <c r="D225" i="1"/>
  <c r="AH220" i="1"/>
  <c r="AH618" i="1"/>
  <c r="AG618" i="1"/>
  <c r="AH612" i="1"/>
  <c r="AH613" i="1"/>
  <c r="BD298" i="1"/>
  <c r="BD140" i="1"/>
  <c r="I82" i="11" l="1"/>
  <c r="H73" i="11"/>
  <c r="H51" i="11"/>
  <c r="N186" i="11"/>
  <c r="T73" i="11"/>
  <c r="C72" i="11"/>
  <c r="C73" i="11" s="1"/>
  <c r="G39" i="11"/>
  <c r="C12" i="15"/>
  <c r="C14" i="15" s="1"/>
  <c r="AO39" i="11"/>
  <c r="I72" i="11"/>
  <c r="I73" i="11" s="1"/>
  <c r="AM39" i="11"/>
  <c r="AN39" i="11"/>
  <c r="K187" i="11"/>
  <c r="K186" i="11"/>
  <c r="V186" i="11"/>
  <c r="V187" i="11"/>
  <c r="L191" i="11"/>
  <c r="L192" i="11"/>
  <c r="S187" i="11"/>
  <c r="S186" i="11"/>
  <c r="R187" i="11"/>
  <c r="AS187" i="11" s="1"/>
  <c r="R186" i="11"/>
  <c r="M186" i="11"/>
  <c r="M187" i="11"/>
  <c r="N188" i="11"/>
  <c r="N39" i="11" s="1"/>
  <c r="U186" i="11"/>
  <c r="U187" i="11"/>
  <c r="M191" i="11"/>
  <c r="M192" i="11"/>
  <c r="J187" i="11"/>
  <c r="J186" i="11"/>
  <c r="K192" i="11"/>
  <c r="K191" i="11"/>
  <c r="S191" i="11"/>
  <c r="S192" i="11"/>
  <c r="W186" i="11"/>
  <c r="W187" i="11"/>
  <c r="AU187" i="11" s="1"/>
  <c r="L186" i="11"/>
  <c r="L187" i="11"/>
  <c r="T188" i="11"/>
  <c r="T39" i="11" s="1"/>
  <c r="AB25" i="11"/>
  <c r="AB26" i="11" s="1"/>
  <c r="I13" i="12"/>
  <c r="X13" i="12" s="1"/>
  <c r="D33" i="12"/>
  <c r="D9" i="15"/>
  <c r="D30" i="15"/>
  <c r="D33" i="16"/>
  <c r="AC61" i="11"/>
  <c r="AC60" i="11" s="1"/>
  <c r="AC83" i="11" s="1"/>
  <c r="AB61" i="11"/>
  <c r="AB60" i="11" s="1"/>
  <c r="AD61" i="11"/>
  <c r="AD60" i="11" s="1"/>
  <c r="AD83" i="11" s="1"/>
  <c r="AD25" i="11"/>
  <c r="AC25" i="11"/>
  <c r="AA44" i="11"/>
  <c r="AA46" i="11"/>
  <c r="I13" i="16"/>
  <c r="AU60" i="11"/>
  <c r="AU83" i="11" s="1"/>
  <c r="BK623" i="1"/>
  <c r="Z63" i="11"/>
  <c r="Z66" i="11" s="1"/>
  <c r="Z83" i="11"/>
  <c r="Z90" i="11" s="1"/>
  <c r="W29" i="11"/>
  <c r="AA30" i="11" s="1"/>
  <c r="L75" i="11"/>
  <c r="L76" i="11" s="1"/>
  <c r="L85" i="11" s="1"/>
  <c r="L86" i="11" s="1"/>
  <c r="L89" i="11" s="1"/>
  <c r="H75" i="11"/>
  <c r="H76" i="11" s="1"/>
  <c r="H85" i="11" s="1"/>
  <c r="K75" i="11"/>
  <c r="K76" i="11" s="1"/>
  <c r="K85" i="11" s="1"/>
  <c r="K86" i="11" s="1"/>
  <c r="K89" i="11" s="1"/>
  <c r="E75" i="11"/>
  <c r="E76" i="11" s="1"/>
  <c r="E85" i="11" s="1"/>
  <c r="T75" i="11"/>
  <c r="T76" i="11" s="1"/>
  <c r="T85" i="11" s="1"/>
  <c r="C75" i="11"/>
  <c r="C76" i="11" s="1"/>
  <c r="C85" i="11" s="1"/>
  <c r="C86" i="11" s="1"/>
  <c r="C89" i="11" s="1"/>
  <c r="S75" i="11"/>
  <c r="S76" i="11" s="1"/>
  <c r="S85" i="11" s="1"/>
  <c r="S86" i="11" s="1"/>
  <c r="S89" i="11" s="1"/>
  <c r="M75" i="11"/>
  <c r="M76" i="11" s="1"/>
  <c r="M85" i="11" s="1"/>
  <c r="M86" i="11" s="1"/>
  <c r="M89" i="11" s="1"/>
  <c r="G75" i="11"/>
  <c r="G76" i="11" s="1"/>
  <c r="G85" i="11" s="1"/>
  <c r="G86" i="11" s="1"/>
  <c r="G89" i="11" s="1"/>
  <c r="V72" i="11"/>
  <c r="Z44" i="11"/>
  <c r="Z46" i="11"/>
  <c r="Y66" i="11"/>
  <c r="Y44" i="11"/>
  <c r="Y46" i="11"/>
  <c r="Y90" i="11"/>
  <c r="Y86" i="11"/>
  <c r="AF134" i="9"/>
  <c r="AF66" i="9"/>
  <c r="AC134" i="9"/>
  <c r="H63" i="11"/>
  <c r="L67" i="11" s="1"/>
  <c r="L53" i="11"/>
  <c r="H82" i="11"/>
  <c r="AC66" i="9"/>
  <c r="H52" i="11"/>
  <c r="L50" i="11"/>
  <c r="F9" i="16"/>
  <c r="P49" i="11"/>
  <c r="E9" i="15"/>
  <c r="Q49" i="11"/>
  <c r="AO298" i="1"/>
  <c r="H13" i="12"/>
  <c r="H13" i="16"/>
  <c r="F9" i="15"/>
  <c r="F33" i="16"/>
  <c r="E52" i="11"/>
  <c r="E56" i="16"/>
  <c r="E56" i="12"/>
  <c r="AO140" i="1"/>
  <c r="D56" i="16"/>
  <c r="D56" i="12"/>
  <c r="K8" i="12"/>
  <c r="G13" i="12"/>
  <c r="G13" i="16"/>
  <c r="C13" i="12"/>
  <c r="C13" i="16"/>
  <c r="Q46" i="11"/>
  <c r="Q45" i="11"/>
  <c r="F13" i="12"/>
  <c r="F13" i="16"/>
  <c r="F56" i="16"/>
  <c r="F56" i="12"/>
  <c r="AG120" i="9"/>
  <c r="K8" i="16"/>
  <c r="K25" i="16" s="1"/>
  <c r="E9" i="12"/>
  <c r="M50" i="11"/>
  <c r="E63" i="11"/>
  <c r="E66" i="11" s="1"/>
  <c r="E9" i="16"/>
  <c r="M53" i="11"/>
  <c r="E82" i="11"/>
  <c r="H56" i="16"/>
  <c r="H56" i="12"/>
  <c r="AO55" i="9"/>
  <c r="AO120" i="9" s="1"/>
  <c r="F30" i="15"/>
  <c r="G9" i="16"/>
  <c r="G56" i="16"/>
  <c r="G56" i="12"/>
  <c r="Q44" i="11"/>
  <c r="F9" i="12"/>
  <c r="F33" i="12"/>
  <c r="E33" i="16"/>
  <c r="L8" i="15"/>
  <c r="L23" i="15" s="1"/>
  <c r="AN298" i="1"/>
  <c r="P45" i="11"/>
  <c r="AN140" i="1"/>
  <c r="T44" i="11"/>
  <c r="Q29" i="11"/>
  <c r="Q36" i="11" s="1"/>
  <c r="AG134" i="9"/>
  <c r="AK120" i="9"/>
  <c r="AG66" i="9"/>
  <c r="AR66" i="9"/>
  <c r="P44" i="11"/>
  <c r="I53" i="11"/>
  <c r="T46" i="11"/>
  <c r="I41" i="11"/>
  <c r="I52" i="11"/>
  <c r="I50" i="11"/>
  <c r="T63" i="11"/>
  <c r="T66" i="11" s="1"/>
  <c r="I63" i="11"/>
  <c r="M67" i="11" s="1"/>
  <c r="P29" i="11"/>
  <c r="P33" i="11" s="1"/>
  <c r="P46" i="11"/>
  <c r="AN55" i="9"/>
  <c r="AN120" i="9" s="1"/>
  <c r="I40" i="11"/>
  <c r="I38" i="11"/>
  <c r="AQ37" i="11"/>
  <c r="T82" i="11"/>
  <c r="T52" i="11"/>
  <c r="M38" i="11"/>
  <c r="T33" i="11"/>
  <c r="T31" i="11"/>
  <c r="V45" i="11"/>
  <c r="AT55" i="9"/>
  <c r="AT134" i="9" s="1"/>
  <c r="V29" i="11"/>
  <c r="T32" i="11"/>
  <c r="M41" i="11"/>
  <c r="AN43" i="11"/>
  <c r="AN29" i="11" s="1"/>
  <c r="AN33" i="11" s="1"/>
  <c r="BH55" i="9"/>
  <c r="BH134" i="9" s="1"/>
  <c r="AT140" i="1"/>
  <c r="AT298" i="1"/>
  <c r="V49" i="11"/>
  <c r="BH140" i="1"/>
  <c r="N33" i="11"/>
  <c r="AT181" i="1"/>
  <c r="BN623" i="1" s="1"/>
  <c r="BF140" i="1"/>
  <c r="AM140" i="1"/>
  <c r="AL43" i="11"/>
  <c r="AL29" i="11" s="1"/>
  <c r="AL36" i="11" s="1"/>
  <c r="S44" i="11"/>
  <c r="AM55" i="9"/>
  <c r="AM120" i="9" s="1"/>
  <c r="O49" i="11"/>
  <c r="O44" i="11"/>
  <c r="O46" i="11"/>
  <c r="O29" i="11"/>
  <c r="S46" i="11"/>
  <c r="O45" i="11"/>
  <c r="AM298" i="1"/>
  <c r="E52" i="15"/>
  <c r="I12" i="15"/>
  <c r="G12" i="15"/>
  <c r="F52" i="15"/>
  <c r="H52" i="15"/>
  <c r="H12" i="15"/>
  <c r="G52" i="15"/>
  <c r="F12" i="15"/>
  <c r="BG64" i="9"/>
  <c r="BL120" i="9"/>
  <c r="BL66" i="9"/>
  <c r="BL93" i="9"/>
  <c r="BL90" i="9" s="1"/>
  <c r="BM120" i="9"/>
  <c r="BD66" i="9"/>
  <c r="BD93" i="9"/>
  <c r="BD90" i="9" s="1"/>
  <c r="AO43" i="11"/>
  <c r="BI298" i="1"/>
  <c r="BI140" i="1"/>
  <c r="AO40" i="11"/>
  <c r="AO41" i="11"/>
  <c r="AO38" i="11"/>
  <c r="AN41" i="11"/>
  <c r="AM41" i="11"/>
  <c r="AM38" i="11"/>
  <c r="AN38" i="11"/>
  <c r="AM40" i="11"/>
  <c r="AM43" i="11"/>
  <c r="BG298" i="1"/>
  <c r="BG140" i="1"/>
  <c r="L36" i="11"/>
  <c r="L31" i="11"/>
  <c r="L32" i="11"/>
  <c r="K33" i="11"/>
  <c r="H31" i="11"/>
  <c r="H32" i="11"/>
  <c r="H33" i="11"/>
  <c r="I36" i="11"/>
  <c r="I31" i="11"/>
  <c r="I32" i="11"/>
  <c r="K31" i="11"/>
  <c r="K32" i="11"/>
  <c r="M32" i="11"/>
  <c r="M31" i="11"/>
  <c r="N32" i="11"/>
  <c r="M36" i="11"/>
  <c r="N31" i="11"/>
  <c r="J36" i="11"/>
  <c r="J32" i="11"/>
  <c r="J31" i="11"/>
  <c r="K30" i="11"/>
  <c r="H36" i="11"/>
  <c r="D33" i="11"/>
  <c r="H30" i="11"/>
  <c r="G30" i="11"/>
  <c r="AK44" i="11"/>
  <c r="AJ29" i="11"/>
  <c r="AJ36" i="11" s="1"/>
  <c r="L30" i="11"/>
  <c r="L33" i="11"/>
  <c r="U72" i="11"/>
  <c r="U29" i="11"/>
  <c r="Y30" i="11" s="1"/>
  <c r="AR27" i="11"/>
  <c r="AR29" i="11"/>
  <c r="F29" i="11"/>
  <c r="I33" i="11"/>
  <c r="I30" i="11"/>
  <c r="M30" i="11"/>
  <c r="M33" i="11"/>
  <c r="J33" i="11"/>
  <c r="R72" i="11"/>
  <c r="R29" i="11"/>
  <c r="N30" i="11"/>
  <c r="AK46" i="11"/>
  <c r="AK82" i="11"/>
  <c r="AK52" i="11"/>
  <c r="AK63" i="11"/>
  <c r="AK73" i="11"/>
  <c r="AJ49" i="11"/>
  <c r="AK53" i="11" s="1"/>
  <c r="AJ45" i="11"/>
  <c r="H44" i="11"/>
  <c r="AP43" i="11"/>
  <c r="AP29" i="11" s="1"/>
  <c r="AP27" i="11"/>
  <c r="AP26" i="11"/>
  <c r="AR132" i="11"/>
  <c r="AS132" i="11"/>
  <c r="BN51" i="9"/>
  <c r="BH51" i="9"/>
  <c r="D705" i="1"/>
  <c r="BJ51" i="9"/>
  <c r="BM51" i="9"/>
  <c r="BK51" i="9"/>
  <c r="BH64" i="9"/>
  <c r="BD64" i="9"/>
  <c r="BD51" i="9"/>
  <c r="BI51" i="9"/>
  <c r="BL51" i="9"/>
  <c r="D49" i="11"/>
  <c r="D63" i="11" s="1"/>
  <c r="D66" i="11" s="1"/>
  <c r="D72" i="11"/>
  <c r="AC252" i="1"/>
  <c r="D45" i="11"/>
  <c r="AB55" i="9"/>
  <c r="AB120" i="9" s="1"/>
  <c r="AB140" i="1"/>
  <c r="H46" i="11"/>
  <c r="AB298" i="1"/>
  <c r="AG254" i="1"/>
  <c r="AG5" i="9" s="1"/>
  <c r="AG6" i="9" s="1"/>
  <c r="AG11" i="9" s="1"/>
  <c r="E66" i="9"/>
  <c r="E134" i="9"/>
  <c r="N73" i="11"/>
  <c r="N369" i="11" s="1"/>
  <c r="AR49" i="11"/>
  <c r="W72" i="11"/>
  <c r="AR72" i="11"/>
  <c r="N44" i="11"/>
  <c r="J72" i="11"/>
  <c r="BJ66" i="9"/>
  <c r="BJ93" i="9"/>
  <c r="BJ90" i="9" s="1"/>
  <c r="AP37" i="11"/>
  <c r="C40" i="11"/>
  <c r="G38" i="11"/>
  <c r="G41" i="11"/>
  <c r="BK120" i="9"/>
  <c r="AT38" i="11"/>
  <c r="AT41" i="11"/>
  <c r="AT40" i="11"/>
  <c r="AU38" i="11"/>
  <c r="AU40" i="11"/>
  <c r="AU41" i="11"/>
  <c r="AR40" i="11"/>
  <c r="AS38" i="11"/>
  <c r="AS41" i="11"/>
  <c r="AS40" i="11"/>
  <c r="AW127" i="1"/>
  <c r="AF254" i="1"/>
  <c r="AF304" i="1" s="1"/>
  <c r="AF305" i="1" s="1"/>
  <c r="AW61" i="9"/>
  <c r="F230" i="1"/>
  <c r="AW62" i="9"/>
  <c r="AW197" i="1"/>
  <c r="AW111" i="9" s="1"/>
  <c r="F222" i="1"/>
  <c r="F251" i="1" s="1"/>
  <c r="F225" i="1"/>
  <c r="BD626" i="1" s="1"/>
  <c r="U66" i="9"/>
  <c r="U93" i="9"/>
  <c r="U90" i="9" s="1"/>
  <c r="U134" i="9"/>
  <c r="J140" i="1"/>
  <c r="J298" i="1"/>
  <c r="T93" i="9"/>
  <c r="T90" i="9" s="1"/>
  <c r="S93" i="9"/>
  <c r="S90" i="9" s="1"/>
  <c r="AX583" i="1"/>
  <c r="BO583" i="1" s="1"/>
  <c r="AZ9" i="9"/>
  <c r="AX552" i="1"/>
  <c r="BO552" i="1" s="1"/>
  <c r="K64" i="11"/>
  <c r="K66" i="11"/>
  <c r="K67" i="11"/>
  <c r="I106" i="9"/>
  <c r="W49" i="11"/>
  <c r="W44" i="11"/>
  <c r="W45" i="11"/>
  <c r="W46" i="11"/>
  <c r="L66" i="11"/>
  <c r="Q134" i="9"/>
  <c r="Q66" i="9"/>
  <c r="M66" i="11"/>
  <c r="AY18" i="9"/>
  <c r="AY38" i="9"/>
  <c r="AY40" i="9"/>
  <c r="R44" i="11"/>
  <c r="R49" i="11"/>
  <c r="R45" i="11"/>
  <c r="R46" i="11"/>
  <c r="AS43" i="11"/>
  <c r="E2" i="9"/>
  <c r="F5" i="1"/>
  <c r="F2" i="9" s="1"/>
  <c r="K2" i="9"/>
  <c r="L5" i="1"/>
  <c r="BG5" i="1"/>
  <c r="BG2" i="9" s="1"/>
  <c r="O5" i="1"/>
  <c r="N46" i="11"/>
  <c r="G64" i="11"/>
  <c r="G66" i="11"/>
  <c r="G67" i="11"/>
  <c r="I5" i="1"/>
  <c r="H2" i="9"/>
  <c r="N82" i="11"/>
  <c r="N96" i="11" s="1"/>
  <c r="N63" i="11"/>
  <c r="AR63" i="11" s="1"/>
  <c r="N52" i="11"/>
  <c r="J44" i="11"/>
  <c r="J49" i="11"/>
  <c r="J46" i="11"/>
  <c r="J45" i="11"/>
  <c r="AQ43" i="11"/>
  <c r="F49" i="11"/>
  <c r="F73" i="11" s="1"/>
  <c r="F45" i="11"/>
  <c r="AQ26" i="11"/>
  <c r="AQ27" i="11"/>
  <c r="AR26" i="11"/>
  <c r="AU103" i="9"/>
  <c r="AU110" i="9" s="1"/>
  <c r="V44" i="11"/>
  <c r="U44" i="11"/>
  <c r="U49" i="11"/>
  <c r="U45" i="11"/>
  <c r="U46" i="11"/>
  <c r="AT43" i="11"/>
  <c r="AT29" i="11" s="1"/>
  <c r="V46" i="11"/>
  <c r="AS134" i="9"/>
  <c r="AS66" i="9"/>
  <c r="AX580" i="1"/>
  <c r="BO580" i="1" s="1"/>
  <c r="C66" i="11"/>
  <c r="AX553" i="1"/>
  <c r="BO553" i="1" s="1"/>
  <c r="U120" i="9"/>
  <c r="AX581" i="1"/>
  <c r="BO581" i="1" s="1"/>
  <c r="S66" i="11"/>
  <c r="Y93" i="9"/>
  <c r="Y90" i="9" s="1"/>
  <c r="T110" i="9"/>
  <c r="AB251" i="1"/>
  <c r="AB231" i="1"/>
  <c r="AB51" i="9" s="1"/>
  <c r="AB57" i="9"/>
  <c r="AB232" i="1"/>
  <c r="AB58" i="9" s="1"/>
  <c r="AB87" i="9" s="1"/>
  <c r="W103" i="9"/>
  <c r="W110" i="9" s="1"/>
  <c r="AR103" i="9"/>
  <c r="AR106" i="9" s="1"/>
  <c r="H106" i="9"/>
  <c r="AM103" i="9"/>
  <c r="AM110" i="9" s="1"/>
  <c r="Y103" i="9"/>
  <c r="Y106" i="9" s="1"/>
  <c r="Q103" i="9"/>
  <c r="Q110" i="9" s="1"/>
  <c r="P93" i="9"/>
  <c r="P90" i="9" s="1"/>
  <c r="M106" i="9"/>
  <c r="P103" i="9"/>
  <c r="P110" i="9" s="1"/>
  <c r="AW41" i="9"/>
  <c r="R110" i="9"/>
  <c r="X103" i="9"/>
  <c r="X106" i="9" s="1"/>
  <c r="AX197" i="1"/>
  <c r="AX132" i="1" s="1"/>
  <c r="AX63" i="9" s="1"/>
  <c r="AS103" i="9"/>
  <c r="AS106" i="9" s="1"/>
  <c r="AI103" i="9"/>
  <c r="AI106" i="9" s="1"/>
  <c r="AA231" i="1"/>
  <c r="AA51" i="9" s="1"/>
  <c r="BL232" i="1"/>
  <c r="BU34" i="9"/>
  <c r="BR34" i="1"/>
  <c r="BQ28" i="1"/>
  <c r="O120" i="9"/>
  <c r="AL222" i="1"/>
  <c r="AL230" i="1"/>
  <c r="AL225" i="1"/>
  <c r="BL626" i="1" s="1"/>
  <c r="BB620" i="1"/>
  <c r="BB510" i="1"/>
  <c r="BC504" i="1"/>
  <c r="BC505" i="1" s="1"/>
  <c r="I251" i="1"/>
  <c r="I231" i="1"/>
  <c r="I51" i="9" s="1"/>
  <c r="O57" i="9"/>
  <c r="BG626" i="1"/>
  <c r="O232" i="1"/>
  <c r="O58" i="9" s="1"/>
  <c r="O87" i="9" s="1"/>
  <c r="AV38" i="9"/>
  <c r="AV580" i="1"/>
  <c r="AV552" i="1"/>
  <c r="AV581" i="1"/>
  <c r="AV442" i="1" s="1"/>
  <c r="AV582" i="1"/>
  <c r="AV443" i="1" s="1"/>
  <c r="AV583" i="1"/>
  <c r="AV445" i="1" s="1"/>
  <c r="AV553" i="1"/>
  <c r="AV194" i="1"/>
  <c r="AV196" i="1"/>
  <c r="BO190" i="1"/>
  <c r="BO38" i="9" s="1"/>
  <c r="AV138" i="1"/>
  <c r="AV22" i="1"/>
  <c r="AV11" i="1"/>
  <c r="AV18" i="9" s="1"/>
  <c r="AW583" i="1"/>
  <c r="AW553" i="1"/>
  <c r="AW581" i="1"/>
  <c r="AW580" i="1"/>
  <c r="AW552" i="1"/>
  <c r="AW582" i="1"/>
  <c r="AX443" i="1" s="1"/>
  <c r="AO103" i="9"/>
  <c r="BB231" i="1"/>
  <c r="BF51" i="9" s="1"/>
  <c r="BB251" i="1"/>
  <c r="L57" i="9"/>
  <c r="L232" i="1"/>
  <c r="L58" i="9" s="1"/>
  <c r="L87" i="9" s="1"/>
  <c r="G106" i="9"/>
  <c r="R120" i="9"/>
  <c r="N134" i="9"/>
  <c r="N66" i="9"/>
  <c r="N93" i="9"/>
  <c r="N90" i="9" s="1"/>
  <c r="AC5" i="9"/>
  <c r="AC6" i="9" s="1"/>
  <c r="AC11" i="9" s="1"/>
  <c r="AC304" i="1"/>
  <c r="AC305" i="1" s="1"/>
  <c r="BF57" i="9"/>
  <c r="BB232" i="1"/>
  <c r="AP55" i="9"/>
  <c r="AP120" i="9" s="1"/>
  <c r="AP298" i="1"/>
  <c r="AP140" i="1"/>
  <c r="BT23" i="9"/>
  <c r="BP10" i="1"/>
  <c r="BT17" i="9" s="1"/>
  <c r="BP32" i="1"/>
  <c r="BT24" i="9" s="1"/>
  <c r="L93" i="9"/>
  <c r="L90" i="9" s="1"/>
  <c r="AK103" i="9"/>
  <c r="AB103" i="9"/>
  <c r="BF55" i="9"/>
  <c r="BF120" i="9" s="1"/>
  <c r="BB298" i="1"/>
  <c r="BB140" i="1"/>
  <c r="D251" i="1"/>
  <c r="D231" i="1"/>
  <c r="D51" i="9" s="1"/>
  <c r="AQ57" i="9"/>
  <c r="AQ121" i="9" s="1"/>
  <c r="AQ232" i="1"/>
  <c r="AQ58" i="9" s="1"/>
  <c r="AQ87" i="9" s="1"/>
  <c r="AL110" i="9"/>
  <c r="AL106" i="9"/>
  <c r="L110" i="9"/>
  <c r="L106" i="9"/>
  <c r="Q136" i="9"/>
  <c r="Q97" i="9"/>
  <c r="Z106" i="9"/>
  <c r="Z110" i="9"/>
  <c r="U57" i="9"/>
  <c r="U121" i="9" s="1"/>
  <c r="U232" i="1"/>
  <c r="U58" i="9" s="1"/>
  <c r="U87" i="9" s="1"/>
  <c r="AD106" i="9"/>
  <c r="AD110" i="9"/>
  <c r="BM57" i="9"/>
  <c r="BI232" i="1"/>
  <c r="BE57" i="9"/>
  <c r="BA232" i="1"/>
  <c r="BT35" i="9"/>
  <c r="BQ36" i="1"/>
  <c r="BP37" i="1"/>
  <c r="Z134" i="9"/>
  <c r="Z66" i="9"/>
  <c r="Z93" i="9"/>
  <c r="Z90" i="9" s="1"/>
  <c r="G120" i="9"/>
  <c r="C134" i="9"/>
  <c r="C66" i="9"/>
  <c r="AE136" i="9"/>
  <c r="AE97" i="9"/>
  <c r="AA120" i="9"/>
  <c r="W134" i="9"/>
  <c r="W93" i="9"/>
  <c r="W90" i="9" s="1"/>
  <c r="W66" i="9"/>
  <c r="U106" i="9"/>
  <c r="U110" i="9"/>
  <c r="W57" i="9"/>
  <c r="W232" i="1"/>
  <c r="W58" i="9" s="1"/>
  <c r="W87" i="9" s="1"/>
  <c r="AN103" i="9"/>
  <c r="AA57" i="9"/>
  <c r="AA232" i="1"/>
  <c r="AA58" i="9" s="1"/>
  <c r="AA87" i="9" s="1"/>
  <c r="AK251" i="1"/>
  <c r="AK231" i="1"/>
  <c r="AK51" i="9" s="1"/>
  <c r="BM232" i="1"/>
  <c r="P136" i="9"/>
  <c r="P97" i="9"/>
  <c r="S57" i="9"/>
  <c r="S232" i="1"/>
  <c r="S58" i="9" s="1"/>
  <c r="S87" i="9" s="1"/>
  <c r="BN57" i="9"/>
  <c r="BJ232" i="1"/>
  <c r="E708" i="1"/>
  <c r="E1" i="9"/>
  <c r="F4" i="1"/>
  <c r="E3" i="1"/>
  <c r="BL57" i="9"/>
  <c r="BH232" i="1"/>
  <c r="W231" i="1"/>
  <c r="W51" i="9" s="1"/>
  <c r="D134" i="9"/>
  <c r="H120" i="9"/>
  <c r="D66" i="9"/>
  <c r="Q93" i="9"/>
  <c r="Q90" i="9" s="1"/>
  <c r="W120" i="9"/>
  <c r="AL134" i="9"/>
  <c r="AL66" i="9"/>
  <c r="AL93" i="9"/>
  <c r="AL90" i="9" s="1"/>
  <c r="X251" i="1"/>
  <c r="X231" i="1"/>
  <c r="X51" i="9" s="1"/>
  <c r="AJ57" i="9"/>
  <c r="AJ232" i="1"/>
  <c r="AJ58" i="9" s="1"/>
  <c r="AJ87" i="9" s="1"/>
  <c r="AS251" i="1"/>
  <c r="AS231" i="1"/>
  <c r="AS51" i="9" s="1"/>
  <c r="BH57" i="9"/>
  <c r="BD232" i="1"/>
  <c r="J106" i="9"/>
  <c r="P254" i="1"/>
  <c r="P252" i="1"/>
  <c r="AN57" i="9"/>
  <c r="AN232" i="1"/>
  <c r="AN58" i="9" s="1"/>
  <c r="AN87" i="9" s="1"/>
  <c r="N230" i="1"/>
  <c r="N225" i="1"/>
  <c r="BF626" i="1" s="1"/>
  <c r="N222" i="1"/>
  <c r="AA103" i="9"/>
  <c r="AP106" i="9"/>
  <c r="AP110" i="9"/>
  <c r="AQ103" i="9"/>
  <c r="C689" i="1"/>
  <c r="C698" i="1"/>
  <c r="C696" i="1"/>
  <c r="C684" i="1"/>
  <c r="C691" i="1"/>
  <c r="C682" i="1"/>
  <c r="C705" i="1"/>
  <c r="C703" i="1"/>
  <c r="X57" i="9"/>
  <c r="X232" i="1"/>
  <c r="X58" i="9" s="1"/>
  <c r="X87" i="9" s="1"/>
  <c r="AJ251" i="1"/>
  <c r="AJ231" i="1"/>
  <c r="AJ51" i="9" s="1"/>
  <c r="AS57" i="9"/>
  <c r="AS232" i="1"/>
  <c r="AS58" i="9" s="1"/>
  <c r="AS87" i="9" s="1"/>
  <c r="K106" i="9"/>
  <c r="G57" i="9"/>
  <c r="BE626" i="1"/>
  <c r="G232" i="1"/>
  <c r="G58" i="9" s="1"/>
  <c r="G87" i="9" s="1"/>
  <c r="J57" i="9"/>
  <c r="J232" i="1"/>
  <c r="J58" i="9" s="1"/>
  <c r="J87" i="9" s="1"/>
  <c r="AJ103" i="9"/>
  <c r="S110" i="9"/>
  <c r="AZ24" i="9"/>
  <c r="BP552" i="1"/>
  <c r="G231" i="1"/>
  <c r="G51" i="9" s="1"/>
  <c r="AX193" i="1"/>
  <c r="S231" i="1"/>
  <c r="S51" i="9" s="1"/>
  <c r="M251" i="1"/>
  <c r="M231" i="1"/>
  <c r="M51" i="9" s="1"/>
  <c r="J251" i="1"/>
  <c r="J231" i="1"/>
  <c r="J51" i="9" s="1"/>
  <c r="AI57" i="9"/>
  <c r="AI121" i="9" s="1"/>
  <c r="AI232" i="1"/>
  <c r="AI58" i="9" s="1"/>
  <c r="AI87" i="9" s="1"/>
  <c r="Q254" i="1"/>
  <c r="Q252" i="1"/>
  <c r="AF103" i="9"/>
  <c r="BN232" i="1"/>
  <c r="AX62" i="9"/>
  <c r="AI251" i="1"/>
  <c r="AI231" i="1"/>
  <c r="AI51" i="9" s="1"/>
  <c r="BD57" i="9"/>
  <c r="AZ232" i="1"/>
  <c r="AT106" i="9"/>
  <c r="AT110" i="9"/>
  <c r="AD225" i="1"/>
  <c r="BJ626" i="1" s="1"/>
  <c r="AD222" i="1"/>
  <c r="AD230" i="1"/>
  <c r="D57" i="9"/>
  <c r="D232" i="1"/>
  <c r="D58" i="9" s="1"/>
  <c r="D87" i="9" s="1"/>
  <c r="S120" i="9"/>
  <c r="O134" i="9"/>
  <c r="O66" i="9"/>
  <c r="O93" i="9"/>
  <c r="O90" i="9" s="1"/>
  <c r="AH106" i="9"/>
  <c r="AH110" i="9"/>
  <c r="X93" i="9"/>
  <c r="X90" i="9" s="1"/>
  <c r="L251" i="1"/>
  <c r="L231" i="1"/>
  <c r="L51" i="9" s="1"/>
  <c r="BG55" i="9"/>
  <c r="BC298" i="1"/>
  <c r="BC140" i="1"/>
  <c r="C57" i="9"/>
  <c r="C232" i="1"/>
  <c r="C58" i="9" s="1"/>
  <c r="C87" i="9" s="1"/>
  <c r="H93" i="9"/>
  <c r="H90" i="9" s="1"/>
  <c r="R93" i="9"/>
  <c r="R90" i="9" s="1"/>
  <c r="BK57" i="9"/>
  <c r="BG232" i="1"/>
  <c r="M57" i="9"/>
  <c r="M232" i="1"/>
  <c r="M58" i="9" s="1"/>
  <c r="M87" i="9" s="1"/>
  <c r="BP587" i="1"/>
  <c r="T231" i="1"/>
  <c r="T51" i="9" s="1"/>
  <c r="T251" i="1"/>
  <c r="V230" i="1"/>
  <c r="V222" i="1"/>
  <c r="V225" i="1"/>
  <c r="BH626" i="1" s="1"/>
  <c r="C231" i="1"/>
  <c r="C51" i="9" s="1"/>
  <c r="C251" i="1"/>
  <c r="BO582" i="1"/>
  <c r="T57" i="9"/>
  <c r="T232" i="1"/>
  <c r="T58" i="9" s="1"/>
  <c r="T87" i="9" s="1"/>
  <c r="BJ120" i="9"/>
  <c r="BI134" i="9"/>
  <c r="BI93" i="9"/>
  <c r="BI90" i="9" s="1"/>
  <c r="BI66" i="9"/>
  <c r="AE103" i="9"/>
  <c r="Z230" i="1"/>
  <c r="Z225" i="1"/>
  <c r="BI626" i="1" s="1"/>
  <c r="Z222" i="1"/>
  <c r="R231" i="1"/>
  <c r="R51" i="9" s="1"/>
  <c r="R251" i="1"/>
  <c r="AH222" i="1"/>
  <c r="AH225" i="1"/>
  <c r="AH230" i="1"/>
  <c r="AU55" i="9"/>
  <c r="AU298" i="1"/>
  <c r="AU140" i="1"/>
  <c r="R57" i="9"/>
  <c r="R232" i="1"/>
  <c r="R58" i="9" s="1"/>
  <c r="R87" i="9" s="1"/>
  <c r="AT225" i="1"/>
  <c r="AT222" i="1"/>
  <c r="AT230" i="1"/>
  <c r="D691" i="1"/>
  <c r="D684" i="1"/>
  <c r="D696" i="1"/>
  <c r="D694" i="1" s="1"/>
  <c r="D315" i="1" s="1"/>
  <c r="D698" i="1"/>
  <c r="D682" i="1"/>
  <c r="D680" i="1" s="1"/>
  <c r="D313" i="1" s="1"/>
  <c r="D689" i="1"/>
  <c r="D687" i="1" s="1"/>
  <c r="D314" i="1" s="1"/>
  <c r="J120" i="9"/>
  <c r="F134" i="9"/>
  <c r="F66" i="9"/>
  <c r="F93" i="9"/>
  <c r="F90" i="9" s="1"/>
  <c r="BD412" i="1"/>
  <c r="BD413" i="1" s="1"/>
  <c r="G412" i="1" s="1"/>
  <c r="F413" i="1"/>
  <c r="D703" i="1"/>
  <c r="D701" i="1" s="1"/>
  <c r="D317" i="1" s="1"/>
  <c r="BJ57" i="9"/>
  <c r="BF232" i="1"/>
  <c r="J134" i="9"/>
  <c r="J93" i="9"/>
  <c r="J90" i="9" s="1"/>
  <c r="N120" i="9"/>
  <c r="J66" i="9"/>
  <c r="BW30" i="9"/>
  <c r="BS58" i="1"/>
  <c r="BK232" i="1"/>
  <c r="BV32" i="9"/>
  <c r="BR15" i="1"/>
  <c r="BV28" i="9" s="1"/>
  <c r="K231" i="1"/>
  <c r="K51" i="9" s="1"/>
  <c r="AM97" i="9"/>
  <c r="AM136" i="9"/>
  <c r="AG103" i="9"/>
  <c r="AQ231" i="1"/>
  <c r="AQ51" i="9" s="1"/>
  <c r="BA231" i="1"/>
  <c r="BE51" i="9" s="1"/>
  <c r="BA251" i="1"/>
  <c r="K57" i="9"/>
  <c r="K232" i="1"/>
  <c r="K58" i="9" s="1"/>
  <c r="K87" i="9" s="1"/>
  <c r="AR251" i="1"/>
  <c r="AR231" i="1"/>
  <c r="AR51" i="9" s="1"/>
  <c r="AR57" i="9"/>
  <c r="AR232" i="1"/>
  <c r="AR58" i="9" s="1"/>
  <c r="AR87" i="9" s="1"/>
  <c r="H57" i="9"/>
  <c r="H232" i="1"/>
  <c r="H58" i="9" s="1"/>
  <c r="H87" i="9" s="1"/>
  <c r="U251" i="1"/>
  <c r="U231" i="1"/>
  <c r="U51" i="9" s="1"/>
  <c r="BE134" i="9"/>
  <c r="BE93" i="9"/>
  <c r="BE90" i="9" s="1"/>
  <c r="BE66" i="9"/>
  <c r="BE120" i="9"/>
  <c r="AU57" i="9"/>
  <c r="AU232" i="1"/>
  <c r="AU58" i="9" s="1"/>
  <c r="AU87" i="9" s="1"/>
  <c r="AP222" i="1"/>
  <c r="AP225" i="1"/>
  <c r="AP230" i="1"/>
  <c r="N110" i="9"/>
  <c r="N106" i="9"/>
  <c r="AK57" i="9"/>
  <c r="AK232" i="1"/>
  <c r="AK58" i="9" s="1"/>
  <c r="AK87" i="9" s="1"/>
  <c r="AD55" i="9"/>
  <c r="AD120" i="9" s="1"/>
  <c r="AD298" i="1"/>
  <c r="AD140" i="1"/>
  <c r="AN251" i="1"/>
  <c r="AN231" i="1"/>
  <c r="AN51" i="9" s="1"/>
  <c r="BC251" i="1"/>
  <c r="BC231" i="1"/>
  <c r="BG51" i="9" s="1"/>
  <c r="H231" i="1"/>
  <c r="H51" i="9" s="1"/>
  <c r="N137" i="9"/>
  <c r="AH137" i="9"/>
  <c r="V93" i="9"/>
  <c r="V90" i="9" s="1"/>
  <c r="V134" i="9"/>
  <c r="Z120" i="9"/>
  <c r="V66" i="9"/>
  <c r="AU251" i="1"/>
  <c r="AU231" i="1"/>
  <c r="AU51" i="9" s="1"/>
  <c r="AO57" i="9"/>
  <c r="AO232" i="1"/>
  <c r="AO58" i="9" s="1"/>
  <c r="AO87" i="9" s="1"/>
  <c r="V137" i="9"/>
  <c r="E57" i="9"/>
  <c r="E232" i="1"/>
  <c r="E58" i="9" s="1"/>
  <c r="E87" i="9" s="1"/>
  <c r="BG57" i="9"/>
  <c r="BC232" i="1"/>
  <c r="O103" i="9"/>
  <c r="G93" i="9"/>
  <c r="G90" i="9" s="1"/>
  <c r="BI57" i="9"/>
  <c r="BE232" i="1"/>
  <c r="K93" i="9"/>
  <c r="K90" i="9" s="1"/>
  <c r="V106" i="9"/>
  <c r="V110" i="9"/>
  <c r="BO615" i="1"/>
  <c r="BA38" i="9"/>
  <c r="BA18" i="9"/>
  <c r="BA40" i="9"/>
  <c r="Y5" i="9"/>
  <c r="Y6" i="9" s="1"/>
  <c r="Y11" i="9" s="1"/>
  <c r="Y304" i="1"/>
  <c r="Y305" i="1" s="1"/>
  <c r="BB38" i="9"/>
  <c r="BB40" i="9"/>
  <c r="BB18" i="9"/>
  <c r="AO251" i="1"/>
  <c r="AO231" i="1"/>
  <c r="AO51" i="9" s="1"/>
  <c r="BP599" i="1"/>
  <c r="AH55" i="9"/>
  <c r="AH298" i="1"/>
  <c r="AH140" i="1"/>
  <c r="I57" i="9"/>
  <c r="I232" i="1"/>
  <c r="I58" i="9" s="1"/>
  <c r="I87" i="9" s="1"/>
  <c r="O231" i="1"/>
  <c r="O51" i="9" s="1"/>
  <c r="E251" i="1"/>
  <c r="E231" i="1"/>
  <c r="E51" i="9" s="1"/>
  <c r="AC103" i="9"/>
  <c r="O73" i="11" l="1"/>
  <c r="T50" i="11"/>
  <c r="J188" i="11"/>
  <c r="J39" i="11" s="1"/>
  <c r="Y51" i="11"/>
  <c r="Z51" i="11"/>
  <c r="AA51" i="11"/>
  <c r="Q63" i="11"/>
  <c r="Q64" i="11" s="1"/>
  <c r="AR82" i="11"/>
  <c r="AR96" i="11" s="1"/>
  <c r="U188" i="11"/>
  <c r="U39" i="11" s="1"/>
  <c r="D12" i="15"/>
  <c r="D14" i="15" s="1"/>
  <c r="AP39" i="11"/>
  <c r="AB24" i="11"/>
  <c r="AB170" i="11" s="1"/>
  <c r="AB172" i="11" s="1"/>
  <c r="AB173" i="11" s="1"/>
  <c r="AX37" i="11"/>
  <c r="I16" i="12"/>
  <c r="C18" i="15"/>
  <c r="C20" i="15" s="1"/>
  <c r="AT187" i="11"/>
  <c r="M188" i="11"/>
  <c r="M39" i="11" s="1"/>
  <c r="N191" i="11"/>
  <c r="N192" i="11"/>
  <c r="AR192" i="11" s="1"/>
  <c r="R188" i="11"/>
  <c r="AS186" i="11"/>
  <c r="T191" i="11"/>
  <c r="T192" i="11"/>
  <c r="W188" i="11"/>
  <c r="AU186" i="11"/>
  <c r="S193" i="11"/>
  <c r="S51" i="11" s="1"/>
  <c r="S188" i="11"/>
  <c r="AT186" i="11"/>
  <c r="I192" i="11"/>
  <c r="I191" i="11"/>
  <c r="K193" i="11"/>
  <c r="K51" i="11" s="1"/>
  <c r="AR191" i="11"/>
  <c r="I187" i="11"/>
  <c r="AQ187" i="11" s="1"/>
  <c r="I186" i="11"/>
  <c r="L193" i="11"/>
  <c r="L51" i="11" s="1"/>
  <c r="L188" i="11"/>
  <c r="L39" i="11" s="1"/>
  <c r="V188" i="11"/>
  <c r="V39" i="11" s="1"/>
  <c r="M193" i="11"/>
  <c r="M51" i="11" s="1"/>
  <c r="K188" i="11"/>
  <c r="K39" i="11" s="1"/>
  <c r="AR186" i="11"/>
  <c r="AR187" i="11"/>
  <c r="AB174" i="11"/>
  <c r="C20" i="16"/>
  <c r="C16" i="16"/>
  <c r="C20" i="12"/>
  <c r="C16" i="12"/>
  <c r="AV25" i="11"/>
  <c r="AV27" i="11" s="1"/>
  <c r="AB83" i="11"/>
  <c r="AV60" i="11"/>
  <c r="AV83" i="11" s="1"/>
  <c r="AC26" i="11"/>
  <c r="AC24" i="11"/>
  <c r="AC170" i="11" s="1"/>
  <c r="AC172" i="11" s="1"/>
  <c r="AD24" i="11"/>
  <c r="AD170" i="11" s="1"/>
  <c r="AD172" i="11" s="1"/>
  <c r="AD26" i="11"/>
  <c r="AA53" i="11"/>
  <c r="AA50" i="11"/>
  <c r="K25" i="12"/>
  <c r="W30" i="11"/>
  <c r="X13" i="16"/>
  <c r="I16" i="16"/>
  <c r="Z86" i="11"/>
  <c r="Z89" i="11" s="1"/>
  <c r="AD89" i="11" s="1"/>
  <c r="W36" i="11"/>
  <c r="I32" i="16"/>
  <c r="W33" i="11"/>
  <c r="I32" i="12"/>
  <c r="I33" i="12" s="1"/>
  <c r="I29" i="15"/>
  <c r="I30" i="15" s="1"/>
  <c r="J30" i="15" s="1"/>
  <c r="K30" i="15" s="1"/>
  <c r="AU61" i="11"/>
  <c r="I369" i="11"/>
  <c r="I371" i="11" s="1"/>
  <c r="O75" i="11"/>
  <c r="O76" i="11" s="1"/>
  <c r="O85" i="11" s="1"/>
  <c r="H369" i="11"/>
  <c r="H371" i="11" s="1"/>
  <c r="AK75" i="11"/>
  <c r="AK76" i="11" s="1"/>
  <c r="AK85" i="11" s="1"/>
  <c r="AK86" i="11" s="1"/>
  <c r="AK89" i="11" s="1"/>
  <c r="AK369" i="11"/>
  <c r="AK371" i="11" s="1"/>
  <c r="N371" i="11"/>
  <c r="N75" i="11"/>
  <c r="N76" i="11" s="1"/>
  <c r="N85" i="11" s="1"/>
  <c r="N86" i="11" s="1"/>
  <c r="N89" i="11" s="1"/>
  <c r="O369" i="11"/>
  <c r="I75" i="11"/>
  <c r="I76" i="11" s="1"/>
  <c r="I85" i="11" s="1"/>
  <c r="I86" i="11" s="1"/>
  <c r="I89" i="11" s="1"/>
  <c r="L64" i="11"/>
  <c r="W31" i="11"/>
  <c r="Z30" i="11"/>
  <c r="V73" i="11"/>
  <c r="Z50" i="11"/>
  <c r="Z53" i="11"/>
  <c r="Y89" i="11"/>
  <c r="AC89" i="11" s="1"/>
  <c r="Y50" i="11"/>
  <c r="Y53" i="11"/>
  <c r="H86" i="11"/>
  <c r="H89" i="11" s="1"/>
  <c r="P73" i="11"/>
  <c r="H66" i="11"/>
  <c r="Q82" i="11"/>
  <c r="P50" i="11"/>
  <c r="P63" i="11"/>
  <c r="P64" i="11" s="1"/>
  <c r="P82" i="11"/>
  <c r="P53" i="11"/>
  <c r="Q52" i="11"/>
  <c r="Q53" i="11"/>
  <c r="Q73" i="11"/>
  <c r="P52" i="11"/>
  <c r="Q50" i="11"/>
  <c r="E86" i="11"/>
  <c r="E89" i="11" s="1"/>
  <c r="T53" i="11"/>
  <c r="AO66" i="9"/>
  <c r="AO134" i="9"/>
  <c r="AS120" i="9"/>
  <c r="AN66" i="9"/>
  <c r="M8" i="15"/>
  <c r="N8" i="15" s="1"/>
  <c r="G17" i="12"/>
  <c r="G14" i="12"/>
  <c r="G16" i="12"/>
  <c r="F16" i="16"/>
  <c r="G14" i="16"/>
  <c r="G16" i="16"/>
  <c r="G17" i="16"/>
  <c r="F16" i="12"/>
  <c r="L8" i="12"/>
  <c r="M8" i="12" s="1"/>
  <c r="E12" i="15"/>
  <c r="E14" i="15" s="1"/>
  <c r="E13" i="16"/>
  <c r="E13" i="12"/>
  <c r="F17" i="12" s="1"/>
  <c r="D13" i="12"/>
  <c r="D13" i="16"/>
  <c r="BI120" i="9"/>
  <c r="F19" i="12"/>
  <c r="F41" i="12" s="1"/>
  <c r="F19" i="16"/>
  <c r="F41" i="16" s="1"/>
  <c r="L8" i="16"/>
  <c r="H16" i="16"/>
  <c r="H17" i="16"/>
  <c r="H14" i="16"/>
  <c r="I17" i="16"/>
  <c r="I14" i="16"/>
  <c r="H17" i="12"/>
  <c r="H16" i="12"/>
  <c r="H14" i="12"/>
  <c r="I14" i="12"/>
  <c r="I17" i="12"/>
  <c r="Q33" i="11"/>
  <c r="Q30" i="11"/>
  <c r="AR41" i="11"/>
  <c r="I67" i="11"/>
  <c r="T30" i="11"/>
  <c r="Q32" i="11"/>
  <c r="I66" i="11"/>
  <c r="Q31" i="11"/>
  <c r="I64" i="11"/>
  <c r="AN134" i="9"/>
  <c r="AR38" i="11"/>
  <c r="P32" i="11"/>
  <c r="AQ40" i="11"/>
  <c r="AN49" i="11"/>
  <c r="M64" i="11"/>
  <c r="AQ72" i="11"/>
  <c r="E17" i="15" s="1"/>
  <c r="V63" i="11"/>
  <c r="P36" i="11"/>
  <c r="AR120" i="9"/>
  <c r="P30" i="11"/>
  <c r="T86" i="11"/>
  <c r="T89" i="11" s="1"/>
  <c r="AT93" i="9"/>
  <c r="AT90" i="9" s="1"/>
  <c r="AN36" i="11"/>
  <c r="V52" i="11"/>
  <c r="V33" i="11"/>
  <c r="V32" i="11"/>
  <c r="V36" i="11"/>
  <c r="W32" i="11"/>
  <c r="BH66" i="9"/>
  <c r="BH93" i="9"/>
  <c r="BH90" i="9" s="1"/>
  <c r="V82" i="11"/>
  <c r="AO44" i="11"/>
  <c r="AT66" i="9"/>
  <c r="O33" i="11"/>
  <c r="AL44" i="11"/>
  <c r="AN45" i="11"/>
  <c r="AN44" i="11"/>
  <c r="O36" i="11"/>
  <c r="O32" i="11"/>
  <c r="O30" i="11"/>
  <c r="O31" i="11"/>
  <c r="AL49" i="11"/>
  <c r="AL45" i="11"/>
  <c r="AL46" i="11"/>
  <c r="S30" i="11"/>
  <c r="AL30" i="11"/>
  <c r="AL31" i="11" s="1"/>
  <c r="AL33" i="11"/>
  <c r="AL32" i="11"/>
  <c r="AQ120" i="9"/>
  <c r="S53" i="11"/>
  <c r="AM93" i="9"/>
  <c r="AM90" i="9" s="1"/>
  <c r="O63" i="11"/>
  <c r="O66" i="11" s="1"/>
  <c r="O52" i="11"/>
  <c r="AM66" i="9"/>
  <c r="O82" i="11"/>
  <c r="S50" i="11"/>
  <c r="AN93" i="9"/>
  <c r="AN90" i="9" s="1"/>
  <c r="O50" i="11"/>
  <c r="AO93" i="9"/>
  <c r="AO90" i="9" s="1"/>
  <c r="AM134" i="9"/>
  <c r="O53" i="11"/>
  <c r="P31" i="11"/>
  <c r="AN46" i="11"/>
  <c r="U73" i="11"/>
  <c r="F17" i="15"/>
  <c r="F37" i="15" s="1"/>
  <c r="F14" i="15"/>
  <c r="I15" i="15"/>
  <c r="I13" i="15"/>
  <c r="I14" i="15"/>
  <c r="G15" i="15"/>
  <c r="G13" i="15"/>
  <c r="G14" i="15"/>
  <c r="W12" i="15"/>
  <c r="H15" i="15"/>
  <c r="H14" i="15"/>
  <c r="H13" i="15"/>
  <c r="AM46" i="11"/>
  <c r="AM44" i="11"/>
  <c r="AO46" i="11"/>
  <c r="AO29" i="11"/>
  <c r="AP30" i="11" s="1"/>
  <c r="AP31" i="11" s="1"/>
  <c r="AO49" i="11"/>
  <c r="AO45" i="11"/>
  <c r="AM29" i="11"/>
  <c r="AM49" i="11"/>
  <c r="AM51" i="11" s="1"/>
  <c r="AM45" i="11"/>
  <c r="U36" i="11"/>
  <c r="U31" i="11"/>
  <c r="U32" i="11"/>
  <c r="V31" i="11"/>
  <c r="F33" i="11"/>
  <c r="G31" i="11"/>
  <c r="G32" i="11"/>
  <c r="R32" i="11"/>
  <c r="R31" i="11"/>
  <c r="S31" i="11"/>
  <c r="S32" i="11"/>
  <c r="AT36" i="11"/>
  <c r="AR36" i="11"/>
  <c r="AP36" i="11"/>
  <c r="AQ29" i="11"/>
  <c r="AR32" i="11" s="1"/>
  <c r="R73" i="11"/>
  <c r="V30" i="11"/>
  <c r="R36" i="11"/>
  <c r="AP33" i="11"/>
  <c r="AT33" i="11"/>
  <c r="J30" i="11"/>
  <c r="AR33" i="11"/>
  <c r="R33" i="11"/>
  <c r="R30" i="11"/>
  <c r="AJ33" i="11"/>
  <c r="AK30" i="11"/>
  <c r="AS72" i="11"/>
  <c r="AS29" i="11"/>
  <c r="U30" i="11"/>
  <c r="U33" i="11"/>
  <c r="AK66" i="11"/>
  <c r="AJ82" i="11"/>
  <c r="AJ52" i="11"/>
  <c r="AJ73" i="11"/>
  <c r="AJ75" i="11" s="1"/>
  <c r="AJ63" i="11"/>
  <c r="AJ66" i="11" s="1"/>
  <c r="AK96" i="11"/>
  <c r="AK50" i="11"/>
  <c r="AP44" i="11"/>
  <c r="AP45" i="11"/>
  <c r="AP46" i="11"/>
  <c r="AP38" i="11"/>
  <c r="AP40" i="11"/>
  <c r="AP41" i="11"/>
  <c r="D52" i="11"/>
  <c r="D82" i="11"/>
  <c r="AB134" i="9"/>
  <c r="AB66" i="9"/>
  <c r="AB93" i="9"/>
  <c r="AB90" i="9" s="1"/>
  <c r="H50" i="11"/>
  <c r="H53" i="11"/>
  <c r="D73" i="11"/>
  <c r="AF120" i="9"/>
  <c r="AC93" i="9"/>
  <c r="AC90" i="9" s="1"/>
  <c r="AG304" i="1"/>
  <c r="AG305" i="1" s="1"/>
  <c r="AR52" i="11"/>
  <c r="AR71" i="11"/>
  <c r="F38" i="15" s="1"/>
  <c r="F39" i="15" s="1"/>
  <c r="W73" i="11"/>
  <c r="J73" i="11"/>
  <c r="L369" i="11" s="1"/>
  <c r="AP49" i="11"/>
  <c r="AP51" i="11" s="1"/>
  <c r="V53" i="11"/>
  <c r="N53" i="11"/>
  <c r="AT72" i="11"/>
  <c r="AP72" i="11"/>
  <c r="AF5" i="9"/>
  <c r="AF6" i="9" s="1"/>
  <c r="AF11" i="9" s="1"/>
  <c r="F232" i="1"/>
  <c r="F58" i="9" s="1"/>
  <c r="F87" i="9" s="1"/>
  <c r="F231" i="1"/>
  <c r="F51" i="9" s="1"/>
  <c r="AQ38" i="11"/>
  <c r="AQ41" i="11"/>
  <c r="AW133" i="9"/>
  <c r="AW132" i="1"/>
  <c r="AW63" i="9" s="1"/>
  <c r="AW173" i="1"/>
  <c r="AW176" i="1" s="1"/>
  <c r="AW198" i="1" s="1"/>
  <c r="AW133" i="1" s="1"/>
  <c r="AW64" i="9" s="1"/>
  <c r="F57" i="9"/>
  <c r="J121" i="9" s="1"/>
  <c r="AX445" i="1"/>
  <c r="P106" i="9"/>
  <c r="BO516" i="1"/>
  <c r="BO523" i="1" s="1"/>
  <c r="S77" i="11"/>
  <c r="S79" i="11" s="1"/>
  <c r="BB63" i="9"/>
  <c r="L77" i="11"/>
  <c r="L79" i="11" s="1"/>
  <c r="AX436" i="1"/>
  <c r="V50" i="11"/>
  <c r="AY111" i="9"/>
  <c r="BA9" i="9"/>
  <c r="X110" i="9"/>
  <c r="BO514" i="1"/>
  <c r="BO521" i="1" s="1"/>
  <c r="AX437" i="1"/>
  <c r="E77" i="11"/>
  <c r="E79" i="11" s="1"/>
  <c r="AR66" i="11"/>
  <c r="AT44" i="11"/>
  <c r="AT45" i="11"/>
  <c r="AT46" i="11"/>
  <c r="AQ44" i="11"/>
  <c r="AQ46" i="11"/>
  <c r="AQ45" i="11"/>
  <c r="AR44" i="11"/>
  <c r="AR46" i="11"/>
  <c r="O2" i="9"/>
  <c r="P5" i="1"/>
  <c r="U82" i="11"/>
  <c r="U53" i="11"/>
  <c r="U50" i="11"/>
  <c r="U52" i="11"/>
  <c r="U63" i="11"/>
  <c r="AT49" i="11"/>
  <c r="J82" i="11"/>
  <c r="J50" i="11"/>
  <c r="J52" i="11"/>
  <c r="J53" i="11"/>
  <c r="J63" i="11"/>
  <c r="N64" i="11" s="1"/>
  <c r="AQ49" i="11"/>
  <c r="BH5" i="1"/>
  <c r="BH2" i="9" s="1"/>
  <c r="S5" i="1"/>
  <c r="L2" i="9"/>
  <c r="M5" i="1"/>
  <c r="H77" i="11"/>
  <c r="H79" i="11" s="1"/>
  <c r="N50" i="11"/>
  <c r="M77" i="11"/>
  <c r="M79" i="11" s="1"/>
  <c r="AS44" i="11"/>
  <c r="AS45" i="11"/>
  <c r="AS46" i="11"/>
  <c r="AX442" i="1"/>
  <c r="I2" i="9"/>
  <c r="J5" i="1"/>
  <c r="J2" i="9" s="1"/>
  <c r="W82" i="11"/>
  <c r="W63" i="11"/>
  <c r="W53" i="11"/>
  <c r="W50" i="11"/>
  <c r="W52" i="11"/>
  <c r="AU106" i="9"/>
  <c r="T77" i="11"/>
  <c r="T79" i="11" s="1"/>
  <c r="R82" i="11"/>
  <c r="R63" i="11"/>
  <c r="R52" i="11"/>
  <c r="R53" i="11"/>
  <c r="R50" i="11"/>
  <c r="AS49" i="11"/>
  <c r="BB39" i="9"/>
  <c r="BB61" i="9" s="1"/>
  <c r="F82" i="11"/>
  <c r="F63" i="11"/>
  <c r="AP63" i="11" s="1"/>
  <c r="F75" i="11"/>
  <c r="F76" i="11" s="1"/>
  <c r="F52" i="11"/>
  <c r="H67" i="11"/>
  <c r="K77" i="11"/>
  <c r="K79" i="11" s="1"/>
  <c r="N66" i="11"/>
  <c r="BP580" i="1"/>
  <c r="AX441" i="1"/>
  <c r="H64" i="11"/>
  <c r="AX584" i="1"/>
  <c r="AX113" i="9" s="1"/>
  <c r="AR110" i="9"/>
  <c r="C77" i="11"/>
  <c r="C79" i="11" s="1"/>
  <c r="G77" i="11"/>
  <c r="G79" i="11" s="1"/>
  <c r="AY62" i="9"/>
  <c r="W106" i="9"/>
  <c r="BO513" i="1"/>
  <c r="BO520" i="1" s="1"/>
  <c r="Y110" i="9"/>
  <c r="AB136" i="9"/>
  <c r="AF121" i="9"/>
  <c r="AB97" i="9"/>
  <c r="AM106" i="9"/>
  <c r="AB254" i="1"/>
  <c r="AB252" i="1"/>
  <c r="BO517" i="1"/>
  <c r="BO524" i="1" s="1"/>
  <c r="AX173" i="1"/>
  <c r="AX176" i="1" s="1"/>
  <c r="AX198" i="1" s="1"/>
  <c r="Q106" i="9"/>
  <c r="AS110" i="9"/>
  <c r="AX111" i="9"/>
  <c r="AI110" i="9"/>
  <c r="BO518" i="1"/>
  <c r="BO525" i="1" s="1"/>
  <c r="BQ599" i="1"/>
  <c r="AP57" i="9"/>
  <c r="AP232" i="1"/>
  <c r="AP58" i="9" s="1"/>
  <c r="AP87" i="9" s="1"/>
  <c r="L254" i="1"/>
  <c r="L252" i="1"/>
  <c r="BB62" i="9"/>
  <c r="AC110" i="9"/>
  <c r="AC106" i="9"/>
  <c r="BI58" i="9"/>
  <c r="BE307" i="1"/>
  <c r="AP251" i="1"/>
  <c r="AP231" i="1"/>
  <c r="AP51" i="9" s="1"/>
  <c r="BO515" i="1"/>
  <c r="BO522" i="1" s="1"/>
  <c r="BO584" i="1"/>
  <c r="BO113" i="9" s="1"/>
  <c r="BO114" i="9" s="1"/>
  <c r="T254" i="1"/>
  <c r="T252" i="1"/>
  <c r="BN307" i="1"/>
  <c r="AW442" i="1"/>
  <c r="I252" i="1"/>
  <c r="I254" i="1"/>
  <c r="BI136" i="9"/>
  <c r="BJ121" i="9"/>
  <c r="BI97" i="9"/>
  <c r="BI98" i="9" s="1"/>
  <c r="BI101" i="9" s="1"/>
  <c r="BC254" i="1"/>
  <c r="BC252" i="1"/>
  <c r="J252" i="1"/>
  <c r="BE251" i="1"/>
  <c r="J254" i="1"/>
  <c r="AN136" i="9"/>
  <c r="AN97" i="9"/>
  <c r="AR121" i="9"/>
  <c r="T136" i="9"/>
  <c r="X121" i="9"/>
  <c r="T97" i="9"/>
  <c r="AU252" i="1"/>
  <c r="AU254" i="1"/>
  <c r="AT251" i="1"/>
  <c r="AT231" i="1"/>
  <c r="AT51" i="9" s="1"/>
  <c r="BE58" i="9"/>
  <c r="BA307" i="1"/>
  <c r="AW445" i="1"/>
  <c r="H136" i="9"/>
  <c r="L121" i="9"/>
  <c r="H97" i="9"/>
  <c r="BE136" i="9"/>
  <c r="BF121" i="9"/>
  <c r="BE97" i="9"/>
  <c r="BE98" i="9" s="1"/>
  <c r="BE101" i="9" s="1"/>
  <c r="J136" i="9"/>
  <c r="J97" i="9"/>
  <c r="AO97" i="9"/>
  <c r="AO136" i="9"/>
  <c r="AS121" i="9"/>
  <c r="BM58" i="9"/>
  <c r="BI307" i="1"/>
  <c r="BC620" i="1"/>
  <c r="C504" i="1"/>
  <c r="C505" i="1" s="1"/>
  <c r="BC510" i="1"/>
  <c r="BD504" i="1"/>
  <c r="BD505" i="1" s="1"/>
  <c r="AF110" i="9"/>
  <c r="AF106" i="9"/>
  <c r="M136" i="9"/>
  <c r="Q121" i="9"/>
  <c r="M97" i="9"/>
  <c r="BN121" i="9"/>
  <c r="BM136" i="9"/>
  <c r="BM97" i="9"/>
  <c r="BM98" i="9" s="1"/>
  <c r="BM101" i="9" s="1"/>
  <c r="AK106" i="9"/>
  <c r="AK110" i="9"/>
  <c r="H121" i="9"/>
  <c r="D136" i="9"/>
  <c r="D97" i="9"/>
  <c r="AN252" i="1"/>
  <c r="AN254" i="1"/>
  <c r="U252" i="1"/>
  <c r="U254" i="1"/>
  <c r="AE110" i="9"/>
  <c r="AE106" i="9"/>
  <c r="AJ106" i="9"/>
  <c r="AJ110" i="9"/>
  <c r="X136" i="9"/>
  <c r="AB121" i="9"/>
  <c r="X97" i="9"/>
  <c r="BO22" i="1"/>
  <c r="BO138" i="1"/>
  <c r="BO11" i="1"/>
  <c r="BS18" i="9" s="1"/>
  <c r="F252" i="1"/>
  <c r="F254" i="1"/>
  <c r="BD251" i="1"/>
  <c r="AT57" i="9"/>
  <c r="AT232" i="1"/>
  <c r="AT58" i="9" s="1"/>
  <c r="AT87" i="9" s="1"/>
  <c r="AV40" i="9"/>
  <c r="AV62" i="9" s="1"/>
  <c r="BO196" i="1"/>
  <c r="BO40" i="9" s="1"/>
  <c r="BO62" i="9" s="1"/>
  <c r="AL120" i="9"/>
  <c r="AH134" i="9"/>
  <c r="AH93" i="9"/>
  <c r="AH90" i="9" s="1"/>
  <c r="AH66" i="9"/>
  <c r="AJ93" i="9"/>
  <c r="AJ90" i="9" s="1"/>
  <c r="AK93" i="9"/>
  <c r="AK90" i="9" s="1"/>
  <c r="AI93" i="9"/>
  <c r="AI90" i="9" s="1"/>
  <c r="BA39" i="9"/>
  <c r="BA61" i="9" s="1"/>
  <c r="AH120" i="9"/>
  <c r="AD134" i="9"/>
  <c r="AD93" i="9"/>
  <c r="AD90" i="9" s="1"/>
  <c r="AD66" i="9"/>
  <c r="AG93" i="9"/>
  <c r="AG90" i="9" s="1"/>
  <c r="AF93" i="9"/>
  <c r="AF90" i="9" s="1"/>
  <c r="AE93" i="9"/>
  <c r="AE90" i="9" s="1"/>
  <c r="M252" i="1"/>
  <c r="M254" i="1"/>
  <c r="A701" i="1"/>
  <c r="C701" i="1"/>
  <c r="C317" i="1" s="1"/>
  <c r="P5" i="9"/>
  <c r="P6" i="9" s="1"/>
  <c r="P11" i="9" s="1"/>
  <c r="P304" i="1"/>
  <c r="P305" i="1" s="1"/>
  <c r="BL58" i="9"/>
  <c r="BH307" i="1"/>
  <c r="T121" i="9"/>
  <c r="BA62" i="9"/>
  <c r="O110" i="9"/>
  <c r="O106" i="9"/>
  <c r="BK58" i="9"/>
  <c r="BG307" i="1"/>
  <c r="AD251" i="1"/>
  <c r="AD231" i="1"/>
  <c r="AD51" i="9" s="1"/>
  <c r="BM121" i="9"/>
  <c r="BL136" i="9"/>
  <c r="BL97" i="9"/>
  <c r="BL98" i="9" s="1"/>
  <c r="BL101" i="9" s="1"/>
  <c r="I97" i="9"/>
  <c r="I136" i="9"/>
  <c r="M121" i="9"/>
  <c r="AV197" i="1"/>
  <c r="E252" i="1"/>
  <c r="E254" i="1"/>
  <c r="BP561" i="1"/>
  <c r="BJ58" i="9"/>
  <c r="BF307" i="1"/>
  <c r="R136" i="9"/>
  <c r="R97" i="9"/>
  <c r="BK97" i="9"/>
  <c r="BK98" i="9" s="1"/>
  <c r="BK101" i="9" s="1"/>
  <c r="BL121" i="9"/>
  <c r="BK136" i="9"/>
  <c r="AD57" i="9"/>
  <c r="AD232" i="1"/>
  <c r="AD58" i="9" s="1"/>
  <c r="AD87" i="9" s="1"/>
  <c r="A680" i="1"/>
  <c r="C680" i="1"/>
  <c r="C313" i="1" s="1"/>
  <c r="AV193" i="1"/>
  <c r="AL57" i="9"/>
  <c r="AL232" i="1"/>
  <c r="AL58" i="9" s="1"/>
  <c r="AL87" i="9" s="1"/>
  <c r="BG136" i="9"/>
  <c r="BG97" i="9"/>
  <c r="BG98" i="9" s="1"/>
  <c r="BG101" i="9" s="1"/>
  <c r="BH121" i="9"/>
  <c r="AR136" i="9"/>
  <c r="AR97" i="9"/>
  <c r="BQ587" i="1"/>
  <c r="BJ97" i="9"/>
  <c r="BJ98" i="9" s="1"/>
  <c r="BJ101" i="9" s="1"/>
  <c r="BK121" i="9"/>
  <c r="BJ136" i="9"/>
  <c r="Q5" i="9"/>
  <c r="Q6" i="9" s="1"/>
  <c r="Q11" i="9" s="1"/>
  <c r="Q304" i="1"/>
  <c r="Q305" i="1" s="1"/>
  <c r="AW437" i="1"/>
  <c r="AV437" i="1"/>
  <c r="AX39" i="9"/>
  <c r="AX127" i="1"/>
  <c r="U136" i="9"/>
  <c r="Y121" i="9"/>
  <c r="U97" i="9"/>
  <c r="AL231" i="1"/>
  <c r="AL51" i="9" s="1"/>
  <c r="AL251" i="1"/>
  <c r="C694" i="1"/>
  <c r="C315" i="1" s="1"/>
  <c r="A694" i="1"/>
  <c r="BH58" i="9"/>
  <c r="BD307" i="1"/>
  <c r="BM307" i="1"/>
  <c r="BG58" i="9"/>
  <c r="BC307" i="1"/>
  <c r="BH97" i="9"/>
  <c r="BH98" i="9" s="1"/>
  <c r="BH101" i="9" s="1"/>
  <c r="BI121" i="9"/>
  <c r="BH136" i="9"/>
  <c r="BU20" i="9"/>
  <c r="BQ7" i="1"/>
  <c r="BU14" i="9" s="1"/>
  <c r="C687" i="1"/>
  <c r="C314" i="1" s="1"/>
  <c r="A687" i="1"/>
  <c r="BN626" i="1"/>
  <c r="AW436" i="1"/>
  <c r="AV436" i="1"/>
  <c r="BV34" i="9"/>
  <c r="BR28" i="1"/>
  <c r="BS34" i="1"/>
  <c r="AQ136" i="9"/>
  <c r="AQ97" i="9"/>
  <c r="AU121" i="9"/>
  <c r="AV441" i="1"/>
  <c r="AV584" i="1"/>
  <c r="BD58" i="9"/>
  <c r="AZ307" i="1"/>
  <c r="G97" i="9"/>
  <c r="G136" i="9"/>
  <c r="K121" i="9"/>
  <c r="BL307" i="1"/>
  <c r="AU93" i="9"/>
  <c r="AU90" i="9" s="1"/>
  <c r="AU134" i="9"/>
  <c r="AU66" i="9"/>
  <c r="AU120" i="9"/>
  <c r="E97" i="9"/>
  <c r="I121" i="9"/>
  <c r="E136" i="9"/>
  <c r="H412" i="1"/>
  <c r="G413" i="1"/>
  <c r="BD97" i="9"/>
  <c r="BD98" i="9" s="1"/>
  <c r="BD101" i="9" s="1"/>
  <c r="BD136" i="9"/>
  <c r="BE121" i="9"/>
  <c r="AS252" i="1"/>
  <c r="AS254" i="1"/>
  <c r="F708" i="1"/>
  <c r="F1" i="9"/>
  <c r="BD4" i="1"/>
  <c r="F3" i="1"/>
  <c r="F678" i="1" s="1"/>
  <c r="AR252" i="1"/>
  <c r="AR254" i="1"/>
  <c r="AH57" i="9"/>
  <c r="AH232" i="1"/>
  <c r="AH58" i="9" s="1"/>
  <c r="AH87" i="9" s="1"/>
  <c r="BK626" i="1"/>
  <c r="E678" i="1"/>
  <c r="AE121" i="9"/>
  <c r="AA97" i="9"/>
  <c r="AA136" i="9"/>
  <c r="C252" i="1"/>
  <c r="C254" i="1"/>
  <c r="AN121" i="9"/>
  <c r="AJ136" i="9"/>
  <c r="AJ97" i="9"/>
  <c r="AJ121" i="9"/>
  <c r="D252" i="1"/>
  <c r="D254" i="1"/>
  <c r="AO252" i="1"/>
  <c r="AO254" i="1"/>
  <c r="AK97" i="9"/>
  <c r="AK136" i="9"/>
  <c r="AO121" i="9"/>
  <c r="AK121" i="9"/>
  <c r="AK252" i="1"/>
  <c r="AK254" i="1"/>
  <c r="K136" i="9"/>
  <c r="O121" i="9"/>
  <c r="K97" i="9"/>
  <c r="AY8" i="9"/>
  <c r="BM626" i="1"/>
  <c r="AZ38" i="9"/>
  <c r="AZ18" i="9"/>
  <c r="BP190" i="1"/>
  <c r="BP38" i="9" s="1"/>
  <c r="BN58" i="9"/>
  <c r="BJ307" i="1"/>
  <c r="BF134" i="9"/>
  <c r="BG120" i="9"/>
  <c r="BF93" i="9"/>
  <c r="BF90" i="9" s="1"/>
  <c r="BF66" i="9"/>
  <c r="P121" i="9"/>
  <c r="L136" i="9"/>
  <c r="L97" i="9"/>
  <c r="BN136" i="9"/>
  <c r="BN97" i="9"/>
  <c r="BN98" i="9" s="1"/>
  <c r="BN101" i="9" s="1"/>
  <c r="AP134" i="9"/>
  <c r="AP93" i="9"/>
  <c r="AP90" i="9" s="1"/>
  <c r="AT120" i="9"/>
  <c r="AP66" i="9"/>
  <c r="AQ93" i="9"/>
  <c r="AQ90" i="9" s="1"/>
  <c r="AS93" i="9"/>
  <c r="AS90" i="9" s="1"/>
  <c r="AR93" i="9"/>
  <c r="AR90" i="9" s="1"/>
  <c r="BB252" i="1"/>
  <c r="BB254" i="1"/>
  <c r="AH251" i="1"/>
  <c r="AH231" i="1"/>
  <c r="AH51" i="9" s="1"/>
  <c r="BK307" i="1"/>
  <c r="AN106" i="9"/>
  <c r="AN110" i="9"/>
  <c r="V231" i="1"/>
  <c r="V51" i="9" s="1"/>
  <c r="V251" i="1"/>
  <c r="AU136" i="9"/>
  <c r="AU97" i="9"/>
  <c r="G121" i="9"/>
  <c r="C97" i="9"/>
  <c r="C136" i="9"/>
  <c r="W121" i="9"/>
  <c r="S136" i="9"/>
  <c r="S97" i="9"/>
  <c r="BF58" i="9"/>
  <c r="BB307" i="1"/>
  <c r="O136" i="9"/>
  <c r="S121" i="9"/>
  <c r="O97" i="9"/>
  <c r="BA254" i="1"/>
  <c r="BA252" i="1"/>
  <c r="V57" i="9"/>
  <c r="V232" i="1"/>
  <c r="V58" i="9" s="1"/>
  <c r="V87" i="9" s="1"/>
  <c r="AB110" i="9"/>
  <c r="AB106" i="9"/>
  <c r="AG110" i="9"/>
  <c r="AG106" i="9"/>
  <c r="AQ106" i="9"/>
  <c r="AQ110" i="9"/>
  <c r="BG134" i="9"/>
  <c r="BH120" i="9"/>
  <c r="BG93" i="9"/>
  <c r="BG90" i="9" s="1"/>
  <c r="BG66" i="9"/>
  <c r="AM121" i="9"/>
  <c r="AI97" i="9"/>
  <c r="AI136" i="9"/>
  <c r="AA110" i="9"/>
  <c r="AA106" i="9"/>
  <c r="BG251" i="1"/>
  <c r="R252" i="1"/>
  <c r="R254" i="1"/>
  <c r="AI254" i="1"/>
  <c r="AI252" i="1"/>
  <c r="AO106" i="9"/>
  <c r="AO110" i="9"/>
  <c r="AS136" i="9"/>
  <c r="AS97" i="9"/>
  <c r="N231" i="1"/>
  <c r="N51" i="9" s="1"/>
  <c r="N251" i="1"/>
  <c r="X252" i="1"/>
  <c r="X254" i="1"/>
  <c r="AW443" i="1"/>
  <c r="BO443" i="1" s="1"/>
  <c r="BW32" i="9"/>
  <c r="BS15" i="1"/>
  <c r="BW28" i="9" s="1"/>
  <c r="Z231" i="1"/>
  <c r="Z51" i="9" s="1"/>
  <c r="Z251" i="1"/>
  <c r="N57" i="9"/>
  <c r="N232" i="1"/>
  <c r="N58" i="9" s="1"/>
  <c r="N87" i="9" s="1"/>
  <c r="AA121" i="9"/>
  <c r="W97" i="9"/>
  <c r="W136" i="9"/>
  <c r="BU35" i="9"/>
  <c r="BQ29" i="1"/>
  <c r="BR36" i="1"/>
  <c r="BF136" i="9"/>
  <c r="BG121" i="9"/>
  <c r="BF97" i="9"/>
  <c r="BF98" i="9" s="1"/>
  <c r="BF101" i="9" s="1"/>
  <c r="BP553" i="1"/>
  <c r="Z57" i="9"/>
  <c r="Z232" i="1"/>
  <c r="Z58" i="9" s="1"/>
  <c r="Z87" i="9" s="1"/>
  <c r="AJ254" i="1"/>
  <c r="AJ252" i="1"/>
  <c r="AW441" i="1"/>
  <c r="AW584" i="1"/>
  <c r="D13" i="15" l="1"/>
  <c r="D15" i="15"/>
  <c r="Q67" i="11"/>
  <c r="Q66" i="11"/>
  <c r="AL50" i="11"/>
  <c r="AL51" i="11"/>
  <c r="AN63" i="11"/>
  <c r="AN51" i="11"/>
  <c r="AO51" i="11"/>
  <c r="N193" i="11"/>
  <c r="N51" i="11" s="1"/>
  <c r="T193" i="11"/>
  <c r="T51" i="11" s="1"/>
  <c r="AS188" i="11"/>
  <c r="AS39" i="11" s="1"/>
  <c r="R39" i="11"/>
  <c r="C24" i="15"/>
  <c r="C44" i="15" s="1"/>
  <c r="AT188" i="11"/>
  <c r="AT39" i="11" s="1"/>
  <c r="S39" i="11"/>
  <c r="AU188" i="11"/>
  <c r="AU39" i="11" s="1"/>
  <c r="W39" i="11"/>
  <c r="J192" i="11"/>
  <c r="AQ192" i="11" s="1"/>
  <c r="J191" i="11"/>
  <c r="AQ191" i="11" s="1"/>
  <c r="O191" i="11"/>
  <c r="O192" i="11"/>
  <c r="V191" i="11"/>
  <c r="V192" i="11"/>
  <c r="V193" i="11" s="1"/>
  <c r="V51" i="11" s="1"/>
  <c r="I188" i="11"/>
  <c r="AQ186" i="11"/>
  <c r="U191" i="11"/>
  <c r="U192" i="11"/>
  <c r="P191" i="11"/>
  <c r="P192" i="11"/>
  <c r="R192" i="11"/>
  <c r="R191" i="11"/>
  <c r="W191" i="11"/>
  <c r="W192" i="11"/>
  <c r="Q192" i="11"/>
  <c r="Q191" i="11"/>
  <c r="I193" i="11"/>
  <c r="I51" i="11" s="1"/>
  <c r="AR188" i="11"/>
  <c r="AR39" i="11" s="1"/>
  <c r="J32" i="12"/>
  <c r="J33" i="12" s="1"/>
  <c r="K33" i="12" s="1"/>
  <c r="L33" i="12" s="1"/>
  <c r="M33" i="12" s="1"/>
  <c r="N33" i="12" s="1"/>
  <c r="O33" i="12" s="1"/>
  <c r="P33" i="12" s="1"/>
  <c r="Q33" i="12" s="1"/>
  <c r="R33" i="12" s="1"/>
  <c r="S33" i="12" s="1"/>
  <c r="T33" i="12" s="1"/>
  <c r="U33" i="12" s="1"/>
  <c r="AV26" i="11"/>
  <c r="E18" i="15"/>
  <c r="E20" i="15" s="1"/>
  <c r="AD173" i="11"/>
  <c r="AD174" i="11"/>
  <c r="AC173" i="11"/>
  <c r="AC174" i="11"/>
  <c r="D17" i="16"/>
  <c r="D16" i="16"/>
  <c r="D14" i="16"/>
  <c r="D17" i="15"/>
  <c r="D17" i="12"/>
  <c r="D16" i="12"/>
  <c r="D14" i="12"/>
  <c r="C26" i="16"/>
  <c r="C22" i="16"/>
  <c r="C26" i="12"/>
  <c r="C22" i="12"/>
  <c r="AV61" i="11"/>
  <c r="AV24" i="11"/>
  <c r="AV170" i="11" s="1"/>
  <c r="AV172" i="11" s="1"/>
  <c r="AV173" i="11" s="1"/>
  <c r="J32" i="16"/>
  <c r="J33" i="16" s="1"/>
  <c r="K33" i="16" s="1"/>
  <c r="AA67" i="11"/>
  <c r="AA64" i="11"/>
  <c r="I33" i="16"/>
  <c r="J29" i="15"/>
  <c r="O77" i="11"/>
  <c r="O79" i="11" s="1"/>
  <c r="I77" i="11"/>
  <c r="I79" i="11" s="1"/>
  <c r="P75" i="11"/>
  <c r="P76" i="11" s="1"/>
  <c r="P85" i="11" s="1"/>
  <c r="P86" i="11" s="1"/>
  <c r="P89" i="11" s="1"/>
  <c r="S369" i="11"/>
  <c r="V75" i="11"/>
  <c r="V76" i="11" s="1"/>
  <c r="V85" i="11" s="1"/>
  <c r="V86" i="11" s="1"/>
  <c r="V89" i="11" s="1"/>
  <c r="U75" i="11"/>
  <c r="U76" i="11" s="1"/>
  <c r="U85" i="11" s="1"/>
  <c r="U86" i="11" s="1"/>
  <c r="U89" i="11" s="1"/>
  <c r="W369" i="11"/>
  <c r="V369" i="11"/>
  <c r="L372" i="11"/>
  <c r="L371" i="11"/>
  <c r="R75" i="11"/>
  <c r="R76" i="11" s="1"/>
  <c r="R85" i="11" s="1"/>
  <c r="R86" i="11" s="1"/>
  <c r="R89" i="11" s="1"/>
  <c r="U369" i="11"/>
  <c r="Q369" i="11"/>
  <c r="R369" i="11"/>
  <c r="D75" i="11"/>
  <c r="D76" i="11" s="1"/>
  <c r="D85" i="11" s="1"/>
  <c r="D86" i="11" s="1"/>
  <c r="D89" i="11" s="1"/>
  <c r="G369" i="11"/>
  <c r="G371" i="11" s="1"/>
  <c r="F369" i="11"/>
  <c r="F371" i="11" s="1"/>
  <c r="Q75" i="11"/>
  <c r="Q76" i="11" s="1"/>
  <c r="Q85" i="11" s="1"/>
  <c r="Q86" i="11" s="1"/>
  <c r="Q89" i="11" s="1"/>
  <c r="T369" i="11"/>
  <c r="O371" i="11"/>
  <c r="J75" i="11"/>
  <c r="J76" i="11" s="1"/>
  <c r="J85" i="11" s="1"/>
  <c r="J86" i="11" s="1"/>
  <c r="J89" i="11" s="1"/>
  <c r="M369" i="11"/>
  <c r="K369" i="11"/>
  <c r="O372" i="11" s="1"/>
  <c r="J369" i="11"/>
  <c r="W75" i="11"/>
  <c r="W76" i="11" s="1"/>
  <c r="W85" i="11" s="1"/>
  <c r="W86" i="11" s="1"/>
  <c r="W89" i="11" s="1"/>
  <c r="P369" i="11"/>
  <c r="V66" i="11"/>
  <c r="Z67" i="11"/>
  <c r="Z64" i="11"/>
  <c r="P66" i="11"/>
  <c r="Y64" i="11"/>
  <c r="Y67" i="11"/>
  <c r="T67" i="11"/>
  <c r="P67" i="11"/>
  <c r="T64" i="11"/>
  <c r="Q96" i="11"/>
  <c r="F13" i="15"/>
  <c r="F15" i="15"/>
  <c r="M23" i="15"/>
  <c r="N23" i="15" s="1"/>
  <c r="F42" i="12"/>
  <c r="F43" i="12" s="1"/>
  <c r="F14" i="12"/>
  <c r="E19" i="16"/>
  <c r="E41" i="16" s="1"/>
  <c r="E19" i="12"/>
  <c r="E41" i="12" s="1"/>
  <c r="E17" i="16"/>
  <c r="E14" i="16"/>
  <c r="E16" i="16"/>
  <c r="F42" i="16"/>
  <c r="D19" i="12"/>
  <c r="D41" i="12" s="1"/>
  <c r="D19" i="16"/>
  <c r="D41" i="16" s="1"/>
  <c r="L30" i="15"/>
  <c r="K29" i="15"/>
  <c r="G19" i="16"/>
  <c r="G19" i="12"/>
  <c r="H19" i="12"/>
  <c r="H19" i="16"/>
  <c r="F20" i="12"/>
  <c r="F14" i="16"/>
  <c r="E13" i="15"/>
  <c r="E15" i="15"/>
  <c r="L25" i="16"/>
  <c r="M8" i="16"/>
  <c r="F17" i="16"/>
  <c r="E14" i="12"/>
  <c r="E16" i="12"/>
  <c r="E17" i="12"/>
  <c r="F20" i="16"/>
  <c r="L25" i="12"/>
  <c r="AN52" i="11"/>
  <c r="AN82" i="11"/>
  <c r="AN96" i="11" s="1"/>
  <c r="AQ71" i="11"/>
  <c r="E42" i="12" s="1"/>
  <c r="AN53" i="11"/>
  <c r="V64" i="11"/>
  <c r="AO53" i="11"/>
  <c r="AN73" i="11"/>
  <c r="O67" i="11"/>
  <c r="O64" i="11"/>
  <c r="AL53" i="11"/>
  <c r="AL73" i="11"/>
  <c r="AL63" i="11"/>
  <c r="AL67" i="11" s="1"/>
  <c r="S67" i="11"/>
  <c r="S64" i="11"/>
  <c r="AL52" i="11"/>
  <c r="AL82" i="11"/>
  <c r="AL96" i="11" s="1"/>
  <c r="O96" i="11"/>
  <c r="P96" i="11"/>
  <c r="O86" i="11"/>
  <c r="O89" i="11" s="1"/>
  <c r="F36" i="15"/>
  <c r="H17" i="15"/>
  <c r="G17" i="15"/>
  <c r="F18" i="15"/>
  <c r="O8" i="15"/>
  <c r="AR73" i="11"/>
  <c r="AO50" i="11"/>
  <c r="AP32" i="11"/>
  <c r="AR30" i="11"/>
  <c r="AR31" i="11" s="1"/>
  <c r="AM53" i="11"/>
  <c r="AO82" i="11"/>
  <c r="AO96" i="11" s="1"/>
  <c r="AO52" i="11"/>
  <c r="AO63" i="11"/>
  <c r="AO66" i="11" s="1"/>
  <c r="AO73" i="11"/>
  <c r="AM36" i="11"/>
  <c r="AM33" i="11"/>
  <c r="AN30" i="11"/>
  <c r="AN31" i="11" s="1"/>
  <c r="AN32" i="11"/>
  <c r="AM32" i="11"/>
  <c r="AM30" i="11"/>
  <c r="AM31" i="11" s="1"/>
  <c r="AN50" i="11"/>
  <c r="AM50" i="11"/>
  <c r="AO36" i="11"/>
  <c r="AO33" i="11"/>
  <c r="AO32" i="11"/>
  <c r="AO30" i="11"/>
  <c r="AO31" i="11" s="1"/>
  <c r="AM63" i="11"/>
  <c r="AM66" i="11" s="1"/>
  <c r="AM73" i="11"/>
  <c r="AM82" i="11"/>
  <c r="AM96" i="11" s="1"/>
  <c r="AM52" i="11"/>
  <c r="AS36" i="11"/>
  <c r="AS32" i="11"/>
  <c r="AT32" i="11"/>
  <c r="AQ36" i="11"/>
  <c r="AQ32" i="11"/>
  <c r="AS71" i="11"/>
  <c r="G38" i="15" s="1"/>
  <c r="AQ30" i="11"/>
  <c r="AQ31" i="11" s="1"/>
  <c r="AQ33" i="11"/>
  <c r="AS30" i="11"/>
  <c r="AS31" i="11" s="1"/>
  <c r="AS33" i="11"/>
  <c r="AT30" i="11"/>
  <c r="AT31" i="11" s="1"/>
  <c r="AK64" i="11"/>
  <c r="AK67" i="11"/>
  <c r="AK77" i="11"/>
  <c r="AK79" i="11" s="1"/>
  <c r="AJ76" i="11"/>
  <c r="AJ85" i="11" s="1"/>
  <c r="AJ86" i="11" s="1"/>
  <c r="AJ89" i="11" s="1"/>
  <c r="AJ96" i="11"/>
  <c r="AN66" i="11"/>
  <c r="AP50" i="11"/>
  <c r="AP52" i="11"/>
  <c r="AP53" i="11"/>
  <c r="BD1" i="9"/>
  <c r="BP119" i="9"/>
  <c r="U96" i="11"/>
  <c r="I96" i="11"/>
  <c r="H96" i="11"/>
  <c r="F96" i="11"/>
  <c r="V96" i="11"/>
  <c r="W96" i="11"/>
  <c r="M96" i="11"/>
  <c r="L96" i="11"/>
  <c r="K96" i="11"/>
  <c r="J96" i="11"/>
  <c r="R96" i="11"/>
  <c r="G96" i="11"/>
  <c r="S96" i="11"/>
  <c r="T96" i="11"/>
  <c r="AP71" i="11"/>
  <c r="AP73" i="11" s="1"/>
  <c r="AP82" i="11"/>
  <c r="AP96" i="11" s="1"/>
  <c r="AT71" i="11"/>
  <c r="H38" i="15" s="1"/>
  <c r="AW56" i="9"/>
  <c r="AW135" i="9" s="1"/>
  <c r="F97" i="9"/>
  <c r="H98" i="9" s="1"/>
  <c r="H101" i="9" s="1"/>
  <c r="F136" i="9"/>
  <c r="BO445" i="1"/>
  <c r="BB111" i="9"/>
  <c r="BO442" i="1"/>
  <c r="AX448" i="1"/>
  <c r="N77" i="11"/>
  <c r="N79" i="11" s="1"/>
  <c r="AR79" i="11" s="1"/>
  <c r="AY63" i="9"/>
  <c r="AY56" i="9"/>
  <c r="AY135" i="9" s="1"/>
  <c r="AX70" i="9"/>
  <c r="N67" i="11"/>
  <c r="V67" i="11"/>
  <c r="BB9" i="9"/>
  <c r="BP588" i="1"/>
  <c r="BP444" i="1"/>
  <c r="P2" i="9"/>
  <c r="Q5" i="1"/>
  <c r="R64" i="11"/>
  <c r="R66" i="11"/>
  <c r="R67" i="11"/>
  <c r="AS63" i="11"/>
  <c r="M2" i="9"/>
  <c r="N5" i="1"/>
  <c r="N2" i="9" s="1"/>
  <c r="W67" i="11"/>
  <c r="W66" i="11"/>
  <c r="W64" i="11"/>
  <c r="BI5" i="1"/>
  <c r="BI2" i="9" s="1"/>
  <c r="W5" i="1"/>
  <c r="AQ50" i="11"/>
  <c r="AQ53" i="11"/>
  <c r="AQ52" i="11"/>
  <c r="AQ82" i="11"/>
  <c r="AQ96" i="11" s="1"/>
  <c r="AR53" i="11"/>
  <c r="AR50" i="11"/>
  <c r="M98" i="9"/>
  <c r="M101" i="9" s="1"/>
  <c r="J64" i="11"/>
  <c r="J67" i="11"/>
  <c r="J66" i="11"/>
  <c r="AQ63" i="11"/>
  <c r="F66" i="11"/>
  <c r="AP66" i="11"/>
  <c r="T5" i="1"/>
  <c r="S2" i="9"/>
  <c r="AT53" i="11"/>
  <c r="AT50" i="11"/>
  <c r="AT52" i="11"/>
  <c r="AT82" i="11"/>
  <c r="AT96" i="11" s="1"/>
  <c r="U66" i="11"/>
  <c r="U67" i="11"/>
  <c r="U64" i="11"/>
  <c r="AT63" i="11"/>
  <c r="AS53" i="11"/>
  <c r="AS50" i="11"/>
  <c r="AS52" i="11"/>
  <c r="AS82" i="11"/>
  <c r="AS96" i="11" s="1"/>
  <c r="F85" i="11"/>
  <c r="F86" i="11" s="1"/>
  <c r="F89" i="11" s="1"/>
  <c r="AY39" i="9"/>
  <c r="S98" i="9"/>
  <c r="S101" i="9" s="1"/>
  <c r="AB5" i="9"/>
  <c r="AB6" i="9" s="1"/>
  <c r="AB11" i="9" s="1"/>
  <c r="AB304" i="1"/>
  <c r="AB305" i="1" s="1"/>
  <c r="BO437" i="1"/>
  <c r="R98" i="9"/>
  <c r="R101" i="9" s="1"/>
  <c r="AZ111" i="9"/>
  <c r="AZ112" i="9" s="1"/>
  <c r="BO441" i="1"/>
  <c r="BB41" i="9"/>
  <c r="BB133" i="9" s="1"/>
  <c r="BG87" i="9"/>
  <c r="BG126" i="9"/>
  <c r="I5" i="9"/>
  <c r="I6" i="9" s="1"/>
  <c r="I11" i="9" s="1"/>
  <c r="I304" i="1"/>
  <c r="I305" i="1" s="1"/>
  <c r="BH87" i="9"/>
  <c r="BH126" i="9"/>
  <c r="BE254" i="1"/>
  <c r="BE5" i="9" s="1"/>
  <c r="BE6" i="9" s="1"/>
  <c r="BE252" i="1"/>
  <c r="K251" i="1"/>
  <c r="AV39" i="9"/>
  <c r="AV127" i="1"/>
  <c r="BO193" i="1"/>
  <c r="BO39" i="9" s="1"/>
  <c r="AW113" i="9"/>
  <c r="I412" i="1"/>
  <c r="H413" i="1"/>
  <c r="AL252" i="1"/>
  <c r="AL254" i="1"/>
  <c r="BL251" i="1"/>
  <c r="BJ251" i="1"/>
  <c r="AD252" i="1"/>
  <c r="AD254" i="1"/>
  <c r="AZ8" i="9"/>
  <c r="U98" i="9"/>
  <c r="U101" i="9" s="1"/>
  <c r="AH121" i="9"/>
  <c r="AD97" i="9"/>
  <c r="AD136" i="9"/>
  <c r="BD620" i="1"/>
  <c r="G504" i="1"/>
  <c r="G505" i="1" s="1"/>
  <c r="BE504" i="1"/>
  <c r="BE505" i="1" s="1"/>
  <c r="BD510" i="1"/>
  <c r="BD708" i="1"/>
  <c r="G4" i="1"/>
  <c r="BD3" i="1"/>
  <c r="BD678" i="1" s="1"/>
  <c r="D5" i="9"/>
  <c r="D6" i="9" s="1"/>
  <c r="D11" i="9" s="1"/>
  <c r="D304" i="1"/>
  <c r="D305" i="1" s="1"/>
  <c r="AX56" i="9"/>
  <c r="AX135" i="9" s="1"/>
  <c r="AX133" i="1"/>
  <c r="AX64" i="9" s="1"/>
  <c r="L98" i="9"/>
  <c r="L101" i="9" s="1"/>
  <c r="BA41" i="9"/>
  <c r="AW70" i="9"/>
  <c r="AW448" i="1"/>
  <c r="AT136" i="9"/>
  <c r="AT97" i="9"/>
  <c r="AT98" i="9" s="1"/>
  <c r="AT101" i="9" s="1"/>
  <c r="BP589" i="1"/>
  <c r="AS5" i="9"/>
  <c r="AS6" i="9" s="1"/>
  <c r="AS11" i="9" s="1"/>
  <c r="AS304" i="1"/>
  <c r="AS305" i="1" s="1"/>
  <c r="V136" i="9"/>
  <c r="Z121" i="9"/>
  <c r="V97" i="9"/>
  <c r="V98" i="9" s="1"/>
  <c r="V101" i="9" s="1"/>
  <c r="BK87" i="9"/>
  <c r="BK126" i="9"/>
  <c r="T5" i="9"/>
  <c r="T6" i="9" s="1"/>
  <c r="T11" i="9" s="1"/>
  <c r="T304" i="1"/>
  <c r="T305" i="1" s="1"/>
  <c r="K98" i="9"/>
  <c r="K101" i="9" s="1"/>
  <c r="BD252" i="1"/>
  <c r="BD254" i="1"/>
  <c r="BD5" i="9" s="1"/>
  <c r="BD6" i="9" s="1"/>
  <c r="G251" i="1"/>
  <c r="E689" i="1"/>
  <c r="E687" i="1" s="1"/>
  <c r="E314" i="1" s="1"/>
  <c r="E698" i="1"/>
  <c r="E696" i="1"/>
  <c r="E694" i="1" s="1"/>
  <c r="E315" i="1" s="1"/>
  <c r="E684" i="1"/>
  <c r="E691" i="1"/>
  <c r="E682" i="1"/>
  <c r="E680" i="1" s="1"/>
  <c r="E313" i="1" s="1"/>
  <c r="E703" i="1"/>
  <c r="E701" i="1" s="1"/>
  <c r="E317" i="1" s="1"/>
  <c r="E705" i="1"/>
  <c r="AH252" i="1"/>
  <c r="BK251" i="1"/>
  <c r="AH254" i="1"/>
  <c r="AV111" i="9"/>
  <c r="AV132" i="1"/>
  <c r="AV63" i="9" s="1"/>
  <c r="AV173" i="1"/>
  <c r="AJ5" i="9"/>
  <c r="AJ6" i="9" s="1"/>
  <c r="AJ11" i="9" s="1"/>
  <c r="AJ304" i="1"/>
  <c r="AJ305" i="1" s="1"/>
  <c r="AV70" i="9"/>
  <c r="AV448" i="1"/>
  <c r="BO436" i="1"/>
  <c r="AX61" i="9"/>
  <c r="AX41" i="9"/>
  <c r="BP514" i="1"/>
  <c r="BA304" i="1"/>
  <c r="AK5" i="9"/>
  <c r="AK6" i="9" s="1"/>
  <c r="AK11" i="9" s="1"/>
  <c r="AK304" i="1"/>
  <c r="AK305" i="1" s="1"/>
  <c r="V121" i="9"/>
  <c r="BL126" i="9"/>
  <c r="BL87" i="9"/>
  <c r="AP252" i="1"/>
  <c r="BM251" i="1"/>
  <c r="AP254" i="1"/>
  <c r="BU21" i="9"/>
  <c r="BQ8" i="1"/>
  <c r="BU15" i="9" s="1"/>
  <c r="BQ31" i="1"/>
  <c r="BR587" i="1"/>
  <c r="F5" i="9"/>
  <c r="F6" i="9" s="1"/>
  <c r="F11" i="9" s="1"/>
  <c r="F304" i="1"/>
  <c r="F305" i="1" s="1"/>
  <c r="Z136" i="9"/>
  <c r="AD121" i="9"/>
  <c r="Z97" i="9"/>
  <c r="Z98" i="9" s="1"/>
  <c r="Z101" i="9" s="1"/>
  <c r="AI5" i="9"/>
  <c r="AI6" i="9" s="1"/>
  <c r="AI11" i="9" s="1"/>
  <c r="AI304" i="1"/>
  <c r="AI305" i="1" s="1"/>
  <c r="AL121" i="9"/>
  <c r="AH136" i="9"/>
  <c r="AH97" i="9"/>
  <c r="AH98" i="9" s="1"/>
  <c r="AH101" i="9" s="1"/>
  <c r="BE126" i="9"/>
  <c r="BE87" i="9"/>
  <c r="BJ126" i="9"/>
  <c r="BJ87" i="9"/>
  <c r="AT252" i="1"/>
  <c r="AT254" i="1"/>
  <c r="BN251" i="1"/>
  <c r="BI126" i="9"/>
  <c r="BI87" i="9"/>
  <c r="BA111" i="9"/>
  <c r="BA63" i="9"/>
  <c r="BP581" i="1"/>
  <c r="BP516" i="1" s="1"/>
  <c r="R5" i="9"/>
  <c r="R6" i="9" s="1"/>
  <c r="R11" i="9" s="1"/>
  <c r="R304" i="1"/>
  <c r="R305" i="1" s="1"/>
  <c r="BF87" i="9"/>
  <c r="BF126" i="9"/>
  <c r="AR5" i="9"/>
  <c r="AR6" i="9" s="1"/>
  <c r="AR11" i="9" s="1"/>
  <c r="AR304" i="1"/>
  <c r="AR305" i="1" s="1"/>
  <c r="BP515" i="1"/>
  <c r="C5" i="9"/>
  <c r="C6" i="9" s="1"/>
  <c r="C11" i="9" s="1"/>
  <c r="C304" i="1"/>
  <c r="C305" i="1" s="1"/>
  <c r="AO5" i="9"/>
  <c r="AO6" i="9" s="1"/>
  <c r="AO11" i="9" s="1"/>
  <c r="AO304" i="1"/>
  <c r="AO305" i="1" s="1"/>
  <c r="F698" i="1"/>
  <c r="F691" i="1"/>
  <c r="F684" i="1"/>
  <c r="F696" i="1"/>
  <c r="F694" i="1" s="1"/>
  <c r="F315" i="1" s="1"/>
  <c r="F682" i="1"/>
  <c r="F680" i="1" s="1"/>
  <c r="F313" i="1" s="1"/>
  <c r="F689" i="1"/>
  <c r="F687" i="1" s="1"/>
  <c r="F314" i="1" s="1"/>
  <c r="BV35" i="9"/>
  <c r="BR29" i="1"/>
  <c r="BS36" i="1"/>
  <c r="BT38" i="9"/>
  <c r="BP22" i="1"/>
  <c r="BP11" i="1"/>
  <c r="BT18" i="9" s="1"/>
  <c r="BP138" i="1"/>
  <c r="BN87" i="9"/>
  <c r="BN126" i="9"/>
  <c r="F705" i="1"/>
  <c r="L5" i="9"/>
  <c r="L6" i="9" s="1"/>
  <c r="L11" i="9" s="1"/>
  <c r="L304" i="1"/>
  <c r="L305" i="1" s="1"/>
  <c r="AZ40" i="9"/>
  <c r="AZ62" i="9" s="1"/>
  <c r="BP196" i="1"/>
  <c r="BP40" i="9" s="1"/>
  <c r="BP62" i="9" s="1"/>
  <c r="BQ561" i="1"/>
  <c r="BB304" i="1"/>
  <c r="E5" i="9"/>
  <c r="E6" i="9" s="1"/>
  <c r="E11" i="9" s="1"/>
  <c r="E304" i="1"/>
  <c r="E305" i="1" s="1"/>
  <c r="D504" i="1"/>
  <c r="D505" i="1" s="1"/>
  <c r="C620" i="1"/>
  <c r="C510" i="1"/>
  <c r="AP121" i="9"/>
  <c r="AL97" i="9"/>
  <c r="AO98" i="9" s="1"/>
  <c r="AO101" i="9" s="1"/>
  <c r="AL136" i="9"/>
  <c r="U5" i="9"/>
  <c r="U6" i="9" s="1"/>
  <c r="U11" i="9" s="1"/>
  <c r="U304" i="1"/>
  <c r="U305" i="1" s="1"/>
  <c r="AN5" i="9"/>
  <c r="AN6" i="9" s="1"/>
  <c r="AN11" i="9" s="1"/>
  <c r="AN304" i="1"/>
  <c r="AN305" i="1" s="1"/>
  <c r="BG254" i="1"/>
  <c r="BG5" i="9" s="1"/>
  <c r="BG6" i="9" s="1"/>
  <c r="BG252" i="1"/>
  <c r="S251" i="1"/>
  <c r="M5" i="9"/>
  <c r="M6" i="9" s="1"/>
  <c r="M11" i="9" s="1"/>
  <c r="M304" i="1"/>
  <c r="M305" i="1" s="1"/>
  <c r="BD87" i="9"/>
  <c r="BD126" i="9"/>
  <c r="AU5" i="9"/>
  <c r="AU6" i="9" s="1"/>
  <c r="AU11" i="9" s="1"/>
  <c r="AU304" i="1"/>
  <c r="AU305" i="1" s="1"/>
  <c r="BC304" i="1"/>
  <c r="J5" i="9"/>
  <c r="J6" i="9" s="1"/>
  <c r="J11" i="9" s="1"/>
  <c r="J304" i="1"/>
  <c r="J305" i="1" s="1"/>
  <c r="J98" i="9"/>
  <c r="J101" i="9" s="1"/>
  <c r="BP513" i="1"/>
  <c r="F703" i="1"/>
  <c r="F701" i="1" s="1"/>
  <c r="F317" i="1" s="1"/>
  <c r="BM87" i="9"/>
  <c r="BM126" i="9"/>
  <c r="AP136" i="9"/>
  <c r="AP97" i="9"/>
  <c r="AP98" i="9" s="1"/>
  <c r="AP101" i="9" s="1"/>
  <c r="AT121" i="9"/>
  <c r="AV113" i="9"/>
  <c r="AV114" i="9" s="1"/>
  <c r="T98" i="9"/>
  <c r="T101" i="9" s="1"/>
  <c r="N136" i="9"/>
  <c r="R121" i="9"/>
  <c r="N97" i="9"/>
  <c r="O98" i="9" s="1"/>
  <c r="O101" i="9" s="1"/>
  <c r="BI251" i="1"/>
  <c r="Z252" i="1"/>
  <c r="Z254" i="1"/>
  <c r="BR599" i="1"/>
  <c r="BP582" i="1"/>
  <c r="BP517" i="1" s="1"/>
  <c r="V252" i="1"/>
  <c r="BH251" i="1"/>
  <c r="V254" i="1"/>
  <c r="BP583" i="1"/>
  <c r="BP518" i="1" s="1"/>
  <c r="X5" i="9"/>
  <c r="X6" i="9" s="1"/>
  <c r="X11" i="9" s="1"/>
  <c r="X304" i="1"/>
  <c r="X305" i="1" s="1"/>
  <c r="BW34" i="9"/>
  <c r="BS28" i="1"/>
  <c r="N121" i="9"/>
  <c r="BF251" i="1"/>
  <c r="N252" i="1"/>
  <c r="N254" i="1"/>
  <c r="AY70" i="9"/>
  <c r="AY113" i="9"/>
  <c r="BV20" i="9"/>
  <c r="BR7" i="1"/>
  <c r="BV14" i="9" s="1"/>
  <c r="BO131" i="1"/>
  <c r="AR193" i="11" l="1"/>
  <c r="AR51" i="11" s="1"/>
  <c r="C55" i="15"/>
  <c r="C26" i="15"/>
  <c r="C32" i="15"/>
  <c r="J193" i="11"/>
  <c r="AT192" i="11"/>
  <c r="R193" i="11"/>
  <c r="R51" i="11" s="1"/>
  <c r="AQ188" i="11"/>
  <c r="AQ39" i="11" s="1"/>
  <c r="I39" i="11"/>
  <c r="U193" i="11"/>
  <c r="AT191" i="11"/>
  <c r="P193" i="11"/>
  <c r="P51" i="11" s="1"/>
  <c r="Q193" i="11"/>
  <c r="Q51" i="11" s="1"/>
  <c r="AS192" i="11"/>
  <c r="W193" i="11"/>
  <c r="AS191" i="11"/>
  <c r="O193" i="11"/>
  <c r="O51" i="11" s="1"/>
  <c r="L32" i="12"/>
  <c r="K32" i="12"/>
  <c r="D38" i="15"/>
  <c r="C29" i="12"/>
  <c r="C59" i="12"/>
  <c r="C48" i="12"/>
  <c r="C35" i="12"/>
  <c r="C34" i="15"/>
  <c r="C47" i="15"/>
  <c r="C51" i="15" s="1"/>
  <c r="D18" i="15"/>
  <c r="D37" i="15"/>
  <c r="C29" i="16"/>
  <c r="C59" i="16"/>
  <c r="C35" i="16"/>
  <c r="C48" i="16"/>
  <c r="L33" i="16"/>
  <c r="K32" i="16"/>
  <c r="V77" i="11"/>
  <c r="V79" i="11" s="1"/>
  <c r="P77" i="11"/>
  <c r="P79" i="11" s="1"/>
  <c r="D77" i="11"/>
  <c r="D79" i="11" s="1"/>
  <c r="AL75" i="11"/>
  <c r="AL76" i="11" s="1"/>
  <c r="AL85" i="11" s="1"/>
  <c r="AL86" i="11" s="1"/>
  <c r="AL89" i="11" s="1"/>
  <c r="AL369" i="11"/>
  <c r="P372" i="11"/>
  <c r="P371" i="11"/>
  <c r="K372" i="11"/>
  <c r="K371" i="11"/>
  <c r="J372" i="11"/>
  <c r="J371" i="11"/>
  <c r="N372" i="11"/>
  <c r="M371" i="11"/>
  <c r="M372" i="11"/>
  <c r="AO75" i="11"/>
  <c r="AO76" i="11" s="1"/>
  <c r="AO85" i="11" s="1"/>
  <c r="AO86" i="11" s="1"/>
  <c r="AO89" i="11" s="1"/>
  <c r="AO369" i="11"/>
  <c r="AN75" i="11"/>
  <c r="AN76" i="11" s="1"/>
  <c r="AN85" i="11" s="1"/>
  <c r="AN86" i="11" s="1"/>
  <c r="AN89" i="11" s="1"/>
  <c r="AN369" i="11"/>
  <c r="Q77" i="11"/>
  <c r="Q79" i="11" s="1"/>
  <c r="AP75" i="11"/>
  <c r="AP76" i="11" s="1"/>
  <c r="AP85" i="11" s="1"/>
  <c r="AP86" i="11" s="1"/>
  <c r="AP89" i="11" s="1"/>
  <c r="AP369" i="11"/>
  <c r="W372" i="11"/>
  <c r="W371" i="11"/>
  <c r="AR75" i="11"/>
  <c r="AR76" i="11" s="1"/>
  <c r="AR85" i="11" s="1"/>
  <c r="AR86" i="11" s="1"/>
  <c r="AR89" i="11" s="1"/>
  <c r="AR369" i="11"/>
  <c r="T371" i="11"/>
  <c r="T372" i="11"/>
  <c r="V372" i="11"/>
  <c r="V371" i="11"/>
  <c r="R371" i="11"/>
  <c r="R372" i="11"/>
  <c r="U371" i="11"/>
  <c r="U372" i="11"/>
  <c r="AM75" i="11"/>
  <c r="AM76" i="11" s="1"/>
  <c r="AM85" i="11" s="1"/>
  <c r="AM86" i="11" s="1"/>
  <c r="AM89" i="11" s="1"/>
  <c r="AM369" i="11"/>
  <c r="S371" i="11"/>
  <c r="S372" i="11"/>
  <c r="Q372" i="11"/>
  <c r="Q371" i="11"/>
  <c r="F40" i="12"/>
  <c r="E20" i="16"/>
  <c r="E38" i="15"/>
  <c r="E39" i="15" s="1"/>
  <c r="G42" i="16"/>
  <c r="G43" i="16" s="1"/>
  <c r="E20" i="12"/>
  <c r="AQ73" i="11"/>
  <c r="E37" i="15"/>
  <c r="M25" i="16"/>
  <c r="D42" i="12"/>
  <c r="D20" i="16"/>
  <c r="E43" i="12"/>
  <c r="E40" i="12"/>
  <c r="G41" i="16"/>
  <c r="G20" i="16"/>
  <c r="H41" i="16"/>
  <c r="H20" i="16"/>
  <c r="D42" i="16"/>
  <c r="H41" i="12"/>
  <c r="H20" i="12"/>
  <c r="F40" i="16"/>
  <c r="F43" i="16"/>
  <c r="E42" i="16"/>
  <c r="F22" i="12"/>
  <c r="F26" i="12"/>
  <c r="H42" i="12"/>
  <c r="M30" i="15"/>
  <c r="L29" i="15"/>
  <c r="N8" i="12"/>
  <c r="M32" i="12"/>
  <c r="D20" i="12"/>
  <c r="H42" i="16"/>
  <c r="H43" i="16" s="1"/>
  <c r="G41" i="12"/>
  <c r="G20" i="12"/>
  <c r="F22" i="16"/>
  <c r="F26" i="16"/>
  <c r="M25" i="12"/>
  <c r="N8" i="16"/>
  <c r="G42" i="12"/>
  <c r="G43" i="12" s="1"/>
  <c r="AL64" i="11"/>
  <c r="AL66" i="11"/>
  <c r="G39" i="15"/>
  <c r="H39" i="15"/>
  <c r="H37" i="15"/>
  <c r="H36" i="15" s="1"/>
  <c r="H18" i="15"/>
  <c r="P8" i="15"/>
  <c r="O23" i="15"/>
  <c r="F20" i="15"/>
  <c r="F19" i="15"/>
  <c r="F21" i="15"/>
  <c r="F24" i="15"/>
  <c r="G37" i="15"/>
  <c r="G36" i="15" s="1"/>
  <c r="G18" i="15"/>
  <c r="E24" i="15"/>
  <c r="AT73" i="11"/>
  <c r="AS73" i="11"/>
  <c r="AO64" i="11"/>
  <c r="AO67" i="11"/>
  <c r="AN67" i="11"/>
  <c r="AM64" i="11"/>
  <c r="AP67" i="11"/>
  <c r="AM67" i="11"/>
  <c r="AN64" i="11"/>
  <c r="AP64" i="11"/>
  <c r="AJ77" i="11"/>
  <c r="AJ79" i="11" s="1"/>
  <c r="BD11" i="9"/>
  <c r="BD129" i="9"/>
  <c r="BO70" i="9"/>
  <c r="BO61" i="9"/>
  <c r="BO41" i="9"/>
  <c r="F98" i="9"/>
  <c r="I98" i="9"/>
  <c r="I101" i="9" s="1"/>
  <c r="G98" i="9"/>
  <c r="G101" i="9" s="1"/>
  <c r="F543" i="1"/>
  <c r="F542" i="1"/>
  <c r="AY64" i="9"/>
  <c r="BP437" i="1"/>
  <c r="BP445" i="1"/>
  <c r="F77" i="11"/>
  <c r="F79" i="11" s="1"/>
  <c r="BQ588" i="1"/>
  <c r="BP288" i="1"/>
  <c r="AY61" i="9"/>
  <c r="AY41" i="9"/>
  <c r="AY133" i="9" s="1"/>
  <c r="X5" i="1"/>
  <c r="W2" i="9"/>
  <c r="AZ63" i="9"/>
  <c r="BJ5" i="1"/>
  <c r="BJ2" i="9" s="1"/>
  <c r="AA5" i="1"/>
  <c r="AS64" i="11"/>
  <c r="AS66" i="11"/>
  <c r="AS67" i="11"/>
  <c r="AT66" i="11"/>
  <c r="AT67" i="11"/>
  <c r="AT64" i="11"/>
  <c r="AQ64" i="11"/>
  <c r="AQ66" i="11"/>
  <c r="AQ67" i="11"/>
  <c r="AR64" i="11"/>
  <c r="AR67" i="11"/>
  <c r="J77" i="11"/>
  <c r="J79" i="11" s="1"/>
  <c r="AQ79" i="11" s="1"/>
  <c r="W77" i="11"/>
  <c r="W79" i="11" s="1"/>
  <c r="U77" i="11"/>
  <c r="U79" i="11" s="1"/>
  <c r="R77" i="11"/>
  <c r="R79" i="11" s="1"/>
  <c r="R5" i="1"/>
  <c r="R2" i="9" s="1"/>
  <c r="Q2" i="9"/>
  <c r="U5" i="1"/>
  <c r="T2" i="9"/>
  <c r="AR98" i="9"/>
  <c r="AR101" i="9" s="1"/>
  <c r="AN98" i="9"/>
  <c r="AN101" i="9" s="1"/>
  <c r="BB70" i="9"/>
  <c r="BA112" i="9"/>
  <c r="BP441" i="1"/>
  <c r="AB98" i="9"/>
  <c r="AB101" i="9" s="1"/>
  <c r="AK98" i="9"/>
  <c r="AK101" i="9" s="1"/>
  <c r="AJ98" i="9"/>
  <c r="AJ101" i="9" s="1"/>
  <c r="AC98" i="9"/>
  <c r="AC101" i="9" s="1"/>
  <c r="AA98" i="9"/>
  <c r="AA101" i="9" s="1"/>
  <c r="AS98" i="9"/>
  <c r="AS101" i="9" s="1"/>
  <c r="BP443" i="1"/>
  <c r="BP442" i="1"/>
  <c r="BQ517" i="1"/>
  <c r="BR517" i="1" s="1"/>
  <c r="BS517" i="1" s="1"/>
  <c r="BP524" i="1"/>
  <c r="BF504" i="1"/>
  <c r="BF505" i="1" s="1"/>
  <c r="BE510" i="1"/>
  <c r="K504" i="1"/>
  <c r="K505" i="1" s="1"/>
  <c r="AD5" i="9"/>
  <c r="AD6" i="9" s="1"/>
  <c r="AD11" i="9" s="1"/>
  <c r="AD304" i="1"/>
  <c r="AD305" i="1" s="1"/>
  <c r="Y98" i="9"/>
  <c r="Y101" i="9" s="1"/>
  <c r="BF252" i="1"/>
  <c r="BF254" i="1"/>
  <c r="BF5" i="9" s="1"/>
  <c r="BF6" i="9" s="1"/>
  <c r="BF11" i="9" s="1"/>
  <c r="O251" i="1"/>
  <c r="BG304" i="1"/>
  <c r="X98" i="9"/>
  <c r="X101" i="9" s="1"/>
  <c r="BJ254" i="1"/>
  <c r="BJ252" i="1"/>
  <c r="AE251" i="1"/>
  <c r="BS599" i="1"/>
  <c r="AU98" i="9"/>
  <c r="AU101" i="9" s="1"/>
  <c r="BE11" i="9"/>
  <c r="BE129" i="9"/>
  <c r="BC305" i="1"/>
  <c r="BC310" i="1"/>
  <c r="BW20" i="9"/>
  <c r="BS7" i="1"/>
  <c r="BW14" i="9" s="1"/>
  <c r="AL5" i="9"/>
  <c r="AL6" i="9" s="1"/>
  <c r="AL11" i="9" s="1"/>
  <c r="AL304" i="1"/>
  <c r="AL305" i="1" s="1"/>
  <c r="J412" i="1"/>
  <c r="I413" i="1"/>
  <c r="BA305" i="1"/>
  <c r="BA310" i="1"/>
  <c r="AQ98" i="9"/>
  <c r="AQ101" i="9" s="1"/>
  <c r="W98" i="9"/>
  <c r="W101" i="9" s="1"/>
  <c r="AX133" i="9"/>
  <c r="AL98" i="9"/>
  <c r="AL101" i="9" s="1"/>
  <c r="AM98" i="9"/>
  <c r="AM101" i="9" s="1"/>
  <c r="BR561" i="1"/>
  <c r="AX114" i="9"/>
  <c r="AW114" i="9"/>
  <c r="F541" i="1"/>
  <c r="C296" i="1"/>
  <c r="D296" i="1"/>
  <c r="E541" i="1"/>
  <c r="E296" i="1"/>
  <c r="C541" i="1"/>
  <c r="F540" i="1"/>
  <c r="D541" i="1"/>
  <c r="C540" i="1"/>
  <c r="E540" i="1"/>
  <c r="D540" i="1"/>
  <c r="C543" i="1"/>
  <c r="C542" i="1"/>
  <c r="D543" i="1"/>
  <c r="D542" i="1"/>
  <c r="E543" i="1"/>
  <c r="E542" i="1"/>
  <c r="BO127" i="1"/>
  <c r="BO128" i="1" s="1"/>
  <c r="BO194" i="1"/>
  <c r="BO197" i="1" s="1"/>
  <c r="BO111" i="9" s="1"/>
  <c r="BO112" i="9" s="1"/>
  <c r="BG11" i="9"/>
  <c r="BG129" i="9"/>
  <c r="BS587" i="1"/>
  <c r="N5" i="9"/>
  <c r="N6" i="9" s="1"/>
  <c r="N11" i="9" s="1"/>
  <c r="N304" i="1"/>
  <c r="N305" i="1" s="1"/>
  <c r="S254" i="1"/>
  <c r="S252" i="1"/>
  <c r="BL252" i="1"/>
  <c r="BL254" i="1"/>
  <c r="AM251" i="1"/>
  <c r="BA133" i="9"/>
  <c r="BB305" i="1"/>
  <c r="BB310" i="1"/>
  <c r="BQ515" i="1"/>
  <c r="BR515" i="1" s="1"/>
  <c r="BS515" i="1" s="1"/>
  <c r="BP522" i="1"/>
  <c r="BP521" i="1"/>
  <c r="BQ514" i="1"/>
  <c r="BR514" i="1" s="1"/>
  <c r="BS514" i="1" s="1"/>
  <c r="BB56" i="9"/>
  <c r="BB135" i="9" s="1"/>
  <c r="BB64" i="9"/>
  <c r="G708" i="1"/>
  <c r="G1" i="9"/>
  <c r="H4" i="1"/>
  <c r="G3" i="1"/>
  <c r="G678" i="1" s="1"/>
  <c r="BQ518" i="1"/>
  <c r="BR518" i="1" s="1"/>
  <c r="BS518" i="1" s="1"/>
  <c r="BP525" i="1"/>
  <c r="BD696" i="1"/>
  <c r="BD694" i="1" s="1"/>
  <c r="BD315" i="1" s="1"/>
  <c r="BD698" i="1"/>
  <c r="BD691" i="1"/>
  <c r="BD689" i="1"/>
  <c r="BD687" i="1" s="1"/>
  <c r="BD314" i="1" s="1"/>
  <c r="BD684" i="1"/>
  <c r="BD682" i="1"/>
  <c r="BD680" i="1" s="1"/>
  <c r="BD313" i="1" s="1"/>
  <c r="V5" i="9"/>
  <c r="V6" i="9" s="1"/>
  <c r="V11" i="9" s="1"/>
  <c r="V304" i="1"/>
  <c r="V305" i="1" s="1"/>
  <c r="BT40" i="9"/>
  <c r="BT62" i="9" s="1"/>
  <c r="BP131" i="1"/>
  <c r="AZ39" i="9"/>
  <c r="BP193" i="1"/>
  <c r="BP39" i="9" s="1"/>
  <c r="BO448" i="1"/>
  <c r="G252" i="1"/>
  <c r="G254" i="1"/>
  <c r="H251" i="1"/>
  <c r="BD703" i="1"/>
  <c r="BD701" i="1" s="1"/>
  <c r="BD317" i="1" s="1"/>
  <c r="AV61" i="9"/>
  <c r="AV41" i="9"/>
  <c r="BH252" i="1"/>
  <c r="BH254" i="1"/>
  <c r="BH5" i="9" s="1"/>
  <c r="BH6" i="9" s="1"/>
  <c r="W251" i="1"/>
  <c r="BQ513" i="1"/>
  <c r="BR513" i="1" s="1"/>
  <c r="BS513" i="1" s="1"/>
  <c r="BP520" i="1"/>
  <c r="BB112" i="9"/>
  <c r="BD304" i="1"/>
  <c r="K254" i="1"/>
  <c r="K252" i="1"/>
  <c r="BD705" i="1"/>
  <c r="BE304" i="1"/>
  <c r="AV176" i="1"/>
  <c r="BO173" i="1"/>
  <c r="BO176" i="1" s="1"/>
  <c r="AZ70" i="9"/>
  <c r="BP436" i="1"/>
  <c r="BP70" i="9" s="1"/>
  <c r="E504" i="1"/>
  <c r="E505" i="1" s="1"/>
  <c r="D620" i="1"/>
  <c r="D510" i="1"/>
  <c r="BM254" i="1"/>
  <c r="BM252" i="1"/>
  <c r="AQ251" i="1"/>
  <c r="BA8" i="9"/>
  <c r="BP523" i="1"/>
  <c r="BQ516" i="1"/>
  <c r="BR516" i="1" s="1"/>
  <c r="BS516" i="1" s="1"/>
  <c r="AD98" i="9"/>
  <c r="AD101" i="9" s="1"/>
  <c r="AF98" i="9"/>
  <c r="AF101" i="9" s="1"/>
  <c r="AE98" i="9"/>
  <c r="AE101" i="9" s="1"/>
  <c r="AG98" i="9"/>
  <c r="AG101" i="9" s="1"/>
  <c r="BN254" i="1"/>
  <c r="BN252" i="1"/>
  <c r="BU23" i="9"/>
  <c r="BQ10" i="1"/>
  <c r="BU17" i="9" s="1"/>
  <c r="BQ32" i="1"/>
  <c r="BA70" i="9"/>
  <c r="BW35" i="9"/>
  <c r="BS29" i="1"/>
  <c r="AT5" i="9"/>
  <c r="AT6" i="9" s="1"/>
  <c r="AT11" i="9" s="1"/>
  <c r="AT304" i="1"/>
  <c r="AT305" i="1" s="1"/>
  <c r="Z5" i="9"/>
  <c r="Z6" i="9" s="1"/>
  <c r="Z11" i="9" s="1"/>
  <c r="Z304" i="1"/>
  <c r="Z305" i="1" s="1"/>
  <c r="BV21" i="9"/>
  <c r="BR31" i="1"/>
  <c r="BR8" i="1"/>
  <c r="BV15" i="9" s="1"/>
  <c r="AP5" i="9"/>
  <c r="AP6" i="9" s="1"/>
  <c r="AP11" i="9" s="1"/>
  <c r="AP304" i="1"/>
  <c r="AP305" i="1" s="1"/>
  <c r="AV112" i="9"/>
  <c r="AY112" i="9"/>
  <c r="AW112" i="9"/>
  <c r="AX112" i="9"/>
  <c r="AZ113" i="9"/>
  <c r="AZ114" i="9" s="1"/>
  <c r="BI252" i="1"/>
  <c r="BI254" i="1"/>
  <c r="BI5" i="9" s="1"/>
  <c r="BI6" i="9" s="1"/>
  <c r="AA251" i="1"/>
  <c r="AH5" i="9"/>
  <c r="AH6" i="9" s="1"/>
  <c r="AH11" i="9" s="1"/>
  <c r="AH304" i="1"/>
  <c r="AH305" i="1" s="1"/>
  <c r="AY114" i="9"/>
  <c r="N98" i="9"/>
  <c r="N101" i="9" s="1"/>
  <c r="P98" i="9"/>
  <c r="P101" i="9" s="1"/>
  <c r="Q98" i="9"/>
  <c r="Q101" i="9" s="1"/>
  <c r="AI98" i="9"/>
  <c r="AI101" i="9" s="1"/>
  <c r="BK252" i="1"/>
  <c r="BK254" i="1"/>
  <c r="BK5" i="9" s="1"/>
  <c r="BK6" i="9" s="1"/>
  <c r="BP286" i="1"/>
  <c r="BQ286" i="1" s="1"/>
  <c r="G620" i="1"/>
  <c r="H504" i="1"/>
  <c r="H505" i="1" s="1"/>
  <c r="G510" i="1"/>
  <c r="AQ193" i="11" l="1"/>
  <c r="AQ51" i="11" s="1"/>
  <c r="J51" i="11"/>
  <c r="AT193" i="11"/>
  <c r="AT51" i="11" s="1"/>
  <c r="U51" i="11"/>
  <c r="AU193" i="11"/>
  <c r="W51" i="11"/>
  <c r="AS193" i="11"/>
  <c r="AS51" i="11" s="1"/>
  <c r="AT79" i="11"/>
  <c r="C38" i="16"/>
  <c r="C51" i="16"/>
  <c r="D40" i="12"/>
  <c r="D43" i="12"/>
  <c r="D20" i="15"/>
  <c r="D19" i="15"/>
  <c r="D21" i="15"/>
  <c r="D24" i="15"/>
  <c r="E27" i="15" s="1"/>
  <c r="E21" i="15"/>
  <c r="E19" i="15"/>
  <c r="E22" i="12"/>
  <c r="E21" i="12"/>
  <c r="E23" i="12"/>
  <c r="F21" i="16"/>
  <c r="E23" i="16"/>
  <c r="E22" i="16"/>
  <c r="E21" i="16"/>
  <c r="C38" i="12"/>
  <c r="C51" i="12"/>
  <c r="D26" i="12"/>
  <c r="D21" i="12"/>
  <c r="D23" i="12"/>
  <c r="D22" i="12"/>
  <c r="D40" i="16"/>
  <c r="D43" i="16"/>
  <c r="D26" i="16"/>
  <c r="D23" i="16"/>
  <c r="D22" i="16"/>
  <c r="D21" i="16"/>
  <c r="D39" i="15"/>
  <c r="D36" i="15"/>
  <c r="M33" i="16"/>
  <c r="L32" i="16"/>
  <c r="AP79" i="11"/>
  <c r="AL77" i="11"/>
  <c r="AL79" i="11" s="1"/>
  <c r="AN77" i="11"/>
  <c r="AN79" i="11" s="1"/>
  <c r="AR77" i="11"/>
  <c r="AS79" i="11"/>
  <c r="AR371" i="11"/>
  <c r="AO372" i="11"/>
  <c r="AO371" i="11"/>
  <c r="AS75" i="11"/>
  <c r="AS76" i="11" s="1"/>
  <c r="AS85" i="11" s="1"/>
  <c r="AS86" i="11" s="1"/>
  <c r="AS89" i="11" s="1"/>
  <c r="AS369" i="11"/>
  <c r="AP372" i="11"/>
  <c r="AP371" i="11"/>
  <c r="AQ75" i="11"/>
  <c r="AQ76" i="11" s="1"/>
  <c r="AQ85" i="11" s="1"/>
  <c r="AQ86" i="11" s="1"/>
  <c r="AQ89" i="11" s="1"/>
  <c r="AQ369" i="11"/>
  <c r="AR372" i="11" s="1"/>
  <c r="AL372" i="11"/>
  <c r="AL371" i="11"/>
  <c r="AN372" i="11"/>
  <c r="AN371" i="11"/>
  <c r="AM372" i="11"/>
  <c r="AM371" i="11"/>
  <c r="AT75" i="11"/>
  <c r="AT76" i="11" s="1"/>
  <c r="AT85" i="11" s="1"/>
  <c r="AT86" i="11" s="1"/>
  <c r="AT89" i="11" s="1"/>
  <c r="AT369" i="11"/>
  <c r="AP77" i="11"/>
  <c r="E36" i="15"/>
  <c r="E26" i="16"/>
  <c r="F23" i="16"/>
  <c r="G40" i="16"/>
  <c r="E26" i="12"/>
  <c r="F27" i="12" s="1"/>
  <c r="F21" i="12"/>
  <c r="F23" i="12"/>
  <c r="N25" i="12"/>
  <c r="O8" i="16"/>
  <c r="H22" i="12"/>
  <c r="H21" i="12"/>
  <c r="H23" i="12"/>
  <c r="H26" i="12"/>
  <c r="O8" i="12"/>
  <c r="N32" i="12"/>
  <c r="F35" i="12"/>
  <c r="F48" i="12"/>
  <c r="F29" i="12"/>
  <c r="F59" i="12"/>
  <c r="G23" i="12"/>
  <c r="G22" i="12"/>
  <c r="G21" i="12"/>
  <c r="G26" i="12"/>
  <c r="N30" i="15"/>
  <c r="M29" i="15"/>
  <c r="N25" i="16"/>
  <c r="H23" i="16"/>
  <c r="H21" i="16"/>
  <c r="H22" i="16"/>
  <c r="H26" i="16"/>
  <c r="G23" i="16"/>
  <c r="G22" i="16"/>
  <c r="G21" i="16"/>
  <c r="G26" i="16"/>
  <c r="F29" i="16"/>
  <c r="F35" i="16"/>
  <c r="F48" i="16"/>
  <c r="F59" i="16"/>
  <c r="G40" i="12"/>
  <c r="H40" i="12"/>
  <c r="H43" i="12"/>
  <c r="E43" i="16"/>
  <c r="E40" i="16"/>
  <c r="H40" i="16"/>
  <c r="F25" i="15"/>
  <c r="F44" i="15"/>
  <c r="F26" i="15"/>
  <c r="F32" i="15"/>
  <c r="F27" i="15"/>
  <c r="F55" i="15"/>
  <c r="H20" i="15"/>
  <c r="H19" i="15"/>
  <c r="H21" i="15"/>
  <c r="H24" i="15"/>
  <c r="E32" i="15"/>
  <c r="E26" i="15"/>
  <c r="E44" i="15"/>
  <c r="E55" i="15"/>
  <c r="G20" i="15"/>
  <c r="G19" i="15"/>
  <c r="G21" i="15"/>
  <c r="G24" i="15"/>
  <c r="P23" i="15"/>
  <c r="Q8" i="15"/>
  <c r="AM77" i="11"/>
  <c r="AM79" i="11" s="1"/>
  <c r="AO77" i="11"/>
  <c r="AO79" i="11" s="1"/>
  <c r="BF129" i="9"/>
  <c r="BP61" i="9"/>
  <c r="BP41" i="9"/>
  <c r="BO133" i="9"/>
  <c r="BT9" i="9"/>
  <c r="BP9" i="9"/>
  <c r="BD130" i="9"/>
  <c r="BD127" i="9"/>
  <c r="BP173" i="1"/>
  <c r="BP176" i="1" s="1"/>
  <c r="BR588" i="1"/>
  <c r="BQ288" i="1"/>
  <c r="BQ444" i="1"/>
  <c r="V5" i="1"/>
  <c r="U2" i="9"/>
  <c r="AA2" i="9"/>
  <c r="AB5" i="1"/>
  <c r="AE5" i="1"/>
  <c r="BK5" i="1"/>
  <c r="BK2" i="9" s="1"/>
  <c r="X2" i="9"/>
  <c r="Y5" i="1"/>
  <c r="G698" i="1"/>
  <c r="G691" i="1"/>
  <c r="G696" i="1"/>
  <c r="G694" i="1" s="1"/>
  <c r="G315" i="1" s="1"/>
  <c r="G684" i="1"/>
  <c r="G682" i="1"/>
  <c r="G680" i="1" s="1"/>
  <c r="G313" i="1" s="1"/>
  <c r="G689" i="1"/>
  <c r="G687" i="1" s="1"/>
  <c r="G314" i="1" s="1"/>
  <c r="G703" i="1"/>
  <c r="G701" i="1" s="1"/>
  <c r="G317" i="1" s="1"/>
  <c r="G705" i="1"/>
  <c r="O252" i="1"/>
  <c r="O254" i="1"/>
  <c r="BJ5" i="9"/>
  <c r="BJ6" i="9" s="1"/>
  <c r="BF304" i="1"/>
  <c r="BO132" i="1"/>
  <c r="K510" i="1"/>
  <c r="L504" i="1"/>
  <c r="L505" i="1" s="1"/>
  <c r="BM5" i="9"/>
  <c r="BM6" i="9" s="1"/>
  <c r="BI304" i="1"/>
  <c r="W254" i="1"/>
  <c r="W252" i="1"/>
  <c r="BL5" i="9"/>
  <c r="BL6" i="9" s="1"/>
  <c r="BH304" i="1"/>
  <c r="BG504" i="1"/>
  <c r="BG505" i="1" s="1"/>
  <c r="BF510" i="1"/>
  <c r="O504" i="1"/>
  <c r="O505" i="1" s="1"/>
  <c r="BA113" i="9"/>
  <c r="BA114" i="9" s="1"/>
  <c r="H252" i="1"/>
  <c r="H254" i="1"/>
  <c r="H620" i="1"/>
  <c r="I504" i="1"/>
  <c r="I505" i="1" s="1"/>
  <c r="H510" i="1"/>
  <c r="AE252" i="1"/>
  <c r="AE254" i="1"/>
  <c r="BN5" i="9"/>
  <c r="BN6" i="9" s="1"/>
  <c r="BJ304" i="1"/>
  <c r="H708" i="1"/>
  <c r="H1" i="9"/>
  <c r="I4" i="1"/>
  <c r="H3" i="1"/>
  <c r="H678" i="1" s="1"/>
  <c r="BT70" i="9"/>
  <c r="BP448" i="1"/>
  <c r="BU24" i="9"/>
  <c r="BQ190" i="1"/>
  <c r="BQ38" i="9" s="1"/>
  <c r="BD305" i="1"/>
  <c r="BD310" i="1"/>
  <c r="G5" i="9"/>
  <c r="G6" i="9" s="1"/>
  <c r="G11" i="9" s="1"/>
  <c r="G304" i="1"/>
  <c r="G305" i="1" s="1"/>
  <c r="AQ252" i="1"/>
  <c r="AQ254" i="1"/>
  <c r="BB308" i="1"/>
  <c r="BB311" i="1"/>
  <c r="BM304" i="1"/>
  <c r="BQ589" i="1"/>
  <c r="BR286" i="1"/>
  <c r="AV198" i="1"/>
  <c r="BE305" i="1"/>
  <c r="BE310" i="1"/>
  <c r="BK11" i="9"/>
  <c r="BK129" i="9"/>
  <c r="K5" i="9"/>
  <c r="K6" i="9" s="1"/>
  <c r="K11" i="9" s="1"/>
  <c r="K304" i="1"/>
  <c r="K305" i="1" s="1"/>
  <c r="BH11" i="9"/>
  <c r="BH129" i="9"/>
  <c r="BB8" i="9"/>
  <c r="BV23" i="9"/>
  <c r="BR10" i="1"/>
  <c r="BV17" i="9" s="1"/>
  <c r="BR32" i="1"/>
  <c r="BT39" i="9"/>
  <c r="BP127" i="1"/>
  <c r="BP128" i="1" s="1"/>
  <c r="BP194" i="1"/>
  <c r="BP197" i="1" s="1"/>
  <c r="BP111" i="9" s="1"/>
  <c r="BP112" i="9" s="1"/>
  <c r="BC308" i="1"/>
  <c r="BC311" i="1"/>
  <c r="AM252" i="1"/>
  <c r="AM254" i="1"/>
  <c r="AZ61" i="9"/>
  <c r="AZ41" i="9"/>
  <c r="BL304" i="1"/>
  <c r="BE127" i="9"/>
  <c r="BE130" i="9"/>
  <c r="BA56" i="9"/>
  <c r="BA135" i="9" s="1"/>
  <c r="BA64" i="9"/>
  <c r="F504" i="1"/>
  <c r="F505" i="1" s="1"/>
  <c r="E620" i="1"/>
  <c r="E510" i="1"/>
  <c r="BW21" i="9"/>
  <c r="BS31" i="1"/>
  <c r="BS8" i="1"/>
  <c r="BW15" i="9" s="1"/>
  <c r="BG305" i="1"/>
  <c r="BG310" i="1"/>
  <c r="BA308" i="1"/>
  <c r="BA311" i="1"/>
  <c r="BF127" i="9"/>
  <c r="BF130" i="9"/>
  <c r="AV133" i="9"/>
  <c r="BE412" i="1"/>
  <c r="BE413" i="1" s="1"/>
  <c r="J413" i="1"/>
  <c r="BI11" i="9"/>
  <c r="BI129" i="9"/>
  <c r="S5" i="9"/>
  <c r="S6" i="9" s="1"/>
  <c r="S11" i="9" s="1"/>
  <c r="S304" i="1"/>
  <c r="S305" i="1" s="1"/>
  <c r="BS561" i="1"/>
  <c r="BK304" i="1"/>
  <c r="BG127" i="9"/>
  <c r="BG130" i="9"/>
  <c r="BN304" i="1"/>
  <c r="AA254" i="1"/>
  <c r="AA252" i="1"/>
  <c r="E25" i="15" l="1"/>
  <c r="E30" i="16"/>
  <c r="E47" i="15"/>
  <c r="E73" i="15" s="1"/>
  <c r="D35" i="16"/>
  <c r="D30" i="16"/>
  <c r="D29" i="16"/>
  <c r="D27" i="16"/>
  <c r="D59" i="16"/>
  <c r="D27" i="12"/>
  <c r="D30" i="12"/>
  <c r="D29" i="12"/>
  <c r="D59" i="12"/>
  <c r="D48" i="12"/>
  <c r="D35" i="12"/>
  <c r="D44" i="15"/>
  <c r="D32" i="15"/>
  <c r="D27" i="15"/>
  <c r="D26" i="15"/>
  <c r="D25" i="15"/>
  <c r="D55" i="15"/>
  <c r="C76" i="16"/>
  <c r="C101" i="16" s="1"/>
  <c r="C55" i="16"/>
  <c r="C76" i="12"/>
  <c r="C101" i="12" s="1"/>
  <c r="C55" i="12"/>
  <c r="D48" i="16"/>
  <c r="N33" i="16"/>
  <c r="M32" i="16"/>
  <c r="AQ77" i="11"/>
  <c r="AS77" i="11"/>
  <c r="AS372" i="11"/>
  <c r="AS371" i="11"/>
  <c r="AT372" i="11"/>
  <c r="AT371" i="11"/>
  <c r="AQ372" i="11"/>
  <c r="AQ371" i="11"/>
  <c r="AT77" i="11"/>
  <c r="O25" i="12"/>
  <c r="E29" i="16"/>
  <c r="F30" i="16"/>
  <c r="E59" i="16"/>
  <c r="F27" i="16"/>
  <c r="E48" i="16"/>
  <c r="E35" i="16"/>
  <c r="E35" i="12"/>
  <c r="F36" i="12" s="1"/>
  <c r="E27" i="16"/>
  <c r="E30" i="12"/>
  <c r="E48" i="12"/>
  <c r="E27" i="12"/>
  <c r="F30" i="12"/>
  <c r="E59" i="12"/>
  <c r="E29" i="12"/>
  <c r="O25" i="16"/>
  <c r="G29" i="16"/>
  <c r="G27" i="16"/>
  <c r="G48" i="16"/>
  <c r="G35" i="16"/>
  <c r="G30" i="16"/>
  <c r="G59" i="16"/>
  <c r="O30" i="15"/>
  <c r="N29" i="15"/>
  <c r="H27" i="12"/>
  <c r="H29" i="12"/>
  <c r="H48" i="12"/>
  <c r="H35" i="12"/>
  <c r="H30" i="12"/>
  <c r="H59" i="12"/>
  <c r="G29" i="12"/>
  <c r="G30" i="12"/>
  <c r="G27" i="12"/>
  <c r="G48" i="12"/>
  <c r="G35" i="12"/>
  <c r="G59" i="12"/>
  <c r="F38" i="16"/>
  <c r="F51" i="16"/>
  <c r="F77" i="16" s="1"/>
  <c r="H35" i="16"/>
  <c r="H30" i="16"/>
  <c r="H29" i="16"/>
  <c r="H27" i="16"/>
  <c r="H48" i="16"/>
  <c r="H59" i="16"/>
  <c r="F51" i="12"/>
  <c r="F77" i="12" s="1"/>
  <c r="F38" i="12"/>
  <c r="P8" i="12"/>
  <c r="O32" i="12"/>
  <c r="P8" i="16"/>
  <c r="G32" i="15"/>
  <c r="G27" i="15"/>
  <c r="G25" i="15"/>
  <c r="G44" i="15"/>
  <c r="G26" i="15"/>
  <c r="G55" i="15"/>
  <c r="F34" i="15"/>
  <c r="F33" i="15"/>
  <c r="F47" i="15"/>
  <c r="F73" i="15" s="1"/>
  <c r="R8" i="15"/>
  <c r="E34" i="15"/>
  <c r="Q23" i="15"/>
  <c r="H55" i="15"/>
  <c r="H25" i="15"/>
  <c r="H27" i="15"/>
  <c r="H26" i="15"/>
  <c r="H44" i="15"/>
  <c r="H32" i="15"/>
  <c r="BQ119" i="9"/>
  <c r="BU9" i="9"/>
  <c r="BQ9" i="9"/>
  <c r="BP133" i="9"/>
  <c r="BO63" i="9"/>
  <c r="BS588" i="1"/>
  <c r="BR288" i="1"/>
  <c r="BR444" i="1"/>
  <c r="Y2" i="9"/>
  <c r="Z5" i="1"/>
  <c r="AF5" i="1"/>
  <c r="AE2" i="9"/>
  <c r="AB2" i="9"/>
  <c r="AC5" i="1"/>
  <c r="BL5" i="1"/>
  <c r="BL2" i="9" s="1"/>
  <c r="AI5" i="1"/>
  <c r="V2" i="9"/>
  <c r="H698" i="1"/>
  <c r="H696" i="1"/>
  <c r="H694" i="1" s="1"/>
  <c r="H315" i="1" s="1"/>
  <c r="H684" i="1"/>
  <c r="H691" i="1"/>
  <c r="H682" i="1"/>
  <c r="H680" i="1" s="1"/>
  <c r="H313" i="1" s="1"/>
  <c r="H689" i="1"/>
  <c r="H687" i="1" s="1"/>
  <c r="H314" i="1" s="1"/>
  <c r="H703" i="1"/>
  <c r="H701" i="1" s="1"/>
  <c r="H317" i="1" s="1"/>
  <c r="H705" i="1"/>
  <c r="K412" i="1"/>
  <c r="BE620" i="1"/>
  <c r="BH305" i="1"/>
  <c r="BH310" i="1"/>
  <c r="BP576" i="1"/>
  <c r="AA5" i="9"/>
  <c r="AA6" i="9" s="1"/>
  <c r="AA11" i="9" s="1"/>
  <c r="AA304" i="1"/>
  <c r="AA305" i="1" s="1"/>
  <c r="BN305" i="1"/>
  <c r="BN310" i="1"/>
  <c r="BH127" i="9"/>
  <c r="BH130" i="9"/>
  <c r="AZ56" i="9"/>
  <c r="AZ135" i="9" s="1"/>
  <c r="AZ64" i="9"/>
  <c r="BP198" i="1"/>
  <c r="BP56" i="9" s="1"/>
  <c r="BP135" i="9" s="1"/>
  <c r="I708" i="1"/>
  <c r="I1" i="9"/>
  <c r="I3" i="1"/>
  <c r="I678" i="1" s="1"/>
  <c r="J4" i="1"/>
  <c r="L510" i="1"/>
  <c r="M504" i="1"/>
  <c r="M505" i="1" s="1"/>
  <c r="BM305" i="1"/>
  <c r="BM310" i="1"/>
  <c r="I620" i="1"/>
  <c r="J504" i="1"/>
  <c r="J505" i="1" s="1"/>
  <c r="I510" i="1"/>
  <c r="AQ5" i="9"/>
  <c r="AQ6" i="9" s="1"/>
  <c r="AQ11" i="9" s="1"/>
  <c r="AQ304" i="1"/>
  <c r="AQ305" i="1" s="1"/>
  <c r="BE308" i="1"/>
  <c r="BE311" i="1"/>
  <c r="BK305" i="1"/>
  <c r="BK310" i="1"/>
  <c r="H5" i="9"/>
  <c r="H6" i="9" s="1"/>
  <c r="H11" i="9" s="1"/>
  <c r="H304" i="1"/>
  <c r="H305" i="1" s="1"/>
  <c r="BV24" i="9"/>
  <c r="BR190" i="1"/>
  <c r="BR38" i="9" s="1"/>
  <c r="F510" i="1"/>
  <c r="F620" i="1"/>
  <c r="BK127" i="9"/>
  <c r="BK130" i="9"/>
  <c r="AV56" i="9"/>
  <c r="AV135" i="9" s="1"/>
  <c r="AV133" i="1"/>
  <c r="AV64" i="9" s="1"/>
  <c r="BO198" i="1"/>
  <c r="BO56" i="9" s="1"/>
  <c r="BO135" i="9" s="1"/>
  <c r="BJ305" i="1"/>
  <c r="BJ310" i="1"/>
  <c r="BL305" i="1"/>
  <c r="BL310" i="1"/>
  <c r="BR589" i="1"/>
  <c r="BS286" i="1"/>
  <c r="BS589" i="1" s="1"/>
  <c r="BN11" i="9"/>
  <c r="BN129" i="9"/>
  <c r="BF305" i="1"/>
  <c r="BF310" i="1"/>
  <c r="BT61" i="9"/>
  <c r="BT41" i="9"/>
  <c r="BD308" i="1"/>
  <c r="BD311" i="1"/>
  <c r="AE5" i="9"/>
  <c r="AE6" i="9" s="1"/>
  <c r="AE11" i="9" s="1"/>
  <c r="AE304" i="1"/>
  <c r="AE305" i="1" s="1"/>
  <c r="BJ11" i="9"/>
  <c r="BJ129" i="9"/>
  <c r="BL11" i="9"/>
  <c r="BL129" i="9"/>
  <c r="BG308" i="1"/>
  <c r="BG311" i="1"/>
  <c r="BU38" i="9"/>
  <c r="BQ552" i="1"/>
  <c r="BQ581" i="1"/>
  <c r="BQ442" i="1" s="1"/>
  <c r="BQ582" i="1"/>
  <c r="BQ443" i="1" s="1"/>
  <c r="BQ553" i="1"/>
  <c r="BQ580" i="1"/>
  <c r="BQ441" i="1" s="1"/>
  <c r="BQ583" i="1"/>
  <c r="BQ445" i="1" s="1"/>
  <c r="BQ194" i="1"/>
  <c r="BQ196" i="1"/>
  <c r="BQ22" i="1"/>
  <c r="BQ138" i="1"/>
  <c r="BQ11" i="1"/>
  <c r="BU18" i="9" s="1"/>
  <c r="O5" i="9"/>
  <c r="O6" i="9" s="1"/>
  <c r="O11" i="9" s="1"/>
  <c r="O304" i="1"/>
  <c r="O305" i="1" s="1"/>
  <c r="AM5" i="9"/>
  <c r="AM6" i="9" s="1"/>
  <c r="AM11" i="9" s="1"/>
  <c r="AM304" i="1"/>
  <c r="AM305" i="1" s="1"/>
  <c r="BW23" i="9"/>
  <c r="BS10" i="1"/>
  <c r="BW17" i="9" s="1"/>
  <c r="BS32" i="1"/>
  <c r="W5" i="9"/>
  <c r="W6" i="9" s="1"/>
  <c r="W11" i="9" s="1"/>
  <c r="W304" i="1"/>
  <c r="W305" i="1" s="1"/>
  <c r="AZ133" i="9"/>
  <c r="BI127" i="9"/>
  <c r="BI130" i="9"/>
  <c r="BT111" i="9"/>
  <c r="BT112" i="9" s="1"/>
  <c r="BP132" i="1"/>
  <c r="P504" i="1"/>
  <c r="P505" i="1" s="1"/>
  <c r="O510" i="1"/>
  <c r="BH504" i="1"/>
  <c r="BH505" i="1" s="1"/>
  <c r="BG510" i="1"/>
  <c r="S504" i="1"/>
  <c r="S505" i="1" s="1"/>
  <c r="BI305" i="1"/>
  <c r="BI310" i="1"/>
  <c r="BM11" i="9"/>
  <c r="BM129" i="9"/>
  <c r="N270" i="10"/>
  <c r="N275" i="10"/>
  <c r="N274" i="10"/>
  <c r="N269" i="10"/>
  <c r="N273" i="10"/>
  <c r="N271" i="10"/>
  <c r="D51" i="16" l="1"/>
  <c r="D52" i="16" s="1"/>
  <c r="D51" i="12"/>
  <c r="D55" i="12" s="1"/>
  <c r="E36" i="16"/>
  <c r="D47" i="15"/>
  <c r="E48" i="15" s="1"/>
  <c r="D34" i="15"/>
  <c r="D33" i="15"/>
  <c r="D36" i="12"/>
  <c r="D38" i="12"/>
  <c r="E33" i="15"/>
  <c r="D36" i="16"/>
  <c r="D38" i="16"/>
  <c r="O33" i="16"/>
  <c r="N32" i="16"/>
  <c r="E36" i="12"/>
  <c r="E38" i="16"/>
  <c r="E51" i="16"/>
  <c r="F36" i="16"/>
  <c r="E51" i="12"/>
  <c r="E38" i="12"/>
  <c r="Q8" i="16"/>
  <c r="H51" i="12"/>
  <c r="H77" i="12" s="1"/>
  <c r="H38" i="12"/>
  <c r="H36" i="12"/>
  <c r="P30" i="15"/>
  <c r="O29" i="15"/>
  <c r="G51" i="16"/>
  <c r="G77" i="16" s="1"/>
  <c r="G36" i="16"/>
  <c r="G38" i="16"/>
  <c r="F76" i="12"/>
  <c r="F101" i="12" s="1"/>
  <c r="F55" i="12"/>
  <c r="G51" i="12"/>
  <c r="G77" i="12" s="1"/>
  <c r="G36" i="12"/>
  <c r="G38" i="12"/>
  <c r="Q8" i="12"/>
  <c r="P32" i="12"/>
  <c r="H38" i="16"/>
  <c r="H36" i="16"/>
  <c r="H51" i="16"/>
  <c r="H77" i="16" s="1"/>
  <c r="P25" i="16"/>
  <c r="F76" i="16"/>
  <c r="F101" i="16" s="1"/>
  <c r="F55" i="16"/>
  <c r="P25" i="12"/>
  <c r="H33" i="15"/>
  <c r="H34" i="15"/>
  <c r="H47" i="15"/>
  <c r="H73" i="15" s="1"/>
  <c r="E72" i="15"/>
  <c r="E51" i="15"/>
  <c r="S8" i="15"/>
  <c r="F48" i="15"/>
  <c r="F72" i="15"/>
  <c r="F51" i="15"/>
  <c r="G33" i="15"/>
  <c r="G34" i="15"/>
  <c r="G47" i="15"/>
  <c r="G73" i="15" s="1"/>
  <c r="R23" i="15"/>
  <c r="I703" i="1"/>
  <c r="I701" i="1" s="1"/>
  <c r="I317" i="1" s="1"/>
  <c r="BU40" i="9"/>
  <c r="BU62" i="9" s="1"/>
  <c r="BQ40" i="9"/>
  <c r="BQ62" i="9" s="1"/>
  <c r="BV9" i="9"/>
  <c r="BR9" i="9"/>
  <c r="BR119" i="9"/>
  <c r="BT63" i="9"/>
  <c r="BP63" i="9"/>
  <c r="BS288" i="1"/>
  <c r="BS444" i="1"/>
  <c r="P270" i="10"/>
  <c r="Q270" i="10"/>
  <c r="P269" i="10"/>
  <c r="Q269" i="10"/>
  <c r="Q271" i="10"/>
  <c r="P271" i="10"/>
  <c r="Q275" i="10"/>
  <c r="P275" i="10"/>
  <c r="P274" i="10"/>
  <c r="Q274" i="10"/>
  <c r="Q273" i="10"/>
  <c r="P273" i="10"/>
  <c r="AM5" i="1"/>
  <c r="BM5" i="1"/>
  <c r="BM2" i="9" s="1"/>
  <c r="AC2" i="9"/>
  <c r="AD5" i="1"/>
  <c r="AJ5" i="1"/>
  <c r="AI2" i="9"/>
  <c r="AF2" i="9"/>
  <c r="AG5" i="1"/>
  <c r="BQ197" i="1"/>
  <c r="Z2" i="9"/>
  <c r="BM308" i="1"/>
  <c r="BM311" i="1"/>
  <c r="BQ193" i="1"/>
  <c r="BQ39" i="9" s="1"/>
  <c r="BI504" i="1"/>
  <c r="BI505" i="1" s="1"/>
  <c r="W504" i="1"/>
  <c r="W505" i="1" s="1"/>
  <c r="BH510" i="1"/>
  <c r="N504" i="1"/>
  <c r="N505" i="1" s="1"/>
  <c r="M510" i="1"/>
  <c r="BO133" i="1"/>
  <c r="J510" i="1"/>
  <c r="J620" i="1"/>
  <c r="BB113" i="9"/>
  <c r="BB114" i="9" s="1"/>
  <c r="BQ436" i="1"/>
  <c r="BQ70" i="9" s="1"/>
  <c r="BW24" i="9"/>
  <c r="BS190" i="1"/>
  <c r="BS38" i="9" s="1"/>
  <c r="BM127" i="9"/>
  <c r="BM130" i="9"/>
  <c r="BT133" i="9"/>
  <c r="BN308" i="1"/>
  <c r="BN311" i="1"/>
  <c r="BP584" i="1"/>
  <c r="BP113" i="9" s="1"/>
  <c r="BP114" i="9" s="1"/>
  <c r="BP287" i="1"/>
  <c r="BP8" i="9" s="1"/>
  <c r="BP285" i="1"/>
  <c r="BF308" i="1"/>
  <c r="BF311" i="1"/>
  <c r="BI308" i="1"/>
  <c r="BI311" i="1"/>
  <c r="BH308" i="1"/>
  <c r="BH311" i="1"/>
  <c r="L412" i="1"/>
  <c r="K413" i="1"/>
  <c r="K620" i="1" s="1"/>
  <c r="BV38" i="9"/>
  <c r="BR552" i="1"/>
  <c r="BR581" i="1"/>
  <c r="BR442" i="1" s="1"/>
  <c r="BR582" i="1"/>
  <c r="BR443" i="1" s="1"/>
  <c r="BR553" i="1"/>
  <c r="BR580" i="1"/>
  <c r="BR441" i="1" s="1"/>
  <c r="BR583" i="1"/>
  <c r="BR445" i="1" s="1"/>
  <c r="BR196" i="1"/>
  <c r="BR22" i="1"/>
  <c r="BR11" i="1"/>
  <c r="BV18" i="9" s="1"/>
  <c r="BR194" i="1"/>
  <c r="BR138" i="1"/>
  <c r="T504" i="1"/>
  <c r="T505" i="1" s="1"/>
  <c r="S510" i="1"/>
  <c r="BL308" i="1"/>
  <c r="BL311" i="1"/>
  <c r="Q504" i="1"/>
  <c r="Q505" i="1" s="1"/>
  <c r="P510" i="1"/>
  <c r="BN127" i="9"/>
  <c r="BN130" i="9"/>
  <c r="I705" i="1"/>
  <c r="BL127" i="9"/>
  <c r="BL130" i="9"/>
  <c r="BT56" i="9"/>
  <c r="BT135" i="9" s="1"/>
  <c r="BP133" i="1"/>
  <c r="BJ127" i="9"/>
  <c r="BJ130" i="9"/>
  <c r="BK308" i="1"/>
  <c r="BK311" i="1"/>
  <c r="BQ437" i="1"/>
  <c r="BJ308" i="1"/>
  <c r="BJ311" i="1"/>
  <c r="J708" i="1"/>
  <c r="J1" i="9"/>
  <c r="J3" i="1"/>
  <c r="BE4" i="1"/>
  <c r="I689" i="1"/>
  <c r="I687" i="1" s="1"/>
  <c r="I314" i="1" s="1"/>
  <c r="I698" i="1"/>
  <c r="I696" i="1"/>
  <c r="I694" i="1" s="1"/>
  <c r="I315" i="1" s="1"/>
  <c r="I684" i="1"/>
  <c r="I691" i="1"/>
  <c r="I682" i="1"/>
  <c r="I680" i="1" s="1"/>
  <c r="I313" i="1" s="1"/>
  <c r="N254" i="10"/>
  <c r="N252" i="10"/>
  <c r="N262" i="10"/>
  <c r="N263" i="10"/>
  <c r="N253" i="10"/>
  <c r="N261" i="10"/>
  <c r="E52" i="16" l="1"/>
  <c r="D55" i="16"/>
  <c r="D76" i="16"/>
  <c r="D101" i="16" s="1"/>
  <c r="C103" i="16" s="1"/>
  <c r="D76" i="12"/>
  <c r="D101" i="12" s="1"/>
  <c r="C103" i="12" s="1"/>
  <c r="D48" i="15"/>
  <c r="D51" i="15"/>
  <c r="P33" i="16"/>
  <c r="O32" i="16"/>
  <c r="E76" i="16"/>
  <c r="E101" i="16" s="1"/>
  <c r="E103" i="16" s="1"/>
  <c r="E77" i="16"/>
  <c r="E55" i="12"/>
  <c r="E77" i="12"/>
  <c r="F52" i="16"/>
  <c r="E55" i="16"/>
  <c r="E76" i="12"/>
  <c r="E101" i="12" s="1"/>
  <c r="E103" i="12" s="1"/>
  <c r="F52" i="12"/>
  <c r="Q25" i="16"/>
  <c r="R8" i="12"/>
  <c r="Q32" i="12"/>
  <c r="R8" i="16"/>
  <c r="H52" i="12"/>
  <c r="H76" i="12"/>
  <c r="H101" i="12" s="1"/>
  <c r="H55" i="12"/>
  <c r="G76" i="16"/>
  <c r="G101" i="16" s="1"/>
  <c r="F103" i="16" s="1"/>
  <c r="G52" i="16"/>
  <c r="G55" i="16"/>
  <c r="H76" i="16"/>
  <c r="H101" i="16" s="1"/>
  <c r="H52" i="16"/>
  <c r="H55" i="16"/>
  <c r="Q25" i="12"/>
  <c r="G52" i="12"/>
  <c r="G76" i="12"/>
  <c r="G101" i="12" s="1"/>
  <c r="G55" i="12"/>
  <c r="Q30" i="15"/>
  <c r="P29" i="15"/>
  <c r="S23" i="15"/>
  <c r="G48" i="15"/>
  <c r="G72" i="15"/>
  <c r="G51" i="15"/>
  <c r="T8" i="15"/>
  <c r="U8" i="15" s="1"/>
  <c r="H48" i="15"/>
  <c r="H72" i="15"/>
  <c r="H51" i="15"/>
  <c r="J51" i="15" s="1"/>
  <c r="BE1" i="9"/>
  <c r="BQ61" i="9"/>
  <c r="BQ41" i="9"/>
  <c r="BV40" i="9"/>
  <c r="BV62" i="9" s="1"/>
  <c r="BR40" i="9"/>
  <c r="BR62" i="9" s="1"/>
  <c r="BO64" i="9"/>
  <c r="BT64" i="9"/>
  <c r="BP64" i="9"/>
  <c r="BQ173" i="1"/>
  <c r="BQ176" i="1" s="1"/>
  <c r="BQ198" i="1" s="1"/>
  <c r="BQ56" i="9" s="1"/>
  <c r="BQ135" i="9" s="1"/>
  <c r="BQ111" i="9"/>
  <c r="BQ112" i="9" s="1"/>
  <c r="BW9" i="9"/>
  <c r="BS9" i="9"/>
  <c r="BR197" i="1"/>
  <c r="BU111" i="9"/>
  <c r="BU112" i="9" s="1"/>
  <c r="Q253" i="10"/>
  <c r="P253" i="10"/>
  <c r="Q261" i="10"/>
  <c r="P261" i="10"/>
  <c r="Q254" i="10"/>
  <c r="P254" i="10"/>
  <c r="Q262" i="10"/>
  <c r="P262" i="10"/>
  <c r="Q263" i="10"/>
  <c r="P263" i="10"/>
  <c r="Q252" i="10"/>
  <c r="P252" i="10"/>
  <c r="BQ132" i="1"/>
  <c r="AD2" i="9"/>
  <c r="AM2" i="9"/>
  <c r="AN5" i="1"/>
  <c r="AQ5" i="1"/>
  <c r="BN5" i="1"/>
  <c r="BN2" i="9" s="1"/>
  <c r="AH5" i="1"/>
  <c r="AG2" i="9"/>
  <c r="AJ2" i="9"/>
  <c r="AK5" i="1"/>
  <c r="BR193" i="1"/>
  <c r="X504" i="1"/>
  <c r="X505" i="1" s="1"/>
  <c r="W510" i="1"/>
  <c r="U504" i="1"/>
  <c r="U505" i="1" s="1"/>
  <c r="T510" i="1"/>
  <c r="BJ504" i="1"/>
  <c r="BJ505" i="1" s="1"/>
  <c r="AA504" i="1"/>
  <c r="AA505" i="1" s="1"/>
  <c r="BI510" i="1"/>
  <c r="BW38" i="9"/>
  <c r="BS583" i="1"/>
  <c r="BS445" i="1" s="1"/>
  <c r="BS553" i="1"/>
  <c r="BS437" i="1" s="1"/>
  <c r="BS552" i="1"/>
  <c r="BS436" i="1" s="1"/>
  <c r="BS70" i="9" s="1"/>
  <c r="BS581" i="1"/>
  <c r="BS442" i="1" s="1"/>
  <c r="BS582" i="1"/>
  <c r="BS443" i="1" s="1"/>
  <c r="BS580" i="1"/>
  <c r="BS441" i="1" s="1"/>
  <c r="BS11" i="1"/>
  <c r="BW18" i="9" s="1"/>
  <c r="BS196" i="1"/>
  <c r="BS22" i="1"/>
  <c r="BS194" i="1"/>
  <c r="BS138" i="1"/>
  <c r="BU39" i="9"/>
  <c r="BQ127" i="1"/>
  <c r="BR437" i="1"/>
  <c r="BU70" i="9"/>
  <c r="BQ448" i="1"/>
  <c r="BR436" i="1"/>
  <c r="BR70" i="9" s="1"/>
  <c r="M412" i="1"/>
  <c r="L413" i="1"/>
  <c r="L620" i="1" s="1"/>
  <c r="BE708" i="1"/>
  <c r="K4" i="1"/>
  <c r="BE3" i="1"/>
  <c r="J543" i="1" s="1"/>
  <c r="BT8" i="9"/>
  <c r="BP615" i="1"/>
  <c r="BQ287" i="1"/>
  <c r="BQ8" i="9" s="1"/>
  <c r="J678" i="1"/>
  <c r="BT113" i="9"/>
  <c r="R504" i="1"/>
  <c r="R505" i="1" s="1"/>
  <c r="Q510" i="1"/>
  <c r="N510" i="1"/>
  <c r="N207" i="10"/>
  <c r="N232" i="10"/>
  <c r="N205" i="10"/>
  <c r="N229" i="10"/>
  <c r="N203" i="10"/>
  <c r="N231" i="10"/>
  <c r="N204" i="10"/>
  <c r="N234" i="10"/>
  <c r="N208" i="10"/>
  <c r="N206" i="10"/>
  <c r="N233" i="10"/>
  <c r="N230" i="10"/>
  <c r="Q33" i="16" l="1"/>
  <c r="P32" i="16"/>
  <c r="D103" i="16"/>
  <c r="D103" i="12"/>
  <c r="G103" i="12"/>
  <c r="R25" i="12"/>
  <c r="R30" i="15"/>
  <c r="Q29" i="15"/>
  <c r="G103" i="16"/>
  <c r="S8" i="12"/>
  <c r="R32" i="12"/>
  <c r="R25" i="16"/>
  <c r="S8" i="16"/>
  <c r="F103" i="12"/>
  <c r="T23" i="15"/>
  <c r="U23" i="15" s="1"/>
  <c r="BU63" i="9"/>
  <c r="BQ63" i="9"/>
  <c r="BR127" i="1"/>
  <c r="BR39" i="9"/>
  <c r="BR132" i="1"/>
  <c r="BR111" i="9"/>
  <c r="BR112" i="9" s="1"/>
  <c r="BQ133" i="9"/>
  <c r="BW40" i="9"/>
  <c r="BW62" i="9" s="1"/>
  <c r="BS40" i="9"/>
  <c r="BS62" i="9" s="1"/>
  <c r="BV111" i="9"/>
  <c r="BV112" i="9" s="1"/>
  <c r="BR173" i="1"/>
  <c r="BR176" i="1" s="1"/>
  <c r="BR198" i="1" s="1"/>
  <c r="BR56" i="9" s="1"/>
  <c r="BR135" i="9" s="1"/>
  <c r="J542" i="1"/>
  <c r="BV39" i="9"/>
  <c r="P206" i="10"/>
  <c r="Q206" i="10"/>
  <c r="Q233" i="10"/>
  <c r="P233" i="10"/>
  <c r="Q231" i="10"/>
  <c r="P231" i="10"/>
  <c r="Q204" i="10"/>
  <c r="P204" i="10"/>
  <c r="Q230" i="10"/>
  <c r="P230" i="10"/>
  <c r="Q203" i="10"/>
  <c r="P203" i="10"/>
  <c r="Q229" i="10"/>
  <c r="P229" i="10"/>
  <c r="P208" i="10"/>
  <c r="Q208" i="10"/>
  <c r="P234" i="10"/>
  <c r="Q234" i="10"/>
  <c r="Q207" i="10"/>
  <c r="P207" i="10"/>
  <c r="Q232" i="10"/>
  <c r="P232" i="10"/>
  <c r="Q205" i="10"/>
  <c r="P205" i="10"/>
  <c r="AH2" i="9"/>
  <c r="AK2" i="9"/>
  <c r="AL5" i="1"/>
  <c r="BS197" i="1"/>
  <c r="AU5" i="1"/>
  <c r="BO5" i="1"/>
  <c r="BO2" i="9" s="1"/>
  <c r="AN2" i="9"/>
  <c r="AO5" i="1"/>
  <c r="AQ2" i="9"/>
  <c r="AR5" i="1"/>
  <c r="BW70" i="9"/>
  <c r="BS448" i="1"/>
  <c r="BV70" i="9"/>
  <c r="BR448" i="1"/>
  <c r="BU56" i="9"/>
  <c r="BU135" i="9" s="1"/>
  <c r="BQ133" i="1"/>
  <c r="BU61" i="9"/>
  <c r="BU41" i="9"/>
  <c r="AB504" i="1"/>
  <c r="AB505" i="1" s="1"/>
  <c r="AA510" i="1"/>
  <c r="J541" i="1"/>
  <c r="G296" i="1"/>
  <c r="G541" i="1"/>
  <c r="H296" i="1"/>
  <c r="H541" i="1"/>
  <c r="I296" i="1"/>
  <c r="I541" i="1"/>
  <c r="I540" i="1"/>
  <c r="G540" i="1"/>
  <c r="J540" i="1"/>
  <c r="H540" i="1"/>
  <c r="G542" i="1"/>
  <c r="G543" i="1"/>
  <c r="H542" i="1"/>
  <c r="H543" i="1"/>
  <c r="I542" i="1"/>
  <c r="I543" i="1"/>
  <c r="BE678" i="1"/>
  <c r="BS193" i="1"/>
  <c r="BS39" i="9" s="1"/>
  <c r="K708" i="1"/>
  <c r="K1" i="9"/>
  <c r="K3" i="1"/>
  <c r="K678" i="1" s="1"/>
  <c r="L4" i="1"/>
  <c r="BK504" i="1"/>
  <c r="BK505" i="1" s="1"/>
  <c r="AE504" i="1"/>
  <c r="AE505" i="1" s="1"/>
  <c r="BJ510" i="1"/>
  <c r="X510" i="1"/>
  <c r="Y504" i="1"/>
  <c r="Y505" i="1" s="1"/>
  <c r="V504" i="1"/>
  <c r="V505" i="1" s="1"/>
  <c r="U510" i="1"/>
  <c r="R510" i="1"/>
  <c r="BU8" i="9"/>
  <c r="BQ615" i="1"/>
  <c r="BR287" i="1"/>
  <c r="BQ285" i="1"/>
  <c r="BQ576" i="1" s="1"/>
  <c r="BQ584" i="1" s="1"/>
  <c r="BQ113" i="9" s="1"/>
  <c r="BQ114" i="9" s="1"/>
  <c r="J698" i="1"/>
  <c r="J696" i="1"/>
  <c r="J694" i="1" s="1"/>
  <c r="J315" i="1" s="1"/>
  <c r="J684" i="1"/>
  <c r="J691" i="1"/>
  <c r="J682" i="1"/>
  <c r="J680" i="1" s="1"/>
  <c r="J313" i="1" s="1"/>
  <c r="J689" i="1"/>
  <c r="J687" i="1" s="1"/>
  <c r="J314" i="1" s="1"/>
  <c r="J703" i="1"/>
  <c r="J701" i="1" s="1"/>
  <c r="J317" i="1" s="1"/>
  <c r="J705" i="1"/>
  <c r="BQ291" i="1"/>
  <c r="N412" i="1"/>
  <c r="M413" i="1"/>
  <c r="M620" i="1" s="1"/>
  <c r="N180" i="10"/>
  <c r="N166" i="10"/>
  <c r="N138" i="10"/>
  <c r="N141" i="10"/>
  <c r="N137" i="10"/>
  <c r="N168" i="10"/>
  <c r="N182" i="10"/>
  <c r="N167" i="10"/>
  <c r="N181" i="10"/>
  <c r="N139" i="10"/>
  <c r="N184" i="10"/>
  <c r="N142" i="10"/>
  <c r="N169" i="10"/>
  <c r="N140" i="10"/>
  <c r="N179" i="10"/>
  <c r="N183" i="10"/>
  <c r="R33" i="16" l="1"/>
  <c r="Q32" i="16"/>
  <c r="T8" i="12"/>
  <c r="S32" i="12"/>
  <c r="S25" i="12"/>
  <c r="S25" i="16"/>
  <c r="T8" i="16"/>
  <c r="U8" i="16" s="1"/>
  <c r="S30" i="15"/>
  <c r="R29" i="15"/>
  <c r="BW111" i="9"/>
  <c r="BW112" i="9" s="1"/>
  <c r="BS111" i="9"/>
  <c r="BS112" i="9" s="1"/>
  <c r="BU64" i="9"/>
  <c r="BQ64" i="9"/>
  <c r="BS61" i="9"/>
  <c r="BS41" i="9"/>
  <c r="BS133" i="9" s="1"/>
  <c r="BR291" i="1"/>
  <c r="BR8" i="9"/>
  <c r="BV63" i="9"/>
  <c r="BR63" i="9"/>
  <c r="BR61" i="9"/>
  <c r="BR41" i="9"/>
  <c r="K703" i="1"/>
  <c r="K701" i="1" s="1"/>
  <c r="K317" i="1" s="1"/>
  <c r="K705" i="1"/>
  <c r="BV61" i="9"/>
  <c r="BV41" i="9"/>
  <c r="BV133" i="9" s="1"/>
  <c r="P169" i="10"/>
  <c r="Q169" i="10"/>
  <c r="P141" i="10"/>
  <c r="Q141" i="10"/>
  <c r="P182" i="10"/>
  <c r="Q182" i="10"/>
  <c r="Q137" i="10"/>
  <c r="P137" i="10"/>
  <c r="Q142" i="10"/>
  <c r="P142" i="10"/>
  <c r="Q183" i="10"/>
  <c r="P183" i="10"/>
  <c r="Q138" i="10"/>
  <c r="P138" i="10"/>
  <c r="P166" i="10"/>
  <c r="Q166" i="10"/>
  <c r="P184" i="10"/>
  <c r="Q184" i="10"/>
  <c r="Q139" i="10"/>
  <c r="P139" i="10"/>
  <c r="Q167" i="10"/>
  <c r="P167" i="10"/>
  <c r="Q180" i="10"/>
  <c r="P180" i="10"/>
  <c r="Q168" i="10"/>
  <c r="P168" i="10"/>
  <c r="P140" i="10"/>
  <c r="Q140" i="10"/>
  <c r="Q181" i="10"/>
  <c r="P181" i="10"/>
  <c r="Q179" i="10"/>
  <c r="P179" i="10"/>
  <c r="BO665" i="1"/>
  <c r="BP5" i="1"/>
  <c r="BP2" i="9" s="1"/>
  <c r="AU2" i="9"/>
  <c r="AV5" i="1"/>
  <c r="AL2" i="9"/>
  <c r="BS173" i="1"/>
  <c r="BS176" i="1" s="1"/>
  <c r="BS198" i="1" s="1"/>
  <c r="BS132" i="1"/>
  <c r="AR2" i="9"/>
  <c r="AS5" i="1"/>
  <c r="AO2" i="9"/>
  <c r="AP5" i="1"/>
  <c r="AF504" i="1"/>
  <c r="AF505" i="1" s="1"/>
  <c r="AE510" i="1"/>
  <c r="Y510" i="1"/>
  <c r="Z504" i="1"/>
  <c r="Z505" i="1" s="1"/>
  <c r="BU113" i="9"/>
  <c r="BU114" i="9" s="1"/>
  <c r="BV8" i="9"/>
  <c r="BR615" i="1"/>
  <c r="BR285" i="1"/>
  <c r="BR576" i="1" s="1"/>
  <c r="BR584" i="1" s="1"/>
  <c r="BR113" i="9" s="1"/>
  <c r="BR114" i="9" s="1"/>
  <c r="BS287" i="1"/>
  <c r="BS8" i="9" s="1"/>
  <c r="BW39" i="9"/>
  <c r="BS127" i="1"/>
  <c r="BF412" i="1"/>
  <c r="BF413" i="1" s="1"/>
  <c r="N413" i="1"/>
  <c r="N620" i="1" s="1"/>
  <c r="BE696" i="1"/>
  <c r="BE694" i="1" s="1"/>
  <c r="BE315" i="1" s="1"/>
  <c r="BE698" i="1"/>
  <c r="BE689" i="1"/>
  <c r="BE687" i="1" s="1"/>
  <c r="BE314" i="1" s="1"/>
  <c r="BE684" i="1"/>
  <c r="BE691" i="1"/>
  <c r="BE682" i="1"/>
  <c r="BE680" i="1" s="1"/>
  <c r="BE313" i="1" s="1"/>
  <c r="BE705" i="1"/>
  <c r="BE703" i="1"/>
  <c r="BE701" i="1" s="1"/>
  <c r="BE317" i="1" s="1"/>
  <c r="V510" i="1"/>
  <c r="AI504" i="1"/>
  <c r="AI505" i="1" s="1"/>
  <c r="BL504" i="1"/>
  <c r="BL505" i="1" s="1"/>
  <c r="BK510" i="1"/>
  <c r="AC504" i="1"/>
  <c r="AC505" i="1" s="1"/>
  <c r="AB510" i="1"/>
  <c r="BV56" i="9"/>
  <c r="BV135" i="9" s="1"/>
  <c r="BR133" i="1"/>
  <c r="L708" i="1"/>
  <c r="L1" i="9"/>
  <c r="L3" i="1"/>
  <c r="M4" i="1"/>
  <c r="BU133" i="9"/>
  <c r="K698" i="1"/>
  <c r="K691" i="1"/>
  <c r="K696" i="1"/>
  <c r="K694" i="1" s="1"/>
  <c r="K315" i="1" s="1"/>
  <c r="K682" i="1"/>
  <c r="K680" i="1" s="1"/>
  <c r="K313" i="1" s="1"/>
  <c r="K689" i="1"/>
  <c r="K687" i="1" s="1"/>
  <c r="K314" i="1" s="1"/>
  <c r="K684" i="1"/>
  <c r="BO666" i="1"/>
  <c r="N51" i="10"/>
  <c r="N54" i="10"/>
  <c r="N52" i="10"/>
  <c r="N53" i="10"/>
  <c r="N55" i="10"/>
  <c r="N50" i="10"/>
  <c r="N74" i="10"/>
  <c r="N72" i="10"/>
  <c r="N75" i="10"/>
  <c r="N70" i="10"/>
  <c r="N73" i="10"/>
  <c r="N71" i="10"/>
  <c r="S33" i="16" l="1"/>
  <c r="R32" i="16"/>
  <c r="T32" i="12"/>
  <c r="T42" i="12" s="1"/>
  <c r="T43" i="12" s="1"/>
  <c r="U8" i="12"/>
  <c r="T25" i="12"/>
  <c r="T30" i="15"/>
  <c r="S29" i="15"/>
  <c r="T25" i="16"/>
  <c r="U25" i="16" s="1"/>
  <c r="BW63" i="9"/>
  <c r="BS63" i="9"/>
  <c r="BR133" i="9"/>
  <c r="BV64" i="9"/>
  <c r="BR64" i="9"/>
  <c r="A198" i="1"/>
  <c r="A199" i="1" s="1"/>
  <c r="BS56" i="9"/>
  <c r="BS135" i="9" s="1"/>
  <c r="Q75" i="10"/>
  <c r="P75" i="10"/>
  <c r="P71" i="10"/>
  <c r="Q71" i="10"/>
  <c r="Q53" i="10"/>
  <c r="P53" i="10"/>
  <c r="Q70" i="10"/>
  <c r="P70" i="10"/>
  <c r="Q74" i="10"/>
  <c r="P74" i="10"/>
  <c r="P52" i="10"/>
  <c r="Q52" i="10"/>
  <c r="Q73" i="10"/>
  <c r="P73" i="10"/>
  <c r="Q51" i="10"/>
  <c r="P51" i="10"/>
  <c r="P55" i="10"/>
  <c r="Q55" i="10"/>
  <c r="P72" i="10"/>
  <c r="Q72" i="10"/>
  <c r="Q50" i="10"/>
  <c r="P50" i="10"/>
  <c r="Q54" i="10"/>
  <c r="P54" i="10"/>
  <c r="AP2" i="9"/>
  <c r="AS2" i="9"/>
  <c r="AT5" i="1"/>
  <c r="AV665" i="1"/>
  <c r="AV2" i="9"/>
  <c r="AW5" i="1"/>
  <c r="BP665" i="1"/>
  <c r="BT2" i="9"/>
  <c r="BQ5" i="1"/>
  <c r="BQ2" i="9" s="1"/>
  <c r="AY2" i="9"/>
  <c r="M1" i="9"/>
  <c r="M708" i="1"/>
  <c r="M3" i="1"/>
  <c r="N4" i="1"/>
  <c r="AD504" i="1"/>
  <c r="AD505" i="1" s="1"/>
  <c r="AC510" i="1"/>
  <c r="L678" i="1"/>
  <c r="AG504" i="1"/>
  <c r="AG505" i="1" s="1"/>
  <c r="AF510" i="1"/>
  <c r="BW56" i="9"/>
  <c r="BW135" i="9" s="1"/>
  <c r="BS133" i="1"/>
  <c r="BV113" i="9"/>
  <c r="BV114" i="9" s="1"/>
  <c r="BW61" i="9"/>
  <c r="BW41" i="9"/>
  <c r="BW8" i="9"/>
  <c r="BS615" i="1"/>
  <c r="BS285" i="1"/>
  <c r="BS576" i="1" s="1"/>
  <c r="BS584" i="1" s="1"/>
  <c r="BS113" i="9" s="1"/>
  <c r="BS291" i="1"/>
  <c r="AM504" i="1"/>
  <c r="AM505" i="1" s="1"/>
  <c r="BM504" i="1"/>
  <c r="BM505" i="1" s="1"/>
  <c r="BL510" i="1"/>
  <c r="AJ504" i="1"/>
  <c r="AJ505" i="1" s="1"/>
  <c r="AI510" i="1"/>
  <c r="O412" i="1"/>
  <c r="BF620" i="1"/>
  <c r="Z510" i="1"/>
  <c r="D145" i="10"/>
  <c r="D78" i="10"/>
  <c r="D15" i="10"/>
  <c r="D208" i="10"/>
  <c r="N22" i="10"/>
  <c r="D234" i="10"/>
  <c r="D58" i="10"/>
  <c r="N17" i="10"/>
  <c r="D26" i="10"/>
  <c r="N20" i="10"/>
  <c r="D211" i="10"/>
  <c r="BP666" i="1"/>
  <c r="D92" i="10"/>
  <c r="D75" i="10"/>
  <c r="D169" i="10"/>
  <c r="D177" i="10"/>
  <c r="D29" i="10"/>
  <c r="AV666" i="1"/>
  <c r="N21" i="10"/>
  <c r="N19" i="10"/>
  <c r="D37" i="10"/>
  <c r="D219" i="10"/>
  <c r="D192" i="10"/>
  <c r="D142" i="10"/>
  <c r="D162" i="10"/>
  <c r="D68" i="10"/>
  <c r="D114" i="10"/>
  <c r="D22" i="10"/>
  <c r="N18" i="10"/>
  <c r="D184" i="10"/>
  <c r="D7" i="10"/>
  <c r="D40" i="10"/>
  <c r="D48" i="10"/>
  <c r="D227" i="10"/>
  <c r="D55" i="10"/>
  <c r="D111" i="10"/>
  <c r="D133" i="10"/>
  <c r="D201" i="10"/>
  <c r="T33" i="16" l="1"/>
  <c r="S32" i="16"/>
  <c r="T41" i="12"/>
  <c r="T19" i="12" s="1"/>
  <c r="U25" i="12"/>
  <c r="T29" i="15"/>
  <c r="T38" i="15" s="1"/>
  <c r="T39" i="15" s="1"/>
  <c r="U30" i="15"/>
  <c r="U29" i="15" s="1"/>
  <c r="U38" i="15" s="1"/>
  <c r="U32" i="12"/>
  <c r="U42" i="12" s="1"/>
  <c r="A651" i="1"/>
  <c r="A56" i="9"/>
  <c r="BW64" i="9"/>
  <c r="BS64" i="9"/>
  <c r="BS114" i="9"/>
  <c r="BT114" i="9"/>
  <c r="P20" i="10"/>
  <c r="Q20" i="10"/>
  <c r="Q21" i="10"/>
  <c r="P21" i="10"/>
  <c r="P17" i="10"/>
  <c r="Q17" i="10"/>
  <c r="Q22" i="10"/>
  <c r="P22" i="10"/>
  <c r="Q18" i="10"/>
  <c r="P18" i="10"/>
  <c r="Q19" i="10"/>
  <c r="P19" i="10"/>
  <c r="AV667" i="1"/>
  <c r="AT2" i="9"/>
  <c r="AW665" i="1"/>
  <c r="AW2" i="9"/>
  <c r="AX5" i="1"/>
  <c r="AZ2" i="9"/>
  <c r="BU2" i="9"/>
  <c r="BQ665" i="1"/>
  <c r="BR5" i="1"/>
  <c r="BR2" i="9" s="1"/>
  <c r="N1" i="9"/>
  <c r="N708" i="1"/>
  <c r="N3" i="1"/>
  <c r="N678" i="1" s="1"/>
  <c r="BF4" i="1"/>
  <c r="AK504" i="1"/>
  <c r="AK505" i="1" s="1"/>
  <c r="AJ510" i="1"/>
  <c r="AQ504" i="1"/>
  <c r="AQ505" i="1" s="1"/>
  <c r="BN504" i="1"/>
  <c r="BM510" i="1"/>
  <c r="AH504" i="1"/>
  <c r="AH505" i="1" s="1"/>
  <c r="AG510" i="1"/>
  <c r="BW113" i="9"/>
  <c r="BW114" i="9" s="1"/>
  <c r="BW133" i="9"/>
  <c r="B74" i="10"/>
  <c r="B53" i="10"/>
  <c r="M182" i="10"/>
  <c r="M72" i="10"/>
  <c r="B51" i="10"/>
  <c r="M183" i="10"/>
  <c r="M180" i="10"/>
  <c r="M273" i="10"/>
  <c r="M232" i="10"/>
  <c r="M18" i="10"/>
  <c r="M55" i="10"/>
  <c r="M17" i="10"/>
  <c r="B52" i="10"/>
  <c r="M22" i="10"/>
  <c r="M270" i="10"/>
  <c r="B21" i="10"/>
  <c r="M140" i="10"/>
  <c r="B140" i="10"/>
  <c r="B203" i="10"/>
  <c r="B233" i="10"/>
  <c r="B141" i="10"/>
  <c r="B22" i="10"/>
  <c r="M269" i="10"/>
  <c r="B19" i="10"/>
  <c r="M254" i="10"/>
  <c r="B20" i="10"/>
  <c r="B184" i="10"/>
  <c r="B181" i="10"/>
  <c r="B207" i="10"/>
  <c r="M179" i="10"/>
  <c r="M205" i="10"/>
  <c r="B204" i="10"/>
  <c r="M141" i="10"/>
  <c r="M252" i="10"/>
  <c r="B205" i="10"/>
  <c r="M142" i="10"/>
  <c r="B183" i="10"/>
  <c r="M138" i="10"/>
  <c r="B75" i="10"/>
  <c r="B230" i="10"/>
  <c r="M181" i="10"/>
  <c r="B50" i="10"/>
  <c r="B269" i="10"/>
  <c r="M208" i="10"/>
  <c r="M50" i="10"/>
  <c r="B232" i="10"/>
  <c r="M271" i="10"/>
  <c r="B142" i="10"/>
  <c r="M231" i="10"/>
  <c r="M54" i="10"/>
  <c r="B231" i="10"/>
  <c r="M166" i="10"/>
  <c r="B275" i="10"/>
  <c r="B18" i="10"/>
  <c r="M203" i="10"/>
  <c r="M73" i="10"/>
  <c r="B73" i="10"/>
  <c r="M253" i="10"/>
  <c r="B270" i="10"/>
  <c r="B168" i="10"/>
  <c r="M167" i="10"/>
  <c r="M233" i="10"/>
  <c r="B234" i="10"/>
  <c r="M137" i="10"/>
  <c r="B261" i="10"/>
  <c r="B167" i="10"/>
  <c r="B179" i="10"/>
  <c r="B54" i="10"/>
  <c r="M234" i="10"/>
  <c r="M19" i="10"/>
  <c r="B263" i="10"/>
  <c r="B17" i="10"/>
  <c r="B139" i="10"/>
  <c r="B273" i="10"/>
  <c r="B254" i="10"/>
  <c r="B724" i="1"/>
  <c r="B252" i="10"/>
  <c r="B55" i="10"/>
  <c r="B137" i="10"/>
  <c r="B166" i="10"/>
  <c r="B70" i="10"/>
  <c r="M21" i="10"/>
  <c r="M229" i="10"/>
  <c r="M204" i="10"/>
  <c r="M168" i="10"/>
  <c r="B206" i="10"/>
  <c r="B138" i="10"/>
  <c r="B262" i="10"/>
  <c r="M262" i="10"/>
  <c r="B229" i="10"/>
  <c r="B271" i="10"/>
  <c r="B71" i="10"/>
  <c r="M20" i="10"/>
  <c r="B182" i="10"/>
  <c r="M139" i="10"/>
  <c r="M207" i="10"/>
  <c r="M206" i="10"/>
  <c r="E7" i="8"/>
  <c r="M184" i="10"/>
  <c r="M274" i="10"/>
  <c r="M74" i="10"/>
  <c r="M71" i="10"/>
  <c r="M230" i="10"/>
  <c r="B180" i="10"/>
  <c r="B274" i="10"/>
  <c r="M169" i="10"/>
  <c r="M275" i="10"/>
  <c r="M53" i="10"/>
  <c r="B253" i="10"/>
  <c r="M52" i="10"/>
  <c r="B72" i="10"/>
  <c r="M75" i="10"/>
  <c r="B169" i="10"/>
  <c r="M70" i="10"/>
  <c r="M261" i="10"/>
  <c r="M51" i="10"/>
  <c r="B208" i="10"/>
  <c r="M263" i="10"/>
  <c r="P412" i="1"/>
  <c r="O413" i="1"/>
  <c r="O620" i="1" s="1"/>
  <c r="AN504" i="1"/>
  <c r="AN505" i="1" s="1"/>
  <c r="AM510" i="1"/>
  <c r="L698" i="1"/>
  <c r="L696" i="1"/>
  <c r="L694" i="1" s="1"/>
  <c r="L315" i="1" s="1"/>
  <c r="L691" i="1"/>
  <c r="L682" i="1"/>
  <c r="L680" i="1" s="1"/>
  <c r="L313" i="1" s="1"/>
  <c r="L689" i="1"/>
  <c r="L687" i="1" s="1"/>
  <c r="L314" i="1" s="1"/>
  <c r="L684" i="1"/>
  <c r="L703" i="1"/>
  <c r="L701" i="1" s="1"/>
  <c r="L317" i="1" s="1"/>
  <c r="L705" i="1"/>
  <c r="AD510" i="1"/>
  <c r="M678" i="1"/>
  <c r="A671" i="1"/>
  <c r="BQ666" i="1"/>
  <c r="AW666" i="1"/>
  <c r="AV668" i="1" l="1"/>
  <c r="AV673" i="1"/>
  <c r="AV669" i="1"/>
  <c r="AV191" i="1" s="1"/>
  <c r="AV674" i="1"/>
  <c r="AV672" i="1"/>
  <c r="AV670" i="1"/>
  <c r="AV671" i="1"/>
  <c r="AV129" i="1"/>
  <c r="U33" i="16"/>
  <c r="T32" i="16"/>
  <c r="T42" i="16" s="1"/>
  <c r="T37" i="15"/>
  <c r="T17" i="15" s="1"/>
  <c r="U39" i="15"/>
  <c r="U37" i="15"/>
  <c r="U17" i="15" s="1"/>
  <c r="U41" i="12"/>
  <c r="U19" i="12" s="1"/>
  <c r="U43" i="12"/>
  <c r="BN505" i="1"/>
  <c r="BO504" i="1" s="1"/>
  <c r="AU461" i="11" s="1"/>
  <c r="AU463" i="11" s="1"/>
  <c r="AT461" i="11"/>
  <c r="BF1" i="9"/>
  <c r="AW667" i="1"/>
  <c r="BR665" i="1"/>
  <c r="BS5" i="1"/>
  <c r="BS2" i="9" s="1"/>
  <c r="BV2" i="9"/>
  <c r="BA2" i="9"/>
  <c r="B267" i="10"/>
  <c r="AX665" i="1"/>
  <c r="AX2" i="9"/>
  <c r="B147" i="10"/>
  <c r="M221" i="10"/>
  <c r="N197" i="10"/>
  <c r="Q197" i="10" s="1"/>
  <c r="AO504" i="1"/>
  <c r="AO505" i="1" s="1"/>
  <c r="AN510" i="1"/>
  <c r="BF708" i="1"/>
  <c r="BF3" i="1"/>
  <c r="BF678" i="1" s="1"/>
  <c r="O4" i="1"/>
  <c r="AH510" i="1"/>
  <c r="N698" i="1"/>
  <c r="N696" i="1"/>
  <c r="N694" i="1" s="1"/>
  <c r="N315" i="1" s="1"/>
  <c r="N691" i="1"/>
  <c r="N682" i="1"/>
  <c r="N680" i="1" s="1"/>
  <c r="N313" i="1" s="1"/>
  <c r="N689" i="1"/>
  <c r="N687" i="1" s="1"/>
  <c r="N314" i="1" s="1"/>
  <c r="N684" i="1"/>
  <c r="M696" i="1"/>
  <c r="M694" i="1" s="1"/>
  <c r="M315" i="1" s="1"/>
  <c r="M691" i="1"/>
  <c r="M682" i="1"/>
  <c r="M680" i="1" s="1"/>
  <c r="M313" i="1" s="1"/>
  <c r="M698" i="1"/>
  <c r="M689" i="1"/>
  <c r="M687" i="1" s="1"/>
  <c r="M314" i="1" s="1"/>
  <c r="M684" i="1"/>
  <c r="M705" i="1"/>
  <c r="M703" i="1"/>
  <c r="M701" i="1" s="1"/>
  <c r="M317" i="1" s="1"/>
  <c r="N703" i="1"/>
  <c r="N701" i="1" s="1"/>
  <c r="N317" i="1" s="1"/>
  <c r="N705" i="1"/>
  <c r="Q412" i="1"/>
  <c r="P413" i="1"/>
  <c r="P620" i="1" s="1"/>
  <c r="AR504" i="1"/>
  <c r="AR505" i="1" s="1"/>
  <c r="AQ510" i="1"/>
  <c r="AL504" i="1"/>
  <c r="AL505" i="1" s="1"/>
  <c r="AK510" i="1"/>
  <c r="AW670" i="1" l="1"/>
  <c r="AW668" i="1"/>
  <c r="AW671" i="1"/>
  <c r="AW673" i="1"/>
  <c r="AW669" i="1"/>
  <c r="AW191" i="1" s="1"/>
  <c r="AW674" i="1"/>
  <c r="AW672" i="1"/>
  <c r="AW129" i="1"/>
  <c r="T43" i="16"/>
  <c r="T41" i="16"/>
  <c r="T19" i="16" s="1"/>
  <c r="U29" i="16"/>
  <c r="U32" i="16"/>
  <c r="U42" i="16" s="1"/>
  <c r="AU504" i="1"/>
  <c r="AU505" i="1" s="1"/>
  <c r="AU510" i="1" s="1"/>
  <c r="BN510" i="1"/>
  <c r="AS463" i="11"/>
  <c r="AS461" i="11" s="1"/>
  <c r="AR463" i="11" s="1"/>
  <c r="AR461" i="11" s="1"/>
  <c r="AQ463" i="11" s="1"/>
  <c r="AQ461" i="11" s="1"/>
  <c r="AP463" i="11" s="1"/>
  <c r="AP461" i="11" s="1"/>
  <c r="AO463" i="11" s="1"/>
  <c r="AO461" i="11" s="1"/>
  <c r="AN463" i="11" s="1"/>
  <c r="AN461" i="11" s="1"/>
  <c r="AM463" i="11" s="1"/>
  <c r="AM461" i="11" s="1"/>
  <c r="AL463" i="11" s="1"/>
  <c r="AL461" i="11" s="1"/>
  <c r="AK463" i="11" s="1"/>
  <c r="AK461" i="11" s="1"/>
  <c r="AJ463" i="11" s="1"/>
  <c r="AJ461" i="11" s="1"/>
  <c r="AI463" i="11" s="1"/>
  <c r="AI461" i="11" s="1"/>
  <c r="AH463" i="11" s="1"/>
  <c r="AH461" i="11" s="1"/>
  <c r="AG463" i="11" s="1"/>
  <c r="AG461" i="11" s="1"/>
  <c r="AF463" i="11" s="1"/>
  <c r="AF461" i="11" s="1"/>
  <c r="AT463" i="11"/>
  <c r="W461" i="11" s="1"/>
  <c r="B97" i="10"/>
  <c r="N97" i="10" s="1"/>
  <c r="Q97" i="10" s="1"/>
  <c r="B29" i="10"/>
  <c r="M223" i="10"/>
  <c r="B57" i="10"/>
  <c r="N258" i="10"/>
  <c r="P258" i="10" s="1"/>
  <c r="B100" i="10"/>
  <c r="M240" i="10"/>
  <c r="M121" i="10"/>
  <c r="M29" i="10"/>
  <c r="P197" i="10"/>
  <c r="B247" i="10"/>
  <c r="B62" i="10"/>
  <c r="B117" i="10"/>
  <c r="B238" i="10"/>
  <c r="B14" i="10"/>
  <c r="B279" i="10"/>
  <c r="M108" i="10"/>
  <c r="M213" i="10"/>
  <c r="B118" i="10"/>
  <c r="B115" i="10"/>
  <c r="M92" i="10"/>
  <c r="B175" i="10"/>
  <c r="B12" i="10"/>
  <c r="M28" i="10"/>
  <c r="B194" i="10"/>
  <c r="B227" i="10"/>
  <c r="M97" i="10"/>
  <c r="M110" i="10"/>
  <c r="M243" i="10"/>
  <c r="B191" i="10"/>
  <c r="B34" i="10"/>
  <c r="M132" i="10"/>
  <c r="B172" i="10"/>
  <c r="B66" i="10"/>
  <c r="B132" i="10"/>
  <c r="B84" i="10"/>
  <c r="M106" i="10"/>
  <c r="B164" i="10"/>
  <c r="B224" i="10"/>
  <c r="M218" i="10"/>
  <c r="N249" i="10"/>
  <c r="M119" i="10"/>
  <c r="M174" i="10"/>
  <c r="M100" i="10"/>
  <c r="B35" i="10"/>
  <c r="BB2" i="9"/>
  <c r="M107" i="10"/>
  <c r="M160" i="10"/>
  <c r="M216" i="10"/>
  <c r="M85" i="10"/>
  <c r="M127" i="10"/>
  <c r="B177" i="10"/>
  <c r="M24" i="10"/>
  <c r="B80" i="10"/>
  <c r="B98" i="10"/>
  <c r="B198" i="10"/>
  <c r="M175" i="10"/>
  <c r="M117" i="10"/>
  <c r="M120" i="10"/>
  <c r="B158" i="10"/>
  <c r="M7" i="10"/>
  <c r="B40" i="10"/>
  <c r="B9" i="10"/>
  <c r="B113" i="10"/>
  <c r="B189" i="10"/>
  <c r="M39" i="10"/>
  <c r="B83" i="10"/>
  <c r="N83" i="10" s="1"/>
  <c r="B87" i="10"/>
  <c r="M34" i="10"/>
  <c r="M96" i="10"/>
  <c r="B114" i="10"/>
  <c r="B210" i="10"/>
  <c r="M279" i="10"/>
  <c r="M212" i="10"/>
  <c r="B265" i="10"/>
  <c r="M188" i="10"/>
  <c r="B65" i="10"/>
  <c r="B37" i="10"/>
  <c r="B127" i="10"/>
  <c r="B155" i="10"/>
  <c r="M95" i="10"/>
  <c r="B245" i="10"/>
  <c r="B85" i="10"/>
  <c r="B6" i="10"/>
  <c r="B46" i="10"/>
  <c r="B78" i="10"/>
  <c r="M147" i="10"/>
  <c r="B192" i="10"/>
  <c r="M177" i="10"/>
  <c r="M115" i="10"/>
  <c r="B116" i="10"/>
  <c r="B218" i="10"/>
  <c r="M45" i="10"/>
  <c r="B258" i="10"/>
  <c r="B280" i="10"/>
  <c r="M249" i="10"/>
  <c r="B195" i="10"/>
  <c r="B219" i="10"/>
  <c r="B236" i="10"/>
  <c r="M159" i="10"/>
  <c r="M11" i="10"/>
  <c r="B110" i="10"/>
  <c r="B124" i="10"/>
  <c r="M198" i="10"/>
  <c r="M219" i="10"/>
  <c r="B213" i="10"/>
  <c r="M67" i="10"/>
  <c r="B63" i="10"/>
  <c r="M80" i="10"/>
  <c r="M59" i="10"/>
  <c r="M248" i="10"/>
  <c r="M89" i="10"/>
  <c r="B161" i="10"/>
  <c r="B196" i="10"/>
  <c r="B108" i="10"/>
  <c r="B146" i="10"/>
  <c r="B131" i="10"/>
  <c r="B188" i="10"/>
  <c r="B92" i="10"/>
  <c r="B107" i="10"/>
  <c r="M247" i="10"/>
  <c r="M15" i="10"/>
  <c r="M6" i="10"/>
  <c r="B243" i="10"/>
  <c r="B48" i="10"/>
  <c r="B77" i="10"/>
  <c r="B149" i="10"/>
  <c r="B278" i="10"/>
  <c r="M68" i="10"/>
  <c r="B186" i="10"/>
  <c r="M187" i="10"/>
  <c r="M81" i="10"/>
  <c r="B148" i="10"/>
  <c r="M88" i="10"/>
  <c r="M86" i="10"/>
  <c r="M123" i="10"/>
  <c r="B211" i="10"/>
  <c r="M155" i="10"/>
  <c r="B96" i="10"/>
  <c r="M43" i="10"/>
  <c r="B91" i="10"/>
  <c r="N173" i="10"/>
  <c r="M284" i="10"/>
  <c r="M102" i="10"/>
  <c r="B154" i="10"/>
  <c r="B201" i="10"/>
  <c r="M282" i="10"/>
  <c r="M77" i="10"/>
  <c r="M57" i="10"/>
  <c r="B174" i="10"/>
  <c r="B26" i="10"/>
  <c r="B266" i="10"/>
  <c r="N243" i="10"/>
  <c r="B106" i="10"/>
  <c r="M35" i="10"/>
  <c r="B130" i="10"/>
  <c r="M245" i="10"/>
  <c r="B159" i="10"/>
  <c r="M267" i="10"/>
  <c r="B176" i="10"/>
  <c r="B103" i="10"/>
  <c r="N103" i="10" s="1"/>
  <c r="M192" i="10"/>
  <c r="B10" i="10"/>
  <c r="M103" i="10"/>
  <c r="M211" i="10"/>
  <c r="B277" i="10"/>
  <c r="B39" i="10"/>
  <c r="M222" i="10"/>
  <c r="B187" i="10"/>
  <c r="B217" i="10"/>
  <c r="M153" i="10"/>
  <c r="B86" i="10"/>
  <c r="M237" i="10"/>
  <c r="M33" i="10"/>
  <c r="M13" i="10"/>
  <c r="B32" i="10"/>
  <c r="B79" i="10"/>
  <c r="B241" i="10"/>
  <c r="M105" i="10"/>
  <c r="M196" i="10"/>
  <c r="M58" i="10"/>
  <c r="M10" i="10"/>
  <c r="M37" i="10"/>
  <c r="B95" i="10"/>
  <c r="M116" i="10"/>
  <c r="M151" i="10"/>
  <c r="N33" i="10"/>
  <c r="B111" i="10"/>
  <c r="B223" i="10"/>
  <c r="M226" i="10"/>
  <c r="M214" i="10"/>
  <c r="M154" i="10"/>
  <c r="B68" i="10"/>
  <c r="M91" i="10"/>
  <c r="M156" i="10"/>
  <c r="M129" i="10"/>
  <c r="B237" i="10"/>
  <c r="B221" i="10"/>
  <c r="B59" i="10"/>
  <c r="M84" i="10"/>
  <c r="M42" i="10"/>
  <c r="M256" i="10"/>
  <c r="B152" i="10"/>
  <c r="B240" i="10"/>
  <c r="B256" i="10"/>
  <c r="M201" i="10"/>
  <c r="B67" i="10"/>
  <c r="B284" i="10"/>
  <c r="B212" i="10"/>
  <c r="M93" i="10"/>
  <c r="M48" i="10"/>
  <c r="B43" i="10"/>
  <c r="M277" i="10"/>
  <c r="B249" i="10"/>
  <c r="M135" i="10"/>
  <c r="M118" i="10"/>
  <c r="M227" i="10"/>
  <c r="N44" i="10"/>
  <c r="B125" i="10"/>
  <c r="N125" i="10" s="1"/>
  <c r="M109" i="10"/>
  <c r="N223" i="10"/>
  <c r="M113" i="10"/>
  <c r="M242" i="10"/>
  <c r="M62" i="10"/>
  <c r="M146" i="10"/>
  <c r="B31" i="10"/>
  <c r="B36" i="10"/>
  <c r="B60" i="10"/>
  <c r="B33" i="10"/>
  <c r="M144" i="10"/>
  <c r="B199" i="10"/>
  <c r="M152" i="10"/>
  <c r="M40" i="10"/>
  <c r="M161" i="10"/>
  <c r="M14" i="10"/>
  <c r="B47" i="10"/>
  <c r="M217" i="10"/>
  <c r="B151" i="10"/>
  <c r="B259" i="10"/>
  <c r="B123" i="10"/>
  <c r="M176" i="10"/>
  <c r="B197" i="10"/>
  <c r="M82" i="10"/>
  <c r="M278" i="10"/>
  <c r="B250" i="10"/>
  <c r="M171" i="10"/>
  <c r="B99" i="10"/>
  <c r="M101" i="10"/>
  <c r="B82" i="10"/>
  <c r="M99" i="10"/>
  <c r="M225" i="10"/>
  <c r="B242" i="10"/>
  <c r="M125" i="10"/>
  <c r="M158" i="10"/>
  <c r="B11" i="10"/>
  <c r="M94" i="10"/>
  <c r="B64" i="10"/>
  <c r="M258" i="10"/>
  <c r="M173" i="10"/>
  <c r="B200" i="10"/>
  <c r="M238" i="10"/>
  <c r="M244" i="10"/>
  <c r="B120" i="10"/>
  <c r="M63" i="10"/>
  <c r="B93" i="10"/>
  <c r="M224" i="10"/>
  <c r="M31" i="10"/>
  <c r="B133" i="10"/>
  <c r="B45" i="10"/>
  <c r="B134" i="10"/>
  <c r="M236" i="10"/>
  <c r="M98" i="10"/>
  <c r="M25" i="10"/>
  <c r="M172" i="10"/>
  <c r="M148" i="10"/>
  <c r="B216" i="10"/>
  <c r="B248" i="10"/>
  <c r="B135" i="10"/>
  <c r="N129" i="10"/>
  <c r="M122" i="10"/>
  <c r="B150" i="10"/>
  <c r="N150" i="10" s="1"/>
  <c r="B94" i="10"/>
  <c r="M46" i="10"/>
  <c r="M150" i="10"/>
  <c r="M83" i="10"/>
  <c r="M78" i="10"/>
  <c r="B145" i="10"/>
  <c r="B44" i="10"/>
  <c r="B173" i="10"/>
  <c r="M9" i="10"/>
  <c r="M79" i="10"/>
  <c r="M259" i="10"/>
  <c r="M257" i="10"/>
  <c r="M191" i="10"/>
  <c r="B282" i="10"/>
  <c r="N64" i="10"/>
  <c r="B15" i="10"/>
  <c r="B58" i="10"/>
  <c r="B24" i="10"/>
  <c r="M44" i="10"/>
  <c r="M164" i="10"/>
  <c r="B153" i="10"/>
  <c r="M130" i="10"/>
  <c r="B13" i="10"/>
  <c r="M66" i="10"/>
  <c r="B28" i="10"/>
  <c r="M199" i="10"/>
  <c r="B244" i="10"/>
  <c r="B190" i="10"/>
  <c r="M145" i="10"/>
  <c r="M128" i="10"/>
  <c r="B222" i="10"/>
  <c r="B81" i="10"/>
  <c r="N279" i="10"/>
  <c r="B88" i="10"/>
  <c r="B160" i="10"/>
  <c r="B128" i="10"/>
  <c r="M266" i="10"/>
  <c r="M87" i="10"/>
  <c r="B129" i="10"/>
  <c r="B102" i="10"/>
  <c r="M114" i="10"/>
  <c r="B119" i="10"/>
  <c r="N119" i="10" s="1"/>
  <c r="M200" i="10"/>
  <c r="B101" i="10"/>
  <c r="M280" i="10"/>
  <c r="M241" i="10"/>
  <c r="M111" i="10"/>
  <c r="B109" i="10"/>
  <c r="B214" i="10"/>
  <c r="M26" i="10"/>
  <c r="B225" i="10"/>
  <c r="M194" i="10"/>
  <c r="M36" i="10"/>
  <c r="M265" i="10"/>
  <c r="B171" i="10"/>
  <c r="B121" i="10"/>
  <c r="B283" i="10"/>
  <c r="N188" i="10"/>
  <c r="M133" i="10"/>
  <c r="M12" i="10"/>
  <c r="M64" i="10"/>
  <c r="M149" i="10"/>
  <c r="B25" i="10"/>
  <c r="M210" i="10"/>
  <c r="B156" i="10"/>
  <c r="N156" i="10" s="1"/>
  <c r="M162" i="10"/>
  <c r="N107" i="10"/>
  <c r="B105" i="10"/>
  <c r="M32" i="10"/>
  <c r="B257" i="10"/>
  <c r="B89" i="10"/>
  <c r="N89" i="10" s="1"/>
  <c r="M134" i="10"/>
  <c r="M195" i="10"/>
  <c r="M190" i="10"/>
  <c r="B163" i="10"/>
  <c r="N218" i="10"/>
  <c r="B162" i="10"/>
  <c r="M283" i="10"/>
  <c r="B226" i="10"/>
  <c r="M65" i="10"/>
  <c r="M189" i="10"/>
  <c r="M60" i="10"/>
  <c r="M163" i="10"/>
  <c r="M47" i="10"/>
  <c r="M131" i="10"/>
  <c r="B122" i="10"/>
  <c r="B42" i="10"/>
  <c r="B144" i="10"/>
  <c r="M197" i="10"/>
  <c r="N242" i="10"/>
  <c r="M124" i="10"/>
  <c r="M186" i="10"/>
  <c r="B7" i="10"/>
  <c r="BW2" i="9"/>
  <c r="BS665" i="1"/>
  <c r="M250" i="10"/>
  <c r="BF698" i="1"/>
  <c r="BF689" i="1"/>
  <c r="BF687" i="1" s="1"/>
  <c r="BF314" i="1" s="1"/>
  <c r="BF684" i="1"/>
  <c r="BF691" i="1"/>
  <c r="BF682" i="1"/>
  <c r="BF680" i="1" s="1"/>
  <c r="BF313" i="1" s="1"/>
  <c r="BF696" i="1"/>
  <c r="BF694" i="1" s="1"/>
  <c r="BF315" i="1" s="1"/>
  <c r="BF703" i="1"/>
  <c r="BF701" i="1" s="1"/>
  <c r="BF317" i="1" s="1"/>
  <c r="BF705" i="1"/>
  <c r="O1" i="9"/>
  <c r="O708" i="1"/>
  <c r="O3" i="1"/>
  <c r="P4" i="1"/>
  <c r="M296" i="1"/>
  <c r="M541" i="1"/>
  <c r="L541" i="1"/>
  <c r="K541" i="1"/>
  <c r="L540" i="1"/>
  <c r="M540" i="1"/>
  <c r="K540" i="1"/>
  <c r="N296" i="1"/>
  <c r="N541" i="1"/>
  <c r="N540" i="1"/>
  <c r="K543" i="1"/>
  <c r="K542" i="1"/>
  <c r="L543" i="1"/>
  <c r="L542" i="1"/>
  <c r="M542" i="1"/>
  <c r="M543" i="1"/>
  <c r="R412" i="1"/>
  <c r="Q413" i="1"/>
  <c r="Q620" i="1" s="1"/>
  <c r="N542" i="1"/>
  <c r="N543" i="1"/>
  <c r="AP504" i="1"/>
  <c r="AP505" i="1" s="1"/>
  <c r="AO510" i="1"/>
  <c r="AR510" i="1"/>
  <c r="AS504" i="1"/>
  <c r="AS505" i="1" s="1"/>
  <c r="AL510" i="1"/>
  <c r="N79" i="10"/>
  <c r="N6" i="10"/>
  <c r="N171" i="10"/>
  <c r="N195" i="10"/>
  <c r="N13" i="10"/>
  <c r="N80" i="10"/>
  <c r="N237" i="10"/>
  <c r="N9" i="10"/>
  <c r="N284" i="10"/>
  <c r="N225" i="10"/>
  <c r="N147" i="10"/>
  <c r="N190" i="10"/>
  <c r="N46" i="10"/>
  <c r="N96" i="10"/>
  <c r="N250" i="10"/>
  <c r="N200" i="10"/>
  <c r="N67" i="10"/>
  <c r="N92" i="10"/>
  <c r="N172" i="10"/>
  <c r="N244" i="10"/>
  <c r="N65" i="10"/>
  <c r="N162" i="10"/>
  <c r="N81" i="10"/>
  <c r="N110" i="10"/>
  <c r="N153" i="10"/>
  <c r="N43" i="10"/>
  <c r="N194" i="10"/>
  <c r="N88" i="10"/>
  <c r="N189" i="10"/>
  <c r="N149" i="10"/>
  <c r="N144" i="10"/>
  <c r="N154" i="10"/>
  <c r="N122" i="10"/>
  <c r="N282" i="10"/>
  <c r="N106" i="10"/>
  <c r="N227" i="10"/>
  <c r="N283" i="10"/>
  <c r="N121" i="10"/>
  <c r="N211" i="10"/>
  <c r="N201" i="10"/>
  <c r="N10" i="10"/>
  <c r="N131" i="10"/>
  <c r="BR666" i="1"/>
  <c r="AX666" i="1"/>
  <c r="N135" i="10"/>
  <c r="N186" i="10"/>
  <c r="N58" i="10"/>
  <c r="N187" i="10"/>
  <c r="N108" i="10"/>
  <c r="N115" i="10"/>
  <c r="N257" i="10"/>
  <c r="N163" i="10"/>
  <c r="N130" i="10"/>
  <c r="N280" i="10"/>
  <c r="N62" i="10"/>
  <c r="N123" i="10"/>
  <c r="N224" i="10"/>
  <c r="N152" i="10"/>
  <c r="N174" i="10"/>
  <c r="N277" i="10"/>
  <c r="N32" i="10"/>
  <c r="N95" i="10"/>
  <c r="N177" i="10"/>
  <c r="N248" i="10"/>
  <c r="N99" i="10"/>
  <c r="N164" i="10"/>
  <c r="N247" i="10"/>
  <c r="N133" i="10"/>
  <c r="N77" i="10"/>
  <c r="N259" i="10"/>
  <c r="N47" i="10"/>
  <c r="N146" i="10"/>
  <c r="N85" i="10"/>
  <c r="N222" i="10"/>
  <c r="N26" i="10"/>
  <c r="N57" i="10"/>
  <c r="N34" i="10"/>
  <c r="N25" i="10"/>
  <c r="N100" i="10"/>
  <c r="N266" i="10"/>
  <c r="N191" i="10"/>
  <c r="N116" i="10"/>
  <c r="N98" i="10"/>
  <c r="N278" i="10"/>
  <c r="N238" i="10"/>
  <c r="N68" i="10"/>
  <c r="N39" i="10"/>
  <c r="N59" i="10"/>
  <c r="N241" i="10"/>
  <c r="N78" i="10"/>
  <c r="N114" i="10"/>
  <c r="N42" i="10"/>
  <c r="N40" i="10"/>
  <c r="N124" i="10"/>
  <c r="N48" i="10"/>
  <c r="N221" i="10"/>
  <c r="N37" i="10"/>
  <c r="N213" i="10"/>
  <c r="N155" i="10"/>
  <c r="N226" i="10"/>
  <c r="N84" i="10"/>
  <c r="N145" i="10"/>
  <c r="N117" i="10"/>
  <c r="N148" i="10"/>
  <c r="N158" i="10"/>
  <c r="N240" i="10"/>
  <c r="N159" i="10"/>
  <c r="N63" i="10"/>
  <c r="N256" i="10"/>
  <c r="N128" i="10"/>
  <c r="N210" i="10"/>
  <c r="N118" i="10"/>
  <c r="N94" i="10"/>
  <c r="N199" i="10"/>
  <c r="N120" i="10"/>
  <c r="N102" i="10"/>
  <c r="N91" i="10"/>
  <c r="N111" i="10"/>
  <c r="N60" i="10"/>
  <c r="N101" i="10"/>
  <c r="N198" i="10"/>
  <c r="N267" i="10"/>
  <c r="N160" i="10"/>
  <c r="N236" i="10"/>
  <c r="N7" i="10"/>
  <c r="N245" i="10"/>
  <c r="N35" i="10"/>
  <c r="N113" i="10"/>
  <c r="N15" i="10"/>
  <c r="N127" i="10"/>
  <c r="N151" i="10"/>
  <c r="N24" i="10"/>
  <c r="N93" i="10"/>
  <c r="N134" i="10"/>
  <c r="N31" i="10"/>
  <c r="N105" i="10"/>
  <c r="N36" i="10"/>
  <c r="N217" i="10"/>
  <c r="N29" i="10"/>
  <c r="N66" i="10"/>
  <c r="BS666" i="1"/>
  <c r="N219" i="10"/>
  <c r="N109" i="10"/>
  <c r="N132" i="10"/>
  <c r="N265" i="10"/>
  <c r="N176" i="10"/>
  <c r="N14" i="10"/>
  <c r="N192" i="10"/>
  <c r="N87" i="10"/>
  <c r="N175" i="10"/>
  <c r="N196" i="10"/>
  <c r="N86" i="10"/>
  <c r="N82" i="10"/>
  <c r="N12" i="10"/>
  <c r="N45" i="10"/>
  <c r="N28" i="10"/>
  <c r="N216" i="10"/>
  <c r="N161" i="10"/>
  <c r="U43" i="16" l="1"/>
  <c r="U41" i="16"/>
  <c r="U19" i="16" s="1"/>
  <c r="U26" i="16"/>
  <c r="Q146" i="10"/>
  <c r="P146" i="10"/>
  <c r="Q219" i="10"/>
  <c r="P219" i="10"/>
  <c r="P116" i="10"/>
  <c r="Q116" i="10"/>
  <c r="Q10" i="10"/>
  <c r="P10" i="10"/>
  <c r="Q25" i="10"/>
  <c r="P25" i="10"/>
  <c r="Q144" i="10"/>
  <c r="P144" i="10"/>
  <c r="Q154" i="10"/>
  <c r="P154" i="10"/>
  <c r="Q191" i="10"/>
  <c r="P191" i="10"/>
  <c r="Q174" i="10"/>
  <c r="P174" i="10"/>
  <c r="Q211" i="10"/>
  <c r="P211" i="10"/>
  <c r="Q79" i="10"/>
  <c r="P79" i="10"/>
  <c r="P222" i="10"/>
  <c r="Q222" i="10"/>
  <c r="Q114" i="10"/>
  <c r="P114" i="10"/>
  <c r="AX667" i="1"/>
  <c r="P80" i="10"/>
  <c r="Q80" i="10"/>
  <c r="P59" i="10"/>
  <c r="Q59" i="10"/>
  <c r="P43" i="10"/>
  <c r="Q43" i="10"/>
  <c r="Q58" i="10"/>
  <c r="P58" i="10"/>
  <c r="Q145" i="10"/>
  <c r="P145" i="10"/>
  <c r="P187" i="10"/>
  <c r="Q187" i="10"/>
  <c r="Q7" i="10"/>
  <c r="P7" i="10"/>
  <c r="P162" i="10"/>
  <c r="Q162" i="10"/>
  <c r="Q132" i="10"/>
  <c r="P132" i="10"/>
  <c r="Q35" i="10"/>
  <c r="P35" i="10"/>
  <c r="Q86" i="10"/>
  <c r="P86" i="10"/>
  <c r="Q6" i="10"/>
  <c r="P6" i="10"/>
  <c r="Q60" i="10"/>
  <c r="P60" i="10"/>
  <c r="P237" i="10"/>
  <c r="Q237" i="10"/>
  <c r="P176" i="10"/>
  <c r="Q176" i="10"/>
  <c r="Q40" i="10"/>
  <c r="P40" i="10"/>
  <c r="P217" i="10"/>
  <c r="Q217" i="10"/>
  <c r="Q244" i="10"/>
  <c r="P244" i="10"/>
  <c r="P14" i="10"/>
  <c r="Q14" i="10"/>
  <c r="Q155" i="10"/>
  <c r="P155" i="10"/>
  <c r="P250" i="10"/>
  <c r="Q250" i="10"/>
  <c r="Q161" i="10"/>
  <c r="P161" i="10"/>
  <c r="Q93" i="10"/>
  <c r="P93" i="10"/>
  <c r="Q278" i="10"/>
  <c r="P278" i="10"/>
  <c r="Q34" i="10"/>
  <c r="P34" i="10"/>
  <c r="P257" i="10"/>
  <c r="Q257" i="10"/>
  <c r="P160" i="10"/>
  <c r="Q160" i="10"/>
  <c r="P227" i="10"/>
  <c r="Q227" i="10"/>
  <c r="Q238" i="10"/>
  <c r="P238" i="10"/>
  <c r="P62" i="10"/>
  <c r="Q62" i="10"/>
  <c r="P267" i="10"/>
  <c r="Q267" i="10"/>
  <c r="Q195" i="10"/>
  <c r="P195" i="10"/>
  <c r="P57" i="10"/>
  <c r="Q57" i="10"/>
  <c r="Q78" i="10"/>
  <c r="P78" i="10"/>
  <c r="P48" i="10"/>
  <c r="Q48" i="10"/>
  <c r="P282" i="10"/>
  <c r="Q282" i="10"/>
  <c r="P189" i="10"/>
  <c r="Q189" i="10"/>
  <c r="P91" i="10"/>
  <c r="Q91" i="10"/>
  <c r="P115" i="10"/>
  <c r="Q115" i="10"/>
  <c r="Q31" i="10"/>
  <c r="P31" i="10"/>
  <c r="P99" i="10"/>
  <c r="Q99" i="10"/>
  <c r="Q109" i="10"/>
  <c r="P109" i="10"/>
  <c r="P101" i="10"/>
  <c r="Q101" i="10"/>
  <c r="Q77" i="10"/>
  <c r="P77" i="10"/>
  <c r="Q12" i="10"/>
  <c r="P12" i="10"/>
  <c r="P226" i="10"/>
  <c r="Q226" i="10"/>
  <c r="Q177" i="10"/>
  <c r="P177" i="10"/>
  <c r="P32" i="10"/>
  <c r="Q32" i="10"/>
  <c r="P284" i="10"/>
  <c r="Q284" i="10"/>
  <c r="Q28" i="10"/>
  <c r="P28" i="10"/>
  <c r="Q266" i="10"/>
  <c r="P266" i="10"/>
  <c r="Q24" i="10"/>
  <c r="P24" i="10"/>
  <c r="P248" i="10"/>
  <c r="Q248" i="10"/>
  <c r="Q123" i="10"/>
  <c r="P123" i="10"/>
  <c r="P65" i="10"/>
  <c r="Q65" i="10"/>
  <c r="Q194" i="10"/>
  <c r="P194" i="10"/>
  <c r="Q133" i="10"/>
  <c r="P133" i="10"/>
  <c r="Q192" i="10"/>
  <c r="P192" i="10"/>
  <c r="P283" i="10"/>
  <c r="Q283" i="10"/>
  <c r="P106" i="10"/>
  <c r="Q106" i="10"/>
  <c r="Q127" i="10"/>
  <c r="P127" i="10"/>
  <c r="Q175" i="10"/>
  <c r="P175" i="10"/>
  <c r="Q158" i="10"/>
  <c r="P158" i="10"/>
  <c r="Q159" i="10"/>
  <c r="P159" i="10"/>
  <c r="Q94" i="10"/>
  <c r="P94" i="10"/>
  <c r="P95" i="10"/>
  <c r="Q95" i="10"/>
  <c r="Q225" i="10"/>
  <c r="P225" i="10"/>
  <c r="Q124" i="10"/>
  <c r="P124" i="10"/>
  <c r="Q36" i="10"/>
  <c r="P36" i="10"/>
  <c r="P111" i="10"/>
  <c r="Q111" i="10"/>
  <c r="P221" i="10"/>
  <c r="Q221" i="10"/>
  <c r="Q216" i="10"/>
  <c r="P216" i="10"/>
  <c r="Q259" i="10"/>
  <c r="P259" i="10"/>
  <c r="Q130" i="10"/>
  <c r="P130" i="10"/>
  <c r="P147" i="10"/>
  <c r="Q147" i="10"/>
  <c r="P171" i="10"/>
  <c r="Q171" i="10"/>
  <c r="Q240" i="10"/>
  <c r="P240" i="10"/>
  <c r="Q63" i="10"/>
  <c r="P63" i="10"/>
  <c r="P224" i="10"/>
  <c r="Q224" i="10"/>
  <c r="Q186" i="10"/>
  <c r="P186" i="10"/>
  <c r="Q92" i="10"/>
  <c r="P92" i="10"/>
  <c r="Q245" i="10"/>
  <c r="P245" i="10"/>
  <c r="P277" i="10"/>
  <c r="Q277" i="10"/>
  <c r="Q213" i="10"/>
  <c r="P213" i="10"/>
  <c r="Q236" i="10"/>
  <c r="P236" i="10"/>
  <c r="P98" i="10"/>
  <c r="Q98" i="10"/>
  <c r="Q122" i="10"/>
  <c r="P122" i="10"/>
  <c r="Q37" i="10"/>
  <c r="P37" i="10"/>
  <c r="P151" i="10"/>
  <c r="Q151" i="10"/>
  <c r="Q280" i="10"/>
  <c r="P280" i="10"/>
  <c r="P42" i="10"/>
  <c r="Q42" i="10"/>
  <c r="Q121" i="10"/>
  <c r="P121" i="10"/>
  <c r="P26" i="10"/>
  <c r="Q26" i="10"/>
  <c r="Q201" i="10"/>
  <c r="P201" i="10"/>
  <c r="P153" i="10"/>
  <c r="Q153" i="10"/>
  <c r="Q15" i="10"/>
  <c r="P15" i="10"/>
  <c r="Q120" i="10"/>
  <c r="P120" i="10"/>
  <c r="Q82" i="10"/>
  <c r="P82" i="10"/>
  <c r="Q46" i="10"/>
  <c r="P46" i="10"/>
  <c r="Q241" i="10"/>
  <c r="P241" i="10"/>
  <c r="P96" i="10"/>
  <c r="Q96" i="10"/>
  <c r="P152" i="10"/>
  <c r="Q152" i="10"/>
  <c r="Q81" i="10"/>
  <c r="P81" i="10"/>
  <c r="Q66" i="10"/>
  <c r="P66" i="10"/>
  <c r="P110" i="10"/>
  <c r="Q110" i="10"/>
  <c r="Q29" i="10"/>
  <c r="P29" i="10"/>
  <c r="P87" i="10"/>
  <c r="Q87" i="10"/>
  <c r="Q256" i="10"/>
  <c r="P256" i="10"/>
  <c r="Q200" i="10"/>
  <c r="P200" i="10"/>
  <c r="Q84" i="10"/>
  <c r="P84" i="10"/>
  <c r="P199" i="10"/>
  <c r="Q199" i="10"/>
  <c r="P210" i="10"/>
  <c r="Q210" i="10"/>
  <c r="P118" i="10"/>
  <c r="Q118" i="10"/>
  <c r="P128" i="10"/>
  <c r="Q128" i="10"/>
  <c r="P67" i="10"/>
  <c r="Q67" i="10"/>
  <c r="Q39" i="10"/>
  <c r="P39" i="10"/>
  <c r="Q13" i="10"/>
  <c r="P13" i="10"/>
  <c r="Q85" i="10"/>
  <c r="P85" i="10"/>
  <c r="Q45" i="10"/>
  <c r="P45" i="10"/>
  <c r="P108" i="10"/>
  <c r="Q108" i="10"/>
  <c r="Q196" i="10"/>
  <c r="P196" i="10"/>
  <c r="Q105" i="10"/>
  <c r="P105" i="10"/>
  <c r="Q247" i="10"/>
  <c r="P247" i="10"/>
  <c r="Q265" i="10"/>
  <c r="P265" i="10"/>
  <c r="Q88" i="10"/>
  <c r="P88" i="10"/>
  <c r="P117" i="10"/>
  <c r="Q117" i="10"/>
  <c r="Q113" i="10"/>
  <c r="P113" i="10"/>
  <c r="P190" i="10"/>
  <c r="Q190" i="10"/>
  <c r="Q149" i="10"/>
  <c r="P149" i="10"/>
  <c r="Q131" i="10"/>
  <c r="P131" i="10"/>
  <c r="P9" i="10"/>
  <c r="Q9" i="10"/>
  <c r="P47" i="10"/>
  <c r="Q47" i="10"/>
  <c r="Q102" i="10"/>
  <c r="P102" i="10"/>
  <c r="P68" i="10"/>
  <c r="Q68" i="10"/>
  <c r="Q172" i="10"/>
  <c r="P172" i="10"/>
  <c r="Q148" i="10"/>
  <c r="P148" i="10"/>
  <c r="Q100" i="10"/>
  <c r="P100" i="10"/>
  <c r="P198" i="10"/>
  <c r="Q198" i="10"/>
  <c r="AV504" i="1"/>
  <c r="Q258" i="10"/>
  <c r="V463" i="11"/>
  <c r="V461" i="11" s="1"/>
  <c r="U463" i="11" s="1"/>
  <c r="U461" i="11" s="1"/>
  <c r="T463" i="11" s="1"/>
  <c r="T461" i="11" s="1"/>
  <c r="S463" i="11" s="1"/>
  <c r="S461" i="11" s="1"/>
  <c r="R463" i="11" s="1"/>
  <c r="R461" i="11" s="1"/>
  <c r="Q463" i="11" s="1"/>
  <c r="Q461" i="11" s="1"/>
  <c r="P463" i="11" s="1"/>
  <c r="P461" i="11" s="1"/>
  <c r="O463" i="11" s="1"/>
  <c r="O461" i="11" s="1"/>
  <c r="N463" i="11" s="1"/>
  <c r="N461" i="11" s="1"/>
  <c r="M463" i="11" s="1"/>
  <c r="M461" i="11" s="1"/>
  <c r="L463" i="11" s="1"/>
  <c r="L461" i="11" s="1"/>
  <c r="K463" i="11" s="1"/>
  <c r="K461" i="11" s="1"/>
  <c r="J463" i="11" s="1"/>
  <c r="J461" i="11" s="1"/>
  <c r="I463" i="11" s="1"/>
  <c r="I461" i="11" s="1"/>
  <c r="H463" i="11" s="1"/>
  <c r="H461" i="11" s="1"/>
  <c r="G463" i="11" s="1"/>
  <c r="G461" i="11" s="1"/>
  <c r="F463" i="11" s="1"/>
  <c r="F461" i="11" s="1"/>
  <c r="E463" i="11" s="1"/>
  <c r="E461" i="11" s="1"/>
  <c r="D463" i="11" s="1"/>
  <c r="D461" i="11" s="1"/>
  <c r="C463" i="11" s="1"/>
  <c r="C461" i="11" s="1"/>
  <c r="W463" i="11"/>
  <c r="X461" i="11" s="1"/>
  <c r="X463" i="11" s="1"/>
  <c r="Y461" i="11" s="1"/>
  <c r="Y463" i="11" s="1"/>
  <c r="Z461" i="11" s="1"/>
  <c r="Z463" i="11" s="1"/>
  <c r="AA461" i="11" s="1"/>
  <c r="AA463" i="11" s="1"/>
  <c r="P97" i="10"/>
  <c r="P134" i="10"/>
  <c r="Q134" i="10"/>
  <c r="Q164" i="10"/>
  <c r="P164" i="10"/>
  <c r="P163" i="10"/>
  <c r="Q163" i="10"/>
  <c r="BS667" i="1"/>
  <c r="Q135" i="10"/>
  <c r="P135" i="10"/>
  <c r="BP667" i="1"/>
  <c r="BQ667" i="1"/>
  <c r="BO667" i="1"/>
  <c r="BR667" i="1"/>
  <c r="Q242" i="10"/>
  <c r="P242" i="10"/>
  <c r="Q188" i="10"/>
  <c r="P188" i="10"/>
  <c r="Q156" i="10"/>
  <c r="P156" i="10"/>
  <c r="P173" i="10"/>
  <c r="Q173" i="10"/>
  <c r="Q249" i="10"/>
  <c r="P249" i="10"/>
  <c r="Q64" i="10"/>
  <c r="P64" i="10"/>
  <c r="Q119" i="10"/>
  <c r="P119" i="10"/>
  <c r="Q83" i="10"/>
  <c r="P83" i="10"/>
  <c r="Q103" i="10"/>
  <c r="P103" i="10"/>
  <c r="P223" i="10"/>
  <c r="Q223" i="10"/>
  <c r="Q107" i="10"/>
  <c r="P107" i="10"/>
  <c r="Q218" i="10"/>
  <c r="P218" i="10"/>
  <c r="Q125" i="10"/>
  <c r="P125" i="10"/>
  <c r="Q33" i="10"/>
  <c r="P33" i="10"/>
  <c r="Q89" i="10"/>
  <c r="P89" i="10"/>
  <c r="Q279" i="10"/>
  <c r="P279" i="10"/>
  <c r="Q44" i="10"/>
  <c r="P44" i="10"/>
  <c r="Q150" i="10"/>
  <c r="P150" i="10"/>
  <c r="Q243" i="10"/>
  <c r="P243" i="10"/>
  <c r="Q129" i="10"/>
  <c r="P129" i="10"/>
  <c r="AS510" i="1"/>
  <c r="AT504" i="1"/>
  <c r="AT505" i="1" s="1"/>
  <c r="AP510" i="1"/>
  <c r="P1" i="9"/>
  <c r="P708" i="1"/>
  <c r="P3" i="1"/>
  <c r="P678" i="1" s="1"/>
  <c r="Q4" i="1"/>
  <c r="O678" i="1"/>
  <c r="BG412" i="1"/>
  <c r="BG413" i="1" s="1"/>
  <c r="R413" i="1"/>
  <c r="R620" i="1" s="1"/>
  <c r="BP672" i="1" l="1"/>
  <c r="BP674" i="1"/>
  <c r="BP673" i="1"/>
  <c r="BP670" i="1"/>
  <c r="BP668" i="1"/>
  <c r="BP669" i="1"/>
  <c r="BP191" i="1" s="1"/>
  <c r="BP671" i="1"/>
  <c r="BS669" i="1"/>
  <c r="BS191" i="1" s="1"/>
  <c r="BS672" i="1"/>
  <c r="BS670" i="1"/>
  <c r="BS671" i="1"/>
  <c r="BS674" i="1"/>
  <c r="BS673" i="1"/>
  <c r="BS668" i="1"/>
  <c r="BS129" i="1" s="1"/>
  <c r="BR669" i="1"/>
  <c r="BR672" i="1"/>
  <c r="BR670" i="1"/>
  <c r="BR673" i="1"/>
  <c r="BR671" i="1"/>
  <c r="BR674" i="1"/>
  <c r="BR668" i="1"/>
  <c r="BR129" i="1" s="1"/>
  <c r="AX672" i="1"/>
  <c r="AX668" i="1"/>
  <c r="AX129" i="1" s="1"/>
  <c r="AX673" i="1"/>
  <c r="AX674" i="1"/>
  <c r="AX670" i="1"/>
  <c r="AX671" i="1"/>
  <c r="AX669" i="1"/>
  <c r="AX191" i="1" s="1"/>
  <c r="BQ669" i="1"/>
  <c r="BQ672" i="1"/>
  <c r="BQ670" i="1"/>
  <c r="BQ673" i="1"/>
  <c r="BQ668" i="1"/>
  <c r="BQ671" i="1"/>
  <c r="BQ674" i="1"/>
  <c r="BO671" i="1"/>
  <c r="BO672" i="1"/>
  <c r="BO668" i="1"/>
  <c r="BO129" i="1" s="1"/>
  <c r="BO669" i="1"/>
  <c r="BO191" i="1" s="1"/>
  <c r="BO670" i="1"/>
  <c r="BO673" i="1"/>
  <c r="BO674" i="1"/>
  <c r="BR191" i="1"/>
  <c r="BQ129" i="1"/>
  <c r="BQ191" i="1"/>
  <c r="BP129" i="1"/>
  <c r="U48" i="16"/>
  <c r="U35" i="16"/>
  <c r="U20" i="16"/>
  <c r="U58" i="16"/>
  <c r="U46" i="16" s="1"/>
  <c r="P705" i="1"/>
  <c r="S412" i="1"/>
  <c r="BG620" i="1"/>
  <c r="P698" i="1"/>
  <c r="P689" i="1"/>
  <c r="P687" i="1" s="1"/>
  <c r="P314" i="1" s="1"/>
  <c r="P691" i="1"/>
  <c r="P682" i="1"/>
  <c r="P680" i="1" s="1"/>
  <c r="P313" i="1" s="1"/>
  <c r="P696" i="1"/>
  <c r="P694" i="1" s="1"/>
  <c r="P315" i="1" s="1"/>
  <c r="P684" i="1"/>
  <c r="AT510" i="1"/>
  <c r="Q708" i="1"/>
  <c r="Q1" i="9"/>
  <c r="Q3" i="1"/>
  <c r="Q678" i="1" s="1"/>
  <c r="R4" i="1"/>
  <c r="P703" i="1"/>
  <c r="P701" i="1" s="1"/>
  <c r="P317" i="1" s="1"/>
  <c r="O698" i="1"/>
  <c r="O696" i="1"/>
  <c r="O694" i="1" s="1"/>
  <c r="O315" i="1" s="1"/>
  <c r="O691" i="1"/>
  <c r="O682" i="1"/>
  <c r="O680" i="1" s="1"/>
  <c r="O313" i="1" s="1"/>
  <c r="O689" i="1"/>
  <c r="O687" i="1" s="1"/>
  <c r="O314" i="1" s="1"/>
  <c r="O684" i="1"/>
  <c r="O703" i="1"/>
  <c r="O701" i="1" s="1"/>
  <c r="O317" i="1" s="1"/>
  <c r="O705" i="1"/>
  <c r="U22" i="16" l="1"/>
  <c r="U13" i="16"/>
  <c r="U16" i="16" s="1"/>
  <c r="U51" i="16"/>
  <c r="T83" i="16" s="1"/>
  <c r="U38" i="16"/>
  <c r="Q698" i="1"/>
  <c r="Q691" i="1"/>
  <c r="Q682" i="1"/>
  <c r="Q680" i="1" s="1"/>
  <c r="Q313" i="1" s="1"/>
  <c r="Q696" i="1"/>
  <c r="Q694" i="1" s="1"/>
  <c r="Q315" i="1" s="1"/>
  <c r="Q689" i="1"/>
  <c r="Q687" i="1" s="1"/>
  <c r="Q314" i="1" s="1"/>
  <c r="Q684" i="1"/>
  <c r="Q705" i="1"/>
  <c r="R708" i="1"/>
  <c r="R1" i="9"/>
  <c r="R3" i="1"/>
  <c r="BG4" i="1"/>
  <c r="Q703" i="1"/>
  <c r="Q701" i="1" s="1"/>
  <c r="Q317" i="1" s="1"/>
  <c r="T412" i="1"/>
  <c r="S413" i="1"/>
  <c r="S620" i="1" s="1"/>
  <c r="BG1" i="9" l="1"/>
  <c r="BG708" i="1"/>
  <c r="BG3" i="1"/>
  <c r="BG678" i="1" s="1"/>
  <c r="S4" i="1"/>
  <c r="U412" i="1"/>
  <c r="T413" i="1"/>
  <c r="T620" i="1" s="1"/>
  <c r="R678" i="1"/>
  <c r="BG703" i="1" l="1"/>
  <c r="BG701" i="1" s="1"/>
  <c r="BG317" i="1" s="1"/>
  <c r="R543" i="1"/>
  <c r="R542" i="1"/>
  <c r="BG696" i="1"/>
  <c r="BG694" i="1" s="1"/>
  <c r="BG315" i="1" s="1"/>
  <c r="BG684" i="1"/>
  <c r="BG698" i="1"/>
  <c r="BG691" i="1"/>
  <c r="BG689" i="1"/>
  <c r="BG687" i="1" s="1"/>
  <c r="BG314" i="1" s="1"/>
  <c r="BG682" i="1"/>
  <c r="BG680" i="1" s="1"/>
  <c r="BG313" i="1" s="1"/>
  <c r="R696" i="1"/>
  <c r="R694" i="1" s="1"/>
  <c r="R315" i="1" s="1"/>
  <c r="R698" i="1"/>
  <c r="R682" i="1"/>
  <c r="R680" i="1" s="1"/>
  <c r="R313" i="1" s="1"/>
  <c r="R691" i="1"/>
  <c r="R689" i="1"/>
  <c r="R687" i="1" s="1"/>
  <c r="R314" i="1" s="1"/>
  <c r="R684" i="1"/>
  <c r="R705" i="1"/>
  <c r="R703" i="1"/>
  <c r="R701" i="1" s="1"/>
  <c r="R317" i="1" s="1"/>
  <c r="S1" i="9"/>
  <c r="S708" i="1"/>
  <c r="S3" i="1"/>
  <c r="S678" i="1" s="1"/>
  <c r="T4" i="1"/>
  <c r="O541" i="1"/>
  <c r="P296" i="1"/>
  <c r="P541" i="1"/>
  <c r="O296" i="1"/>
  <c r="Q296" i="1"/>
  <c r="R296" i="1"/>
  <c r="Q541" i="1"/>
  <c r="O540" i="1"/>
  <c r="P540" i="1"/>
  <c r="Q540" i="1"/>
  <c r="R541" i="1"/>
  <c r="R540" i="1"/>
  <c r="O542" i="1"/>
  <c r="O543" i="1"/>
  <c r="P543" i="1"/>
  <c r="P542" i="1"/>
  <c r="Q543" i="1"/>
  <c r="Q542" i="1"/>
  <c r="V412" i="1"/>
  <c r="U413" i="1"/>
  <c r="U620" i="1" s="1"/>
  <c r="BG705" i="1"/>
  <c r="T1" i="9" l="1"/>
  <c r="T708" i="1"/>
  <c r="T3" i="1"/>
  <c r="T678" i="1" s="1"/>
  <c r="U4" i="1"/>
  <c r="S691" i="1"/>
  <c r="S696" i="1"/>
  <c r="S694" i="1" s="1"/>
  <c r="S315" i="1" s="1"/>
  <c r="S698" i="1"/>
  <c r="S682" i="1"/>
  <c r="S680" i="1" s="1"/>
  <c r="S313" i="1" s="1"/>
  <c r="S689" i="1"/>
  <c r="S687" i="1" s="1"/>
  <c r="S314" i="1" s="1"/>
  <c r="S684" i="1"/>
  <c r="BH412" i="1"/>
  <c r="BH413" i="1" s="1"/>
  <c r="V413" i="1"/>
  <c r="V620" i="1" s="1"/>
  <c r="S703" i="1"/>
  <c r="S701" i="1" s="1"/>
  <c r="S317" i="1" s="1"/>
  <c r="S705" i="1"/>
  <c r="T691" i="1" l="1"/>
  <c r="T698" i="1"/>
  <c r="T682" i="1"/>
  <c r="T680" i="1" s="1"/>
  <c r="T313" i="1" s="1"/>
  <c r="T696" i="1"/>
  <c r="T694" i="1" s="1"/>
  <c r="T315" i="1" s="1"/>
  <c r="T689" i="1"/>
  <c r="T687" i="1" s="1"/>
  <c r="T314" i="1" s="1"/>
  <c r="T684" i="1"/>
  <c r="W412" i="1"/>
  <c r="BH620" i="1"/>
  <c r="U1" i="9"/>
  <c r="U708" i="1"/>
  <c r="U3" i="1"/>
  <c r="V4" i="1"/>
  <c r="T703" i="1"/>
  <c r="T701" i="1" s="1"/>
  <c r="T317" i="1" s="1"/>
  <c r="T705" i="1"/>
  <c r="V1" i="9" l="1"/>
  <c r="V708" i="1"/>
  <c r="BH4" i="1"/>
  <c r="V3" i="1"/>
  <c r="V678" i="1" s="1"/>
  <c r="U678" i="1"/>
  <c r="X412" i="1"/>
  <c r="W413" i="1"/>
  <c r="W620" i="1" s="1"/>
  <c r="BH1" i="9" l="1"/>
  <c r="Y412" i="1"/>
  <c r="X413" i="1"/>
  <c r="X620" i="1" s="1"/>
  <c r="BH708" i="1"/>
  <c r="BH3" i="1"/>
  <c r="BH678" i="1" s="1"/>
  <c r="W4" i="1"/>
  <c r="U691" i="1"/>
  <c r="U696" i="1"/>
  <c r="U694" i="1" s="1"/>
  <c r="U315" i="1" s="1"/>
  <c r="U698" i="1"/>
  <c r="U682" i="1"/>
  <c r="U680" i="1" s="1"/>
  <c r="U313" i="1" s="1"/>
  <c r="U689" i="1"/>
  <c r="U687" i="1" s="1"/>
  <c r="U314" i="1" s="1"/>
  <c r="U684" i="1"/>
  <c r="U703" i="1"/>
  <c r="U701" i="1" s="1"/>
  <c r="U317" i="1" s="1"/>
  <c r="U705" i="1"/>
  <c r="V682" i="1"/>
  <c r="V680" i="1" s="1"/>
  <c r="V313" i="1" s="1"/>
  <c r="V691" i="1"/>
  <c r="V696" i="1"/>
  <c r="V694" i="1" s="1"/>
  <c r="V315" i="1" s="1"/>
  <c r="V689" i="1"/>
  <c r="V687" i="1" s="1"/>
  <c r="V314" i="1" s="1"/>
  <c r="V698" i="1"/>
  <c r="V684" i="1"/>
  <c r="V703" i="1"/>
  <c r="V701" i="1" s="1"/>
  <c r="V317" i="1" s="1"/>
  <c r="V705" i="1"/>
  <c r="V542" i="1" l="1"/>
  <c r="V543" i="1"/>
  <c r="BH696" i="1"/>
  <c r="BH694" i="1" s="1"/>
  <c r="BH315" i="1" s="1"/>
  <c r="BH698" i="1"/>
  <c r="BH689" i="1"/>
  <c r="BH687" i="1" s="1"/>
  <c r="BH314" i="1" s="1"/>
  <c r="BH684" i="1"/>
  <c r="BH691" i="1"/>
  <c r="BH682" i="1"/>
  <c r="BH680" i="1" s="1"/>
  <c r="BH313" i="1" s="1"/>
  <c r="BH703" i="1"/>
  <c r="BH701" i="1" s="1"/>
  <c r="BH317" i="1" s="1"/>
  <c r="W1" i="9"/>
  <c r="W708" i="1"/>
  <c r="X4" i="1"/>
  <c r="W3" i="1"/>
  <c r="T541" i="1"/>
  <c r="T540" i="1"/>
  <c r="U540" i="1"/>
  <c r="S541" i="1"/>
  <c r="S540" i="1"/>
  <c r="U541" i="1"/>
  <c r="V541" i="1"/>
  <c r="V540" i="1"/>
  <c r="S543" i="1"/>
  <c r="S542" i="1"/>
  <c r="T543" i="1"/>
  <c r="T542" i="1"/>
  <c r="U543" i="1"/>
  <c r="U542" i="1"/>
  <c r="BH705" i="1"/>
  <c r="Z412" i="1"/>
  <c r="Y413" i="1"/>
  <c r="Y620" i="1" s="1"/>
  <c r="BI412" i="1" l="1"/>
  <c r="BI413" i="1" s="1"/>
  <c r="Z413" i="1"/>
  <c r="Z620" i="1" s="1"/>
  <c r="W678" i="1"/>
  <c r="X1" i="9"/>
  <c r="X708" i="1"/>
  <c r="Y4" i="1"/>
  <c r="X3" i="1"/>
  <c r="X678" i="1" s="1"/>
  <c r="X696" i="1" l="1"/>
  <c r="X694" i="1" s="1"/>
  <c r="X315" i="1" s="1"/>
  <c r="X698" i="1"/>
  <c r="X682" i="1"/>
  <c r="X680" i="1" s="1"/>
  <c r="X313" i="1" s="1"/>
  <c r="X691" i="1"/>
  <c r="X689" i="1"/>
  <c r="X687" i="1" s="1"/>
  <c r="X314" i="1" s="1"/>
  <c r="X684" i="1"/>
  <c r="X703" i="1"/>
  <c r="X701" i="1" s="1"/>
  <c r="X317" i="1" s="1"/>
  <c r="W696" i="1"/>
  <c r="W694" i="1" s="1"/>
  <c r="W315" i="1" s="1"/>
  <c r="W689" i="1"/>
  <c r="W687" i="1" s="1"/>
  <c r="W314" i="1" s="1"/>
  <c r="W698" i="1"/>
  <c r="W682" i="1"/>
  <c r="W680" i="1" s="1"/>
  <c r="W313" i="1" s="1"/>
  <c r="W691" i="1"/>
  <c r="W684" i="1"/>
  <c r="W705" i="1"/>
  <c r="W703" i="1"/>
  <c r="W701" i="1" s="1"/>
  <c r="W317" i="1" s="1"/>
  <c r="Y1" i="9"/>
  <c r="Y708" i="1"/>
  <c r="Z4" i="1"/>
  <c r="Y3" i="1"/>
  <c r="Y678" i="1" s="1"/>
  <c r="X705" i="1"/>
  <c r="AA412" i="1"/>
  <c r="BI620" i="1"/>
  <c r="Y691" i="1" l="1"/>
  <c r="Y696" i="1"/>
  <c r="Y694" i="1" s="1"/>
  <c r="Y315" i="1" s="1"/>
  <c r="Y698" i="1"/>
  <c r="Y682" i="1"/>
  <c r="Y680" i="1" s="1"/>
  <c r="Y313" i="1" s="1"/>
  <c r="Y689" i="1"/>
  <c r="Y687" i="1" s="1"/>
  <c r="Y314" i="1" s="1"/>
  <c r="Y684" i="1"/>
  <c r="Y703" i="1"/>
  <c r="Y701" i="1" s="1"/>
  <c r="Y317" i="1" s="1"/>
  <c r="Y705" i="1"/>
  <c r="AB412" i="1"/>
  <c r="AA413" i="1"/>
  <c r="AA620" i="1" s="1"/>
  <c r="Z1" i="9"/>
  <c r="Z708" i="1"/>
  <c r="Z3" i="1"/>
  <c r="Z678" i="1" s="1"/>
  <c r="BI4" i="1"/>
  <c r="BI1" i="9" l="1"/>
  <c r="Z696" i="1"/>
  <c r="Z694" i="1" s="1"/>
  <c r="Z315" i="1" s="1"/>
  <c r="Z698" i="1"/>
  <c r="Z691" i="1"/>
  <c r="Z689" i="1"/>
  <c r="Z687" i="1" s="1"/>
  <c r="Z314" i="1" s="1"/>
  <c r="Z684" i="1"/>
  <c r="Z682" i="1"/>
  <c r="Z680" i="1" s="1"/>
  <c r="Z313" i="1" s="1"/>
  <c r="AC412" i="1"/>
  <c r="AB413" i="1"/>
  <c r="AB620" i="1" s="1"/>
  <c r="BI708" i="1"/>
  <c r="AA4" i="1"/>
  <c r="BI3" i="1"/>
  <c r="Z542" i="1" s="1"/>
  <c r="Z703" i="1"/>
  <c r="Z701" i="1" s="1"/>
  <c r="Z317" i="1" s="1"/>
  <c r="Z705" i="1"/>
  <c r="Z543" i="1" l="1"/>
  <c r="AA1" i="9"/>
  <c r="AA708" i="1"/>
  <c r="AB4" i="1"/>
  <c r="AA3" i="1"/>
  <c r="AD412" i="1"/>
  <c r="AC413" i="1"/>
  <c r="AC620" i="1" s="1"/>
  <c r="X541" i="1"/>
  <c r="Y541" i="1"/>
  <c r="W541" i="1"/>
  <c r="Y540" i="1"/>
  <c r="X540" i="1"/>
  <c r="W540" i="1"/>
  <c r="Z541" i="1"/>
  <c r="Z540" i="1"/>
  <c r="W543" i="1"/>
  <c r="W542" i="1"/>
  <c r="X542" i="1"/>
  <c r="X543" i="1"/>
  <c r="Y542" i="1"/>
  <c r="Y543" i="1"/>
  <c r="BI678" i="1"/>
  <c r="BI696" i="1" l="1"/>
  <c r="BI694" i="1" s="1"/>
  <c r="BI315" i="1" s="1"/>
  <c r="BI698" i="1"/>
  <c r="BI691" i="1"/>
  <c r="BI689" i="1"/>
  <c r="BI687" i="1" s="1"/>
  <c r="BI314" i="1" s="1"/>
  <c r="BI684" i="1"/>
  <c r="BI682" i="1"/>
  <c r="BI680" i="1" s="1"/>
  <c r="BI313" i="1" s="1"/>
  <c r="BI703" i="1"/>
  <c r="BI701" i="1" s="1"/>
  <c r="BI317" i="1" s="1"/>
  <c r="BI705" i="1"/>
  <c r="BJ412" i="1"/>
  <c r="BJ413" i="1" s="1"/>
  <c r="AD413" i="1"/>
  <c r="AD620" i="1" s="1"/>
  <c r="AB1" i="9"/>
  <c r="AB708" i="1"/>
  <c r="AB3" i="1"/>
  <c r="AB678" i="1" s="1"/>
  <c r="AC4" i="1"/>
  <c r="AA678" i="1"/>
  <c r="AB696" i="1" l="1"/>
  <c r="AB694" i="1" s="1"/>
  <c r="AB315" i="1" s="1"/>
  <c r="AB698" i="1"/>
  <c r="AB691" i="1"/>
  <c r="AB689" i="1"/>
  <c r="AB687" i="1" s="1"/>
  <c r="AB314" i="1" s="1"/>
  <c r="AB684" i="1"/>
  <c r="AB682" i="1"/>
  <c r="AB680" i="1" s="1"/>
  <c r="AB313" i="1" s="1"/>
  <c r="AE412" i="1"/>
  <c r="BJ620" i="1"/>
  <c r="AC708" i="1"/>
  <c r="AC1" i="9"/>
  <c r="AD4" i="1"/>
  <c r="AC3" i="1"/>
  <c r="AC678" i="1" s="1"/>
  <c r="AB703" i="1"/>
  <c r="AB701" i="1" s="1"/>
  <c r="AB317" i="1" s="1"/>
  <c r="AB705" i="1"/>
  <c r="AA696" i="1"/>
  <c r="AA694" i="1" s="1"/>
  <c r="AA315" i="1" s="1"/>
  <c r="AA698" i="1"/>
  <c r="AA691" i="1"/>
  <c r="AA689" i="1"/>
  <c r="AA687" i="1" s="1"/>
  <c r="AA314" i="1" s="1"/>
  <c r="AA684" i="1"/>
  <c r="AA682" i="1"/>
  <c r="AA680" i="1" s="1"/>
  <c r="AA313" i="1" s="1"/>
  <c r="AA703" i="1"/>
  <c r="AA701" i="1" s="1"/>
  <c r="AA317" i="1" s="1"/>
  <c r="AA705" i="1"/>
  <c r="AC698" i="1" l="1"/>
  <c r="AC691" i="1"/>
  <c r="AC689" i="1"/>
  <c r="AC687" i="1" s="1"/>
  <c r="AC314" i="1" s="1"/>
  <c r="AC696" i="1"/>
  <c r="AC694" i="1" s="1"/>
  <c r="AC315" i="1" s="1"/>
  <c r="AC684" i="1"/>
  <c r="AC682" i="1"/>
  <c r="AC680" i="1" s="1"/>
  <c r="AC313" i="1" s="1"/>
  <c r="AC703" i="1"/>
  <c r="AC701" i="1" s="1"/>
  <c r="AC317" i="1" s="1"/>
  <c r="AC705" i="1"/>
  <c r="AD708" i="1"/>
  <c r="AD1" i="9"/>
  <c r="AD3" i="1"/>
  <c r="BJ4" i="1"/>
  <c r="AF412" i="1"/>
  <c r="AE413" i="1"/>
  <c r="AE620" i="1" s="1"/>
  <c r="BJ1" i="9" l="1"/>
  <c r="AD678" i="1"/>
  <c r="BJ708" i="1"/>
  <c r="BJ3" i="1"/>
  <c r="AE4" i="1"/>
  <c r="AG412" i="1"/>
  <c r="AF413" i="1"/>
  <c r="AF620" i="1" s="1"/>
  <c r="AE708" i="1" l="1"/>
  <c r="AE1" i="9"/>
  <c r="AF4" i="1"/>
  <c r="AE3" i="1"/>
  <c r="AE678" i="1" s="1"/>
  <c r="AH412" i="1"/>
  <c r="AG413" i="1"/>
  <c r="AG620" i="1" s="1"/>
  <c r="AA541" i="1"/>
  <c r="AC541" i="1"/>
  <c r="AD541" i="1"/>
  <c r="AB541" i="1"/>
  <c r="AD540" i="1"/>
  <c r="AC540" i="1"/>
  <c r="AA540" i="1"/>
  <c r="AB540" i="1"/>
  <c r="AA543" i="1"/>
  <c r="AA542" i="1"/>
  <c r="AB542" i="1"/>
  <c r="AB543" i="1"/>
  <c r="AC542" i="1"/>
  <c r="AC543" i="1"/>
  <c r="BJ678" i="1"/>
  <c r="AD696" i="1"/>
  <c r="AD694" i="1" s="1"/>
  <c r="AD315" i="1" s="1"/>
  <c r="AD684" i="1"/>
  <c r="AD698" i="1"/>
  <c r="AD691" i="1"/>
  <c r="AD689" i="1"/>
  <c r="AD687" i="1" s="1"/>
  <c r="AD314" i="1" s="1"/>
  <c r="AD682" i="1"/>
  <c r="AD680" i="1" s="1"/>
  <c r="AD313" i="1" s="1"/>
  <c r="AD703" i="1"/>
  <c r="AD701" i="1" s="1"/>
  <c r="AD317" i="1" s="1"/>
  <c r="AD705" i="1"/>
  <c r="AD542" i="1"/>
  <c r="AD543" i="1"/>
  <c r="AE696" i="1" l="1"/>
  <c r="AE694" i="1" s="1"/>
  <c r="AE315" i="1" s="1"/>
  <c r="AE698" i="1"/>
  <c r="AE691" i="1"/>
  <c r="AE689" i="1"/>
  <c r="AE687" i="1" s="1"/>
  <c r="AE314" i="1" s="1"/>
  <c r="AE684" i="1"/>
  <c r="AE682" i="1"/>
  <c r="AE680" i="1" s="1"/>
  <c r="AE313" i="1" s="1"/>
  <c r="BJ698" i="1"/>
  <c r="BJ691" i="1"/>
  <c r="BJ689" i="1"/>
  <c r="BJ687" i="1" s="1"/>
  <c r="BJ314" i="1" s="1"/>
  <c r="BJ684" i="1"/>
  <c r="BJ682" i="1"/>
  <c r="BJ680" i="1" s="1"/>
  <c r="BJ313" i="1" s="1"/>
  <c r="BJ696" i="1"/>
  <c r="BJ694" i="1" s="1"/>
  <c r="BJ315" i="1" s="1"/>
  <c r="BJ703" i="1"/>
  <c r="BJ701" i="1" s="1"/>
  <c r="BJ317" i="1" s="1"/>
  <c r="BJ705" i="1"/>
  <c r="BK412" i="1"/>
  <c r="BK413" i="1" s="1"/>
  <c r="AH413" i="1"/>
  <c r="AH620" i="1" s="1"/>
  <c r="AE703" i="1"/>
  <c r="AE701" i="1" s="1"/>
  <c r="AE317" i="1" s="1"/>
  <c r="AF708" i="1"/>
  <c r="AF1" i="9"/>
  <c r="AG4" i="1"/>
  <c r="AF3" i="1"/>
  <c r="AE705" i="1"/>
  <c r="AI412" i="1" l="1"/>
  <c r="BK620" i="1"/>
  <c r="AG708" i="1"/>
  <c r="AG1" i="9"/>
  <c r="AH4" i="1"/>
  <c r="AG3" i="1"/>
  <c r="AF678" i="1"/>
  <c r="AF696" i="1" l="1"/>
  <c r="AF694" i="1" s="1"/>
  <c r="AF315" i="1" s="1"/>
  <c r="AF698" i="1"/>
  <c r="AF691" i="1"/>
  <c r="AF689" i="1"/>
  <c r="AF687" i="1" s="1"/>
  <c r="AF314" i="1" s="1"/>
  <c r="AF684" i="1"/>
  <c r="AF682" i="1"/>
  <c r="AF680" i="1" s="1"/>
  <c r="AF313" i="1" s="1"/>
  <c r="AF703" i="1"/>
  <c r="AF701" i="1" s="1"/>
  <c r="AF317" i="1" s="1"/>
  <c r="AF705" i="1"/>
  <c r="AH708" i="1"/>
  <c r="AH1" i="9"/>
  <c r="AH3" i="1"/>
  <c r="AH678" i="1" s="1"/>
  <c r="BK4" i="1"/>
  <c r="AG678" i="1"/>
  <c r="AJ412" i="1"/>
  <c r="AI413" i="1"/>
  <c r="AI620" i="1" s="1"/>
  <c r="AH703" i="1" l="1"/>
  <c r="AH701" i="1" s="1"/>
  <c r="AH317" i="1" s="1"/>
  <c r="BK1" i="9"/>
  <c r="AG698" i="1"/>
  <c r="AG691" i="1"/>
  <c r="AG689" i="1"/>
  <c r="AG687" i="1" s="1"/>
  <c r="AG314" i="1" s="1"/>
  <c r="AG696" i="1"/>
  <c r="AG694" i="1" s="1"/>
  <c r="AG315" i="1" s="1"/>
  <c r="AG684" i="1"/>
  <c r="AG682" i="1"/>
  <c r="AG680" i="1" s="1"/>
  <c r="AG313" i="1" s="1"/>
  <c r="AG703" i="1"/>
  <c r="AG701" i="1" s="1"/>
  <c r="AG317" i="1" s="1"/>
  <c r="AG705" i="1"/>
  <c r="AK412" i="1"/>
  <c r="AJ413" i="1"/>
  <c r="AJ620" i="1" s="1"/>
  <c r="AH698" i="1"/>
  <c r="AH691" i="1"/>
  <c r="AH696" i="1"/>
  <c r="AH694" i="1" s="1"/>
  <c r="AH315" i="1" s="1"/>
  <c r="AH689" i="1"/>
  <c r="AH687" i="1" s="1"/>
  <c r="AH314" i="1" s="1"/>
  <c r="AH684" i="1"/>
  <c r="AH682" i="1"/>
  <c r="AH680" i="1" s="1"/>
  <c r="AH313" i="1" s="1"/>
  <c r="BK708" i="1"/>
  <c r="AI4" i="1"/>
  <c r="BK3" i="1"/>
  <c r="BK678" i="1" s="1"/>
  <c r="AH705" i="1"/>
  <c r="BK703" i="1" l="1"/>
  <c r="BK701" i="1" s="1"/>
  <c r="BK317" i="1" s="1"/>
  <c r="AH543" i="1"/>
  <c r="AH542" i="1"/>
  <c r="BK698" i="1"/>
  <c r="BK691" i="1"/>
  <c r="BK696" i="1"/>
  <c r="BK694" i="1" s="1"/>
  <c r="BK315" i="1" s="1"/>
  <c r="BK689" i="1"/>
  <c r="BK687" i="1" s="1"/>
  <c r="BK314" i="1" s="1"/>
  <c r="BK684" i="1"/>
  <c r="BK682" i="1"/>
  <c r="BK680" i="1" s="1"/>
  <c r="BK313" i="1" s="1"/>
  <c r="AG541" i="1"/>
  <c r="AE541" i="1"/>
  <c r="AH296" i="1"/>
  <c r="AH541" i="1"/>
  <c r="AF541" i="1"/>
  <c r="AG296" i="1"/>
  <c r="AG540" i="1"/>
  <c r="AF540" i="1"/>
  <c r="AH540" i="1"/>
  <c r="AE540" i="1"/>
  <c r="AE542" i="1"/>
  <c r="AE543" i="1"/>
  <c r="AF542" i="1"/>
  <c r="AF543" i="1"/>
  <c r="AG543" i="1"/>
  <c r="AG542" i="1"/>
  <c r="AL412" i="1"/>
  <c r="AK413" i="1"/>
  <c r="AK620" i="1" s="1"/>
  <c r="AI708" i="1"/>
  <c r="AI1" i="9"/>
  <c r="AJ4" i="1"/>
  <c r="AI3" i="1"/>
  <c r="BK705" i="1"/>
  <c r="AJ708" i="1" l="1"/>
  <c r="AJ1" i="9"/>
  <c r="AK4" i="1"/>
  <c r="AJ3" i="1"/>
  <c r="AJ678" i="1" s="1"/>
  <c r="BL412" i="1"/>
  <c r="BL413" i="1" s="1"/>
  <c r="AL413" i="1"/>
  <c r="AL620" i="1" s="1"/>
  <c r="AI678" i="1"/>
  <c r="AJ691" i="1" l="1"/>
  <c r="AJ689" i="1"/>
  <c r="AJ687" i="1" s="1"/>
  <c r="AJ314" i="1" s="1"/>
  <c r="AJ696" i="1"/>
  <c r="AJ694" i="1" s="1"/>
  <c r="AJ315" i="1" s="1"/>
  <c r="AJ684" i="1"/>
  <c r="AJ698" i="1"/>
  <c r="AJ682" i="1"/>
  <c r="AJ680" i="1" s="1"/>
  <c r="AJ313" i="1" s="1"/>
  <c r="AJ703" i="1"/>
  <c r="AJ701" i="1" s="1"/>
  <c r="AJ317" i="1" s="1"/>
  <c r="AJ705" i="1"/>
  <c r="AM412" i="1"/>
  <c r="BL620" i="1"/>
  <c r="AI689" i="1"/>
  <c r="AI687" i="1" s="1"/>
  <c r="AI314" i="1" s="1"/>
  <c r="AI698" i="1"/>
  <c r="AI696" i="1"/>
  <c r="AI694" i="1" s="1"/>
  <c r="AI315" i="1" s="1"/>
  <c r="AI691" i="1"/>
  <c r="AI684" i="1"/>
  <c r="AI682" i="1"/>
  <c r="AI680" i="1" s="1"/>
  <c r="AI313" i="1" s="1"/>
  <c r="AI705" i="1"/>
  <c r="AI703" i="1"/>
  <c r="AI701" i="1" s="1"/>
  <c r="AI317" i="1" s="1"/>
  <c r="AK708" i="1"/>
  <c r="AK1" i="9"/>
  <c r="AL4" i="1"/>
  <c r="AK3" i="1"/>
  <c r="AL708" i="1" l="1"/>
  <c r="AL1" i="9"/>
  <c r="BL4" i="1"/>
  <c r="AL3" i="1"/>
  <c r="AL678" i="1" s="1"/>
  <c r="AK678" i="1"/>
  <c r="AN412" i="1"/>
  <c r="AM413" i="1"/>
  <c r="AM620" i="1" s="1"/>
  <c r="BL1" i="9" l="1"/>
  <c r="AO412" i="1"/>
  <c r="AN413" i="1"/>
  <c r="AN620" i="1" s="1"/>
  <c r="AL698" i="1"/>
  <c r="AL691" i="1"/>
  <c r="AL696" i="1"/>
  <c r="AL694" i="1" s="1"/>
  <c r="AL315" i="1" s="1"/>
  <c r="AL684" i="1"/>
  <c r="AL682" i="1"/>
  <c r="AL680" i="1" s="1"/>
  <c r="AL313" i="1" s="1"/>
  <c r="AL689" i="1"/>
  <c r="AL687" i="1" s="1"/>
  <c r="AL314" i="1" s="1"/>
  <c r="AK689" i="1"/>
  <c r="AK687" i="1" s="1"/>
  <c r="AK314" i="1" s="1"/>
  <c r="AK698" i="1"/>
  <c r="AK696" i="1"/>
  <c r="AK694" i="1" s="1"/>
  <c r="AK315" i="1" s="1"/>
  <c r="AK684" i="1"/>
  <c r="AK682" i="1"/>
  <c r="AK680" i="1" s="1"/>
  <c r="AK313" i="1" s="1"/>
  <c r="AK691" i="1"/>
  <c r="AK705" i="1"/>
  <c r="AK703" i="1"/>
  <c r="AK701" i="1" s="1"/>
  <c r="AK317" i="1" s="1"/>
  <c r="BL708" i="1"/>
  <c r="AM4" i="1"/>
  <c r="BL3" i="1"/>
  <c r="BL678" i="1" s="1"/>
  <c r="AL705" i="1"/>
  <c r="AL703" i="1"/>
  <c r="AL701" i="1" s="1"/>
  <c r="AL317" i="1" s="1"/>
  <c r="BL689" i="1" l="1"/>
  <c r="BL687" i="1" s="1"/>
  <c r="BL314" i="1" s="1"/>
  <c r="BL698" i="1"/>
  <c r="BL696" i="1"/>
  <c r="BL694" i="1" s="1"/>
  <c r="BL315" i="1" s="1"/>
  <c r="BL684" i="1"/>
  <c r="BL691" i="1"/>
  <c r="BL682" i="1"/>
  <c r="BL680" i="1" s="1"/>
  <c r="BL313" i="1" s="1"/>
  <c r="AK296" i="1"/>
  <c r="AI296" i="1"/>
  <c r="AJ296" i="1"/>
  <c r="AJ541" i="1"/>
  <c r="AK541" i="1"/>
  <c r="AJ540" i="1"/>
  <c r="AL296" i="1"/>
  <c r="AL541" i="1"/>
  <c r="AI541" i="1"/>
  <c r="AL540" i="1"/>
  <c r="AI540" i="1"/>
  <c r="AK540" i="1"/>
  <c r="AI542" i="1"/>
  <c r="AI543" i="1"/>
  <c r="AJ543" i="1"/>
  <c r="AJ542" i="1"/>
  <c r="AK542" i="1"/>
  <c r="AK543" i="1"/>
  <c r="AM708" i="1"/>
  <c r="AM1" i="9"/>
  <c r="AN4" i="1"/>
  <c r="AM3" i="1"/>
  <c r="BL703" i="1"/>
  <c r="BL701" i="1" s="1"/>
  <c r="BL317" i="1" s="1"/>
  <c r="BL705" i="1"/>
  <c r="AL542" i="1"/>
  <c r="AL543" i="1"/>
  <c r="AP412" i="1"/>
  <c r="AO413" i="1"/>
  <c r="AO620" i="1" s="1"/>
  <c r="AN708" i="1" l="1"/>
  <c r="AN1" i="9"/>
  <c r="AO4" i="1"/>
  <c r="AN3" i="1"/>
  <c r="AN678" i="1" s="1"/>
  <c r="AM678" i="1"/>
  <c r="BM412" i="1"/>
  <c r="BM413" i="1" s="1"/>
  <c r="AP413" i="1"/>
  <c r="AP620" i="1" s="1"/>
  <c r="AN698" i="1" l="1"/>
  <c r="AN696" i="1"/>
  <c r="AN694" i="1" s="1"/>
  <c r="AN315" i="1" s="1"/>
  <c r="AN684" i="1"/>
  <c r="AN682" i="1"/>
  <c r="AN680" i="1" s="1"/>
  <c r="AN313" i="1" s="1"/>
  <c r="AN689" i="1"/>
  <c r="AN687" i="1" s="1"/>
  <c r="AN314" i="1" s="1"/>
  <c r="AN691" i="1"/>
  <c r="AN703" i="1"/>
  <c r="AN701" i="1" s="1"/>
  <c r="AN317" i="1" s="1"/>
  <c r="AN705" i="1"/>
  <c r="AM698" i="1"/>
  <c r="AM691" i="1"/>
  <c r="AM696" i="1"/>
  <c r="AM694" i="1" s="1"/>
  <c r="AM315" i="1" s="1"/>
  <c r="AM684" i="1"/>
  <c r="AM682" i="1"/>
  <c r="AM680" i="1" s="1"/>
  <c r="AM313" i="1" s="1"/>
  <c r="AM689" i="1"/>
  <c r="AM687" i="1" s="1"/>
  <c r="AM314" i="1" s="1"/>
  <c r="AM705" i="1"/>
  <c r="AM703" i="1"/>
  <c r="AM701" i="1" s="1"/>
  <c r="AM317" i="1" s="1"/>
  <c r="AO708" i="1"/>
  <c r="AO1" i="9"/>
  <c r="AP4" i="1"/>
  <c r="AO3" i="1"/>
  <c r="AO678" i="1" s="1"/>
  <c r="AQ412" i="1"/>
  <c r="BM620" i="1"/>
  <c r="AO689" i="1" l="1"/>
  <c r="AO687" i="1" s="1"/>
  <c r="AO314" i="1" s="1"/>
  <c r="AO698" i="1"/>
  <c r="AO696" i="1"/>
  <c r="AO694" i="1" s="1"/>
  <c r="AO315" i="1" s="1"/>
  <c r="AO684" i="1"/>
  <c r="AO682" i="1"/>
  <c r="AO680" i="1" s="1"/>
  <c r="AO313" i="1" s="1"/>
  <c r="AO691" i="1"/>
  <c r="AO703" i="1"/>
  <c r="AO701" i="1" s="1"/>
  <c r="AO317" i="1" s="1"/>
  <c r="AO705" i="1"/>
  <c r="AR412" i="1"/>
  <c r="AQ413" i="1"/>
  <c r="AQ620" i="1" s="1"/>
  <c r="AP708" i="1"/>
  <c r="AP1" i="9"/>
  <c r="BM4" i="1"/>
  <c r="AP3" i="1"/>
  <c r="BM1" i="9" l="1"/>
  <c r="AP678" i="1"/>
  <c r="AS412" i="1"/>
  <c r="AR413" i="1"/>
  <c r="AR620" i="1" s="1"/>
  <c r="BM708" i="1"/>
  <c r="BM3" i="1"/>
  <c r="AP542" i="1" s="1"/>
  <c r="AQ4" i="1"/>
  <c r="BM678" i="1" l="1"/>
  <c r="AQ708" i="1"/>
  <c r="AQ1" i="9"/>
  <c r="AQ3" i="1"/>
  <c r="AQ678" i="1" s="1"/>
  <c r="AR4" i="1"/>
  <c r="AT412" i="1"/>
  <c r="AS413" i="1"/>
  <c r="AS620" i="1" s="1"/>
  <c r="AN541" i="1"/>
  <c r="AN296" i="1"/>
  <c r="AP541" i="1"/>
  <c r="AM296" i="1"/>
  <c r="AO296" i="1"/>
  <c r="AP540" i="1"/>
  <c r="AM541" i="1"/>
  <c r="AO541" i="1"/>
  <c r="AN540" i="1"/>
  <c r="AP296" i="1"/>
  <c r="AO540" i="1"/>
  <c r="AM540" i="1"/>
  <c r="AM543" i="1"/>
  <c r="AM542" i="1"/>
  <c r="AN543" i="1"/>
  <c r="AN542" i="1"/>
  <c r="AO543" i="1"/>
  <c r="AO542" i="1"/>
  <c r="AP698" i="1"/>
  <c r="AP696" i="1"/>
  <c r="AP694" i="1" s="1"/>
  <c r="AP315" i="1" s="1"/>
  <c r="AP684" i="1"/>
  <c r="AP682" i="1"/>
  <c r="AP680" i="1" s="1"/>
  <c r="AP313" i="1" s="1"/>
  <c r="AP691" i="1"/>
  <c r="AP689" i="1"/>
  <c r="AP687" i="1" s="1"/>
  <c r="AP314" i="1" s="1"/>
  <c r="AP705" i="1"/>
  <c r="AP703" i="1"/>
  <c r="AP701" i="1" s="1"/>
  <c r="AP317" i="1" s="1"/>
  <c r="AP543" i="1"/>
  <c r="BM698" i="1" l="1"/>
  <c r="BM684" i="1"/>
  <c r="BM703" i="1"/>
  <c r="BM701" i="1" s="1"/>
  <c r="BM317" i="1" s="1"/>
  <c r="BM705" i="1"/>
  <c r="BM696" i="1"/>
  <c r="BM694" i="1" s="1"/>
  <c r="BM315" i="1" s="1"/>
  <c r="BM682" i="1"/>
  <c r="BM680" i="1" s="1"/>
  <c r="BM313" i="1" s="1"/>
  <c r="BM691" i="1"/>
  <c r="BM689" i="1"/>
  <c r="BM687" i="1" s="1"/>
  <c r="BM314" i="1" s="1"/>
  <c r="AQ698" i="1"/>
  <c r="AQ691" i="1"/>
  <c r="AQ696" i="1"/>
  <c r="AQ694" i="1" s="1"/>
  <c r="AQ315" i="1" s="1"/>
  <c r="AQ684" i="1"/>
  <c r="AQ682" i="1"/>
  <c r="AQ680" i="1" s="1"/>
  <c r="AQ313" i="1" s="1"/>
  <c r="AQ689" i="1"/>
  <c r="AQ687" i="1" s="1"/>
  <c r="AQ314" i="1" s="1"/>
  <c r="BN412" i="1"/>
  <c r="BN413" i="1" s="1"/>
  <c r="AT413" i="1"/>
  <c r="AT620" i="1" s="1"/>
  <c r="AQ705" i="1"/>
  <c r="AR708" i="1"/>
  <c r="AR1" i="9"/>
  <c r="AR3" i="1"/>
  <c r="AS4" i="1"/>
  <c r="AQ703" i="1"/>
  <c r="AQ701" i="1" s="1"/>
  <c r="AQ317" i="1" s="1"/>
  <c r="AU412" i="1" l="1"/>
  <c r="AU413" i="1" s="1"/>
  <c r="AU620" i="1" s="1"/>
  <c r="BN620" i="1"/>
  <c r="AS1" i="9"/>
  <c r="AS708" i="1"/>
  <c r="AS3" i="1"/>
  <c r="AT4" i="1"/>
  <c r="AR678" i="1"/>
  <c r="AR698" i="1" l="1"/>
  <c r="AR696" i="1"/>
  <c r="AR694" i="1" s="1"/>
  <c r="AR315" i="1" s="1"/>
  <c r="AR682" i="1"/>
  <c r="AR680" i="1" s="1"/>
  <c r="AR313" i="1" s="1"/>
  <c r="AR689" i="1"/>
  <c r="AR687" i="1" s="1"/>
  <c r="AR314" i="1" s="1"/>
  <c r="AR691" i="1"/>
  <c r="AR684" i="1"/>
  <c r="AR703" i="1"/>
  <c r="AR701" i="1" s="1"/>
  <c r="AR317" i="1" s="1"/>
  <c r="AR705" i="1"/>
  <c r="AT1" i="9"/>
  <c r="AT708" i="1"/>
  <c r="BN4" i="1"/>
  <c r="AT3" i="1"/>
  <c r="AT678" i="1" s="1"/>
  <c r="AS678" i="1"/>
  <c r="AT705" i="1" l="1"/>
  <c r="BN1" i="9"/>
  <c r="AS696" i="1"/>
  <c r="AS694" i="1" s="1"/>
  <c r="AS315" i="1" s="1"/>
  <c r="AS682" i="1"/>
  <c r="AS680" i="1" s="1"/>
  <c r="AS313" i="1" s="1"/>
  <c r="AS698" i="1"/>
  <c r="AS689" i="1"/>
  <c r="AS687" i="1" s="1"/>
  <c r="AS314" i="1" s="1"/>
  <c r="AS691" i="1"/>
  <c r="AS684" i="1"/>
  <c r="AS705" i="1"/>
  <c r="AS703" i="1"/>
  <c r="AS701" i="1" s="1"/>
  <c r="AS317" i="1" s="1"/>
  <c r="AT698" i="1"/>
  <c r="AT696" i="1"/>
  <c r="AT694" i="1" s="1"/>
  <c r="AT315" i="1" s="1"/>
  <c r="AT682" i="1"/>
  <c r="AT680" i="1" s="1"/>
  <c r="AT313" i="1" s="1"/>
  <c r="AT689" i="1"/>
  <c r="AT687" i="1" s="1"/>
  <c r="AT314" i="1" s="1"/>
  <c r="AT691" i="1"/>
  <c r="AT684" i="1"/>
  <c r="BN708" i="1"/>
  <c r="BN3" i="1"/>
  <c r="AT543" i="1" s="1"/>
  <c r="AU4" i="1"/>
  <c r="AT703" i="1"/>
  <c r="AT701" i="1" s="1"/>
  <c r="AT317" i="1" s="1"/>
  <c r="AT542" i="1" l="1"/>
  <c r="AU1" i="9"/>
  <c r="AU708" i="1"/>
  <c r="AU3" i="1"/>
  <c r="AV4" i="1"/>
  <c r="AQ296" i="1"/>
  <c r="AS296" i="1"/>
  <c r="AR296" i="1"/>
  <c r="AR541" i="1"/>
  <c r="AQ541" i="1"/>
  <c r="AS541" i="1"/>
  <c r="AQ540" i="1"/>
  <c r="AT541" i="1"/>
  <c r="AR540" i="1"/>
  <c r="AS540" i="1"/>
  <c r="AT296" i="1"/>
  <c r="AT540" i="1"/>
  <c r="AQ543" i="1"/>
  <c r="AQ542" i="1"/>
  <c r="AR543" i="1"/>
  <c r="AR542" i="1"/>
  <c r="AS543" i="1"/>
  <c r="AS542" i="1"/>
  <c r="BN678" i="1"/>
  <c r="BN689" i="1" l="1"/>
  <c r="BN687" i="1" s="1"/>
  <c r="BN314" i="1" s="1"/>
  <c r="BN698" i="1"/>
  <c r="BN696" i="1"/>
  <c r="BN694" i="1" s="1"/>
  <c r="BN315" i="1" s="1"/>
  <c r="BN684" i="1"/>
  <c r="BN691" i="1"/>
  <c r="BN682" i="1"/>
  <c r="BN680" i="1" s="1"/>
  <c r="BN313" i="1" s="1"/>
  <c r="BN703" i="1"/>
  <c r="BN701" i="1" s="1"/>
  <c r="BN317" i="1" s="1"/>
  <c r="BN705" i="1"/>
  <c r="AU678" i="1"/>
  <c r="AV1" i="9"/>
  <c r="AV708" i="1"/>
  <c r="AV3" i="1"/>
  <c r="AW4" i="1"/>
  <c r="AW1" i="9" l="1"/>
  <c r="AW708" i="1"/>
  <c r="AX4" i="1"/>
  <c r="AW3" i="1"/>
  <c r="AV678" i="1"/>
  <c r="AU698" i="1"/>
  <c r="AU696" i="1"/>
  <c r="AU694" i="1" s="1"/>
  <c r="AU315" i="1" s="1"/>
  <c r="AU682" i="1"/>
  <c r="AU680" i="1" s="1"/>
  <c r="AU313" i="1" s="1"/>
  <c r="AU689" i="1"/>
  <c r="AU687" i="1" s="1"/>
  <c r="AU314" i="1" s="1"/>
  <c r="AU691" i="1"/>
  <c r="AU684" i="1"/>
  <c r="AU705" i="1"/>
  <c r="AU703" i="1"/>
  <c r="AU701" i="1" s="1"/>
  <c r="AU317" i="1" s="1"/>
  <c r="AV705" i="1" l="1"/>
  <c r="AV703" i="1"/>
  <c r="AV701" i="1" s="1"/>
  <c r="AV317" i="1" s="1"/>
  <c r="AV698" i="1"/>
  <c r="AV691" i="1"/>
  <c r="AV689" i="1"/>
  <c r="AV687" i="1" s="1"/>
  <c r="AV696" i="1"/>
  <c r="AV694" i="1" s="1"/>
  <c r="AV682" i="1"/>
  <c r="AV680" i="1" s="1"/>
  <c r="AV684" i="1"/>
  <c r="AX1" i="9"/>
  <c r="AX708" i="1"/>
  <c r="AX3" i="1"/>
  <c r="AX678" i="1" s="1"/>
  <c r="BO4" i="1"/>
  <c r="AW678" i="1"/>
  <c r="AX705" i="1" l="1"/>
  <c r="AX703" i="1"/>
  <c r="AX701" i="1" s="1"/>
  <c r="AX317" i="1" s="1"/>
  <c r="AW705" i="1"/>
  <c r="AW703" i="1"/>
  <c r="AW701" i="1" s="1"/>
  <c r="AW317" i="1" s="1"/>
  <c r="AV243" i="1"/>
  <c r="AV240" i="1"/>
  <c r="BO1" i="9"/>
  <c r="AW698" i="1"/>
  <c r="AW691" i="1"/>
  <c r="AW696" i="1"/>
  <c r="AW694" i="1" s="1"/>
  <c r="AW682" i="1"/>
  <c r="AW680" i="1" s="1"/>
  <c r="AW689" i="1"/>
  <c r="AW687" i="1" s="1"/>
  <c r="AW684" i="1"/>
  <c r="BO708" i="1"/>
  <c r="BO3" i="1"/>
  <c r="AX291" i="1" s="1"/>
  <c r="AX696" i="1"/>
  <c r="AX694" i="1" s="1"/>
  <c r="AX698" i="1"/>
  <c r="AX682" i="1"/>
  <c r="AX680" i="1" s="1"/>
  <c r="AX689" i="1"/>
  <c r="AX687" i="1" s="1"/>
  <c r="AX691" i="1"/>
  <c r="AX684" i="1"/>
  <c r="AV251" i="1" l="1"/>
  <c r="AV254" i="1" s="1"/>
  <c r="AV245" i="1"/>
  <c r="AW240" i="1"/>
  <c r="AV235" i="1"/>
  <c r="AV267" i="1" s="1"/>
  <c r="AV74" i="9" s="1"/>
  <c r="AV246" i="1"/>
  <c r="AW243" i="1"/>
  <c r="AU541" i="1"/>
  <c r="BO541" i="1" s="1"/>
  <c r="AU296" i="1"/>
  <c r="AU540" i="1"/>
  <c r="BO540" i="1" s="1"/>
  <c r="AU543" i="1"/>
  <c r="AU542" i="1"/>
  <c r="AV291" i="1"/>
  <c r="AV293" i="1"/>
  <c r="AV529" i="1"/>
  <c r="AV535" i="1"/>
  <c r="AW291" i="1"/>
  <c r="BO678" i="1"/>
  <c r="AY1" i="9"/>
  <c r="BO703" i="1" l="1"/>
  <c r="BO701" i="1" s="1"/>
  <c r="BO317" i="1" s="1"/>
  <c r="BO705" i="1"/>
  <c r="AV498" i="1"/>
  <c r="AV624" i="1"/>
  <c r="AW235" i="1"/>
  <c r="AX243" i="1"/>
  <c r="AW251" i="1"/>
  <c r="AW254" i="1" s="1"/>
  <c r="AW245" i="1"/>
  <c r="AX240" i="1"/>
  <c r="AW246" i="1"/>
  <c r="AV5" i="9"/>
  <c r="AV6" i="9" s="1"/>
  <c r="AV304" i="1"/>
  <c r="BO698" i="1"/>
  <c r="BO691" i="1"/>
  <c r="BO689" i="1"/>
  <c r="BO687" i="1" s="1"/>
  <c r="BO684" i="1"/>
  <c r="BO682" i="1"/>
  <c r="BO680" i="1" s="1"/>
  <c r="BO696" i="1"/>
  <c r="BO694" i="1" s="1"/>
  <c r="AV202" i="1"/>
  <c r="AV566" i="1"/>
  <c r="AV543" i="1"/>
  <c r="AV201" i="1"/>
  <c r="AV542" i="1"/>
  <c r="AV562" i="1"/>
  <c r="BO291" i="1"/>
  <c r="BO292" i="1" s="1"/>
  <c r="AV295" i="1"/>
  <c r="AZ1" i="9"/>
  <c r="AV499" i="1" l="1"/>
  <c r="AX235" i="1"/>
  <c r="AX267" i="1" s="1"/>
  <c r="AX251" i="1"/>
  <c r="BO240" i="1"/>
  <c r="AX246" i="1"/>
  <c r="AX245" i="1"/>
  <c r="AW304" i="1"/>
  <c r="AW5" i="9"/>
  <c r="AW6" i="9" s="1"/>
  <c r="AW267" i="1"/>
  <c r="AV296" i="1"/>
  <c r="AV208" i="1"/>
  <c r="AV572" i="1"/>
  <c r="AV532" i="1"/>
  <c r="AV545" i="1"/>
  <c r="AV421" i="1"/>
  <c r="AV136" i="1"/>
  <c r="AV77" i="1"/>
  <c r="AV76" i="1" s="1"/>
  <c r="AV204" i="1"/>
  <c r="AV139" i="1" s="1"/>
  <c r="AV65" i="9" s="1"/>
  <c r="AV86" i="1"/>
  <c r="AV84" i="1" s="1"/>
  <c r="AV137" i="1"/>
  <c r="AV538" i="1"/>
  <c r="BA1" i="9"/>
  <c r="BO235" i="1" l="1"/>
  <c r="AW74" i="9"/>
  <c r="AW624" i="1"/>
  <c r="AW498" i="1"/>
  <c r="BO251" i="1"/>
  <c r="BO252" i="1" s="1"/>
  <c r="AX254" i="1"/>
  <c r="BO246" i="1"/>
  <c r="AX498" i="1"/>
  <c r="AX499" i="1" s="1"/>
  <c r="AX624" i="1"/>
  <c r="AX74" i="9"/>
  <c r="AY5" i="9"/>
  <c r="AY6" i="9" s="1"/>
  <c r="AV537" i="1"/>
  <c r="AW534" i="1"/>
  <c r="AV124" i="1"/>
  <c r="AV125" i="1" s="1"/>
  <c r="BB1" i="9"/>
  <c r="BP4" i="1"/>
  <c r="AW528" i="1"/>
  <c r="AV531" i="1"/>
  <c r="AV42" i="9"/>
  <c r="AV44" i="9" s="1"/>
  <c r="AV211" i="1"/>
  <c r="AY74" i="9"/>
  <c r="AV88" i="1"/>
  <c r="BP1" i="9" l="1"/>
  <c r="BO254" i="1"/>
  <c r="BO5" i="9" s="1"/>
  <c r="BO6" i="9" s="1"/>
  <c r="AX5" i="9"/>
  <c r="AX6" i="9" s="1"/>
  <c r="AX304" i="1"/>
  <c r="AW499" i="1"/>
  <c r="BO498" i="1"/>
  <c r="AZ5" i="9"/>
  <c r="AZ6" i="9" s="1"/>
  <c r="AV214" i="1"/>
  <c r="AV213" i="1"/>
  <c r="BA74" i="9"/>
  <c r="AW529" i="1"/>
  <c r="BP708" i="1"/>
  <c r="BP703" i="1"/>
  <c r="BP701" i="1" s="1"/>
  <c r="BP317" i="1" s="1"/>
  <c r="BP705" i="1"/>
  <c r="BT1" i="9"/>
  <c r="BP3" i="1"/>
  <c r="BQ4" i="1"/>
  <c r="AW535" i="1"/>
  <c r="AW543" i="1" s="1"/>
  <c r="AV177" i="1"/>
  <c r="AV178" i="1" s="1"/>
  <c r="AV87" i="1"/>
  <c r="BQ1" i="9" l="1"/>
  <c r="BO304" i="1"/>
  <c r="BO630" i="1"/>
  <c r="BO267" i="1"/>
  <c r="BO499" i="1"/>
  <c r="AV215" i="1"/>
  <c r="AV220" i="1" s="1"/>
  <c r="BP678" i="1"/>
  <c r="BP235" i="1"/>
  <c r="AV205" i="1"/>
  <c r="AV181" i="1"/>
  <c r="AW202" i="1"/>
  <c r="AW566" i="1"/>
  <c r="BP240" i="1"/>
  <c r="BP251" i="1"/>
  <c r="AV424" i="1"/>
  <c r="AW201" i="1"/>
  <c r="AW562" i="1"/>
  <c r="BQ708" i="1"/>
  <c r="BQ703" i="1"/>
  <c r="BQ701" i="1" s="1"/>
  <c r="BQ317" i="1" s="1"/>
  <c r="BQ705" i="1"/>
  <c r="BU1" i="9"/>
  <c r="BR4" i="1"/>
  <c r="BQ3" i="1"/>
  <c r="BQ678" i="1" s="1"/>
  <c r="AW542" i="1"/>
  <c r="AZ74" i="9"/>
  <c r="BA5" i="9"/>
  <c r="BA6" i="9" s="1"/>
  <c r="AV46" i="9"/>
  <c r="AV50" i="9" s="1"/>
  <c r="BR1" i="9" l="1"/>
  <c r="BP689" i="1"/>
  <c r="BP687" i="1" s="1"/>
  <c r="BO74" i="9"/>
  <c r="BO631" i="1"/>
  <c r="BO624" i="1"/>
  <c r="AU618" i="1"/>
  <c r="AV420" i="1"/>
  <c r="AV602" i="1" s="1"/>
  <c r="BP696" i="1"/>
  <c r="BP694" i="1" s="1"/>
  <c r="BP698" i="1"/>
  <c r="BP682" i="1"/>
  <c r="BP680" i="1" s="1"/>
  <c r="BP684" i="1"/>
  <c r="BP691" i="1"/>
  <c r="BQ244" i="1"/>
  <c r="BB74" i="9"/>
  <c r="BP252" i="1"/>
  <c r="AW137" i="1"/>
  <c r="AW86" i="1"/>
  <c r="AW84" i="1" s="1"/>
  <c r="AV137" i="9"/>
  <c r="AV102" i="9"/>
  <c r="AV103" i="9" s="1"/>
  <c r="AV230" i="1"/>
  <c r="AV222" i="1"/>
  <c r="AV225" i="1"/>
  <c r="BP291" i="1"/>
  <c r="BP292" i="1" s="1"/>
  <c r="BQ240" i="1"/>
  <c r="BQ235" i="1" s="1"/>
  <c r="BQ267" i="1" s="1"/>
  <c r="BQ74" i="9" s="1"/>
  <c r="BP246" i="1"/>
  <c r="BP254" i="1"/>
  <c r="BP5" i="9" s="1"/>
  <c r="BP6" i="9" s="1"/>
  <c r="AV55" i="9"/>
  <c r="AV298" i="1"/>
  <c r="AV140" i="1"/>
  <c r="AW532" i="1"/>
  <c r="AW572" i="1"/>
  <c r="AW545" i="1"/>
  <c r="AW421" i="1"/>
  <c r="AW136" i="1"/>
  <c r="AW77" i="1"/>
  <c r="AW76" i="1" s="1"/>
  <c r="AW204" i="1"/>
  <c r="AW139" i="1" s="1"/>
  <c r="AW65" i="9" s="1"/>
  <c r="AV591" i="1"/>
  <c r="BP498" i="1"/>
  <c r="BR708" i="1"/>
  <c r="BR703" i="1"/>
  <c r="BR701" i="1" s="1"/>
  <c r="BR317" i="1" s="1"/>
  <c r="BR705" i="1"/>
  <c r="BV1" i="9"/>
  <c r="BS4" i="1"/>
  <c r="BR3" i="1"/>
  <c r="BR678" i="1" s="1"/>
  <c r="AW538" i="1"/>
  <c r="BQ698" i="1"/>
  <c r="BQ696" i="1"/>
  <c r="BQ694" i="1" s="1"/>
  <c r="BQ689" i="1"/>
  <c r="BQ687" i="1" s="1"/>
  <c r="BQ684" i="1"/>
  <c r="BQ691" i="1"/>
  <c r="BQ682" i="1"/>
  <c r="BQ680" i="1" s="1"/>
  <c r="BS1" i="9" l="1"/>
  <c r="AV435" i="1"/>
  <c r="AV257" i="1" s="1"/>
  <c r="BU74" i="9"/>
  <c r="BQ624" i="1"/>
  <c r="BQ498" i="1"/>
  <c r="BQ499" i="1" s="1"/>
  <c r="BR689" i="1"/>
  <c r="BR687" i="1" s="1"/>
  <c r="BR698" i="1"/>
  <c r="BR696" i="1"/>
  <c r="BR694" i="1" s="1"/>
  <c r="BR684" i="1"/>
  <c r="BR691" i="1"/>
  <c r="BR682" i="1"/>
  <c r="BR680" i="1" s="1"/>
  <c r="AV236" i="1"/>
  <c r="AV231" i="1" s="1"/>
  <c r="AV51" i="9" s="1"/>
  <c r="AX528" i="1"/>
  <c r="AW531" i="1"/>
  <c r="AV93" i="9"/>
  <c r="AV134" i="9"/>
  <c r="AV66" i="9"/>
  <c r="BT5" i="9"/>
  <c r="BT6" i="9" s="1"/>
  <c r="BP304" i="1"/>
  <c r="AV57" i="9"/>
  <c r="AV237" i="1"/>
  <c r="AV52" i="9" s="1"/>
  <c r="AV119" i="9" s="1"/>
  <c r="BB5" i="9"/>
  <c r="BB6" i="9" s="1"/>
  <c r="AW124" i="1"/>
  <c r="AW125" i="1" s="1"/>
  <c r="BP630" i="1"/>
  <c r="AV605" i="1"/>
  <c r="AW88" i="1"/>
  <c r="BS708" i="1"/>
  <c r="BS703" i="1"/>
  <c r="BS701" i="1" s="1"/>
  <c r="BS317" i="1" s="1"/>
  <c r="BS705" i="1"/>
  <c r="BW1" i="9"/>
  <c r="BS3" i="1"/>
  <c r="BS678" i="1" s="1"/>
  <c r="BP267" i="1"/>
  <c r="BP74" i="9" s="1"/>
  <c r="BP499" i="1"/>
  <c r="AV595" i="1"/>
  <c r="AV596" i="1" s="1"/>
  <c r="BQ246" i="1"/>
  <c r="BR240" i="1"/>
  <c r="BQ251" i="1"/>
  <c r="BQ254" i="1" s="1"/>
  <c r="BQ5" i="9" s="1"/>
  <c r="BQ6" i="9" s="1"/>
  <c r="AX534" i="1"/>
  <c r="AW537" i="1"/>
  <c r="BR244" i="1"/>
  <c r="AV449" i="1" l="1"/>
  <c r="AV502" i="1" s="1"/>
  <c r="BS698" i="1"/>
  <c r="BS696" i="1"/>
  <c r="BS694" i="1" s="1"/>
  <c r="BS689" i="1"/>
  <c r="BS687" i="1" s="1"/>
  <c r="BS684" i="1"/>
  <c r="BS691" i="1"/>
  <c r="BS682" i="1"/>
  <c r="BS680" i="1" s="1"/>
  <c r="BU5" i="9"/>
  <c r="BU6" i="9" s="1"/>
  <c r="BQ304" i="1"/>
  <c r="AV136" i="9"/>
  <c r="AV97" i="9"/>
  <c r="AV98" i="9" s="1"/>
  <c r="AV121" i="9"/>
  <c r="BR246" i="1"/>
  <c r="BS240" i="1"/>
  <c r="BR251" i="1"/>
  <c r="BR254" i="1" s="1"/>
  <c r="BR5" i="9" s="1"/>
  <c r="BR6" i="9" s="1"/>
  <c r="AV69" i="9"/>
  <c r="AV71" i="9" s="1"/>
  <c r="AV274" i="1"/>
  <c r="AV275" i="1" s="1"/>
  <c r="AV276" i="1" s="1"/>
  <c r="AV277" i="1" s="1"/>
  <c r="AV260" i="1"/>
  <c r="BT74" i="9"/>
  <c r="BP631" i="1"/>
  <c r="BP624" i="1"/>
  <c r="AX535" i="1"/>
  <c r="AX543" i="1" s="1"/>
  <c r="BO543" i="1" s="1"/>
  <c r="AV99" i="9"/>
  <c r="AV100" i="9" s="1"/>
  <c r="AV607" i="1"/>
  <c r="AV232" i="1"/>
  <c r="AV58" i="9" s="1"/>
  <c r="AV87" i="9" s="1"/>
  <c r="AV120" i="9"/>
  <c r="AX529" i="1"/>
  <c r="AX542" i="1" s="1"/>
  <c r="BO542" i="1" s="1"/>
  <c r="BS244" i="1"/>
  <c r="BR235" i="1"/>
  <c r="BR267" i="1" s="1"/>
  <c r="BR74" i="9" s="1"/>
  <c r="AW87" i="1"/>
  <c r="AW177" i="1"/>
  <c r="AW178" i="1" s="1"/>
  <c r="AV259" i="1" l="1"/>
  <c r="AV258" i="1" s="1"/>
  <c r="AV101" i="9"/>
  <c r="BV5" i="9"/>
  <c r="BV6" i="9" s="1"/>
  <c r="BR304" i="1"/>
  <c r="BS246" i="1"/>
  <c r="BS251" i="1"/>
  <c r="BS254" i="1" s="1"/>
  <c r="BS5" i="9" s="1"/>
  <c r="BS6" i="9" s="1"/>
  <c r="AV551" i="1"/>
  <c r="AU617" i="1"/>
  <c r="AV505" i="1"/>
  <c r="AW205" i="1"/>
  <c r="AW181" i="1"/>
  <c r="AV83" i="9"/>
  <c r="AV94" i="9"/>
  <c r="AV73" i="9"/>
  <c r="AV122" i="9"/>
  <c r="BS235" i="1"/>
  <c r="BS267" i="1" s="1"/>
  <c r="BS74" i="9" s="1"/>
  <c r="AX201" i="1"/>
  <c r="BO529" i="1"/>
  <c r="AX562" i="1"/>
  <c r="AX202" i="1"/>
  <c r="BO535" i="1"/>
  <c r="AX566" i="1"/>
  <c r="BV74" i="9"/>
  <c r="BR624" i="1"/>
  <c r="BR498" i="1"/>
  <c r="BR499" i="1" s="1"/>
  <c r="AV278" i="1" l="1"/>
  <c r="AV279" i="1" s="1"/>
  <c r="AV280" i="1" s="1"/>
  <c r="AV281" i="1" s="1"/>
  <c r="AV261" i="1"/>
  <c r="AV84" i="9"/>
  <c r="AV86" i="9" s="1"/>
  <c r="AV75" i="9"/>
  <c r="AV81" i="9" s="1"/>
  <c r="AV138" i="9" s="1"/>
  <c r="AV123" i="9"/>
  <c r="AX545" i="1"/>
  <c r="AX421" i="1"/>
  <c r="AX136" i="1"/>
  <c r="AX77" i="1"/>
  <c r="AX76" i="1" s="1"/>
  <c r="BO76" i="1" s="1"/>
  <c r="BO77" i="1" s="1"/>
  <c r="AX204" i="1"/>
  <c r="AX139" i="1" s="1"/>
  <c r="AX65" i="9" s="1"/>
  <c r="BO201" i="1"/>
  <c r="AX538" i="1"/>
  <c r="AX537" i="1" s="1"/>
  <c r="BO566" i="1"/>
  <c r="BO562" i="1"/>
  <c r="AX532" i="1"/>
  <c r="AX531" i="1" s="1"/>
  <c r="AX572" i="1"/>
  <c r="AW55" i="9"/>
  <c r="AW140" i="1"/>
  <c r="AW504" i="1"/>
  <c r="AV510" i="1"/>
  <c r="AV558" i="1"/>
  <c r="AV573" i="1" s="1"/>
  <c r="AV284" i="1"/>
  <c r="BW5" i="9"/>
  <c r="BW6" i="9" s="1"/>
  <c r="BS304" i="1"/>
  <c r="AX137" i="1"/>
  <c r="AX86" i="1"/>
  <c r="AX84" i="1" s="1"/>
  <c r="BO202" i="1"/>
  <c r="BO137" i="1" s="1"/>
  <c r="BW74" i="9"/>
  <c r="BS624" i="1"/>
  <c r="BS498" i="1"/>
  <c r="BS499" i="1" s="1"/>
  <c r="AX124" i="1" l="1"/>
  <c r="AX125" i="1" s="1"/>
  <c r="BO84" i="1"/>
  <c r="AV7" i="9"/>
  <c r="AV11" i="9" s="1"/>
  <c r="AV614" i="1"/>
  <c r="AW293" i="1"/>
  <c r="AV289" i="1"/>
  <c r="BO545" i="1"/>
  <c r="BO136" i="1"/>
  <c r="BO204" i="1"/>
  <c r="AX88" i="1"/>
  <c r="BO421" i="1"/>
  <c r="BO88" i="1" s="1"/>
  <c r="BO538" i="1"/>
  <c r="AW93" i="9"/>
  <c r="AW134" i="9"/>
  <c r="AW66" i="9"/>
  <c r="BO532" i="1"/>
  <c r="BO572" i="1"/>
  <c r="AV104" i="9"/>
  <c r="AV105" i="9" s="1"/>
  <c r="AV609" i="1"/>
  <c r="AU619" i="1"/>
  <c r="BO177" i="1" l="1"/>
  <c r="BO178" i="1" s="1"/>
  <c r="BO181" i="1" s="1"/>
  <c r="AV106" i="9"/>
  <c r="AV115" i="9"/>
  <c r="AV116" i="9" s="1"/>
  <c r="BP534" i="1"/>
  <c r="BO537" i="1"/>
  <c r="BO139" i="1"/>
  <c r="AV92" i="9"/>
  <c r="AV107" i="9"/>
  <c r="AV108" i="9" s="1"/>
  <c r="AV109" i="9" s="1"/>
  <c r="AV110" i="9" s="1"/>
  <c r="AV90" i="9"/>
  <c r="AV91" i="9"/>
  <c r="AV305" i="1"/>
  <c r="BO86" i="1"/>
  <c r="BO87" i="1" s="1"/>
  <c r="BO124" i="1"/>
  <c r="BO125" i="1" s="1"/>
  <c r="BO531" i="1"/>
  <c r="BP528" i="1"/>
  <c r="AX87" i="1"/>
  <c r="AX177" i="1"/>
  <c r="AX178" i="1" s="1"/>
  <c r="AW295" i="1"/>
  <c r="BO65" i="9" l="1"/>
  <c r="AW296" i="1"/>
  <c r="AW208" i="1"/>
  <c r="AW298" i="1"/>
  <c r="AX205" i="1"/>
  <c r="AX181" i="1"/>
  <c r="AX55" i="9" l="1"/>
  <c r="AX140" i="1"/>
  <c r="BO205" i="1"/>
  <c r="BO55" i="9" s="1"/>
  <c r="AW42" i="9"/>
  <c r="AW44" i="9" s="1"/>
  <c r="AW211" i="1"/>
  <c r="BO93" i="9" l="1"/>
  <c r="BO134" i="9"/>
  <c r="BO66" i="9"/>
  <c r="AW214" i="1"/>
  <c r="AW213" i="1"/>
  <c r="BO140" i="1"/>
  <c r="AX93" i="9"/>
  <c r="AX134" i="9"/>
  <c r="AX66" i="9"/>
  <c r="AY65" i="9"/>
  <c r="AW215" i="1" l="1"/>
  <c r="AW420" i="1" s="1"/>
  <c r="AW46" i="9"/>
  <c r="AW50" i="9" s="1"/>
  <c r="AW424" i="1"/>
  <c r="AW220" i="1" l="1"/>
  <c r="AW225" i="1" s="1"/>
  <c r="AW435" i="1"/>
  <c r="AW602" i="1"/>
  <c r="AW591" i="1"/>
  <c r="AW102" i="9"/>
  <c r="AW103" i="9" s="1"/>
  <c r="AW137" i="9" l="1"/>
  <c r="AW222" i="1"/>
  <c r="AW236" i="1" s="1"/>
  <c r="AW231" i="1" s="1"/>
  <c r="AW51" i="9" s="1"/>
  <c r="AW230" i="1"/>
  <c r="AW57" i="9"/>
  <c r="AW237" i="1"/>
  <c r="AW52" i="9" s="1"/>
  <c r="AW595" i="1"/>
  <c r="AW596" i="1" s="1"/>
  <c r="AW605" i="1"/>
  <c r="AW257" i="1"/>
  <c r="AW449" i="1"/>
  <c r="AW232" i="1" l="1"/>
  <c r="AW58" i="9" s="1"/>
  <c r="AW87" i="9" s="1"/>
  <c r="AW259" i="1"/>
  <c r="AW502" i="1"/>
  <c r="AW99" i="9"/>
  <c r="AW100" i="9" s="1"/>
  <c r="AW607" i="1"/>
  <c r="AW119" i="9"/>
  <c r="AW120" i="9"/>
  <c r="AY55" i="9"/>
  <c r="AW69" i="9"/>
  <c r="AW71" i="9" s="1"/>
  <c r="AW260" i="1"/>
  <c r="AW274" i="1"/>
  <c r="AW275" i="1" s="1"/>
  <c r="AW276" i="1" s="1"/>
  <c r="AW277" i="1" s="1"/>
  <c r="AZ65" i="9"/>
  <c r="AW136" i="9"/>
  <c r="AW97" i="9"/>
  <c r="AW98" i="9" s="1"/>
  <c r="AW121" i="9"/>
  <c r="AY93" i="9" l="1"/>
  <c r="AY134" i="9"/>
  <c r="AY66" i="9"/>
  <c r="AW94" i="9"/>
  <c r="AW83" i="9"/>
  <c r="AW73" i="9"/>
  <c r="AW122" i="9"/>
  <c r="AW101" i="9"/>
  <c r="AW551" i="1"/>
  <c r="AW505" i="1"/>
  <c r="AW258" i="1"/>
  <c r="AW278" i="1"/>
  <c r="AW279" i="1" s="1"/>
  <c r="AW280" i="1" s="1"/>
  <c r="AW281" i="1" s="1"/>
  <c r="AW261" i="1"/>
  <c r="AW558" i="1" l="1"/>
  <c r="AW573" i="1" s="1"/>
  <c r="AW284" i="1"/>
  <c r="AW84" i="9"/>
  <c r="AW86" i="9" s="1"/>
  <c r="AW75" i="9"/>
  <c r="AW81" i="9" s="1"/>
  <c r="AW138" i="9" s="1"/>
  <c r="AW123" i="9"/>
  <c r="AX504" i="1"/>
  <c r="AW510" i="1"/>
  <c r="AW7" i="9" l="1"/>
  <c r="AW11" i="9" s="1"/>
  <c r="AW614" i="1"/>
  <c r="AX293" i="1"/>
  <c r="AW289" i="1"/>
  <c r="AW104" i="9"/>
  <c r="AW105" i="9" s="1"/>
  <c r="AW609" i="1"/>
  <c r="AW90" i="9" l="1"/>
  <c r="AW107" i="9"/>
  <c r="AW108" i="9" s="1"/>
  <c r="AW109" i="9" s="1"/>
  <c r="AW110" i="9" s="1"/>
  <c r="AW91" i="9"/>
  <c r="AW92" i="9"/>
  <c r="AW305" i="1"/>
  <c r="AZ55" i="9"/>
  <c r="AW106" i="9"/>
  <c r="AW115" i="9"/>
  <c r="AW116" i="9" s="1"/>
  <c r="AX295" i="1"/>
  <c r="BO293" i="1"/>
  <c r="BA65" i="9"/>
  <c r="AX296" i="1" l="1"/>
  <c r="AX208" i="1"/>
  <c r="BO295" i="1"/>
  <c r="AX298" i="1"/>
  <c r="AZ93" i="9"/>
  <c r="AZ134" i="9"/>
  <c r="AZ66" i="9"/>
  <c r="BO296" i="1" l="1"/>
  <c r="BO298" i="1"/>
  <c r="BP542" i="1"/>
  <c r="AX42" i="9"/>
  <c r="AX44" i="9" s="1"/>
  <c r="AX211" i="1"/>
  <c r="BO208" i="1"/>
  <c r="BO42" i="9" s="1"/>
  <c r="BO44" i="9" s="1"/>
  <c r="AX214" i="1" l="1"/>
  <c r="AX213" i="1"/>
  <c r="BO211" i="1"/>
  <c r="BP529" i="1"/>
  <c r="BP535" i="1"/>
  <c r="BP543" i="1"/>
  <c r="BP202" i="1" l="1"/>
  <c r="BP137" i="1" s="1"/>
  <c r="BP562" i="1"/>
  <c r="BA55" i="9"/>
  <c r="AX46" i="9"/>
  <c r="AX50" i="9" s="1"/>
  <c r="BO213" i="1"/>
  <c r="AX424" i="1"/>
  <c r="BO214" i="1"/>
  <c r="BO228" i="1" s="1"/>
  <c r="BP566" i="1"/>
  <c r="BP76" i="1"/>
  <c r="BP77" i="1" s="1"/>
  <c r="BB65" i="9"/>
  <c r="BP201" i="1"/>
  <c r="AX215" i="1"/>
  <c r="BO46" i="9" l="1"/>
  <c r="BO50" i="9" s="1"/>
  <c r="BO215" i="1"/>
  <c r="BO625" i="1" s="1"/>
  <c r="AX102" i="9"/>
  <c r="AX103" i="9" s="1"/>
  <c r="BO424" i="1"/>
  <c r="AX591" i="1"/>
  <c r="BA134" i="9"/>
  <c r="BA93" i="9"/>
  <c r="BA66" i="9"/>
  <c r="BP545" i="1"/>
  <c r="BP136" i="1"/>
  <c r="BP204" i="1"/>
  <c r="AX420" i="1"/>
  <c r="AX220" i="1"/>
  <c r="BP421" i="1"/>
  <c r="BP88" i="1" s="1"/>
  <c r="BP538" i="1"/>
  <c r="BO227" i="1"/>
  <c r="N11" i="10" s="1"/>
  <c r="BP532" i="1"/>
  <c r="BP572" i="1"/>
  <c r="BP84" i="1"/>
  <c r="BO102" i="9" l="1"/>
  <c r="BO103" i="9" s="1"/>
  <c r="BO220" i="1"/>
  <c r="BP86" i="1"/>
  <c r="BP87" i="1" s="1"/>
  <c r="BP124" i="1"/>
  <c r="BP125" i="1" s="1"/>
  <c r="BP531" i="1"/>
  <c r="BQ528" i="1"/>
  <c r="BP537" i="1"/>
  <c r="BQ534" i="1"/>
  <c r="AX225" i="1"/>
  <c r="AX222" i="1"/>
  <c r="AX230" i="1"/>
  <c r="Q11" i="10"/>
  <c r="P11" i="10"/>
  <c r="BP177" i="1"/>
  <c r="BP178" i="1" s="1"/>
  <c r="BP181" i="1" s="1"/>
  <c r="AX435" i="1"/>
  <c r="BO420" i="1"/>
  <c r="BO435" i="1" s="1"/>
  <c r="AX602" i="1"/>
  <c r="BP139" i="1"/>
  <c r="BO591" i="1"/>
  <c r="AX595" i="1"/>
  <c r="AX596" i="1" s="1"/>
  <c r="AX137" i="9"/>
  <c r="BT65" i="9" l="1"/>
  <c r="BP65" i="9"/>
  <c r="BO137" i="9"/>
  <c r="BO225" i="1"/>
  <c r="BO230" i="1"/>
  <c r="BO222" i="1"/>
  <c r="BO236" i="1" s="1"/>
  <c r="BO231" i="1" s="1"/>
  <c r="AX236" i="1"/>
  <c r="AX231" i="1" s="1"/>
  <c r="AX51" i="9" s="1"/>
  <c r="AX257" i="1"/>
  <c r="AX449" i="1"/>
  <c r="BO627" i="1"/>
  <c r="BQ529" i="1"/>
  <c r="BO257" i="1"/>
  <c r="BO69" i="9" s="1"/>
  <c r="BO71" i="9" s="1"/>
  <c r="BO449" i="1"/>
  <c r="BQ535" i="1"/>
  <c r="BO595" i="1"/>
  <c r="BO596" i="1" s="1"/>
  <c r="BO602" i="1"/>
  <c r="AX605" i="1"/>
  <c r="AX57" i="9"/>
  <c r="AX237" i="1"/>
  <c r="AX52" i="9" s="1"/>
  <c r="BO73" i="9" l="1"/>
  <c r="BO94" i="9"/>
  <c r="BO51" i="9"/>
  <c r="BO237" i="1"/>
  <c r="BO232" i="1" s="1"/>
  <c r="BO58" i="9" s="1"/>
  <c r="BO57" i="9"/>
  <c r="BO626" i="1"/>
  <c r="AX232" i="1"/>
  <c r="AX58" i="9" s="1"/>
  <c r="AX87" i="9" s="1"/>
  <c r="AX136" i="9"/>
  <c r="AX97" i="9"/>
  <c r="AX98" i="9" s="1"/>
  <c r="AX121" i="9"/>
  <c r="BS119" i="9"/>
  <c r="AX119" i="9"/>
  <c r="AX120" i="9"/>
  <c r="BO605" i="1"/>
  <c r="BO99" i="9" s="1"/>
  <c r="BO100" i="9" s="1"/>
  <c r="BB55" i="9"/>
  <c r="BP205" i="1"/>
  <c r="BP55" i="9" s="1"/>
  <c r="BQ201" i="1"/>
  <c r="BQ562" i="1"/>
  <c r="AX99" i="9"/>
  <c r="AX100" i="9" s="1"/>
  <c r="AX607" i="1"/>
  <c r="BQ202" i="1"/>
  <c r="BQ566" i="1"/>
  <c r="BO259" i="1"/>
  <c r="BO502" i="1"/>
  <c r="BO505" i="1" s="1"/>
  <c r="BO274" i="1"/>
  <c r="BO275" i="1" s="1"/>
  <c r="BO276" i="1" s="1"/>
  <c r="BO277" i="1" s="1"/>
  <c r="BO260" i="1"/>
  <c r="BQ542" i="1"/>
  <c r="BQ543" i="1"/>
  <c r="AX259" i="1"/>
  <c r="AX502" i="1"/>
  <c r="BO628" i="1"/>
  <c r="AX69" i="9"/>
  <c r="AX71" i="9" s="1"/>
  <c r="AX274" i="1"/>
  <c r="AX275" i="1" s="1"/>
  <c r="AX276" i="1" s="1"/>
  <c r="AX277" i="1" s="1"/>
  <c r="AX260" i="1"/>
  <c r="BO97" i="9" l="1"/>
  <c r="BO98" i="9" s="1"/>
  <c r="BO101" i="9" s="1"/>
  <c r="BO136" i="9"/>
  <c r="BO87" i="9"/>
  <c r="BO126" i="9"/>
  <c r="BP93" i="9"/>
  <c r="BP134" i="9"/>
  <c r="BP66" i="9"/>
  <c r="BP120" i="9"/>
  <c r="BO52" i="9"/>
  <c r="BO84" i="9" s="1"/>
  <c r="BO86" i="9" s="1"/>
  <c r="BO75" i="9"/>
  <c r="BO81" i="9" s="1"/>
  <c r="BO138" i="9" s="1"/>
  <c r="BO129" i="9"/>
  <c r="AX101" i="9"/>
  <c r="BP504" i="1"/>
  <c r="BQ137" i="1"/>
  <c r="BQ86" i="1"/>
  <c r="BQ84" i="1" s="1"/>
  <c r="BQ124" i="1" s="1"/>
  <c r="BQ125" i="1" s="1"/>
  <c r="BT55" i="9"/>
  <c r="BP140" i="1"/>
  <c r="AX83" i="9"/>
  <c r="AX94" i="9"/>
  <c r="AX73" i="9"/>
  <c r="AX122" i="9"/>
  <c r="BO278" i="1"/>
  <c r="BO258" i="1"/>
  <c r="BO261" i="1"/>
  <c r="BO309" i="1" s="1"/>
  <c r="BQ538" i="1"/>
  <c r="BQ532" i="1"/>
  <c r="BQ572" i="1"/>
  <c r="BQ545" i="1"/>
  <c r="BQ421" i="1"/>
  <c r="BQ88" i="1" s="1"/>
  <c r="BQ136" i="1"/>
  <c r="BQ77" i="1"/>
  <c r="BQ76" i="1" s="1"/>
  <c r="BQ204" i="1"/>
  <c r="AX551" i="1"/>
  <c r="AX505" i="1"/>
  <c r="BO307" i="1"/>
  <c r="BB93" i="9"/>
  <c r="BB134" i="9"/>
  <c r="BB66" i="9"/>
  <c r="BO607" i="1"/>
  <c r="AX278" i="1"/>
  <c r="AX279" i="1" s="1"/>
  <c r="AX280" i="1" s="1"/>
  <c r="AX281" i="1" s="1"/>
  <c r="AX258" i="1"/>
  <c r="AX261" i="1"/>
  <c r="N214" i="10"/>
  <c r="BO123" i="9" l="1"/>
  <c r="BO119" i="9"/>
  <c r="BO120" i="9"/>
  <c r="BO83" i="9"/>
  <c r="BO128" i="9" s="1"/>
  <c r="BO122" i="9"/>
  <c r="BO121" i="9"/>
  <c r="Q214" i="10"/>
  <c r="P214" i="10"/>
  <c r="BQ177" i="1"/>
  <c r="BQ178" i="1" s="1"/>
  <c r="BQ87" i="1"/>
  <c r="BO310" i="1"/>
  <c r="BO279" i="1"/>
  <c r="BO280" i="1" s="1"/>
  <c r="BO281" i="1" s="1"/>
  <c r="BQ531" i="1"/>
  <c r="BR528" i="1"/>
  <c r="BQ537" i="1"/>
  <c r="BR534" i="1"/>
  <c r="AX84" i="9"/>
  <c r="AX86" i="9" s="1"/>
  <c r="AX75" i="9"/>
  <c r="AX81" i="9" s="1"/>
  <c r="AX138" i="9" s="1"/>
  <c r="AX123" i="9"/>
  <c r="AX558" i="1"/>
  <c r="AX573" i="1" s="1"/>
  <c r="BO551" i="1"/>
  <c r="AX284" i="1"/>
  <c r="BQ139" i="1"/>
  <c r="BT93" i="9"/>
  <c r="BT134" i="9"/>
  <c r="BT66" i="9"/>
  <c r="AX510" i="1"/>
  <c r="BU65" i="9" l="1"/>
  <c r="BQ65" i="9"/>
  <c r="AX104" i="9"/>
  <c r="AX105" i="9" s="1"/>
  <c r="AX609" i="1"/>
  <c r="BR529" i="1"/>
  <c r="BR542" i="1" s="1"/>
  <c r="BQ181" i="1"/>
  <c r="BQ205" i="1"/>
  <c r="BQ55" i="9" s="1"/>
  <c r="AX7" i="9"/>
  <c r="AX11" i="9" s="1"/>
  <c r="AX614" i="1"/>
  <c r="AX289" i="1"/>
  <c r="BO294" i="1"/>
  <c r="BO558" i="1"/>
  <c r="BO573" i="1" s="1"/>
  <c r="BO104" i="9" s="1"/>
  <c r="BO105" i="9" s="1"/>
  <c r="BO284" i="1"/>
  <c r="BO7" i="9" s="1"/>
  <c r="BO11" i="9" s="1"/>
  <c r="BO510" i="1"/>
  <c r="BR535" i="1"/>
  <c r="BR543" i="1" s="1"/>
  <c r="BO115" i="9" l="1"/>
  <c r="BO116" i="9" s="1"/>
  <c r="BO106" i="9"/>
  <c r="BO127" i="9"/>
  <c r="BO130" i="9"/>
  <c r="BQ93" i="9"/>
  <c r="BQ134" i="9"/>
  <c r="BQ120" i="9"/>
  <c r="BQ66" i="9"/>
  <c r="BO614" i="1"/>
  <c r="BO289" i="1"/>
  <c r="BR202" i="1"/>
  <c r="BR566" i="1"/>
  <c r="BR201" i="1"/>
  <c r="BR562" i="1"/>
  <c r="BO609" i="1"/>
  <c r="AX107" i="9"/>
  <c r="AX108" i="9" s="1"/>
  <c r="AX109" i="9" s="1"/>
  <c r="AX110" i="9" s="1"/>
  <c r="AX90" i="9"/>
  <c r="AX91" i="9"/>
  <c r="AX92" i="9"/>
  <c r="AX305" i="1"/>
  <c r="BU55" i="9"/>
  <c r="BQ140" i="1"/>
  <c r="AX106" i="9"/>
  <c r="AX115" i="9"/>
  <c r="AX116" i="9" s="1"/>
  <c r="BO107" i="9" l="1"/>
  <c r="BO108" i="9" s="1"/>
  <c r="BO109" i="9" s="1"/>
  <c r="BO110" i="9" s="1"/>
  <c r="BO92" i="9"/>
  <c r="BO90" i="9"/>
  <c r="BO91" i="9"/>
  <c r="BR137" i="1"/>
  <c r="BR86" i="1"/>
  <c r="BR84" i="1" s="1"/>
  <c r="BR124" i="1" s="1"/>
  <c r="BR125" i="1" s="1"/>
  <c r="BU134" i="9"/>
  <c r="BU93" i="9"/>
  <c r="BU66" i="9"/>
  <c r="BR532" i="1"/>
  <c r="BR572" i="1"/>
  <c r="BR545" i="1"/>
  <c r="BR421" i="1"/>
  <c r="BR88" i="1" s="1"/>
  <c r="BR77" i="1"/>
  <c r="BR76" i="1" s="1"/>
  <c r="BR136" i="1"/>
  <c r="BR204" i="1"/>
  <c r="BR538" i="1"/>
  <c r="BO305" i="1"/>
  <c r="BO299" i="1"/>
  <c r="BO300" i="1"/>
  <c r="BO308" i="1" l="1"/>
  <c r="BO311" i="1"/>
  <c r="BR139" i="1"/>
  <c r="BR531" i="1"/>
  <c r="BS528" i="1"/>
  <c r="BR537" i="1"/>
  <c r="BS534" i="1"/>
  <c r="BR177" i="1"/>
  <c r="BR178" i="1" s="1"/>
  <c r="BR87" i="1"/>
  <c r="BV65" i="9" l="1"/>
  <c r="BR65" i="9"/>
  <c r="BR181" i="1"/>
  <c r="BR205" i="1"/>
  <c r="BR55" i="9" s="1"/>
  <c r="BS535" i="1"/>
  <c r="BS529" i="1"/>
  <c r="AY42" i="9"/>
  <c r="AY44" i="9" s="1"/>
  <c r="BR120" i="9" l="1"/>
  <c r="BR134" i="9"/>
  <c r="BR66" i="9"/>
  <c r="BR93" i="9"/>
  <c r="BS201" i="1"/>
  <c r="BS562" i="1"/>
  <c r="BS542" i="1"/>
  <c r="BS202" i="1"/>
  <c r="BS566" i="1"/>
  <c r="BS538" i="1" s="1"/>
  <c r="BS537" i="1" s="1"/>
  <c r="BS543" i="1"/>
  <c r="BV55" i="9"/>
  <c r="BR140" i="1"/>
  <c r="BV134" i="9" l="1"/>
  <c r="BV93" i="9"/>
  <c r="BV66" i="9"/>
  <c r="BS137" i="1"/>
  <c r="BS86" i="1"/>
  <c r="BS84" i="1" s="1"/>
  <c r="BS124" i="1" s="1"/>
  <c r="BS125" i="1" s="1"/>
  <c r="BS532" i="1"/>
  <c r="BS531" i="1" s="1"/>
  <c r="BS572" i="1"/>
  <c r="AY46" i="9"/>
  <c r="AY50" i="9" s="1"/>
  <c r="BS545" i="1"/>
  <c r="BS421" i="1"/>
  <c r="BS88" i="1" s="1"/>
  <c r="BS136" i="1"/>
  <c r="BS77" i="1"/>
  <c r="BS76" i="1" s="1"/>
  <c r="BS204" i="1"/>
  <c r="BS177" i="1" l="1"/>
  <c r="BS178" i="1" s="1"/>
  <c r="BS87" i="1"/>
  <c r="BS139" i="1"/>
  <c r="AY102" i="9"/>
  <c r="AY103" i="9" s="1"/>
  <c r="BW65" i="9" l="1"/>
  <c r="BS65" i="9"/>
  <c r="AY137" i="9"/>
  <c r="AY51" i="9"/>
  <c r="BS205" i="1"/>
  <c r="BS55" i="9" s="1"/>
  <c r="BS181" i="1"/>
  <c r="AY57" i="9"/>
  <c r="AY52" i="9"/>
  <c r="BS134" i="9" l="1"/>
  <c r="BS66" i="9"/>
  <c r="BS93" i="9"/>
  <c r="BS120" i="9"/>
  <c r="AY97" i="9"/>
  <c r="AY98" i="9" s="1"/>
  <c r="AY136" i="9"/>
  <c r="AY121" i="9"/>
  <c r="AY69" i="9"/>
  <c r="AY71" i="9" s="1"/>
  <c r="AY99" i="9"/>
  <c r="AY100" i="9" s="1"/>
  <c r="AY119" i="9"/>
  <c r="AY120" i="9"/>
  <c r="AY58" i="9"/>
  <c r="AY87" i="9" s="1"/>
  <c r="BW55" i="9"/>
  <c r="BS140" i="1"/>
  <c r="A205" i="1"/>
  <c r="AY101" i="9" l="1"/>
  <c r="BW134" i="9"/>
  <c r="BW93" i="9"/>
  <c r="BW66" i="9"/>
  <c r="A55" i="9"/>
  <c r="A650" i="1"/>
  <c r="A206" i="1"/>
  <c r="AY94" i="9"/>
  <c r="AY83" i="9"/>
  <c r="AY73" i="9"/>
  <c r="AY122" i="9"/>
  <c r="A670" i="1" l="1"/>
  <c r="BS206" i="1"/>
  <c r="BS141" i="1" s="1"/>
  <c r="BR206" i="1"/>
  <c r="BR141" i="1" s="1"/>
  <c r="BQ206" i="1"/>
  <c r="BQ141" i="1" s="1"/>
  <c r="BP206" i="1"/>
  <c r="BP141" i="1" s="1"/>
  <c r="BO206" i="1"/>
  <c r="BO141" i="1" s="1"/>
  <c r="AX206" i="1"/>
  <c r="AX141" i="1" s="1"/>
  <c r="AV206" i="1"/>
  <c r="AV141" i="1" s="1"/>
  <c r="AW206" i="1"/>
  <c r="AW141" i="1" s="1"/>
  <c r="AY84" i="9"/>
  <c r="AY86" i="9" s="1"/>
  <c r="AY75" i="9"/>
  <c r="AY81" i="9" s="1"/>
  <c r="AY138" i="9" s="1"/>
  <c r="AY123" i="9"/>
  <c r="AV233" i="1" l="1"/>
  <c r="AW233" i="1"/>
  <c r="AV264" i="1"/>
  <c r="AW262" i="1"/>
  <c r="AW264" i="1"/>
  <c r="AV262" i="1"/>
  <c r="AX262" i="1"/>
  <c r="AX233" i="1"/>
  <c r="AX264" i="1"/>
  <c r="BR199" i="1"/>
  <c r="BR134" i="1" s="1"/>
  <c r="BS199" i="1"/>
  <c r="BS134" i="1" s="1"/>
  <c r="BQ199" i="1"/>
  <c r="BQ134" i="1" s="1"/>
  <c r="BP199" i="1"/>
  <c r="BP134" i="1" s="1"/>
  <c r="BQ233" i="1"/>
  <c r="AX199" i="1"/>
  <c r="AX134" i="1" s="1"/>
  <c r="BO262" i="1"/>
  <c r="BS262" i="1"/>
  <c r="BP233" i="1"/>
  <c r="BQ264" i="1"/>
  <c r="BQ262" i="1"/>
  <c r="AW199" i="1"/>
  <c r="AW134" i="1" s="1"/>
  <c r="BP264" i="1"/>
  <c r="BO199" i="1"/>
  <c r="BO134" i="1" s="1"/>
  <c r="BR262" i="1"/>
  <c r="AV199" i="1"/>
  <c r="AV134" i="1" s="1"/>
  <c r="BP262" i="1"/>
  <c r="BR264" i="1"/>
  <c r="BS264" i="1"/>
  <c r="BS233" i="1"/>
  <c r="BR233" i="1"/>
  <c r="BO233" i="1"/>
  <c r="BO264" i="1"/>
  <c r="AY7" i="9"/>
  <c r="AY11" i="9" s="1"/>
  <c r="AY104" i="9"/>
  <c r="AY105" i="9" s="1"/>
  <c r="AY106" i="9" l="1"/>
  <c r="AY115" i="9"/>
  <c r="AY116" i="9" s="1"/>
  <c r="AY107" i="9"/>
  <c r="AY108" i="9" s="1"/>
  <c r="AY109" i="9" s="1"/>
  <c r="AY110" i="9" s="1"/>
  <c r="AY90" i="9"/>
  <c r="AY91" i="9"/>
  <c r="AY92" i="9"/>
  <c r="AZ42" i="9" l="1"/>
  <c r="AZ44" i="9" s="1"/>
  <c r="AZ46" i="9" l="1"/>
  <c r="AZ50" i="9" s="1"/>
  <c r="AZ137" i="9" l="1"/>
  <c r="AZ102" i="9"/>
  <c r="AZ103" i="9" s="1"/>
  <c r="AZ51" i="9" l="1"/>
  <c r="AZ57" i="9"/>
  <c r="AZ52" i="9"/>
  <c r="AZ58" i="9" l="1"/>
  <c r="AZ87" i="9" s="1"/>
  <c r="AZ99" i="9"/>
  <c r="AZ100" i="9" s="1"/>
  <c r="AZ69" i="9"/>
  <c r="AZ71" i="9" s="1"/>
  <c r="AZ119" i="9"/>
  <c r="AZ120" i="9"/>
  <c r="AZ136" i="9"/>
  <c r="AZ97" i="9"/>
  <c r="AZ98" i="9" s="1"/>
  <c r="AZ121" i="9"/>
  <c r="AZ94" i="9" l="1"/>
  <c r="AZ83" i="9"/>
  <c r="AZ73" i="9"/>
  <c r="AZ122" i="9"/>
  <c r="AZ101" i="9"/>
  <c r="AZ84" i="9" l="1"/>
  <c r="AZ86" i="9" s="1"/>
  <c r="AZ75" i="9"/>
  <c r="AZ81" i="9" s="1"/>
  <c r="AZ138" i="9" s="1"/>
  <c r="AZ123" i="9"/>
  <c r="AZ104" i="9" l="1"/>
  <c r="AZ105" i="9" s="1"/>
  <c r="AZ7" i="9"/>
  <c r="AZ11" i="9" s="1"/>
  <c r="AZ107" i="9" l="1"/>
  <c r="AZ108" i="9" s="1"/>
  <c r="AZ109" i="9" s="1"/>
  <c r="AZ110" i="9" s="1"/>
  <c r="AZ90" i="9"/>
  <c r="AZ91" i="9"/>
  <c r="AZ92" i="9"/>
  <c r="AZ106" i="9"/>
  <c r="AZ115" i="9"/>
  <c r="AZ116" i="9" s="1"/>
  <c r="BA42" i="9" l="1"/>
  <c r="BA44" i="9" s="1"/>
  <c r="BA46" i="9" l="1"/>
  <c r="BA50" i="9" s="1"/>
  <c r="BA102" i="9" l="1"/>
  <c r="BA103" i="9" s="1"/>
  <c r="BA137" i="9" l="1"/>
  <c r="BA51" i="9"/>
  <c r="BA52" i="9"/>
  <c r="BA57" i="9" l="1"/>
  <c r="BA136" i="9" s="1"/>
  <c r="BA119" i="9"/>
  <c r="BA120" i="9"/>
  <c r="BA69" i="9"/>
  <c r="BA71" i="9" s="1"/>
  <c r="BA58" i="9"/>
  <c r="BA87" i="9" s="1"/>
  <c r="BA99" i="9"/>
  <c r="BA100" i="9" s="1"/>
  <c r="BA121" i="9" l="1"/>
  <c r="BA97" i="9"/>
  <c r="BA98" i="9" s="1"/>
  <c r="BA101" i="9" s="1"/>
  <c r="BA73" i="9"/>
  <c r="BA94" i="9"/>
  <c r="BA83" i="9"/>
  <c r="BA122" i="9"/>
  <c r="BA84" i="9" l="1"/>
  <c r="BA86" i="9" s="1"/>
  <c r="BA75" i="9"/>
  <c r="BA81" i="9" s="1"/>
  <c r="BA138" i="9" s="1"/>
  <c r="BA123" i="9"/>
  <c r="BA7" i="9" l="1"/>
  <c r="BA11" i="9" s="1"/>
  <c r="BA104" i="9"/>
  <c r="BA105" i="9" s="1"/>
  <c r="BA92" i="9" l="1"/>
  <c r="BA90" i="9"/>
  <c r="BA91" i="9"/>
  <c r="BA107" i="9"/>
  <c r="BA108" i="9" s="1"/>
  <c r="BA109" i="9" s="1"/>
  <c r="BA110" i="9" s="1"/>
  <c r="BP293" i="1"/>
  <c r="BA106" i="9"/>
  <c r="BA115" i="9"/>
  <c r="BA116" i="9" s="1"/>
  <c r="BP295" i="1" l="1"/>
  <c r="BP296" i="1" l="1"/>
  <c r="BP298" i="1"/>
  <c r="BB42" i="9"/>
  <c r="BB44" i="9" s="1"/>
  <c r="BP208" i="1"/>
  <c r="BP42" i="9" s="1"/>
  <c r="BP44" i="9" s="1"/>
  <c r="BT42" i="9" l="1"/>
  <c r="BT44" i="9" s="1"/>
  <c r="BP211" i="1"/>
  <c r="BB46" i="9" l="1"/>
  <c r="BB50" i="9" s="1"/>
  <c r="BP213" i="1"/>
  <c r="BP214" i="1"/>
  <c r="BP228" i="1" s="1"/>
  <c r="BP46" i="9" l="1"/>
  <c r="BP50" i="9" s="1"/>
  <c r="BP102" i="9" s="1"/>
  <c r="BP103" i="9" s="1"/>
  <c r="BP424" i="1"/>
  <c r="BT46" i="9"/>
  <c r="BT50" i="9" s="1"/>
  <c r="BP227" i="1"/>
  <c r="BP420" i="1"/>
  <c r="BB102" i="9"/>
  <c r="BB103" i="9" s="1"/>
  <c r="BP215" i="1"/>
  <c r="BB51" i="9" l="1"/>
  <c r="BB137" i="9"/>
  <c r="BB57" i="9"/>
  <c r="BP602" i="1"/>
  <c r="BP435" i="1"/>
  <c r="BP627" i="1"/>
  <c r="BB52" i="9"/>
  <c r="BT102" i="9"/>
  <c r="BT103" i="9" s="1"/>
  <c r="BP591" i="1"/>
  <c r="BP625" i="1"/>
  <c r="BP220" i="1"/>
  <c r="BP137" i="9" s="1"/>
  <c r="BB58" i="9" l="1"/>
  <c r="BB87" i="9" s="1"/>
  <c r="BP222" i="1"/>
  <c r="BP230" i="1"/>
  <c r="BP225" i="1"/>
  <c r="BP57" i="9" s="1"/>
  <c r="BT137" i="9"/>
  <c r="BB119" i="9"/>
  <c r="BB120" i="9"/>
  <c r="BB69" i="9"/>
  <c r="BB71" i="9" s="1"/>
  <c r="BB136" i="9"/>
  <c r="BB97" i="9"/>
  <c r="BB98" i="9" s="1"/>
  <c r="BB121" i="9"/>
  <c r="BB99" i="9"/>
  <c r="BB100" i="9" s="1"/>
  <c r="BP595" i="1"/>
  <c r="BP596" i="1" s="1"/>
  <c r="BP628" i="1"/>
  <c r="BP257" i="1"/>
  <c r="BP69" i="9" s="1"/>
  <c r="BP71" i="9" s="1"/>
  <c r="BP449" i="1"/>
  <c r="BP605" i="1"/>
  <c r="BP99" i="9" s="1"/>
  <c r="BP100" i="9" s="1"/>
  <c r="BP94" i="9" l="1"/>
  <c r="BP122" i="9"/>
  <c r="BP73" i="9"/>
  <c r="BP136" i="9"/>
  <c r="BP97" i="9"/>
  <c r="BP98" i="9" s="1"/>
  <c r="BP101" i="9" s="1"/>
  <c r="BP121" i="9"/>
  <c r="BB101" i="9"/>
  <c r="BT69" i="9"/>
  <c r="BT71" i="9" s="1"/>
  <c r="BP274" i="1"/>
  <c r="BT99" i="9"/>
  <c r="BP607" i="1"/>
  <c r="BP259" i="1"/>
  <c r="BP502" i="1"/>
  <c r="BP505" i="1" s="1"/>
  <c r="BB73" i="9"/>
  <c r="BB94" i="9"/>
  <c r="BB83" i="9"/>
  <c r="BB122" i="9"/>
  <c r="BT57" i="9"/>
  <c r="BP237" i="1"/>
  <c r="BP626" i="1"/>
  <c r="BP236" i="1"/>
  <c r="BP231" i="1" s="1"/>
  <c r="N212" i="10"/>
  <c r="BT51" i="9" l="1"/>
  <c r="BP51" i="9"/>
  <c r="BT52" i="9"/>
  <c r="BT83" i="9" s="1"/>
  <c r="BT128" i="9" s="1"/>
  <c r="BP52" i="9"/>
  <c r="BP83" i="9" s="1"/>
  <c r="BP128" i="9" s="1"/>
  <c r="BP123" i="9"/>
  <c r="BP75" i="9"/>
  <c r="BP81" i="9" s="1"/>
  <c r="BP138" i="9" s="1"/>
  <c r="BP129" i="9"/>
  <c r="Q212" i="10"/>
  <c r="P212" i="10"/>
  <c r="BT119" i="9"/>
  <c r="BT120" i="9"/>
  <c r="BP551" i="1"/>
  <c r="BQ504" i="1"/>
  <c r="BP278" i="1"/>
  <c r="BP261" i="1"/>
  <c r="BP309" i="1" s="1"/>
  <c r="BP258" i="1"/>
  <c r="BP260" i="1"/>
  <c r="BP232" i="1"/>
  <c r="BP58" i="9" s="1"/>
  <c r="BP275" i="1"/>
  <c r="BP276" i="1" s="1"/>
  <c r="BP277" i="1" s="1"/>
  <c r="BT97" i="9"/>
  <c r="BT98" i="9" s="1"/>
  <c r="BT136" i="9"/>
  <c r="BB84" i="9"/>
  <c r="BB86" i="9" s="1"/>
  <c r="BB75" i="9"/>
  <c r="BB81" i="9" s="1"/>
  <c r="BB138" i="9" s="1"/>
  <c r="BB123" i="9"/>
  <c r="BT73" i="9"/>
  <c r="BT94" i="9"/>
  <c r="BP84" i="9" l="1"/>
  <c r="BP86" i="9" s="1"/>
  <c r="BP87" i="9"/>
  <c r="BP126" i="9"/>
  <c r="BP284" i="1"/>
  <c r="BP7" i="9" s="1"/>
  <c r="BP11" i="9" s="1"/>
  <c r="BP558" i="1"/>
  <c r="BP573" i="1" s="1"/>
  <c r="BP104" i="9" s="1"/>
  <c r="BP105" i="9" s="1"/>
  <c r="BT129" i="9"/>
  <c r="BT84" i="9"/>
  <c r="BT86" i="9" s="1"/>
  <c r="BT75" i="9"/>
  <c r="BT81" i="9" s="1"/>
  <c r="BT138" i="9" s="1"/>
  <c r="BT58" i="9"/>
  <c r="BP307" i="1"/>
  <c r="BP310" i="1"/>
  <c r="BP279" i="1"/>
  <c r="BP280" i="1" s="1"/>
  <c r="BP281" i="1" s="1"/>
  <c r="BB104" i="9"/>
  <c r="BB105" i="9" s="1"/>
  <c r="BP510" i="1"/>
  <c r="BB7" i="9"/>
  <c r="BB11" i="9" s="1"/>
  <c r="BP294" i="1"/>
  <c r="BP127" i="9" l="1"/>
  <c r="BP130" i="9"/>
  <c r="BP115" i="9"/>
  <c r="BP116" i="9" s="1"/>
  <c r="BP106" i="9"/>
  <c r="BB115" i="9"/>
  <c r="BB116" i="9" s="1"/>
  <c r="BB106" i="9"/>
  <c r="BB90" i="9"/>
  <c r="BB91" i="9"/>
  <c r="BB92" i="9"/>
  <c r="BB107" i="9"/>
  <c r="BB108" i="9" s="1"/>
  <c r="BB109" i="9" s="1"/>
  <c r="BB110" i="9" s="1"/>
  <c r="BT87" i="9"/>
  <c r="BT126" i="9"/>
  <c r="BT104" i="9"/>
  <c r="BP609" i="1"/>
  <c r="BT7" i="9"/>
  <c r="BT11" i="9" s="1"/>
  <c r="BP614" i="1"/>
  <c r="BQ293" i="1"/>
  <c r="BQ295" i="1" s="1"/>
  <c r="BP289" i="1"/>
  <c r="BP107" i="9" l="1"/>
  <c r="BP108" i="9" s="1"/>
  <c r="BP109" i="9" s="1"/>
  <c r="BP110" i="9" s="1"/>
  <c r="BP92" i="9"/>
  <c r="BP90" i="9"/>
  <c r="BP91" i="9"/>
  <c r="BT107" i="9"/>
  <c r="BT92" i="9"/>
  <c r="BT90" i="9"/>
  <c r="BT91" i="9"/>
  <c r="BP305" i="1"/>
  <c r="BP299" i="1"/>
  <c r="BP300" i="1"/>
  <c r="BT127" i="9"/>
  <c r="BT130" i="9"/>
  <c r="BQ296" i="1"/>
  <c r="BQ208" i="1"/>
  <c r="BQ42" i="9" s="1"/>
  <c r="BQ44" i="9" s="1"/>
  <c r="BQ298" i="1"/>
  <c r="BU42" i="9" l="1"/>
  <c r="BU44" i="9" s="1"/>
  <c r="BQ211" i="1"/>
  <c r="BP308" i="1"/>
  <c r="BP311" i="1"/>
  <c r="BQ214" i="1" l="1"/>
  <c r="BQ424" i="1" s="1"/>
  <c r="BQ591" i="1" s="1"/>
  <c r="BQ213" i="1"/>
  <c r="BQ46" i="9" s="1"/>
  <c r="BQ50" i="9" s="1"/>
  <c r="BQ102" i="9" l="1"/>
  <c r="BQ103" i="9" s="1"/>
  <c r="BU46" i="9"/>
  <c r="BU50" i="9" s="1"/>
  <c r="BU102" i="9" s="1"/>
  <c r="BU103" i="9" s="1"/>
  <c r="BQ595" i="1"/>
  <c r="BQ596" i="1" s="1"/>
  <c r="BQ215" i="1"/>
  <c r="BQ420" i="1" l="1"/>
  <c r="BQ220" i="1"/>
  <c r="BQ137" i="9" s="1"/>
  <c r="BQ222" i="1" l="1"/>
  <c r="BQ225" i="1"/>
  <c r="BQ57" i="9" s="1"/>
  <c r="BQ230" i="1"/>
  <c r="BU137" i="9"/>
  <c r="BQ435" i="1"/>
  <c r="BQ602" i="1"/>
  <c r="BQ97" i="9" l="1"/>
  <c r="BQ98" i="9" s="1"/>
  <c r="BQ136" i="9"/>
  <c r="BQ121" i="9"/>
  <c r="BQ605" i="1"/>
  <c r="BQ99" i="9" s="1"/>
  <c r="BQ100" i="9" s="1"/>
  <c r="BQ257" i="1"/>
  <c r="BQ69" i="9" s="1"/>
  <c r="BQ71" i="9" s="1"/>
  <c r="BQ449" i="1"/>
  <c r="BU57" i="9"/>
  <c r="BQ237" i="1"/>
  <c r="BQ236" i="1"/>
  <c r="BQ231" i="1" s="1"/>
  <c r="BU52" i="9" l="1"/>
  <c r="BQ52" i="9"/>
  <c r="BQ83" i="9" s="1"/>
  <c r="BQ128" i="9" s="1"/>
  <c r="BU51" i="9"/>
  <c r="BQ51" i="9"/>
  <c r="BQ73" i="9"/>
  <c r="BQ122" i="9"/>
  <c r="BQ94" i="9"/>
  <c r="BQ101" i="9"/>
  <c r="BQ232" i="1"/>
  <c r="BQ58" i="9" s="1"/>
  <c r="BU119" i="9"/>
  <c r="BU120" i="9"/>
  <c r="BQ259" i="1"/>
  <c r="BQ502" i="1"/>
  <c r="BU136" i="9"/>
  <c r="BU97" i="9"/>
  <c r="BU98" i="9" s="1"/>
  <c r="BU121" i="9"/>
  <c r="BU69" i="9"/>
  <c r="BU71" i="9" s="1"/>
  <c r="BQ274" i="1"/>
  <c r="BQ275" i="1" s="1"/>
  <c r="BQ276" i="1" s="1"/>
  <c r="BQ277" i="1" s="1"/>
  <c r="BQ260" i="1"/>
  <c r="BU99" i="9"/>
  <c r="BU100" i="9" s="1"/>
  <c r="BQ607" i="1"/>
  <c r="BQ126" i="9" l="1"/>
  <c r="BQ87" i="9"/>
  <c r="BQ75" i="9"/>
  <c r="BQ81" i="9" s="1"/>
  <c r="BQ138" i="9" s="1"/>
  <c r="BQ123" i="9"/>
  <c r="BQ84" i="9"/>
  <c r="BQ86" i="9" s="1"/>
  <c r="BQ129" i="9"/>
  <c r="BU101" i="9"/>
  <c r="BQ505" i="1"/>
  <c r="BQ551" i="1"/>
  <c r="BQ278" i="1"/>
  <c r="BQ258" i="1"/>
  <c r="BQ261" i="1"/>
  <c r="BQ309" i="1" s="1"/>
  <c r="BU83" i="9"/>
  <c r="BU128" i="9" s="1"/>
  <c r="BU73" i="9"/>
  <c r="BU94" i="9"/>
  <c r="BU122" i="9"/>
  <c r="BU58" i="9"/>
  <c r="BQ307" i="1"/>
  <c r="BU87" i="9" l="1"/>
  <c r="BU126" i="9"/>
  <c r="BU84" i="9"/>
  <c r="BU86" i="9" s="1"/>
  <c r="BU75" i="9"/>
  <c r="BU81" i="9" s="1"/>
  <c r="BU138" i="9" s="1"/>
  <c r="BU129" i="9"/>
  <c r="BU123" i="9"/>
  <c r="BQ310" i="1"/>
  <c r="BQ279" i="1"/>
  <c r="BQ280" i="1" s="1"/>
  <c r="BQ281" i="1" s="1"/>
  <c r="BQ558" i="1"/>
  <c r="BQ573" i="1" s="1"/>
  <c r="BQ104" i="9" s="1"/>
  <c r="BQ105" i="9" s="1"/>
  <c r="BQ284" i="1"/>
  <c r="BQ7" i="9" s="1"/>
  <c r="BQ11" i="9" s="1"/>
  <c r="BR504" i="1"/>
  <c r="BQ510" i="1"/>
  <c r="BQ115" i="9" l="1"/>
  <c r="BQ116" i="9" s="1"/>
  <c r="BQ106" i="9"/>
  <c r="BQ127" i="9"/>
  <c r="BQ130" i="9"/>
  <c r="BU104" i="9"/>
  <c r="BU105" i="9" s="1"/>
  <c r="BQ609" i="1"/>
  <c r="BU7" i="9"/>
  <c r="BU11" i="9" s="1"/>
  <c r="BQ614" i="1"/>
  <c r="BR293" i="1"/>
  <c r="BR295" i="1" s="1"/>
  <c r="BQ289" i="1"/>
  <c r="BQ107" i="9" l="1"/>
  <c r="BQ108" i="9" s="1"/>
  <c r="BQ109" i="9" s="1"/>
  <c r="BQ110" i="9" s="1"/>
  <c r="BQ92" i="9"/>
  <c r="BQ90" i="9"/>
  <c r="BQ91" i="9"/>
  <c r="BR296" i="1"/>
  <c r="BR208" i="1"/>
  <c r="BR42" i="9" s="1"/>
  <c r="BR44" i="9" s="1"/>
  <c r="BR298" i="1"/>
  <c r="BU127" i="9"/>
  <c r="BU130" i="9"/>
  <c r="BU92" i="9"/>
  <c r="BU90" i="9"/>
  <c r="BU91" i="9"/>
  <c r="BU107" i="9"/>
  <c r="BU108" i="9" s="1"/>
  <c r="BU109" i="9" s="1"/>
  <c r="BU110" i="9" s="1"/>
  <c r="BQ305" i="1"/>
  <c r="BQ299" i="1"/>
  <c r="BQ300" i="1"/>
  <c r="BU106" i="9"/>
  <c r="BU115" i="9"/>
  <c r="BU116" i="9" s="1"/>
  <c r="BQ308" i="1" l="1"/>
  <c r="BQ311" i="1"/>
  <c r="BV42" i="9"/>
  <c r="BV44" i="9" s="1"/>
  <c r="BR211" i="1"/>
  <c r="BR213" i="1" l="1"/>
  <c r="BR214" i="1"/>
  <c r="BR424" i="1" s="1"/>
  <c r="BR591" i="1" s="1"/>
  <c r="BR46" i="9" l="1"/>
  <c r="BR50" i="9" s="1"/>
  <c r="BR215" i="1"/>
  <c r="BV46" i="9"/>
  <c r="BV50" i="9" s="1"/>
  <c r="BR595" i="1"/>
  <c r="BR596" i="1" s="1"/>
  <c r="BR102" i="9" l="1"/>
  <c r="BR103" i="9" s="1"/>
  <c r="BV102" i="9"/>
  <c r="BV103" i="9" s="1"/>
  <c r="BR420" i="1"/>
  <c r="BR220" i="1"/>
  <c r="BV137" i="9" s="1"/>
  <c r="BR137" i="9" l="1"/>
  <c r="BR222" i="1"/>
  <c r="BR225" i="1"/>
  <c r="BR57" i="9" s="1"/>
  <c r="BR230" i="1"/>
  <c r="BR435" i="1"/>
  <c r="BR602" i="1"/>
  <c r="BR97" i="9" l="1"/>
  <c r="BR98" i="9" s="1"/>
  <c r="BR136" i="9"/>
  <c r="BR121" i="9"/>
  <c r="BV57" i="9"/>
  <c r="BR237" i="1"/>
  <c r="BR605" i="1"/>
  <c r="BR99" i="9" s="1"/>
  <c r="BR100" i="9" s="1"/>
  <c r="BR257" i="1"/>
  <c r="BR69" i="9" s="1"/>
  <c r="BR71" i="9" s="1"/>
  <c r="BR449" i="1"/>
  <c r="BR236" i="1"/>
  <c r="BR231" i="1" s="1"/>
  <c r="BR94" i="9" l="1"/>
  <c r="BR73" i="9"/>
  <c r="BR122" i="9"/>
  <c r="BV51" i="9"/>
  <c r="BR51" i="9"/>
  <c r="BV52" i="9"/>
  <c r="BR52" i="9"/>
  <c r="BR83" i="9" s="1"/>
  <c r="BR128" i="9" s="1"/>
  <c r="BR101" i="9"/>
  <c r="BV99" i="9"/>
  <c r="BV100" i="9" s="1"/>
  <c r="BR607" i="1"/>
  <c r="BR259" i="1"/>
  <c r="BR502" i="1"/>
  <c r="BV69" i="9"/>
  <c r="BV71" i="9" s="1"/>
  <c r="BR274" i="1"/>
  <c r="BR275" i="1" s="1"/>
  <c r="BR276" i="1" s="1"/>
  <c r="BR277" i="1" s="1"/>
  <c r="BR260" i="1"/>
  <c r="BR232" i="1"/>
  <c r="BR58" i="9" s="1"/>
  <c r="BV119" i="9"/>
  <c r="BV120" i="9"/>
  <c r="BV97" i="9"/>
  <c r="BV98" i="9" s="1"/>
  <c r="BV136" i="9"/>
  <c r="BV121" i="9"/>
  <c r="BR87" i="9" l="1"/>
  <c r="BR126" i="9"/>
  <c r="BR84" i="9"/>
  <c r="BR86" i="9" s="1"/>
  <c r="BR75" i="9"/>
  <c r="BR81" i="9" s="1"/>
  <c r="BR138" i="9" s="1"/>
  <c r="BR123" i="9"/>
  <c r="BR129" i="9"/>
  <c r="BV83" i="9"/>
  <c r="BV128" i="9" s="1"/>
  <c r="BV73" i="9"/>
  <c r="BV94" i="9"/>
  <c r="BV122" i="9"/>
  <c r="BR261" i="1"/>
  <c r="BR309" i="1" s="1"/>
  <c r="BR278" i="1"/>
  <c r="BR258" i="1"/>
  <c r="BV58" i="9"/>
  <c r="BR307" i="1"/>
  <c r="BR551" i="1"/>
  <c r="BR505" i="1"/>
  <c r="BV101" i="9"/>
  <c r="BR558" i="1" l="1"/>
  <c r="BR573" i="1" s="1"/>
  <c r="BR104" i="9" s="1"/>
  <c r="BR105" i="9" s="1"/>
  <c r="BR284" i="1"/>
  <c r="BR7" i="9" s="1"/>
  <c r="BR11" i="9" s="1"/>
  <c r="BR310" i="1"/>
  <c r="BR279" i="1"/>
  <c r="BR280" i="1" s="1"/>
  <c r="BR281" i="1" s="1"/>
  <c r="BV129" i="9"/>
  <c r="BV84" i="9"/>
  <c r="BV86" i="9" s="1"/>
  <c r="BV75" i="9"/>
  <c r="BV81" i="9" s="1"/>
  <c r="BV138" i="9" s="1"/>
  <c r="BV123" i="9"/>
  <c r="BS504" i="1"/>
  <c r="BR510" i="1"/>
  <c r="BV87" i="9"/>
  <c r="BV126" i="9"/>
  <c r="BR127" i="9" l="1"/>
  <c r="BR130" i="9"/>
  <c r="BR115" i="9"/>
  <c r="BR116" i="9" s="1"/>
  <c r="BR106" i="9"/>
  <c r="BV7" i="9"/>
  <c r="BV11" i="9" s="1"/>
  <c r="BR614" i="1"/>
  <c r="BS293" i="1"/>
  <c r="BS295" i="1" s="1"/>
  <c r="BR289" i="1"/>
  <c r="BV104" i="9"/>
  <c r="BV105" i="9" s="1"/>
  <c r="BR609" i="1"/>
  <c r="BR92" i="9" l="1"/>
  <c r="BR107" i="9"/>
  <c r="BR108" i="9" s="1"/>
  <c r="BR109" i="9" s="1"/>
  <c r="BR110" i="9" s="1"/>
  <c r="BR90" i="9"/>
  <c r="BR91" i="9"/>
  <c r="BV106" i="9"/>
  <c r="BV115" i="9"/>
  <c r="BV116" i="9" s="1"/>
  <c r="BV127" i="9"/>
  <c r="BV130" i="9"/>
  <c r="BV107" i="9"/>
  <c r="BV108" i="9" s="1"/>
  <c r="BV109" i="9" s="1"/>
  <c r="BV110" i="9" s="1"/>
  <c r="BV92" i="9"/>
  <c r="BV91" i="9"/>
  <c r="BV90" i="9"/>
  <c r="BR300" i="1"/>
  <c r="BR305" i="1"/>
  <c r="BR299" i="1"/>
  <c r="BS296" i="1"/>
  <c r="BS208" i="1"/>
  <c r="BS42" i="9" s="1"/>
  <c r="BS44" i="9" s="1"/>
  <c r="BS298" i="1"/>
  <c r="BW42" i="9" l="1"/>
  <c r="BW44" i="9" s="1"/>
  <c r="BS211" i="1"/>
  <c r="BR308" i="1"/>
  <c r="BR311" i="1"/>
  <c r="BS213" i="1" l="1"/>
  <c r="BS214" i="1"/>
  <c r="BS424" i="1" s="1"/>
  <c r="BS591" i="1" s="1"/>
  <c r="BS595" i="1" s="1"/>
  <c r="BS596" i="1" s="1"/>
  <c r="BS46" i="9" l="1"/>
  <c r="BS50" i="9" s="1"/>
  <c r="BW46" i="9"/>
  <c r="BW50" i="9" s="1"/>
  <c r="BS215" i="1"/>
  <c r="BS420" i="1" s="1"/>
  <c r="BS102" i="9" l="1"/>
  <c r="BS103" i="9" s="1"/>
  <c r="BS220" i="1"/>
  <c r="BW137" i="9" s="1"/>
  <c r="BW102" i="9"/>
  <c r="BW103" i="9" s="1"/>
  <c r="BS435" i="1"/>
  <c r="BS602" i="1"/>
  <c r="BS605" i="1" s="1"/>
  <c r="BS99" i="9" s="1"/>
  <c r="BS100" i="9" l="1"/>
  <c r="BS101" i="9" s="1"/>
  <c r="BT100" i="9"/>
  <c r="BT101" i="9" s="1"/>
  <c r="BS137" i="9"/>
  <c r="BS222" i="1"/>
  <c r="BS236" i="1" s="1"/>
  <c r="BS231" i="1" s="1"/>
  <c r="BS225" i="1"/>
  <c r="BS230" i="1"/>
  <c r="BW99" i="9"/>
  <c r="BW100" i="9" s="1"/>
  <c r="BS607" i="1"/>
  <c r="BS257" i="1"/>
  <c r="BS69" i="9" s="1"/>
  <c r="BS71" i="9" s="1"/>
  <c r="BS449" i="1"/>
  <c r="BS122" i="9" l="1"/>
  <c r="BS94" i="9"/>
  <c r="BS73" i="9"/>
  <c r="BT122" i="9"/>
  <c r="BW51" i="9"/>
  <c r="BS51" i="9"/>
  <c r="BW57" i="9"/>
  <c r="BW136" i="9" s="1"/>
  <c r="BS57" i="9"/>
  <c r="BS237" i="1"/>
  <c r="BW69" i="9"/>
  <c r="BW71" i="9" s="1"/>
  <c r="BS274" i="1"/>
  <c r="BS275" i="1" s="1"/>
  <c r="BS276" i="1" s="1"/>
  <c r="BS277" i="1" s="1"/>
  <c r="BS260" i="1"/>
  <c r="BS259" i="1"/>
  <c r="BS502" i="1"/>
  <c r="BW97" i="9" l="1"/>
  <c r="BW98" i="9" s="1"/>
  <c r="BW101" i="9" s="1"/>
  <c r="BW52" i="9"/>
  <c r="BW121" i="9" s="1"/>
  <c r="BS52" i="9"/>
  <c r="BS83" i="9" s="1"/>
  <c r="BS128" i="9" s="1"/>
  <c r="BS97" i="9"/>
  <c r="BS98" i="9" s="1"/>
  <c r="BS121" i="9"/>
  <c r="BS136" i="9"/>
  <c r="BT121" i="9"/>
  <c r="BS129" i="9"/>
  <c r="BS75" i="9"/>
  <c r="BS81" i="9" s="1"/>
  <c r="BS138" i="9" s="1"/>
  <c r="BS123" i="9"/>
  <c r="BT123" i="9"/>
  <c r="BS232" i="1"/>
  <c r="BS58" i="9" s="1"/>
  <c r="BW120" i="9"/>
  <c r="BW119" i="9"/>
  <c r="BS551" i="1"/>
  <c r="BS505" i="1"/>
  <c r="BS278" i="1"/>
  <c r="BS261" i="1"/>
  <c r="BS309" i="1" s="1"/>
  <c r="BS258" i="1"/>
  <c r="BW58" i="9"/>
  <c r="BW73" i="9"/>
  <c r="BW94" i="9"/>
  <c r="BW122" i="9"/>
  <c r="BW83" i="9" l="1"/>
  <c r="BW128" i="9" s="1"/>
  <c r="BS84" i="9"/>
  <c r="BS86" i="9" s="1"/>
  <c r="BS307" i="1"/>
  <c r="BS87" i="9"/>
  <c r="BS126" i="9"/>
  <c r="BS510" i="1"/>
  <c r="BW129" i="9"/>
  <c r="BW75" i="9"/>
  <c r="BW81" i="9" s="1"/>
  <c r="BW138" i="9" s="1"/>
  <c r="BW84" i="9"/>
  <c r="BW86" i="9" s="1"/>
  <c r="BW123" i="9"/>
  <c r="BW87" i="9"/>
  <c r="BW126" i="9"/>
  <c r="BS310" i="1"/>
  <c r="BS279" i="1"/>
  <c r="BS280" i="1" s="1"/>
  <c r="BS281" i="1" s="1"/>
  <c r="BS558" i="1"/>
  <c r="BS573" i="1" s="1"/>
  <c r="BS104" i="9" s="1"/>
  <c r="BS284" i="1"/>
  <c r="BS7" i="9" s="1"/>
  <c r="BS11" i="9" s="1"/>
  <c r="BS105" i="9" l="1"/>
  <c r="BT105" i="9"/>
  <c r="BS127" i="9"/>
  <c r="BS130" i="9"/>
  <c r="BW104" i="9"/>
  <c r="BW105" i="9" s="1"/>
  <c r="BS609" i="1"/>
  <c r="BW7" i="9"/>
  <c r="BW11" i="9" s="1"/>
  <c r="BS614" i="1"/>
  <c r="BS289" i="1"/>
  <c r="BS90" i="9" l="1"/>
  <c r="BS92" i="9"/>
  <c r="BS107" i="9"/>
  <c r="BS91" i="9"/>
  <c r="BT106" i="9"/>
  <c r="BT115" i="9"/>
  <c r="BT116" i="9" s="1"/>
  <c r="BS106" i="9"/>
  <c r="BS115" i="9"/>
  <c r="BS116" i="9" s="1"/>
  <c r="BW107" i="9"/>
  <c r="BW108" i="9" s="1"/>
  <c r="BW109" i="9" s="1"/>
  <c r="BW110" i="9" s="1"/>
  <c r="BW92" i="9"/>
  <c r="BW90" i="9"/>
  <c r="BW91" i="9"/>
  <c r="BS305" i="1"/>
  <c r="BS299" i="1"/>
  <c r="BS300" i="1"/>
  <c r="BW127" i="9"/>
  <c r="BW130" i="9"/>
  <c r="BW106" i="9"/>
  <c r="BW115" i="9"/>
  <c r="BW116" i="9" s="1"/>
  <c r="BS108" i="9" l="1"/>
  <c r="BS109" i="9" s="1"/>
  <c r="BS110" i="9" s="1"/>
  <c r="BT108" i="9"/>
  <c r="BT109" i="9" s="1"/>
  <c r="BT110" i="9" s="1"/>
  <c r="BS308" i="1"/>
  <c r="BS311" i="1"/>
  <c r="X49" i="11" l="1"/>
  <c r="X51" i="11" s="1"/>
  <c r="X46" i="11"/>
  <c r="X45" i="11"/>
  <c r="X44" i="11"/>
  <c r="X29" i="11"/>
  <c r="AB29" i="11" s="1"/>
  <c r="AC32" i="11" l="1"/>
  <c r="AC31" i="11"/>
  <c r="AB33" i="11"/>
  <c r="AB32" i="11"/>
  <c r="AB31" i="11"/>
  <c r="AB37" i="11"/>
  <c r="X36" i="11"/>
  <c r="Y32" i="11"/>
  <c r="Y31" i="11"/>
  <c r="X33" i="11"/>
  <c r="X31" i="11"/>
  <c r="X32" i="11"/>
  <c r="X30" i="11"/>
  <c r="X82" i="11"/>
  <c r="AA96" i="11" s="1"/>
  <c r="X73" i="11"/>
  <c r="AA369" i="11" s="1"/>
  <c r="X63" i="11"/>
  <c r="X52" i="11"/>
  <c r="X50" i="11"/>
  <c r="X53" i="11"/>
  <c r="Y35" i="11" l="1"/>
  <c r="AB39" i="11"/>
  <c r="X191" i="11"/>
  <c r="AU191" i="11" s="1"/>
  <c r="X192" i="11"/>
  <c r="AU192" i="11" s="1"/>
  <c r="AB38" i="11"/>
  <c r="AB41" i="11"/>
  <c r="AB43" i="11"/>
  <c r="AB40" i="11"/>
  <c r="AD37" i="11"/>
  <c r="AD39" i="11" s="1"/>
  <c r="AC37" i="11"/>
  <c r="AC39" i="11" s="1"/>
  <c r="AA371" i="11"/>
  <c r="AA372" i="11"/>
  <c r="X66" i="11"/>
  <c r="X75" i="11"/>
  <c r="X76" i="11" s="1"/>
  <c r="X85" i="11" s="1"/>
  <c r="X86" i="11" s="1"/>
  <c r="Y369" i="11"/>
  <c r="X369" i="11"/>
  <c r="Z369" i="11"/>
  <c r="Y96" i="11"/>
  <c r="Z96" i="11"/>
  <c r="X67" i="11"/>
  <c r="X64" i="11"/>
  <c r="X96" i="11"/>
  <c r="AU36" i="11"/>
  <c r="AB186" i="11" l="1"/>
  <c r="AB187" i="11"/>
  <c r="AV36" i="11"/>
  <c r="AC38" i="11"/>
  <c r="AC43" i="11"/>
  <c r="AC41" i="11"/>
  <c r="AC40" i="11"/>
  <c r="AD43" i="11"/>
  <c r="AV43" i="11" s="1"/>
  <c r="AD41" i="11"/>
  <c r="AD38" i="11"/>
  <c r="AD40" i="11"/>
  <c r="AB46" i="11"/>
  <c r="AB49" i="11"/>
  <c r="AB51" i="11" s="1"/>
  <c r="AB72" i="11"/>
  <c r="AB45" i="11"/>
  <c r="AB44" i="11"/>
  <c r="AV37" i="11"/>
  <c r="X77" i="11"/>
  <c r="X79" i="11" s="1"/>
  <c r="AU79" i="11" s="1"/>
  <c r="AX79" i="11" s="1"/>
  <c r="Y372" i="11"/>
  <c r="Y371" i="11"/>
  <c r="Z371" i="11"/>
  <c r="Z372" i="11"/>
  <c r="X372" i="11"/>
  <c r="X371" i="11"/>
  <c r="AU43" i="11"/>
  <c r="AX43" i="11" s="1"/>
  <c r="J13" i="12" l="1"/>
  <c r="AV39" i="11"/>
  <c r="AC187" i="11"/>
  <c r="AC186" i="11"/>
  <c r="AD187" i="11"/>
  <c r="AV187" i="11" s="1"/>
  <c r="AD186" i="11"/>
  <c r="AV186" i="11"/>
  <c r="J13" i="16"/>
  <c r="AV40" i="11"/>
  <c r="AV41" i="11"/>
  <c r="AV38" i="11"/>
  <c r="AB52" i="11"/>
  <c r="AB73" i="11"/>
  <c r="AB75" i="11" s="1"/>
  <c r="AB82" i="11"/>
  <c r="AB63" i="11"/>
  <c r="AB53" i="11"/>
  <c r="AB50" i="11"/>
  <c r="AC49" i="11"/>
  <c r="AC51" i="11" s="1"/>
  <c r="AC46" i="11"/>
  <c r="AC45" i="11"/>
  <c r="AC72" i="11"/>
  <c r="AC44" i="11"/>
  <c r="AV29" i="11"/>
  <c r="AV33" i="11" s="1"/>
  <c r="AV45" i="11"/>
  <c r="AD72" i="11"/>
  <c r="AD45" i="11"/>
  <c r="AD49" i="11"/>
  <c r="AD51" i="11" s="1"/>
  <c r="AD46" i="11"/>
  <c r="AD44" i="11"/>
  <c r="AV44" i="11"/>
  <c r="AV46" i="11"/>
  <c r="AU45" i="11"/>
  <c r="AU44" i="11"/>
  <c r="AU29" i="11"/>
  <c r="AU46" i="11"/>
  <c r="AU72" i="11"/>
  <c r="AU49" i="11"/>
  <c r="AX49" i="11" l="1"/>
  <c r="AU51" i="11"/>
  <c r="AB192" i="11"/>
  <c r="AB191" i="11"/>
  <c r="AV72" i="11"/>
  <c r="J19" i="12" s="1"/>
  <c r="AC52" i="11"/>
  <c r="AC82" i="11"/>
  <c r="AC53" i="11"/>
  <c r="AC73" i="11"/>
  <c r="AC75" i="11" s="1"/>
  <c r="AC50" i="11"/>
  <c r="AC63" i="11"/>
  <c r="AD82" i="11"/>
  <c r="AD73" i="11"/>
  <c r="AD75" i="11" s="1"/>
  <c r="AD53" i="11"/>
  <c r="AD52" i="11"/>
  <c r="AD50" i="11"/>
  <c r="AD63" i="11"/>
  <c r="J16" i="12"/>
  <c r="J17" i="12"/>
  <c r="J14" i="12"/>
  <c r="AB76" i="11"/>
  <c r="AB85" i="11" s="1"/>
  <c r="AB86" i="11" s="1"/>
  <c r="AB66" i="11"/>
  <c r="AB64" i="11"/>
  <c r="AB67" i="11"/>
  <c r="AV49" i="11"/>
  <c r="AV30" i="11"/>
  <c r="AV31" i="11" s="1"/>
  <c r="AV32" i="11"/>
  <c r="I42" i="16"/>
  <c r="I42" i="12"/>
  <c r="I19" i="12"/>
  <c r="I19" i="16"/>
  <c r="AU52" i="11"/>
  <c r="AU82" i="11"/>
  <c r="AU73" i="11"/>
  <c r="AX73" i="11" s="1"/>
  <c r="AU53" i="11"/>
  <c r="AU50" i="11"/>
  <c r="AU63" i="11"/>
  <c r="AX63" i="11" s="1"/>
  <c r="I38" i="15"/>
  <c r="I17" i="15"/>
  <c r="AU30" i="11"/>
  <c r="AU31" i="11" s="1"/>
  <c r="AU32" i="11"/>
  <c r="AU33" i="11"/>
  <c r="AV50" i="11" l="1"/>
  <c r="AV51" i="11"/>
  <c r="AC192" i="11"/>
  <c r="AC191" i="11"/>
  <c r="AD192" i="11"/>
  <c r="AD191" i="11"/>
  <c r="AV192" i="11"/>
  <c r="J41" i="12"/>
  <c r="J20" i="12"/>
  <c r="J42" i="16"/>
  <c r="J19" i="16"/>
  <c r="J41" i="16" s="1"/>
  <c r="J40" i="16" s="1"/>
  <c r="J42" i="12"/>
  <c r="J43" i="12" s="1"/>
  <c r="AV53" i="11"/>
  <c r="AB77" i="11"/>
  <c r="AB79" i="11" s="1"/>
  <c r="AV82" i="11"/>
  <c r="AV73" i="11"/>
  <c r="AV75" i="11" s="1"/>
  <c r="AV52" i="11"/>
  <c r="AD76" i="11"/>
  <c r="AD85" i="11" s="1"/>
  <c r="AD86" i="11" s="1"/>
  <c r="AD90" i="11" s="1"/>
  <c r="AC76" i="11"/>
  <c r="AC85" i="11" s="1"/>
  <c r="AC86" i="11" s="1"/>
  <c r="AC90" i="11" s="1"/>
  <c r="AD66" i="11"/>
  <c r="AD67" i="11"/>
  <c r="AD64" i="11"/>
  <c r="AC66" i="11"/>
  <c r="AC67" i="11"/>
  <c r="AC64" i="11"/>
  <c r="AV63" i="11"/>
  <c r="AV66" i="11" s="1"/>
  <c r="AU75" i="11"/>
  <c r="AU76" i="11" s="1"/>
  <c r="AU85" i="11" s="1"/>
  <c r="AU86" i="11" s="1"/>
  <c r="AX86" i="11" s="1"/>
  <c r="AU369" i="11"/>
  <c r="I41" i="16"/>
  <c r="I20" i="16"/>
  <c r="I41" i="12"/>
  <c r="I20" i="12"/>
  <c r="I43" i="12"/>
  <c r="I43" i="16"/>
  <c r="I39" i="15"/>
  <c r="AU64" i="11"/>
  <c r="AU67" i="11"/>
  <c r="AU66" i="11"/>
  <c r="I18" i="15"/>
  <c r="I37" i="15"/>
  <c r="J37" i="15" s="1"/>
  <c r="AV191" i="11" l="1"/>
  <c r="J20" i="16"/>
  <c r="J26" i="16" s="1"/>
  <c r="J29" i="16" s="1"/>
  <c r="K29" i="16" s="1"/>
  <c r="L29" i="16" s="1"/>
  <c r="M29" i="16" s="1"/>
  <c r="N29" i="16" s="1"/>
  <c r="O29" i="16" s="1"/>
  <c r="P29" i="16" s="1"/>
  <c r="Q29" i="16" s="1"/>
  <c r="R29" i="16" s="1"/>
  <c r="S29" i="16" s="1"/>
  <c r="T29" i="16" s="1"/>
  <c r="K41" i="16"/>
  <c r="L41" i="16" s="1"/>
  <c r="L42" i="16" s="1"/>
  <c r="M42" i="16" s="1"/>
  <c r="M41" i="16" s="1"/>
  <c r="J40" i="12"/>
  <c r="AV67" i="11"/>
  <c r="AV64" i="11"/>
  <c r="AC77" i="11"/>
  <c r="AC79" i="11" s="1"/>
  <c r="AD77" i="11"/>
  <c r="AD79" i="11" s="1"/>
  <c r="AV76" i="11"/>
  <c r="AV85" i="11" s="1"/>
  <c r="AV86" i="11" s="1"/>
  <c r="AU372" i="11"/>
  <c r="AU371" i="11"/>
  <c r="I40" i="16"/>
  <c r="I40" i="12"/>
  <c r="I22" i="12"/>
  <c r="I21" i="12"/>
  <c r="I23" i="12"/>
  <c r="I26" i="12"/>
  <c r="K41" i="12"/>
  <c r="I22" i="16"/>
  <c r="I21" i="16"/>
  <c r="I23" i="16"/>
  <c r="I26" i="16"/>
  <c r="J43" i="16"/>
  <c r="I36" i="15"/>
  <c r="AU77" i="11"/>
  <c r="AU78" i="11" s="1"/>
  <c r="K37" i="15"/>
  <c r="J38" i="15"/>
  <c r="J39" i="15" s="1"/>
  <c r="J17" i="15"/>
  <c r="I19" i="15"/>
  <c r="I20" i="15"/>
  <c r="I24" i="15"/>
  <c r="I21" i="15"/>
  <c r="AV77" i="11" l="1"/>
  <c r="AV79" i="11"/>
  <c r="J30" i="16"/>
  <c r="J27" i="16"/>
  <c r="N42" i="16"/>
  <c r="I48" i="12"/>
  <c r="I35" i="12"/>
  <c r="I29" i="12"/>
  <c r="I30" i="12"/>
  <c r="I27" i="12"/>
  <c r="L41" i="12"/>
  <c r="K19" i="12"/>
  <c r="K42" i="12"/>
  <c r="K43" i="12" s="1"/>
  <c r="K42" i="16"/>
  <c r="K43" i="16" s="1"/>
  <c r="K19" i="16"/>
  <c r="I35" i="16"/>
  <c r="I30" i="16"/>
  <c r="I48" i="16"/>
  <c r="I29" i="16"/>
  <c r="I27" i="16"/>
  <c r="K38" i="15"/>
  <c r="K39" i="15" s="1"/>
  <c r="K17" i="15"/>
  <c r="L37" i="15"/>
  <c r="I25" i="15"/>
  <c r="I26" i="15"/>
  <c r="J26" i="15" s="1"/>
  <c r="K26" i="15" s="1"/>
  <c r="L26" i="15" s="1"/>
  <c r="M26" i="15" s="1"/>
  <c r="N26" i="15" s="1"/>
  <c r="O26" i="15" s="1"/>
  <c r="P26" i="15" s="1"/>
  <c r="Q26" i="15" s="1"/>
  <c r="R26" i="15" s="1"/>
  <c r="S26" i="15" s="1"/>
  <c r="T26" i="15" s="1"/>
  <c r="U26" i="15" s="1"/>
  <c r="U24" i="15" s="1"/>
  <c r="I27" i="15"/>
  <c r="I44" i="15"/>
  <c r="I32" i="15"/>
  <c r="AV78" i="11" l="1"/>
  <c r="N41" i="16"/>
  <c r="O42" i="16"/>
  <c r="T26" i="16"/>
  <c r="U32" i="15"/>
  <c r="U44" i="15"/>
  <c r="U54" i="15"/>
  <c r="U42" i="15" s="1"/>
  <c r="U18" i="15"/>
  <c r="L19" i="12"/>
  <c r="L42" i="12"/>
  <c r="L19" i="16"/>
  <c r="I36" i="12"/>
  <c r="I38" i="12"/>
  <c r="I51" i="12"/>
  <c r="I76" i="12" s="1"/>
  <c r="I51" i="16"/>
  <c r="I76" i="16" s="1"/>
  <c r="I38" i="16"/>
  <c r="I36" i="16"/>
  <c r="L17" i="15"/>
  <c r="L38" i="15"/>
  <c r="J24" i="15"/>
  <c r="I33" i="15"/>
  <c r="I47" i="15"/>
  <c r="I72" i="15" s="1"/>
  <c r="I34" i="15"/>
  <c r="O41" i="16" l="1"/>
  <c r="P42" i="16"/>
  <c r="U27" i="16"/>
  <c r="T35" i="16"/>
  <c r="T58" i="16"/>
  <c r="T46" i="16" s="1"/>
  <c r="T20" i="16"/>
  <c r="U30" i="16"/>
  <c r="T48" i="16"/>
  <c r="U12" i="15"/>
  <c r="U14" i="15" s="1"/>
  <c r="U20" i="15"/>
  <c r="U47" i="15"/>
  <c r="T79" i="15" s="1"/>
  <c r="U34" i="15"/>
  <c r="L43" i="16"/>
  <c r="L43" i="12"/>
  <c r="M42" i="12"/>
  <c r="N42" i="12" s="1"/>
  <c r="O42" i="12" s="1"/>
  <c r="P42" i="12" s="1"/>
  <c r="I52" i="16"/>
  <c r="I101" i="16"/>
  <c r="I101" i="12"/>
  <c r="I52" i="12"/>
  <c r="I48" i="15"/>
  <c r="K24" i="15"/>
  <c r="L39" i="15"/>
  <c r="M38" i="15"/>
  <c r="N38" i="15" s="1"/>
  <c r="J32" i="15"/>
  <c r="J25" i="15"/>
  <c r="J18" i="15"/>
  <c r="J27" i="15"/>
  <c r="J44" i="15"/>
  <c r="P41" i="16" l="1"/>
  <c r="Q42" i="16"/>
  <c r="U23" i="16"/>
  <c r="U21" i="16"/>
  <c r="T22" i="16"/>
  <c r="T13" i="16"/>
  <c r="U36" i="16"/>
  <c r="T38" i="16"/>
  <c r="T51" i="16"/>
  <c r="U52" i="16" s="1"/>
  <c r="J35" i="16"/>
  <c r="J38" i="16" s="1"/>
  <c r="J48" i="16"/>
  <c r="M19" i="16"/>
  <c r="M43" i="16"/>
  <c r="O43" i="12"/>
  <c r="O41" i="12"/>
  <c r="O19" i="12" s="1"/>
  <c r="H103" i="16"/>
  <c r="P41" i="12"/>
  <c r="P19" i="12" s="1"/>
  <c r="P43" i="12"/>
  <c r="H103" i="12"/>
  <c r="N41" i="12"/>
  <c r="N19" i="12" s="1"/>
  <c r="N43" i="12"/>
  <c r="K26" i="16"/>
  <c r="M41" i="12"/>
  <c r="M19" i="12" s="1"/>
  <c r="M43" i="12"/>
  <c r="Q42" i="12"/>
  <c r="J22" i="16"/>
  <c r="J21" i="16"/>
  <c r="J23" i="16"/>
  <c r="N37" i="15"/>
  <c r="N17" i="15" s="1"/>
  <c r="N39" i="15"/>
  <c r="O38" i="15"/>
  <c r="K54" i="15"/>
  <c r="K18" i="15"/>
  <c r="K44" i="15"/>
  <c r="K27" i="15"/>
  <c r="K32" i="15"/>
  <c r="K25" i="15"/>
  <c r="L24" i="15"/>
  <c r="J21" i="15"/>
  <c r="J20" i="15"/>
  <c r="J12" i="15"/>
  <c r="J19" i="15"/>
  <c r="J34" i="15"/>
  <c r="J47" i="15"/>
  <c r="J33" i="15"/>
  <c r="M39" i="15"/>
  <c r="M37" i="15"/>
  <c r="M17" i="15" s="1"/>
  <c r="Q41" i="16" l="1"/>
  <c r="R42" i="16"/>
  <c r="U14" i="16"/>
  <c r="U17" i="16"/>
  <c r="T16" i="16"/>
  <c r="J36" i="16"/>
  <c r="J51" i="16"/>
  <c r="L26" i="16"/>
  <c r="K27" i="16"/>
  <c r="K20" i="16"/>
  <c r="K58" i="16"/>
  <c r="K30" i="16"/>
  <c r="K35" i="16"/>
  <c r="K48" i="16"/>
  <c r="Q41" i="12"/>
  <c r="Q19" i="12" s="1"/>
  <c r="Q43" i="12"/>
  <c r="R42" i="12"/>
  <c r="J14" i="16"/>
  <c r="J17" i="16"/>
  <c r="J16" i="16"/>
  <c r="N19" i="16"/>
  <c r="N43" i="16"/>
  <c r="J48" i="15"/>
  <c r="K42" i="15"/>
  <c r="J13" i="15"/>
  <c r="J14" i="15"/>
  <c r="J15" i="15"/>
  <c r="O39" i="15"/>
  <c r="O37" i="15"/>
  <c r="O17" i="15" s="1"/>
  <c r="P38" i="15"/>
  <c r="L44" i="15"/>
  <c r="L54" i="15"/>
  <c r="L32" i="15"/>
  <c r="L25" i="15"/>
  <c r="L18" i="15"/>
  <c r="L27" i="15"/>
  <c r="K34" i="15"/>
  <c r="K33" i="15"/>
  <c r="K47" i="15"/>
  <c r="K12" i="15"/>
  <c r="K19" i="15"/>
  <c r="K21" i="15"/>
  <c r="K20" i="15"/>
  <c r="M24" i="15"/>
  <c r="J52" i="16" l="1"/>
  <c r="S42" i="16"/>
  <c r="S41" i="16" s="1"/>
  <c r="R41" i="16"/>
  <c r="M26" i="16"/>
  <c r="K51" i="16"/>
  <c r="K38" i="16"/>
  <c r="K36" i="16"/>
  <c r="L27" i="16"/>
  <c r="L48" i="16"/>
  <c r="L35" i="16"/>
  <c r="L30" i="16"/>
  <c r="L58" i="16"/>
  <c r="L20" i="16"/>
  <c r="R43" i="12"/>
  <c r="R41" i="12"/>
  <c r="R19" i="12" s="1"/>
  <c r="S42" i="12"/>
  <c r="K46" i="16"/>
  <c r="K22" i="16"/>
  <c r="K21" i="16"/>
  <c r="K23" i="16"/>
  <c r="K13" i="16"/>
  <c r="O19" i="16"/>
  <c r="O43" i="16"/>
  <c r="L33" i="15"/>
  <c r="L47" i="15"/>
  <c r="L34" i="15"/>
  <c r="N24" i="15"/>
  <c r="L42" i="15"/>
  <c r="L12" i="15"/>
  <c r="L20" i="15"/>
  <c r="L21" i="15"/>
  <c r="L19" i="15"/>
  <c r="K13" i="15"/>
  <c r="K15" i="15"/>
  <c r="K14" i="15"/>
  <c r="P39" i="15"/>
  <c r="P37" i="15"/>
  <c r="P17" i="15" s="1"/>
  <c r="Q38" i="15"/>
  <c r="M18" i="15"/>
  <c r="M44" i="15"/>
  <c r="M32" i="15"/>
  <c r="M54" i="15"/>
  <c r="M25" i="15"/>
  <c r="M27" i="15"/>
  <c r="K48" i="15"/>
  <c r="K17" i="16" l="1"/>
  <c r="K16" i="16"/>
  <c r="K14" i="16"/>
  <c r="M20" i="16"/>
  <c r="M30" i="16"/>
  <c r="M27" i="16"/>
  <c r="M58" i="16"/>
  <c r="M35" i="16"/>
  <c r="M48" i="16"/>
  <c r="L51" i="16"/>
  <c r="L38" i="16"/>
  <c r="L36" i="16"/>
  <c r="S41" i="12"/>
  <c r="S19" i="12" s="1"/>
  <c r="S43" i="12"/>
  <c r="N26" i="16"/>
  <c r="N27" i="16" s="1"/>
  <c r="P43" i="16"/>
  <c r="P19" i="16"/>
  <c r="K52" i="16"/>
  <c r="L23" i="16"/>
  <c r="L13" i="16"/>
  <c r="L22" i="16"/>
  <c r="L21" i="16"/>
  <c r="L46" i="16"/>
  <c r="O24" i="15"/>
  <c r="M21" i="15"/>
  <c r="M19" i="15"/>
  <c r="M20" i="15"/>
  <c r="M12" i="15"/>
  <c r="Q37" i="15"/>
  <c r="Q17" i="15" s="1"/>
  <c r="Q39" i="15"/>
  <c r="R38" i="15"/>
  <c r="L14" i="15"/>
  <c r="L13" i="15"/>
  <c r="L15" i="15"/>
  <c r="M42" i="15"/>
  <c r="M34" i="15"/>
  <c r="M47" i="15"/>
  <c r="M33" i="15"/>
  <c r="L48" i="15"/>
  <c r="N18" i="15"/>
  <c r="N25" i="15"/>
  <c r="N54" i="15"/>
  <c r="N32" i="15"/>
  <c r="N44" i="15"/>
  <c r="N27" i="15"/>
  <c r="M51" i="16" l="1"/>
  <c r="M52" i="16" s="1"/>
  <c r="L52" i="16"/>
  <c r="M21" i="16"/>
  <c r="M22" i="16"/>
  <c r="M23" i="16"/>
  <c r="M13" i="16"/>
  <c r="L16" i="16"/>
  <c r="L14" i="16"/>
  <c r="L17" i="16"/>
  <c r="N20" i="16"/>
  <c r="N30" i="16"/>
  <c r="N58" i="16"/>
  <c r="N35" i="16"/>
  <c r="N48" i="16"/>
  <c r="M36" i="16"/>
  <c r="M38" i="16"/>
  <c r="O26" i="16"/>
  <c r="M46" i="16"/>
  <c r="Q19" i="16"/>
  <c r="Q43" i="16"/>
  <c r="P24" i="15"/>
  <c r="R37" i="15"/>
  <c r="R17" i="15" s="1"/>
  <c r="R39" i="15"/>
  <c r="S38" i="15"/>
  <c r="O54" i="15"/>
  <c r="O18" i="15"/>
  <c r="O32" i="15"/>
  <c r="O44" i="15"/>
  <c r="O25" i="15"/>
  <c r="O27" i="15"/>
  <c r="N42" i="15"/>
  <c r="N12" i="15"/>
  <c r="N19" i="15"/>
  <c r="N21" i="15"/>
  <c r="N20" i="15"/>
  <c r="M48" i="15"/>
  <c r="N33" i="15"/>
  <c r="N47" i="15"/>
  <c r="N34" i="15"/>
  <c r="M13" i="15"/>
  <c r="M14" i="15"/>
  <c r="M15" i="15"/>
  <c r="N51" i="16" l="1"/>
  <c r="N52" i="16" s="1"/>
  <c r="N38" i="16"/>
  <c r="N36" i="16"/>
  <c r="N46" i="16"/>
  <c r="R43" i="16"/>
  <c r="R19" i="16"/>
  <c r="N22" i="16"/>
  <c r="N21" i="16"/>
  <c r="N23" i="16"/>
  <c r="N13" i="16"/>
  <c r="O27" i="16"/>
  <c r="O30" i="16"/>
  <c r="O35" i="16"/>
  <c r="O20" i="16"/>
  <c r="O58" i="16"/>
  <c r="O48" i="16"/>
  <c r="P26" i="16"/>
  <c r="M17" i="16"/>
  <c r="M16" i="16"/>
  <c r="M14" i="16"/>
  <c r="N48" i="15"/>
  <c r="P32" i="15"/>
  <c r="P25" i="15"/>
  <c r="P27" i="15"/>
  <c r="P44" i="15"/>
  <c r="P54" i="15"/>
  <c r="P18" i="15"/>
  <c r="Q24" i="15"/>
  <c r="O47" i="15"/>
  <c r="O33" i="15"/>
  <c r="O34" i="15"/>
  <c r="O20" i="15"/>
  <c r="O12" i="15"/>
  <c r="O21" i="15"/>
  <c r="O19" i="15"/>
  <c r="O42" i="15"/>
  <c r="S37" i="15"/>
  <c r="S17" i="15" s="1"/>
  <c r="S39" i="15"/>
  <c r="N13" i="15"/>
  <c r="N15" i="15"/>
  <c r="N14" i="15"/>
  <c r="S19" i="16" l="1"/>
  <c r="S43" i="16"/>
  <c r="P27" i="16"/>
  <c r="P35" i="16"/>
  <c r="P30" i="16"/>
  <c r="P20" i="16"/>
  <c r="P58" i="16"/>
  <c r="P48" i="16"/>
  <c r="Q26" i="16"/>
  <c r="O22" i="16"/>
  <c r="O21" i="16"/>
  <c r="O23" i="16"/>
  <c r="O13" i="16"/>
  <c r="O51" i="16"/>
  <c r="N16" i="16"/>
  <c r="N17" i="16"/>
  <c r="N14" i="16"/>
  <c r="O38" i="16"/>
  <c r="O36" i="16"/>
  <c r="O46" i="16"/>
  <c r="O48" i="15"/>
  <c r="O14" i="15"/>
  <c r="O13" i="15"/>
  <c r="O15" i="15"/>
  <c r="P33" i="15"/>
  <c r="P47" i="15"/>
  <c r="P34" i="15"/>
  <c r="P42" i="15"/>
  <c r="R24" i="15"/>
  <c r="Q25" i="15"/>
  <c r="Q54" i="15"/>
  <c r="Q18" i="15"/>
  <c r="Q44" i="15"/>
  <c r="Q27" i="15"/>
  <c r="Q32" i="15"/>
  <c r="P20" i="15"/>
  <c r="P19" i="15"/>
  <c r="P21" i="15"/>
  <c r="P12" i="15"/>
  <c r="P38" i="16" l="1"/>
  <c r="P36" i="16"/>
  <c r="O16" i="16"/>
  <c r="O14" i="16"/>
  <c r="O17" i="16"/>
  <c r="O52" i="16"/>
  <c r="Q27" i="16"/>
  <c r="Q30" i="16"/>
  <c r="Q35" i="16"/>
  <c r="Q58" i="16"/>
  <c r="Q20" i="16"/>
  <c r="Q48" i="16"/>
  <c r="P51" i="16"/>
  <c r="S26" i="16"/>
  <c r="R26" i="16"/>
  <c r="P46" i="16"/>
  <c r="P23" i="16"/>
  <c r="P22" i="16"/>
  <c r="P21" i="16"/>
  <c r="P13" i="16"/>
  <c r="P48" i="15"/>
  <c r="S24" i="15"/>
  <c r="T24" i="15"/>
  <c r="Q47" i="15"/>
  <c r="Q33" i="15"/>
  <c r="Q34" i="15"/>
  <c r="R44" i="15"/>
  <c r="R32" i="15"/>
  <c r="R54" i="15"/>
  <c r="R27" i="15"/>
  <c r="R25" i="15"/>
  <c r="R18" i="15"/>
  <c r="Q19" i="15"/>
  <c r="Q20" i="15"/>
  <c r="Q12" i="15"/>
  <c r="Q21" i="15"/>
  <c r="P15" i="15"/>
  <c r="P14" i="15"/>
  <c r="P13" i="15"/>
  <c r="Q42" i="15"/>
  <c r="U27" i="15" l="1"/>
  <c r="U25" i="15"/>
  <c r="Q51" i="16"/>
  <c r="Q52" i="16" s="1"/>
  <c r="P52" i="16"/>
  <c r="Q22" i="16"/>
  <c r="Q21" i="16"/>
  <c r="Q23" i="16"/>
  <c r="Q13" i="16"/>
  <c r="Q46" i="16"/>
  <c r="Q38" i="16"/>
  <c r="Q36" i="16"/>
  <c r="P14" i="16"/>
  <c r="P16" i="16"/>
  <c r="P17" i="16"/>
  <c r="R27" i="16"/>
  <c r="R20" i="16"/>
  <c r="R35" i="16"/>
  <c r="R30" i="16"/>
  <c r="R58" i="16"/>
  <c r="R48" i="16"/>
  <c r="S27" i="16"/>
  <c r="S35" i="16"/>
  <c r="S30" i="16"/>
  <c r="S20" i="16"/>
  <c r="S58" i="16"/>
  <c r="S48" i="16"/>
  <c r="T30" i="16"/>
  <c r="T27" i="16"/>
  <c r="T27" i="15"/>
  <c r="T54" i="15"/>
  <c r="T25" i="15"/>
  <c r="T18" i="15"/>
  <c r="T44" i="15"/>
  <c r="T32" i="15"/>
  <c r="U33" i="15" s="1"/>
  <c r="S27" i="15"/>
  <c r="S54" i="15"/>
  <c r="S18" i="15"/>
  <c r="S44" i="15"/>
  <c r="S25" i="15"/>
  <c r="S32" i="15"/>
  <c r="R20" i="15"/>
  <c r="R12" i="15"/>
  <c r="R19" i="15"/>
  <c r="R21" i="15"/>
  <c r="Q15" i="15"/>
  <c r="Q14" i="15"/>
  <c r="Q13" i="15"/>
  <c r="R42" i="15"/>
  <c r="Q48" i="15"/>
  <c r="R47" i="15"/>
  <c r="R34" i="15"/>
  <c r="R33" i="15"/>
  <c r="U19" i="15" l="1"/>
  <c r="U21" i="15"/>
  <c r="R51" i="16"/>
  <c r="R52" i="16" s="1"/>
  <c r="R46" i="16"/>
  <c r="S38" i="16"/>
  <c r="S36" i="16"/>
  <c r="T36" i="16"/>
  <c r="R38" i="16"/>
  <c r="R36" i="16"/>
  <c r="S22" i="16"/>
  <c r="S21" i="16"/>
  <c r="S23" i="16"/>
  <c r="T23" i="16"/>
  <c r="T21" i="16"/>
  <c r="S13" i="16"/>
  <c r="S51" i="16"/>
  <c r="R23" i="16"/>
  <c r="R22" i="16"/>
  <c r="R21" i="16"/>
  <c r="R13" i="16"/>
  <c r="Q14" i="16"/>
  <c r="Q16" i="16"/>
  <c r="Q17" i="16"/>
  <c r="S46" i="16"/>
  <c r="S33" i="15"/>
  <c r="S47" i="15"/>
  <c r="S34" i="15"/>
  <c r="T34" i="15"/>
  <c r="T47" i="15"/>
  <c r="U48" i="15" s="1"/>
  <c r="T33" i="15"/>
  <c r="S21" i="15"/>
  <c r="S19" i="15"/>
  <c r="S12" i="15"/>
  <c r="S20" i="15"/>
  <c r="T12" i="15"/>
  <c r="T19" i="15"/>
  <c r="T20" i="15"/>
  <c r="T21" i="15"/>
  <c r="S42" i="15"/>
  <c r="T42" i="15"/>
  <c r="R14" i="15"/>
  <c r="R15" i="15"/>
  <c r="R13" i="15"/>
  <c r="R48" i="15"/>
  <c r="U13" i="15" l="1"/>
  <c r="U15" i="15"/>
  <c r="S52" i="16"/>
  <c r="T52" i="16"/>
  <c r="S17" i="16"/>
  <c r="S14" i="16"/>
  <c r="S16" i="16"/>
  <c r="T17" i="16"/>
  <c r="T14" i="16"/>
  <c r="R17" i="16"/>
  <c r="R16" i="16"/>
  <c r="R14" i="16"/>
  <c r="S14" i="15"/>
  <c r="S13" i="15"/>
  <c r="S15" i="15"/>
  <c r="T48" i="15"/>
  <c r="S48" i="15"/>
  <c r="T13" i="15"/>
  <c r="T15" i="15"/>
  <c r="T14" i="15"/>
  <c r="AU99" i="11"/>
  <c r="X90" i="11"/>
  <c r="J67" i="12" l="1"/>
  <c r="J67" i="16" s="1"/>
  <c r="L94" i="12"/>
  <c r="X89" i="11"/>
  <c r="AU95" i="11"/>
  <c r="AU90" i="11"/>
  <c r="AX90" i="11" s="1"/>
  <c r="J63" i="15" l="1"/>
  <c r="AU89" i="11"/>
  <c r="AB89" i="11"/>
  <c r="I56" i="16"/>
  <c r="I55" i="16" s="1"/>
  <c r="I56" i="12"/>
  <c r="I55" i="12" s="1"/>
  <c r="AU96" i="11"/>
  <c r="I58" i="16"/>
  <c r="I58" i="12"/>
  <c r="I54" i="15"/>
  <c r="I52" i="15"/>
  <c r="I51" i="15" s="1"/>
  <c r="AV89" i="11" l="1"/>
  <c r="AB90" i="11"/>
  <c r="I77" i="16"/>
  <c r="I73" i="15"/>
  <c r="I77" i="12"/>
  <c r="I59" i="16"/>
  <c r="I46" i="16"/>
  <c r="I59" i="12"/>
  <c r="I46" i="12"/>
  <c r="I42" i="15"/>
  <c r="I55" i="15"/>
  <c r="K51" i="15"/>
  <c r="J52" i="15"/>
  <c r="AB95" i="11" l="1"/>
  <c r="AV90" i="11"/>
  <c r="J54" i="15"/>
  <c r="K52" i="15"/>
  <c r="L51" i="15"/>
  <c r="K57" i="15" l="1"/>
  <c r="K80" i="15" s="1"/>
  <c r="J56" i="12"/>
  <c r="J56" i="16"/>
  <c r="J55" i="16" s="1"/>
  <c r="K55" i="16" s="1"/>
  <c r="AB96" i="11"/>
  <c r="AC95" i="11"/>
  <c r="J55" i="15"/>
  <c r="J42" i="15"/>
  <c r="J57" i="15"/>
  <c r="M51" i="15"/>
  <c r="L52" i="15"/>
  <c r="L57" i="15" s="1"/>
  <c r="L80" i="15" s="1"/>
  <c r="K58" i="15"/>
  <c r="AC96" i="11" l="1"/>
  <c r="AD95" i="11"/>
  <c r="L55" i="16"/>
  <c r="K56" i="16"/>
  <c r="J60" i="15"/>
  <c r="J58" i="15"/>
  <c r="L58" i="15"/>
  <c r="M52" i="15"/>
  <c r="M57" i="15" s="1"/>
  <c r="M80" i="15" s="1"/>
  <c r="N51" i="15"/>
  <c r="M55" i="16" l="1"/>
  <c r="L56" i="16"/>
  <c r="L61" i="16" s="1"/>
  <c r="AD96" i="11"/>
  <c r="AV95" i="11"/>
  <c r="J58" i="12" s="1"/>
  <c r="B32" i="26" s="1"/>
  <c r="B33" i="26" s="1"/>
  <c r="J80" i="15"/>
  <c r="J72" i="15"/>
  <c r="J64" i="15"/>
  <c r="J69" i="15"/>
  <c r="J67" i="15"/>
  <c r="J73" i="15"/>
  <c r="K60" i="15"/>
  <c r="J70" i="15"/>
  <c r="J61" i="15"/>
  <c r="J65" i="15"/>
  <c r="J66" i="15"/>
  <c r="J84" i="16"/>
  <c r="J71" i="16"/>
  <c r="J73" i="16"/>
  <c r="J76" i="16"/>
  <c r="J101" i="16" s="1"/>
  <c r="I103" i="16" s="1"/>
  <c r="J84" i="12"/>
  <c r="J71" i="12"/>
  <c r="M58" i="15"/>
  <c r="O51" i="15"/>
  <c r="N52" i="15"/>
  <c r="N57" i="15" s="1"/>
  <c r="N80" i="15" s="1"/>
  <c r="J58" i="16" l="1"/>
  <c r="AV96" i="11"/>
  <c r="L84" i="16"/>
  <c r="L62" i="16"/>
  <c r="N55" i="16"/>
  <c r="M56" i="16"/>
  <c r="M61" i="16" s="1"/>
  <c r="K70" i="15"/>
  <c r="K69" i="15"/>
  <c r="K72" i="15"/>
  <c r="K65" i="15"/>
  <c r="K64" i="15"/>
  <c r="K66" i="15"/>
  <c r="K67" i="15"/>
  <c r="L60" i="15"/>
  <c r="K61" i="15"/>
  <c r="K73" i="15"/>
  <c r="N58" i="15"/>
  <c r="O52" i="15"/>
  <c r="O57" i="15" s="1"/>
  <c r="O80" i="15" s="1"/>
  <c r="P51" i="15"/>
  <c r="N56" i="16" l="1"/>
  <c r="N61" i="16" s="1"/>
  <c r="O55" i="16"/>
  <c r="M84" i="16"/>
  <c r="M62" i="16"/>
  <c r="J59" i="16"/>
  <c r="J46" i="16"/>
  <c r="K61" i="16"/>
  <c r="J70" i="16"/>
  <c r="J74" i="16"/>
  <c r="J77" i="16"/>
  <c r="J69" i="16"/>
  <c r="J68" i="16"/>
  <c r="J46" i="12"/>
  <c r="J68" i="12"/>
  <c r="L61" i="15"/>
  <c r="L73" i="15"/>
  <c r="L72" i="15"/>
  <c r="L66" i="15"/>
  <c r="L64" i="15"/>
  <c r="L70" i="15"/>
  <c r="L69" i="15"/>
  <c r="M60" i="15"/>
  <c r="L65" i="15"/>
  <c r="P52" i="15"/>
  <c r="P57" i="15" s="1"/>
  <c r="P80" i="15" s="1"/>
  <c r="Q51" i="15"/>
  <c r="O58" i="15"/>
  <c r="K84" i="16" l="1"/>
  <c r="K62" i="16"/>
  <c r="K64" i="16"/>
  <c r="P55" i="16"/>
  <c r="O56" i="16"/>
  <c r="O61" i="16" s="1"/>
  <c r="N84" i="16"/>
  <c r="N62" i="16"/>
  <c r="M70" i="15"/>
  <c r="M69" i="15"/>
  <c r="M65" i="15"/>
  <c r="M61" i="15"/>
  <c r="M64" i="15"/>
  <c r="N60" i="15"/>
  <c r="M66" i="15"/>
  <c r="M72" i="15"/>
  <c r="M73" i="15"/>
  <c r="R51" i="15"/>
  <c r="Q52" i="15"/>
  <c r="Q57" i="15" s="1"/>
  <c r="Q80" i="15" s="1"/>
  <c r="P58" i="15"/>
  <c r="Q55" i="16" l="1"/>
  <c r="P56" i="16"/>
  <c r="P61" i="16" s="1"/>
  <c r="O84" i="16"/>
  <c r="O62" i="16"/>
  <c r="L64" i="16"/>
  <c r="K71" i="16"/>
  <c r="K70" i="16"/>
  <c r="K76" i="16"/>
  <c r="K101" i="16" s="1"/>
  <c r="J103" i="16" s="1"/>
  <c r="K68" i="16"/>
  <c r="K77" i="16"/>
  <c r="K65" i="16"/>
  <c r="K74" i="16"/>
  <c r="K69" i="16"/>
  <c r="K73" i="16"/>
  <c r="N66" i="15"/>
  <c r="N65" i="15"/>
  <c r="N70" i="15"/>
  <c r="N72" i="15"/>
  <c r="N64" i="15"/>
  <c r="O60" i="15"/>
  <c r="N69" i="15"/>
  <c r="N73" i="15"/>
  <c r="N61" i="15"/>
  <c r="Q58" i="15"/>
  <c r="R52" i="15"/>
  <c r="R57" i="15" s="1"/>
  <c r="R80" i="15" s="1"/>
  <c r="S51" i="15"/>
  <c r="L73" i="16" l="1"/>
  <c r="M64" i="16"/>
  <c r="L68" i="16"/>
  <c r="L70" i="16"/>
  <c r="L74" i="16"/>
  <c r="L77" i="16"/>
  <c r="L69" i="16"/>
  <c r="L76" i="16"/>
  <c r="L101" i="16" s="1"/>
  <c r="K103" i="16" s="1"/>
  <c r="L65" i="16"/>
  <c r="P84" i="16"/>
  <c r="P62" i="16"/>
  <c r="R55" i="16"/>
  <c r="Q56" i="16"/>
  <c r="Q61" i="16" s="1"/>
  <c r="O61" i="15"/>
  <c r="O72" i="15"/>
  <c r="O70" i="15"/>
  <c r="O65" i="15"/>
  <c r="O69" i="15"/>
  <c r="P60" i="15"/>
  <c r="O73" i="15"/>
  <c r="O66" i="15"/>
  <c r="O64" i="15"/>
  <c r="T51" i="15"/>
  <c r="S52" i="15"/>
  <c r="S57" i="15" s="1"/>
  <c r="S80" i="15" s="1"/>
  <c r="R58" i="15"/>
  <c r="S55" i="16" l="1"/>
  <c r="R56" i="16"/>
  <c r="R61" i="16" s="1"/>
  <c r="Q84" i="16"/>
  <c r="Q62" i="16"/>
  <c r="M68" i="16"/>
  <c r="M70" i="16"/>
  <c r="M73" i="16"/>
  <c r="M69" i="16"/>
  <c r="M77" i="16"/>
  <c r="N64" i="16"/>
  <c r="M74" i="16"/>
  <c r="M76" i="16"/>
  <c r="M101" i="16" s="1"/>
  <c r="L103" i="16" s="1"/>
  <c r="M65" i="16"/>
  <c r="P61" i="15"/>
  <c r="P73" i="15"/>
  <c r="Q60" i="15"/>
  <c r="P72" i="15"/>
  <c r="P64" i="15"/>
  <c r="P70" i="15"/>
  <c r="P69" i="15"/>
  <c r="P66" i="15"/>
  <c r="P65" i="15"/>
  <c r="T52" i="15"/>
  <c r="T57" i="15" s="1"/>
  <c r="U51" i="15"/>
  <c r="U52" i="15" s="1"/>
  <c r="U57" i="15" s="1"/>
  <c r="U58" i="15" s="1"/>
  <c r="I91" i="15"/>
  <c r="S58" i="15"/>
  <c r="N73" i="16" l="1"/>
  <c r="N68" i="16"/>
  <c r="N69" i="16"/>
  <c r="N70" i="16"/>
  <c r="O64" i="16"/>
  <c r="N77" i="16"/>
  <c r="N65" i="16"/>
  <c r="N74" i="16"/>
  <c r="N76" i="16"/>
  <c r="R84" i="16"/>
  <c r="R62" i="16"/>
  <c r="T55" i="16"/>
  <c r="S56" i="16"/>
  <c r="S61" i="16" s="1"/>
  <c r="Q64" i="15"/>
  <c r="Q66" i="15"/>
  <c r="Q73" i="15"/>
  <c r="Q70" i="15"/>
  <c r="Q72" i="15"/>
  <c r="R60" i="15"/>
  <c r="Q65" i="15"/>
  <c r="Q69" i="15"/>
  <c r="Q61" i="15"/>
  <c r="T58" i="15"/>
  <c r="T80" i="15"/>
  <c r="J81" i="15" s="1"/>
  <c r="S84" i="16" l="1"/>
  <c r="S62" i="16"/>
  <c r="O73" i="16"/>
  <c r="O65" i="16"/>
  <c r="P64" i="16"/>
  <c r="O68" i="16"/>
  <c r="O69" i="16"/>
  <c r="O70" i="16"/>
  <c r="O74" i="16"/>
  <c r="O77" i="16"/>
  <c r="O76" i="16"/>
  <c r="T56" i="16"/>
  <c r="T61" i="16" s="1"/>
  <c r="U55" i="16"/>
  <c r="U56" i="16" s="1"/>
  <c r="U61" i="16" s="1"/>
  <c r="U62" i="16" s="1"/>
  <c r="S60" i="15"/>
  <c r="R73" i="15"/>
  <c r="R66" i="15"/>
  <c r="R70" i="15"/>
  <c r="R64" i="15"/>
  <c r="R65" i="15"/>
  <c r="R61" i="15"/>
  <c r="R72" i="15"/>
  <c r="R69" i="15"/>
  <c r="P65" i="16" l="1"/>
  <c r="P77" i="16"/>
  <c r="Q64" i="16"/>
  <c r="P73" i="16"/>
  <c r="P74" i="16"/>
  <c r="P69" i="16"/>
  <c r="P68" i="16"/>
  <c r="P70" i="16"/>
  <c r="P76" i="16"/>
  <c r="T62" i="16"/>
  <c r="T84" i="16"/>
  <c r="J85" i="16" s="1"/>
  <c r="J95" i="16" s="1"/>
  <c r="S73" i="15"/>
  <c r="T60" i="15"/>
  <c r="S70" i="15"/>
  <c r="S65" i="15"/>
  <c r="S69" i="15"/>
  <c r="S72" i="15"/>
  <c r="S66" i="15"/>
  <c r="S61" i="15"/>
  <c r="S64" i="15"/>
  <c r="Q65" i="16" l="1"/>
  <c r="Q74" i="16"/>
  <c r="Q76" i="16"/>
  <c r="Q69" i="16"/>
  <c r="Q70" i="16"/>
  <c r="R64" i="16"/>
  <c r="Q73" i="16"/>
  <c r="Q68" i="16"/>
  <c r="Q77" i="16"/>
  <c r="U60" i="15"/>
  <c r="T69" i="15"/>
  <c r="T64" i="15"/>
  <c r="T65" i="15"/>
  <c r="T70" i="15"/>
  <c r="T66" i="15"/>
  <c r="T73" i="15"/>
  <c r="T61" i="15"/>
  <c r="T72" i="15"/>
  <c r="R73" i="16" l="1"/>
  <c r="R68" i="16"/>
  <c r="R70" i="16"/>
  <c r="R77" i="16"/>
  <c r="R65" i="16"/>
  <c r="R74" i="16"/>
  <c r="S64" i="16"/>
  <c r="R76" i="16"/>
  <c r="R69" i="16"/>
  <c r="U65" i="15"/>
  <c r="U72" i="15"/>
  <c r="U70" i="15"/>
  <c r="U73" i="15"/>
  <c r="U64" i="15"/>
  <c r="U69" i="15"/>
  <c r="U61" i="15"/>
  <c r="U66" i="15"/>
  <c r="S69" i="16" l="1"/>
  <c r="S74" i="16"/>
  <c r="T64" i="16"/>
  <c r="S65" i="16"/>
  <c r="S70" i="16"/>
  <c r="S68" i="16"/>
  <c r="S76" i="16"/>
  <c r="S73" i="16"/>
  <c r="S77" i="16"/>
  <c r="AV127" i="11"/>
  <c r="AV133" i="11" s="1"/>
  <c r="AV134" i="11" s="1"/>
  <c r="T68" i="16" l="1"/>
  <c r="T77" i="16"/>
  <c r="T76" i="16"/>
  <c r="T69" i="16"/>
  <c r="U64" i="16"/>
  <c r="T70" i="16"/>
  <c r="T74" i="16"/>
  <c r="T73" i="16"/>
  <c r="T65" i="16"/>
  <c r="U73" i="16" l="1"/>
  <c r="U65" i="16"/>
  <c r="U70" i="16"/>
  <c r="U69" i="16"/>
  <c r="U77" i="16"/>
  <c r="U76" i="16"/>
  <c r="U74" i="16"/>
  <c r="U68" i="16"/>
  <c r="J23" i="12" l="1"/>
  <c r="J21" i="12"/>
  <c r="J22" i="12"/>
  <c r="J26" i="12"/>
  <c r="J48" i="12" s="1"/>
  <c r="J29" i="12" l="1"/>
  <c r="K29" i="12" s="1"/>
  <c r="J74" i="12"/>
  <c r="J30" i="12"/>
  <c r="J59" i="12"/>
  <c r="J73" i="12"/>
  <c r="J27" i="12"/>
  <c r="J69" i="12"/>
  <c r="J35" i="12"/>
  <c r="J70" i="12" l="1"/>
  <c r="J38" i="12"/>
  <c r="J36" i="12"/>
  <c r="J51" i="12"/>
  <c r="K26" i="12"/>
  <c r="L29" i="12"/>
  <c r="J52" i="12" l="1"/>
  <c r="J76" i="12"/>
  <c r="J101" i="12" s="1"/>
  <c r="J55" i="12"/>
  <c r="K55" i="12" s="1"/>
  <c r="L55" i="12" s="1"/>
  <c r="M55" i="12" s="1"/>
  <c r="N55" i="12" s="1"/>
  <c r="O55" i="12" s="1"/>
  <c r="P55" i="12" s="1"/>
  <c r="Q55" i="12" s="1"/>
  <c r="R55" i="12" s="1"/>
  <c r="S55" i="12" s="1"/>
  <c r="T55" i="12" s="1"/>
  <c r="U55" i="12" s="1"/>
  <c r="J77" i="12"/>
  <c r="L26" i="12"/>
  <c r="L20" i="12" s="1"/>
  <c r="M29" i="12"/>
  <c r="K27" i="12"/>
  <c r="K35" i="12"/>
  <c r="K30" i="12"/>
  <c r="K20" i="12"/>
  <c r="K58" i="12"/>
  <c r="K48" i="12"/>
  <c r="K36" i="12" l="1"/>
  <c r="K38" i="12"/>
  <c r="K51" i="12"/>
  <c r="M26" i="12"/>
  <c r="N29" i="12"/>
  <c r="L48" i="12"/>
  <c r="L58" i="12"/>
  <c r="L30" i="12"/>
  <c r="L27" i="12"/>
  <c r="L35" i="12"/>
  <c r="K46" i="12"/>
  <c r="K22" i="12"/>
  <c r="K23" i="12"/>
  <c r="K21" i="12"/>
  <c r="K13" i="12"/>
  <c r="I103" i="12"/>
  <c r="L21" i="12" l="1"/>
  <c r="L23" i="12"/>
  <c r="L22" i="12"/>
  <c r="L13" i="12"/>
  <c r="O29" i="12"/>
  <c r="N26" i="12"/>
  <c r="L46" i="12"/>
  <c r="M20" i="12"/>
  <c r="M27" i="12"/>
  <c r="M30" i="12"/>
  <c r="M35" i="12"/>
  <c r="M58" i="12"/>
  <c r="M48" i="12"/>
  <c r="K17" i="12"/>
  <c r="K16" i="12"/>
  <c r="K14" i="12"/>
  <c r="K15" i="12" s="1"/>
  <c r="L36" i="12"/>
  <c r="L51" i="12"/>
  <c r="L38" i="12"/>
  <c r="K56" i="12"/>
  <c r="K61" i="12" s="1"/>
  <c r="K52" i="12"/>
  <c r="K62" i="12" l="1"/>
  <c r="K84" i="12"/>
  <c r="K64" i="12"/>
  <c r="M51" i="12"/>
  <c r="M36" i="12"/>
  <c r="M38" i="12"/>
  <c r="L56" i="12"/>
  <c r="L61" i="12" s="1"/>
  <c r="L52" i="12"/>
  <c r="M46" i="12"/>
  <c r="N30" i="12"/>
  <c r="N48" i="12"/>
  <c r="N58" i="12"/>
  <c r="N27" i="12"/>
  <c r="N20" i="12"/>
  <c r="N35" i="12"/>
  <c r="P29" i="12"/>
  <c r="O26" i="12"/>
  <c r="L16" i="12"/>
  <c r="L14" i="12"/>
  <c r="L15" i="12" s="1"/>
  <c r="L17" i="12"/>
  <c r="M13" i="12"/>
  <c r="M23" i="12"/>
  <c r="M22" i="12"/>
  <c r="M21" i="12"/>
  <c r="N46" i="12" l="1"/>
  <c r="O30" i="12"/>
  <c r="O48" i="12"/>
  <c r="O35" i="12"/>
  <c r="O27" i="12"/>
  <c r="O58" i="12"/>
  <c r="O20" i="12"/>
  <c r="M56" i="12"/>
  <c r="M61" i="12" s="1"/>
  <c r="M52" i="12"/>
  <c r="M17" i="12"/>
  <c r="M16" i="12"/>
  <c r="M14" i="12"/>
  <c r="M15" i="12" s="1"/>
  <c r="L84" i="12"/>
  <c r="L62" i="12"/>
  <c r="P26" i="12"/>
  <c r="Q29" i="12"/>
  <c r="K77" i="12"/>
  <c r="K73" i="12"/>
  <c r="K65" i="12"/>
  <c r="K76" i="12"/>
  <c r="K101" i="12" s="1"/>
  <c r="L64" i="12"/>
  <c r="K71" i="12"/>
  <c r="K74" i="12"/>
  <c r="K70" i="12"/>
  <c r="K68" i="12"/>
  <c r="K69" i="12"/>
  <c r="N38" i="12"/>
  <c r="N51" i="12"/>
  <c r="N36" i="12"/>
  <c r="N21" i="12"/>
  <c r="N22" i="12"/>
  <c r="N23" i="12"/>
  <c r="N13" i="12"/>
  <c r="N56" i="12" l="1"/>
  <c r="N61" i="12" s="1"/>
  <c r="N52" i="12"/>
  <c r="O38" i="12"/>
  <c r="O36" i="12"/>
  <c r="O51" i="12"/>
  <c r="N17" i="12"/>
  <c r="N16" i="12"/>
  <c r="N14" i="12"/>
  <c r="N15" i="12" s="1"/>
  <c r="R29" i="12"/>
  <c r="Q26" i="12"/>
  <c r="M62" i="12"/>
  <c r="M84" i="12"/>
  <c r="J103" i="12"/>
  <c r="P27" i="12"/>
  <c r="P20" i="12"/>
  <c r="P30" i="12"/>
  <c r="P35" i="12"/>
  <c r="P48" i="12"/>
  <c r="P58" i="12"/>
  <c r="O22" i="12"/>
  <c r="O23" i="12"/>
  <c r="O13" i="12"/>
  <c r="O21" i="12"/>
  <c r="L65" i="12"/>
  <c r="L77" i="12"/>
  <c r="L73" i="12"/>
  <c r="M64" i="12"/>
  <c r="L74" i="12"/>
  <c r="L76" i="12"/>
  <c r="L101" i="12" s="1"/>
  <c r="K103" i="12" s="1"/>
  <c r="L68" i="12"/>
  <c r="L69" i="12"/>
  <c r="L70" i="12"/>
  <c r="O46" i="12"/>
  <c r="P23" i="12" l="1"/>
  <c r="P21" i="12"/>
  <c r="P13" i="12"/>
  <c r="P22" i="12"/>
  <c r="O14" i="12"/>
  <c r="O15" i="12" s="1"/>
  <c r="O16" i="12"/>
  <c r="O17" i="12"/>
  <c r="Q48" i="12"/>
  <c r="Q27" i="12"/>
  <c r="Q30" i="12"/>
  <c r="Q58" i="12"/>
  <c r="Q35" i="12"/>
  <c r="Q20" i="12"/>
  <c r="O56" i="12"/>
  <c r="O61" i="12" s="1"/>
  <c r="O52" i="12"/>
  <c r="N64" i="12"/>
  <c r="M73" i="12"/>
  <c r="M77" i="12"/>
  <c r="M76" i="12"/>
  <c r="M101" i="12" s="1"/>
  <c r="L103" i="12" s="1"/>
  <c r="M65" i="12"/>
  <c r="M74" i="12"/>
  <c r="M70" i="12"/>
  <c r="M68" i="12"/>
  <c r="M69" i="12"/>
  <c r="P46" i="12"/>
  <c r="P51" i="12"/>
  <c r="P36" i="12"/>
  <c r="P38" i="12"/>
  <c r="S29" i="12"/>
  <c r="R26" i="12"/>
  <c r="N62" i="12"/>
  <c r="N84" i="12"/>
  <c r="P52" i="12" l="1"/>
  <c r="P56" i="12"/>
  <c r="P61" i="12" s="1"/>
  <c r="P17" i="12"/>
  <c r="P14" i="12"/>
  <c r="P15" i="12" s="1"/>
  <c r="P16" i="12"/>
  <c r="Q38" i="12"/>
  <c r="Q51" i="12"/>
  <c r="Q36" i="12"/>
  <c r="O62" i="12"/>
  <c r="O84" i="12"/>
  <c r="Q21" i="12"/>
  <c r="Q13" i="12"/>
  <c r="Q22" i="12"/>
  <c r="Q23" i="12"/>
  <c r="Q46" i="12"/>
  <c r="R20" i="12"/>
  <c r="R35" i="12"/>
  <c r="R48" i="12"/>
  <c r="R58" i="12"/>
  <c r="R30" i="12"/>
  <c r="R27" i="12"/>
  <c r="T29" i="12"/>
  <c r="S26" i="12"/>
  <c r="N76" i="12"/>
  <c r="N74" i="12"/>
  <c r="O64" i="12"/>
  <c r="N65" i="12"/>
  <c r="N73" i="12"/>
  <c r="N77" i="12"/>
  <c r="N68" i="12"/>
  <c r="N69" i="12"/>
  <c r="N70" i="12"/>
  <c r="Q17" i="12" l="1"/>
  <c r="Q16" i="12"/>
  <c r="Q14" i="12"/>
  <c r="Q15" i="12" s="1"/>
  <c r="P84" i="12"/>
  <c r="P62" i="12"/>
  <c r="Q56" i="12"/>
  <c r="Q61" i="12" s="1"/>
  <c r="Q52" i="12"/>
  <c r="R46" i="12"/>
  <c r="O74" i="12"/>
  <c r="P64" i="12"/>
  <c r="O65" i="12"/>
  <c r="O77" i="12"/>
  <c r="O73" i="12"/>
  <c r="O76" i="12"/>
  <c r="O68" i="12"/>
  <c r="O69" i="12"/>
  <c r="O70" i="12"/>
  <c r="R51" i="12"/>
  <c r="R36" i="12"/>
  <c r="R38" i="12"/>
  <c r="R21" i="12"/>
  <c r="R22" i="12"/>
  <c r="R13" i="12"/>
  <c r="R23" i="12"/>
  <c r="S30" i="12"/>
  <c r="S58" i="12"/>
  <c r="S20" i="12"/>
  <c r="S48" i="12"/>
  <c r="S35" i="12"/>
  <c r="S27" i="12"/>
  <c r="U29" i="12"/>
  <c r="U26" i="12" s="1"/>
  <c r="T26" i="12"/>
  <c r="S46" i="12" l="1"/>
  <c r="Q64" i="12"/>
  <c r="P76" i="12"/>
  <c r="P73" i="12"/>
  <c r="P77" i="12"/>
  <c r="P65" i="12"/>
  <c r="P74" i="12"/>
  <c r="P70" i="12"/>
  <c r="P68" i="12"/>
  <c r="P69" i="12"/>
  <c r="T58" i="12"/>
  <c r="T27" i="12"/>
  <c r="T35" i="12"/>
  <c r="T30" i="12"/>
  <c r="T20" i="12"/>
  <c r="T48" i="12"/>
  <c r="U27" i="12"/>
  <c r="U48" i="12"/>
  <c r="U58" i="12"/>
  <c r="U20" i="12"/>
  <c r="U30" i="12"/>
  <c r="U35" i="12"/>
  <c r="R14" i="12"/>
  <c r="R15" i="12" s="1"/>
  <c r="R16" i="12"/>
  <c r="R17" i="12"/>
  <c r="S36" i="12"/>
  <c r="S38" i="12"/>
  <c r="S51" i="12"/>
  <c r="S13" i="12"/>
  <c r="S23" i="12"/>
  <c r="S22" i="12"/>
  <c r="S21" i="12"/>
  <c r="Q84" i="12"/>
  <c r="Q62" i="12"/>
  <c r="R56" i="12"/>
  <c r="R61" i="12" s="1"/>
  <c r="R52" i="12"/>
  <c r="T46" i="12" l="1"/>
  <c r="S17" i="12"/>
  <c r="S16" i="12"/>
  <c r="S14" i="12"/>
  <c r="S15" i="12" s="1"/>
  <c r="T36" i="12"/>
  <c r="T38" i="12"/>
  <c r="T51" i="12"/>
  <c r="S56" i="12"/>
  <c r="S61" i="12" s="1"/>
  <c r="S52" i="12"/>
  <c r="Q65" i="12"/>
  <c r="R64" i="12"/>
  <c r="Q74" i="12"/>
  <c r="Q76" i="12"/>
  <c r="Q73" i="12"/>
  <c r="Q77" i="12"/>
  <c r="Q68" i="12"/>
  <c r="Q70" i="12"/>
  <c r="Q69" i="12"/>
  <c r="T21" i="12"/>
  <c r="T22" i="12"/>
  <c r="T23" i="12"/>
  <c r="T13" i="12"/>
  <c r="U23" i="12"/>
  <c r="U21" i="12"/>
  <c r="U22" i="12"/>
  <c r="U13" i="12"/>
  <c r="R62" i="12"/>
  <c r="R84" i="12"/>
  <c r="U46" i="12"/>
  <c r="U36" i="12"/>
  <c r="U51" i="12"/>
  <c r="U38" i="12"/>
  <c r="T83" i="12" l="1"/>
  <c r="U56" i="12"/>
  <c r="U61" i="12" s="1"/>
  <c r="U62" i="12" s="1"/>
  <c r="U52" i="12"/>
  <c r="S84" i="12"/>
  <c r="S62" i="12"/>
  <c r="R73" i="12"/>
  <c r="R76" i="12"/>
  <c r="S64" i="12"/>
  <c r="R74" i="12"/>
  <c r="R65" i="12"/>
  <c r="R77" i="12"/>
  <c r="R70" i="12"/>
  <c r="R68" i="12"/>
  <c r="R69" i="12"/>
  <c r="T56" i="12"/>
  <c r="T61" i="12" s="1"/>
  <c r="T52" i="12"/>
  <c r="U17" i="12"/>
  <c r="U14" i="12"/>
  <c r="U15" i="12" s="1"/>
  <c r="U16" i="12"/>
  <c r="T16" i="12"/>
  <c r="T17" i="12"/>
  <c r="T14" i="12"/>
  <c r="T15" i="12" s="1"/>
  <c r="S77" i="12" l="1"/>
  <c r="S73" i="12"/>
  <c r="S65" i="12"/>
  <c r="T64" i="12"/>
  <c r="S76" i="12"/>
  <c r="S74" i="12"/>
  <c r="S70" i="12"/>
  <c r="S68" i="12"/>
  <c r="S69" i="12"/>
  <c r="T84" i="12"/>
  <c r="J85" i="12" s="1"/>
  <c r="J95" i="12" s="1"/>
  <c r="T62" i="12"/>
  <c r="T74" i="12" l="1"/>
  <c r="T65" i="12"/>
  <c r="T77" i="12"/>
  <c r="T76" i="12"/>
  <c r="U64" i="12"/>
  <c r="T73" i="12"/>
  <c r="T69" i="12"/>
  <c r="T68" i="12"/>
  <c r="T70" i="12"/>
  <c r="U74" i="12" l="1"/>
  <c r="U65" i="12"/>
  <c r="U73" i="12"/>
  <c r="U76" i="12"/>
  <c r="U77" i="12"/>
  <c r="U69" i="12"/>
  <c r="U68" i="12"/>
  <c r="U70"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tc={7F143131-211E-4C0A-9846-8ADB0BE9E1AE}</author>
    <author>tc={6BD2BA67-CB0C-4C57-8DBF-5B05711D04E3}</author>
    <author>tc={9EC8F043-2D22-496B-9F1A-8C66A60908AB}</author>
    <author>tc={3FBFB28B-5198-48A3-A24D-78E628EE0833}</author>
  </authors>
  <commentList>
    <comment ref="J40" authorId="0" shapeId="0" xr:uid="{7F143131-211E-4C0A-9846-8ADB0BE9E1AE}">
      <text>
        <t>[Threaded comment]
Your version of Excel allows you to read this threaded comment; however, any edits to it will get removed if the file is opened in a newer version of Excel. Learn more: https://go.microsoft.com/fwlink/?linkid=870924
Comment:
    10.4 Per 10K</t>
      </text>
    </comment>
    <comment ref="K40" authorId="1" shapeId="0" xr:uid="{6BD2BA67-CB0C-4C57-8DBF-5B05711D04E3}">
      <text>
        <t>[Threaded comment]
Your version of Excel allows you to read this threaded comment; however, any edits to it will get removed if the file is opened in a newer version of Excel. Learn more: https://go.microsoft.com/fwlink/?linkid=870924
Comment:
    Per 10K</t>
      </text>
    </comment>
    <comment ref="L40" authorId="2" shapeId="0" xr:uid="{9EC8F043-2D22-496B-9F1A-8C66A60908AB}">
      <text>
        <t>[Threaded comment]
Your version of Excel allows you to read this threaded comment; however, any edits to it will get removed if the file is opened in a newer version of Excel. Learn more: https://go.microsoft.com/fwlink/?linkid=870924
Comment:
    Per 10K</t>
      </text>
    </comment>
    <comment ref="M40" authorId="3" shapeId="0" xr:uid="{3FBFB28B-5198-48A3-A24D-78E628EE0833}">
      <text>
        <t>[Threaded comment]
Your version of Excel allows you to read this threaded comment; however, any edits to it will get removed if the file is opened in a newer version of Excel. Learn more: https://go.microsoft.com/fwlink/?linkid=870924
Comment:
    Per 10K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tc={983D10C2-CD32-4BE2-BE73-3580A1DF1335}</author>
    <author>tc={54C88CE6-46E7-4728-AD2F-C00081918B11}</author>
    <author>tc={AF214056-ADFD-42B7-8E0E-9A5B180D7070}</author>
    <author>tc={BC116439-B644-448A-AD5E-7979F4FC9233}</author>
  </authors>
  <commentList>
    <comment ref="J40" authorId="0" shapeId="0" xr:uid="{983D10C2-CD32-4BE2-BE73-3580A1DF1335}">
      <text>
        <t>[Threaded comment]
Your version of Excel allows you to read this threaded comment; however, any edits to it will get removed if the file is opened in a newer version of Excel. Learn more: https://go.microsoft.com/fwlink/?linkid=870924
Comment:
    Per 10K</t>
      </text>
    </comment>
    <comment ref="K40" authorId="1" shapeId="0" xr:uid="{54C88CE6-46E7-4728-AD2F-C00081918B11}">
      <text>
        <t>[Threaded comment]
Your version of Excel allows you to read this threaded comment; however, any edits to it will get removed if the file is opened in a newer version of Excel. Learn more: https://go.microsoft.com/fwlink/?linkid=870924
Comment:
    Per 10K</t>
      </text>
    </comment>
    <comment ref="L40" authorId="2" shapeId="0" xr:uid="{AF214056-ADFD-42B7-8E0E-9A5B180D7070}">
      <text>
        <t>[Threaded comment]
Your version of Excel allows you to read this threaded comment; however, any edits to it will get removed if the file is opened in a newer version of Excel. Learn more: https://go.microsoft.com/fwlink/?linkid=870924
Comment:
    Per 10K</t>
      </text>
    </comment>
    <comment ref="M40" authorId="3" shapeId="0" xr:uid="{BC116439-B644-448A-AD5E-7979F4FC9233}">
      <text>
        <t>[Threaded comment]
Your version of Excel allows you to read this threaded comment; however, any edits to it will get removed if the file is opened in a newer version of Excel. Learn more: https://go.microsoft.com/fwlink/?linkid=870924
Comment:
    Per 10K</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tc={E2E0050B-11D5-4E8C-87EF-148873A2DFE3}</author>
    <author>tc={BE083780-2616-4EF5-BBE1-F680A1F4C35D}</author>
    <author>tc={3AF5DB3B-5406-463E-806E-036CDBF1C31E}</author>
    <author>tc={08AF6CAE-2EB3-4131-8BC8-573F016BEC74}</author>
  </authors>
  <commentList>
    <comment ref="J36" authorId="0" shapeId="0" xr:uid="{E2E0050B-11D5-4E8C-87EF-148873A2DFE3}">
      <text>
        <t>[Threaded comment]
Your version of Excel allows you to read this threaded comment; however, any edits to it will get removed if the file is opened in a newer version of Excel. Learn more: https://go.microsoft.com/fwlink/?linkid=870924
Comment:
    10M - Per 10K</t>
      </text>
    </comment>
    <comment ref="K36" authorId="1" shapeId="0" xr:uid="{BE083780-2616-4EF5-BBE1-F680A1F4C35D}">
      <text>
        <t>[Threaded comment]
Your version of Excel allows you to read this threaded comment; however, any edits to it will get removed if the file is opened in a newer version of Excel. Learn more: https://go.microsoft.com/fwlink/?linkid=870924
Comment:
    Per 10K</t>
      </text>
    </comment>
    <comment ref="L36" authorId="2" shapeId="0" xr:uid="{3AF5DB3B-5406-463E-806E-036CDBF1C31E}">
      <text>
        <t>[Threaded comment]
Your version of Excel allows you to read this threaded comment; however, any edits to it will get removed if the file is opened in a newer version of Excel. Learn more: https://go.microsoft.com/fwlink/?linkid=870924
Comment:
    Per 10K</t>
      </text>
    </comment>
    <comment ref="M36" authorId="3" shapeId="0" xr:uid="{08AF6CAE-2EB3-4131-8BC8-573F016BEC74}">
      <text>
        <t>[Threaded comment]
Your version of Excel allows you to read this threaded comment; however, any edits to it will get removed if the file is opened in a newer version of Excel. Learn more: https://go.microsoft.com/fwlink/?linkid=870924
Comment:
    Per 10K</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tc={9F64BA82-8FAE-4635-8ABD-5DAFB3703F4F}</author>
    <author>tc={090E0CA4-6534-46E1-B869-EF1444017118}</author>
    <author>tc={57BBA19B-4A65-4770-BADD-981441AA010A}</author>
    <author>tc={D8B384EB-1592-44AC-BB00-E82063CF83C4}</author>
    <author>tc={0C35DD62-A936-4161-A97F-5077452CE394}</author>
    <author>tc={56869D50-1EE6-49D7-AEBD-D7C79F8EEBE3}</author>
    <author>tc={6C5B6D10-575E-4EDC-B415-2678ADFC6DC3}</author>
    <author>tc={FFA10F36-229E-4093-A708-0C7325BA383F}</author>
    <author>tc={19475E31-5579-4CB7-854F-2937C257A806}</author>
    <author>tc={DFC748FA-A1AF-4236-964E-885FA5F288F2}</author>
  </authors>
  <commentList>
    <comment ref="I5" authorId="0" shapeId="0" xr:uid="{9F64BA82-8FAE-4635-8ABD-5DAFB3703F4F}">
      <text>
        <t>[Threaded comment]
Your version of Excel allows you to read this threaded comment; however, any edits to it will get removed if the file is opened in a newer version of Excel. Learn more: https://go.microsoft.com/fwlink/?linkid=870924
Comment:
    27 Jan 2020 - Galvanize closes</t>
      </text>
    </comment>
    <comment ref="L5" authorId="1" shapeId="0" xr:uid="{090E0CA4-6534-46E1-B869-EF1444017118}">
      <text>
        <t>[Threaded comment]
Your version of Excel allows you to read this threaded comment; however, any edits to it will get removed if the file is opened in a newer version of Excel. Learn more: https://go.microsoft.com/fwlink/?linkid=870924
Comment:
    Tech Elevator and MedCerts 17 November 2020</t>
      </text>
    </comment>
    <comment ref="AU48" authorId="2" shapeId="0" xr:uid="{57BBA19B-4A65-4770-BADD-981441AA010A}">
      <text>
        <t>[Threaded comment]
Your version of Excel allows you to read this threaded comment; however, any edits to it will get removed if the file is opened in a newer version of Excel. Learn more: https://go.microsoft.com/fwlink/?linkid=870924
Comment:
    28-31 Q3 SBC guide</t>
      </text>
    </comment>
    <comment ref="AV48" authorId="3" shapeId="0" xr:uid="{D8B384EB-1592-44AC-BB00-E82063CF83C4}">
      <text>
        <t>[Threaded comment]
Your version of Excel allows you to read this threaded comment; however, any edits to it will get removed if the file is opened in a newer version of Excel. Learn more: https://go.microsoft.com/fwlink/?linkid=870924
Comment:
    1Q25 guide = 35-39</t>
      </text>
    </comment>
    <comment ref="AU71" authorId="4" shapeId="0" xr:uid="{0C35DD62-A936-4161-A97F-5077452CE394}">
      <text>
        <t>[Threaded comment]
Your version of Excel allows you to read this threaded comment; however, any edits to it will get removed if the file is opened in a newer version of Excel. Learn more: https://go.microsoft.com/fwlink/?linkid=870924
Comment:
    Per 10K</t>
      </text>
    </comment>
    <comment ref="A244" authorId="5" shapeId="0" xr:uid="{56869D50-1EE6-49D7-AEBD-D7C79F8EEBE3}">
      <text>
        <t>[Threaded comment]
Your version of Excel allows you to read this threaded comment; however, any edits to it will get removed if the file is opened in a newer version of Excel. Learn more: https://go.microsoft.com/fwlink/?linkid=870924
Comment:
    10K: “Advertising and marketing costs consist primarily of internet advertising, online marketing, direct mail, print media and television commercials and are expensed when incurred”</t>
      </text>
    </comment>
    <comment ref="A245" authorId="6" shapeId="0" xr:uid="{6C5B6D10-575E-4EDC-B415-2678ADFC6DC3}">
      <text>
        <t>[Threaded comment]
Your version of Excel allows you to read this threaded comment; however, any edits to it will get removed if the file is opened in a newer version of Excel. Learn more: https://go.microsoft.com/fwlink/?linkid=870924
Comment:
    10K: “Advertising and marketing costs consist primarily of internet advertising, online marketing, direct mail, print media and television commercials and are expensed when incurred”</t>
      </text>
    </comment>
    <comment ref="A268" authorId="7" shapeId="0" xr:uid="{FFA10F36-229E-4093-A708-0C7325BA383F}">
      <text>
        <t>[Threaded comment]
Your version of Excel allows you to read this threaded comment; however, any edits to it will get removed if the file is opened in a newer version of Excel. Learn more: https://go.microsoft.com/fwlink/?linkid=870924
Comment:
    10K -  For the years ended June 30, 2024, 2023 and 2022, the Company’s revenues included a reduction for net school operating losses at the schools of $ 17.0 million, $ 23.8  million, and $ 36.3  million, respectively. Because the Company has agreed to absorb any operating losses of the schools, the Company records the expenses incurred by the school as both revenue and expenses in the consolidated statements of operations. Amounts recorded as revenues and expenses for the years ended June 30, 2024, 2023 and 2022, were $ 576.4 million, $ 503.2  million and $ 460.5  million, respectively.</t>
      </text>
    </comment>
    <comment ref="A269" authorId="8" shapeId="0" xr:uid="{19475E31-5579-4CB7-854F-2937C257A806}">
      <text>
        <t>[Threaded comment]
Your version of Excel allows you to read this threaded comment; however, any edits to it will get removed if the file is opened in a newer version of Excel. Learn more: https://go.microsoft.com/fwlink/?linkid=870924
Comment:
    10K -  For the years ended June 30, 2024, 2023 and 2022, the Company’s revenues included a reduction for net school operating losses at the schools of $ 17.0 million, $ 23.8  million, and $ 36.3  million, respectively. Because the Company has agreed to absorb any operating losses of the schools, the Company records the expenses incurred by the school as both revenue and expenses in the consolidated statements of operations. Amounts recorded as revenues and expenses for the years ended June 30, 2024, 2023 and 2022, were $ 576.4 million, $ 503.2  million and $ 460.5  million, respectively.</t>
      </text>
    </comment>
    <comment ref="M338" authorId="9" shapeId="0" xr:uid="{DFC748FA-A1AF-4236-964E-885FA5F288F2}">
      <text>
        <t>[Threaded comment]
Your version of Excel allows you to read this threaded comment; however, any edits to it will get removed if the file is opened in a newer version of Excel. Learn more: https://go.microsoft.com/fwlink/?linkid=870924
Comment:
    Marketable securities not listed as part of 'Other Current Assets'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Canalyst (TK)</author>
    <author>Canalyst (HL)</author>
    <author>Canalyst (KK)</author>
    <author>Canalyst (NH)</author>
    <author>Canalyst (RZ)</author>
    <author>Canalyst (HP)</author>
    <author>Canalyst (RE)</author>
    <author>Canalyst (DWL)</author>
    <author>Canalyst (SD)</author>
    <author>Canalyst (SSR)</author>
    <author>Darren Tong</author>
    <author>Canalyst (RHS)</author>
    <author>Canalyst (SL)</author>
    <author>Canalyst (JA)</author>
  </authors>
  <commentList>
    <comment ref="AA2" authorId="0" shapeId="0" xr:uid="{00000000-0006-0000-0100-000001000000}">
      <text>
        <r>
          <rPr>
            <b/>
            <sz val="9"/>
            <rFont val="Tahoma"/>
            <family val="2"/>
            <charset val="1"/>
          </rPr>
          <t>Canalyst (TK):</t>
        </r>
        <r>
          <rPr>
            <sz val="9"/>
            <rFont val="Tahoma"/>
            <family val="2"/>
            <charset val="1"/>
          </rPr>
          <t xml:space="preserve">
In Q1 2020, product development expenses were reported within SG&amp;A; previously reported as a separate line item.
In Q2 2019, certain amounts were reclassified from interest income, net and other income, net in the income statement, the income statement has been restated to reflect these changes.
In addition, certain items within changes in working capital in the cash flow statement were reclassified in Q2 2019, the cash flow statement has been restated to reflect this change.</t>
        </r>
      </text>
    </comment>
    <comment ref="AB2" authorId="0" shapeId="0" xr:uid="{00000000-0006-0000-0100-000002000000}">
      <text>
        <r>
          <rPr>
            <b/>
            <sz val="9"/>
            <rFont val="Tahoma"/>
            <family val="2"/>
            <charset val="1"/>
          </rPr>
          <t>Canalyst (TK):</t>
        </r>
        <r>
          <rPr>
            <sz val="9"/>
            <rFont val="Tahoma"/>
            <family val="2"/>
            <charset val="1"/>
          </rPr>
          <t xml:space="preserve">
In Q1 2020, product development expenses were reported within SG&amp;A; previously reported as a separate line item.
Loss from equity method investments were reported within other income, net this period; income statement has been restated to reflect these changes.</t>
        </r>
      </text>
    </comment>
    <comment ref="AC2" authorId="0" shapeId="0" xr:uid="{00000000-0006-0000-0100-000003000000}">
      <text>
        <r>
          <rPr>
            <b/>
            <sz val="9"/>
            <rFont val="Tahoma"/>
            <family val="2"/>
            <charset val="1"/>
          </rPr>
          <t>Canalyst (TK):</t>
        </r>
        <r>
          <rPr>
            <sz val="9"/>
            <rFont val="Tahoma"/>
            <family val="2"/>
            <charset val="1"/>
          </rPr>
          <t xml:space="preserve">
In Q1 2020, product development expenses were reported within SG&amp;A; previously reported as a separate line item. The income statement has been restated to reflect this change.</t>
        </r>
      </text>
    </comment>
    <comment ref="AD2" authorId="0" shapeId="0" xr:uid="{00000000-0006-0000-0100-000004000000}">
      <text>
        <r>
          <rPr>
            <b/>
            <sz val="9"/>
            <rFont val="Tahoma"/>
            <family val="2"/>
            <charset val="1"/>
          </rPr>
          <t>Canalyst (TK):</t>
        </r>
        <r>
          <rPr>
            <sz val="9"/>
            <rFont val="Tahoma"/>
            <family val="2"/>
            <charset val="1"/>
          </rPr>
          <t xml:space="preserve">
In Q1 2020, product development expenses were reported within SG&amp;A; previously reported as a separate line item. The income statement has been restated to reflect this change.</t>
        </r>
      </text>
    </comment>
    <comment ref="AI2" authorId="1" shapeId="0" xr:uid="{00000000-0006-0000-0100-000006000000}">
      <text>
        <r>
          <rPr>
            <b/>
            <sz val="9"/>
            <rFont val="Tahoma"/>
            <family val="2"/>
          </rPr>
          <t>Canalyst (HL):</t>
        </r>
        <r>
          <rPr>
            <sz val="9"/>
            <rFont val="Tahoma"/>
            <family val="2"/>
          </rPr>
          <t xml:space="preserve">
The Company revised its lines of revenue reporting into two categories - General Education and Career Learning in Q1-2021. This change has been reflected in our model.</t>
        </r>
      </text>
    </comment>
    <comment ref="BJ2" authorId="0" shapeId="0" xr:uid="{00000000-0006-0000-0100-000005000000}">
      <text>
        <r>
          <rPr>
            <b/>
            <sz val="9"/>
            <rFont val="Tahoma"/>
            <family val="2"/>
            <charset val="1"/>
          </rPr>
          <t>Canalyst (TK):</t>
        </r>
        <r>
          <rPr>
            <sz val="9"/>
            <rFont val="Tahoma"/>
            <family val="2"/>
            <charset val="1"/>
          </rPr>
          <t xml:space="preserve">
In Q1 2020, product development expenses were reported within SG&amp;A; previously reported as a separate line item. The income statement has been restated to reflect this change.</t>
        </r>
      </text>
    </comment>
    <comment ref="AK9" authorId="0" shapeId="0" xr:uid="{00000000-0006-0000-0100-000007000000}">
      <text>
        <r>
          <rPr>
            <b/>
            <sz val="9"/>
            <rFont val="Tahoma"/>
            <family val="2"/>
          </rPr>
          <t>Canalyst (TK):</t>
        </r>
        <r>
          <rPr>
            <sz val="9"/>
            <rFont val="Tahoma"/>
            <family val="2"/>
          </rPr>
          <t xml:space="preserve">
Includes acquisitions of MedCerts and Tech Elevator, both completed on November 30, 2020</t>
        </r>
      </text>
    </comment>
    <comment ref="AL9" authorId="0" shapeId="0" xr:uid="{00000000-0006-0000-0100-000008000000}">
      <text>
        <r>
          <rPr>
            <b/>
            <sz val="9"/>
            <rFont val="Tahoma"/>
            <family val="2"/>
          </rPr>
          <t>Canalyst (TK):</t>
        </r>
        <r>
          <rPr>
            <sz val="9"/>
            <rFont val="Tahoma"/>
            <family val="2"/>
          </rPr>
          <t xml:space="preserve">
Includes acquisitions of MedCerts and Tech Elevator, both completed on November 30, 2020</t>
        </r>
      </text>
    </comment>
    <comment ref="AM9" authorId="0" shapeId="0" xr:uid="{00000000-0006-0000-0100-000009000000}">
      <text>
        <r>
          <rPr>
            <b/>
            <sz val="9"/>
            <rFont val="Tahoma"/>
            <family val="2"/>
          </rPr>
          <t>Canalyst (TK):</t>
        </r>
        <r>
          <rPr>
            <sz val="9"/>
            <rFont val="Tahoma"/>
            <family val="2"/>
          </rPr>
          <t xml:space="preserve">
Includes acquisitions of MedCerts and Tech Elevator, both completed on November 30, 2020</t>
        </r>
      </text>
    </comment>
    <comment ref="AN9" authorId="0" shapeId="0" xr:uid="{00000000-0006-0000-0100-00000A000000}">
      <text>
        <r>
          <rPr>
            <b/>
            <sz val="9"/>
            <rFont val="Tahoma"/>
            <family val="2"/>
          </rPr>
          <t>Canalyst (TK):</t>
        </r>
        <r>
          <rPr>
            <sz val="9"/>
            <rFont val="Tahoma"/>
            <family val="2"/>
          </rPr>
          <t xml:space="preserve">
Includes acquisitions of MedCerts and Tech Elevator, both completed on November 30, 2020</t>
        </r>
      </text>
    </comment>
    <comment ref="A14" authorId="1" shapeId="0" xr:uid="{00000000-0006-0000-0100-00000B000000}">
      <text>
        <r>
          <rPr>
            <b/>
            <sz val="9"/>
            <rFont val="Tahoma"/>
            <family val="2"/>
          </rPr>
          <t>Canalyst (TK):</t>
        </r>
        <r>
          <rPr>
            <sz val="9"/>
            <rFont val="Tahoma"/>
            <family val="2"/>
          </rPr>
          <t xml:space="preserve">
Career Learning reported enrollments do not include enrollments from Galvanize, Tech Elevator or MedCerts.</t>
        </r>
      </text>
    </comment>
    <comment ref="AH21" authorId="2" shapeId="0" xr:uid="{00000000-0006-0000-0100-00000C000000}">
      <text>
        <r>
          <rPr>
            <b/>
            <sz val="9"/>
            <rFont val="Tahoma"/>
            <family val="2"/>
          </rPr>
          <t>Canalyst (KK):</t>
        </r>
        <r>
          <rPr>
            <sz val="9"/>
            <rFont val="Tahoma"/>
            <family val="2"/>
          </rPr>
          <t xml:space="preserve">
Galvanize business will be part of the private pay segment </t>
        </r>
      </text>
    </comment>
    <comment ref="AI24" authorId="1" shapeId="0" xr:uid="{00000000-0006-0000-0100-00000D000000}">
      <text>
        <r>
          <rPr>
            <b/>
            <sz val="9"/>
            <rFont val="Tahoma"/>
            <family val="2"/>
          </rPr>
          <t>Canalyst (TK):</t>
        </r>
        <r>
          <rPr>
            <sz val="9"/>
            <rFont val="Tahoma"/>
            <family val="2"/>
          </rPr>
          <t xml:space="preserve">
Formula adjusted</t>
        </r>
      </text>
    </comment>
    <comment ref="AM24" authorId="3" shapeId="0" xr:uid="{00000000-0006-0000-0100-00000E000000}">
      <text>
        <r>
          <rPr>
            <b/>
            <sz val="9"/>
            <rFont val="Tahoma"/>
            <family val="2"/>
          </rPr>
          <t>Canalyst (NH):</t>
        </r>
        <r>
          <rPr>
            <sz val="9"/>
            <rFont val="Tahoma"/>
            <family val="2"/>
          </rPr>
          <t xml:space="preserve">
Breakdown is no longer reported</t>
        </r>
      </text>
    </comment>
    <comment ref="AI25" authorId="1" shapeId="0" xr:uid="{00000000-0006-0000-0100-00000F000000}">
      <text>
        <r>
          <rPr>
            <b/>
            <sz val="9"/>
            <rFont val="Tahoma"/>
            <family val="2"/>
          </rPr>
          <t>Canalyst (TK):</t>
        </r>
        <r>
          <rPr>
            <sz val="9"/>
            <rFont val="Tahoma"/>
            <family val="2"/>
          </rPr>
          <t xml:space="preserve">
Formula adjusted</t>
        </r>
      </text>
    </comment>
    <comment ref="AM25" authorId="3" shapeId="0" xr:uid="{00000000-0006-0000-0100-000010000000}">
      <text>
        <r>
          <rPr>
            <b/>
            <sz val="9"/>
            <rFont val="Tahoma"/>
            <family val="2"/>
          </rPr>
          <t>Canalyst (NH):</t>
        </r>
        <r>
          <rPr>
            <sz val="9"/>
            <rFont val="Tahoma"/>
            <family val="2"/>
          </rPr>
          <t xml:space="preserve">
Breakdown is no longer reported</t>
        </r>
      </text>
    </comment>
    <comment ref="A30" authorId="0" shapeId="0" xr:uid="{00000000-0006-0000-0100-000011000000}">
      <text>
        <r>
          <rPr>
            <b/>
            <sz val="9"/>
            <rFont val="Tahoma"/>
            <family val="2"/>
          </rPr>
          <t>Canalyst (TK):</t>
        </r>
        <r>
          <rPr>
            <sz val="9"/>
            <rFont val="Tahoma"/>
            <family val="2"/>
          </rPr>
          <t xml:space="preserve">
Reflects post-secondary career learning programs offered through Galvanize, Tech Elevator and MedCerts brands.</t>
        </r>
      </text>
    </comment>
    <comment ref="AG30" authorId="0" shapeId="0" xr:uid="{00000000-0006-0000-0100-000012000000}">
      <text>
        <r>
          <rPr>
            <b/>
            <sz val="9"/>
            <rFont val="Tahoma"/>
            <family val="2"/>
          </rPr>
          <t>Canalyst (TK):</t>
        </r>
        <r>
          <rPr>
            <sz val="9"/>
            <rFont val="Tahoma"/>
            <family val="2"/>
          </rPr>
          <t xml:space="preserve">
Includes acquisition of Galvanize on January 27, 2020</t>
        </r>
      </text>
    </comment>
    <comment ref="AJ30" authorId="0" shapeId="0" xr:uid="{00000000-0006-0000-0100-000013000000}">
      <text>
        <r>
          <rPr>
            <b/>
            <sz val="9"/>
            <rFont val="Tahoma"/>
            <family val="2"/>
          </rPr>
          <t>Canalyst (TK):</t>
        </r>
        <r>
          <rPr>
            <sz val="9"/>
            <rFont val="Tahoma"/>
            <family val="2"/>
          </rPr>
          <t xml:space="preserve">
Includes acquisitions of MedCerts and Tech Elevator, both completed on November 30, 2020</t>
        </r>
      </text>
    </comment>
    <comment ref="A36" authorId="0" shapeId="0" xr:uid="{00000000-0006-0000-0100-000014000000}">
      <text>
        <r>
          <rPr>
            <b/>
            <sz val="9"/>
            <rFont val="Tahoma"/>
            <family val="2"/>
          </rPr>
          <t>Canalyst (TK):</t>
        </r>
        <r>
          <rPr>
            <sz val="9"/>
            <rFont val="Tahoma"/>
            <family val="2"/>
          </rPr>
          <t xml:space="preserve">
Excludes adult revenue generated by programs offered through Galvanize, Tech Elevator and MedCerts brands for comparability; Career Learning reported enrollments do not include Galvanize, Tech Elevator and MedCerts enrollments.</t>
        </r>
      </text>
    </comment>
    <comment ref="AA36" authorId="0" shapeId="0" xr:uid="{00000000-0006-0000-0100-000015000000}">
      <text>
        <r>
          <rPr>
            <b/>
            <sz val="9"/>
            <rFont val="Tahoma"/>
            <family val="2"/>
          </rPr>
          <t>Canalyst (TK):</t>
        </r>
        <r>
          <rPr>
            <sz val="9"/>
            <rFont val="Tahoma"/>
            <family val="2"/>
          </rPr>
          <t xml:space="preserve">
Formula adjusted, all Career Learning revenue is attributable to middle-high school programs prior to acquisitions of Galvanize, Tech Elevator and MedCerts</t>
        </r>
      </text>
    </comment>
    <comment ref="AB36" authorId="0" shapeId="0" xr:uid="{00000000-0006-0000-0100-000016000000}">
      <text>
        <r>
          <rPr>
            <b/>
            <sz val="9"/>
            <rFont val="Tahoma"/>
            <family val="2"/>
          </rPr>
          <t>Canalyst (TK):</t>
        </r>
        <r>
          <rPr>
            <sz val="9"/>
            <rFont val="Tahoma"/>
            <family val="2"/>
          </rPr>
          <t xml:space="preserve">
Formula adjusted, all Career Learning revenue is attributable to middle-high school programs prior to acquisitions of Galvanize, Tech Elevator and MedCerts</t>
        </r>
      </text>
    </comment>
    <comment ref="AC36" authorId="0" shapeId="0" xr:uid="{00000000-0006-0000-0100-000017000000}">
      <text>
        <r>
          <rPr>
            <b/>
            <sz val="9"/>
            <rFont val="Tahoma"/>
            <family val="2"/>
          </rPr>
          <t>Canalyst (TK):</t>
        </r>
        <r>
          <rPr>
            <sz val="9"/>
            <rFont val="Tahoma"/>
            <family val="2"/>
          </rPr>
          <t xml:space="preserve">
Formula adjusted, all Career Learning revenue is attributable to middle-high school programs prior to acquisitions of Galvanize, Tech Elevator and MedCerts</t>
        </r>
      </text>
    </comment>
    <comment ref="AD36" authorId="0" shapeId="0" xr:uid="{00000000-0006-0000-0100-000018000000}">
      <text>
        <r>
          <rPr>
            <b/>
            <sz val="9"/>
            <rFont val="Tahoma"/>
            <family val="2"/>
          </rPr>
          <t>Canalyst (TK):</t>
        </r>
        <r>
          <rPr>
            <sz val="9"/>
            <rFont val="Tahoma"/>
            <family val="2"/>
          </rPr>
          <t xml:space="preserve">
Formula adjusted, all Career Learning revenue is attributable to middle-high school programs prior to acquisitions of Galvanize, Tech Elevator and MedCerts</t>
        </r>
      </text>
    </comment>
    <comment ref="BJ36" authorId="0" shapeId="0" xr:uid="{00000000-0006-0000-0100-000019000000}">
      <text>
        <r>
          <rPr>
            <b/>
            <sz val="9"/>
            <rFont val="Tahoma"/>
            <family val="2"/>
          </rPr>
          <t>Canalyst (TK):</t>
        </r>
        <r>
          <rPr>
            <sz val="9"/>
            <rFont val="Tahoma"/>
            <family val="2"/>
          </rPr>
          <t xml:space="preserve">
Formula adjusted, all Career Learning revenue is attributable to middle-high school programs prior to acquisitions of Galvanize, Tech Elevator and MedCerts</t>
        </r>
      </text>
    </comment>
    <comment ref="AM39" authorId="3" shapeId="0" xr:uid="{00000000-0006-0000-0100-00001A000000}">
      <text>
        <r>
          <rPr>
            <b/>
            <sz val="9"/>
            <rFont val="Tahoma"/>
            <family val="2"/>
          </rPr>
          <t xml:space="preserve">Canalyst (NH):
</t>
        </r>
        <r>
          <rPr>
            <sz val="9"/>
            <rFont val="Tahoma"/>
            <family val="2"/>
          </rPr>
          <t>This breakdown is no longer reported</t>
        </r>
      </text>
    </comment>
    <comment ref="AM48" authorId="3" shapeId="0" xr:uid="{00000000-0006-0000-0100-00001B000000}">
      <text>
        <r>
          <rPr>
            <b/>
            <sz val="9"/>
            <rFont val="Tahoma"/>
            <family val="2"/>
          </rPr>
          <t xml:space="preserve">Canalyst (NH):
</t>
        </r>
        <r>
          <rPr>
            <sz val="9"/>
            <rFont val="Tahoma"/>
            <family val="2"/>
          </rPr>
          <t>This breakdown is no longer reported</t>
        </r>
      </text>
    </comment>
    <comment ref="A56" authorId="1" shapeId="0" xr:uid="{00000000-0006-0000-0100-00001C000000}">
      <text>
        <r>
          <rPr>
            <b/>
            <sz val="9"/>
            <rFont val="Tahoma"/>
            <family val="2"/>
          </rPr>
          <t>Canalyst (HL):</t>
        </r>
        <r>
          <rPr>
            <sz val="9"/>
            <rFont val="Tahoma"/>
            <family val="2"/>
          </rPr>
          <t xml:space="preserve">
This data includes enrollments for which K12 receives no public funding or revenue.</t>
        </r>
      </text>
    </comment>
    <comment ref="BJ56" authorId="0" shapeId="0" xr:uid="{00000000-0006-0000-0100-00001D000000}">
      <text>
        <r>
          <rPr>
            <b/>
            <sz val="9"/>
            <rFont val="Tahoma"/>
            <family val="2"/>
          </rPr>
          <t>Canalyst (TK):</t>
        </r>
        <r>
          <rPr>
            <sz val="9"/>
            <rFont val="Tahoma"/>
            <family val="2"/>
          </rPr>
          <t xml:space="preserve">
As reported in FY2021</t>
        </r>
      </text>
    </comment>
    <comment ref="BK56" authorId="0" shapeId="0" xr:uid="{00000000-0006-0000-0100-00001E000000}">
      <text>
        <r>
          <rPr>
            <b/>
            <sz val="9"/>
            <rFont val="Tahoma"/>
            <family val="2"/>
          </rPr>
          <t>Canalyst (TK):</t>
        </r>
        <r>
          <rPr>
            <sz val="9"/>
            <rFont val="Tahoma"/>
            <family val="2"/>
          </rPr>
          <t xml:space="preserve">
As reported in FY2021</t>
        </r>
      </text>
    </comment>
    <comment ref="A57" authorId="1" shapeId="0" xr:uid="{00000000-0006-0000-0100-00001F000000}">
      <text>
        <r>
          <rPr>
            <b/>
            <sz val="9"/>
            <rFont val="Tahoma"/>
            <family val="2"/>
          </rPr>
          <t>Canalyst (TK):</t>
        </r>
        <r>
          <rPr>
            <sz val="9"/>
            <rFont val="Tahoma"/>
            <family val="2"/>
          </rPr>
          <t xml:space="preserve">
Career Learning reported enrollments do not include enrollments from Galvanize, Tech Elevator or MedCerts.
This data includes enrollments for which K12 receives no public funding or revenue.</t>
        </r>
      </text>
    </comment>
    <comment ref="AG57" authorId="0" shapeId="0" xr:uid="{00000000-0006-0000-0100-000021000000}">
      <text>
        <r>
          <rPr>
            <b/>
            <sz val="9"/>
            <rFont val="Tahoma"/>
            <family val="2"/>
          </rPr>
          <t>Canalyst (TK):</t>
        </r>
        <r>
          <rPr>
            <sz val="9"/>
            <rFont val="Tahoma"/>
            <family val="2"/>
          </rPr>
          <t xml:space="preserve">
No enrollments are included in Career Learning for Galvanize</t>
        </r>
      </text>
    </comment>
    <comment ref="AH57" authorId="0" shapeId="0" xr:uid="{00000000-0006-0000-0100-000022000000}">
      <text>
        <r>
          <rPr>
            <b/>
            <sz val="9"/>
            <rFont val="Tahoma"/>
            <family val="2"/>
          </rPr>
          <t>Canalyst (TK):</t>
        </r>
        <r>
          <rPr>
            <sz val="9"/>
            <rFont val="Tahoma"/>
            <family val="2"/>
          </rPr>
          <t xml:space="preserve">
No enrollments are included in Career Learning for Galvanize</t>
        </r>
      </text>
    </comment>
    <comment ref="AI57" authorId="0" shapeId="0" xr:uid="{00000000-0006-0000-0100-000024000000}">
      <text>
        <r>
          <rPr>
            <b/>
            <sz val="9"/>
            <rFont val="Tahoma"/>
            <family val="2"/>
          </rPr>
          <t>Canalyst (TK):</t>
        </r>
        <r>
          <rPr>
            <sz val="9"/>
            <rFont val="Tahoma"/>
            <family val="2"/>
          </rPr>
          <t xml:space="preserve">
No enrollments are included in Career Learning for Galvanize</t>
        </r>
      </text>
    </comment>
    <comment ref="AJ57" authorId="0" shapeId="0" xr:uid="{00000000-0006-0000-0100-000025000000}">
      <text>
        <r>
          <rPr>
            <b/>
            <sz val="9"/>
            <rFont val="Tahoma"/>
            <family val="2"/>
          </rPr>
          <t>Canalyst (TK):</t>
        </r>
        <r>
          <rPr>
            <sz val="9"/>
            <rFont val="Tahoma"/>
            <family val="2"/>
          </rPr>
          <t xml:space="preserve">
No enrollments are included in Career Learning for Galvanize, Tech Elevator or MedCerts.</t>
        </r>
      </text>
    </comment>
    <comment ref="AK57" authorId="0" shapeId="0" xr:uid="{00000000-0006-0000-0100-000026000000}">
      <text>
        <r>
          <rPr>
            <b/>
            <sz val="9"/>
            <rFont val="Tahoma"/>
            <family val="2"/>
          </rPr>
          <t>Canalyst (TK):</t>
        </r>
        <r>
          <rPr>
            <sz val="9"/>
            <rFont val="Tahoma"/>
            <family val="2"/>
          </rPr>
          <t xml:space="preserve">
No enrollments are included in Career Learning for Galvanize, Tech Elevator or MedCerts.</t>
        </r>
      </text>
    </comment>
    <comment ref="AL57" authorId="0" shapeId="0" xr:uid="{00000000-0006-0000-0100-000027000000}">
      <text>
        <r>
          <rPr>
            <b/>
            <sz val="9"/>
            <rFont val="Tahoma"/>
            <family val="2"/>
          </rPr>
          <t>Canalyst (TK):</t>
        </r>
        <r>
          <rPr>
            <sz val="9"/>
            <rFont val="Tahoma"/>
            <family val="2"/>
          </rPr>
          <t xml:space="preserve">
No enrollments are included in Career Learning for Galvanize, Tech Elevator or MedCerts.</t>
        </r>
      </text>
    </comment>
    <comment ref="AM57" authorId="0" shapeId="0" xr:uid="{00000000-0006-0000-0100-000029000000}">
      <text>
        <r>
          <rPr>
            <b/>
            <sz val="9"/>
            <rFont val="Tahoma"/>
            <family val="2"/>
          </rPr>
          <t>Canalyst (TK):</t>
        </r>
        <r>
          <rPr>
            <sz val="9"/>
            <rFont val="Tahoma"/>
            <family val="2"/>
          </rPr>
          <t xml:space="preserve">
No enrollments are included in Career Learning for Galvanize, Tech Elevator or MedCerts.</t>
        </r>
      </text>
    </comment>
    <comment ref="AN57" authorId="0" shapeId="0" xr:uid="{00000000-0006-0000-0100-00002A000000}">
      <text>
        <r>
          <rPr>
            <b/>
            <sz val="9"/>
            <rFont val="Tahoma"/>
            <family val="2"/>
          </rPr>
          <t>Canalyst (TK):</t>
        </r>
        <r>
          <rPr>
            <sz val="9"/>
            <rFont val="Tahoma"/>
            <family val="2"/>
          </rPr>
          <t xml:space="preserve">
No enrollments are included in Career Learning for Galvanize, Tech Elevator or MedCerts.</t>
        </r>
      </text>
    </comment>
    <comment ref="AO57" authorId="3" shapeId="0" xr:uid="{00000000-0006-0000-0100-00002B000000}">
      <text>
        <r>
          <rPr>
            <b/>
            <sz val="9"/>
            <rFont val="Tahoma"/>
            <family val="2"/>
          </rPr>
          <t>Canalyst (NH):</t>
        </r>
        <r>
          <rPr>
            <sz val="9"/>
            <rFont val="Tahoma"/>
            <family val="2"/>
          </rPr>
          <t xml:space="preserve">
No enrollments are included in Career Learning for Galvanize, Tech Elevator or MedCerts</t>
        </r>
      </text>
    </comment>
    <comment ref="AP57" authorId="3" shapeId="0" xr:uid="{00000000-0006-0000-0100-00002C000000}">
      <text>
        <r>
          <rPr>
            <b/>
            <sz val="9"/>
            <rFont val="Tahoma"/>
            <family val="2"/>
          </rPr>
          <t>Canalyst (NH):</t>
        </r>
        <r>
          <rPr>
            <sz val="9"/>
            <rFont val="Tahoma"/>
            <family val="2"/>
          </rPr>
          <t xml:space="preserve">
No enrollments are included in Career Learning for Galvanize, Tech Elevator or MedCerts.</t>
        </r>
      </text>
    </comment>
    <comment ref="AQ57" authorId="3" shapeId="0" xr:uid="{00000000-0006-0000-0100-00002E000000}">
      <text>
        <r>
          <rPr>
            <b/>
            <sz val="9"/>
            <rFont val="Tahoma"/>
            <family val="2"/>
          </rPr>
          <t>Canalyst (NH):</t>
        </r>
        <r>
          <rPr>
            <sz val="9"/>
            <rFont val="Tahoma"/>
            <family val="2"/>
          </rPr>
          <t xml:space="preserve">
No enrollments are included in Career Learning for Galvanize, Tech Elevator or MedCerts.</t>
        </r>
      </text>
    </comment>
    <comment ref="AR57" authorId="3" shapeId="0" xr:uid="{00000000-0006-0000-0100-00002F000000}">
      <text>
        <r>
          <rPr>
            <b/>
            <sz val="9"/>
            <rFont val="Tahoma"/>
            <family val="2"/>
          </rPr>
          <t>Canalyst (NH):</t>
        </r>
        <r>
          <rPr>
            <sz val="9"/>
            <rFont val="Tahoma"/>
            <family val="2"/>
          </rPr>
          <t xml:space="preserve">
No enrollments are included in Career Learning for Galvanize, Tech Elevator or MedCerts.</t>
        </r>
      </text>
    </comment>
    <comment ref="AS57" authorId="0" shapeId="0" xr:uid="{00000000-0006-0000-0100-000030000000}">
      <text>
        <r>
          <rPr>
            <b/>
            <sz val="9"/>
            <rFont val="Tahoma"/>
            <family val="2"/>
          </rPr>
          <t>Canalyst (TK):</t>
        </r>
        <r>
          <rPr>
            <sz val="9"/>
            <rFont val="Tahoma"/>
            <family val="2"/>
          </rPr>
          <t xml:space="preserve">
No enrollments are included in Career Learning for Galvanize, Tech Elevator or MedCerts.</t>
        </r>
      </text>
    </comment>
    <comment ref="AT57" authorId="0" shapeId="0" xr:uid="{00000000-0006-0000-0100-000031000000}">
      <text>
        <r>
          <rPr>
            <b/>
            <sz val="9"/>
            <rFont val="Tahoma"/>
            <family val="2"/>
          </rPr>
          <t>Canalyst (TK):</t>
        </r>
        <r>
          <rPr>
            <sz val="9"/>
            <rFont val="Tahoma"/>
            <family val="2"/>
          </rPr>
          <t xml:space="preserve">
No enrollments are included in Career Learning for Galvanize, Tech Elevator or MedCerts.</t>
        </r>
      </text>
    </comment>
    <comment ref="AU57" authorId="3" shapeId="0" xr:uid="{F4DEBA1D-0455-4FA9-AF41-D082637A758D}">
      <text>
        <r>
          <rPr>
            <b/>
            <sz val="9"/>
            <rFont val="Tahoma"/>
            <family val="2"/>
          </rPr>
          <t>Canalyst (NH):</t>
        </r>
        <r>
          <rPr>
            <sz val="9"/>
            <rFont val="Tahoma"/>
            <family val="2"/>
          </rPr>
          <t xml:space="preserve">
No enrollments are included in Career Learning for Galvanize, Tech Elevator or MedCerts</t>
        </r>
      </text>
    </comment>
    <comment ref="BJ57" authorId="0" shapeId="0" xr:uid="{00000000-0006-0000-0100-000020000000}">
      <text>
        <r>
          <rPr>
            <b/>
            <sz val="9"/>
            <rFont val="Tahoma"/>
            <family val="2"/>
          </rPr>
          <t>Canalyst (TK):</t>
        </r>
        <r>
          <rPr>
            <sz val="9"/>
            <rFont val="Tahoma"/>
            <family val="2"/>
          </rPr>
          <t xml:space="preserve">
As reported in FY2021</t>
        </r>
      </text>
    </comment>
    <comment ref="BK57" authorId="0" shapeId="0" xr:uid="{00000000-0006-0000-0100-000023000000}">
      <text>
        <r>
          <rPr>
            <b/>
            <sz val="9"/>
            <rFont val="Tahoma"/>
            <family val="2"/>
          </rPr>
          <t>Canalyst (TK):</t>
        </r>
        <r>
          <rPr>
            <sz val="9"/>
            <rFont val="Tahoma"/>
            <family val="2"/>
          </rPr>
          <t xml:space="preserve">
As reported in FY2021, no enrollments are included in Career Learning for Galvanize</t>
        </r>
      </text>
    </comment>
    <comment ref="BL57" authorId="0" shapeId="0" xr:uid="{00000000-0006-0000-0100-000028000000}">
      <text>
        <r>
          <rPr>
            <b/>
            <sz val="9"/>
            <rFont val="Tahoma"/>
            <family val="2"/>
          </rPr>
          <t>Canalyst (TK):</t>
        </r>
        <r>
          <rPr>
            <sz val="9"/>
            <rFont val="Tahoma"/>
            <family val="2"/>
          </rPr>
          <t xml:space="preserve">
No enrollments are included in Career Learning for Galvanize, Tech Elevator or MedCerts.</t>
        </r>
      </text>
    </comment>
    <comment ref="BM57" authorId="3" shapeId="0" xr:uid="{00000000-0006-0000-0100-00002D000000}">
      <text>
        <r>
          <rPr>
            <b/>
            <sz val="9"/>
            <rFont val="Tahoma"/>
            <family val="2"/>
          </rPr>
          <t>Canalyst (NH):</t>
        </r>
        <r>
          <rPr>
            <sz val="9"/>
            <rFont val="Tahoma"/>
            <family val="2"/>
          </rPr>
          <t xml:space="preserve">
No enrollments are included in Career Learning for Galvanize, Tech Elevator or MedCerts.</t>
        </r>
      </text>
    </comment>
    <comment ref="BN57" authorId="0" shapeId="0" xr:uid="{00000000-0006-0000-0100-000032000000}">
      <text>
        <r>
          <rPr>
            <b/>
            <sz val="9"/>
            <rFont val="Tahoma"/>
            <family val="2"/>
          </rPr>
          <t>Canalyst (TK):</t>
        </r>
        <r>
          <rPr>
            <sz val="9"/>
            <rFont val="Tahoma"/>
            <family val="2"/>
          </rPr>
          <t xml:space="preserve">
No enrollments are included in Career Learning for Galvanize, Tech Elevator or MedCerts.</t>
        </r>
      </text>
    </comment>
    <comment ref="A58" authorId="1" shapeId="0" xr:uid="{00000000-0006-0000-0100-000033000000}">
      <text>
        <r>
          <rPr>
            <b/>
            <sz val="9"/>
            <rFont val="Tahoma"/>
            <family val="2"/>
          </rPr>
          <t>Canalyst (HL):</t>
        </r>
        <r>
          <rPr>
            <sz val="9"/>
            <rFont val="Tahoma"/>
            <family val="2"/>
          </rPr>
          <t xml:space="preserve">
This data includes enrollments for which K12 receives no public funding or revenue.</t>
        </r>
      </text>
    </comment>
    <comment ref="AI61" authorId="1" shapeId="0" xr:uid="{00000000-0006-0000-0100-000034000000}">
      <text>
        <r>
          <rPr>
            <b/>
            <sz val="9"/>
            <rFont val="Tahoma"/>
            <family val="2"/>
          </rPr>
          <t>Canalyst (HL):</t>
        </r>
        <r>
          <rPr>
            <sz val="9"/>
            <rFont val="Tahoma"/>
            <family val="2"/>
          </rPr>
          <t xml:space="preserve">
Revenue per enrollment in the three months ended September 30 declined from 2019 to 2020 due to state budgetary pressures resulting from COVID-19 and a higher mix of lower-funded states.</t>
        </r>
      </text>
    </comment>
    <comment ref="AJ61" authorId="4" shapeId="0" xr:uid="{00000000-0006-0000-0100-000035000000}">
      <text>
        <r>
          <rPr>
            <b/>
            <sz val="9"/>
            <rFont val="Tahoma"/>
            <family val="2"/>
          </rPr>
          <t>Canalyst (RZ):</t>
        </r>
        <r>
          <rPr>
            <sz val="9"/>
            <rFont val="Tahoma"/>
            <family val="2"/>
          </rPr>
          <t xml:space="preserve">
Revenue per enrollment in the three and six months ended December 31st declined from 2019 to 2020 due to state budgetary pressures resulting from COVID-19 and a higher mix of lower-funded states</t>
        </r>
      </text>
    </comment>
    <comment ref="A62" authorId="1" shapeId="0" xr:uid="{00000000-0006-0000-0100-000036000000}">
      <text>
        <r>
          <rPr>
            <b/>
            <sz val="9"/>
            <rFont val="Tahoma"/>
            <family val="2"/>
          </rPr>
          <t>Canalyst (TK):</t>
        </r>
        <r>
          <rPr>
            <sz val="9"/>
            <rFont val="Tahoma"/>
            <family val="2"/>
          </rPr>
          <t xml:space="preserve">
Career Learning reported enrollments do not include enrollments from Galvanize, Tech Elevator or MedCerts.</t>
        </r>
      </text>
    </comment>
    <comment ref="AI63" authorId="1" shapeId="0" xr:uid="{00000000-0006-0000-0100-000037000000}">
      <text>
        <r>
          <rPr>
            <b/>
            <sz val="9"/>
            <rFont val="Tahoma"/>
            <family val="2"/>
          </rPr>
          <t>Canalyst (HL):</t>
        </r>
        <r>
          <rPr>
            <sz val="9"/>
            <rFont val="Tahoma"/>
            <family val="2"/>
          </rPr>
          <t xml:space="preserve">
Revenue per enrollment in the three months ended September 30 declined from 2019 to 2020 due to state budgetary pressures resulting from COVID-19 and a higher mix of lower-funded states.</t>
        </r>
      </text>
    </comment>
    <comment ref="AJ63" authorId="4" shapeId="0" xr:uid="{00000000-0006-0000-0100-000038000000}">
      <text>
        <r>
          <rPr>
            <b/>
            <sz val="9"/>
            <rFont val="Tahoma"/>
            <family val="2"/>
          </rPr>
          <t>Canalyst (RZ):</t>
        </r>
        <r>
          <rPr>
            <sz val="9"/>
            <rFont val="Tahoma"/>
            <family val="2"/>
          </rPr>
          <t xml:space="preserve">
Revenue per enrollment in the three and six months ended December 31st declined from 2019 to 2020 due to state budgetary pressures resulting from COVID-19 and a higher mix of lower-funded states</t>
        </r>
      </text>
    </comment>
    <comment ref="AM65" authorId="3" shapeId="0" xr:uid="{00000000-0006-0000-0100-000039000000}">
      <text>
        <r>
          <rPr>
            <b/>
            <sz val="9"/>
            <rFont val="Tahoma"/>
            <family val="2"/>
          </rPr>
          <t xml:space="preserve">Canalyst (NH):
</t>
        </r>
        <r>
          <rPr>
            <sz val="9"/>
            <rFont val="Tahoma"/>
            <family val="2"/>
          </rPr>
          <t>This breakdown is no longer reported</t>
        </r>
      </text>
    </comment>
    <comment ref="BJ69" authorId="1" shapeId="0" xr:uid="{00000000-0006-0000-0100-00003A000000}">
      <text>
        <r>
          <rPr>
            <b/>
            <sz val="9"/>
            <rFont val="Tahoma"/>
            <family val="2"/>
          </rPr>
          <t>Canalyst (HL):</t>
        </r>
        <r>
          <rPr>
            <sz val="9"/>
            <rFont val="Tahoma"/>
            <family val="2"/>
          </rPr>
          <t xml:space="preserve">
estimated, not reported in Q1-2021 PR, to be verified</t>
        </r>
      </text>
    </comment>
    <comment ref="BK69" authorId="1" shapeId="0" xr:uid="{00000000-0006-0000-0100-00003B000000}">
      <text>
        <r>
          <rPr>
            <b/>
            <sz val="9"/>
            <rFont val="Tahoma"/>
            <family val="2"/>
          </rPr>
          <t>Canalyst (HL):</t>
        </r>
        <r>
          <rPr>
            <sz val="9"/>
            <rFont val="Tahoma"/>
            <family val="2"/>
          </rPr>
          <t xml:space="preserve">
estimated, not reported in Q1-2021 PR, to be verified</t>
        </r>
      </text>
    </comment>
    <comment ref="BJ70" authorId="1" shapeId="0" xr:uid="{00000000-0006-0000-0100-00003C000000}">
      <text>
        <r>
          <rPr>
            <b/>
            <sz val="9"/>
            <rFont val="Tahoma"/>
            <family val="2"/>
          </rPr>
          <t>Canalyst (HL):</t>
        </r>
        <r>
          <rPr>
            <sz val="9"/>
            <rFont val="Tahoma"/>
            <family val="2"/>
          </rPr>
          <t xml:space="preserve">
estimated, not reported in Q1-2021 PR, to be verified</t>
        </r>
      </text>
    </comment>
    <comment ref="BK70" authorId="1" shapeId="0" xr:uid="{00000000-0006-0000-0100-00003D000000}">
      <text>
        <r>
          <rPr>
            <b/>
            <sz val="9"/>
            <rFont val="Tahoma"/>
            <family val="2"/>
          </rPr>
          <t>Canalyst (HL):</t>
        </r>
        <r>
          <rPr>
            <sz val="9"/>
            <rFont val="Tahoma"/>
            <family val="2"/>
          </rPr>
          <t xml:space="preserve">
estimated, not reported in Q1-2021 PR, to be verified</t>
        </r>
      </text>
    </comment>
    <comment ref="AP74" authorId="5" shapeId="0" xr:uid="{00000000-0006-0000-0100-00003E000000}">
      <text>
        <r>
          <rPr>
            <b/>
            <sz val="9"/>
            <rFont val="Tahoma"/>
            <family val="2"/>
          </rPr>
          <t>Canalyst (HP):</t>
        </r>
        <r>
          <rPr>
            <sz val="9"/>
            <rFont val="Tahoma"/>
            <family val="2"/>
          </rPr>
          <t xml:space="preserve">
Company restated the D&amp;A of PP&amp;E breakdown. Will not be restated for comparability</t>
        </r>
      </text>
    </comment>
    <comment ref="BM74" authorId="5" shapeId="0" xr:uid="{00000000-0006-0000-0100-00003F000000}">
      <text>
        <r>
          <rPr>
            <b/>
            <sz val="9"/>
            <rFont val="Tahoma"/>
            <family val="2"/>
          </rPr>
          <t>Canalyst (HP):</t>
        </r>
        <r>
          <rPr>
            <sz val="9"/>
            <rFont val="Tahoma"/>
            <family val="2"/>
          </rPr>
          <t xml:space="preserve">
Company restated the D&amp;A of PP&amp;E breakdown. Will not be restated for comparability</t>
        </r>
      </text>
    </comment>
    <comment ref="A75" authorId="3" shapeId="0" xr:uid="{00000000-0006-0000-0100-000040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V75" authorId="3" shapeId="0" xr:uid="{00000000-0006-0000-0100-000042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W75" authorId="3" shapeId="0" xr:uid="{00000000-0006-0000-0100-000043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X75" authorId="3" shapeId="0" xr:uid="{00000000-0006-0000-0100-000044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Q75" authorId="3" shapeId="0" xr:uid="{00000000-0006-0000-0100-000049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R75" authorId="3" shapeId="0" xr:uid="{00000000-0006-0000-0100-00004A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S75" authorId="3" shapeId="0" xr:uid="{00000000-0006-0000-0100-00004B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D77" authorId="3" shapeId="0" xr:uid="{00000000-0006-0000-0100-00004C000000}">
      <text>
        <r>
          <rPr>
            <b/>
            <sz val="9"/>
            <rFont val="Tahoma"/>
            <family val="2"/>
          </rPr>
          <t>Canalyst (NH):</t>
        </r>
        <r>
          <rPr>
            <sz val="9"/>
            <rFont val="Tahoma"/>
            <family val="2"/>
          </rPr>
          <t xml:space="preserve">
backed out from 6 months ended value</t>
        </r>
      </text>
    </comment>
    <comment ref="A78" authorId="3" shapeId="0" xr:uid="{00000000-0006-0000-0100-00004D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V78" authorId="3" shapeId="0" xr:uid="{00000000-0006-0000-0100-00004F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W78" authorId="3" shapeId="0" xr:uid="{00000000-0006-0000-0100-000050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X78" authorId="3" shapeId="0" xr:uid="{00000000-0006-0000-0100-000051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Q78" authorId="3" shapeId="0" xr:uid="{00000000-0006-0000-0100-000056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R78" authorId="3" shapeId="0" xr:uid="{00000000-0006-0000-0100-000057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S78" authorId="3" shapeId="0" xr:uid="{00000000-0006-0000-0100-000058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80" authorId="3" shapeId="0" xr:uid="{00000000-0006-0000-0100-000059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V80" authorId="3" shapeId="0" xr:uid="{00000000-0006-0000-0100-00005B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W80" authorId="3" shapeId="0" xr:uid="{00000000-0006-0000-0100-00005C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X80" authorId="3" shapeId="0" xr:uid="{00000000-0006-0000-0100-00005D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Q80" authorId="3" shapeId="0" xr:uid="{00000000-0006-0000-0100-000062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R80" authorId="3" shapeId="0" xr:uid="{00000000-0006-0000-0100-000063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S80" authorId="3" shapeId="0" xr:uid="{00000000-0006-0000-0100-000064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C81" authorId="3" shapeId="0" xr:uid="{00000000-0006-0000-0100-000065000000}">
      <text>
        <r>
          <rPr>
            <b/>
            <sz val="9"/>
            <rFont val="Tahoma"/>
            <family val="2"/>
          </rPr>
          <t>Canalyst (NH):</t>
        </r>
        <r>
          <rPr>
            <sz val="9"/>
            <rFont val="Tahoma"/>
            <family val="2"/>
          </rPr>
          <t xml:space="preserve">
Hardcoded as reported</t>
        </r>
      </text>
    </comment>
    <comment ref="A85" authorId="3" shapeId="0" xr:uid="{00000000-0006-0000-0100-000066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V85" authorId="3" shapeId="0" xr:uid="{00000000-0006-0000-0100-000068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W85" authorId="3" shapeId="0" xr:uid="{00000000-0006-0000-0100-000069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X85" authorId="3" shapeId="0" xr:uid="{00000000-0006-0000-0100-00006A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Q85" authorId="3" shapeId="0" xr:uid="{00000000-0006-0000-0100-00006F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R85" authorId="3" shapeId="0" xr:uid="{00000000-0006-0000-0100-000070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BS85" authorId="3" shapeId="0" xr:uid="{00000000-0006-0000-0100-000071000000}">
      <text>
        <r>
          <rPr>
            <b/>
            <sz val="9"/>
            <rFont val="Tahoma"/>
            <family val="2"/>
          </rPr>
          <t>Canalyst (NH):</t>
        </r>
        <r>
          <rPr>
            <sz val="9"/>
            <rFont val="Tahoma"/>
            <family val="2"/>
          </rPr>
          <t xml:space="preserve">
This is a dummy line that does not affect total D&amp;A in the model. This line is used to forecast the COGS (excluding D&amp;A) margin. Total D&amp;A is forecasted in the D&amp;A forecasting section</t>
        </r>
      </text>
    </comment>
    <comment ref="A87" authorId="6" shapeId="0" xr:uid="{00000000-0006-0000-0100-000072000000}">
      <text>
        <r>
          <rPr>
            <b/>
            <sz val="9"/>
            <rFont val="Tahoma"/>
            <family val="2"/>
          </rPr>
          <t>Canalyst (RE):</t>
        </r>
        <r>
          <rPr>
            <sz val="9"/>
            <rFont val="Tahoma"/>
            <family val="2"/>
          </rPr>
          <t xml:space="preserve">
Accounts reported to one decimal whereas the total is reported to 3 decimals</t>
        </r>
      </text>
    </comment>
    <comment ref="AP90" authorId="5" shapeId="0" xr:uid="{00000000-0006-0000-0100-000074000000}">
      <text>
        <r>
          <rPr>
            <b/>
            <sz val="9"/>
            <rFont val="Tahoma"/>
            <family val="2"/>
          </rPr>
          <t>Canalyst (HP):</t>
        </r>
        <r>
          <rPr>
            <sz val="9"/>
            <rFont val="Tahoma"/>
            <family val="2"/>
          </rPr>
          <t xml:space="preserve">
Company restated the sublease income breakdown. Will not be restated for comparability</t>
        </r>
      </text>
    </comment>
    <comment ref="BL90" authorId="7" shapeId="0" xr:uid="{00000000-0006-0000-0100-000073000000}">
      <text>
        <r>
          <rPr>
            <b/>
            <sz val="9"/>
            <rFont val="Tahoma"/>
            <family val="2"/>
          </rPr>
          <t>Canalyst (DWL):</t>
        </r>
        <r>
          <rPr>
            <sz val="9"/>
            <rFont val="Tahoma"/>
            <family val="2"/>
          </rPr>
          <t xml:space="preserve">
The Company revised its lines of operating lease cost reporting into two categories - Instructional Costs and Services, and Selling, General, and Administrative Expenses in FY2021.</t>
        </r>
      </text>
    </comment>
    <comment ref="BM90" authorId="5" shapeId="0" xr:uid="{00000000-0006-0000-0100-000075000000}">
      <text>
        <r>
          <rPr>
            <b/>
            <sz val="9"/>
            <rFont val="Tahoma"/>
            <family val="2"/>
          </rPr>
          <t>Canalyst (HP):</t>
        </r>
        <r>
          <rPr>
            <sz val="9"/>
            <rFont val="Tahoma"/>
            <family val="2"/>
          </rPr>
          <t xml:space="preserve">
Company restated the sublease income breakdown. Will not be restated for comparability</t>
        </r>
      </text>
    </comment>
    <comment ref="AA148" authorId="0" shapeId="0" xr:uid="{00000000-0006-0000-0100-000076000000}">
      <text>
        <r>
          <rPr>
            <b/>
            <sz val="9"/>
            <rFont val="Tahoma"/>
            <family val="2"/>
          </rPr>
          <t>Canalyst (TK):</t>
        </r>
        <r>
          <rPr>
            <sz val="9"/>
            <rFont val="Tahoma"/>
            <family val="2"/>
          </rPr>
          <t xml:space="preserve">
Included within SG&amp;A starting this period</t>
        </r>
      </text>
    </comment>
    <comment ref="A164" authorId="8" shapeId="0" xr:uid="{00000000-0006-0000-0100-000077000000}">
      <text>
        <r>
          <rPr>
            <b/>
            <sz val="9"/>
            <rFont val="Tahoma"/>
            <family val="2"/>
          </rPr>
          <t>Canalyst (BH):</t>
        </r>
        <r>
          <rPr>
            <sz val="9"/>
            <rFont val="Tahoma"/>
            <family val="2"/>
          </rPr>
          <t xml:space="preserve">
Company reports certain special income adjustments in the press release on an inconsistent basis and is excluded here due to their inconsistency.</t>
        </r>
      </text>
    </comment>
    <comment ref="AE164" authorId="3" shapeId="0" xr:uid="{00000000-0006-0000-0100-000078000000}">
      <text>
        <r>
          <rPr>
            <b/>
            <sz val="9"/>
            <rFont val="Tahoma"/>
            <family val="2"/>
          </rPr>
          <t>Canalyst (NH):</t>
        </r>
        <r>
          <rPr>
            <sz val="9"/>
            <rFont val="Tahoma"/>
            <family val="2"/>
          </rPr>
          <t xml:space="preserve">
Restated Adjusted operating income to include amortization of intangible assets so that it comparable with the 2021 method of computing adjusted operating income</t>
        </r>
      </text>
    </comment>
    <comment ref="AF164" authorId="3" shapeId="0" xr:uid="{00000000-0006-0000-0100-000079000000}">
      <text>
        <r>
          <rPr>
            <b/>
            <sz val="9"/>
            <rFont val="Tahoma"/>
            <family val="2"/>
          </rPr>
          <t>Canalyst (NH):</t>
        </r>
        <r>
          <rPr>
            <sz val="9"/>
            <rFont val="Tahoma"/>
            <family val="2"/>
          </rPr>
          <t xml:space="preserve">
Restated Adjusted operating income to include amortization of intangible assets so that it comparable with the 2021 method of computing adjusted operating income</t>
        </r>
      </text>
    </comment>
    <comment ref="AG164" authorId="3" shapeId="0" xr:uid="{00000000-0006-0000-0100-00007A000000}">
      <text>
        <r>
          <rPr>
            <b/>
            <sz val="9"/>
            <rFont val="Tahoma"/>
            <family val="2"/>
          </rPr>
          <t>Canalyst (NH):</t>
        </r>
        <r>
          <rPr>
            <sz val="9"/>
            <rFont val="Tahoma"/>
            <family val="2"/>
          </rPr>
          <t xml:space="preserve">
Restated Adjusted operating income to include amortization of intangible assets so that it comparable with the 2021 method of computing adjusted operating income</t>
        </r>
      </text>
    </comment>
    <comment ref="AH164" authorId="3" shapeId="0" xr:uid="{00000000-0006-0000-0100-00007B000000}">
      <text>
        <r>
          <rPr>
            <b/>
            <sz val="9"/>
            <rFont val="Tahoma"/>
            <family val="2"/>
          </rPr>
          <t>Canalyst (NH):</t>
        </r>
        <r>
          <rPr>
            <sz val="9"/>
            <rFont val="Tahoma"/>
            <family val="2"/>
          </rPr>
          <t xml:space="preserve">
Restated Adjusted operating income to include amortization of intangible assets so that it comparable with the 2021 method of computing adjusted operating income</t>
        </r>
      </text>
    </comment>
    <comment ref="BK164" authorId="3" shapeId="0" xr:uid="{00000000-0006-0000-0100-00007C000000}">
      <text>
        <r>
          <rPr>
            <b/>
            <sz val="9"/>
            <rFont val="Tahoma"/>
            <family val="2"/>
          </rPr>
          <t>Canalyst (NH):</t>
        </r>
        <r>
          <rPr>
            <sz val="9"/>
            <rFont val="Tahoma"/>
            <family val="2"/>
          </rPr>
          <t xml:space="preserve">
Restated Adjusted operating income to include amortization of intangible assets so that it comparable with the 2021 method of computing adjusted operating income</t>
        </r>
      </text>
    </comment>
    <comment ref="C176" authorId="3" shapeId="0" xr:uid="{00000000-0006-0000-0100-000081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D176" authorId="3" shapeId="0" xr:uid="{00000000-0006-0000-0100-000082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E176" authorId="3" shapeId="0" xr:uid="{00000000-0006-0000-0100-000083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F176" authorId="3" shapeId="0" xr:uid="{00000000-0006-0000-0100-000084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G176" authorId="3" shapeId="0" xr:uid="{00000000-0006-0000-0100-000086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H176" authorId="3" shapeId="0" xr:uid="{00000000-0006-0000-0100-000087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I176" authorId="3" shapeId="0" xr:uid="{00000000-0006-0000-0100-000088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J176" authorId="3" shapeId="0" xr:uid="{00000000-0006-0000-0100-000089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K176" authorId="3" shapeId="0" xr:uid="{00000000-0006-0000-0100-00008B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L176" authorId="3" shapeId="0" xr:uid="{00000000-0006-0000-0100-00008C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M176" authorId="3" shapeId="0" xr:uid="{00000000-0006-0000-0100-00008D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N176" authorId="3" shapeId="0" xr:uid="{00000000-0006-0000-0100-00008E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AZ176" authorId="3" shapeId="0" xr:uid="{00000000-0006-0000-0100-00007D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A176" authorId="3" shapeId="0" xr:uid="{00000000-0006-0000-0100-00007E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B176" authorId="3" shapeId="0" xr:uid="{00000000-0006-0000-0100-00007F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C176" authorId="3" shapeId="0" xr:uid="{00000000-0006-0000-0100-000080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D176" authorId="3" shapeId="0" xr:uid="{00000000-0006-0000-0100-000085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E176" authorId="3" shapeId="0" xr:uid="{00000000-0006-0000-0100-00008A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F176" authorId="3" shapeId="0" xr:uid="{00000000-0006-0000-0100-00008F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C178" authorId="3" shapeId="0" xr:uid="{00000000-0006-0000-0100-000094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D178" authorId="3" shapeId="0" xr:uid="{00000000-0006-0000-0100-000095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E178" authorId="3" shapeId="0" xr:uid="{00000000-0006-0000-0100-000096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F178" authorId="3" shapeId="0" xr:uid="{00000000-0006-0000-0100-000097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G178" authorId="3" shapeId="0" xr:uid="{00000000-0006-0000-0100-000099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H178" authorId="3" shapeId="0" xr:uid="{00000000-0006-0000-0100-00009A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I178" authorId="3" shapeId="0" xr:uid="{00000000-0006-0000-0100-00009B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J178" authorId="3" shapeId="0" xr:uid="{00000000-0006-0000-0100-00009C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K178" authorId="3" shapeId="0" xr:uid="{00000000-0006-0000-0100-00009E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L178" authorId="3" shapeId="0" xr:uid="{00000000-0006-0000-0100-00009F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M178" authorId="3" shapeId="0" xr:uid="{00000000-0006-0000-0100-0000A0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N178" authorId="3" shapeId="0" xr:uid="{00000000-0006-0000-0100-0000A1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AZ178" authorId="3" shapeId="0" xr:uid="{00000000-0006-0000-0100-000090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A178" authorId="3" shapeId="0" xr:uid="{00000000-0006-0000-0100-000091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B178" authorId="3" shapeId="0" xr:uid="{00000000-0006-0000-0100-000092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C178" authorId="3" shapeId="0" xr:uid="{00000000-0006-0000-0100-000093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D178" authorId="3" shapeId="0" xr:uid="{00000000-0006-0000-0100-000098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E178" authorId="3" shapeId="0" xr:uid="{00000000-0006-0000-0100-00009D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BF178" authorId="3" shapeId="0" xr:uid="{00000000-0006-0000-0100-0000A2000000}">
      <text>
        <r>
          <rPr>
            <b/>
            <sz val="9"/>
            <rFont val="Tahoma"/>
            <family val="2"/>
          </rPr>
          <t>Canalyst (NH):</t>
        </r>
        <r>
          <rPr>
            <sz val="9"/>
            <rFont val="Tahoma"/>
            <family val="2"/>
          </rPr>
          <t xml:space="preserve">
Adjusted Operating Income and Adjusted EBITDA are not reported for this period. However they are computed for comparability with future periods</t>
        </r>
      </text>
    </comment>
    <comment ref="F184" authorId="9" shapeId="0" xr:uid="{00000000-0006-0000-0100-0000A3000000}">
      <text>
        <r>
          <rPr>
            <b/>
            <sz val="9"/>
            <rFont val="Tahoma"/>
            <family val="2"/>
          </rPr>
          <t>Canalyst (SSR):</t>
        </r>
        <r>
          <rPr>
            <sz val="9"/>
            <rFont val="Tahoma"/>
            <family val="2"/>
          </rPr>
          <t xml:space="preserve">
backed out</t>
        </r>
      </text>
    </comment>
    <comment ref="F186" authorId="9" shapeId="0" xr:uid="{00000000-0006-0000-0100-0000A4000000}">
      <text>
        <r>
          <rPr>
            <b/>
            <sz val="9"/>
            <rFont val="Tahoma"/>
            <family val="2"/>
          </rPr>
          <t>Canalyst (SSR):</t>
        </r>
        <r>
          <rPr>
            <sz val="9"/>
            <rFont val="Tahoma"/>
            <family val="2"/>
          </rPr>
          <t xml:space="preserve">
backed out</t>
        </r>
      </text>
    </comment>
    <comment ref="A196" authorId="0" shapeId="0" xr:uid="{00000000-0006-0000-0100-0000A5000000}">
      <text>
        <r>
          <rPr>
            <b/>
            <sz val="9"/>
            <rFont val="Tahoma"/>
            <family val="2"/>
          </rPr>
          <t>Canalyst (TK):</t>
        </r>
        <r>
          <rPr>
            <sz val="9"/>
            <rFont val="Tahoma"/>
            <family val="2"/>
          </rPr>
          <t xml:space="preserve">
Includes product development expenses for comparability</t>
        </r>
      </text>
    </comment>
    <comment ref="A201" authorId="3" shapeId="0" xr:uid="{00000000-0006-0000-0100-0000A6000000}">
      <text>
        <r>
          <rPr>
            <b/>
            <sz val="9"/>
            <rFont val="Tahoma"/>
            <family val="2"/>
          </rPr>
          <t>Canalyst (NH):</t>
        </r>
        <r>
          <rPr>
            <sz val="9"/>
            <rFont val="Tahoma"/>
            <family val="2"/>
          </rPr>
          <t xml:space="preserve">
D&amp;A is backed out from total D&amp;A on the CFS and amortization of total intangibles which is reported to only 1 decimal place</t>
        </r>
      </text>
    </comment>
    <comment ref="A202" authorId="3" shapeId="0" xr:uid="{00000000-0006-0000-0100-0000A7000000}">
      <text>
        <r>
          <rPr>
            <b/>
            <sz val="9"/>
            <rFont val="Tahoma"/>
            <family val="2"/>
          </rPr>
          <t>Canalyst (NH):</t>
        </r>
        <r>
          <rPr>
            <sz val="9"/>
            <rFont val="Tahoma"/>
            <family val="2"/>
          </rPr>
          <t xml:space="preserve">
Historical values are linked to the Additional Cost Breakdown where the amortization of total intangibles is reported to only 1 decimal place.</t>
        </r>
      </text>
    </comment>
    <comment ref="A204" authorId="6" shapeId="0" xr:uid="{00000000-0006-0000-0100-0000A8000000}">
      <text>
        <r>
          <rPr>
            <b/>
            <sz val="9"/>
            <rFont val="Tahoma"/>
            <family val="2"/>
          </rPr>
          <t>Canalyst (RE):</t>
        </r>
        <r>
          <rPr>
            <sz val="9"/>
            <rFont val="Tahoma"/>
            <family val="2"/>
          </rPr>
          <t xml:space="preserve">
Formula adjusted to exclude SBC as per the way the company reports</t>
        </r>
      </text>
    </comment>
    <comment ref="J204" authorId="6" shapeId="0" xr:uid="{00000000-0006-0000-0100-0000A9000000}">
      <text>
        <r>
          <rPr>
            <b/>
            <sz val="9"/>
            <rFont val="Tahoma"/>
            <family val="2"/>
          </rPr>
          <t>Canalyst (RE):</t>
        </r>
        <r>
          <rPr>
            <sz val="9"/>
            <rFont val="Tahoma"/>
            <family val="2"/>
          </rPr>
          <t xml:space="preserve">
Formula adjusted to include realized gain on sale of assets as per the way the company reports EBITDA</t>
        </r>
      </text>
    </comment>
    <comment ref="BE204" authorId="6" shapeId="0" xr:uid="{00000000-0006-0000-0100-0000AA000000}">
      <text>
        <r>
          <rPr>
            <b/>
            <sz val="9"/>
            <rFont val="Tahoma"/>
            <family val="2"/>
          </rPr>
          <t>Canalyst (RE):</t>
        </r>
        <r>
          <rPr>
            <sz val="9"/>
            <rFont val="Tahoma"/>
            <family val="2"/>
          </rPr>
          <t xml:space="preserve">
Formula adjusted to include realized gain on sale of assets as per the way the company reports EBITDA</t>
        </r>
      </text>
    </comment>
    <comment ref="A240" authorId="10" shapeId="0" xr:uid="{00000000-0006-0000-0100-0000AB000000}">
      <text>
        <r>
          <rPr>
            <b/>
            <sz val="9"/>
            <rFont val="Tahoma"/>
            <family val="2"/>
          </rPr>
          <t xml:space="preserve">Canalyst (DT):
</t>
        </r>
        <r>
          <rPr>
            <sz val="9"/>
            <rFont val="Tahoma"/>
            <family val="2"/>
          </rPr>
          <t>The Company issued 2,750,000 shares of Series A Special stock in connection with an acquisition. The holders of the Series A Special stock had the right to convert those shares into common stock on a one-for-one basis and the right to vote on all matters presented to K12 stockholders, other than for the election and removal of directors, for which holders of the Series A Special stock had no voting rights. These shares were converted into common stock on September 3, 2013 and no Series A Special stock remains outstanding as of September 30, 2013.</t>
        </r>
      </text>
    </comment>
    <comment ref="C240" authorId="10" shapeId="0" xr:uid="{00000000-0006-0000-0100-0000AE000000}">
      <text>
        <r>
          <rPr>
            <b/>
            <sz val="9"/>
            <rFont val="Tahoma"/>
            <family val="2"/>
          </rPr>
          <t xml:space="preserve">Canalyst (DT):
</t>
        </r>
        <r>
          <rPr>
            <sz val="9"/>
            <rFont val="Tahoma"/>
            <family val="2"/>
          </rPr>
          <t>Calculated: Common stock + Series A Special Stock (2.75mm shares)</t>
        </r>
      </text>
    </comment>
    <comment ref="D240" authorId="10" shapeId="0" xr:uid="{00000000-0006-0000-0100-0000AF000000}">
      <text>
        <r>
          <rPr>
            <b/>
            <sz val="9"/>
            <rFont val="Tahoma"/>
            <family val="2"/>
          </rPr>
          <t xml:space="preserve">Canalyst (DT):
</t>
        </r>
        <r>
          <rPr>
            <sz val="9"/>
            <rFont val="Tahoma"/>
            <family val="2"/>
          </rPr>
          <t>Calculated: Common stock + Series A Special Stock (2.75mm shares)</t>
        </r>
      </text>
    </comment>
    <comment ref="E240" authorId="10" shapeId="0" xr:uid="{00000000-0006-0000-0100-0000B0000000}">
      <text>
        <r>
          <rPr>
            <b/>
            <sz val="9"/>
            <rFont val="Tahoma"/>
            <family val="2"/>
          </rPr>
          <t xml:space="preserve">Canalyst (DT):
</t>
        </r>
        <r>
          <rPr>
            <sz val="9"/>
            <rFont val="Tahoma"/>
            <family val="2"/>
          </rPr>
          <t>Calculated: Common stock + Series A Special Stock (2.75mm shares)</t>
        </r>
      </text>
    </comment>
    <comment ref="F240" authorId="10" shapeId="0" xr:uid="{00000000-0006-0000-0100-0000B1000000}">
      <text>
        <r>
          <rPr>
            <b/>
            <sz val="9"/>
            <rFont val="Tahoma"/>
            <family val="2"/>
          </rPr>
          <t xml:space="preserve">Canalyst (DT):
</t>
        </r>
        <r>
          <rPr>
            <sz val="9"/>
            <rFont val="Tahoma"/>
            <family val="2"/>
          </rPr>
          <t>Calculated: Common stock + Series A Special Stock (2.75mm shares)</t>
        </r>
      </text>
    </comment>
    <comment ref="BB240" authorId="10" shapeId="0" xr:uid="{00000000-0006-0000-0100-0000AC000000}">
      <text>
        <r>
          <rPr>
            <b/>
            <sz val="9"/>
            <rFont val="Tahoma"/>
            <family val="2"/>
          </rPr>
          <t xml:space="preserve">Canalyst (DT):
</t>
        </r>
        <r>
          <rPr>
            <sz val="9"/>
            <rFont val="Tahoma"/>
            <family val="2"/>
          </rPr>
          <t>Calculated: Common stock + Series A Special Stock (2.75mm shares)</t>
        </r>
      </text>
    </comment>
    <comment ref="BC240" authorId="10" shapeId="0" xr:uid="{00000000-0006-0000-0100-0000AD000000}">
      <text>
        <r>
          <rPr>
            <b/>
            <sz val="9"/>
            <rFont val="Tahoma"/>
            <family val="2"/>
          </rPr>
          <t xml:space="preserve">Canalyst (DT):
</t>
        </r>
        <r>
          <rPr>
            <sz val="9"/>
            <rFont val="Tahoma"/>
            <family val="2"/>
          </rPr>
          <t>Calculated: Common stock + Series A Special Stock (2.75mm shares)</t>
        </r>
      </text>
    </comment>
    <comment ref="BD240" authorId="10" shapeId="0" xr:uid="{00000000-0006-0000-0100-0000B2000000}">
      <text>
        <r>
          <rPr>
            <b/>
            <sz val="9"/>
            <rFont val="Tahoma"/>
            <family val="2"/>
          </rPr>
          <t xml:space="preserve">Canalyst (DT):
</t>
        </r>
        <r>
          <rPr>
            <sz val="9"/>
            <rFont val="Tahoma"/>
            <family val="2"/>
          </rPr>
          <t>Calculated: Common stock + Series A Special Stock (2.75mm shares)</t>
        </r>
      </text>
    </comment>
    <comment ref="C248" authorId="10" shapeId="0" xr:uid="{00000000-0006-0000-0100-0000B5000000}">
      <text>
        <r>
          <rPr>
            <b/>
            <sz val="9"/>
            <rFont val="Tahoma"/>
            <family val="2"/>
          </rPr>
          <t xml:space="preserve">Canalyst (DT):
</t>
        </r>
        <r>
          <rPr>
            <sz val="9"/>
            <rFont val="Tahoma"/>
            <family val="2"/>
          </rPr>
          <t>Calculated: Common stock + Series A Special Stock (2.75mm shares)</t>
        </r>
      </text>
    </comment>
    <comment ref="D248" authorId="10" shapeId="0" xr:uid="{00000000-0006-0000-0100-0000B6000000}">
      <text>
        <r>
          <rPr>
            <b/>
            <sz val="9"/>
            <rFont val="Tahoma"/>
            <family val="2"/>
          </rPr>
          <t xml:space="preserve">Canalyst (DT):
</t>
        </r>
        <r>
          <rPr>
            <sz val="9"/>
            <rFont val="Tahoma"/>
            <family val="2"/>
          </rPr>
          <t>Calculated: Common stock + Series A Special Stock (2.75mm shares)</t>
        </r>
      </text>
    </comment>
    <comment ref="E248" authorId="10" shapeId="0" xr:uid="{00000000-0006-0000-0100-0000B7000000}">
      <text>
        <r>
          <rPr>
            <b/>
            <sz val="9"/>
            <rFont val="Tahoma"/>
            <family val="2"/>
          </rPr>
          <t xml:space="preserve">Canalyst (DT):
</t>
        </r>
        <r>
          <rPr>
            <sz val="9"/>
            <rFont val="Tahoma"/>
            <family val="2"/>
          </rPr>
          <t>Calculated: Common stock + Series A Special Stock (2.75mm shares)</t>
        </r>
      </text>
    </comment>
    <comment ref="F248" authorId="10" shapeId="0" xr:uid="{00000000-0006-0000-0100-0000B8000000}">
      <text>
        <r>
          <rPr>
            <b/>
            <sz val="9"/>
            <rFont val="Tahoma"/>
            <family val="2"/>
          </rPr>
          <t xml:space="preserve">Canalyst (DT):
</t>
        </r>
        <r>
          <rPr>
            <sz val="9"/>
            <rFont val="Tahoma"/>
            <family val="2"/>
          </rPr>
          <t>Calculated: Common stock + Series A Special Stock (2.75mm shares)</t>
        </r>
      </text>
    </comment>
    <comment ref="BB248" authorId="10" shapeId="0" xr:uid="{00000000-0006-0000-0100-0000B3000000}">
      <text>
        <r>
          <rPr>
            <b/>
            <sz val="9"/>
            <rFont val="Tahoma"/>
            <family val="2"/>
          </rPr>
          <t xml:space="preserve">Canalyst (DT):
</t>
        </r>
        <r>
          <rPr>
            <sz val="9"/>
            <rFont val="Tahoma"/>
            <family val="2"/>
          </rPr>
          <t>Calculated: Common stock + Series A Special Stock (2.75mm shares)</t>
        </r>
      </text>
    </comment>
    <comment ref="BC248" authorId="10" shapeId="0" xr:uid="{00000000-0006-0000-0100-0000B4000000}">
      <text>
        <r>
          <rPr>
            <b/>
            <sz val="9"/>
            <rFont val="Tahoma"/>
            <family val="2"/>
          </rPr>
          <t xml:space="preserve">Canalyst (DT):
</t>
        </r>
        <r>
          <rPr>
            <sz val="9"/>
            <rFont val="Tahoma"/>
            <family val="2"/>
          </rPr>
          <t>Calculated: Common stock + Series A Special Stock (2.75mm shares)</t>
        </r>
      </text>
    </comment>
    <comment ref="BD248" authorId="10" shapeId="0" xr:uid="{00000000-0006-0000-0100-0000B9000000}">
      <text>
        <r>
          <rPr>
            <b/>
            <sz val="9"/>
            <rFont val="Tahoma"/>
            <family val="2"/>
          </rPr>
          <t xml:space="preserve">Canalyst (DT):
</t>
        </r>
        <r>
          <rPr>
            <sz val="9"/>
            <rFont val="Tahoma"/>
            <family val="2"/>
          </rPr>
          <t>Calculated: Common stock + Series A Special Stock (2.75mm shares)</t>
        </r>
      </text>
    </comment>
    <comment ref="A251" authorId="11" shapeId="0" xr:uid="{00000000-0006-0000-0100-0000BA000000}">
      <text>
        <r>
          <rPr>
            <b/>
            <sz val="9"/>
            <rFont val="Tahoma"/>
            <family val="2"/>
          </rPr>
          <t>Canalyst:</t>
        </r>
        <r>
          <rPr>
            <sz val="9"/>
            <rFont val="Tahoma"/>
            <family val="2"/>
          </rPr>
          <t xml:space="preserve">
In periods where EPS is negative, this amount is calculated using the closest prior period where EPS was positive.</t>
        </r>
      </text>
    </comment>
    <comment ref="AG265" authorId="4" shapeId="0" xr:uid="{00000000-0006-0000-0100-0000BB000000}">
      <text>
        <r>
          <rPr>
            <b/>
            <sz val="9"/>
            <rFont val="Tahoma"/>
            <family val="2"/>
          </rPr>
          <t>Canalyst (RZ):</t>
        </r>
        <r>
          <rPr>
            <sz val="9"/>
            <rFont val="Tahoma"/>
            <family val="2"/>
          </rPr>
          <t xml:space="preserve">
Acquisition of Galvanize, Inc.</t>
        </r>
      </text>
    </comment>
    <comment ref="AJ265" authorId="4" shapeId="0" xr:uid="{00000000-0006-0000-0100-0000BC000000}">
      <text>
        <r>
          <rPr>
            <b/>
            <sz val="9"/>
            <rFont val="Tahoma"/>
            <family val="2"/>
          </rPr>
          <t>Canalyst (RZ):</t>
        </r>
        <r>
          <rPr>
            <sz val="9"/>
            <rFont val="Tahoma"/>
            <family val="2"/>
          </rPr>
          <t xml:space="preserve">
Acquisition of MedCerts and Tech Elevator</t>
        </r>
      </text>
    </comment>
    <comment ref="AL341" authorId="0" shapeId="0" xr:uid="{00000000-0006-0000-0100-0000BD000000}">
      <text>
        <r>
          <rPr>
            <b/>
            <sz val="9"/>
            <rFont val="Tahoma"/>
            <family val="2"/>
          </rPr>
          <t>Canalyst (TK):</t>
        </r>
        <r>
          <rPr>
            <sz val="9"/>
            <rFont val="Tahoma"/>
            <family val="2"/>
          </rPr>
          <t xml:space="preserve">
Previously reported within other</t>
        </r>
      </text>
    </comment>
    <comment ref="AA345" authorId="12" shapeId="0" xr:uid="{00000000-0006-0000-0100-0000BF000000}">
      <text>
        <r>
          <rPr>
            <b/>
            <sz val="9"/>
            <rFont val="Tahoma"/>
            <family val="2"/>
          </rPr>
          <t>Canalyst (RE):</t>
        </r>
        <r>
          <rPr>
            <sz val="9"/>
            <rFont val="Tahoma"/>
            <family val="2"/>
          </rPr>
          <t xml:space="preserve">
Includes prepaid expense, deposits and other current assets</t>
        </r>
      </text>
    </comment>
    <comment ref="BI345" authorId="12" shapeId="0" xr:uid="{00000000-0006-0000-0100-0000BE000000}">
      <text>
        <r>
          <rPr>
            <b/>
            <sz val="9"/>
            <rFont val="Tahoma"/>
            <family val="2"/>
          </rPr>
          <t>Canalyst (SL):</t>
        </r>
        <r>
          <rPr>
            <sz val="9"/>
            <rFont val="Tahoma"/>
            <family val="2"/>
          </rPr>
          <t xml:space="preserve">
Includes prepaid expense and other current assets</t>
        </r>
      </text>
    </comment>
    <comment ref="BI346" authorId="0" shapeId="0" xr:uid="{00000000-0006-0000-0100-0000C0000000}">
      <text>
        <r>
          <rPr>
            <b/>
            <sz val="9"/>
            <rFont val="Tahoma"/>
            <family val="2"/>
            <charset val="1"/>
          </rPr>
          <t>Canalyst (TK):</t>
        </r>
        <r>
          <rPr>
            <sz val="9"/>
            <rFont val="Tahoma"/>
            <family val="2"/>
            <charset val="1"/>
          </rPr>
          <t xml:space="preserve">
No longer reported as a separate line item</t>
        </r>
      </text>
    </comment>
    <comment ref="BI347" authorId="0" shapeId="0" xr:uid="{00000000-0006-0000-0100-0000C1000000}">
      <text>
        <r>
          <rPr>
            <b/>
            <sz val="9"/>
            <rFont val="Tahoma"/>
            <family val="2"/>
            <charset val="1"/>
          </rPr>
          <t>Canalyst (TK):</t>
        </r>
        <r>
          <rPr>
            <sz val="9"/>
            <rFont val="Tahoma"/>
            <family val="2"/>
            <charset val="1"/>
          </rPr>
          <t xml:space="preserve">
No longer reported as a separate line item</t>
        </r>
      </text>
    </comment>
    <comment ref="AA348" authorId="0" shapeId="0" xr:uid="{00000000-0006-0000-0100-0000C2000000}">
      <text>
        <r>
          <rPr>
            <b/>
            <sz val="9"/>
            <rFont val="Tahoma"/>
            <family val="2"/>
            <charset val="1"/>
          </rPr>
          <t>Canalyst (TK):</t>
        </r>
        <r>
          <rPr>
            <sz val="9"/>
            <rFont val="Tahoma"/>
            <family val="2"/>
            <charset val="1"/>
          </rPr>
          <t xml:space="preserve">
No longer reported as a separate line item</t>
        </r>
      </text>
    </comment>
    <comment ref="AB353" authorId="6" shapeId="0" xr:uid="{00000000-0006-0000-0100-0000C3000000}">
      <text>
        <r>
          <rPr>
            <b/>
            <sz val="9"/>
            <rFont val="Tahoma"/>
            <family val="2"/>
          </rPr>
          <t>Canalyst (RE):</t>
        </r>
        <r>
          <rPr>
            <sz val="9"/>
            <rFont val="Tahoma"/>
            <family val="2"/>
          </rPr>
          <t xml:space="preserve">
Deferred revenue, rent and other liabilities</t>
        </r>
      </text>
    </comment>
    <comment ref="AL433" authorId="0" shapeId="0" xr:uid="{00000000-0006-0000-0100-0000C4000000}">
      <text>
        <r>
          <rPr>
            <b/>
            <sz val="9"/>
            <rFont val="Tahoma"/>
            <family val="2"/>
          </rPr>
          <t>Canalyst (TK):</t>
        </r>
        <r>
          <rPr>
            <sz val="9"/>
            <rFont val="Tahoma"/>
            <family val="2"/>
          </rPr>
          <t xml:space="preserve">
Formula adjusted for comparability</t>
        </r>
      </text>
    </comment>
    <comment ref="BL433" authorId="0" shapeId="0" xr:uid="{00000000-0006-0000-0100-0000C5000000}">
      <text>
        <r>
          <rPr>
            <b/>
            <sz val="9"/>
            <rFont val="Tahoma"/>
            <family val="2"/>
          </rPr>
          <t>Canalyst (TK):</t>
        </r>
        <r>
          <rPr>
            <sz val="9"/>
            <rFont val="Tahoma"/>
            <family val="2"/>
          </rPr>
          <t xml:space="preserve">
Previously reported within other</t>
        </r>
      </text>
    </comment>
    <comment ref="AL434" authorId="0" shapeId="0" xr:uid="{00000000-0006-0000-0100-0000C6000000}">
      <text>
        <r>
          <rPr>
            <b/>
            <sz val="9"/>
            <rFont val="Tahoma"/>
            <family val="2"/>
          </rPr>
          <t>Canalyst (TK):</t>
        </r>
        <r>
          <rPr>
            <sz val="9"/>
            <rFont val="Tahoma"/>
            <family val="2"/>
          </rPr>
          <t xml:space="preserve">
Formula adjusted for comparability</t>
        </r>
      </text>
    </comment>
    <comment ref="Z437" authorId="12" shapeId="0" xr:uid="{00000000-0006-0000-0100-0000C7000000}">
      <text>
        <r>
          <rPr>
            <b/>
            <sz val="9"/>
            <rFont val="Tahoma"/>
            <family val="2"/>
          </rPr>
          <t>Canalyst (SL):</t>
        </r>
        <r>
          <rPr>
            <sz val="9"/>
            <rFont val="Tahoma"/>
            <family val="2"/>
          </rPr>
          <t xml:space="preserve">
Includes prepaid expense and other current assets</t>
        </r>
      </text>
    </comment>
    <comment ref="AA437" authorId="12" shapeId="0" xr:uid="{00000000-0006-0000-0100-0000C8000000}">
      <text>
        <r>
          <rPr>
            <b/>
            <sz val="9"/>
            <rFont val="Tahoma"/>
            <family val="2"/>
          </rPr>
          <t>Canalyst (RE):</t>
        </r>
        <r>
          <rPr>
            <sz val="9"/>
            <rFont val="Tahoma"/>
            <family val="2"/>
          </rPr>
          <t xml:space="preserve">
Includes prepaid expense, deposits and other current assets</t>
        </r>
      </text>
    </comment>
    <comment ref="Z438" authorId="0" shapeId="0" xr:uid="{00000000-0006-0000-0100-0000C9000000}">
      <text>
        <r>
          <rPr>
            <b/>
            <sz val="9"/>
            <rFont val="Tahoma"/>
            <family val="2"/>
            <charset val="1"/>
          </rPr>
          <t>Canalyst (TK):</t>
        </r>
        <r>
          <rPr>
            <sz val="9"/>
            <rFont val="Tahoma"/>
            <family val="2"/>
            <charset val="1"/>
          </rPr>
          <t xml:space="preserve">
Formula adjusted, no longer reported as a separate line item</t>
        </r>
      </text>
    </comment>
    <comment ref="Z439" authorId="0" shapeId="0" xr:uid="{00000000-0006-0000-0100-0000CA000000}">
      <text>
        <r>
          <rPr>
            <b/>
            <sz val="9"/>
            <rFont val="Tahoma"/>
            <family val="2"/>
            <charset val="1"/>
          </rPr>
          <t>Canalyst (TK):</t>
        </r>
        <r>
          <rPr>
            <sz val="9"/>
            <rFont val="Tahoma"/>
            <family val="2"/>
            <charset val="1"/>
          </rPr>
          <t xml:space="preserve">
Formula adjusted, no longer reported as a separate line item</t>
        </r>
      </text>
    </comment>
    <comment ref="AA440" authorId="0" shapeId="0" xr:uid="{00000000-0006-0000-0100-0000CB000000}">
      <text>
        <r>
          <rPr>
            <b/>
            <sz val="9"/>
            <rFont val="Tahoma"/>
            <family val="2"/>
            <charset val="1"/>
          </rPr>
          <t>Canalyst (TK):</t>
        </r>
        <r>
          <rPr>
            <sz val="9"/>
            <rFont val="Tahoma"/>
            <family val="2"/>
            <charset val="1"/>
          </rPr>
          <t xml:space="preserve">
No longer reported as a separate line item</t>
        </r>
      </text>
    </comment>
    <comment ref="A453" authorId="3" shapeId="0" xr:uid="{00000000-0006-0000-0100-0000CC000000}">
      <text>
        <r>
          <rPr>
            <b/>
            <sz val="9"/>
            <rFont val="Tahoma"/>
            <family val="2"/>
          </rPr>
          <t>Canalyst (NH):</t>
        </r>
        <r>
          <rPr>
            <sz val="9"/>
            <rFont val="Tahoma"/>
            <family val="2"/>
          </rPr>
          <t xml:space="preserve">
The forecast periods include capitalized curriculum development costs</t>
        </r>
      </text>
    </comment>
    <comment ref="AV453" authorId="3" shapeId="0" xr:uid="{00000000-0006-0000-0100-0000CE000000}">
      <text>
        <r>
          <rPr>
            <b/>
            <sz val="9"/>
            <rFont val="Tahoma"/>
            <family val="2"/>
          </rPr>
          <t>Canalyst (NH):</t>
        </r>
        <r>
          <rPr>
            <sz val="9"/>
            <rFont val="Tahoma"/>
            <family val="2"/>
          </rPr>
          <t xml:space="preserve">
includes capitalized curriculum development costs in forecast periods</t>
        </r>
      </text>
    </comment>
    <comment ref="AW453" authorId="3" shapeId="0" xr:uid="{00000000-0006-0000-0100-0000CF000000}">
      <text>
        <r>
          <rPr>
            <b/>
            <sz val="9"/>
            <rFont val="Tahoma"/>
            <family val="2"/>
          </rPr>
          <t>Canalyst (NH):</t>
        </r>
        <r>
          <rPr>
            <sz val="9"/>
            <rFont val="Tahoma"/>
            <family val="2"/>
          </rPr>
          <t xml:space="preserve">
includes capitalized curriculum development costs in forecast periods</t>
        </r>
      </text>
    </comment>
    <comment ref="AX453" authorId="3" shapeId="0" xr:uid="{00000000-0006-0000-0100-0000D0000000}">
      <text>
        <r>
          <rPr>
            <b/>
            <sz val="9"/>
            <rFont val="Tahoma"/>
            <family val="2"/>
          </rPr>
          <t>Canalyst (NH):</t>
        </r>
        <r>
          <rPr>
            <sz val="9"/>
            <rFont val="Tahoma"/>
            <family val="2"/>
          </rPr>
          <t xml:space="preserve">
includes capitalized curriculum development costs in forecast periods</t>
        </r>
      </text>
    </comment>
    <comment ref="BQ453" authorId="3" shapeId="0" xr:uid="{00000000-0006-0000-0100-0000D5000000}">
      <text>
        <r>
          <rPr>
            <b/>
            <sz val="9"/>
            <rFont val="Tahoma"/>
            <family val="2"/>
          </rPr>
          <t>Canalyst (NH):</t>
        </r>
        <r>
          <rPr>
            <sz val="9"/>
            <rFont val="Tahoma"/>
            <family val="2"/>
          </rPr>
          <t xml:space="preserve">
includes capitalized curriculum development costs in forecast periods</t>
        </r>
      </text>
    </comment>
    <comment ref="BR453" authorId="3" shapeId="0" xr:uid="{00000000-0006-0000-0100-0000D6000000}">
      <text>
        <r>
          <rPr>
            <b/>
            <sz val="9"/>
            <rFont val="Tahoma"/>
            <family val="2"/>
          </rPr>
          <t>Canalyst (NH):</t>
        </r>
        <r>
          <rPr>
            <sz val="9"/>
            <rFont val="Tahoma"/>
            <family val="2"/>
          </rPr>
          <t xml:space="preserve">
includes capitalized curriculum development costs in forecast periods</t>
        </r>
      </text>
    </comment>
    <comment ref="BS453" authorId="3" shapeId="0" xr:uid="{00000000-0006-0000-0100-0000D7000000}">
      <text>
        <r>
          <rPr>
            <b/>
            <sz val="9"/>
            <rFont val="Tahoma"/>
            <family val="2"/>
          </rPr>
          <t>Canalyst (NH):</t>
        </r>
        <r>
          <rPr>
            <sz val="9"/>
            <rFont val="Tahoma"/>
            <family val="2"/>
          </rPr>
          <t xml:space="preserve">
includes capitalized curriculum development costs in forecast periods</t>
        </r>
      </text>
    </comment>
    <comment ref="AI496" authorId="1" shapeId="0" xr:uid="{00000000-0006-0000-0100-0000D8000000}">
      <text>
        <r>
          <rPr>
            <b/>
            <sz val="9"/>
            <rFont val="Tahoma"/>
            <family val="2"/>
          </rPr>
          <t>Canalyst (HL):</t>
        </r>
        <r>
          <rPr>
            <sz val="9"/>
            <rFont val="Tahoma"/>
            <family val="2"/>
          </rPr>
          <t xml:space="preserve">
In connection with the Notes, the Company entered into privately negotiated Capped Call Transactions (the “Capped Call Transactions”) with certain counterparties. The Capped Call Transactions are expected to cover the aggregate number of shares of the Company’s common stock that initially underlie the Notes, and are expected to reduce potential dilution to the Company’s common stock upon any conversion of the Notes and/or offset any cash payments the Company is required to make in excess of the principal amount of converted Notes. The upper strike price of the Capped Call Transactions is $86.174 per share. The cost of the Capped Call Transactions was $60.4 million and was recorded within additional paid in capital.
</t>
        </r>
      </text>
    </comment>
    <comment ref="Z510" authorId="12" shapeId="0" xr:uid="{00000000-0006-0000-0100-0000D9000000}">
      <text>
        <r>
          <rPr>
            <b/>
            <sz val="9"/>
            <rFont val="Tahoma"/>
            <family val="2"/>
          </rPr>
          <t>Canalyst (SL):</t>
        </r>
        <r>
          <rPr>
            <sz val="9"/>
            <rFont val="Tahoma"/>
            <family val="2"/>
          </rPr>
          <t xml:space="preserve">
Check adjusted to include restricted cash</t>
        </r>
      </text>
    </comment>
    <comment ref="E612" authorId="0" shapeId="0" xr:uid="{00000000-0006-0000-0100-0000DA000000}">
      <text>
        <r>
          <rPr>
            <b/>
            <sz val="9"/>
            <rFont val="Tahoma"/>
            <family val="2"/>
          </rPr>
          <t>Canalyst (TK):</t>
        </r>
        <r>
          <rPr>
            <sz val="9"/>
            <rFont val="Tahoma"/>
            <family val="2"/>
          </rPr>
          <t xml:space="preserve">
Rounding error</t>
        </r>
      </text>
    </comment>
    <comment ref="F612" authorId="0" shapeId="0" xr:uid="{00000000-0006-0000-0100-0000DB000000}">
      <text>
        <r>
          <rPr>
            <b/>
            <sz val="9"/>
            <rFont val="Tahoma"/>
            <family val="2"/>
          </rPr>
          <t>Canalyst (TK):</t>
        </r>
        <r>
          <rPr>
            <sz val="9"/>
            <rFont val="Tahoma"/>
            <family val="2"/>
          </rPr>
          <t xml:space="preserve">
Rounding error</t>
        </r>
      </text>
    </comment>
    <comment ref="H612" authorId="0" shapeId="0" xr:uid="{00000000-0006-0000-0100-0000DC000000}">
      <text>
        <r>
          <rPr>
            <b/>
            <sz val="9"/>
            <rFont val="Tahoma"/>
            <family val="2"/>
          </rPr>
          <t>Canalyst (TK):</t>
        </r>
        <r>
          <rPr>
            <sz val="9"/>
            <rFont val="Tahoma"/>
            <family val="2"/>
          </rPr>
          <t xml:space="preserve">
Rounding error</t>
        </r>
      </text>
    </comment>
    <comment ref="J612" authorId="0" shapeId="0" xr:uid="{00000000-0006-0000-0100-0000DD000000}">
      <text>
        <r>
          <rPr>
            <b/>
            <sz val="9"/>
            <rFont val="Tahoma"/>
            <family val="2"/>
          </rPr>
          <t>Canalyst (TK):</t>
        </r>
        <r>
          <rPr>
            <sz val="9"/>
            <rFont val="Tahoma"/>
            <family val="2"/>
          </rPr>
          <t xml:space="preserve">
Rounding error</t>
        </r>
      </text>
    </comment>
    <comment ref="L612" authorId="0" shapeId="0" xr:uid="{00000000-0006-0000-0100-0000DE000000}">
      <text>
        <r>
          <rPr>
            <b/>
            <sz val="9"/>
            <rFont val="Tahoma"/>
            <family val="2"/>
          </rPr>
          <t>Canalyst (TK):</t>
        </r>
        <r>
          <rPr>
            <sz val="9"/>
            <rFont val="Tahoma"/>
            <family val="2"/>
          </rPr>
          <t xml:space="preserve">
Rounding error</t>
        </r>
      </text>
    </comment>
    <comment ref="M612" authorId="0" shapeId="0" xr:uid="{00000000-0006-0000-0100-0000DF000000}">
      <text>
        <r>
          <rPr>
            <b/>
            <sz val="9"/>
            <rFont val="Tahoma"/>
            <family val="2"/>
          </rPr>
          <t>Canalyst (TK):</t>
        </r>
        <r>
          <rPr>
            <sz val="9"/>
            <rFont val="Tahoma"/>
            <family val="2"/>
          </rPr>
          <t xml:space="preserve">
Rounding error</t>
        </r>
      </text>
    </comment>
    <comment ref="V624" authorId="13" shapeId="0" xr:uid="{00000000-0006-0000-0100-0000E0000000}">
      <text>
        <r>
          <rPr>
            <b/>
            <sz val="8"/>
            <rFont val="Tahoma"/>
            <family val="2"/>
          </rPr>
          <t>Canalyst (JA):</t>
        </r>
        <r>
          <rPr>
            <sz val="8"/>
            <rFont val="Tahoma"/>
            <family val="2"/>
          </rPr>
          <t xml:space="preserve">
As reported.</t>
        </r>
      </text>
    </comment>
    <comment ref="Z624" authorId="12" shapeId="0" xr:uid="{00000000-0006-0000-0100-0000E2000000}">
      <text>
        <r>
          <rPr>
            <b/>
            <sz val="9"/>
            <rFont val="Tahoma"/>
            <family val="2"/>
          </rPr>
          <t>Canalyst (SL):</t>
        </r>
        <r>
          <rPr>
            <sz val="9"/>
            <rFont val="Tahoma"/>
            <family val="2"/>
          </rPr>
          <t xml:space="preserve">
As reported</t>
        </r>
      </text>
    </comment>
    <comment ref="AO624" authorId="3" shapeId="0" xr:uid="{00000000-0006-0000-0100-0000E3000000}">
      <text>
        <r>
          <rPr>
            <b/>
            <sz val="9"/>
            <rFont val="Tahoma"/>
            <family val="2"/>
          </rPr>
          <t>Canalyst (NH):</t>
        </r>
        <r>
          <rPr>
            <sz val="9"/>
            <rFont val="Tahoma"/>
            <family val="2"/>
          </rPr>
          <t xml:space="preserve">
As reported, acquisitions are net of distributions</t>
        </r>
      </text>
    </comment>
    <comment ref="BH624" authorId="13" shapeId="0" xr:uid="{00000000-0006-0000-0100-0000E1000000}">
      <text>
        <r>
          <rPr>
            <b/>
            <sz val="8"/>
            <rFont val="Tahoma"/>
            <family val="2"/>
          </rPr>
          <t>Canalyst (JA):</t>
        </r>
        <r>
          <rPr>
            <sz val="8"/>
            <rFont val="Tahoma"/>
            <family val="2"/>
          </rPr>
          <t xml:space="preserve">
As reported.</t>
        </r>
      </text>
    </comment>
    <comment ref="BD626" authorId="8" shapeId="0" xr:uid="{00000000-0006-0000-0100-0000E4000000}">
      <text>
        <r>
          <rPr>
            <b/>
            <sz val="9"/>
            <rFont val="Tahoma"/>
            <family val="2"/>
          </rPr>
          <t>Canalyst (BH):</t>
        </r>
        <r>
          <rPr>
            <sz val="9"/>
            <rFont val="Tahoma"/>
            <family val="2"/>
          </rPr>
          <t xml:space="preserve">
Information on amount allocated to participating Series A stockholders not available for the fourth quarter.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Canalyst (SSR)</author>
  </authors>
  <commentList>
    <comment ref="A8" authorId="0" shapeId="0" xr:uid="{589599FA-7C43-4E75-B218-041884CC3E0A}">
      <text>
        <r>
          <rPr>
            <b/>
            <sz val="9"/>
            <rFont val="Tahoma"/>
            <family val="2"/>
          </rPr>
          <t>Tegus:</t>
        </r>
        <r>
          <rPr>
            <sz val="9"/>
            <rFont val="Tahoma"/>
            <family val="2"/>
          </rPr>
          <t xml:space="preserve">
Sort Largest to Smallest to return to default.</t>
        </r>
      </text>
    </comment>
    <comment ref="M19" authorId="0" shapeId="0" xr:uid="{07B7A18E-1F10-49DA-ABFF-1FA29E0A0CAE}">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27" authorId="0" shapeId="0" xr:uid="{0BFB090D-CB79-4937-89CA-92B6BD07550A}">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35" authorId="0" shapeId="0" xr:uid="{0C30B7B8-6B4B-42F1-8284-D5FF0B3B1D2C}">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45" authorId="0" shapeId="0" xr:uid="{5D835361-ADDD-4A42-95FF-B017DF9BBB09}">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53" authorId="0" shapeId="0" xr:uid="{8CB04B39-0FF0-4957-8BA2-E2CED38837D4}">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67" authorId="0" shapeId="0" xr:uid="{BF782797-EED1-421A-9EEE-973C6180522C}">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78" authorId="0" shapeId="0" xr:uid="{7EAB7605-70A8-49DB-B78B-EB07B862787D}">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86" authorId="0" shapeId="0" xr:uid="{42CCCA85-4573-4A52-A689-0372596E76B6}">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98" authorId="0" shapeId="0" xr:uid="{1558208B-08A7-4B35-8116-821FBD14F29B}">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106" authorId="0" shapeId="0" xr:uid="{C2EB15CA-B4B4-4608-B3F7-F943B87C3BE7}">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H115" authorId="0" shapeId="0" xr:uid="{B82FE56F-E260-498D-8F7D-3F8E7DC18D78}">
      <text>
        <r>
          <rPr>
            <b/>
            <sz val="9"/>
            <rFont val="Tahoma"/>
            <family val="2"/>
          </rPr>
          <t>Tegus (NH):</t>
        </r>
        <r>
          <rPr>
            <sz val="9"/>
            <rFont val="Tahoma"/>
            <family val="2"/>
          </rPr>
          <t xml:space="preserve">
Guidance refers to FQ1 2025</t>
        </r>
      </text>
    </comment>
    <comment ref="P116" authorId="0" shapeId="0" xr:uid="{66D61B6A-D5B2-470A-AB57-4866816F163C}">
      <text>
        <r>
          <rPr>
            <b/>
            <sz val="9"/>
            <rFont val="Tahoma"/>
            <family val="2"/>
          </rPr>
          <t>Tegus (NH):</t>
        </r>
        <r>
          <rPr>
            <sz val="9"/>
            <rFont val="Tahoma"/>
            <family val="2"/>
          </rPr>
          <t xml:space="preserve">
Metric is currently not forecasted in the model</t>
        </r>
      </text>
    </comment>
    <comment ref="M117" authorId="0" shapeId="0" xr:uid="{AEB458CE-D6C1-490E-9D9A-421EE9CFEBF7}">
      <text>
        <r>
          <rPr>
            <b/>
            <sz val="9"/>
            <rFont val="Tahoma"/>
            <family val="2"/>
          </rPr>
          <t>Tegus (TK):</t>
        </r>
        <r>
          <rPr>
            <sz val="9"/>
            <rFont val="Tahoma"/>
            <family val="2"/>
          </rPr>
          <t xml:space="preserve">
Includes only Public programs</t>
        </r>
      </text>
    </comment>
    <comment ref="P117" authorId="0" shapeId="0" xr:uid="{3A89C98C-D03B-4F0D-8A35-B4BFDD3F29C8}">
      <text>
        <r>
          <rPr>
            <b/>
            <sz val="9"/>
            <rFont val="Tahoma"/>
            <family val="2"/>
          </rPr>
          <t>Tegus (NH):</t>
        </r>
        <r>
          <rPr>
            <sz val="9"/>
            <rFont val="Tahoma"/>
            <family val="2"/>
          </rPr>
          <t xml:space="preserve">
Metric is currently not forecasted in the model</t>
        </r>
      </text>
    </comment>
    <comment ref="P118" authorId="0" shapeId="0" xr:uid="{BDC071A9-58EE-492A-8467-8F828460AF1F}">
      <text>
        <r>
          <rPr>
            <b/>
            <sz val="9"/>
            <rFont val="Tahoma"/>
            <family val="2"/>
          </rPr>
          <t>Tegus (TK):</t>
        </r>
        <r>
          <rPr>
            <sz val="9"/>
            <rFont val="Tahoma"/>
            <family val="2"/>
          </rPr>
          <t xml:space="preserve">
Formula adjusted, per pupil revenue forecasted in the model differs from reported amount</t>
        </r>
      </text>
    </comment>
    <comment ref="H121" authorId="0" shapeId="0" xr:uid="{8F3599B5-5FFF-416E-B318-A52535B5D8F5}">
      <text>
        <r>
          <rPr>
            <b/>
            <sz val="9"/>
            <rFont val="Tahoma"/>
            <family val="2"/>
          </rPr>
          <t>Tegus (NH):</t>
        </r>
        <r>
          <rPr>
            <sz val="9"/>
            <rFont val="Tahoma"/>
            <family val="2"/>
          </rPr>
          <t xml:space="preserve">
Guidance refers to FQ1 2025</t>
        </r>
      </text>
    </comment>
    <comment ref="P122" authorId="0" shapeId="0" xr:uid="{2C9395F7-9CEC-4DC0-9921-DB0EAE83DC81}">
      <text>
        <r>
          <rPr>
            <b/>
            <sz val="9"/>
            <rFont val="Tahoma"/>
            <family val="2"/>
          </rPr>
          <t>Tegus (NH):</t>
        </r>
        <r>
          <rPr>
            <sz val="9"/>
            <rFont val="Tahoma"/>
            <family val="2"/>
          </rPr>
          <t xml:space="preserve">
Metric is currently not forecasted in the model</t>
        </r>
      </text>
    </comment>
    <comment ref="M123" authorId="0" shapeId="0" xr:uid="{9D2F5872-B6BC-45D1-B6FF-B51E91D2A3C6}">
      <text>
        <r>
          <rPr>
            <b/>
            <sz val="9"/>
            <rFont val="Tahoma"/>
            <family val="2"/>
          </rPr>
          <t>Tegus (TK):</t>
        </r>
        <r>
          <rPr>
            <sz val="9"/>
            <rFont val="Tahoma"/>
            <family val="2"/>
          </rPr>
          <t xml:space="preserve">
Includes only Public programs</t>
        </r>
      </text>
    </comment>
    <comment ref="P123" authorId="0" shapeId="0" xr:uid="{5375667B-CAFD-4C87-B900-2714A386D0F9}">
      <text>
        <r>
          <rPr>
            <b/>
            <sz val="9"/>
            <rFont val="Tahoma"/>
            <family val="2"/>
          </rPr>
          <t>Tegus (NH):</t>
        </r>
        <r>
          <rPr>
            <sz val="9"/>
            <rFont val="Tahoma"/>
            <family val="2"/>
          </rPr>
          <t xml:space="preserve">
Metric is currently not forecasted in the model</t>
        </r>
      </text>
    </comment>
    <comment ref="P124" authorId="0" shapeId="0" xr:uid="{B4814F6C-0E95-4E72-8C81-3D1DB19656A8}">
      <text>
        <r>
          <rPr>
            <b/>
            <sz val="9"/>
            <rFont val="Tahoma"/>
            <family val="2"/>
          </rPr>
          <t>Tegus (TK):</t>
        </r>
        <r>
          <rPr>
            <sz val="9"/>
            <rFont val="Tahoma"/>
            <family val="2"/>
          </rPr>
          <t xml:space="preserve">
Formula adjusted, per pupil revenue forecasted in the model differs from reported amount</t>
        </r>
      </text>
    </comment>
    <comment ref="H129" authorId="0" shapeId="0" xr:uid="{62D5488B-DC1E-44BF-82C2-EBD1FF92FA35}">
      <text>
        <r>
          <rPr>
            <b/>
            <sz val="9"/>
            <rFont val="Tahoma"/>
            <family val="2"/>
          </rPr>
          <t>Tegus (NH):</t>
        </r>
        <r>
          <rPr>
            <sz val="9"/>
            <rFont val="Tahoma"/>
            <family val="2"/>
          </rPr>
          <t xml:space="preserve">
Guidance refers to FQ1 2025</t>
        </r>
      </text>
    </comment>
    <comment ref="P130" authorId="0" shapeId="0" xr:uid="{FB1FC3A2-D1C5-43CB-810C-6C298B8C826C}">
      <text>
        <r>
          <rPr>
            <b/>
            <sz val="9"/>
            <rFont val="Tahoma"/>
            <family val="2"/>
          </rPr>
          <t>Tegus (NH):</t>
        </r>
        <r>
          <rPr>
            <sz val="9"/>
            <rFont val="Tahoma"/>
            <family val="2"/>
          </rPr>
          <t xml:space="preserve">
Metric is currently not forecasted in the model</t>
        </r>
      </text>
    </comment>
    <comment ref="M131" authorId="0" shapeId="0" xr:uid="{7B6B6E74-D646-4DE9-A72F-CA2FC030676C}">
      <text>
        <r>
          <rPr>
            <b/>
            <sz val="9"/>
            <rFont val="Tahoma"/>
            <family val="2"/>
          </rPr>
          <t>Tegus (TK):</t>
        </r>
        <r>
          <rPr>
            <sz val="9"/>
            <rFont val="Tahoma"/>
            <family val="2"/>
          </rPr>
          <t xml:space="preserve">
Includes only Public programs</t>
        </r>
      </text>
    </comment>
    <comment ref="P131" authorId="0" shapeId="0" xr:uid="{B44BF2F0-A271-4DA1-824C-2F204A735FF4}">
      <text>
        <r>
          <rPr>
            <b/>
            <sz val="9"/>
            <rFont val="Tahoma"/>
            <family val="2"/>
          </rPr>
          <t>Tegus (NH):</t>
        </r>
        <r>
          <rPr>
            <sz val="9"/>
            <rFont val="Tahoma"/>
            <family val="2"/>
          </rPr>
          <t xml:space="preserve">
Metric is currently not forecasted in the model</t>
        </r>
      </text>
    </comment>
    <comment ref="P132" authorId="0" shapeId="0" xr:uid="{E81876AC-A339-40FF-95E9-91B323FA012D}">
      <text>
        <r>
          <rPr>
            <b/>
            <sz val="9"/>
            <rFont val="Tahoma"/>
            <family val="2"/>
          </rPr>
          <t>Tegus (TK):</t>
        </r>
        <r>
          <rPr>
            <sz val="9"/>
            <rFont val="Tahoma"/>
            <family val="2"/>
          </rPr>
          <t xml:space="preserve">
Formula adjusted, per pupil revenue forecasted in the model differs from reported amount</t>
        </r>
      </text>
    </comment>
    <comment ref="H135" authorId="0" shapeId="0" xr:uid="{14CDBED3-618A-4711-BEA2-B28B86D3F8E1}">
      <text>
        <r>
          <rPr>
            <b/>
            <sz val="9"/>
            <rFont val="Tahoma"/>
            <family val="2"/>
          </rPr>
          <t>Tegus (NH):</t>
        </r>
        <r>
          <rPr>
            <sz val="9"/>
            <rFont val="Tahoma"/>
            <family val="2"/>
          </rPr>
          <t xml:space="preserve">
Guidance refers to FQ1 2025</t>
        </r>
      </text>
    </comment>
    <comment ref="P136" authorId="0" shapeId="0" xr:uid="{5CE3D81F-1EBE-4FA6-8650-E67FF2B75BEA}">
      <text>
        <r>
          <rPr>
            <b/>
            <sz val="9"/>
            <rFont val="Tahoma"/>
            <family val="2"/>
          </rPr>
          <t>Tegus (NH):</t>
        </r>
        <r>
          <rPr>
            <sz val="9"/>
            <rFont val="Tahoma"/>
            <family val="2"/>
          </rPr>
          <t xml:space="preserve">
Metric is currently not forecasted in the model</t>
        </r>
      </text>
    </comment>
    <comment ref="M137" authorId="0" shapeId="0" xr:uid="{E04437A9-F0FE-4A74-8F20-7111CE4848E7}">
      <text>
        <r>
          <rPr>
            <b/>
            <sz val="9"/>
            <rFont val="Tahoma"/>
            <family val="2"/>
          </rPr>
          <t>Tegus (TK):</t>
        </r>
        <r>
          <rPr>
            <sz val="9"/>
            <rFont val="Tahoma"/>
            <family val="2"/>
          </rPr>
          <t xml:space="preserve">
Includes only Public programs</t>
        </r>
      </text>
    </comment>
    <comment ref="P137" authorId="0" shapeId="0" xr:uid="{C7E88AEC-23FE-474D-96D2-5F75017A8F77}">
      <text>
        <r>
          <rPr>
            <b/>
            <sz val="9"/>
            <rFont val="Tahoma"/>
            <family val="2"/>
          </rPr>
          <t>Tegus (NH):</t>
        </r>
        <r>
          <rPr>
            <sz val="9"/>
            <rFont val="Tahoma"/>
            <family val="2"/>
          </rPr>
          <t xml:space="preserve">
Metric is currently not forecasted in the model</t>
        </r>
      </text>
    </comment>
    <comment ref="P138" authorId="0" shapeId="0" xr:uid="{63948D8E-0B45-4F8F-8DBB-25ACBFD8CFC9}">
      <text>
        <r>
          <rPr>
            <b/>
            <sz val="9"/>
            <rFont val="Tahoma"/>
            <family val="2"/>
          </rPr>
          <t>Tegus (TK):</t>
        </r>
        <r>
          <rPr>
            <sz val="9"/>
            <rFont val="Tahoma"/>
            <family val="2"/>
          </rPr>
          <t xml:space="preserve">
Formula adjusted, per pupil revenue forecasted in the model differs from reported amount</t>
        </r>
      </text>
    </comment>
    <comment ref="M141" authorId="0" shapeId="0" xr:uid="{089A1CBD-E2D4-45C9-8A42-B9AF1DD1A0F0}">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H151" authorId="0" shapeId="0" xr:uid="{EB127E1C-E8C5-4B99-A720-D75BA62FD248}">
      <text>
        <r>
          <rPr>
            <b/>
            <sz val="9"/>
            <rFont val="Tahoma"/>
            <family val="2"/>
          </rPr>
          <t>Tegus (TK):</t>
        </r>
        <r>
          <rPr>
            <sz val="9"/>
            <rFont val="Tahoma"/>
            <family val="2"/>
          </rPr>
          <t xml:space="preserve">
Guidance refers to FQ1 2025</t>
        </r>
      </text>
    </comment>
    <comment ref="P152" authorId="0" shapeId="0" xr:uid="{E76B15CC-C3CE-4F96-8172-FC3F581A7AEE}">
      <text>
        <r>
          <rPr>
            <b/>
            <sz val="9"/>
            <rFont val="Tahoma"/>
            <family val="2"/>
          </rPr>
          <t>Tegus (TK):</t>
        </r>
        <r>
          <rPr>
            <sz val="9"/>
            <rFont val="Tahoma"/>
            <family val="2"/>
          </rPr>
          <t xml:space="preserve">
Metric is currently not forecasted in the model</t>
        </r>
      </text>
    </comment>
    <comment ref="M153" authorId="0" shapeId="0" xr:uid="{E8C725EC-EA66-431A-AC2D-FE95C7044C4B}">
      <text>
        <r>
          <rPr>
            <b/>
            <sz val="9"/>
            <rFont val="Tahoma"/>
            <family val="2"/>
          </rPr>
          <t>Tegus (TK):</t>
        </r>
        <r>
          <rPr>
            <sz val="9"/>
            <rFont val="Tahoma"/>
            <family val="2"/>
          </rPr>
          <t xml:space="preserve">
Includes only Public programs</t>
        </r>
      </text>
    </comment>
    <comment ref="P153" authorId="0" shapeId="0" xr:uid="{1434CA95-5486-44DF-9E9B-36BD8A37CDC3}">
      <text>
        <r>
          <rPr>
            <b/>
            <sz val="9"/>
            <rFont val="Tahoma"/>
            <family val="2"/>
          </rPr>
          <t>Tegus (TK):</t>
        </r>
        <r>
          <rPr>
            <sz val="9"/>
            <rFont val="Tahoma"/>
            <family val="2"/>
          </rPr>
          <t xml:space="preserve">
Metric is currently not forecasted in the model</t>
        </r>
      </text>
    </comment>
    <comment ref="P154" authorId="0" shapeId="0" xr:uid="{E949358E-54EE-4926-B212-651DD7896F44}">
      <text>
        <r>
          <rPr>
            <b/>
            <sz val="9"/>
            <rFont val="Tahoma"/>
            <family val="2"/>
          </rPr>
          <t>Tegus (TK):</t>
        </r>
        <r>
          <rPr>
            <sz val="9"/>
            <rFont val="Tahoma"/>
            <family val="2"/>
          </rPr>
          <t xml:space="preserve">
Formula adjusted, per pupil revenue forecasted in the model differs from reported amount</t>
        </r>
      </text>
    </comment>
    <comment ref="H157" authorId="0" shapeId="0" xr:uid="{4E1811AA-26EC-42E3-AC4A-315EAA08C363}">
      <text>
        <r>
          <rPr>
            <b/>
            <sz val="9"/>
            <rFont val="Tahoma"/>
            <family val="2"/>
          </rPr>
          <t>Tegus (TK):</t>
        </r>
        <r>
          <rPr>
            <sz val="9"/>
            <rFont val="Tahoma"/>
            <family val="2"/>
          </rPr>
          <t xml:space="preserve">
Guidance refers to FQ1 2025</t>
        </r>
      </text>
    </comment>
    <comment ref="P158" authorId="0" shapeId="0" xr:uid="{B0A36853-15F6-4ECE-9D3E-A1E48F65FB96}">
      <text>
        <r>
          <rPr>
            <b/>
            <sz val="9"/>
            <rFont val="Tahoma"/>
            <family val="2"/>
          </rPr>
          <t>Tegus (TK):</t>
        </r>
        <r>
          <rPr>
            <sz val="9"/>
            <rFont val="Tahoma"/>
            <family val="2"/>
          </rPr>
          <t xml:space="preserve">
Metric is currently not forecasted in the model</t>
        </r>
      </text>
    </comment>
    <comment ref="M159" authorId="0" shapeId="0" xr:uid="{3C2CB3BA-9CF1-4EE1-92BD-D3E0E63F0979}">
      <text>
        <r>
          <rPr>
            <b/>
            <sz val="9"/>
            <rFont val="Tahoma"/>
            <family val="2"/>
          </rPr>
          <t>Tegus (TK):</t>
        </r>
        <r>
          <rPr>
            <sz val="9"/>
            <rFont val="Tahoma"/>
            <family val="2"/>
          </rPr>
          <t xml:space="preserve">
Includes only Public programs</t>
        </r>
      </text>
    </comment>
    <comment ref="P159" authorId="0" shapeId="0" xr:uid="{06BB86DD-A03D-4897-8BC1-E26AD55AF153}">
      <text>
        <r>
          <rPr>
            <b/>
            <sz val="9"/>
            <rFont val="Tahoma"/>
            <family val="2"/>
          </rPr>
          <t>Tegus (TK):</t>
        </r>
        <r>
          <rPr>
            <sz val="9"/>
            <rFont val="Tahoma"/>
            <family val="2"/>
          </rPr>
          <t xml:space="preserve">
Metric is currently not forecasted in the model</t>
        </r>
      </text>
    </comment>
    <comment ref="P160" authorId="0" shapeId="0" xr:uid="{E5796ACA-7B4A-430A-9BF8-E9BE1EC18747}">
      <text>
        <r>
          <rPr>
            <b/>
            <sz val="9"/>
            <rFont val="Tahoma"/>
            <family val="2"/>
          </rPr>
          <t>Tegus (TK):</t>
        </r>
        <r>
          <rPr>
            <sz val="9"/>
            <rFont val="Tahoma"/>
            <family val="2"/>
          </rPr>
          <t xml:space="preserve">
Formula adjusted, per pupil revenue forecasted in the model differs from reported amount</t>
        </r>
      </text>
    </comment>
    <comment ref="M169" authorId="0" shapeId="0" xr:uid="{3153478E-E19F-481D-8B72-A051C9BF977B}">
      <text>
        <r>
          <rPr>
            <b/>
            <sz val="9"/>
            <rFont val="Tahoma"/>
            <family val="2"/>
          </rPr>
          <t>Tegus (TK):</t>
        </r>
        <r>
          <rPr>
            <sz val="9"/>
            <rFont val="Tahoma"/>
            <family val="2"/>
          </rPr>
          <t xml:space="preserve">
Based on analyst consensus, as reported on the IP</t>
        </r>
      </text>
    </comment>
    <comment ref="P169" authorId="0" shapeId="0" xr:uid="{2758BD18-97E0-4592-8B15-7BC30F6D815C}">
      <text>
        <r>
          <rPr>
            <b/>
            <sz val="9"/>
            <rFont val="Tahoma"/>
            <family val="2"/>
          </rPr>
          <t>Tegus (TK):</t>
        </r>
        <r>
          <rPr>
            <sz val="9"/>
            <rFont val="Tahoma"/>
            <family val="2"/>
          </rPr>
          <t xml:space="preserve">
Formula adjusted, per pupil revenue forecasted in the model differs from reported amount</t>
        </r>
      </text>
    </comment>
    <comment ref="M170" authorId="0" shapeId="0" xr:uid="{89DFA280-5C63-48F2-9249-66FE61E70B1C}">
      <text>
        <r>
          <rPr>
            <b/>
            <sz val="9"/>
            <rFont val="Tahoma"/>
            <family val="2"/>
          </rPr>
          <t>Tegus (TK):</t>
        </r>
        <r>
          <rPr>
            <sz val="9"/>
            <rFont val="Tahoma"/>
            <family val="2"/>
          </rPr>
          <t xml:space="preserve">
Based on analyst consensus, as reported on the IP</t>
        </r>
      </text>
    </comment>
    <comment ref="P170" authorId="0" shapeId="0" xr:uid="{9DB3FAFB-CF88-4119-AABC-FED580E028B5}">
      <text>
        <r>
          <rPr>
            <b/>
            <sz val="9"/>
            <rFont val="Tahoma"/>
            <family val="2"/>
          </rPr>
          <t>Tegus (TK):</t>
        </r>
        <r>
          <rPr>
            <sz val="9"/>
            <rFont val="Tahoma"/>
            <family val="2"/>
          </rPr>
          <t xml:space="preserve">
Formula adjusted, per pupil revenue forecasted in the model differs from reported amount</t>
        </r>
      </text>
    </comment>
    <comment ref="H182" authorId="0" shapeId="0" xr:uid="{5592D5FD-61A8-4E0E-A50B-125D522DAF53}">
      <text>
        <r>
          <rPr>
            <b/>
            <sz val="9"/>
            <rFont val="Tahoma"/>
            <family val="2"/>
          </rPr>
          <t>Tegus (TK):</t>
        </r>
        <r>
          <rPr>
            <sz val="9"/>
            <rFont val="Tahoma"/>
            <family val="2"/>
          </rPr>
          <t xml:space="preserve">
Guidance refers to FQ1 2025</t>
        </r>
      </text>
    </comment>
    <comment ref="P183" authorId="0" shapeId="0" xr:uid="{9531E399-D9DA-4267-A209-E1F2B368D7F3}">
      <text>
        <r>
          <rPr>
            <b/>
            <sz val="9"/>
            <rFont val="Tahoma"/>
            <family val="2"/>
          </rPr>
          <t>Tegus (TK):</t>
        </r>
        <r>
          <rPr>
            <sz val="9"/>
            <rFont val="Tahoma"/>
            <family val="2"/>
          </rPr>
          <t xml:space="preserve">
Metric is currently not forecasted in the model</t>
        </r>
      </text>
    </comment>
    <comment ref="M184" authorId="0" shapeId="0" xr:uid="{AE09A25B-4C1D-4384-8ADD-031233A655F0}">
      <text>
        <r>
          <rPr>
            <b/>
            <sz val="9"/>
            <rFont val="Tahoma"/>
            <family val="2"/>
          </rPr>
          <t>Tegus (TK):</t>
        </r>
        <r>
          <rPr>
            <sz val="9"/>
            <rFont val="Tahoma"/>
            <family val="2"/>
          </rPr>
          <t xml:space="preserve">
Includes only Public programs</t>
        </r>
      </text>
    </comment>
    <comment ref="P184" authorId="0" shapeId="0" xr:uid="{67497C7D-411E-468D-BBB8-6EC73613AC53}">
      <text>
        <r>
          <rPr>
            <b/>
            <sz val="9"/>
            <rFont val="Tahoma"/>
            <family val="2"/>
          </rPr>
          <t>Tegus (TK):</t>
        </r>
        <r>
          <rPr>
            <sz val="9"/>
            <rFont val="Tahoma"/>
            <family val="2"/>
          </rPr>
          <t xml:space="preserve">
Metric is currently not forecasted in the model</t>
        </r>
      </text>
    </comment>
    <comment ref="P185" authorId="0" shapeId="0" xr:uid="{6EABE8DA-FEBA-41CC-88A5-EFD29436CAD3}">
      <text>
        <r>
          <rPr>
            <b/>
            <sz val="9"/>
            <rFont val="Tahoma"/>
            <family val="2"/>
          </rPr>
          <t>Tegus (TK):</t>
        </r>
        <r>
          <rPr>
            <sz val="9"/>
            <rFont val="Tahoma"/>
            <family val="2"/>
          </rPr>
          <t xml:space="preserve">
Formula adjusted, per pupil revenue forecasted in the model differs from reported amount</t>
        </r>
      </text>
    </comment>
    <comment ref="H188" authorId="0" shapeId="0" xr:uid="{C8256936-27B0-46E9-A27A-08E4C0E6E6F1}">
      <text>
        <r>
          <rPr>
            <b/>
            <sz val="9"/>
            <rFont val="Tahoma"/>
            <family val="2"/>
          </rPr>
          <t>Tegus (TK):</t>
        </r>
        <r>
          <rPr>
            <sz val="9"/>
            <rFont val="Tahoma"/>
            <family val="2"/>
          </rPr>
          <t xml:space="preserve">
Guidance refers to FQ1 2025</t>
        </r>
      </text>
    </comment>
    <comment ref="P189" authorId="0" shapeId="0" xr:uid="{DB64FFD9-1F9B-4280-860B-032706C3D54D}">
      <text>
        <r>
          <rPr>
            <b/>
            <sz val="9"/>
            <rFont val="Tahoma"/>
            <family val="2"/>
          </rPr>
          <t>Tegus (TK):</t>
        </r>
        <r>
          <rPr>
            <sz val="9"/>
            <rFont val="Tahoma"/>
            <family val="2"/>
          </rPr>
          <t xml:space="preserve">
Metric is currently not forecasted in the model</t>
        </r>
      </text>
    </comment>
    <comment ref="M190" authorId="0" shapeId="0" xr:uid="{11E96A3E-688C-4168-8A53-BC0D75196C82}">
      <text>
        <r>
          <rPr>
            <b/>
            <sz val="9"/>
            <rFont val="Tahoma"/>
            <family val="2"/>
          </rPr>
          <t>Tegus (TK):</t>
        </r>
        <r>
          <rPr>
            <sz val="9"/>
            <rFont val="Tahoma"/>
            <family val="2"/>
          </rPr>
          <t xml:space="preserve">
Includes only Public programs</t>
        </r>
      </text>
    </comment>
    <comment ref="P190" authorId="0" shapeId="0" xr:uid="{E01C58BD-A7FB-4714-A43B-9D6AA955DDBC}">
      <text>
        <r>
          <rPr>
            <b/>
            <sz val="9"/>
            <rFont val="Tahoma"/>
            <family val="2"/>
          </rPr>
          <t>Tegus (TK):</t>
        </r>
        <r>
          <rPr>
            <sz val="9"/>
            <rFont val="Tahoma"/>
            <family val="2"/>
          </rPr>
          <t xml:space="preserve">
Metric is currently not forecasted in the model</t>
        </r>
      </text>
    </comment>
    <comment ref="P191" authorId="0" shapeId="0" xr:uid="{6B4BD37B-5B43-470A-96A7-CDA0A7FA4F80}">
      <text>
        <r>
          <rPr>
            <b/>
            <sz val="9"/>
            <rFont val="Tahoma"/>
            <family val="2"/>
          </rPr>
          <t>Tegus (TK):</t>
        </r>
        <r>
          <rPr>
            <sz val="9"/>
            <rFont val="Tahoma"/>
            <family val="2"/>
          </rPr>
          <t xml:space="preserve">
Formula adjusted, per pupil revenue forecasted in the model differs from reported amount</t>
        </r>
      </text>
    </comment>
    <comment ref="M198" authorId="0" shapeId="0" xr:uid="{1AF466F7-E08F-4F40-9239-5A3793996F55}">
      <text>
        <r>
          <rPr>
            <b/>
            <sz val="9"/>
            <rFont val="Tahoma"/>
            <family val="2"/>
          </rPr>
          <t>Tegus (TK):</t>
        </r>
        <r>
          <rPr>
            <sz val="9"/>
            <rFont val="Tahoma"/>
            <family val="2"/>
          </rPr>
          <t xml:space="preserve">
Based on analyst consensus, as reported on the IP</t>
        </r>
      </text>
    </comment>
    <comment ref="P198" authorId="0" shapeId="0" xr:uid="{6BBAEC77-6D29-4173-B375-3023C5E68BF8}">
      <text>
        <r>
          <rPr>
            <b/>
            <sz val="9"/>
            <rFont val="Tahoma"/>
            <family val="2"/>
          </rPr>
          <t>Tegus (TK):</t>
        </r>
        <r>
          <rPr>
            <sz val="9"/>
            <rFont val="Tahoma"/>
            <family val="2"/>
          </rPr>
          <t xml:space="preserve">
Formula adjusted, per pupil revenue forecasted in the model differs from reported amount</t>
        </r>
      </text>
    </comment>
    <comment ref="M199" authorId="0" shapeId="0" xr:uid="{3E9A6192-FC2D-4536-8391-9F23EEFFE00C}">
      <text>
        <r>
          <rPr>
            <b/>
            <sz val="9"/>
            <rFont val="Tahoma"/>
            <family val="2"/>
          </rPr>
          <t>Tegus (TK):</t>
        </r>
        <r>
          <rPr>
            <sz val="9"/>
            <rFont val="Tahoma"/>
            <family val="2"/>
          </rPr>
          <t xml:space="preserve">
Based on analyst consensus, as reported on the IP</t>
        </r>
      </text>
    </comment>
    <comment ref="P199" authorId="0" shapeId="0" xr:uid="{B6E72BDA-9D52-4E4F-BC4F-EC45EB27A123}">
      <text>
        <r>
          <rPr>
            <b/>
            <sz val="9"/>
            <rFont val="Tahoma"/>
            <family val="2"/>
          </rPr>
          <t>Tegus (TK):</t>
        </r>
        <r>
          <rPr>
            <sz val="9"/>
            <rFont val="Tahoma"/>
            <family val="2"/>
          </rPr>
          <t xml:space="preserve">
Formula adjusted, per pupil revenue forecasted in the model differs from reported amount</t>
        </r>
      </text>
    </comment>
    <comment ref="M207" authorId="0" shapeId="0" xr:uid="{881A0FD6-5BBC-4550-A3A3-DDA881E1ED59}">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215" authorId="0" shapeId="0" xr:uid="{6086EB02-001C-4184-A57C-A37D2A2320AF}">
      <text>
        <r>
          <rPr>
            <b/>
            <sz val="9"/>
            <rFont val="Tahoma"/>
            <family val="2"/>
          </rPr>
          <t>Tegus (NH):</t>
        </r>
        <r>
          <rPr>
            <sz val="9"/>
            <rFont val="Tahoma"/>
            <family val="2"/>
          </rPr>
          <t xml:space="preserve">
capital expenditures include the purchase of property and equipment, capitalized software, and curriculum development costs</t>
        </r>
      </text>
    </comment>
    <comment ref="M222" authorId="0" shapeId="0" xr:uid="{CF3A93DE-4840-4EAB-94E2-24E88999C384}">
      <text>
        <r>
          <rPr>
            <b/>
            <sz val="9"/>
            <rFont val="Tahoma"/>
            <family val="2"/>
          </rPr>
          <t>Tegus (RZ):</t>
        </r>
        <r>
          <rPr>
            <sz val="9"/>
            <rFont val="Tahoma"/>
            <family val="2"/>
          </rPr>
          <t xml:space="preserve">
capital expenditures include the purchase of property and equipment and capitalized software and curriculum development costs</t>
        </r>
      </text>
    </comment>
    <comment ref="M229" authorId="0" shapeId="0" xr:uid="{6DB315B0-65ED-4C27-B637-48AD4E7F8A57}">
      <text>
        <r>
          <rPr>
            <b/>
            <sz val="9"/>
            <rFont val="Tahoma"/>
            <family val="2"/>
          </rPr>
          <t>Tegus (RZ):</t>
        </r>
        <r>
          <rPr>
            <sz val="9"/>
            <rFont val="Tahoma"/>
            <family val="2"/>
          </rPr>
          <t xml:space="preserve">
Forecast over $250M in FY21 revenue in third year of focus. Market opportunity expanded from $11B to $100B+ with new product offerings in new markets. </t>
        </r>
      </text>
    </comment>
    <comment ref="M231" authorId="0" shapeId="0" xr:uid="{6477C0D8-DD9F-4F9E-8379-FA1526B0AA8D}">
      <text>
        <r>
          <rPr>
            <b/>
            <sz val="9"/>
            <rFont val="Tahoma"/>
            <family val="2"/>
          </rPr>
          <t>Tegus (RZ):</t>
        </r>
        <r>
          <rPr>
            <sz val="9"/>
            <rFont val="Tahoma"/>
            <family val="2"/>
          </rPr>
          <t xml:space="preserve">
capital expenditures include the purchase of property and equipment and capitalized software and curriculum development costs</t>
        </r>
      </text>
    </comment>
    <comment ref="M239" authorId="0" shapeId="0" xr:uid="{02951A7E-2462-4CCE-85D8-DD8932BCCBEB}">
      <text>
        <r>
          <rPr>
            <b/>
            <sz val="9"/>
            <rFont val="Tahoma"/>
            <family val="2"/>
          </rPr>
          <t>Tegus (RZ):</t>
        </r>
        <r>
          <rPr>
            <sz val="9"/>
            <rFont val="Tahoma"/>
            <family val="2"/>
          </rPr>
          <t xml:space="preserve">
capital expenditures include the purchase of property and equipment and capitalized software and curriculum development costs</t>
        </r>
      </text>
    </comment>
    <comment ref="M273" authorId="0" shapeId="0" xr:uid="{78ACA44D-4BA8-4743-858C-AD8F1DE70CDE}">
      <text>
        <r>
          <rPr>
            <b/>
            <sz val="9"/>
            <rFont val="Tahoma"/>
            <family val="2"/>
          </rPr>
          <t>Tegus (AZ):</t>
        </r>
        <r>
          <rPr>
            <sz val="9"/>
            <rFont val="Tahoma"/>
            <family val="2"/>
          </rPr>
          <t xml:space="preserve">
The company states they are "positioned to deliver double-digit growth in both revenue and adjusted operating income in the coming year. This is only an early estimate and not formal guidance.”</t>
        </r>
      </text>
    </comment>
    <comment ref="M274" authorId="0" shapeId="0" xr:uid="{BADAED1A-82B4-4D2F-8AA1-BB1C092602CB}">
      <text>
        <r>
          <rPr>
            <b/>
            <sz val="9"/>
            <rFont val="Tahoma"/>
            <family val="2"/>
          </rPr>
          <t>Tegus (AZ):</t>
        </r>
        <r>
          <rPr>
            <sz val="9"/>
            <rFont val="Tahoma"/>
            <family val="2"/>
          </rPr>
          <t xml:space="preserve">
The company states they are "positioned to deliver double-digit growth in both revenue and adjusted operating income in the coming year. This is only an early estimate and not formal guidance.”</t>
        </r>
      </text>
    </comment>
    <comment ref="P274" authorId="0" shapeId="0" xr:uid="{804CA2BE-11DA-4E80-A7FC-FB4FB29D7D88}">
      <text>
        <r>
          <rPr>
            <b/>
            <sz val="9"/>
            <rFont val="Tahoma"/>
            <family val="2"/>
          </rPr>
          <t>Tegus (AZ):</t>
        </r>
        <r>
          <rPr>
            <sz val="9"/>
            <rFont val="Tahoma"/>
            <family val="2"/>
          </rPr>
          <t xml:space="preserve">
Tegus model does not forecast this item.</t>
        </r>
      </text>
    </comment>
    <comment ref="M275" authorId="0" shapeId="0" xr:uid="{45B057A6-8B03-4216-8D80-0569FDD8806F}">
      <text>
        <r>
          <rPr>
            <b/>
            <sz val="9"/>
            <rFont val="Tahoma"/>
            <family val="2"/>
          </rPr>
          <t>Tegus (AZ):</t>
        </r>
        <r>
          <rPr>
            <sz val="9"/>
            <rFont val="Tahoma"/>
            <family val="2"/>
          </rPr>
          <t xml:space="preserve">
The company state "managed public school enrollments are already 150 thousand, as of August 7th, and they are entering what has historically been the busiest part of our enrollment season."</t>
        </r>
      </text>
    </comment>
    <comment ref="P279" authorId="0" shapeId="0" xr:uid="{AFF9067A-5E46-4393-ABFD-C7369592CDA1}">
      <text>
        <r>
          <rPr>
            <b/>
            <sz val="9"/>
            <rFont val="Tahoma"/>
            <family val="2"/>
          </rPr>
          <t>Tegus (PSS):</t>
        </r>
        <r>
          <rPr>
            <sz val="9"/>
            <rFont val="Tahoma"/>
            <family val="2"/>
          </rPr>
          <t xml:space="preserve">
This reflects the effective tax rate which is the sum of current and deferred tax rate.</t>
        </r>
      </text>
    </comment>
    <comment ref="P280" authorId="0" shapeId="0" xr:uid="{F2B9A4FF-6FC5-4699-B7C7-A2F269BC2AB1}">
      <text>
        <r>
          <rPr>
            <b/>
            <sz val="9"/>
            <rFont val="Tahoma"/>
            <family val="2"/>
          </rPr>
          <t>Tegus (RZ):</t>
        </r>
        <r>
          <rPr>
            <sz val="9"/>
            <rFont val="Tahoma"/>
            <family val="2"/>
          </rPr>
          <t xml:space="preserve">
calculated as the sum of EBIT and SBC according to the company's guidance</t>
        </r>
      </text>
    </comment>
    <comment ref="P286" authorId="0" shapeId="0" xr:uid="{985D62AD-617C-4ED8-B191-E960B6F428DF}">
      <text>
        <r>
          <rPr>
            <b/>
            <sz val="9"/>
            <rFont val="Tahoma"/>
            <family val="2"/>
          </rPr>
          <t>Tegus (PSS):</t>
        </r>
        <r>
          <rPr>
            <sz val="9"/>
            <rFont val="Tahoma"/>
            <family val="2"/>
          </rPr>
          <t xml:space="preserve">
This reflects the effective tax rate which is the sum of current and deferred tax rate.</t>
        </r>
      </text>
    </comment>
    <comment ref="P287" authorId="0" shapeId="0" xr:uid="{BF6CCE41-9CE4-4330-A6EE-774EB188E3CC}">
      <text>
        <r>
          <rPr>
            <b/>
            <sz val="9"/>
            <rFont val="Tahoma"/>
            <family val="2"/>
          </rPr>
          <t>Tegus (LX):</t>
        </r>
        <r>
          <rPr>
            <sz val="9"/>
            <rFont val="Tahoma"/>
            <family val="2"/>
          </rPr>
          <t xml:space="preserve">
Tegus model forecasts EBIT</t>
        </r>
      </text>
    </comment>
    <comment ref="P291" authorId="0" shapeId="0" xr:uid="{F1E9D1CC-5D45-45D4-B152-C993D8512C05}">
      <text>
        <r>
          <rPr>
            <b/>
            <sz val="9"/>
            <rFont val="Tahoma"/>
            <family val="2"/>
          </rPr>
          <t>Tegus (LX):</t>
        </r>
        <r>
          <rPr>
            <sz val="9"/>
            <rFont val="Tahoma"/>
            <family val="2"/>
          </rPr>
          <t xml:space="preserve">
Tegus model forecasts EBIT</t>
        </r>
      </text>
    </comment>
    <comment ref="P295" authorId="0" shapeId="0" xr:uid="{249AD3E6-D7FC-46AB-B017-B1494CEDEEDD}">
      <text>
        <r>
          <rPr>
            <b/>
            <sz val="9"/>
            <rFont val="Tahoma"/>
            <family val="2"/>
          </rPr>
          <t>Tegus (PSS):</t>
        </r>
        <r>
          <rPr>
            <sz val="9"/>
            <rFont val="Tahoma"/>
            <family val="2"/>
          </rPr>
          <t xml:space="preserve">
This reflects the effective tax rate which is the sum of current and deferred tax rate.</t>
        </r>
      </text>
    </comment>
    <comment ref="P296" authorId="0" shapeId="0" xr:uid="{012A6CEB-F254-4377-B37F-1D5EA883706E}">
      <text>
        <r>
          <rPr>
            <b/>
            <sz val="9"/>
            <rFont val="Tahoma"/>
            <family val="2"/>
          </rPr>
          <t>Tegus (LX):</t>
        </r>
        <r>
          <rPr>
            <sz val="9"/>
            <rFont val="Tahoma"/>
            <family val="2"/>
          </rPr>
          <t xml:space="preserve">
Tegus model forecasts EBIT</t>
        </r>
      </text>
    </comment>
    <comment ref="P300" authorId="0" shapeId="0" xr:uid="{4085115D-E948-4299-A637-C497490588E1}">
      <text>
        <r>
          <rPr>
            <b/>
            <sz val="9"/>
            <rFont val="Tahoma"/>
            <family val="2"/>
          </rPr>
          <t>Tegus (LX):</t>
        </r>
        <r>
          <rPr>
            <sz val="9"/>
            <rFont val="Tahoma"/>
            <family val="2"/>
          </rPr>
          <t xml:space="preserve">
Tegus model forecasts EBIT</t>
        </r>
      </text>
    </comment>
    <comment ref="P304" authorId="0" shapeId="0" xr:uid="{B6658F52-D9BD-4696-B54D-8EAB5086D837}">
      <text>
        <r>
          <rPr>
            <b/>
            <sz val="9"/>
            <rFont val="Tahoma"/>
            <family val="2"/>
          </rPr>
          <t>Tegus (LX):</t>
        </r>
        <r>
          <rPr>
            <sz val="9"/>
            <rFont val="Tahoma"/>
            <family val="2"/>
          </rPr>
          <t xml:space="preserve">
Tegus model forecasts EBIT</t>
        </r>
      </text>
    </comment>
    <comment ref="P308" authorId="0" shapeId="0" xr:uid="{C23AB052-6153-449C-808B-1BBCB7256003}">
      <text>
        <r>
          <rPr>
            <b/>
            <sz val="9"/>
            <rFont val="Tahoma"/>
            <family val="2"/>
          </rPr>
          <t>Tegus (LX):</t>
        </r>
        <r>
          <rPr>
            <sz val="9"/>
            <rFont val="Tahoma"/>
            <family val="2"/>
          </rPr>
          <t xml:space="preserve">
Tegus model forecasts EBIT</t>
        </r>
      </text>
    </comment>
    <comment ref="P312" authorId="0" shapeId="0" xr:uid="{9584AD17-1F48-4A69-A6A4-D5124B76B583}">
      <text>
        <r>
          <rPr>
            <b/>
            <sz val="9"/>
            <rFont val="Tahoma"/>
            <family val="2"/>
          </rPr>
          <t>Tegus (TM):</t>
        </r>
        <r>
          <rPr>
            <sz val="9"/>
            <rFont val="Tahoma"/>
            <family val="2"/>
          </rPr>
          <t xml:space="preserve">
Not reported in our model at this time</t>
        </r>
      </text>
    </comment>
    <comment ref="P317" authorId="0" shapeId="0" xr:uid="{9B9F9BB8-C3FC-42E7-A34D-488513263EA3}">
      <text>
        <r>
          <rPr>
            <b/>
            <sz val="9"/>
            <rFont val="Tahoma"/>
            <family val="2"/>
          </rPr>
          <t>Tegus (TM):</t>
        </r>
        <r>
          <rPr>
            <sz val="9"/>
            <rFont val="Tahoma"/>
            <family val="2"/>
          </rPr>
          <t xml:space="preserve">
Not reported in our model at this time</t>
        </r>
      </text>
    </comment>
    <comment ref="P321" authorId="0" shapeId="0" xr:uid="{87CC5658-98BE-47CC-BF79-453A6FDC42BF}">
      <text>
        <r>
          <rPr>
            <b/>
            <sz val="9"/>
            <rFont val="Tahoma"/>
            <family val="2"/>
          </rPr>
          <t>Tegus (TM):</t>
        </r>
        <r>
          <rPr>
            <sz val="9"/>
            <rFont val="Tahoma"/>
            <family val="2"/>
          </rPr>
          <t xml:space="preserve">
Not reported in our model at this time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tc={ED50594B-1B8E-4968-B23F-45D786A8C37A}</author>
    <author>tc={2FEB6213-D7B6-469B-A5A3-D1706BD6C4E6}</author>
    <author>tc={1D4D4DAE-366C-4472-8E4E-55AEBBC5B13D}</author>
    <author>tc={4B65E6C3-06DE-4579-8287-82725FF93111}</author>
  </authors>
  <commentList>
    <comment ref="J69" authorId="0" shapeId="0" xr:uid="{ED50594B-1B8E-4968-B23F-45D786A8C37A}">
      <text>
        <t>[Threaded comment]
Your version of Excel allows you to read this threaded comment; however, any edits to it will get removed if the file is opened in a newer version of Excel. Learn more: https://go.microsoft.com/fwlink/?linkid=870924
Comment:
    “This Agreement will become effective upon the date of full execution for the benefit of the Fiscal Year commencing on July 1, 2019 (“Effective Date”) and will terminate on June 30, 2031 (“Initial Term”) unless sooner terminated under Section 12 of this Agreement.” https://go.boarddocs.com/fl/hendry/Board.nsf/goto?open&amp;id=CDMJEM4CD8DF#</t>
      </text>
    </comment>
    <comment ref="J324" authorId="1" shapeId="0" xr:uid="{2FEB6213-D7B6-469B-A5A3-D1706BD6C4E6}">
      <text>
        <t>[Threaded comment]
Your version of Excel allows you to read this threaded comment; however, any edits to it will get removed if the file is opened in a newer version of Excel. Learn more: https://go.microsoft.com/fwlink/?linkid=870924
Comment:
    https://www.roscoe.esc14.net/page/open/1078/0/Roscoe%20Collegiate%20ISD%20audit%202022%201.pdf</t>
      </text>
    </comment>
    <comment ref="AB324" authorId="2" shapeId="0" xr:uid="{1D4D4DAE-366C-4472-8E4E-55AEBBC5B13D}">
      <text>
        <t>[Threaded comment]
Your version of Excel allows you to read this threaded comment; however, any edits to it will get removed if the file is opened in a newer version of Excel. Learn more: https://go.microsoft.com/fwlink/?linkid=870924
Comment:
    https://www.roscoe.esc14.net/page/open/1078/0/Roscoe%20Collegiate%20ISD%20audit%202022%201.pdf</t>
      </text>
    </comment>
    <comment ref="J325" authorId="3" shapeId="0" xr:uid="{4B65E6C3-06DE-4579-8287-82725FF93111}">
      <text>
        <t>[Threaded comment]
Your version of Excel allows you to read this threaded comment; however, any edits to it will get removed if the file is opened in a newer version of Excel. Learn more: https://go.microsoft.com/fwlink/?linkid=870924
Comment:
    “The 2023-24 year will be the sixth year of the contract with Stride K12 Virtual Schools LLC, with seven years remaining in the current contract period.“ https://www.hisd.com/site/handlers/filedownload.ashx?moduleinstanceid=52&amp;dataid=28758&amp;FileName=2022-23%20Final%20Auit%20Report.pdf</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Canalyst (CC)</author>
    <author>Canalyst (NH)</author>
    <author>Canalyst (TK)</author>
    <author>Canalyst (RZ)</author>
    <author>Canalyst (AZ)</author>
    <author>Canalyst (PSS)</author>
    <author>Canalyst</author>
  </authors>
  <commentList>
    <comment ref="A4" authorId="0" shapeId="0" xr:uid="{00000000-0006-0000-0200-000001000000}">
      <text>
        <r>
          <rPr>
            <b/>
            <sz val="9"/>
            <rFont val="Tahoma"/>
            <family val="2"/>
          </rPr>
          <t>Canalyst:</t>
        </r>
        <r>
          <rPr>
            <sz val="9"/>
            <rFont val="Tahoma"/>
            <family val="2"/>
          </rPr>
          <t xml:space="preserve">
Sort Largest to Smallest to return to default.</t>
        </r>
      </text>
    </comment>
    <comment ref="K10" authorId="1" shapeId="0" xr:uid="{2E5A7A67-9776-4C0E-83DD-80688B51A72C}">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K18" authorId="1" shapeId="0" xr:uid="{34D8069B-2AD4-49CB-84F0-F12518BAD09D}">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K32" authorId="1" shapeId="0" xr:uid="{00000000-0006-0000-0200-000002000000}">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K43" authorId="1" shapeId="0" xr:uid="{00000000-0006-0000-0200-000003000000}">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K51" authorId="1" shapeId="0" xr:uid="{00000000-0006-0000-0200-000004000000}">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K63" authorId="1" shapeId="0" xr:uid="{00000000-0006-0000-0200-000005000000}">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K71" authorId="1" shapeId="0" xr:uid="{00000000-0006-0000-0200-000006000000}">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F80" authorId="1" shapeId="0" xr:uid="{00000000-0006-0000-0200-000007000000}">
      <text>
        <r>
          <rPr>
            <b/>
            <sz val="9"/>
            <rFont val="Tahoma"/>
            <family val="2"/>
          </rPr>
          <t>Canalyst (NH):</t>
        </r>
        <r>
          <rPr>
            <sz val="9"/>
            <rFont val="Tahoma"/>
            <family val="2"/>
          </rPr>
          <t xml:space="preserve">
Guidance refers to FQ1 2025</t>
        </r>
      </text>
    </comment>
    <comment ref="N81" authorId="1" shapeId="0" xr:uid="{00000000-0006-0000-0200-000008000000}">
      <text>
        <r>
          <rPr>
            <b/>
            <sz val="9"/>
            <rFont val="Tahoma"/>
            <family val="2"/>
          </rPr>
          <t>Canalyst (NH):</t>
        </r>
        <r>
          <rPr>
            <sz val="9"/>
            <rFont val="Tahoma"/>
            <family val="2"/>
          </rPr>
          <t xml:space="preserve">
Metric is currently not forecasted in the model</t>
        </r>
      </text>
    </comment>
    <comment ref="K82" authorId="2" shapeId="0" xr:uid="{00000000-0006-0000-0200-000009000000}">
      <text>
        <r>
          <rPr>
            <b/>
            <sz val="9"/>
            <rFont val="Tahoma"/>
            <family val="2"/>
            <charset val="1"/>
          </rPr>
          <t>Canalyst (TK):</t>
        </r>
        <r>
          <rPr>
            <sz val="9"/>
            <rFont val="Tahoma"/>
            <family val="2"/>
            <charset val="1"/>
          </rPr>
          <t xml:space="preserve">
Includes only Public programs</t>
        </r>
      </text>
    </comment>
    <comment ref="N82" authorId="1" shapeId="0" xr:uid="{00000000-0006-0000-0200-00000A000000}">
      <text>
        <r>
          <rPr>
            <b/>
            <sz val="9"/>
            <rFont val="Tahoma"/>
            <family val="2"/>
          </rPr>
          <t>Canalyst (NH):</t>
        </r>
        <r>
          <rPr>
            <sz val="9"/>
            <rFont val="Tahoma"/>
            <family val="2"/>
          </rPr>
          <t xml:space="preserve">
Metric is currently not forecasted in the model</t>
        </r>
      </text>
    </comment>
    <comment ref="N83" authorId="2" shapeId="0" xr:uid="{00000000-0006-0000-0200-00000B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F86" authorId="1" shapeId="0" xr:uid="{00000000-0006-0000-0200-00000C000000}">
      <text>
        <r>
          <rPr>
            <b/>
            <sz val="9"/>
            <rFont val="Tahoma"/>
            <family val="2"/>
          </rPr>
          <t>Canalyst (NH):</t>
        </r>
        <r>
          <rPr>
            <sz val="9"/>
            <rFont val="Tahoma"/>
            <family val="2"/>
          </rPr>
          <t xml:space="preserve">
Guidance refers to FQ1 2025</t>
        </r>
      </text>
    </comment>
    <comment ref="N87" authorId="1" shapeId="0" xr:uid="{00000000-0006-0000-0200-00000D000000}">
      <text>
        <r>
          <rPr>
            <b/>
            <sz val="9"/>
            <rFont val="Tahoma"/>
            <family val="2"/>
          </rPr>
          <t>Canalyst (NH):</t>
        </r>
        <r>
          <rPr>
            <sz val="9"/>
            <rFont val="Tahoma"/>
            <family val="2"/>
          </rPr>
          <t xml:space="preserve">
Metric is currently not forecasted in the model</t>
        </r>
      </text>
    </comment>
    <comment ref="K88" authorId="2" shapeId="0" xr:uid="{00000000-0006-0000-0200-00000E000000}">
      <text>
        <r>
          <rPr>
            <b/>
            <sz val="9"/>
            <rFont val="Tahoma"/>
            <family val="2"/>
            <charset val="1"/>
          </rPr>
          <t>Canalyst (TK):</t>
        </r>
        <r>
          <rPr>
            <sz val="9"/>
            <rFont val="Tahoma"/>
            <family val="2"/>
            <charset val="1"/>
          </rPr>
          <t xml:space="preserve">
Includes only Public programs</t>
        </r>
      </text>
    </comment>
    <comment ref="N88" authorId="1" shapeId="0" xr:uid="{00000000-0006-0000-0200-00000F000000}">
      <text>
        <r>
          <rPr>
            <b/>
            <sz val="9"/>
            <rFont val="Tahoma"/>
            <family val="2"/>
          </rPr>
          <t>Canalyst (NH):</t>
        </r>
        <r>
          <rPr>
            <sz val="9"/>
            <rFont val="Tahoma"/>
            <family val="2"/>
          </rPr>
          <t xml:space="preserve">
Metric is currently not forecasted in the model</t>
        </r>
      </text>
    </comment>
    <comment ref="N89" authorId="2" shapeId="0" xr:uid="{00000000-0006-0000-0200-000010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F94" authorId="1" shapeId="0" xr:uid="{00000000-0006-0000-0200-000011000000}">
      <text>
        <r>
          <rPr>
            <b/>
            <sz val="9"/>
            <rFont val="Tahoma"/>
            <family val="2"/>
          </rPr>
          <t>Canalyst (NH):</t>
        </r>
        <r>
          <rPr>
            <sz val="9"/>
            <rFont val="Tahoma"/>
            <family val="2"/>
          </rPr>
          <t xml:space="preserve">
Guidance refers to FQ1 2025</t>
        </r>
      </text>
    </comment>
    <comment ref="N95" authorId="1" shapeId="0" xr:uid="{00000000-0006-0000-0200-000012000000}">
      <text>
        <r>
          <rPr>
            <b/>
            <sz val="9"/>
            <rFont val="Tahoma"/>
            <family val="2"/>
          </rPr>
          <t>Canalyst (NH):</t>
        </r>
        <r>
          <rPr>
            <sz val="9"/>
            <rFont val="Tahoma"/>
            <family val="2"/>
          </rPr>
          <t xml:space="preserve">
Metric is currently not forecasted in the model</t>
        </r>
      </text>
    </comment>
    <comment ref="K96" authorId="2" shapeId="0" xr:uid="{00000000-0006-0000-0200-000013000000}">
      <text>
        <r>
          <rPr>
            <b/>
            <sz val="9"/>
            <rFont val="Tahoma"/>
            <family val="2"/>
            <charset val="1"/>
          </rPr>
          <t>Canalyst (TK):</t>
        </r>
        <r>
          <rPr>
            <sz val="9"/>
            <rFont val="Tahoma"/>
            <family val="2"/>
            <charset val="1"/>
          </rPr>
          <t xml:space="preserve">
Includes only Public programs</t>
        </r>
      </text>
    </comment>
    <comment ref="N96" authorId="1" shapeId="0" xr:uid="{00000000-0006-0000-0200-000014000000}">
      <text>
        <r>
          <rPr>
            <b/>
            <sz val="9"/>
            <rFont val="Tahoma"/>
            <family val="2"/>
          </rPr>
          <t>Canalyst (NH):</t>
        </r>
        <r>
          <rPr>
            <sz val="9"/>
            <rFont val="Tahoma"/>
            <family val="2"/>
          </rPr>
          <t xml:space="preserve">
Metric is currently not forecasted in the model</t>
        </r>
      </text>
    </comment>
    <comment ref="N97" authorId="2" shapeId="0" xr:uid="{00000000-0006-0000-0200-000015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F100" authorId="1" shapeId="0" xr:uid="{00000000-0006-0000-0200-000016000000}">
      <text>
        <r>
          <rPr>
            <b/>
            <sz val="9"/>
            <rFont val="Tahoma"/>
            <family val="2"/>
          </rPr>
          <t>Canalyst (NH):</t>
        </r>
        <r>
          <rPr>
            <sz val="9"/>
            <rFont val="Tahoma"/>
            <family val="2"/>
          </rPr>
          <t xml:space="preserve">
Guidance refers to FQ1 2025</t>
        </r>
      </text>
    </comment>
    <comment ref="N101" authorId="1" shapeId="0" xr:uid="{00000000-0006-0000-0200-000017000000}">
      <text>
        <r>
          <rPr>
            <b/>
            <sz val="9"/>
            <rFont val="Tahoma"/>
            <family val="2"/>
          </rPr>
          <t>Canalyst (NH):</t>
        </r>
        <r>
          <rPr>
            <sz val="9"/>
            <rFont val="Tahoma"/>
            <family val="2"/>
          </rPr>
          <t xml:space="preserve">
Metric is currently not forecasted in the model</t>
        </r>
      </text>
    </comment>
    <comment ref="K102" authorId="2" shapeId="0" xr:uid="{00000000-0006-0000-0200-000018000000}">
      <text>
        <r>
          <rPr>
            <b/>
            <sz val="9"/>
            <rFont val="Tahoma"/>
            <family val="2"/>
            <charset val="1"/>
          </rPr>
          <t>Canalyst (TK):</t>
        </r>
        <r>
          <rPr>
            <sz val="9"/>
            <rFont val="Tahoma"/>
            <family val="2"/>
            <charset val="1"/>
          </rPr>
          <t xml:space="preserve">
Includes only Public programs</t>
        </r>
      </text>
    </comment>
    <comment ref="N102" authorId="1" shapeId="0" xr:uid="{00000000-0006-0000-0200-000019000000}">
      <text>
        <r>
          <rPr>
            <b/>
            <sz val="9"/>
            <rFont val="Tahoma"/>
            <family val="2"/>
          </rPr>
          <t>Canalyst (NH):</t>
        </r>
        <r>
          <rPr>
            <sz val="9"/>
            <rFont val="Tahoma"/>
            <family val="2"/>
          </rPr>
          <t xml:space="preserve">
Metric is currently not forecasted in the model</t>
        </r>
      </text>
    </comment>
    <comment ref="N103" authorId="2" shapeId="0" xr:uid="{00000000-0006-0000-0200-00001A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K106" authorId="1" shapeId="0" xr:uid="{00000000-0006-0000-0200-00001B000000}">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F116" authorId="2" shapeId="0" xr:uid="{00000000-0006-0000-0200-00001C000000}">
      <text>
        <r>
          <rPr>
            <b/>
            <sz val="9"/>
            <rFont val="Tahoma"/>
            <family val="2"/>
            <charset val="1"/>
          </rPr>
          <t>Canalyst (TK):</t>
        </r>
        <r>
          <rPr>
            <sz val="9"/>
            <rFont val="Tahoma"/>
            <family val="2"/>
            <charset val="1"/>
          </rPr>
          <t xml:space="preserve">
Guidance refers to FQ1 2025</t>
        </r>
      </text>
    </comment>
    <comment ref="N117" authorId="2" shapeId="0" xr:uid="{00000000-0006-0000-0200-00001D000000}">
      <text>
        <r>
          <rPr>
            <b/>
            <sz val="9"/>
            <rFont val="Tahoma"/>
            <family val="2"/>
            <charset val="1"/>
          </rPr>
          <t>Canalyst (TK):</t>
        </r>
        <r>
          <rPr>
            <sz val="9"/>
            <rFont val="Tahoma"/>
            <family val="2"/>
            <charset val="1"/>
          </rPr>
          <t xml:space="preserve">
Metric is currently not forecasted in the model</t>
        </r>
      </text>
    </comment>
    <comment ref="K118" authorId="2" shapeId="0" xr:uid="{00000000-0006-0000-0200-00001E000000}">
      <text>
        <r>
          <rPr>
            <b/>
            <sz val="9"/>
            <rFont val="Tahoma"/>
            <family val="2"/>
            <charset val="1"/>
          </rPr>
          <t>Canalyst (TK):</t>
        </r>
        <r>
          <rPr>
            <sz val="9"/>
            <rFont val="Tahoma"/>
            <family val="2"/>
            <charset val="1"/>
          </rPr>
          <t xml:space="preserve">
Includes only Public programs</t>
        </r>
      </text>
    </comment>
    <comment ref="N118" authorId="2" shapeId="0" xr:uid="{00000000-0006-0000-0200-00001F000000}">
      <text>
        <r>
          <rPr>
            <b/>
            <sz val="9"/>
            <rFont val="Tahoma"/>
            <family val="2"/>
            <charset val="1"/>
          </rPr>
          <t>Canalyst (TK):</t>
        </r>
        <r>
          <rPr>
            <sz val="9"/>
            <rFont val="Tahoma"/>
            <family val="2"/>
            <charset val="1"/>
          </rPr>
          <t xml:space="preserve">
Metric is currently not forecasted in the model</t>
        </r>
      </text>
    </comment>
    <comment ref="N119" authorId="2" shapeId="0" xr:uid="{00000000-0006-0000-0200-000020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F122" authorId="2" shapeId="0" xr:uid="{00000000-0006-0000-0200-000021000000}">
      <text>
        <r>
          <rPr>
            <b/>
            <sz val="9"/>
            <rFont val="Tahoma"/>
            <family val="2"/>
            <charset val="1"/>
          </rPr>
          <t>Canalyst (TK):</t>
        </r>
        <r>
          <rPr>
            <sz val="9"/>
            <rFont val="Tahoma"/>
            <family val="2"/>
            <charset val="1"/>
          </rPr>
          <t xml:space="preserve">
Guidance refers to FQ1 2025</t>
        </r>
      </text>
    </comment>
    <comment ref="N123" authorId="2" shapeId="0" xr:uid="{00000000-0006-0000-0200-000022000000}">
      <text>
        <r>
          <rPr>
            <b/>
            <sz val="9"/>
            <rFont val="Tahoma"/>
            <family val="2"/>
            <charset val="1"/>
          </rPr>
          <t>Canalyst (TK):</t>
        </r>
        <r>
          <rPr>
            <sz val="9"/>
            <rFont val="Tahoma"/>
            <family val="2"/>
            <charset val="1"/>
          </rPr>
          <t xml:space="preserve">
Metric is currently not forecasted in the model</t>
        </r>
      </text>
    </comment>
    <comment ref="K124" authorId="2" shapeId="0" xr:uid="{00000000-0006-0000-0200-000023000000}">
      <text>
        <r>
          <rPr>
            <b/>
            <sz val="9"/>
            <rFont val="Tahoma"/>
            <family val="2"/>
            <charset val="1"/>
          </rPr>
          <t>Canalyst (TK):</t>
        </r>
        <r>
          <rPr>
            <sz val="9"/>
            <rFont val="Tahoma"/>
            <family val="2"/>
            <charset val="1"/>
          </rPr>
          <t xml:space="preserve">
Includes only Public programs</t>
        </r>
      </text>
    </comment>
    <comment ref="N124" authorId="2" shapeId="0" xr:uid="{00000000-0006-0000-0200-000024000000}">
      <text>
        <r>
          <rPr>
            <b/>
            <sz val="9"/>
            <rFont val="Tahoma"/>
            <family val="2"/>
            <charset val="1"/>
          </rPr>
          <t>Canalyst (TK):</t>
        </r>
        <r>
          <rPr>
            <sz val="9"/>
            <rFont val="Tahoma"/>
            <family val="2"/>
            <charset val="1"/>
          </rPr>
          <t xml:space="preserve">
Metric is currently not forecasted in the model</t>
        </r>
      </text>
    </comment>
    <comment ref="N125" authorId="2" shapeId="0" xr:uid="{00000000-0006-0000-0200-000025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K134" authorId="2" shapeId="0" xr:uid="{00000000-0006-0000-0200-000026000000}">
      <text>
        <r>
          <rPr>
            <b/>
            <sz val="9"/>
            <rFont val="Tahoma"/>
            <family val="2"/>
            <charset val="1"/>
          </rPr>
          <t xml:space="preserve">Canalyst (TK):
</t>
        </r>
        <r>
          <rPr>
            <sz val="9"/>
            <rFont val="Tahoma"/>
            <family val="2"/>
          </rPr>
          <t>Based on analyst consensus, as reported on the IP</t>
        </r>
      </text>
    </comment>
    <comment ref="N134" authorId="2" shapeId="0" xr:uid="{00000000-0006-0000-0200-000027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K135" authorId="2" shapeId="0" xr:uid="{00000000-0006-0000-0200-000028000000}">
      <text>
        <r>
          <rPr>
            <b/>
            <sz val="9"/>
            <rFont val="Tahoma"/>
            <family val="2"/>
            <charset val="1"/>
          </rPr>
          <t xml:space="preserve">Canalyst (TK):
</t>
        </r>
        <r>
          <rPr>
            <sz val="9"/>
            <rFont val="Tahoma"/>
            <family val="2"/>
          </rPr>
          <t>Based on analyst consensus, as reported on the IP</t>
        </r>
      </text>
    </comment>
    <comment ref="N135" authorId="2" shapeId="0" xr:uid="{00000000-0006-0000-0200-000029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F147" authorId="2" shapeId="0" xr:uid="{00000000-0006-0000-0200-00002A000000}">
      <text>
        <r>
          <rPr>
            <b/>
            <sz val="9"/>
            <rFont val="Tahoma"/>
            <family val="2"/>
            <charset val="1"/>
          </rPr>
          <t>Canalyst (TK):</t>
        </r>
        <r>
          <rPr>
            <sz val="9"/>
            <rFont val="Tahoma"/>
            <family val="2"/>
            <charset val="1"/>
          </rPr>
          <t xml:space="preserve">
Guidance refers to FQ1 2025</t>
        </r>
      </text>
    </comment>
    <comment ref="N148" authorId="2" shapeId="0" xr:uid="{00000000-0006-0000-0200-00002B000000}">
      <text>
        <r>
          <rPr>
            <b/>
            <sz val="9"/>
            <rFont val="Tahoma"/>
            <family val="2"/>
            <charset val="1"/>
          </rPr>
          <t>Canalyst (TK):</t>
        </r>
        <r>
          <rPr>
            <sz val="9"/>
            <rFont val="Tahoma"/>
            <family val="2"/>
            <charset val="1"/>
          </rPr>
          <t xml:space="preserve">
Metric is currently not forecasted in the model</t>
        </r>
      </text>
    </comment>
    <comment ref="K149" authorId="2" shapeId="0" xr:uid="{00000000-0006-0000-0200-00002C000000}">
      <text>
        <r>
          <rPr>
            <b/>
            <sz val="9"/>
            <rFont val="Tahoma"/>
            <family val="2"/>
            <charset val="1"/>
          </rPr>
          <t>Canalyst (TK):</t>
        </r>
        <r>
          <rPr>
            <sz val="9"/>
            <rFont val="Tahoma"/>
            <family val="2"/>
            <charset val="1"/>
          </rPr>
          <t xml:space="preserve">
Includes only Public programs</t>
        </r>
      </text>
    </comment>
    <comment ref="N149" authorId="2" shapeId="0" xr:uid="{00000000-0006-0000-0200-00002D000000}">
      <text>
        <r>
          <rPr>
            <b/>
            <sz val="9"/>
            <rFont val="Tahoma"/>
            <family val="2"/>
            <charset val="1"/>
          </rPr>
          <t>Canalyst (TK):</t>
        </r>
        <r>
          <rPr>
            <sz val="9"/>
            <rFont val="Tahoma"/>
            <family val="2"/>
            <charset val="1"/>
          </rPr>
          <t xml:space="preserve">
Metric is currently not forecasted in the model</t>
        </r>
      </text>
    </comment>
    <comment ref="N150" authorId="2" shapeId="0" xr:uid="{00000000-0006-0000-0200-00002E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F153" authorId="2" shapeId="0" xr:uid="{00000000-0006-0000-0200-00002F000000}">
      <text>
        <r>
          <rPr>
            <b/>
            <sz val="9"/>
            <rFont val="Tahoma"/>
            <family val="2"/>
            <charset val="1"/>
          </rPr>
          <t>Canalyst (TK):</t>
        </r>
        <r>
          <rPr>
            <sz val="9"/>
            <rFont val="Tahoma"/>
            <family val="2"/>
            <charset val="1"/>
          </rPr>
          <t xml:space="preserve">
Guidance refers to FQ1 2025</t>
        </r>
      </text>
    </comment>
    <comment ref="N154" authorId="2" shapeId="0" xr:uid="{00000000-0006-0000-0200-000030000000}">
      <text>
        <r>
          <rPr>
            <b/>
            <sz val="9"/>
            <rFont val="Tahoma"/>
            <family val="2"/>
            <charset val="1"/>
          </rPr>
          <t>Canalyst (TK):</t>
        </r>
        <r>
          <rPr>
            <sz val="9"/>
            <rFont val="Tahoma"/>
            <family val="2"/>
            <charset val="1"/>
          </rPr>
          <t xml:space="preserve">
Metric is currently not forecasted in the model</t>
        </r>
      </text>
    </comment>
    <comment ref="K155" authorId="2" shapeId="0" xr:uid="{00000000-0006-0000-0200-000031000000}">
      <text>
        <r>
          <rPr>
            <b/>
            <sz val="9"/>
            <rFont val="Tahoma"/>
            <family val="2"/>
            <charset val="1"/>
          </rPr>
          <t>Canalyst (TK):</t>
        </r>
        <r>
          <rPr>
            <sz val="9"/>
            <rFont val="Tahoma"/>
            <family val="2"/>
            <charset val="1"/>
          </rPr>
          <t xml:space="preserve">
Includes only Public programs</t>
        </r>
      </text>
    </comment>
    <comment ref="N155" authorId="2" shapeId="0" xr:uid="{00000000-0006-0000-0200-000032000000}">
      <text>
        <r>
          <rPr>
            <b/>
            <sz val="9"/>
            <rFont val="Tahoma"/>
            <family val="2"/>
            <charset val="1"/>
          </rPr>
          <t>Canalyst (TK):</t>
        </r>
        <r>
          <rPr>
            <sz val="9"/>
            <rFont val="Tahoma"/>
            <family val="2"/>
            <charset val="1"/>
          </rPr>
          <t xml:space="preserve">
Metric is currently not forecasted in the model</t>
        </r>
      </text>
    </comment>
    <comment ref="N156" authorId="2" shapeId="0" xr:uid="{00000000-0006-0000-0200-000033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K163" authorId="2" shapeId="0" xr:uid="{00000000-0006-0000-0200-000034000000}">
      <text>
        <r>
          <rPr>
            <b/>
            <sz val="9"/>
            <rFont val="Tahoma"/>
            <family val="2"/>
            <charset val="1"/>
          </rPr>
          <t xml:space="preserve">Canalyst (TK):
</t>
        </r>
        <r>
          <rPr>
            <sz val="9"/>
            <rFont val="Tahoma"/>
            <family val="2"/>
          </rPr>
          <t>Based on analyst consensus, as reported on the IP</t>
        </r>
      </text>
    </comment>
    <comment ref="N163" authorId="2" shapeId="0" xr:uid="{00000000-0006-0000-0200-000035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K164" authorId="2" shapeId="0" xr:uid="{00000000-0006-0000-0200-000036000000}">
      <text>
        <r>
          <rPr>
            <b/>
            <sz val="9"/>
            <rFont val="Tahoma"/>
            <family val="2"/>
            <charset val="1"/>
          </rPr>
          <t xml:space="preserve">Canalyst (TK):
</t>
        </r>
        <r>
          <rPr>
            <sz val="9"/>
            <rFont val="Tahoma"/>
            <family val="2"/>
          </rPr>
          <t>Based on analyst consensus, as reported on the IP</t>
        </r>
      </text>
    </comment>
    <comment ref="N164" authorId="2" shapeId="0" xr:uid="{00000000-0006-0000-0200-000037000000}">
      <text>
        <r>
          <rPr>
            <b/>
            <sz val="9"/>
            <rFont val="Tahoma"/>
            <family val="2"/>
            <charset val="1"/>
          </rPr>
          <t>Canalyst (TK):</t>
        </r>
        <r>
          <rPr>
            <sz val="9"/>
            <rFont val="Tahoma"/>
            <family val="2"/>
            <charset val="1"/>
          </rPr>
          <t xml:space="preserve">
Formula adjusted, per pupil revenue forecasted in the model differs from reported amount</t>
        </r>
      </text>
    </comment>
    <comment ref="K172" authorId="1" shapeId="0" xr:uid="{00000000-0006-0000-0200-000038000000}">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K180" authorId="1" shapeId="0" xr:uid="{00000000-0006-0000-0200-000039000000}">
      <text>
        <r>
          <rPr>
            <b/>
            <sz val="9"/>
            <rFont val="Tahoma"/>
            <family val="2"/>
          </rPr>
          <t>Canalyst (NH):</t>
        </r>
        <r>
          <rPr>
            <sz val="9"/>
            <rFont val="Tahoma"/>
            <family val="2"/>
          </rPr>
          <t xml:space="preserve">
capital expenditures include the purchase of property and equipment, capitalized software, and curriculum development costs</t>
        </r>
      </text>
    </comment>
    <comment ref="K187" authorId="3" shapeId="0" xr:uid="{00000000-0006-0000-0200-00003A000000}">
      <text>
        <r>
          <rPr>
            <b/>
            <sz val="9"/>
            <rFont val="Tahoma"/>
            <family val="2"/>
          </rPr>
          <t>Canalyst (RZ):</t>
        </r>
        <r>
          <rPr>
            <sz val="9"/>
            <rFont val="Tahoma"/>
            <family val="2"/>
          </rPr>
          <t xml:space="preserve">
capital expenditures include the purchase of property and equipment and capitalized software and curriculum development costs</t>
        </r>
      </text>
    </comment>
    <comment ref="K194" authorId="3" shapeId="0" xr:uid="{00000000-0006-0000-0200-00003B000000}">
      <text>
        <r>
          <rPr>
            <b/>
            <sz val="9"/>
            <rFont val="Tahoma"/>
            <family val="2"/>
          </rPr>
          <t>Canalyst (RZ):</t>
        </r>
        <r>
          <rPr>
            <sz val="9"/>
            <rFont val="Tahoma"/>
            <family val="2"/>
          </rPr>
          <t xml:space="preserve">
Forecast over $250M in FY21 revenue in third year of focus.
Market opportunity expanded from $11B to $100B+ with new product offerings in new markets.
</t>
        </r>
      </text>
    </comment>
    <comment ref="K196" authorId="3" shapeId="0" xr:uid="{00000000-0006-0000-0200-00003C000000}">
      <text>
        <r>
          <rPr>
            <b/>
            <sz val="9"/>
            <rFont val="Tahoma"/>
            <family val="2"/>
          </rPr>
          <t>Canalyst (RZ):</t>
        </r>
        <r>
          <rPr>
            <sz val="9"/>
            <rFont val="Tahoma"/>
            <family val="2"/>
          </rPr>
          <t xml:space="preserve">
capital expenditures include the purchase of property and equipment and capitalized software and curriculum development costs</t>
        </r>
      </text>
    </comment>
    <comment ref="K204" authorId="3" shapeId="0" xr:uid="{00000000-0006-0000-0200-00003D000000}">
      <text>
        <r>
          <rPr>
            <b/>
            <sz val="9"/>
            <rFont val="Tahoma"/>
            <family val="2"/>
          </rPr>
          <t>Canalyst (RZ):</t>
        </r>
        <r>
          <rPr>
            <sz val="9"/>
            <rFont val="Tahoma"/>
            <family val="2"/>
          </rPr>
          <t xml:space="preserve">
capital expenditures include the purchase of property and equipment and capitalized software and curriculum development costs</t>
        </r>
      </text>
    </comment>
    <comment ref="K236" authorId="4" shapeId="0" xr:uid="{00000000-0006-0000-0200-00003E000000}">
      <text>
        <r>
          <rPr>
            <b/>
            <sz val="9"/>
            <rFont val="Tahoma"/>
            <family val="2"/>
          </rPr>
          <t>Canalyst (AZ):</t>
        </r>
        <r>
          <rPr>
            <sz val="9"/>
            <rFont val="Tahoma"/>
            <family val="2"/>
          </rPr>
          <t xml:space="preserve">
The company states they are "positioned to deliver double-digit growth in both revenue and adjusted operating income in the coming year. This is only an early estimate and not formal guidance.”</t>
        </r>
      </text>
    </comment>
    <comment ref="K237" authorId="4" shapeId="0" xr:uid="{00000000-0006-0000-0200-00003F000000}">
      <text>
        <r>
          <rPr>
            <b/>
            <sz val="9"/>
            <rFont val="Tahoma"/>
            <family val="2"/>
          </rPr>
          <t>Canalyst (AZ):</t>
        </r>
        <r>
          <rPr>
            <sz val="9"/>
            <rFont val="Tahoma"/>
            <family val="2"/>
          </rPr>
          <t xml:space="preserve">
The company states they are "positioned to deliver double-digit growth in both revenue and adjusted operating income in the coming year. This is only an early estimate and not formal guidance.”</t>
        </r>
      </text>
    </comment>
    <comment ref="N237" authorId="4" shapeId="0" xr:uid="{00000000-0006-0000-0200-000040000000}">
      <text>
        <r>
          <rPr>
            <b/>
            <sz val="9"/>
            <rFont val="Tahoma"/>
            <family val="2"/>
          </rPr>
          <t>Canalyst (AZ):</t>
        </r>
        <r>
          <rPr>
            <sz val="9"/>
            <rFont val="Tahoma"/>
            <family val="2"/>
          </rPr>
          <t xml:space="preserve">
Canalyst model does not forecast this item.</t>
        </r>
      </text>
    </comment>
    <comment ref="K238" authorId="4" shapeId="0" xr:uid="{00000000-0006-0000-0200-000041000000}">
      <text>
        <r>
          <rPr>
            <b/>
            <sz val="9"/>
            <rFont val="Tahoma"/>
            <family val="2"/>
          </rPr>
          <t>Canalyst (AZ):</t>
        </r>
        <r>
          <rPr>
            <sz val="9"/>
            <rFont val="Tahoma"/>
            <family val="2"/>
          </rPr>
          <t xml:space="preserve">
The company state "managed public school enrollments are already 150 thousand, as of August 7th, and they are entering what has historically been the busiest part of our enrollment season."</t>
        </r>
      </text>
    </comment>
    <comment ref="N242" authorId="5" shapeId="0" xr:uid="{00000000-0006-0000-0200-000042000000}">
      <text>
        <r>
          <rPr>
            <b/>
            <sz val="9"/>
            <rFont val="Tahoma"/>
            <family val="2"/>
          </rPr>
          <t>Canalyst (PSS):</t>
        </r>
        <r>
          <rPr>
            <sz val="9"/>
            <rFont val="Tahoma"/>
            <family val="2"/>
          </rPr>
          <t xml:space="preserve">
This reflects the effective tax rate which is the sum of current and deferred tax rate.</t>
        </r>
      </text>
    </comment>
    <comment ref="N243" authorId="3" shapeId="0" xr:uid="{00000000-0006-0000-0200-000043000000}">
      <text>
        <r>
          <rPr>
            <b/>
            <sz val="9"/>
            <rFont val="Tahoma"/>
            <family val="2"/>
          </rPr>
          <t>Canalyst (RZ):</t>
        </r>
        <r>
          <rPr>
            <sz val="9"/>
            <rFont val="Tahoma"/>
            <family val="2"/>
          </rPr>
          <t xml:space="preserve">
calculated as the sum of EBIT and SBC according to the company's guidance</t>
        </r>
      </text>
    </comment>
    <comment ref="N249" authorId="5" shapeId="0" xr:uid="{00000000-0006-0000-0200-000044000000}">
      <text>
        <r>
          <rPr>
            <b/>
            <sz val="9"/>
            <rFont val="Tahoma"/>
            <family val="2"/>
          </rPr>
          <t>Canalyst (PSS):</t>
        </r>
        <r>
          <rPr>
            <sz val="9"/>
            <rFont val="Tahoma"/>
            <family val="2"/>
          </rPr>
          <t xml:space="preserve">
This reflects the effective tax rate which is the sum of current and deferred tax rate.</t>
        </r>
      </text>
    </comment>
    <comment ref="N250" authorId="6" shapeId="0" xr:uid="{00000000-0006-0000-0200-000045000000}">
      <text>
        <r>
          <rPr>
            <b/>
            <sz val="9"/>
            <rFont val="Tahoma"/>
            <family val="2"/>
          </rPr>
          <t>Canalyst (LX):</t>
        </r>
        <r>
          <rPr>
            <sz val="9"/>
            <rFont val="Tahoma"/>
            <family val="2"/>
          </rPr>
          <t xml:space="preserve">
Canalyst model forecasts EBIT</t>
        </r>
      </text>
    </comment>
    <comment ref="N254" authorId="6" shapeId="0" xr:uid="{00000000-0006-0000-0200-000046000000}">
      <text>
        <r>
          <rPr>
            <b/>
            <sz val="9"/>
            <rFont val="Tahoma"/>
            <family val="2"/>
          </rPr>
          <t>Canalyst (LX):</t>
        </r>
        <r>
          <rPr>
            <sz val="9"/>
            <rFont val="Tahoma"/>
            <family val="2"/>
          </rPr>
          <t xml:space="preserve">
Canalyst model forecasts EBIT</t>
        </r>
      </text>
    </comment>
    <comment ref="N258" authorId="5" shapeId="0" xr:uid="{00000000-0006-0000-0200-000047000000}">
      <text>
        <r>
          <rPr>
            <b/>
            <sz val="9"/>
            <rFont val="Tahoma"/>
            <family val="2"/>
          </rPr>
          <t>Canalyst (PSS):</t>
        </r>
        <r>
          <rPr>
            <sz val="9"/>
            <rFont val="Tahoma"/>
            <family val="2"/>
          </rPr>
          <t xml:space="preserve">
This reflects the effective tax rate which is the sum of current and deferred tax rate.</t>
        </r>
      </text>
    </comment>
    <comment ref="N259" authorId="6" shapeId="0" xr:uid="{00000000-0006-0000-0200-000048000000}">
      <text>
        <r>
          <rPr>
            <b/>
            <sz val="9"/>
            <rFont val="Tahoma"/>
            <family val="2"/>
          </rPr>
          <t>Canalyst (LX):</t>
        </r>
        <r>
          <rPr>
            <sz val="9"/>
            <rFont val="Tahoma"/>
            <family val="2"/>
          </rPr>
          <t xml:space="preserve">
Canalyst model forecasts EBIT</t>
        </r>
      </text>
    </comment>
    <comment ref="N263" authorId="6" shapeId="0" xr:uid="{00000000-0006-0000-0200-000049000000}">
      <text>
        <r>
          <rPr>
            <b/>
            <sz val="9"/>
            <rFont val="Tahoma"/>
            <family val="2"/>
          </rPr>
          <t>Canalyst (LX):</t>
        </r>
        <r>
          <rPr>
            <sz val="9"/>
            <rFont val="Tahoma"/>
            <family val="2"/>
          </rPr>
          <t xml:space="preserve">
Canalyst model forecasts EBIT</t>
        </r>
      </text>
    </comment>
    <comment ref="N267" authorId="6" shapeId="0" xr:uid="{00000000-0006-0000-0200-00004A000000}">
      <text>
        <r>
          <rPr>
            <b/>
            <sz val="9"/>
            <rFont val="Tahoma"/>
            <family val="2"/>
          </rPr>
          <t>Canalyst (LX):</t>
        </r>
        <r>
          <rPr>
            <sz val="9"/>
            <rFont val="Tahoma"/>
            <family val="2"/>
          </rPr>
          <t xml:space="preserve">
Canalyst model forecasts EBIT</t>
        </r>
      </text>
    </comment>
    <comment ref="N271" authorId="6" shapeId="0" xr:uid="{00000000-0006-0000-0200-00004B000000}">
      <text>
        <r>
          <rPr>
            <b/>
            <sz val="9"/>
            <rFont val="Tahoma"/>
            <family val="2"/>
          </rPr>
          <t>Canalyst (LX):</t>
        </r>
        <r>
          <rPr>
            <sz val="9"/>
            <rFont val="Tahoma"/>
            <family val="2"/>
          </rPr>
          <t xml:space="preserve">
Canalyst model forecasts EBIT</t>
        </r>
      </text>
    </comment>
    <comment ref="N275" authorId="6" shapeId="0" xr:uid="{00000000-0006-0000-0200-00004C000000}">
      <text>
        <r>
          <rPr>
            <b/>
            <sz val="9"/>
            <rFont val="Tahoma"/>
            <family val="2"/>
          </rPr>
          <t>Canalyst (TM):</t>
        </r>
        <r>
          <rPr>
            <sz val="9"/>
            <rFont val="Tahoma"/>
            <family val="2"/>
          </rPr>
          <t xml:space="preserve">
Not reported in our model at this time</t>
        </r>
      </text>
    </comment>
    <comment ref="N280" authorId="6" shapeId="0" xr:uid="{00000000-0006-0000-0200-00004D000000}">
      <text>
        <r>
          <rPr>
            <b/>
            <sz val="9"/>
            <rFont val="Tahoma"/>
            <family val="2"/>
          </rPr>
          <t>Canalyst (TM):</t>
        </r>
        <r>
          <rPr>
            <sz val="9"/>
            <rFont val="Tahoma"/>
            <family val="2"/>
          </rPr>
          <t xml:space="preserve">
Not reported in our model at this time</t>
        </r>
      </text>
    </comment>
    <comment ref="N284" authorId="6" shapeId="0" xr:uid="{00000000-0006-0000-0200-00004E000000}">
      <text>
        <r>
          <rPr>
            <b/>
            <sz val="9"/>
            <rFont val="Tahoma"/>
            <family val="2"/>
          </rPr>
          <t>Canalyst (TM):</t>
        </r>
        <r>
          <rPr>
            <sz val="9"/>
            <rFont val="Tahoma"/>
            <family val="2"/>
          </rPr>
          <t xml:space="preserve">
Not reported in our model at this time</t>
        </r>
      </text>
    </comment>
  </commentList>
</comments>
</file>

<file path=xl/sharedStrings.xml><?xml version="1.0" encoding="utf-8"?>
<sst xmlns="http://schemas.openxmlformats.org/spreadsheetml/2006/main" count="10565" uniqueCount="2510">
  <si>
    <t xml:space="preserve">Please contact this email for any model-specific questions: </t>
  </si>
  <si>
    <t>support@canalyst.com</t>
  </si>
  <si>
    <t>Company Model:</t>
  </si>
  <si>
    <t>Comments on Model:</t>
  </si>
  <si>
    <t xml:space="preserve">Updated: </t>
  </si>
  <si>
    <t>For:</t>
  </si>
  <si>
    <t>Consensus Data and Real-Time Stock Price:</t>
  </si>
  <si>
    <t>Bloomberg</t>
  </si>
  <si>
    <t>Real-Time Stock Price:</t>
  </si>
  <si>
    <t>Stock Price Override:</t>
  </si>
  <si>
    <t>USD</t>
  </si>
  <si>
    <t>FY2009</t>
  </si>
  <si>
    <t>Growth Analysis</t>
  </si>
  <si>
    <t>Managed public school programs revenue growth, %</t>
  </si>
  <si>
    <t>Non managed public school programs revenue growth, %</t>
  </si>
  <si>
    <t>Institutional software &amp; services growth, %</t>
  </si>
  <si>
    <t>Private pay school and other revenue growth, %</t>
  </si>
  <si>
    <t>Total Revenue Growth, %</t>
  </si>
  <si>
    <t>Managed public school programs enrollment growth, %</t>
  </si>
  <si>
    <t>Non-Managed public school programs enrollment growth, %</t>
  </si>
  <si>
    <t>Non-managed public school programs revenue, mm</t>
  </si>
  <si>
    <t>Institutional software &amp; services, mm</t>
  </si>
  <si>
    <t>Private pay school and other revenue, mm</t>
  </si>
  <si>
    <t>Total Revenue, mm</t>
  </si>
  <si>
    <t>Operating Stats - Enrollment Data (PR)</t>
  </si>
  <si>
    <t>Managed public avg enrollment in the period, 000s enrollments</t>
  </si>
  <si>
    <t>Revenue per avg enrollment for Managed, $/student</t>
  </si>
  <si>
    <t>Non-Managed public avg enrollment, 000s enrollments</t>
  </si>
  <si>
    <t>Revenue per avg enrollment for Non-Managed, $/student</t>
  </si>
  <si>
    <t>Margin Analysis</t>
  </si>
  <si>
    <t>COGS Margin (Excluding D&amp;A), %</t>
  </si>
  <si>
    <t>COGS Margin, %</t>
  </si>
  <si>
    <t>Gross Margin (Excluding D&amp;A), %</t>
  </si>
  <si>
    <t>Gross Margin, %</t>
  </si>
  <si>
    <t>Consensus Estimates - Gross Margin, %</t>
  </si>
  <si>
    <t>SG&amp;A Margin, %</t>
  </si>
  <si>
    <t>EBITDA Margin, %</t>
  </si>
  <si>
    <t>Consensus Estimates - Adjusted EBITDA Margin, %</t>
  </si>
  <si>
    <t>Income Statement - As Reported</t>
  </si>
  <si>
    <t>Revenues</t>
  </si>
  <si>
    <t>Instructional costs and services</t>
  </si>
  <si>
    <t>Gross Profit</t>
  </si>
  <si>
    <t>Selling, administrative, and other operating expenses</t>
  </si>
  <si>
    <t>Product development expenses</t>
  </si>
  <si>
    <t>Income from operations</t>
  </si>
  <si>
    <t>Realized gain on sale of assets</t>
  </si>
  <si>
    <t>Impairment of investment in Web International Education</t>
  </si>
  <si>
    <t>Loss from equity method investments</t>
  </si>
  <si>
    <t>Interest expense, net</t>
  </si>
  <si>
    <t>Other income (expense), net</t>
  </si>
  <si>
    <t>Income tax expense</t>
  </si>
  <si>
    <t>Net income</t>
  </si>
  <si>
    <t>Adjust net loss attributable to noncontrolling interest</t>
  </si>
  <si>
    <t>IS Check</t>
  </si>
  <si>
    <t>Adjusted Numbers - As Reported</t>
  </si>
  <si>
    <t>Net Income</t>
  </si>
  <si>
    <t>Stock-based compensation</t>
  </si>
  <si>
    <t>Noncontrolling interest</t>
  </si>
  <si>
    <t>Adjusted EBITDA</t>
  </si>
  <si>
    <t>Amount allocated to participating Series A stockholders</t>
  </si>
  <si>
    <t>Revised Income Statement</t>
  </si>
  <si>
    <t>Net Revenue</t>
  </si>
  <si>
    <t>COGS</t>
  </si>
  <si>
    <t>SG&amp;A</t>
  </si>
  <si>
    <t>EBITDA</t>
  </si>
  <si>
    <t>Add back: D&amp;A</t>
  </si>
  <si>
    <t>Add back: SBC</t>
  </si>
  <si>
    <t>EBIT</t>
  </si>
  <si>
    <t>Other items</t>
  </si>
  <si>
    <t>One-time item</t>
  </si>
  <si>
    <t>EBT</t>
  </si>
  <si>
    <t>Current tax</t>
  </si>
  <si>
    <t>Deferred tax</t>
  </si>
  <si>
    <t>Net Income from Continued Operation</t>
  </si>
  <si>
    <t>Discontinued Operations</t>
  </si>
  <si>
    <t>Net Income to NCI</t>
  </si>
  <si>
    <t>Earnings to Preferred and Other Securities</t>
  </si>
  <si>
    <t>Net Income to Common Shareholders</t>
  </si>
  <si>
    <t>Adjustments for Convertible Securities</t>
  </si>
  <si>
    <t>Diluted Net Income to Common Shareholders</t>
  </si>
  <si>
    <t>Non-GAAP Adjustments</t>
  </si>
  <si>
    <t>Non-GAAP Adjustments for Dilutive Securities</t>
  </si>
  <si>
    <t>Adjusted Net Income</t>
  </si>
  <si>
    <t>Current tax rate</t>
  </si>
  <si>
    <t>Deferred tax rate</t>
  </si>
  <si>
    <t>Earnings Per Share - WAB</t>
  </si>
  <si>
    <t>Earnings Per Share - WAD</t>
  </si>
  <si>
    <t>Adjusted Earnings Per Share - WAD</t>
  </si>
  <si>
    <t>Shares Outstanding - WAB</t>
  </si>
  <si>
    <t>Shares Outstanding - WAD</t>
  </si>
  <si>
    <t>Adjusted Shares Outstanding - WAD</t>
  </si>
  <si>
    <t>Cash Flow Summary</t>
  </si>
  <si>
    <t>Operating Cash Flow before WC</t>
  </si>
  <si>
    <t>Cash Flow Per Diluted Share before WC</t>
  </si>
  <si>
    <t>Capex</t>
  </si>
  <si>
    <t>Acquisitions</t>
  </si>
  <si>
    <t>Divestiture</t>
  </si>
  <si>
    <t>Dividend Paid</t>
  </si>
  <si>
    <t>Dividend Per Share</t>
  </si>
  <si>
    <t>FCF (before WC), Pre Div</t>
  </si>
  <si>
    <t>FCF (before WC), Post Div, Pre A/D</t>
  </si>
  <si>
    <t>FCF (before WC), Post Div, Post A/D</t>
  </si>
  <si>
    <t>Balance Sheet Summary</t>
  </si>
  <si>
    <t>Cash</t>
  </si>
  <si>
    <t>Debt</t>
  </si>
  <si>
    <t>Net Debt</t>
  </si>
  <si>
    <t>Net Debt / EBITDA</t>
  </si>
  <si>
    <t>Net Debt / Cash Flow</t>
  </si>
  <si>
    <t>Valuation</t>
  </si>
  <si>
    <t>Avg</t>
  </si>
  <si>
    <t>Enterprise Value Components</t>
  </si>
  <si>
    <t>Noncontrolling Interest</t>
  </si>
  <si>
    <t>Preferred Shares</t>
  </si>
  <si>
    <t>Other EV Components</t>
  </si>
  <si>
    <t>Cumulative Cash Flow Statement</t>
  </si>
  <si>
    <t>CFO</t>
  </si>
  <si>
    <t>Depreciation and amortization expense</t>
  </si>
  <si>
    <t>Stock-based compensation expense</t>
  </si>
  <si>
    <t>Excess tax benefit from stock-based compensation</t>
  </si>
  <si>
    <t>Deferred income taxes</t>
  </si>
  <si>
    <t>Provision for excess and obsolete inventory</t>
  </si>
  <si>
    <t>Provision for student computer shrinkage and obsolescence</t>
  </si>
  <si>
    <t>Impairment loss on other assets</t>
  </si>
  <si>
    <t>Expensed leased computer peripherals</t>
  </si>
  <si>
    <t>Other</t>
  </si>
  <si>
    <t>CFO before WC</t>
  </si>
  <si>
    <t>Accounts receivable</t>
  </si>
  <si>
    <t>Inventories</t>
  </si>
  <si>
    <t>Prepaid expenses</t>
  </si>
  <si>
    <t>Other current assets</t>
  </si>
  <si>
    <t>Deposits and other assets</t>
  </si>
  <si>
    <t>Accounts payable</t>
  </si>
  <si>
    <t>Accrued liabilities</t>
  </si>
  <si>
    <t>Accrued compensation and benefits</t>
  </si>
  <si>
    <t>Deferred revenue</t>
  </si>
  <si>
    <t>Restricted cash</t>
  </si>
  <si>
    <t>Deferred rent and other liabilities</t>
  </si>
  <si>
    <t>Net CFO</t>
  </si>
  <si>
    <t>CFI</t>
  </si>
  <si>
    <t>Purchase of property and equipment</t>
  </si>
  <si>
    <t>Capitalized software development costs</t>
  </si>
  <si>
    <t>Capitalized curriculum development costs</t>
  </si>
  <si>
    <t>Purchase of noncontrolling interest</t>
  </si>
  <si>
    <t>Sale of trade name</t>
  </si>
  <si>
    <t>Mortgage note to managed school partner</t>
  </si>
  <si>
    <t>Acquisition of LTS Education Systems, net of cash acquired</t>
  </si>
  <si>
    <t>Acquisition of Big Universe, Inc., net of cash required</t>
  </si>
  <si>
    <t>Net cash received on sale of assets</t>
  </si>
  <si>
    <t>Purchase of Kaplan/Insight assets</t>
  </si>
  <si>
    <t>Investment in LearnBop, Inc.</t>
  </si>
  <si>
    <t>Purchase of domain name</t>
  </si>
  <si>
    <t>Purchase of AEC, net of cash acquired of $3,841</t>
  </si>
  <si>
    <t>Purchase of IS Berne, net of cash acquired of $1,563</t>
  </si>
  <si>
    <t>Cash advanced for AEC performance escrow</t>
  </si>
  <si>
    <t>Cash returned for AEC performance escrow</t>
  </si>
  <si>
    <t>Acquisitions and investments</t>
  </si>
  <si>
    <t>Cash paid for investment in Web</t>
  </si>
  <si>
    <t>Net CFI</t>
  </si>
  <si>
    <t>CFF</t>
  </si>
  <si>
    <t>Payments of contingent consideration</t>
  </si>
  <si>
    <t>Repayments on notes payable</t>
  </si>
  <si>
    <t>Purchase of treasury stock</t>
  </si>
  <si>
    <t>Proceeds from exercise of stock options</t>
  </si>
  <si>
    <t>Net proceeds from investment in noncontrolling interest</t>
  </si>
  <si>
    <t>Proceeds from exercise of stock warrants</t>
  </si>
  <si>
    <t>Payment of stock registration expense</t>
  </si>
  <si>
    <t>Repurchase of restricted stock for income tax withholding</t>
  </si>
  <si>
    <t>Proceeds from issuance of common stock</t>
  </si>
  <si>
    <t>Proceeds from notes payable</t>
  </si>
  <si>
    <t>Borrowings from line of credit</t>
  </si>
  <si>
    <t>Repayments under the line of credit</t>
  </si>
  <si>
    <t>Dividends Paid</t>
  </si>
  <si>
    <t>Net CFF</t>
  </si>
  <si>
    <t>FX</t>
  </si>
  <si>
    <t>Net Change in Cash Balance</t>
  </si>
  <si>
    <t>Beginning Cash Balance</t>
  </si>
  <si>
    <t>Ending Cash Balance</t>
  </si>
  <si>
    <t>Cash Flow Statement</t>
  </si>
  <si>
    <t>CF Check</t>
  </si>
  <si>
    <t>Working Capital Forecasting</t>
  </si>
  <si>
    <t>Accounts receivable, % of LTM Sales</t>
  </si>
  <si>
    <t>Inventories, net, % of LTM Sales</t>
  </si>
  <si>
    <t>Accounts payable, % of LTM Sales</t>
  </si>
  <si>
    <t>Accrued liabilities, % of LTM Sales</t>
  </si>
  <si>
    <t>Accrued compensation and benefits, % of LTM Sales</t>
  </si>
  <si>
    <t>Deferred revenue, % of LTM Sales</t>
  </si>
  <si>
    <t>Accounts receivable, Y/Y Change, %</t>
  </si>
  <si>
    <t>Inventories, net, Y/Y Change, %</t>
  </si>
  <si>
    <t>Accounts payable, Y/Y Change, %</t>
  </si>
  <si>
    <t>Accrued liabilities, Y/Y Change, %</t>
  </si>
  <si>
    <t>Accrued compensation and benefits, Y/Y Change, %</t>
  </si>
  <si>
    <t>Deferred revenue, Y/Y Change, %</t>
  </si>
  <si>
    <t>Balance Sheet</t>
  </si>
  <si>
    <t>Current Assets</t>
  </si>
  <si>
    <t>Cash and cash equivalents</t>
  </si>
  <si>
    <t>Inventories, net</t>
  </si>
  <si>
    <t>Deferred tax asset</t>
  </si>
  <si>
    <t>Total Current Assets</t>
  </si>
  <si>
    <t>Non-Current Assets</t>
  </si>
  <si>
    <t>Property and equipment, net</t>
  </si>
  <si>
    <t>Capitalized software, net</t>
  </si>
  <si>
    <t>Capitalized curriculum development costs, net</t>
  </si>
  <si>
    <t>Intangible assets, net</t>
  </si>
  <si>
    <t>Goodwill</t>
  </si>
  <si>
    <t>Deferred tax asset, net of current portion</t>
  </si>
  <si>
    <t>Investment in subsidiary</t>
  </si>
  <si>
    <t>Total Non-Current Assets</t>
  </si>
  <si>
    <t>Total Assets</t>
  </si>
  <si>
    <t>Current Liabilities</t>
  </si>
  <si>
    <t>Current portion of note payable</t>
  </si>
  <si>
    <t>Total Current Liabilities</t>
  </si>
  <si>
    <t>Non-Current Liabilities</t>
  </si>
  <si>
    <t>Deferred rent, net of current portion</t>
  </si>
  <si>
    <t>Deferred tax liability</t>
  </si>
  <si>
    <t>Other long-term liabilities</t>
  </si>
  <si>
    <t>Note payable, net of current portion</t>
  </si>
  <si>
    <t>Redeemable noncontrolling interest</t>
  </si>
  <si>
    <t>Total Non-Current liabilities</t>
  </si>
  <si>
    <t>Total Liabilities</t>
  </si>
  <si>
    <t>Shareholders' Equity</t>
  </si>
  <si>
    <t>Common Stock</t>
  </si>
  <si>
    <t>Additional paid-in capital</t>
  </si>
  <si>
    <t>Treasury Stock</t>
  </si>
  <si>
    <t>Series A special stock</t>
  </si>
  <si>
    <t>Total SE</t>
  </si>
  <si>
    <t>NCI</t>
  </si>
  <si>
    <t>Total Liabilities &amp; SE</t>
  </si>
  <si>
    <t>BS Check</t>
  </si>
  <si>
    <t>Model Checks</t>
  </si>
  <si>
    <t>Net Income on Revised IS = NI on CF statement</t>
  </si>
  <si>
    <t>Net Income on Reported IS = NI on Revised</t>
  </si>
  <si>
    <t>Segmented Revenue = Revenue</t>
  </si>
  <si>
    <t>Cash Flow is not Repeated</t>
  </si>
  <si>
    <t>Income Statement is not Repeated</t>
  </si>
  <si>
    <t>Balance Sheet is not Repeated</t>
  </si>
  <si>
    <t>Ending CF = Ending Cumulative CF</t>
  </si>
  <si>
    <t>Capex is Updated</t>
  </si>
  <si>
    <t>Margin is Updated</t>
  </si>
  <si>
    <t>Adjusted Numbers FY = Sum of Qs</t>
  </si>
  <si>
    <t>*Cash Flow Summary Signs are Correct</t>
  </si>
  <si>
    <t>*RIS NI FY = Sum of Qs</t>
  </si>
  <si>
    <t>*RIS Adjusted NI FY = Sum of Qs</t>
  </si>
  <si>
    <t>*CFO Before WC subtotal FY = Sum of Qs</t>
  </si>
  <si>
    <t>*CFO subtotal FY = Sum of Qs</t>
  </si>
  <si>
    <t>*CFI subtotal FY = Sum of Qs</t>
  </si>
  <si>
    <t>*CFF subtotal FY = Sum of Qs</t>
  </si>
  <si>
    <t>*CF Summary FY = Sum of Qs</t>
  </si>
  <si>
    <t>Other Tables</t>
  </si>
  <si>
    <t>Ticker Symbol</t>
  </si>
  <si>
    <t>LRN US</t>
  </si>
  <si>
    <t>NYSE:LRN</t>
  </si>
  <si>
    <t>LRN-US</t>
  </si>
  <si>
    <t>LRN.N</t>
  </si>
  <si>
    <t>Valuation Toggle Table</t>
  </si>
  <si>
    <t>High</t>
  </si>
  <si>
    <t>Low</t>
  </si>
  <si>
    <t>Consensus Estimate Table</t>
  </si>
  <si>
    <t>FY or FQ</t>
  </si>
  <si>
    <t>Period</t>
  </si>
  <si>
    <t>Stock Price Table</t>
  </si>
  <si>
    <t>Fiscal Period Start Date</t>
  </si>
  <si>
    <t>Is Historical Period</t>
  </si>
  <si>
    <t>Real-Time Off Source</t>
  </si>
  <si>
    <t>Capital IQ</t>
  </si>
  <si>
    <t>FactSet</t>
  </si>
  <si>
    <t>General Table</t>
  </si>
  <si>
    <t>Last Price</t>
  </si>
  <si>
    <t>Last Price Date</t>
  </si>
  <si>
    <t>Real-Time Stock Price</t>
  </si>
  <si>
    <t>Last Price Formula</t>
  </si>
  <si>
    <t>Trade Currency</t>
  </si>
  <si>
    <t>Trade Currency Hardcoded</t>
  </si>
  <si>
    <t>Model Sheet Currency Hardcoded</t>
  </si>
  <si>
    <t>Most Recent FX</t>
  </si>
  <si>
    <t>Most Recent FX Hardcoded</t>
  </si>
  <si>
    <t>MRFP Column Number</t>
  </si>
  <si>
    <t>Most Recent Fiscal Period (MRFP)</t>
  </si>
  <si>
    <t>Current Fiscal Year</t>
  </si>
  <si>
    <t>Data Source Index</t>
  </si>
  <si>
    <t>Guidance</t>
  </si>
  <si>
    <t>Model</t>
  </si>
  <si>
    <t>Difference vs. Mid</t>
  </si>
  <si>
    <t>Update Log</t>
  </si>
  <si>
    <t>Type</t>
  </si>
  <si>
    <t>Item</t>
  </si>
  <si>
    <t>Item Name</t>
  </si>
  <si>
    <t>Fiscal Period</t>
  </si>
  <si>
    <t>Mid</t>
  </si>
  <si>
    <t>Output</t>
  </si>
  <si>
    <t>Absolute</t>
  </si>
  <si>
    <t>Relative</t>
  </si>
  <si>
    <t>Date</t>
  </si>
  <si>
    <t>Link</t>
  </si>
  <si>
    <t>MO_RIS_REV</t>
  </si>
  <si>
    <t>FY2019</t>
  </si>
  <si>
    <t>Press Release</t>
  </si>
  <si>
    <t>MO_CFSum_Capex</t>
  </si>
  <si>
    <t>Adjusted operating income</t>
  </si>
  <si>
    <t>MO_RIS_EBIT</t>
  </si>
  <si>
    <t>Q3-2019</t>
  </si>
  <si>
    <t>Q2-2019</t>
  </si>
  <si>
    <t>Effective tax rate</t>
  </si>
  <si>
    <t>FY2018</t>
  </si>
  <si>
    <t>Reports</t>
  </si>
  <si>
    <t>Capitalization Summary</t>
  </si>
  <si>
    <t>Company-Specific Operational Data</t>
  </si>
  <si>
    <t>GAAP Financials</t>
  </si>
  <si>
    <t>Other Items</t>
  </si>
  <si>
    <t>Tax</t>
  </si>
  <si>
    <t>Base Period</t>
  </si>
  <si>
    <t>Non-GAAP Financials</t>
  </si>
  <si>
    <t>Cash Flow Analysis</t>
  </si>
  <si>
    <t>Core FCF, Pre Div</t>
  </si>
  <si>
    <t>Core FCF, Post Div</t>
  </si>
  <si>
    <t>Change in WC</t>
  </si>
  <si>
    <t>New Equity Issuance</t>
  </si>
  <si>
    <t>New Debt Issuance</t>
  </si>
  <si>
    <t>Change in Cash Position</t>
  </si>
  <si>
    <t>Operating Cash Flow Per Share</t>
  </si>
  <si>
    <t>Core Free Cash Flow Per Share, Pre Div</t>
  </si>
  <si>
    <t>Dividend Payout Ratio vs Core FCF, Pre Div</t>
  </si>
  <si>
    <t>Dividend Payout Ratio vs Earnings Per Share</t>
  </si>
  <si>
    <t>Balance Sheet Ratios</t>
  </si>
  <si>
    <t>Net Debt / Capital</t>
  </si>
  <si>
    <t>LTM EBITDA</t>
  </si>
  <si>
    <t>LTM Cash Flow</t>
  </si>
  <si>
    <t>Profitability Ratios</t>
  </si>
  <si>
    <t>LTM Net Income</t>
  </si>
  <si>
    <t>Shareholder's Equity</t>
  </si>
  <si>
    <t>Average Shareholder's Equity</t>
  </si>
  <si>
    <t>ROE</t>
  </si>
  <si>
    <t>LTM Net Operating Profit</t>
  </si>
  <si>
    <t>Average Total Assets</t>
  </si>
  <si>
    <t>Total Debt</t>
  </si>
  <si>
    <t>Average Book Value of Debt</t>
  </si>
  <si>
    <t>Average Invested Capital</t>
  </si>
  <si>
    <t>ROIC</t>
  </si>
  <si>
    <t>LTM EBIT</t>
  </si>
  <si>
    <t>Average Current Liabilities</t>
  </si>
  <si>
    <t>Average Capital Employed</t>
  </si>
  <si>
    <t>ROCE</t>
  </si>
  <si>
    <t>Per-Share Growth Metrics</t>
  </si>
  <si>
    <t>Revenue Per Share Growth</t>
  </si>
  <si>
    <t>Adj. EBITDA Per Share Growth</t>
  </si>
  <si>
    <t>Adj. Earnings Per Share Growth</t>
  </si>
  <si>
    <t>Operating Cash Flow Per Share Growth</t>
  </si>
  <si>
    <t>Free Cash Flow Per Share Growth</t>
  </si>
  <si>
    <t>Valuation Metrics</t>
  </si>
  <si>
    <t>Check</t>
  </si>
  <si>
    <t>Non GAAP NI</t>
  </si>
  <si>
    <t>GAAP NI</t>
  </si>
  <si>
    <t>Change in Cash Summary = Change in Cash Model</t>
  </si>
  <si>
    <t>Update Date</t>
  </si>
  <si>
    <t>Updated By (Initials)</t>
  </si>
  <si>
    <t>Update Type</t>
  </si>
  <si>
    <t>Special Comments</t>
  </si>
  <si>
    <t>Link to Press Release / News Item</t>
  </si>
  <si>
    <t>JoR &amp; PZ</t>
  </si>
  <si>
    <t>Earnings Press Release</t>
  </si>
  <si>
    <t>RE &amp; AP</t>
  </si>
  <si>
    <t>RE &amp; KZ</t>
  </si>
  <si>
    <t>Q1-2019</t>
  </si>
  <si>
    <t>ThM &amp; SL</t>
  </si>
  <si>
    <t>AID &amp; TM</t>
  </si>
  <si>
    <t>Q3-2018</t>
  </si>
  <si>
    <t>ML &amp; TM</t>
  </si>
  <si>
    <t>Q2-2018</t>
  </si>
  <si>
    <t>NR &amp; FL</t>
  </si>
  <si>
    <t>Q1-2018</t>
  </si>
  <si>
    <t>JA &amp; AlD</t>
  </si>
  <si>
    <t>FY2017</t>
  </si>
  <si>
    <t>RX &amp; GL</t>
  </si>
  <si>
    <t>Q3-2017</t>
  </si>
  <si>
    <t>NR &amp; MB</t>
  </si>
  <si>
    <t>Q2-2017</t>
  </si>
  <si>
    <t>BH</t>
  </si>
  <si>
    <t>Q1-2017</t>
  </si>
  <si>
    <t>SD</t>
  </si>
  <si>
    <t>New Build</t>
  </si>
  <si>
    <t>Summary Page!$AN$134, Summary Page!$AO$134</t>
  </si>
  <si>
    <t>AhM EAY</t>
  </si>
  <si>
    <t>Most Recent Period:</t>
  </si>
  <si>
    <t>First Forecast Fiscal Year</t>
  </si>
  <si>
    <t>NOPAT</t>
  </si>
  <si>
    <t>After-tax ROA</t>
  </si>
  <si>
    <t>Q1-2020</t>
  </si>
  <si>
    <t>Restated</t>
  </si>
  <si>
    <t>Operating lease liability</t>
  </si>
  <si>
    <t>Current portion of operating lease liability</t>
  </si>
  <si>
    <t>Long-term operating lease liability</t>
  </si>
  <si>
    <t>FY2020</t>
  </si>
  <si>
    <t>Effective Tax Rate</t>
  </si>
  <si>
    <t>Q2-2020</t>
  </si>
  <si>
    <t>Interest income (expense), net</t>
  </si>
  <si>
    <t>(Recovery of) Provision for doubtful accounts</t>
  </si>
  <si>
    <t>Repayments on finance lease obligations</t>
  </si>
  <si>
    <t>Current portion of finance lease obligations</t>
  </si>
  <si>
    <t>Finance lease obligations, net of current portion</t>
  </si>
  <si>
    <t>Accumulated other comprehensive income (loss)</t>
  </si>
  <si>
    <t>Retained earnings (accumulated deficit)</t>
  </si>
  <si>
    <t>NH PSS</t>
  </si>
  <si>
    <t>Operating Lease Liabilities</t>
  </si>
  <si>
    <t>Most Recent Period</t>
  </si>
  <si>
    <t>Quarterly (Earnings Report)</t>
  </si>
  <si>
    <t>Annual (Earnings Report)</t>
  </si>
  <si>
    <t>FY2016</t>
  </si>
  <si>
    <t>Q3-2020</t>
  </si>
  <si>
    <t>KK</t>
  </si>
  <si>
    <t>Initial (Press Release)</t>
  </si>
  <si>
    <r>
      <rPr>
        <b/>
        <sz val="7"/>
        <color rgb="FF000000"/>
        <rFont val="Calibri"/>
        <family val="2"/>
        <scheme val="minor"/>
      </rPr>
      <t>DISCLAIMER</t>
    </r>
    <r>
      <rPr>
        <sz val="7"/>
        <color rgb="FF000000"/>
        <rFont val="Calibri"/>
        <family val="2"/>
        <scheme val="minor"/>
      </rPr>
      <t xml:space="preserve">
Access to and use of this model, including the data contained herein (this "Model") is subject to Tegus, Inc.'s (a successor entity to Canalyst Financial Modeling Corporation) ("Company") Terms of Use that you accepted prior to accessing this Model, the applicable Service Agreement between the Company and you (or a corporate entity that has authorized you to access and use this Model on its behalf in accordance with the terms of such Service Agreement) or other similar agreement between you and the Company. BY CONTINUING TO ACCESS OR USE THIS MODEL, YOU EXPRESSLY AGREE TO THE TERMS AND CONDITIONS OF SUCH AGREEMENTS.
</t>
    </r>
    <r>
      <rPr>
        <b/>
        <sz val="7"/>
        <color rgb="FF000000"/>
        <rFont val="Calibri"/>
        <family val="2"/>
        <scheme val="minor"/>
      </rPr>
      <t>The Company and certain of its licensors have exclusive proprietary rights in this Model. This Model is being provided for internal use only. Unless prior written consent by the Company and its licensors has been provided to you, you may not distribute or otherwise furnish this Model to any third party, nor use or permit anyone to use this Model for any unlawful or unauthorized purpose. IF YOU HAVE UNLAWFULLY OBTAINED, OR ARE NOT AUTHORIZED TO USE THIS MODEL, YOU ARE OBLIGATED TO PROMPTLY: (I) RETURN THIS MODEL (AND ANY DERIVATIVE WORKS ARISING FROM OR RELATING THERETO) TO THE AUTHORIZED USER OF THIS MODEL; (II) PROVIDE NOTICE TO THE COMPANY AT LEGAL@TEGUS.COM OF SUCH UNLAWFUL OR UNAUTHORIZED ACCESS AND USE; AND, (III) CERTIFY THAT YOU HAVE DESTROYED THIS MODEL (AND ANY DERIVATIVE WORKS ARISING FROM OR RELATING THERETO) AND ANY COPIES FROM YOUR SYSTEMS SO AS TO ENSURE THEY ARE INCAPABLE OF RETRIEVAL.</t>
    </r>
    <r>
      <rPr>
        <sz val="7"/>
        <color rgb="FF000000"/>
        <rFont val="Calibri"/>
        <family val="2"/>
        <scheme val="minor"/>
      </rPr>
      <t xml:space="preserve">
A portion of the data contained in this Model may be powered by third party contributors and their respective licensors, or derived from data provided by such contributors, including (but not limited to): (i) </t>
    </r>
    <r>
      <rPr>
        <b/>
        <sz val="7"/>
        <color rgb="FF000000"/>
        <rFont val="Calibri"/>
        <family val="2"/>
        <scheme val="minor"/>
      </rPr>
      <t>QuoteMedia Inc.</t>
    </r>
    <r>
      <rPr>
        <sz val="7"/>
        <color rgb="FF000000"/>
        <rFont val="Calibri"/>
        <family val="2"/>
        <scheme val="minor"/>
      </rPr>
      <t xml:space="preserve">: A portion of the market data is powered by Quotemedia.com. All rights reserved. Data delayed 15 minutes unless otherwise indicated; (ii) </t>
    </r>
    <r>
      <rPr>
        <b/>
        <sz val="7"/>
        <color rgb="FF000000"/>
        <rFont val="Calibri"/>
        <family val="2"/>
        <scheme val="minor"/>
      </rPr>
      <t>S&amp;P Global Market Intelligence LLC</t>
    </r>
    <r>
      <rPr>
        <sz val="7"/>
        <color rgb="FF000000"/>
        <rFont val="Calibri"/>
        <family val="2"/>
        <scheme val="minor"/>
      </rPr>
      <t xml:space="preserve">: Copyright (c) {{YEAR}} S&amp;P Global Market Intelligence LLC (and its affiliates as applicable). All rights reserved. Reproduction of any information, opinions, views, data or material, including ratings ("Content") in any form is prohibited except with the prior written permission of the relevant party. Such party, its affiliates and suppliers ("Content Providers") do not guarantee the accuracy, adequacy, completeness, timeliness or availability of any Content and are not responsible for any errors or omissions (negligent or otherwise), regardless of the cause, or for the results obtained from the use of such Content. In no event shall Content Providers be liable for any damages, costs, expenses, legal fees, or losses (including lost income or lost profit and opportunity costs) in connection with any use of the Content. A reference to a particular investment or security, a rating or any observation concerning an investment that is part of the Content is not a recommendation to buy, sell or hold such investment or security, does not address the suitability of an investment or security and should not be relied on as investment advice. Credit ratings are statements of opinions and are not statements of fact; and, (iii) </t>
    </r>
    <r>
      <rPr>
        <b/>
        <sz val="7"/>
        <color rgb="FF000000"/>
        <rFont val="Calibri"/>
        <family val="2"/>
        <scheme val="minor"/>
      </rPr>
      <t>Refinitiv Canada Holdings Limited</t>
    </r>
    <r>
      <rPr>
        <sz val="7"/>
        <color rgb="FF000000"/>
        <rFont val="Calibri"/>
        <family val="2"/>
        <scheme val="minor"/>
      </rPr>
      <t xml:space="preserve">: A portion of the information may be provided by or derived from data provided by Refinitiv.
By accessing or using this Model (including any portion of the data contained herein) you expressly represent that such access or use does not constitute a violation of any applicable law or regulation to which you or the securities are subject.
This Model does not constitute investment advice by the Company or any of its licensors. Reference to a particular investment or security, credit rating or any observation concerning a security or investment in this Model is not a recommendation or solicitation to buy, sell or hold such investment or security or make any other investment decisions. For greater certainty, any forecasts or forward-looking information expressed herein are for illustrative purposes only and do not purport to express any view on what may transpire. Neither the Company nor any of its licensors have performed company-specific research on any projected information, as such, it is your responsibility to express your own views on projected results. This Model does not guarantee future performance and undue reliance should not be placed on such. You are solely responsible for evaluating the merits and risks of any investment based on your own business and financial expertise, the business and financial expertise of professional advisors with whom you have consulted, your financial situation and risk tolerance. Neither the Company, nor any of its licensors, undertake any liability with respect to your reliance on this Model.
This Model is a quantitative tool with no investment views. The Company and its respective directors, officers, employees, agents, contractors, and affiliates may hold long or short positions in the security to which this Model relates, based on their personal views, and may initiate or close out any positions in such security at any time without any notice.
</t>
    </r>
    <r>
      <rPr>
        <b/>
        <sz val="7"/>
        <color rgb="FF000000"/>
        <rFont val="Calibri"/>
        <family val="2"/>
        <scheme val="minor"/>
      </rPr>
      <t>THIS MODEL IS PROVIDED "AS IS" AND ON AN "AS AVAILABLE" BASIS ONLY, WITHOUT WARRANTIES OR CONDITIONS OF ANY KIND. NEITHER THE COMPANY NOR ANY OF ITS LICENSORS NOR THEIR RESPECTIVE AFFILIATES OR SUPPLIERS HAVE LIABILITY FOR THE ACCURACY, TIMELINESS OR COMPLETENESS OF THIS MODEL, OR FOR DELAYS, INTERRUPTIONS OR OMISSIONS HEREIN, NOR FOR ANY LOST PROFITS, INDIRECT, SPECIAL OR CONSEQUENTIAL DAMAGES.</t>
    </r>
    <r>
      <rPr>
        <sz val="7"/>
        <color rgb="FF000000"/>
        <rFont val="Calibri"/>
        <family val="2"/>
        <scheme val="minor"/>
      </rPr>
      <t xml:space="preserve"> Access to data in this Model that is sourced from third party contributors is subject to termination in the event that any agreement between the Company and such third party contributors terminates for any reason.
</t>
    </r>
    <r>
      <rPr>
        <b/>
        <sz val="7"/>
        <color rgb="FF000000"/>
        <rFont val="Calibri"/>
        <family val="2"/>
        <scheme val="minor"/>
      </rPr>
      <t>Copyright 2023 Tegus. All rights reserved.</t>
    </r>
  </si>
  <si>
    <t>Key Outputs</t>
  </si>
  <si>
    <t>RZ</t>
  </si>
  <si>
    <t>Acquisition of Galvanize, Inc., net of cash acquired</t>
  </si>
  <si>
    <t>Operating lease right-of-use assets, net</t>
  </si>
  <si>
    <t>Credit facility</t>
  </si>
  <si>
    <t>MO_RIS_SBC</t>
  </si>
  <si>
    <t xml:space="preserve">Stock-based compensation expense </t>
  </si>
  <si>
    <t>TK</t>
  </si>
  <si>
    <t>ST Debt</t>
  </si>
  <si>
    <t>LT Debt</t>
  </si>
  <si>
    <t>Net Debt Issuance (Repayment)</t>
  </si>
  <si>
    <t>Cash is Positive</t>
  </si>
  <si>
    <t>Debt is Positive</t>
  </si>
  <si>
    <t>Net Share Issuance (Buybacks)</t>
  </si>
  <si>
    <t>Estimated Share Price for Issuance/Buybacks, USD</t>
  </si>
  <si>
    <t>FCF (before WC), Post Div, Debt, Buyback, A/D</t>
  </si>
  <si>
    <t>Interest Expense</t>
  </si>
  <si>
    <t>Effective Interest Rate on Debt</t>
  </si>
  <si>
    <t>Interest Income</t>
  </si>
  <si>
    <t>Effective Interest Rate on Cash</t>
  </si>
  <si>
    <t>Net Interest Expense (Income)</t>
  </si>
  <si>
    <t>Effective Net Interest Rate on Debt</t>
  </si>
  <si>
    <t>EBITDA / Net Interest Expense</t>
  </si>
  <si>
    <t>Total Intangible Assets</t>
  </si>
  <si>
    <t>AZ</t>
  </si>
  <si>
    <t>MO_GA_TotalRevenue</t>
  </si>
  <si>
    <t>Adjusted Operating Income Growth, %</t>
  </si>
  <si>
    <t>z_36KQ9X0131_MO_OS_managedpublicavgenrollmentintheperiod</t>
  </si>
  <si>
    <t>FY2021</t>
  </si>
  <si>
    <t>Canalyst</t>
  </si>
  <si>
    <t>Q1-2021</t>
  </si>
  <si>
    <t>HL</t>
  </si>
  <si>
    <t>Amortization of discount and fees on debt</t>
  </si>
  <si>
    <t>Issuance of convertible senior notes</t>
  </si>
  <si>
    <t>Purchases of capped calls in connection with convertible senior notes</t>
  </si>
  <si>
    <t>Withholding of stock options for tax withholding</t>
  </si>
  <si>
    <t>Long-term debt</t>
  </si>
  <si>
    <t>Amortization of intangible assets</t>
  </si>
  <si>
    <t>Depreciation and other amortization</t>
  </si>
  <si>
    <t>Segmented Results - General Education (PR)</t>
  </si>
  <si>
    <t>Segmented Results - Career Learning (PR)</t>
  </si>
  <si>
    <t>Career Learning - Managed Public School Programs revenue, mm</t>
  </si>
  <si>
    <t>Career Learning - Private Pay Schools and Other revenue, mm</t>
  </si>
  <si>
    <t>Career Learning - Non-managed Public School Programs revenue, mm</t>
  </si>
  <si>
    <t>Private Pay Schools and Other (Galvanize) revenue, mm</t>
  </si>
  <si>
    <t>Less: Career Learning - Managed Public School Programs revenue, mm</t>
  </si>
  <si>
    <t>Less: Career Learning - Non-managed Public School Programs revenue, mm</t>
  </si>
  <si>
    <t>Less: Career Learning - Private Pay Schools and Other revenue, mm</t>
  </si>
  <si>
    <t>Managed Public School Programs enrollment, 000s enrollments</t>
  </si>
  <si>
    <t>Non-Managed Public School Programs enrollment, 000s enrollments</t>
  </si>
  <si>
    <t>Consolidated Summary</t>
  </si>
  <si>
    <t>Career Learning - Middle-High School revenue, mm</t>
  </si>
  <si>
    <t>Career Learning - Adult revenue, mm</t>
  </si>
  <si>
    <t>General Education revenue per enrollment (reported), $/enrollment</t>
  </si>
  <si>
    <t>Career Learning revenue per enrollment (reported), $/enrollment</t>
  </si>
  <si>
    <t>General Education revenue per enrollment growth (reported), %</t>
  </si>
  <si>
    <t>Career Learning revenue per enrollment growth (reported), %</t>
  </si>
  <si>
    <t>General Education revenue per enrollment (calculated), $/enrollment</t>
  </si>
  <si>
    <t>General Education revenue per enrollment growth (calculated), %</t>
  </si>
  <si>
    <t>Career Learning revenue per enrollment (calculated), $/enrollment</t>
  </si>
  <si>
    <t>Career Learning revenue per enrollment growth (calculated), %</t>
  </si>
  <si>
    <t>Private Pay enrollment, 000s enrollments</t>
  </si>
  <si>
    <t>Less: Non-managed Public School Programs, 000s enrollments</t>
  </si>
  <si>
    <t>Total New Reporting enrollment, 000s enrollments</t>
  </si>
  <si>
    <t>Career Learning - Middle-High School revenue growth, %</t>
  </si>
  <si>
    <t>Career Learning - Adult revenue growth, %</t>
  </si>
  <si>
    <t>Operating Stats - Old vs New Enrollment (PR)</t>
  </si>
  <si>
    <t>General Education average enrollment, 000s students</t>
  </si>
  <si>
    <t>Career Learning average enrollment, 000s students</t>
  </si>
  <si>
    <t>General Education average enrollment growth, %</t>
  </si>
  <si>
    <t>Career Learning average enrollment growth, %</t>
  </si>
  <si>
    <t>Q2-2021</t>
  </si>
  <si>
    <t>Add back: Amortization of Intangibles</t>
  </si>
  <si>
    <t>MO_RIS_EBIT_Adj</t>
  </si>
  <si>
    <t>Total Average Enrollment Growth, %</t>
  </si>
  <si>
    <t>Total Average Enrollment, 000s students</t>
  </si>
  <si>
    <t>FY2025</t>
  </si>
  <si>
    <t>Investor Presentation</t>
  </si>
  <si>
    <t>MO_CFSum_FCF_PreDiv</t>
  </si>
  <si>
    <t>MO_MA_EBITDA_Adj</t>
  </si>
  <si>
    <t>Stride, Inc.</t>
  </si>
  <si>
    <t>General Education Revenue Growth, %</t>
  </si>
  <si>
    <t>Career Learning Revenue Growth, %</t>
  </si>
  <si>
    <t>Total Institutional Revenue Growth, %</t>
  </si>
  <si>
    <t>General Education Revenue, mm</t>
  </si>
  <si>
    <t>Career Learning Revenue, mm</t>
  </si>
  <si>
    <t>Total Career Learning Revenue, mm</t>
  </si>
  <si>
    <t>Refinitiv</t>
  </si>
  <si>
    <t>Acquisition of MedCerts, LLC, net of cash acquired</t>
  </si>
  <si>
    <t>Acquisition of Tech Elevator, Inc., net of cash acquired</t>
  </si>
  <si>
    <t>Q3-2021</t>
  </si>
  <si>
    <t>z_36KQ9X0131_MO_OS_CareerLearningrevenue</t>
  </si>
  <si>
    <t>EBIT Margin, %</t>
  </si>
  <si>
    <t>Consensus Estimates - Adjusted EBIT Margin, %</t>
  </si>
  <si>
    <t>Adjusted EBIT</t>
  </si>
  <si>
    <t>Add back: D&amp;A Margin, %</t>
  </si>
  <si>
    <t>Add back: Amortization of Intangibles Margin, %</t>
  </si>
  <si>
    <t>Add back: SBC Margin, %</t>
  </si>
  <si>
    <t>MO_MA_GM</t>
  </si>
  <si>
    <t>D&amp;A Forecasting</t>
  </si>
  <si>
    <t>PP&amp;E EoP, mm</t>
  </si>
  <si>
    <t>PP&amp;E BoP, mm</t>
  </si>
  <si>
    <t>Depreciation of fixed assets, mm</t>
  </si>
  <si>
    <t>Depreciation as percentage of PP&amp;E BoP, %</t>
  </si>
  <si>
    <t>Capex of PP&amp;E, mm</t>
  </si>
  <si>
    <t>Other net additions to PP&amp;E, mm</t>
  </si>
  <si>
    <t>Intangibles EoP, mm</t>
  </si>
  <si>
    <t>Intangibles BoP, mm</t>
  </si>
  <si>
    <t>Amortization of intangibles, mm</t>
  </si>
  <si>
    <t>Amortization as percentage of Intangibles BoP, %</t>
  </si>
  <si>
    <t>Capex of intangibles, mm</t>
  </si>
  <si>
    <t>Other net additions to intangibles, mm</t>
  </si>
  <si>
    <t>Implied life of fixed assets, yr</t>
  </si>
  <si>
    <t>Implied life of intangibles, yr</t>
  </si>
  <si>
    <t>Total D&amp;A, mm</t>
  </si>
  <si>
    <t>Total Capex, mm</t>
  </si>
  <si>
    <t>Percentage of capex allocated to intangible assets, %</t>
  </si>
  <si>
    <t>Segmented Results - Revenue Breakdown (PR) (Historical)</t>
  </si>
  <si>
    <t>Operating Stats - Enrollment Data (PR) (Historical)</t>
  </si>
  <si>
    <t>Key Metrics - Additional Cost Breakdown (FS)</t>
  </si>
  <si>
    <t>D&amp;A relating to SG&amp;A, mm</t>
  </si>
  <si>
    <t>Total D&amp;A of PP&amp;E, mm</t>
  </si>
  <si>
    <t>Amortization of capitalized curriculum development costs, mm</t>
  </si>
  <si>
    <t>Amortization of intangible assets, mm</t>
  </si>
  <si>
    <t>Total Amortization of Total Intangibles, mm</t>
  </si>
  <si>
    <t>Total Depreciation &amp; Amortization, mm</t>
  </si>
  <si>
    <t>Amortization of student software costs, mm</t>
  </si>
  <si>
    <t>Amortization of software, mm</t>
  </si>
  <si>
    <t>Amortization of capitalized software, mm</t>
  </si>
  <si>
    <t>Amortization of capitalized software in instructional costs and services, mm</t>
  </si>
  <si>
    <t>Amortization of capitalized software development in product development expenses, mm</t>
  </si>
  <si>
    <t>Amortization of capitalized software in SG&amp;A, mm</t>
  </si>
  <si>
    <t>D&amp;A in instructional costs &amp; services, mm</t>
  </si>
  <si>
    <t>z_36KQ9X0131_MO_OS_Amortizationofintangibleassets</t>
  </si>
  <si>
    <t>Rounding error, mm</t>
  </si>
  <si>
    <t>Income from Operations</t>
  </si>
  <si>
    <t>Adjusted Operating Income (loss)</t>
  </si>
  <si>
    <t>Net Loss Attributable to Common Stockholders</t>
  </si>
  <si>
    <t>Income Available to Common Stockholders—basic</t>
  </si>
  <si>
    <t>Net Income Attributable to Common Stockholders, including Series A stockholders</t>
  </si>
  <si>
    <t>Total Costs and Expenses</t>
  </si>
  <si>
    <t>Net Income Attributable to Common Stockholders</t>
  </si>
  <si>
    <t>Managed Public School Programs Revenue, mm</t>
  </si>
  <si>
    <t>Private Pay Schools and Other Revenue, mm</t>
  </si>
  <si>
    <t>Institutional (Non-managed and Software &amp; Services) Revenue, mm</t>
  </si>
  <si>
    <t>Total General Education Revenue, mm</t>
  </si>
  <si>
    <t>Total Old Reporting Enrollment, 000s enrollments</t>
  </si>
  <si>
    <t>Net Changes - Old vs New Reporting, 000s enrollments</t>
  </si>
  <si>
    <t>Total Institutional Revenue, mm</t>
  </si>
  <si>
    <t>Noncash operating lease expense</t>
  </si>
  <si>
    <t>Purchases of marketable securities</t>
  </si>
  <si>
    <t>Other expense, net</t>
  </si>
  <si>
    <t>NH</t>
  </si>
  <si>
    <t>Cash paid for interest</t>
  </si>
  <si>
    <t>Cash paid for taxes</t>
  </si>
  <si>
    <t>Key Metrics - Lease Cost and Rent Expense (FS)</t>
  </si>
  <si>
    <t>Amortization of right-of-use assets, mm</t>
  </si>
  <si>
    <t>Interest on lease liabilities, mm</t>
  </si>
  <si>
    <t>Total finance lease cost (calculated), mm</t>
  </si>
  <si>
    <t>Total operating lease cost (calculated), mm</t>
  </si>
  <si>
    <t>Total lease cost, mm</t>
  </si>
  <si>
    <t>Rent expense, mm</t>
  </si>
  <si>
    <t>Operating lease cost - SG&amp;A, mm</t>
  </si>
  <si>
    <t>Short-term lease cost - SG&amp;A, mm</t>
  </si>
  <si>
    <t>Sublease income - SG&amp;A, mm</t>
  </si>
  <si>
    <t>Operating lease cost (calculated), mm</t>
  </si>
  <si>
    <t>Sublease income (calculated), mm</t>
  </si>
  <si>
    <t>Short-term lease cost (calculated), mm</t>
  </si>
  <si>
    <t>Operating lease cost - Instructional costs and services, mm</t>
  </si>
  <si>
    <t>Short-term lease cost - Instructional costs and services, mm</t>
  </si>
  <si>
    <t>Sublease income - Instructional costs and services, mm</t>
  </si>
  <si>
    <t>Q1-2022</t>
  </si>
  <si>
    <t>Deferred revenue and other liabilities</t>
  </si>
  <si>
    <t>Proceeds from the maturity of marketable securities</t>
  </si>
  <si>
    <t>FY2022</t>
  </si>
  <si>
    <t>Q2-2022</t>
  </si>
  <si>
    <t>z_36KQ9X0131_MO_OS_GeneralEducationaverageenrollment</t>
  </si>
  <si>
    <t>General Education States</t>
  </si>
  <si>
    <t>z_36KQ9X0131_MO_OS_GeneralEducationrevenueperenrollmentreported</t>
  </si>
  <si>
    <t>z_36KQ9X0131_MO_OS_GeneralEducationrevenueperenrollmentgrowthreported</t>
  </si>
  <si>
    <t>z_36KQ9X0131_MO_OS_GeneralEducationrevenue</t>
  </si>
  <si>
    <t>z_36KQ9X0131_MO_OS_CareerLearningAdultrevenue</t>
  </si>
  <si>
    <t>z_36KQ9X0131_MO_OS_CareerLearningaverageenrollment</t>
  </si>
  <si>
    <t>Career Prep Programs</t>
  </si>
  <si>
    <t>Career Learning States</t>
  </si>
  <si>
    <t>z_36KQ9X0131_MO_OS_CareerLearningrevenueperenrollmentgrowthreported</t>
  </si>
  <si>
    <t>z_36KQ9X0131_MO_OS_CareerLearningrevenueperenrollmentreported</t>
  </si>
  <si>
    <t>Sale of other investments</t>
  </si>
  <si>
    <t>Payments of deferred purchase consideration</t>
  </si>
  <si>
    <t>Q3-2022</t>
  </si>
  <si>
    <t>General Education Private and Public Programs</t>
  </si>
  <si>
    <t>Share Count Analysis</t>
  </si>
  <si>
    <t>Cover page common stock outstanding, mm shares</t>
  </si>
  <si>
    <t>Date of cover page share count, date</t>
  </si>
  <si>
    <t>Common stock outstanding - EoP, mm shares</t>
  </si>
  <si>
    <t>Last Working Day In Period</t>
  </si>
  <si>
    <t>Stock Price EoP</t>
  </si>
  <si>
    <t>FX EoP</t>
  </si>
  <si>
    <t>LRN_US</t>
  </si>
  <si>
    <t>SF</t>
  </si>
  <si>
    <t>Adjusted EBIT Margin, %</t>
  </si>
  <si>
    <t>Adjusted EBITDA Margin, %</t>
  </si>
  <si>
    <t>Change in Working Capital</t>
  </si>
  <si>
    <t>Operating Cash Flow after WC</t>
  </si>
  <si>
    <t>Cash Flow Per Diluted Share</t>
  </si>
  <si>
    <t>FCF, Pre Div</t>
  </si>
  <si>
    <t>FCF, Post Div, Pre A/D</t>
  </si>
  <si>
    <t>FCF, Post Div, Post A/D</t>
  </si>
  <si>
    <t>FCF, Post Div, Debt, Buyback, A/D</t>
  </si>
  <si>
    <t>Consensus Estimates - Cash Flow Per Diluted Share</t>
  </si>
  <si>
    <t>Q1-2023</t>
  </si>
  <si>
    <t>Acquisition of assets</t>
  </si>
  <si>
    <t>FY2023</t>
  </si>
  <si>
    <t>Q2-2023</t>
  </si>
  <si>
    <t>SSR</t>
  </si>
  <si>
    <t>Income before Income Taxes, Loss from Equity Method Investments and Noncontrolling Interest</t>
  </si>
  <si>
    <t>Income from equity method investments</t>
  </si>
  <si>
    <t>Change in working capital</t>
  </si>
  <si>
    <t>Q3-2023</t>
  </si>
  <si>
    <t>OFF</t>
  </si>
  <si>
    <t>KPI Data</t>
  </si>
  <si>
    <t>MO_RIS_NI_NONGAAP_Diluted</t>
  </si>
  <si>
    <t>MO_RIS_EPS_WAD_Adj</t>
  </si>
  <si>
    <t>MO_RIS_EBITDA_Adj</t>
  </si>
  <si>
    <t>KPI Count</t>
  </si>
  <si>
    <t>Apply Trade Currency Scaling</t>
  </si>
  <si>
    <t>HP</t>
  </si>
  <si>
    <t>Unrestated</t>
  </si>
  <si>
    <t>Q/Q basic share expansion from dilutive securities, %</t>
  </si>
  <si>
    <t>Y/Y basic share expansion from dilutive securities, %</t>
  </si>
  <si>
    <t>Q/Q basic share expansion from share issuance (buyback), %</t>
  </si>
  <si>
    <t>Y/Y basic share expansion from share issuance (buyback), %</t>
  </si>
  <si>
    <t>Q/Q basic share expansion - EoP, %</t>
  </si>
  <si>
    <t>Y/Y basic share expansion - EoP, %</t>
  </si>
  <si>
    <t>Dilutive shares, mm shares</t>
  </si>
  <si>
    <t>Diluted share count to basic share count ratio, x</t>
  </si>
  <si>
    <t>Total diluted common stock outstanding - EoP, mm shares</t>
  </si>
  <si>
    <t>EoP</t>
  </si>
  <si>
    <t>Q1-2024</t>
  </si>
  <si>
    <t>Q2-2024</t>
  </si>
  <si>
    <t>FY2024</t>
  </si>
  <si>
    <t>LRN</t>
  </si>
  <si>
    <t>Historical Financials</t>
  </si>
  <si>
    <t>(USD in mm)</t>
  </si>
  <si>
    <t>Revenue</t>
  </si>
  <si>
    <t>General Education</t>
  </si>
  <si>
    <t>Career Learning</t>
  </si>
  <si>
    <t>Growth %</t>
  </si>
  <si>
    <t>SBC</t>
  </si>
  <si>
    <t>CRC EBITDA</t>
  </si>
  <si>
    <t>Margin %</t>
  </si>
  <si>
    <t>Incremental %</t>
  </si>
  <si>
    <t>Total Revenue</t>
  </si>
  <si>
    <t>1Q19</t>
  </si>
  <si>
    <t>2Q19</t>
  </si>
  <si>
    <t>3Q19</t>
  </si>
  <si>
    <t>4Q19</t>
  </si>
  <si>
    <t>1Q20</t>
  </si>
  <si>
    <t>2Q20</t>
  </si>
  <si>
    <t>3Q20</t>
  </si>
  <si>
    <t>4Q20</t>
  </si>
  <si>
    <t>1Q21</t>
  </si>
  <si>
    <t>2Q21</t>
  </si>
  <si>
    <t>3Q21</t>
  </si>
  <si>
    <t>4Q21</t>
  </si>
  <si>
    <t>1Q22</t>
  </si>
  <si>
    <t>2Q22</t>
  </si>
  <si>
    <t>3Q22</t>
  </si>
  <si>
    <t>4Q22</t>
  </si>
  <si>
    <t>1Q23</t>
  </si>
  <si>
    <t>2Q23</t>
  </si>
  <si>
    <t>3Q23</t>
  </si>
  <si>
    <t>4Q23</t>
  </si>
  <si>
    <t>1Q24</t>
  </si>
  <si>
    <t>FY19</t>
  </si>
  <si>
    <t>FY20</t>
  </si>
  <si>
    <t>FY21</t>
  </si>
  <si>
    <t>FY22</t>
  </si>
  <si>
    <t>FY23</t>
  </si>
  <si>
    <t>FY25e</t>
  </si>
  <si>
    <t>Total Capex</t>
  </si>
  <si>
    <t>CRC EBITDA - Capex</t>
  </si>
  <si>
    <t>D&amp;A</t>
  </si>
  <si>
    <t>CRC EBIT</t>
  </si>
  <si>
    <t>Interest and Other</t>
  </si>
  <si>
    <t>PBT</t>
  </si>
  <si>
    <t>FDSO</t>
  </si>
  <si>
    <t>EPS</t>
  </si>
  <si>
    <t>Financial Summary</t>
  </si>
  <si>
    <t>Recurring FCF</t>
  </si>
  <si>
    <t>Less: Capex</t>
  </si>
  <si>
    <t>Less: Interest</t>
  </si>
  <si>
    <t>Less: Taxes</t>
  </si>
  <si>
    <t>WC / Other</t>
  </si>
  <si>
    <t>Realized FCF</t>
  </si>
  <si>
    <t>x LTM CRC EBITDA</t>
  </si>
  <si>
    <t>Other CF Items</t>
  </si>
  <si>
    <t>Share Issuance</t>
  </si>
  <si>
    <t>Share Buybacks</t>
  </si>
  <si>
    <t>Dividends</t>
  </si>
  <si>
    <t xml:space="preserve">Acquisitions </t>
  </si>
  <si>
    <t>Capitalization</t>
  </si>
  <si>
    <t>Amount</t>
  </si>
  <si>
    <t>$ / Share</t>
  </si>
  <si>
    <t>Equity</t>
  </si>
  <si>
    <t>TEV</t>
  </si>
  <si>
    <t>Simple Model</t>
  </si>
  <si>
    <t>FY20a</t>
  </si>
  <si>
    <t>FY21a</t>
  </si>
  <si>
    <t>FY22a</t>
  </si>
  <si>
    <t>FY26e</t>
  </si>
  <si>
    <t>FY27e</t>
  </si>
  <si>
    <t>FY28e</t>
  </si>
  <si>
    <t>FY29e</t>
  </si>
  <si>
    <t>FY30e</t>
  </si>
  <si>
    <t>FY31e</t>
  </si>
  <si>
    <t>FY32e</t>
  </si>
  <si>
    <t>FY33e</t>
  </si>
  <si>
    <t>FY34e</t>
  </si>
  <si>
    <t>Financials</t>
  </si>
  <si>
    <t>% Growth</t>
  </si>
  <si>
    <t/>
  </si>
  <si>
    <t>Adj. EBITDA</t>
  </si>
  <si>
    <t>% Margin</t>
  </si>
  <si>
    <t xml:space="preserve">% Incremental </t>
  </si>
  <si>
    <t>% of Sales</t>
  </si>
  <si>
    <t>% Rate (on Net Debt)</t>
  </si>
  <si>
    <t>Taxes</t>
  </si>
  <si>
    <t>% Rate</t>
  </si>
  <si>
    <t>x CRC EBITDA</t>
  </si>
  <si>
    <t>FCF to Equity</t>
  </si>
  <si>
    <t>% of Mkt. Cap</t>
  </si>
  <si>
    <t>Cum. FCF to Equity</t>
  </si>
  <si>
    <t>Market Cap / LTM FCF</t>
  </si>
  <si>
    <t>TEV / Revenue</t>
  </si>
  <si>
    <t>TEV / EBITDA</t>
  </si>
  <si>
    <t>TEV / EBITDA - Capex</t>
  </si>
  <si>
    <t>P/E (cons)</t>
  </si>
  <si>
    <t>P/E</t>
  </si>
  <si>
    <t>Returns</t>
  </si>
  <si>
    <t>Ten-Year Exit</t>
  </si>
  <si>
    <t>Forward FCF Multiple</t>
  </si>
  <si>
    <t>Equity Value</t>
  </si>
  <si>
    <t>Cash Flows</t>
  </si>
  <si>
    <t>IRR</t>
  </si>
  <si>
    <t>FY35e</t>
  </si>
  <si>
    <t>FY23a</t>
  </si>
  <si>
    <t>2QFY-2024</t>
  </si>
  <si>
    <t>1QFY-2024</t>
  </si>
  <si>
    <t>3QFY-2024</t>
  </si>
  <si>
    <t>4QFY-2024</t>
  </si>
  <si>
    <t>Taxes @ 26%</t>
  </si>
  <si>
    <t>Adj. Operating Income</t>
  </si>
  <si>
    <t>Amortization of intangible assets (backed out of AOI)</t>
  </si>
  <si>
    <t>Total D&amp;A</t>
  </si>
  <si>
    <t>FY28 Target = 415-585M</t>
  </si>
  <si>
    <t>Adj. D&amp;A</t>
  </si>
  <si>
    <t>FYE June 30th</t>
  </si>
  <si>
    <t>FY28 low end</t>
  </si>
  <si>
    <t>5 yr CAGR</t>
  </si>
  <si>
    <t xml:space="preserve">Debt </t>
  </si>
  <si>
    <t xml:space="preserve">Net Debt </t>
  </si>
  <si>
    <t>Income Statement</t>
  </si>
  <si>
    <t>Total Enrollment</t>
  </si>
  <si>
    <t>FY18</t>
  </si>
  <si>
    <t>FY17</t>
  </si>
  <si>
    <t>FY16</t>
  </si>
  <si>
    <t>FY15</t>
  </si>
  <si>
    <t>FY14</t>
  </si>
  <si>
    <t>FY13</t>
  </si>
  <si>
    <t>FY12</t>
  </si>
  <si>
    <t>FY11</t>
  </si>
  <si>
    <t>Middle-High School</t>
  </si>
  <si>
    <t>Adult</t>
  </si>
  <si>
    <t>Total Career Learning</t>
  </si>
  <si>
    <t>Instructional Costs and Services</t>
  </si>
  <si>
    <t>Gross Margin</t>
  </si>
  <si>
    <t>Selling, General, and Administrative Expenses</t>
  </si>
  <si>
    <t>Interest Expense, net</t>
  </si>
  <si>
    <t>Other Income (Expense), net</t>
  </si>
  <si>
    <t>Income before Income Taxes and Income (Loss) from Equity Method Investments</t>
  </si>
  <si>
    <t>Product Development Expenses</t>
  </si>
  <si>
    <t>Realized Gain on Sale of Assets</t>
  </si>
  <si>
    <t>Impairment of Investment in Web International Education</t>
  </si>
  <si>
    <t>Income Taxes Expense</t>
  </si>
  <si>
    <t>Income (Loss) from Equity Method Investments</t>
  </si>
  <si>
    <t>Assets</t>
  </si>
  <si>
    <t>Cash and Cash Equivalents</t>
  </si>
  <si>
    <t>Accounts Receivable, net of allowance</t>
  </si>
  <si>
    <t>Prepaid Expenses</t>
  </si>
  <si>
    <t>Other Current Assets</t>
  </si>
  <si>
    <t>Operating Lease Right-of-Use Assets, net</t>
  </si>
  <si>
    <t>Property and Equipment, net</t>
  </si>
  <si>
    <t>Capitalized Software, net</t>
  </si>
  <si>
    <t>Capitalized Curriculum Development Costs, net</t>
  </si>
  <si>
    <t>Intangible Assets, net</t>
  </si>
  <si>
    <t>Deferred Tax Assets</t>
  </si>
  <si>
    <t>Deposits and Other Assets</t>
  </si>
  <si>
    <t>Defered Tax Assets</t>
  </si>
  <si>
    <t>Restricted Cash</t>
  </si>
  <si>
    <t>Investment in Subsidiary</t>
  </si>
  <si>
    <t>Liabilities</t>
  </si>
  <si>
    <t>Accounts Payable</t>
  </si>
  <si>
    <t>Accrued Liabilities</t>
  </si>
  <si>
    <t>Accrued Compensation and Benefits</t>
  </si>
  <si>
    <t>Deferred Revenue</t>
  </si>
  <si>
    <t>Current Portion of Finance Lease Liabilities</t>
  </si>
  <si>
    <t>Current Portion of Operating Lease Liabilities</t>
  </si>
  <si>
    <t>Long-Term Finance Lease Liability</t>
  </si>
  <si>
    <t>Long-Term Operating Lease Liability</t>
  </si>
  <si>
    <t>Long-Term Debt</t>
  </si>
  <si>
    <t>Deferred Tax Liability</t>
  </si>
  <si>
    <t>Other Long-Term Liabilities</t>
  </si>
  <si>
    <t>Shareholders Equity</t>
  </si>
  <si>
    <t>Peferred Stock</t>
  </si>
  <si>
    <t>Additional Paid-In Capital</t>
  </si>
  <si>
    <t>Accumulated Other Comprehensive Income (Loss)</t>
  </si>
  <si>
    <t>Retained Earnings</t>
  </si>
  <si>
    <t xml:space="preserve">Treasury Stock </t>
  </si>
  <si>
    <t xml:space="preserve">Total Stockholders' Equity </t>
  </si>
  <si>
    <t>Total Liabilities and Stockholders' Equity</t>
  </si>
  <si>
    <t>Current Portion of Notes Payable</t>
  </si>
  <si>
    <t>Credit Facility</t>
  </si>
  <si>
    <t>Deferred Rent</t>
  </si>
  <si>
    <t>Notes Payable</t>
  </si>
  <si>
    <t>Redeemable Non-Controlling Interest</t>
  </si>
  <si>
    <t>Series A Special Stock</t>
  </si>
  <si>
    <t>FY10</t>
  </si>
  <si>
    <t>FY09</t>
  </si>
  <si>
    <t>Cash Flow From Operating Activities</t>
  </si>
  <si>
    <t>Adjustments to Reconcile Net Income to Net Cash Provided by Operating Activities:</t>
  </si>
  <si>
    <t>Depreciation and Amortization Expense</t>
  </si>
  <si>
    <t>Stock-Based Compensation Expense</t>
  </si>
  <si>
    <t>Deferred Income Tax</t>
  </si>
  <si>
    <t>Provision for Credit Losses</t>
  </si>
  <si>
    <t>Amortization of Discount and Fees on Debt</t>
  </si>
  <si>
    <t>Changes in Assets and Liabilities:</t>
  </si>
  <si>
    <t>Accounts Receivables</t>
  </si>
  <si>
    <t>Inventories, Prepaid Expenses, Deposits, and Other Current and Long Term Assets</t>
  </si>
  <si>
    <t>Accrued Liabilites</t>
  </si>
  <si>
    <t>Deferred Revenue and Other Liabilities</t>
  </si>
  <si>
    <t>Net Cash Provided by Operating Activities</t>
  </si>
  <si>
    <t>Excess Tax Benefit from SBC</t>
  </si>
  <si>
    <t>Cash Flow From Investing Activities</t>
  </si>
  <si>
    <t>Purchase of Property and Equipment</t>
  </si>
  <si>
    <t>Capitalized Software Develoment Costs</t>
  </si>
  <si>
    <t>Capitalized Curriculum Development Costs</t>
  </si>
  <si>
    <t>Sale of Long-Lived Assets</t>
  </si>
  <si>
    <t>Sale of Other Investments</t>
  </si>
  <si>
    <t>Acquisition of MedCerts</t>
  </si>
  <si>
    <t xml:space="preserve">Acquisition of Tech Elevator </t>
  </si>
  <si>
    <t>Acquisition of Assets</t>
  </si>
  <si>
    <t>Proceeds of Marketable Securities</t>
  </si>
  <si>
    <t>Purchases of Marketable Securities</t>
  </si>
  <si>
    <t>Net Cash Used in Investing Activities</t>
  </si>
  <si>
    <t>Purchase of Non-Controlling Interest</t>
  </si>
  <si>
    <t>Other Acquisitions, Loans, and Investments, net of Distributions</t>
  </si>
  <si>
    <t>Cash Flow From Financing Activities</t>
  </si>
  <si>
    <t>Net Cash Used in Financing Activities</t>
  </si>
  <si>
    <t>Net Change in Cash and Cash Equivalents and Restricted Cash</t>
  </si>
  <si>
    <t>Cash and Cash Equivalents and Restricted Cash, BoP</t>
  </si>
  <si>
    <t>Cash and Cash Equivalents and Restricted Cash, EoP</t>
  </si>
  <si>
    <t xml:space="preserve">Net Income </t>
  </si>
  <si>
    <t>Total Career Learning Revenue</t>
  </si>
  <si>
    <t>General Education - Managed Public School Programs Revenue, mm</t>
  </si>
  <si>
    <t>General Education - Private Pay Schools and Other Revenue, mm</t>
  </si>
  <si>
    <t>General Education - Institutional (Non-managed and Software &amp; Services) Revenue, mm</t>
  </si>
  <si>
    <t>Total General Education</t>
  </si>
  <si>
    <t>Revenue per Enrollment</t>
  </si>
  <si>
    <t xml:space="preserve">Shares </t>
  </si>
  <si>
    <t>Enrollment Revenue</t>
  </si>
  <si>
    <t>Non-Enrollment Revenue</t>
  </si>
  <si>
    <t>General Education Total Revenue</t>
  </si>
  <si>
    <t>Career Learning Total Revenue</t>
  </si>
  <si>
    <t>Organic %</t>
  </si>
  <si>
    <t>Middle-High School Enrollment Revenue</t>
  </si>
  <si>
    <t>Adult Learning</t>
  </si>
  <si>
    <t>Galvanize</t>
  </si>
  <si>
    <t>Tech Elevatoro + MedCerts</t>
  </si>
  <si>
    <t>Total M&amp;A Contribution</t>
  </si>
  <si>
    <t>NA</t>
  </si>
  <si>
    <t>Sequential %</t>
  </si>
  <si>
    <t>Sequential $</t>
  </si>
  <si>
    <t>Net Adds</t>
  </si>
  <si>
    <t>Ex-Agora</t>
  </si>
  <si>
    <t>FY18a</t>
  </si>
  <si>
    <t>FY19a</t>
  </si>
  <si>
    <t>CY18</t>
  </si>
  <si>
    <t>CY19</t>
  </si>
  <si>
    <t>CY20</t>
  </si>
  <si>
    <t>CY21</t>
  </si>
  <si>
    <t>CY22</t>
  </si>
  <si>
    <t>CY23</t>
  </si>
  <si>
    <t>CY24</t>
  </si>
  <si>
    <t>CY25</t>
  </si>
  <si>
    <t>CY26</t>
  </si>
  <si>
    <t>CY27</t>
  </si>
  <si>
    <t>2Q24</t>
  </si>
  <si>
    <t>4% Growth with No Margin Expansion</t>
  </si>
  <si>
    <t>FY28 Target = 2.7-3.3B</t>
  </si>
  <si>
    <t>Current Marketable Securities (corporate bonds, Tbills, commercial paper)</t>
  </si>
  <si>
    <t>Textbooks, curriculum materials and other supplies which are expected to be returned upon the completion of the school year</t>
  </si>
  <si>
    <t>Note:</t>
  </si>
  <si>
    <t>M&amp;A and Other</t>
  </si>
  <si>
    <t>Agora contract</t>
  </si>
  <si>
    <t>Combined GE + M-HS Career Learning</t>
  </si>
  <si>
    <t>3Q24</t>
  </si>
  <si>
    <t>Enrollment (#K)</t>
  </si>
  <si>
    <t>Enrollments (#K)</t>
  </si>
  <si>
    <t>Middle-High School Enrollments (#K)</t>
  </si>
  <si>
    <t>In-Year Withdrawal Rate</t>
  </si>
  <si>
    <t>Withdrawn Students</t>
  </si>
  <si>
    <t>Total Enrollments (#K) - Eo</t>
  </si>
  <si>
    <t>Total Enrollments (#K) - BoP</t>
  </si>
  <si>
    <t>Less: Withdrawn Students</t>
  </si>
  <si>
    <t>Add: In-Year Enrolled Students</t>
  </si>
  <si>
    <t>In-Year Enroll Rate</t>
  </si>
  <si>
    <t>Average Student Tenure of 1.5 Years</t>
  </si>
  <si>
    <t>Linear</t>
  </si>
  <si>
    <t>25% In-Year Withdrawal Rate</t>
  </si>
  <si>
    <t>Churn Categories</t>
  </si>
  <si>
    <t>In-Year</t>
  </si>
  <si>
    <t>1Q000</t>
  </si>
  <si>
    <t>2Q000</t>
  </si>
  <si>
    <t>3Q000</t>
  </si>
  <si>
    <t>4Q000</t>
  </si>
  <si>
    <t>1Q001</t>
  </si>
  <si>
    <t>2Q001</t>
  </si>
  <si>
    <t>3Q001</t>
  </si>
  <si>
    <t>4Q001</t>
  </si>
  <si>
    <t>End-of-Year to Start-of-Year</t>
  </si>
  <si>
    <t>TEV/E</t>
  </si>
  <si>
    <t>P/rFCF</t>
  </si>
  <si>
    <t>TEV/rFCF</t>
  </si>
  <si>
    <t>FY28 mid</t>
  </si>
  <si>
    <t>4Q24</t>
  </si>
  <si>
    <t>FY24</t>
  </si>
  <si>
    <t>FY36e</t>
  </si>
  <si>
    <t>FY24a</t>
  </si>
  <si>
    <t>2Q25E</t>
  </si>
  <si>
    <t>3Q25E</t>
  </si>
  <si>
    <t>4Q25E</t>
  </si>
  <si>
    <t>Net Working Capital</t>
  </si>
  <si>
    <t>AR</t>
  </si>
  <si>
    <t>Inventory</t>
  </si>
  <si>
    <t>AP</t>
  </si>
  <si>
    <t>Accrued Expenses</t>
  </si>
  <si>
    <t>% of Revenue (LTM)</t>
  </si>
  <si>
    <t>Long-Term Assets</t>
  </si>
  <si>
    <t>Property, Plant and Equipment</t>
  </si>
  <si>
    <t>Right-of-use, Intangible and Other Non-current Assets</t>
  </si>
  <si>
    <t>Total LT Assets</t>
  </si>
  <si>
    <t>ROU, Int, &amp; Other as % of Revenue (Ann.)</t>
  </si>
  <si>
    <t>Invested Capital</t>
  </si>
  <si>
    <t>EBIT (LTM for quarters)</t>
  </si>
  <si>
    <t>/ Average Invested Capital</t>
  </si>
  <si>
    <t>Incremental ROIC</t>
  </si>
  <si>
    <t>1QFY-2025</t>
  </si>
  <si>
    <t>2QFY-2025</t>
  </si>
  <si>
    <t>3QFY-2025</t>
  </si>
  <si>
    <t>4QFY-2025</t>
  </si>
  <si>
    <t>FY25E</t>
  </si>
  <si>
    <t>Mid-Point of FY28E Rev Target with 8% Growth ongoing; Ramp to 20% Exit Margin</t>
  </si>
  <si>
    <t>Net School Operating Loss Reducution to Revenue</t>
  </si>
  <si>
    <t xml:space="preserve"> For the years ended June 30, 2024, 2023 and 2022, the Company’s revenues included a reduction for net school operating losses at the schools of $ 17.0 million, $ 23.8  million, and $ 36.3  million, respectively. Because the Company has agreed to absorb any operating losses of the schools, the Company records the expenses incurred by the school as both revenue and expenses in the consolidated statements of operations. Amounts recorded as revenues and expenses for the years ended June 30, 2024, 2023 and 2022, were $ 576.4 million, $ 503.2  million and $ 460.5  million, respectively.</t>
  </si>
  <si>
    <t>Net School Operating Loss Expenses and Revenues</t>
  </si>
  <si>
    <t>Per GE Enrollment</t>
  </si>
  <si>
    <t>Per Total Enrollment</t>
  </si>
  <si>
    <t>Change in Enrollment Methodology (next Q1 and GE only)</t>
  </si>
  <si>
    <t>Fall enrollments for Q1 (given Q4 prior FY)</t>
  </si>
  <si>
    <t>CRC</t>
  </si>
  <si>
    <t>FP</t>
  </si>
  <si>
    <t>Net School Operating Loss Reduction to Revenue - $ Per Enrollment</t>
  </si>
  <si>
    <t xml:space="preserve">Q1 enrollment for GE only &lt;&lt; </t>
  </si>
  <si>
    <t xml:space="preserve">  &gt;&gt; Avg. annual total enrollment</t>
  </si>
  <si>
    <t>ESSER to LRN schools</t>
  </si>
  <si>
    <t>ESSER to LRN schools (per FP)</t>
  </si>
  <si>
    <t>Fuzzy Panda History</t>
  </si>
  <si>
    <t xml:space="preserve">Company </t>
  </si>
  <si>
    <t>Ticker</t>
  </si>
  <si>
    <t>R-15 days</t>
  </si>
  <si>
    <t xml:space="preserve">Report </t>
  </si>
  <si>
    <t>R+3 days</t>
  </si>
  <si>
    <t>R+14 days</t>
  </si>
  <si>
    <t>R+90 days</t>
  </si>
  <si>
    <t>R+365 days</t>
  </si>
  <si>
    <t>Calc - Date</t>
  </si>
  <si>
    <t>Calc - Stock</t>
  </si>
  <si>
    <t>22nd Century Group</t>
  </si>
  <si>
    <t>XXII</t>
  </si>
  <si>
    <t>AirSculpt</t>
  </si>
  <si>
    <t>AIRS</t>
  </si>
  <si>
    <t>BioDelivery Sciences</t>
  </si>
  <si>
    <t>BDSI</t>
  </si>
  <si>
    <t>DocGo</t>
  </si>
  <si>
    <t>DCGO</t>
  </si>
  <si>
    <t>Electric Last Mile Solutions</t>
  </si>
  <si>
    <t>ELMS</t>
  </si>
  <si>
    <t>EVGO</t>
  </si>
  <si>
    <t>Fisker</t>
  </si>
  <si>
    <t>FSR</t>
  </si>
  <si>
    <t>Foresight Autonomous</t>
  </si>
  <si>
    <t>FRSX</t>
  </si>
  <si>
    <t>Globe Life</t>
  </si>
  <si>
    <t>GL</t>
  </si>
  <si>
    <t>Lucid</t>
  </si>
  <si>
    <t>LCID</t>
  </si>
  <si>
    <t>Napco Security</t>
  </si>
  <si>
    <t>NSSC</t>
  </si>
  <si>
    <t>ShotSpotter</t>
  </si>
  <si>
    <t>SSTI</t>
  </si>
  <si>
    <t>Stride</t>
  </si>
  <si>
    <t>Terra Tech</t>
  </si>
  <si>
    <t>TRTC</t>
  </si>
  <si>
    <t>Workhorse Group</t>
  </si>
  <si>
    <t>WKHS</t>
  </si>
  <si>
    <t>Xponential Fitness</t>
  </si>
  <si>
    <t>XPOF</t>
  </si>
  <si>
    <t>R-15 days Mkt Cap ($M)</t>
  </si>
  <si>
    <t>Share Price % vs. R-0 days</t>
  </si>
  <si>
    <t>R-0 days</t>
  </si>
  <si>
    <t>FSRN.Q</t>
  </si>
  <si>
    <t>Industry</t>
  </si>
  <si>
    <t>Med Device</t>
  </si>
  <si>
    <t>Cigarette Patents</t>
  </si>
  <si>
    <t>Public Safety</t>
  </si>
  <si>
    <t>Cannabis</t>
  </si>
  <si>
    <t>EV Trucks</t>
  </si>
  <si>
    <t>Autonomous Driving</t>
  </si>
  <si>
    <t>EVs</t>
  </si>
  <si>
    <t>EV Charging</t>
  </si>
  <si>
    <t>Gyms</t>
  </si>
  <si>
    <t>Mobile HC</t>
  </si>
  <si>
    <t>Rx Mfg</t>
  </si>
  <si>
    <t>Insurance</t>
  </si>
  <si>
    <t>Security HW</t>
  </si>
  <si>
    <t>Education</t>
  </si>
  <si>
    <t>ELMS.Q</t>
  </si>
  <si>
    <t>BLMH</t>
  </si>
  <si>
    <t>Guidance History</t>
  </si>
  <si>
    <t>Metric</t>
  </si>
  <si>
    <t>Date Given</t>
  </si>
  <si>
    <t>FQ Given</t>
  </si>
  <si>
    <t>Guided Period</t>
  </si>
  <si>
    <t>Actual</t>
  </si>
  <si>
    <t>FY2028</t>
  </si>
  <si>
    <t>MO_RIS_EPS_WAD</t>
  </si>
  <si>
    <t>3FQ24</t>
  </si>
  <si>
    <t>2FQ24</t>
  </si>
  <si>
    <t>Q3-2024</t>
  </si>
  <si>
    <t>1FQ24</t>
  </si>
  <si>
    <t>4FQ23</t>
  </si>
  <si>
    <t>3FQ23</t>
  </si>
  <si>
    <t>2FQ23</t>
  </si>
  <si>
    <t>1FQ23</t>
  </si>
  <si>
    <t>3FQ22</t>
  </si>
  <si>
    <t>2FQ22</t>
  </si>
  <si>
    <t>1FQ22</t>
  </si>
  <si>
    <t>3FQ21</t>
  </si>
  <si>
    <t>2FQ21</t>
  </si>
  <si>
    <t>JAMES RHYU BECOMES CEO</t>
  </si>
  <si>
    <t>1FQ21</t>
  </si>
  <si>
    <t>3FQ20</t>
  </si>
  <si>
    <t>2FQ20</t>
  </si>
  <si>
    <t>1FQ20</t>
  </si>
  <si>
    <t>3FQ19</t>
  </si>
  <si>
    <t>2FQ19</t>
  </si>
  <si>
    <t>1FQ19</t>
  </si>
  <si>
    <t>Schools and Programs</t>
  </si>
  <si>
    <t>GE - School-as-a-Service Programs</t>
  </si>
  <si>
    <t>GE - School-as-a-Service States</t>
  </si>
  <si>
    <t>CL - School-as-a-Service Programs</t>
  </si>
  <si>
    <t>CL - School-as-a-Service States</t>
  </si>
  <si>
    <t>Managed Public School Programs</t>
  </si>
  <si>
    <t>Managed Public School States</t>
  </si>
  <si>
    <t>Forward</t>
  </si>
  <si>
    <t>Estimate</t>
  </si>
  <si>
    <t>Historical</t>
  </si>
  <si>
    <t>N/A</t>
  </si>
  <si>
    <t>Q4 Commentary Analysis</t>
  </si>
  <si>
    <t>Earnings Call</t>
  </si>
  <si>
    <t>Commentary</t>
  </si>
  <si>
    <t>Outcome</t>
  </si>
  <si>
    <t>Speaker</t>
  </si>
  <si>
    <t>CEO</t>
  </si>
  <si>
    <t>Enrolment</t>
  </si>
  <si>
    <t>TBD</t>
  </si>
  <si>
    <t>Rev / Enrolment</t>
  </si>
  <si>
    <r>
      <t xml:space="preserve">"For next year, we still see a largely positive environment from a funding perspective at the state level,
though not as strong as we've seen in the past couple of years. States also are grappling with the loss of
federal ESSER funding in the coming school year, which will create a headwind in revenue per enrollment
growth. Given these competing dynamics, as of right now and it's still early in the year, </t>
    </r>
    <r>
      <rPr>
        <b/>
        <u/>
        <sz val="10"/>
        <rFont val="Arial"/>
        <family val="2"/>
      </rPr>
      <t>we expect full year
FY 2025 revenue per enrollment growth to be flattish to FY 2024</t>
    </r>
    <r>
      <rPr>
        <sz val="10"/>
        <rFont val="Arial"/>
        <family val="2"/>
      </rPr>
      <t>"</t>
    </r>
  </si>
  <si>
    <r>
      <t xml:space="preserve">"Early indicators look positive. Demand, as I have said before we define as application volumes, continue to be strong and
are pacing ahead of last year, consistent with the pacing we have seen for much of the prior year.
So I feel </t>
    </r>
    <r>
      <rPr>
        <b/>
        <u/>
        <sz val="10"/>
        <rFont val="Arial"/>
        <family val="2"/>
      </rPr>
      <t>confident that we will grow our enrollments for this fall</t>
    </r>
    <r>
      <rPr>
        <sz val="10"/>
        <rFont val="Arial"/>
        <family val="2"/>
      </rPr>
      <t>, and we remain on track for our longterm goals"</t>
    </r>
  </si>
  <si>
    <t>GM %</t>
  </si>
  <si>
    <r>
      <t>"</t>
    </r>
    <r>
      <rPr>
        <b/>
        <u/>
        <sz val="10"/>
        <rFont val="Arial"/>
        <family val="2"/>
      </rPr>
      <t>SG&amp;A expense as a percent of revenue should decrease marginally</t>
    </r>
    <r>
      <rPr>
        <sz val="10"/>
        <rFont val="Arial"/>
        <family val="2"/>
      </rPr>
      <t>"</t>
    </r>
  </si>
  <si>
    <t>SGA %</t>
  </si>
  <si>
    <t>Capex %</t>
  </si>
  <si>
    <t>"While the current trends lead us to believe we will increase overall enrollments from last year, there's still a lot of work to be done"</t>
  </si>
  <si>
    <t>SGA and Capex</t>
  </si>
  <si>
    <r>
      <t xml:space="preserve">"SG&amp;A expenses and CapEx </t>
    </r>
    <r>
      <rPr>
        <b/>
        <u/>
        <sz val="10"/>
        <rFont val="Arial"/>
        <family val="2"/>
      </rPr>
      <t xml:space="preserve">spend will increase slightly </t>
    </r>
    <r>
      <rPr>
        <sz val="10"/>
        <rFont val="Arial"/>
        <family val="2"/>
      </rPr>
      <t>as we continue to invest in growth drivers"</t>
    </r>
  </si>
  <si>
    <r>
      <t>"</t>
    </r>
    <r>
      <rPr>
        <b/>
        <u/>
        <sz val="10"/>
        <rFont val="Arial"/>
        <family val="2"/>
      </rPr>
      <t>Our interest expense, tax rate and stock-based compensation should be similar to fiscal year '23</t>
    </r>
    <r>
      <rPr>
        <sz val="10"/>
        <rFont val="Arial"/>
        <family val="2"/>
      </rPr>
      <t>"</t>
    </r>
  </si>
  <si>
    <t xml:space="preserve">CFO </t>
  </si>
  <si>
    <t>Growth</t>
  </si>
  <si>
    <t>Margins</t>
  </si>
  <si>
    <r>
      <t xml:space="preserve">"We expect to see continued </t>
    </r>
    <r>
      <rPr>
        <b/>
        <u/>
        <sz val="10"/>
        <rFont val="Arial"/>
        <family val="2"/>
      </rPr>
      <t xml:space="preserve">gross margin improvement </t>
    </r>
    <r>
      <rPr>
        <sz val="10"/>
        <rFont val="Arial"/>
        <family val="2"/>
      </rPr>
      <t>at a slightly lower rate of improvement than we've seen this year."</t>
    </r>
  </si>
  <si>
    <r>
      <t>"</t>
    </r>
    <r>
      <rPr>
        <b/>
        <u/>
        <sz val="10"/>
        <rFont val="Arial"/>
        <family val="2"/>
      </rPr>
      <t>CapEx as a percent of revenue will be flattish</t>
    </r>
    <r>
      <rPr>
        <sz val="10"/>
        <rFont val="Arial"/>
        <family val="2"/>
      </rPr>
      <t>"</t>
    </r>
  </si>
  <si>
    <r>
      <t>"</t>
    </r>
    <r>
      <rPr>
        <b/>
        <u/>
        <sz val="10"/>
        <rFont val="Arial"/>
        <family val="2"/>
      </rPr>
      <t>Interest expense, tax rate, and stock-based compensation should be in line with FY '24</t>
    </r>
    <r>
      <rPr>
        <sz val="10"/>
        <rFont val="Arial"/>
        <family val="2"/>
      </rPr>
      <t>"</t>
    </r>
  </si>
  <si>
    <r>
      <t xml:space="preserve">"We are well positioned to </t>
    </r>
    <r>
      <rPr>
        <b/>
        <u/>
        <sz val="10"/>
        <rFont val="Arial"/>
        <family val="2"/>
      </rPr>
      <t xml:space="preserve">return to enrollment growth </t>
    </r>
    <r>
      <rPr>
        <sz val="10"/>
        <rFont val="Arial"/>
        <family val="2"/>
      </rPr>
      <t>for the first time since the pandemic"</t>
    </r>
  </si>
  <si>
    <r>
      <t>"</t>
    </r>
    <r>
      <rPr>
        <b/>
        <u/>
        <sz val="10"/>
        <rFont val="Arial"/>
        <family val="2"/>
      </rPr>
      <t xml:space="preserve">Revenue per enrollment </t>
    </r>
    <r>
      <rPr>
        <sz val="10"/>
        <rFont val="Arial"/>
        <family val="2"/>
      </rPr>
      <t xml:space="preserve">will continue to be favorable, though not at the rate we saw last year. We think it will be more </t>
    </r>
    <r>
      <rPr>
        <b/>
        <u/>
        <sz val="10"/>
        <rFont val="Arial"/>
        <family val="2"/>
      </rPr>
      <t>in line with the historical trend of between 1% and 3%</t>
    </r>
    <r>
      <rPr>
        <sz val="10"/>
        <rFont val="Arial"/>
        <family val="2"/>
      </rPr>
      <t>."</t>
    </r>
  </si>
  <si>
    <r>
      <t xml:space="preserve">"We think that </t>
    </r>
    <r>
      <rPr>
        <b/>
        <u/>
        <sz val="10"/>
        <rFont val="Arial"/>
        <family val="2"/>
      </rPr>
      <t>gross margins should improve next year</t>
    </r>
    <r>
      <rPr>
        <sz val="10"/>
        <rFont val="Arial"/>
        <family val="2"/>
      </rPr>
      <t>, driven by the annualization of some of the efficiencies we've put in place this year"</t>
    </r>
  </si>
  <si>
    <r>
      <t>"</t>
    </r>
    <r>
      <rPr>
        <b/>
        <u/>
        <sz val="10"/>
        <rFont val="Arial"/>
        <family val="2"/>
      </rPr>
      <t>Our goals are to continue to grow into this fiscal year</t>
    </r>
    <r>
      <rPr>
        <sz val="10"/>
        <rFont val="Arial"/>
        <family val="2"/>
      </rPr>
      <t>, but also to begin the expansion of our end markets and take advantage of the tumultuous environment we live in to reach more customers with our products and services"</t>
    </r>
  </si>
  <si>
    <r>
      <t xml:space="preserve">"We currently expect </t>
    </r>
    <r>
      <rPr>
        <b/>
        <u/>
        <sz val="10"/>
        <rFont val="Arial"/>
        <family val="2"/>
      </rPr>
      <t>stock-based compensation expense to increase marginally</t>
    </r>
    <r>
      <rPr>
        <sz val="10"/>
        <rFont val="Arial"/>
        <family val="2"/>
      </rPr>
      <t xml:space="preserve"> in fiscal 2023"</t>
    </r>
  </si>
  <si>
    <r>
      <t xml:space="preserve">"We expect some inflationary impact to both instructional costs and SG&amp;A in fiscal year '23. While some of the pressure will be offset by increased funding and continuing efficiency efforts, we made the decision to fully fund salary increases for teachers and employees to ensure consistency and remain competitive in the labor market. </t>
    </r>
    <r>
      <rPr>
        <b/>
        <u/>
        <sz val="10"/>
        <rFont val="Arial"/>
        <family val="2"/>
      </rPr>
      <t>This will result in a tightening of our margins in the short-term</t>
    </r>
    <r>
      <rPr>
        <sz val="10"/>
        <rFont val="Arial"/>
        <family val="2"/>
      </rPr>
      <t>"</t>
    </r>
  </si>
  <si>
    <t>"We are well ahead where we would be normally in enrollments versus pre-pandemic levels"</t>
  </si>
  <si>
    <t>CFO (TM)</t>
  </si>
  <si>
    <r>
      <t>"</t>
    </r>
    <r>
      <rPr>
        <b/>
        <u/>
        <sz val="10"/>
        <rFont val="Arial"/>
        <family val="2"/>
      </rPr>
      <t>We expect to grow adjusted operating income and adjusted EBITDA year-over-year compared to our strong fiscal year 2021 results</t>
    </r>
    <r>
      <rPr>
        <sz val="10"/>
        <rFont val="Arial"/>
        <family val="2"/>
      </rPr>
      <t>"</t>
    </r>
  </si>
  <si>
    <t>Profit</t>
  </si>
  <si>
    <r>
      <t xml:space="preserve">"We are confident that </t>
    </r>
    <r>
      <rPr>
        <b/>
        <u/>
        <sz val="10"/>
        <rFont val="Arial"/>
        <family val="2"/>
      </rPr>
      <t>general education revenue in fiscal year 2022 will be significantly larger than it was in fiscal year 2020</t>
    </r>
    <r>
      <rPr>
        <sz val="10"/>
        <rFont val="Arial"/>
        <family val="2"/>
      </rPr>
      <t>"</t>
    </r>
  </si>
  <si>
    <t>GE Revenue</t>
  </si>
  <si>
    <t>+36% higher than FY20</t>
  </si>
  <si>
    <t>+17% YoY and +14% YoY</t>
  </si>
  <si>
    <t>+33% higher than 1Q20</t>
  </si>
  <si>
    <t>AOI margins from 11.2% FY22 to 10.9% in FY23</t>
  </si>
  <si>
    <r>
      <t xml:space="preserve">"We believe </t>
    </r>
    <r>
      <rPr>
        <b/>
        <u/>
        <sz val="10"/>
        <rFont val="Arial"/>
        <family val="2"/>
      </rPr>
      <t>we will continue to grow in fiscal 2023</t>
    </r>
    <r>
      <rPr>
        <sz val="10"/>
        <rFont val="Arial"/>
        <family val="2"/>
      </rPr>
      <t>. This growth will be driven by continued strength in our Career Learning enrollments and revenue per pupil increases"</t>
    </r>
  </si>
  <si>
    <t>Increase from 19M to 20M</t>
  </si>
  <si>
    <t>Rev +8.9% YoY</t>
  </si>
  <si>
    <t>Net Interest income 18M (7M prior); SBC 31M (20M prior)</t>
  </si>
  <si>
    <t>SGA +7% YoY; Capex -6% YoY</t>
  </si>
  <si>
    <t>GM 37.4% (vs. 35.2% prior)</t>
  </si>
  <si>
    <t>Rev +8.9% YoY; CL enrolments +57%; Rev/Enrol +14.1%</t>
  </si>
  <si>
    <t>Rev/Enrol +6.1% YoY (vs. +14.4% YoY prior)</t>
  </si>
  <si>
    <t>Enrolments +8.4% YoY</t>
  </si>
  <si>
    <t>Adj. Opex ex-D&amp;A</t>
  </si>
  <si>
    <t>Event</t>
  </si>
  <si>
    <t>Claims</t>
  </si>
  <si>
    <t>Links</t>
  </si>
  <si>
    <t>First short seller report by Citron Research targets Apollo Education for aggressive recruitment tactics.</t>
  </si>
  <si>
    <t>Concerns about aggressive recruitment tactics targeting vulnerable populations.</t>
  </si>
  <si>
    <t xml:space="preserve">https://citronresearch.com/first-apollo-report-2009/ </t>
  </si>
  <si>
    <t>Citron releases follow-up, raising concerns about reliance on federal student loans and poor graduation outcomes.</t>
  </si>
  <si>
    <t>Raises further concerns about the sustainability of the student loan-driven business model.</t>
  </si>
  <si>
    <t>https://citronresearch.com/apollo-follow-up-2009/</t>
  </si>
  <si>
    <t>Muddy Waters begins reporting on Apollo, claiming over-reliance on federal funding and loan defaults.</t>
  </si>
  <si>
    <t>https://muddywatersresearch.com/apollo-2009/</t>
  </si>
  <si>
    <t>Gotham City Research publishes a report alleging inflated enrollment numbers.</t>
  </si>
  <si>
    <t>Gotham City alleges inflated student numbers and misleading investor communications.</t>
  </si>
  <si>
    <t>https://gothamcityresearch.com/apollo-inflated-numbers-2009/</t>
  </si>
  <si>
    <t>Founder John Sperling steps down as CEO amid rising scrutiny.</t>
  </si>
  <si>
    <t>GAO publishes a report criticizing Apollo and other for-profit colleges.</t>
  </si>
  <si>
    <t>GAO criticizes deceptive practices and student outcomes.</t>
  </si>
  <si>
    <t>https://www.gao.gov/products/gao-10-948t</t>
  </si>
  <si>
    <t>U.S. Department of Education issues warnings about student loan defaults in for-profit education.</t>
  </si>
  <si>
    <t>DOE issues warnings about student loan default rates for Apollo and other for-profit schools.</t>
  </si>
  <si>
    <t>https://www.ed.gov/news/press-releases/doe-for-profit-default-warnings-2010</t>
  </si>
  <si>
    <t>DOE continues scrutiny over Apollo's reliance on federal aid.</t>
  </si>
  <si>
    <t>https://www.ed.gov/news/press-releases/doe-monitoring-2011</t>
  </si>
  <si>
    <t>Citron expands allegations, stating Apollo inflates enrollment figures and misleads investors.</t>
  </si>
  <si>
    <t>Citron accuses Apollo of inflating enrollment numbers and misleading investors.</t>
  </si>
  <si>
    <t>https://citronresearch.com/apollo-group-new-allegations-2013/</t>
  </si>
  <si>
    <t>Muddy Waters publishes reports questioning Apollo's financial health.</t>
  </si>
  <si>
    <t>https://www.muddywatersresearch.com/research/apollo/</t>
  </si>
  <si>
    <t>Deceptive advertising, misleading job placement statistics, and inflating revenues.</t>
  </si>
  <si>
    <t>https://muddywatersresearch.com/research/apollo-followup/</t>
  </si>
  <si>
    <t>Spruce Point highlights financial overvaluation and regulatory issues.</t>
  </si>
  <si>
    <t>https://www.sprucepointcap.com/apollo-education/</t>
  </si>
  <si>
    <t>Apollo Education Group goes private after $1.14 billion buyout; company is delisted from NASDAQ.</t>
  </si>
  <si>
    <t>https://www.insidehighered.com/news/2017/02/01/apollo-group-finalizes-sale-private-investor-group</t>
  </si>
  <si>
    <t>FTC fines Apollo Education Group $191 million for deceptive advertising practices.</t>
  </si>
  <si>
    <t>Deceptive marketing and false corporate partnerships.</t>
  </si>
  <si>
    <t xml:space="preserve">LRN </t>
  </si>
  <si>
    <t>Apollo Education Timeline</t>
  </si>
  <si>
    <t>U.S. Department of Education continues monitoring Apollo's federal aid dependence.</t>
  </si>
  <si>
    <t>Citron and Muddy Waters emphasize Apollo's declining revenues and deceptive advertising.</t>
  </si>
  <si>
    <t>Spruce Point Capital releases short report highlighting Apollo's overvaluation.</t>
  </si>
  <si>
    <t>Co-CEO Charles Edelstein retires as co-CEO Apollo.</t>
  </si>
  <si>
    <t>Muddy Waters claims Apollo's business model is unsustainable without federal funds.</t>
  </si>
  <si>
    <t>Muddy Waters claims Apollo's financials are misrepresented.</t>
  </si>
  <si>
    <t>https://www.ftc.gov/news-events/news/press-releases/2019/12/ftc-obtains-record-191-million-settlement-university-phoenix-resolve-ftc-charges-it-used-deceptive</t>
  </si>
  <si>
    <t>Marketable Securities</t>
  </si>
  <si>
    <t>Restricted Cash and Other Current Assets</t>
  </si>
  <si>
    <t>1Q25</t>
  </si>
  <si>
    <t>G = 2.225-2.30B</t>
  </si>
  <si>
    <t>G = 395-425</t>
  </si>
  <si>
    <t>G = 560-580</t>
  </si>
  <si>
    <t>G = 115-125</t>
  </si>
  <si>
    <t>6% Growth and margin expansion through FY28e</t>
  </si>
  <si>
    <t>Apollo Education Group, Inc. &gt; Financials &gt; Income Statement</t>
  </si>
  <si>
    <t>In Millions of the reported currency, except per share items.</t>
  </si>
  <si>
    <t>Template:</t>
  </si>
  <si>
    <t>Standard</t>
  </si>
  <si>
    <t> </t>
  </si>
  <si>
    <t>Restatement:</t>
  </si>
  <si>
    <t>Latest Filings</t>
  </si>
  <si>
    <t>Period Type:</t>
  </si>
  <si>
    <t>Annual</t>
  </si>
  <si>
    <t>Order:</t>
  </si>
  <si>
    <t>Latest on Right</t>
  </si>
  <si>
    <t>Currency:</t>
  </si>
  <si>
    <t>Reported Currency</t>
  </si>
  <si>
    <t>Conversion:</t>
  </si>
  <si>
    <t>Today's Spot Rate</t>
  </si>
  <si>
    <t>Units:</t>
  </si>
  <si>
    <t>S&amp;P Capital IQ (Default)</t>
  </si>
  <si>
    <t>Decimals:</t>
  </si>
  <si>
    <t>Capital IQ (Default)</t>
  </si>
  <si>
    <t>Source:</t>
  </si>
  <si>
    <t>Capital IQ &amp; Proprietary Data</t>
  </si>
  <si>
    <t xml:space="preserve">For the Fiscal Period Ending
</t>
  </si>
  <si>
    <t>12 months
Aug-31-1993</t>
  </si>
  <si>
    <t>12 months
Aug-31-1994</t>
  </si>
  <si>
    <t>Reclassified
12 months
Aug-31-1995</t>
  </si>
  <si>
    <t>Reclassified
12 months
Aug-31-1996</t>
  </si>
  <si>
    <t>Reclassified
12 months
Aug-31-1997</t>
  </si>
  <si>
    <t>Reclassified
12 months
Aug-31-1998</t>
  </si>
  <si>
    <t>Reclassified
12 months
Aug-31-1999</t>
  </si>
  <si>
    <t>12 months
Aug-31-2000</t>
  </si>
  <si>
    <t>12 months
Aug-31-2001</t>
  </si>
  <si>
    <t>12 months
Aug-31-2002</t>
  </si>
  <si>
    <t>12 months
Aug-31-2003</t>
  </si>
  <si>
    <t>Restated
12 months
Aug-31-2004</t>
  </si>
  <si>
    <t>Restated
12 months
Aug-31-2005</t>
  </si>
  <si>
    <t>Reclassified
12 months
Aug-31-2006</t>
  </si>
  <si>
    <t>12 months
Aug-31-2007</t>
  </si>
  <si>
    <t>Reclassified
12 months
Aug-31-2008</t>
  </si>
  <si>
    <t>Reclassified
12 months
Aug-31-2009</t>
  </si>
  <si>
    <t>Reclassified
12 months
Aug-31-2010</t>
  </si>
  <si>
    <t>Reclassified
12 months
Aug-31-2011</t>
  </si>
  <si>
    <t>Reclassified
12 months
Aug-31-2012</t>
  </si>
  <si>
    <t>Reclassified
12 months
Aug-31-2013</t>
  </si>
  <si>
    <t>Reclassified
12 months
Aug-31-2014</t>
  </si>
  <si>
    <t>12 months
Aug-31-2015</t>
  </si>
  <si>
    <t>12 months
Aug-31-2016</t>
  </si>
  <si>
    <t>LTM
12 months
Nov-30-2016</t>
  </si>
  <si>
    <t>Currency</t>
  </si>
  <si>
    <t xml:space="preserve"> </t>
  </si>
  <si>
    <t>Other Revenue</t>
  </si>
  <si>
    <t xml:space="preserve">  Total Revenue</t>
  </si>
  <si>
    <t>Cost Of Goods Sold</t>
  </si>
  <si>
    <t xml:space="preserve">  Gross Profit</t>
  </si>
  <si>
    <t>Selling General &amp; Admin Exp.</t>
  </si>
  <si>
    <t>Provision for Bad Debts</t>
  </si>
  <si>
    <t>Stock-Based Compensation</t>
  </si>
  <si>
    <t>R &amp; D Exp.</t>
  </si>
  <si>
    <t>Depreciation &amp; Amort.</t>
  </si>
  <si>
    <t>Other Operating Expense/(Income)</t>
  </si>
  <si>
    <t xml:space="preserve">  Other Operating Exp., Total</t>
  </si>
  <si>
    <t xml:space="preserve">  Operating Income</t>
  </si>
  <si>
    <t>Interest and Invest. Income</t>
  </si>
  <si>
    <t xml:space="preserve">  Net Interest Exp.</t>
  </si>
  <si>
    <t>Currency Exchange Gains (Loss)</t>
  </si>
  <si>
    <t>Other Non-Operating Inc. (Exp.)</t>
  </si>
  <si>
    <t xml:space="preserve">  EBT Excl. Unusual Items</t>
  </si>
  <si>
    <t>Restructuring Charges</t>
  </si>
  <si>
    <t>Merger &amp; Related Restruct. Charges</t>
  </si>
  <si>
    <t>Impairment of Goodwill</t>
  </si>
  <si>
    <t>Gain (Loss) On Sale Of Invest.</t>
  </si>
  <si>
    <t>Asset Writedown</t>
  </si>
  <si>
    <t>Legal Settlements</t>
  </si>
  <si>
    <t>Other Unusual Items</t>
  </si>
  <si>
    <t xml:space="preserve">  EBT Incl. Unusual Items</t>
  </si>
  <si>
    <t>Income Tax Expense</t>
  </si>
  <si>
    <t xml:space="preserve">  Earnings from Cont. Ops.</t>
  </si>
  <si>
    <t>Earnings of Discontinued Ops.</t>
  </si>
  <si>
    <t>Extraord. Item &amp; Account. Change</t>
  </si>
  <si>
    <t xml:space="preserve">  Net Income to Company</t>
  </si>
  <si>
    <t>Minority Int. in Earnings</t>
  </si>
  <si>
    <t xml:space="preserve">  Net Income</t>
  </si>
  <si>
    <t>Pref. Dividends and Other Adj.</t>
  </si>
  <si>
    <t xml:space="preserve">  NI to Common Incl Extra Items</t>
  </si>
  <si>
    <t xml:space="preserve">  NI to Common Excl. Extra Items</t>
  </si>
  <si>
    <t>Per Share Items</t>
  </si>
  <si>
    <t>Basic EPS</t>
  </si>
  <si>
    <t>Basic EPS Excl. Extra Items</t>
  </si>
  <si>
    <t>Weighted Avg. Basic Shares Out.</t>
  </si>
  <si>
    <t>Diluted EPS</t>
  </si>
  <si>
    <t>Diluted EPS Excl. Extra Items</t>
  </si>
  <si>
    <t>Weighted Avg. Diluted Shares Out.</t>
  </si>
  <si>
    <t>Normalized Basic EPS</t>
  </si>
  <si>
    <t>Normalized Diluted EPS</t>
  </si>
  <si>
    <t>Dividends per Share</t>
  </si>
  <si>
    <t>Supplemental Items</t>
  </si>
  <si>
    <t>EBITA</t>
  </si>
  <si>
    <t>EBITDAR</t>
  </si>
  <si>
    <t>As Reported Total Revenue*</t>
  </si>
  <si>
    <t>Effective Tax Rate %</t>
  </si>
  <si>
    <t>NM</t>
  </si>
  <si>
    <t>Current Domestic Taxes</t>
  </si>
  <si>
    <t>Current Foreign Taxes</t>
  </si>
  <si>
    <t>Total Current Taxes</t>
  </si>
  <si>
    <t>Deferred Domestic Taxes</t>
  </si>
  <si>
    <t>Deferred Foreign Taxes</t>
  </si>
  <si>
    <t>Total Deferred Taxes</t>
  </si>
  <si>
    <t>Normalized Net Income</t>
  </si>
  <si>
    <t>NI per SFAS 123 (after Options)</t>
  </si>
  <si>
    <t>Filing Date</t>
  </si>
  <si>
    <t>Restatement Type</t>
  </si>
  <si>
    <t>O</t>
  </si>
  <si>
    <t>NC</t>
  </si>
  <si>
    <t>RC</t>
  </si>
  <si>
    <t>RS</t>
  </si>
  <si>
    <t>RD</t>
  </si>
  <si>
    <t>Calculation Type</t>
  </si>
  <si>
    <t>REP</t>
  </si>
  <si>
    <t>LTM</t>
  </si>
  <si>
    <t>Supplemental Operating Expense Items</t>
  </si>
  <si>
    <t>Advertising Exp.</t>
  </si>
  <si>
    <t>Marketing Exp.</t>
  </si>
  <si>
    <t>Selling and Marketing Exp.</t>
  </si>
  <si>
    <t>General and Administrative Exp.</t>
  </si>
  <si>
    <t>R&amp;D Exp.</t>
  </si>
  <si>
    <t>Net Rental Exp.</t>
  </si>
  <si>
    <t>Imputed Oper. Lease Interest Exp.</t>
  </si>
  <si>
    <t>Imputed Oper. Lease Depreciation</t>
  </si>
  <si>
    <t>Stock-Based Comp., COGS</t>
  </si>
  <si>
    <t>Stock-Based Comp., S&amp;M Exp.</t>
  </si>
  <si>
    <t>Stock-Based Comp., G&amp;A Exp.</t>
  </si>
  <si>
    <t>Stock-Based Comp., Unallocated</t>
  </si>
  <si>
    <t xml:space="preserve">  Stock-Based Comp., Total</t>
  </si>
  <si>
    <t xml:space="preserve">Balance Sheet as of:
</t>
  </si>
  <si>
    <t>Reclassified
Aug-31-1995</t>
  </si>
  <si>
    <t>Reclassified
Aug-31-1997</t>
  </si>
  <si>
    <t>Restated
Aug-31-1998</t>
  </si>
  <si>
    <t>Reclassified
Aug-31-1999</t>
  </si>
  <si>
    <t>Restated
Aug-31-2004</t>
  </si>
  <si>
    <t>Restated
Aug-31-2005</t>
  </si>
  <si>
    <t>Restated
Aug-31-2015</t>
  </si>
  <si>
    <t>ASSETS</t>
  </si>
  <si>
    <t>Cash And Equivalents</t>
  </si>
  <si>
    <t>Short Term Investments</t>
  </si>
  <si>
    <t xml:space="preserve">  Total Cash &amp; ST Investments</t>
  </si>
  <si>
    <t>Accounts Receivable</t>
  </si>
  <si>
    <t>Other Receivables</t>
  </si>
  <si>
    <t xml:space="preserve">  Total Receivables</t>
  </si>
  <si>
    <t>Prepaid Exp.</t>
  </si>
  <si>
    <t>Deferred Tax Assets, Curr.</t>
  </si>
  <si>
    <t xml:space="preserve">  Total Current Assets</t>
  </si>
  <si>
    <t>Gross Property, Plant &amp; Equipment</t>
  </si>
  <si>
    <t>Accumulated Depreciation</t>
  </si>
  <si>
    <t xml:space="preserve">  Net Property, Plant &amp; Equipment</t>
  </si>
  <si>
    <t>Long-term Investments</t>
  </si>
  <si>
    <t>Other Intangibles</t>
  </si>
  <si>
    <t>Loans Receivable Long-Term</t>
  </si>
  <si>
    <t>Deferred Tax Assets, LT</t>
  </si>
  <si>
    <t>Deferred Charges, LT</t>
  </si>
  <si>
    <t>Other Long-Term Assets</t>
  </si>
  <si>
    <t>LIABILITIES</t>
  </si>
  <si>
    <t>Accrued Exp.</t>
  </si>
  <si>
    <t>Short-term Borrowings</t>
  </si>
  <si>
    <t>Curr. Port. of LT Debt</t>
  </si>
  <si>
    <t>Curr. Income Taxes Payable</t>
  </si>
  <si>
    <t>Unearned Revenue, Current</t>
  </si>
  <si>
    <t>Other Current Liabilities</t>
  </si>
  <si>
    <t xml:space="preserve">  Total Current Liabilities</t>
  </si>
  <si>
    <t>Unearned Revenue, Non-Current</t>
  </si>
  <si>
    <t>Def. Tax Liability, Non-Curr.</t>
  </si>
  <si>
    <t>Other Non-Current Liabilities</t>
  </si>
  <si>
    <t>Additional Paid In Capital</t>
  </si>
  <si>
    <t>Comprehensive Inc. and Other</t>
  </si>
  <si>
    <t xml:space="preserve">  Total Common Equity</t>
  </si>
  <si>
    <t>Minority Interest</t>
  </si>
  <si>
    <t>Total Equity</t>
  </si>
  <si>
    <t>Total Liabilities And Equity</t>
  </si>
  <si>
    <t>Total Shares Out. on Filing Date</t>
  </si>
  <si>
    <t>Total Shares Out. on Balance Sheet Date</t>
  </si>
  <si>
    <t>Book Value/Share</t>
  </si>
  <si>
    <t>Tangible Book Value</t>
  </si>
  <si>
    <t>Tangible Book Value/Share</t>
  </si>
  <si>
    <t>Debt Equivalent Oper. Leases</t>
  </si>
  <si>
    <t>Total Minority Interest</t>
  </si>
  <si>
    <t>Equity Method Investments</t>
  </si>
  <si>
    <t>Inventory Method</t>
  </si>
  <si>
    <t>FIFO</t>
  </si>
  <si>
    <t>Raw Materials Inventory</t>
  </si>
  <si>
    <t>Land</t>
  </si>
  <si>
    <t>Buildings</t>
  </si>
  <si>
    <t>Machinery</t>
  </si>
  <si>
    <t>Construction in Progress</t>
  </si>
  <si>
    <t>Leasehold Improvements</t>
  </si>
  <si>
    <t>Full Time Employees</t>
  </si>
  <si>
    <t>Part-Time Employees</t>
  </si>
  <si>
    <t>Assets under Cap. Lease, Gross</t>
  </si>
  <si>
    <t>Assets under Cap. Lease, Accum. Depr.</t>
  </si>
  <si>
    <t>Accum. Allowance for Doubtful Accts</t>
  </si>
  <si>
    <t>NV</t>
  </si>
  <si>
    <t>RUP</t>
  </si>
  <si>
    <t>Cash Flow</t>
  </si>
  <si>
    <t>12 months
Aug-31-1995</t>
  </si>
  <si>
    <t>Restated
12 months
Aug-31-1996</t>
  </si>
  <si>
    <t>Restated
12 months
Aug-31-1997</t>
  </si>
  <si>
    <t>Restated
12 months
Aug-31-1998</t>
  </si>
  <si>
    <t>12 months
Aug-31-1999</t>
  </si>
  <si>
    <t>Restated
12 months
Aug-31-2003</t>
  </si>
  <si>
    <t>12 months
Aug-31-2006</t>
  </si>
  <si>
    <t>12 months
Aug-31-2008</t>
  </si>
  <si>
    <t>Restated
12 months
Aug-31-2009</t>
  </si>
  <si>
    <t>Restated
12 months
Aug-31-2010</t>
  </si>
  <si>
    <t>12 months
Aug-31-2011</t>
  </si>
  <si>
    <t>12 months
Aug-31-2012</t>
  </si>
  <si>
    <t>12 months
Aug-31-2013</t>
  </si>
  <si>
    <t>12 months
Aug-31-2014</t>
  </si>
  <si>
    <t>Reclassified
12 months
Aug-31-2015</t>
  </si>
  <si>
    <t>Amort. of Goodwill and Intangibles</t>
  </si>
  <si>
    <t>Depreciation &amp; Amort., Total</t>
  </si>
  <si>
    <t>Other Amortization</t>
  </si>
  <si>
    <t>(Gain) Loss From Sale Of Assets</t>
  </si>
  <si>
    <t>(Gain) Loss On Sale Of Invest.</t>
  </si>
  <si>
    <t>Asset Writedown &amp; Restructuring Costs</t>
  </si>
  <si>
    <t>Tax Benefit from Stock Options</t>
  </si>
  <si>
    <t>Provision &amp; Write-off of Bad debts</t>
  </si>
  <si>
    <t>Net Cash From Discontinued Ops.</t>
  </si>
  <si>
    <t>Other Operating Activities</t>
  </si>
  <si>
    <t>Change in Acc. Receivable</t>
  </si>
  <si>
    <t>Change in Acc. Payable</t>
  </si>
  <si>
    <t>Change in Unearned Rev.</t>
  </si>
  <si>
    <t>Change in Inc. Taxes</t>
  </si>
  <si>
    <t>Change in Other Net Operating Assets</t>
  </si>
  <si>
    <t xml:space="preserve">  Cash from Ops.</t>
  </si>
  <si>
    <t>Capital Expenditure</t>
  </si>
  <si>
    <t>Sale of Property, Plant, and Equipment</t>
  </si>
  <si>
    <t>Cash Acquisitions</t>
  </si>
  <si>
    <t>Divestitures</t>
  </si>
  <si>
    <t>Sale (Purchase) of Intangible assets</t>
  </si>
  <si>
    <t>Invest. in Marketable &amp; Equity Securt.</t>
  </si>
  <si>
    <t>Net (Inc.) Dec. in Loans Originated/Sold</t>
  </si>
  <si>
    <t>Other Investing Activities</t>
  </si>
  <si>
    <t xml:space="preserve">  Cash from Investing</t>
  </si>
  <si>
    <t>Short Term Debt Issued</t>
  </si>
  <si>
    <t>Long-Term Debt Issued</t>
  </si>
  <si>
    <t>Total Debt Issued</t>
  </si>
  <si>
    <t>Short Term Debt Repaid</t>
  </si>
  <si>
    <t>Long-Term Debt Repaid</t>
  </si>
  <si>
    <t>Total Debt Repaid</t>
  </si>
  <si>
    <t>Issuance of Common Stock</t>
  </si>
  <si>
    <t>Repurchase of Common Stock</t>
  </si>
  <si>
    <t>Total Dividends Paid</t>
  </si>
  <si>
    <t>Special Dividend Paid</t>
  </si>
  <si>
    <t>Other Financing Activities</t>
  </si>
  <si>
    <t xml:space="preserve">  Cash from Financing</t>
  </si>
  <si>
    <t>Foreign Exchange Rate Adj.</t>
  </si>
  <si>
    <t>Misc. Cash Flow Adj.</t>
  </si>
  <si>
    <t xml:space="preserve">  Net Change in Cash</t>
  </si>
  <si>
    <t>Cash Interest Paid</t>
  </si>
  <si>
    <t>Cash Taxes Paid</t>
  </si>
  <si>
    <t>Levered Free Cash Flow</t>
  </si>
  <si>
    <t>Unlevered Free Cash Flow</t>
  </si>
  <si>
    <t>Change in Net Working Capital</t>
  </si>
  <si>
    <t>Net Debt Issued</t>
  </si>
  <si>
    <t>Net Cash From Discontinued Ops. - Investing</t>
  </si>
  <si>
    <t>Historical Capitalization</t>
  </si>
  <si>
    <t>Pricing as of*</t>
  </si>
  <si>
    <t>Capitalization Detail</t>
  </si>
  <si>
    <t>Share Price</t>
  </si>
  <si>
    <t>Shares Out.</t>
  </si>
  <si>
    <t>Market Capitalization</t>
  </si>
  <si>
    <t>- Cash &amp; Short Term Investments</t>
  </si>
  <si>
    <t>+ Total Debt</t>
  </si>
  <si>
    <t>+ Pref. Equity</t>
  </si>
  <si>
    <t>+ Total Minority Interest</t>
  </si>
  <si>
    <t>- Long Term Marketable Securities</t>
  </si>
  <si>
    <t>= Total Enterprise Value (TEV)</t>
  </si>
  <si>
    <t>Book Value of Common Equity</t>
  </si>
  <si>
    <t>= Total Capital</t>
  </si>
  <si>
    <t>Business Segments</t>
  </si>
  <si>
    <t>University of Phoenix</t>
  </si>
  <si>
    <t>Apollo Global</t>
  </si>
  <si>
    <t>Apollo Global - BPP</t>
  </si>
  <si>
    <t>Apollo Global - Other</t>
  </si>
  <si>
    <t>Corporate</t>
  </si>
  <si>
    <t>Insight Schools</t>
  </si>
  <si>
    <t>Higher Education Programs for Working Adults</t>
  </si>
  <si>
    <t xml:space="preserve">  Total Revenues</t>
  </si>
  <si>
    <t>Operating Profit Before Tax</t>
  </si>
  <si>
    <t xml:space="preserve">  Total Operating Profit Before Tax</t>
  </si>
  <si>
    <t xml:space="preserve">  Total Interest Expense</t>
  </si>
  <si>
    <t>Net Profit Before Tax</t>
  </si>
  <si>
    <t xml:space="preserve">  Total Net Profit Before Tax</t>
  </si>
  <si>
    <t>Tax Expense</t>
  </si>
  <si>
    <t xml:space="preserve">  Total Tax Expense</t>
  </si>
  <si>
    <t>Net Profit After Tax</t>
  </si>
  <si>
    <t xml:space="preserve">  Total Net Profit After Tax</t>
  </si>
  <si>
    <t xml:space="preserve">  Total Assets</t>
  </si>
  <si>
    <t>Depreciation &amp; Amortization</t>
  </si>
  <si>
    <t xml:space="preserve">  Total Depreciation &amp; Amortization</t>
  </si>
  <si>
    <t xml:space="preserve">  Total Capital Expenditure</t>
  </si>
  <si>
    <t>Geographic Segments</t>
  </si>
  <si>
    <t>United States</t>
  </si>
  <si>
    <t>United Kingdom</t>
  </si>
  <si>
    <t>Latin America</t>
  </si>
  <si>
    <t>Germany</t>
  </si>
  <si>
    <t>Australia</t>
  </si>
  <si>
    <t xml:space="preserve">
               </t>
  </si>
  <si>
    <t>(USD in millions, unless otherwise noted)</t>
  </si>
  <si>
    <t>Reclass</t>
  </si>
  <si>
    <t>Y/Y % change</t>
  </si>
  <si>
    <t>Cost of service</t>
  </si>
  <si>
    <t>Gross profit</t>
  </si>
  <si>
    <t>Margin</t>
  </si>
  <si>
    <t>Adj. operating expenses</t>
  </si>
  <si>
    <t>Net interest expense</t>
  </si>
  <si>
    <t>Profit before taxation</t>
  </si>
  <si>
    <t>WA shares o/s - diluted</t>
  </si>
  <si>
    <t>FCF</t>
  </si>
  <si>
    <t>Capex &amp; cap. intangibles</t>
  </si>
  <si>
    <t>Taxation expense</t>
  </si>
  <si>
    <t>Leverage</t>
  </si>
  <si>
    <t>Total debt (excl. op. lease)</t>
  </si>
  <si>
    <t>Cash &amp; cash equivalents</t>
  </si>
  <si>
    <t>Net debt</t>
  </si>
  <si>
    <t>Net debt / LTM CRC EBITDA</t>
  </si>
  <si>
    <t>Total revenue</t>
  </si>
  <si>
    <t>% mix</t>
  </si>
  <si>
    <t>Capitalization / Valuation</t>
  </si>
  <si>
    <t>(*) Shares O/S</t>
  </si>
  <si>
    <t>Mkt Cap</t>
  </si>
  <si>
    <t>(+) Net Debt</t>
  </si>
  <si>
    <t>(+) NCI</t>
  </si>
  <si>
    <t>LTM Multiples:</t>
  </si>
  <si>
    <t>Min</t>
  </si>
  <si>
    <t>Max</t>
  </si>
  <si>
    <t>P / E</t>
  </si>
  <si>
    <t>P / Recurring FCF</t>
  </si>
  <si>
    <t>P / Realized FCF</t>
  </si>
  <si>
    <t>NTM Multiples:</t>
  </si>
  <si>
    <t>Memo:</t>
  </si>
  <si>
    <t>S&amp;P 500 NTM P / E</t>
  </si>
  <si>
    <t>Share Px Performance</t>
  </si>
  <si>
    <t>Y/Y % Change</t>
  </si>
  <si>
    <t>S&amp;P 500 - Total Return</t>
  </si>
  <si>
    <t>Total Return CAGR:</t>
  </si>
  <si>
    <t>1-Yr Forward</t>
  </si>
  <si>
    <t>3-Yr Forward</t>
  </si>
  <si>
    <t>5-Yr Forward</t>
  </si>
  <si>
    <t>10-Yr Forward</t>
  </si>
  <si>
    <t>APOL Long-Term Historical Financials</t>
  </si>
  <si>
    <t>FY Ending August 31</t>
  </si>
  <si>
    <t>Y/Y % change, organic</t>
  </si>
  <si>
    <t>Note: M&amp;A Spend</t>
  </si>
  <si>
    <t>L5Y CAGR</t>
  </si>
  <si>
    <t>L10Y CAGR</t>
  </si>
  <si>
    <t>L15Y CAGR</t>
  </si>
  <si>
    <t>Taxation expense @ 40%</t>
  </si>
  <si>
    <t>Revenue by Segment</t>
  </si>
  <si>
    <t>-</t>
  </si>
  <si>
    <r>
      <rPr>
        <i/>
        <u/>
        <sz val="9"/>
        <color theme="1"/>
        <rFont val="Arial"/>
        <family val="2"/>
      </rPr>
      <t>Memo:</t>
    </r>
    <r>
      <rPr>
        <i/>
        <sz val="9"/>
        <color theme="1"/>
        <rFont val="Arial"/>
        <family val="2"/>
      </rPr>
      <t xml:space="preserve"> D&amp;A as % of revenue</t>
    </r>
  </si>
  <si>
    <r>
      <rPr>
        <i/>
        <u/>
        <sz val="9"/>
        <color theme="1"/>
        <rFont val="Arial"/>
        <family val="2"/>
      </rPr>
      <t>Memo:</t>
    </r>
    <r>
      <rPr>
        <i/>
        <sz val="9"/>
        <color theme="1"/>
        <rFont val="Arial"/>
        <family val="2"/>
      </rPr>
      <t xml:space="preserve"> Capex as % of revenue</t>
    </r>
  </si>
  <si>
    <t>Apollo Education Group, Inc. (APOL) Historical Performance</t>
  </si>
  <si>
    <t>U.S. Senate Committee issues report on for profit universities</t>
  </si>
  <si>
    <t>https://www.help.senate.gov/imo/media/for_profit_report/PartI.pdf</t>
  </si>
  <si>
    <t>Failure to safeguard public investment and ensure student success</t>
  </si>
  <si>
    <r>
      <rPr>
        <sz val="11"/>
        <rFont val="Calibri"/>
        <family val="2"/>
      </rPr>
      <t>Apollo Education Group, Inc. (NasdaqGM:APOL) - Share Pricing</t>
    </r>
  </si>
  <si>
    <t>Dates</t>
  </si>
  <si>
    <t>Note: Share buybacks, net</t>
  </si>
  <si>
    <t>Alabama</t>
  </si>
  <si>
    <t>State</t>
  </si>
  <si>
    <t>Texas</t>
  </si>
  <si>
    <t>$ impact</t>
  </si>
  <si>
    <t>Stock price</t>
  </si>
  <si>
    <t>Net Max Dilution Under Call</t>
  </si>
  <si>
    <t>Potential Savings from Capped Call</t>
  </si>
  <si>
    <t>Max Dilution</t>
  </si>
  <si>
    <t>Conversion Price Calc</t>
  </si>
  <si>
    <t>Conversion Price</t>
  </si>
  <si>
    <t>Units</t>
  </si>
  <si>
    <t>$ Per Unit</t>
  </si>
  <si>
    <t>Conversion Rate</t>
  </si>
  <si>
    <t>Call Cost (recorded in Add'l Paid in Capital)</t>
  </si>
  <si>
    <t>Converted Shares</t>
  </si>
  <si>
    <t>Capped Call Upper Strike</t>
  </si>
  <si>
    <t>Hi Dan:</t>
  </si>
  <si>
    <t>Again, apologies on the delay.</t>
  </si>
  <si>
    <t>So the simple math is that there are 7.943M shares underlying the bonds.  So we’ll “owe” whatever the price is at maturity times the 7.943M shares.  Of that, $420M will be paid in cash (as we’ve said previously) and anything between the $420M and the upper strike price ($86.17) will be covered by the existing capped call.  Anything in excess of that, we would owe in either shares or cash.  See below for an example using $100/share as the share price as of maturity.</t>
  </si>
  <si>
    <t>Shares: 7.943M</t>
  </si>
  <si>
    <t>Share Price (example): $100</t>
  </si>
  <si>
    <t>Total Owed: $794,300,000</t>
  </si>
  <si>
    <t>Principal: $420,000,000 (paid in cash)</t>
  </si>
  <si>
    <t>Capped Call: $264,450,000 ($86.17 x 7.943M less principal)</t>
  </si>
  <si>
    <t>Remaining: $109,850,000 (Total less Principal less Capped Call) to be paid in cash or shares</t>
  </si>
  <si>
    <t>Shares Owed if electing to pay in shares: 1,098,500</t>
  </si>
  <si>
    <t>This is rounded but should give you a decent idea of how the mechanism works.</t>
  </si>
  <si>
    <t>Best,</t>
  </si>
  <si>
    <t>Tim</t>
  </si>
  <si>
    <t>$ Per Share Liability</t>
  </si>
  <si>
    <t>x Converted Shares</t>
  </si>
  <si>
    <t>$ Liability</t>
  </si>
  <si>
    <t>/ LRN Share Price</t>
  </si>
  <si>
    <t># Share Dilution</t>
  </si>
  <si>
    <t>LRN Share Price ($/sh)</t>
  </si>
  <si>
    <t>Less: Capped Call Upper Strike ($/sh)</t>
  </si>
  <si>
    <t>Convertible Debt Principle (due in cash 9/1/2027)</t>
  </si>
  <si>
    <t>Convertible Debt Principle ($)</t>
  </si>
  <si>
    <t xml:space="preserve">% dilution </t>
  </si>
  <si>
    <t>LRN FDSO as of 1Q25</t>
  </si>
  <si>
    <t>LRN Net Debt of of 1Q25 (incl. $420M convert principle)</t>
  </si>
  <si>
    <t>LRN Net Debt forecast for 4Q25e (incl. $420M convert principle)</t>
  </si>
  <si>
    <t>PF FDSO when considering share issuance payment</t>
  </si>
  <si>
    <t xml:space="preserve">FDSO - Convert Dilution </t>
  </si>
  <si>
    <t>John Sperling (Founder)</t>
  </si>
  <si>
    <t>Todd Nelson</t>
  </si>
  <si>
    <t>Brian Mueller</t>
  </si>
  <si>
    <t xml:space="preserve">Gregory Capelli </t>
  </si>
  <si>
    <t>Gregory Capelli (co-CEO)</t>
  </si>
  <si>
    <t>Chas Edelstein (co-CEO)</t>
  </si>
  <si>
    <t>Directors</t>
  </si>
  <si>
    <t>CFOs</t>
  </si>
  <si>
    <t>CEOs</t>
  </si>
  <si>
    <t>Other Executives</t>
  </si>
  <si>
    <t>Insider Purchases ($ in '000s)</t>
  </si>
  <si>
    <t>PF Net Debt when considering cash payment vs. additional dilution</t>
  </si>
  <si>
    <t>ICS per 1,000 Enrolmment</t>
  </si>
  <si>
    <t xml:space="preserve">Advertising and Marketing Costs </t>
  </si>
  <si>
    <t>Advertising and Marketing Costs  (legacy)</t>
  </si>
  <si>
    <t>State Database</t>
  </si>
  <si>
    <t>Pennsylvania</t>
  </si>
  <si>
    <t>Arizona</t>
  </si>
  <si>
    <t>Arkansas</t>
  </si>
  <si>
    <t>California</t>
  </si>
  <si>
    <t>Colorado</t>
  </si>
  <si>
    <t>District of Columbia</t>
  </si>
  <si>
    <t>Florida</t>
  </si>
  <si>
    <t>Georgia</t>
  </si>
  <si>
    <t>Idaho</t>
  </si>
  <si>
    <t>Indiana</t>
  </si>
  <si>
    <t>Iowa</t>
  </si>
  <si>
    <t>Kasas</t>
  </si>
  <si>
    <t>Louisiana</t>
  </si>
  <si>
    <t>Maine</t>
  </si>
  <si>
    <t>Maryland</t>
  </si>
  <si>
    <t>Minnesota</t>
  </si>
  <si>
    <t>Missouri</t>
  </si>
  <si>
    <t>New Mexico</t>
  </si>
  <si>
    <t>North Carolina</t>
  </si>
  <si>
    <t>Ohio</t>
  </si>
  <si>
    <t>Oklahoma</t>
  </si>
  <si>
    <t>Oregon</t>
  </si>
  <si>
    <t>South Carolina</t>
  </si>
  <si>
    <t>Tennessee</t>
  </si>
  <si>
    <t>Utah</t>
  </si>
  <si>
    <t>Virginia</t>
  </si>
  <si>
    <t>Washington</t>
  </si>
  <si>
    <t>West Virginia</t>
  </si>
  <si>
    <t>Wisconsin</t>
  </si>
  <si>
    <t>Wyoming</t>
  </si>
  <si>
    <t>Presence</t>
  </si>
  <si>
    <t>Enrolment '23</t>
  </si>
  <si>
    <t>FS Enrolment '23</t>
  </si>
  <si>
    <t>FS % '23</t>
  </si>
  <si>
    <t>K.12.com US Desktop Traffic - Semrush</t>
  </si>
  <si>
    <t>US Desktop Traffic</t>
  </si>
  <si>
    <t>Target</t>
  </si>
  <si>
    <t>Target Type</t>
  </si>
  <si>
    <t>2012-01</t>
  </si>
  <si>
    <t>2012-02</t>
  </si>
  <si>
    <t>2012-03</t>
  </si>
  <si>
    <t>2012-04</t>
  </si>
  <si>
    <t>2012-05</t>
  </si>
  <si>
    <t>2012-06</t>
  </si>
  <si>
    <t>2012-07</t>
  </si>
  <si>
    <t>2012-08</t>
  </si>
  <si>
    <t>2012-09</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</si>
  <si>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</si>
  <si>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</si>
  <si>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</si>
  <si>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</si>
  <si>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</si>
  <si>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</si>
  <si>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</si>
  <si>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</si>
  <si>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</si>
  <si>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</si>
  <si>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</si>
  <si>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</si>
  <si>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</si>
  <si>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</si>
  <si>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</si>
  <si>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</si>
  <si>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</si>
  <si>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</si>
  <si>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</si>
  <si>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</si>
  <si>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</si>
  <si>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</si>
  <si>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</si>
  <si>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</si>
  <si>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</si>
  <si>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</si>
  <si>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</si>
  <si>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</si>
  <si>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</si>
  <si>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</si>
  <si>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</si>
  <si>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</si>
  <si>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</si>
  <si>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</si>
  <si>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</si>
  <si>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</si>
  <si>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</si>
  <si>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</si>
  <si>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</si>
  <si>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</si>
  <si>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</si>
  <si>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</si>
  <si>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</si>
  <si>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</si>
  <si>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</si>
  <si>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</si>
  <si>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</si>
  <si>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</si>
  <si>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</si>
  <si>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</si>
  <si>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</si>
  <si>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</si>
  <si>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</si>
  <si>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</si>
  <si>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</si>
  <si>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</si>
  <si>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</si>
  <si>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</si>
  <si>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</si>
  <si>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</si>
  <si>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</si>
  <si>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</si>
  <si>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</si>
  <si>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</si>
  <si>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</si>
  <si>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</si>
  <si>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</si>
  <si>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</si>
  <si>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</si>
  <si>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</si>
  <si>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</si>
  <si>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</si>
  <si>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</si>
  <si>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</si>
  <si>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</si>
  <si>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</si>
  <si>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</si>
  <si>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</si>
  <si>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</si>
  <si>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</si>
  <si>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</si>
  <si>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</si>
  <si>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</si>
  <si>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</si>
  <si>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</si>
  <si>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</si>
  <si>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</si>
  <si>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</si>
  <si>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</si>
  <si>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</si>
  <si>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</si>
  <si>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</si>
  <si>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</si>
  <si>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</si>
  <si>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</si>
  <si>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</si>
  <si>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</si>
  <si>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</si>
  <si>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</si>
  <si>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</si>
  <si>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</si>
  <si>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</si>
  <si>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</si>
  <si>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</si>
  <si>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</si>
  <si>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</si>
  <si>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</si>
  <si>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</si>
  <si>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</si>
  <si>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</si>
  <si>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</si>
  <si>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</si>
  <si>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</si>
  <si>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</si>
  <si>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</si>
  <si>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</si>
  <si>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</si>
  <si>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</si>
  <si>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</si>
  <si>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</si>
  <si>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</si>
  <si>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</si>
  <si>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</si>
  <si>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</si>
  <si>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</si>
  <si>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</si>
  <si>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</si>
  <si>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</si>
  <si>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</si>
  <si>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</si>
  <si>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</si>
  <si>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</si>
  <si>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</si>
  <si>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</si>
  <si>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</si>
  <si>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</si>
  <si>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</si>
  <si>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</si>
  <si>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</si>
  <si>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</si>
  <si>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</si>
  <si>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</si>
  <si>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</si>
  <si>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</si>
  <si>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</si>
  <si>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</si>
  <si>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k12.com</t>
  </si>
  <si>
    <t>root domain</t>
  </si>
  <si>
    <t>Organic Traffic</t>
  </si>
  <si>
    <t>Paid Traffic</t>
  </si>
  <si>
    <t>Total Traffic</t>
  </si>
  <si>
    <t>Monthly</t>
  </si>
  <si>
    <t>Illinois</t>
  </si>
  <si>
    <t>?</t>
  </si>
  <si>
    <t>Nevada</t>
  </si>
  <si>
    <t>Hawaii</t>
  </si>
  <si>
    <t>Alaska</t>
  </si>
  <si>
    <t>Massachusettes</t>
  </si>
  <si>
    <t>Michigan</t>
  </si>
  <si>
    <t>state satisfaction</t>
  </si>
  <si>
    <t>if you're a parent in each state deciding - what resources does the state offer to determine?</t>
  </si>
  <si>
    <t xml:space="preserve">do mystery shopping - I'm moving to Ohio and want to do virtual schooling and who should I ask </t>
  </si>
  <si>
    <t>do that in each state to understand the enrolment and competition dynamic</t>
  </si>
  <si>
    <t>call the state about what resources exist  - even ones not run by government</t>
  </si>
  <si>
    <t>what is the process as a parent goes through this</t>
  </si>
  <si>
    <t>make a template for each state</t>
  </si>
  <si>
    <t>Enrolment Net Adds (#K)</t>
  </si>
  <si>
    <t>Quarterly</t>
  </si>
  <si>
    <t>US Traffic</t>
  </si>
  <si>
    <t>Note: Traffic is Semrush US Desktop Traffic</t>
  </si>
  <si>
    <t>Sequential #</t>
  </si>
  <si>
    <t>Enrolment Net Adds per 1M Visits</t>
  </si>
  <si>
    <t>Enrolment Net Adds per 1M Sequential Visits</t>
  </si>
  <si>
    <t xml:space="preserve">State Deep Dives </t>
  </si>
  <si>
    <t>Partner pubic schools:</t>
  </si>
  <si>
    <t>Texas Virtual Academy at Hallsville</t>
  </si>
  <si>
    <t>Contract end date:</t>
  </si>
  <si>
    <t>Enrollment:</t>
  </si>
  <si>
    <t>Satisfaction (1-5):</t>
  </si>
  <si>
    <t>Aggregate SY23 enrollment:</t>
  </si>
  <si>
    <t>Last Change:</t>
  </si>
  <si>
    <t xml:space="preserve">Next Change: </t>
  </si>
  <si>
    <t xml:space="preserve">PPR (general): </t>
  </si>
  <si>
    <t xml:space="preserve">PPR (virtual): </t>
  </si>
  <si>
    <t>State Funding Status</t>
  </si>
  <si>
    <t>SY23 Enrolment</t>
  </si>
  <si>
    <t>Non-Stride Schools</t>
  </si>
  <si>
    <t>Provider</t>
  </si>
  <si>
    <t>TX Lone Star Online Academy @ Roscoe</t>
  </si>
  <si>
    <t>Signed 2021</t>
  </si>
  <si>
    <t>Texas Online Preparatory School</t>
  </si>
  <si>
    <t>Digital Academy of Texas</t>
  </si>
  <si>
    <t>School 1:</t>
  </si>
  <si>
    <t>School 2:</t>
  </si>
  <si>
    <t xml:space="preserve">School 3: </t>
  </si>
  <si>
    <t>School 4:</t>
  </si>
  <si>
    <t>iSchool Virtual Academy of Texas</t>
  </si>
  <si>
    <t xml:space="preserve">iUniversity Prep </t>
  </si>
  <si>
    <t>Texas Connections Academy at Houston</t>
  </si>
  <si>
    <t>Conroe ISD Virtual Academy Information</t>
  </si>
  <si>
    <t>Connections Academy</t>
  </si>
  <si>
    <t>Concerns about closing virtual school loophole prior to COVID</t>
  </si>
  <si>
    <t>Sources:</t>
  </si>
  <si>
    <t>Funding schedule:</t>
  </si>
  <si>
    <t>Full or pro-rated based on completion / advancement</t>
  </si>
  <si>
    <t>Possible changes in 2025 legislative session</t>
  </si>
  <si>
    <t>Partner districts or state-charter:</t>
  </si>
  <si>
    <t>Districts</t>
  </si>
  <si>
    <t xml:space="preserve">Type: </t>
  </si>
  <si>
    <t>District</t>
  </si>
  <si>
    <t>Path for voucher program and home schooling has uncertain impact</t>
  </si>
  <si>
    <t>Funding goes from state to district (LEA) to LRN; LEAs charge % fee to LRN</t>
  </si>
  <si>
    <t>Notes / risks:</t>
  </si>
  <si>
    <t>Contract:</t>
  </si>
  <si>
    <t>Full service</t>
  </si>
  <si>
    <t>Contacts</t>
  </si>
  <si>
    <t>John Martin, Hallsville ISD</t>
  </si>
  <si>
    <t>Total Competitor Enrolment</t>
  </si>
  <si>
    <t>Total Public Virtual School Enrolment</t>
  </si>
  <si>
    <t>Total Public School Enrolment</t>
  </si>
  <si>
    <t>Stride % of virtual enrolment</t>
  </si>
  <si>
    <t>Stride presence since:</t>
  </si>
  <si>
    <t>Stride Schools Enrolment</t>
  </si>
  <si>
    <t>Virtual % of total enrolment</t>
  </si>
  <si>
    <t>Stride % of total enrolment</t>
  </si>
  <si>
    <t>Virtual schools: https://txvsn.org/OLS-Campuses; Enrolment per NCES data; TX enrolment per TEA</t>
  </si>
  <si>
    <t xml:space="preserve">TEA report on 23-24 SY: https://tea.texas.gov/reports-and-data/school-performance/accountability-research/enroll-2023-24.pdf </t>
  </si>
  <si>
    <t>Dallas Hybrid Preparatory at Stephen J. Hay</t>
  </si>
  <si>
    <t>eSchool Prep Academy</t>
  </si>
  <si>
    <t>Forney Virtual Academy</t>
  </si>
  <si>
    <t>Founders Classical Academy-Online</t>
  </si>
  <si>
    <t>GCCISD Virtual Academy</t>
  </si>
  <si>
    <t>Great Hearts Online Texas</t>
  </si>
  <si>
    <t>Greyhounds Online Academy</t>
  </si>
  <si>
    <t>Harmony Virtual Academy</t>
  </si>
  <si>
    <t>Hutto Virtual Academy</t>
  </si>
  <si>
    <t>iLearn Virtual Academy at Dallas ISD</t>
  </si>
  <si>
    <t>Lone Star Virtual Academy</t>
  </si>
  <si>
    <t>South Texas ISD Virtual Academy</t>
  </si>
  <si>
    <t>Trinity Charter School – Tyler Reclaim Academy</t>
  </si>
  <si>
    <t>Charter</t>
  </si>
  <si>
    <t>Premier High School Online</t>
  </si>
  <si>
    <t xml:space="preserve">Stride % Virtual </t>
  </si>
  <si>
    <t>Virtual % of Total</t>
  </si>
  <si>
    <t xml:space="preserve">Stride % Total </t>
  </si>
  <si>
    <t>State Trends</t>
  </si>
  <si>
    <t>Funding</t>
  </si>
  <si>
    <t>TEA report on funding: https://tea.texas.gov/finance-and-grants/state-funding/foundation-school-program/fsp-manuals/texas-public-school-finance-overview-presentation-2022-23.pdf</t>
  </si>
  <si>
    <t>Basic Allotment</t>
  </si>
  <si>
    <t>Category</t>
  </si>
  <si>
    <t>Christa Ellis, Union School Corporation Board VP</t>
  </si>
  <si>
    <t>School 5:</t>
  </si>
  <si>
    <t>Indiana Digital Learning School</t>
  </si>
  <si>
    <t>Indiana Hoosier College and Career Academy</t>
  </si>
  <si>
    <t>School 3:</t>
  </si>
  <si>
    <t xml:space="preserve">School 4: </t>
  </si>
  <si>
    <t>Indiana Gateway Digital Academy</t>
  </si>
  <si>
    <t>Indiana Digital Alternative School</t>
  </si>
  <si>
    <t>Indiana Gateway Alternative School</t>
  </si>
  <si>
    <t>GEO Focus Academy</t>
  </si>
  <si>
    <t>Full Service</t>
  </si>
  <si>
    <t>Competitor schools: https://www.niche.com/k12/search/best-online-schools/s/indiana/</t>
  </si>
  <si>
    <t>Indiana Connections Academy</t>
  </si>
  <si>
    <t>Traditional Public</t>
  </si>
  <si>
    <t>Virtual Charter</t>
  </si>
  <si>
    <t>https://www.in.gov/doe/files/2023-Tuition-Support-Report.pdf</t>
  </si>
  <si>
    <t>Cloverdale Distance Learning Academy</t>
  </si>
  <si>
    <t>Indiana Connections Career Academy</t>
  </si>
  <si>
    <t>Achieve Virtual Education Academy</t>
  </si>
  <si>
    <t>Virtual Preparatory Academy of Indiana at Madison-Grant K-5</t>
  </si>
  <si>
    <t>Virtual Preparatory Academy Of Indiana At Madison-grant 6-8</t>
  </si>
  <si>
    <t>Virtual Preparatory Academy Of Indiana At Madison-grant 92</t>
  </si>
  <si>
    <t>Vigo Virtual School Academy</t>
  </si>
  <si>
    <t>Indiana Agriculture &amp; Technology</t>
  </si>
  <si>
    <t>Options Indiana</t>
  </si>
  <si>
    <t>Phalen Virtual Leadership Academy</t>
  </si>
  <si>
    <t>South Bend Virtual School</t>
  </si>
  <si>
    <t>Evsc Virtual Academy</t>
  </si>
  <si>
    <t>Fort Wayne Virtual Academy</t>
  </si>
  <si>
    <t>Gary Virtual Academy</t>
  </si>
  <si>
    <t>Muncie Virtual Academy</t>
  </si>
  <si>
    <t>Trojan Virtual Academy</t>
  </si>
  <si>
    <t>Ohio Virtual Academy</t>
  </si>
  <si>
    <t>Ohio Digital Learning School</t>
  </si>
  <si>
    <t>Mixed</t>
  </si>
  <si>
    <t>September and Feb count dates - half funding at each</t>
  </si>
  <si>
    <t>INDLS contract is 95% / 5% rev share with LRN</t>
  </si>
  <si>
    <t>No NCES Detail Available</t>
  </si>
  <si>
    <t>Stride School Detail</t>
  </si>
  <si>
    <t>Enrolment by Grade</t>
  </si>
  <si>
    <t>By Race</t>
  </si>
  <si>
    <t>By Gender</t>
  </si>
  <si>
    <t>By Program</t>
  </si>
  <si>
    <t>#</t>
  </si>
  <si>
    <t>School (K12.com)</t>
  </si>
  <si>
    <t>School Name (NCES.ed.gov)</t>
  </si>
  <si>
    <t>Single School</t>
  </si>
  <si>
    <t>Grades</t>
  </si>
  <si>
    <t>Tuition</t>
  </si>
  <si>
    <t>Contract Expiration</t>
  </si>
  <si>
    <t>Total Students</t>
  </si>
  <si>
    <t>Classroom Teachers</t>
  </si>
  <si>
    <t>PK</t>
  </si>
  <si>
    <t>KG</t>
  </si>
  <si>
    <t>22 Spend</t>
  </si>
  <si>
    <t>23 Spend</t>
  </si>
  <si>
    <t>Native</t>
  </si>
  <si>
    <t>Asian</t>
  </si>
  <si>
    <t>Black</t>
  </si>
  <si>
    <t>Hispanic</t>
  </si>
  <si>
    <t>Native Hawaiian/PI</t>
  </si>
  <si>
    <t>White</t>
  </si>
  <si>
    <t>2+ Races</t>
  </si>
  <si>
    <t>M</t>
  </si>
  <si>
    <t>F</t>
  </si>
  <si>
    <t>Free Lunch</t>
  </si>
  <si>
    <t>Reduced-Price Lunch</t>
  </si>
  <si>
    <t>Phone #</t>
  </si>
  <si>
    <t>School Link (if available)</t>
  </si>
  <si>
    <t>K12 Site</t>
  </si>
  <si>
    <t>Data Link / URL</t>
  </si>
  <si>
    <t>Alabama Virtual Academy</t>
  </si>
  <si>
    <t>Alabama Virtual Academy at Eufaula City Schools</t>
  </si>
  <si>
    <t>K-12</t>
  </si>
  <si>
    <t>Tuition-Free</t>
  </si>
  <si>
    <t>Regular School</t>
  </si>
  <si>
    <t>(334) 689-5059</t>
  </si>
  <si>
    <t>Search for Public Schools - Alabama Virtual Academy at Eufaula City Schools (010141002439)</t>
  </si>
  <si>
    <t>Alabama Destinations Career Academy</t>
  </si>
  <si>
    <t>(251) 452-6452</t>
  </si>
  <si>
    <t>http://www.chickasawschools.com</t>
  </si>
  <si>
    <t>Search for Public Schools - Alabama Destinations Career Academy (010018802514)</t>
  </si>
  <si>
    <t>K12 Private Academy</t>
  </si>
  <si>
    <t>Pre-K-12</t>
  </si>
  <si>
    <t>Tuition-Based</t>
  </si>
  <si>
    <t>Marian University Preparatory School</t>
  </si>
  <si>
    <t>The Keystone School</t>
  </si>
  <si>
    <t>The George Washington University Online High School</t>
  </si>
  <si>
    <t>8-12</t>
  </si>
  <si>
    <t>Grand Canyon Private Academy</t>
  </si>
  <si>
    <t>Genesis Innovative School</t>
  </si>
  <si>
    <t>(251)578-5291</t>
  </si>
  <si>
    <t>http://www.conecuh.k12.al.us/?DivisionID=21021</t>
  </si>
  <si>
    <t>Yes</t>
  </si>
  <si>
    <t>https://nces.ed.gov/ccd/schoolsearch/school_detail.asp?Search=1&amp;DistrictID=0100870&amp;ID=010087002442</t>
  </si>
  <si>
    <t>Insight Academy of Arizona</t>
  </si>
  <si>
    <t>Arizona Insight Academy</t>
  </si>
  <si>
    <t>7-12</t>
  </si>
  <si>
    <t>(602)476-1320</t>
  </si>
  <si>
    <t>Search for Public Schools - Arizona Insight Academy (040043203324)</t>
  </si>
  <si>
    <t>Arizona Virtual Academy</t>
  </si>
  <si>
    <t>https://azva.k12.com/</t>
  </si>
  <si>
    <t>Search for Public School - Arizona Virtual Academy (040043202200)</t>
  </si>
  <si>
    <t>Tuition-Assisted</t>
  </si>
  <si>
    <t>No NCES</t>
  </si>
  <si>
    <t>Arkansas Virtual Academy</t>
  </si>
  <si>
    <t>ARKANSAS VIRTUAL ACADEMY HIGH SCHOOL</t>
  </si>
  <si>
    <t>(501)664-4225</t>
  </si>
  <si>
    <t>http://www.arva.org</t>
  </si>
  <si>
    <t>Search for Public School - ARKANSAS VIRTUAL ACADEMY HIGH SCHOOL (050039401604)</t>
  </si>
  <si>
    <t>IQ Academy California-Los Angeles</t>
  </si>
  <si>
    <t>iQ Academy California-Los Angeles</t>
  </si>
  <si>
    <t>TK-12</t>
  </si>
  <si>
    <t>805)581-0202</t>
  </si>
  <si>
    <t>http://iqca.k12start.com</t>
  </si>
  <si>
    <t>Search for Public School - iQ Academy California-Los Angeles ( 060196412477)</t>
  </si>
  <si>
    <t>Possible mismatch</t>
  </si>
  <si>
    <t>California Virtual Academies</t>
  </si>
  <si>
    <t>California Virtual Academy at Kings</t>
  </si>
  <si>
    <t>(805)581-0202</t>
  </si>
  <si>
    <t>http://www.caliva.org</t>
  </si>
  <si>
    <t>https://nces.ed.gov/ccd/schoolsearch/school_detail.asp?Search=1&amp;Miles=10&amp;Zip=93062&amp;ID=060188411996</t>
  </si>
  <si>
    <t>Insight School of California</t>
  </si>
  <si>
    <t>9-12</t>
  </si>
  <si>
    <t>Search for Public School - Insight School of California (060174513167)</t>
  </si>
  <si>
    <t>Destinations Career Academy of Colorado</t>
  </si>
  <si>
    <t>4-12</t>
  </si>
  <si>
    <t>(303)128-6266</t>
  </si>
  <si>
    <t>Search for Public School - Destinations Career Academy of Colorado (080486006387)</t>
  </si>
  <si>
    <t>Colorado Preparatory Academy - ES</t>
  </si>
  <si>
    <t>Colorado Preparatory Academy Elementary School</t>
  </si>
  <si>
    <t>K-5</t>
  </si>
  <si>
    <t>(720)381-2047</t>
  </si>
  <si>
    <t>https://nces.ed.gov/ccd/schoolsearch/school_detail.asp?Search=1&amp;DistrictID=0800282&amp;ID=080028206752</t>
  </si>
  <si>
    <t>Colorado Preparatory Academy - MS</t>
  </si>
  <si>
    <t>Colorado Preparatory Academy Middle School</t>
  </si>
  <si>
    <t>6-8</t>
  </si>
  <si>
    <t>https://nces.ed.gov/ccd/schoolsearch/school_detail.asp?Search=1&amp;DistrictID=0800282&amp;ID=080028206764</t>
  </si>
  <si>
    <t>Colorado Preparatory Academy - HS</t>
  </si>
  <si>
    <t>Colorado Preparatory Academy High School</t>
  </si>
  <si>
    <t>Search for Public School - Colorado Preparatory Academy High School (080028206600 )</t>
  </si>
  <si>
    <t>Colorado Pikes Peak Online School</t>
  </si>
  <si>
    <t>Pikes Peak Online School</t>
  </si>
  <si>
    <t>Other/alternative school</t>
  </si>
  <si>
    <t>(720)370-7767</t>
  </si>
  <si>
    <t>http://ppos.k12.com/</t>
  </si>
  <si>
    <t>https://nces.ed.gov/ccd/schoolsearch/school_detail.asp?Search=1&amp;Zip=80234&amp;Miles=5&amp;SchoolPageNum=3&amp;ID=080028206664</t>
  </si>
  <si>
    <t>Connecticut</t>
  </si>
  <si>
    <t>Delaware</t>
  </si>
  <si>
    <t>DC Friendship Public Charter School Online</t>
  </si>
  <si>
    <t>Friendship PCS - Online Academy</t>
  </si>
  <si>
    <t>K-8</t>
  </si>
  <si>
    <t>(202)729-8287</t>
  </si>
  <si>
    <t>http://www.friendshipschools.org</t>
  </si>
  <si>
    <t>https://nces.ed.gov/ccd/schoolsearch/school_detail.asp?Search=1&amp;DistrictID=1100008&amp;ID=110000800495</t>
  </si>
  <si>
    <t>Digital Academy of Florida</t>
  </si>
  <si>
    <t>DIGITAL ACADEMY OF FLORIDA</t>
  </si>
  <si>
    <t>(863)271-4300</t>
  </si>
  <si>
    <t>https://daof.k12.com/</t>
  </si>
  <si>
    <t>Search for Public School - DIGITAL ACADEMY OF FLORIDA (120078007725)</t>
  </si>
  <si>
    <t>Florida Cyber Charter Academy</t>
  </si>
  <si>
    <t>FLORIDA CYBER CHARTER ACADEMY</t>
  </si>
  <si>
    <t>(904)247-3268</t>
  </si>
  <si>
    <t>http://www.flcca.k12.com</t>
  </si>
  <si>
    <t xml:space="preserve">Serach for Public School - FLORIDA CYBER CHARTER ACADEMY (120048008228) </t>
  </si>
  <si>
    <t>Miami-Dade Online Academy</t>
  </si>
  <si>
    <t>MIAMI-DADE ONLINE ACADEMY- VIRTUAL INSTRUCTION PROGRAM</t>
  </si>
  <si>
    <t>(786)438-3233</t>
  </si>
  <si>
    <t>Search for Public School - MIAMI-DADE ONLINE ACADEMY- VIRTUAL INSTRUCTION PROGRAM (120039007580)</t>
  </si>
  <si>
    <t>Baker Virtual Instruction Program</t>
  </si>
  <si>
    <t>BAKER VIRTUAL INSTRUCTION PROGRAM</t>
  </si>
  <si>
    <t>(904)259-0429</t>
  </si>
  <si>
    <t>http://www.bakerk12.org</t>
  </si>
  <si>
    <t>https://nces.ed.gov/ccd/schoolsearch/school_detail.asp?Search=1&amp;DistrictID=1200060&amp;ID=120006007718</t>
  </si>
  <si>
    <t>Bay Virtual Instruction Program</t>
  </si>
  <si>
    <t>BAY VIRTUAL INSTRUCTION PROGRAM</t>
  </si>
  <si>
    <t>(850)747-4460</t>
  </si>
  <si>
    <t>Search for Public School - BAY VIRTUAL INSTRUCTION PROGRAM  (120009007771)</t>
  </si>
  <si>
    <t>Bradford Virtual Instruction Program</t>
  </si>
  <si>
    <t>BRADFORD VIRTUAL INSTRUCTION PROGRAM</t>
  </si>
  <si>
    <t>(904)966-6010</t>
  </si>
  <si>
    <t>http://bradfordschools.org</t>
  </si>
  <si>
    <t>https://nces.ed.gov/ccd/schoolsearch/school_detail.asp?Search=1&amp;Zip=32091&amp;Miles=20&amp;DistrictType=1&amp;DistrictType=2&amp;DistrictType=3&amp;DistrictType=4&amp;DistrictType=5&amp;DistrictType=6&amp;DistrictType=7&amp;NumOfStudentsRange=more&amp;NumOfSchoolsRange=more&amp;ID=120012007697</t>
  </si>
  <si>
    <t>Broward Virtual School - K-5</t>
  </si>
  <si>
    <t>BROWARD VIRTUAL INSTRUCTION PROGRAM</t>
  </si>
  <si>
    <t>(754)321-6050</t>
  </si>
  <si>
    <t>http://www.bved.net</t>
  </si>
  <si>
    <t>https://nces.ed.gov/ccd/schooLSearch/school_detail.asp?State=12&amp;SchoolPageNum=29&amp;ID=120018007755</t>
  </si>
  <si>
    <t>Broward Virtual School - 6-12</t>
  </si>
  <si>
    <t>BROWARD VIRTUAL FRANCHISE</t>
  </si>
  <si>
    <t>6-12</t>
  </si>
  <si>
    <t>https://nces.ed.gov/ccd/schooLSearch/school_detail.asp?State=12&amp;SchoolPageNum=29&amp;ID=120018004058</t>
  </si>
  <si>
    <t>Calhoun Virtual Instruction Program</t>
  </si>
  <si>
    <t>CALHOUN VIRTUAL INSTRUCTION PROGRAM</t>
  </si>
  <si>
    <t>(850)674-8734</t>
  </si>
  <si>
    <t>http://www.calhounflschools.org</t>
  </si>
  <si>
    <t>Search for Public School - CALHOUN VIRTUAL INSTRUCTION PROGRAM (120021007757)</t>
  </si>
  <si>
    <t>Dixie Virtual Instruction Program</t>
  </si>
  <si>
    <t>DIXIE VIRTUAL INSTRUCTION PROGRAM</t>
  </si>
  <si>
    <t>(352)541-6335</t>
  </si>
  <si>
    <t xml:space="preserve">http://www.dixie.k12.fl.us </t>
  </si>
  <si>
    <t>Search for Public School - DIXIE VIRTUAL INSTRUCTION PROGRAM (120045007674)</t>
  </si>
  <si>
    <t>Flagler Virtual Instruction Program</t>
  </si>
  <si>
    <t>FLAGLER VIRTUAL INSTRUCTION PROGRAM</t>
  </si>
  <si>
    <t>(386)437-7526</t>
  </si>
  <si>
    <t>http://www.flaglerschools.com</t>
  </si>
  <si>
    <t>Search for Public School - FLAGLER VIRTUAL INSTRUCTION PROGRAM (120054007682)</t>
  </si>
  <si>
    <t>Franklin Virtual Instruction Program</t>
  </si>
  <si>
    <t>FRANKLIN VIRTUAL INSTRUCTION PROGRAM</t>
  </si>
  <si>
    <t>(407)513-3587</t>
  </si>
  <si>
    <t>http://flvsft.com</t>
  </si>
  <si>
    <t>Search for Public School - FRANKLIN VIRTUAL INSTRUCTION PROGRAM (120057007934)</t>
  </si>
  <si>
    <t>Gadsden Virtual Instruction Program</t>
  </si>
  <si>
    <t>GADSDEN VIRTUAL INSTRUCTION PROGRAM</t>
  </si>
  <si>
    <t>(850)627-9651</t>
  </si>
  <si>
    <t xml:space="preserve">http://www.gadsdenschools.org </t>
  </si>
  <si>
    <t>Search for Public School - GADSDEN VIRTUAL INSTRUCTION PROGRAM (120060007756)</t>
  </si>
  <si>
    <t>Gilchrist Virtual Instruction Program</t>
  </si>
  <si>
    <t>GILCHRIST VIRTUAL INSTRUCTION PROGRAM</t>
  </si>
  <si>
    <t>(352)463-3200</t>
  </si>
  <si>
    <t xml:space="preserve">http://www.gilchristschools.org/ </t>
  </si>
  <si>
    <t>Search for Public School - GILCHRIST VIRTUAL INSTRUCTION PROGRAM (120063007742)</t>
  </si>
  <si>
    <t>Hamilton Virtual Instruction Program</t>
  </si>
  <si>
    <t>HAMILTON VIRTUAL INSTRUCTION PROGRAM</t>
  </si>
  <si>
    <t>(386)792-7830</t>
  </si>
  <si>
    <t>Search for Public School - HAMILTON VIRTUAL INSTRUCTION PROGRAM (120072007749)</t>
  </si>
  <si>
    <t>Indian River Virtual Instruction Program</t>
  </si>
  <si>
    <t>INDIAN RIVER VIRTUAL INSTRUCTION PROGRAM</t>
  </si>
  <si>
    <t>(772)564-3045</t>
  </si>
  <si>
    <t>http://www.indianriverschools.org</t>
  </si>
  <si>
    <t>Search for Public School - INDIAN RIVER VIRTUAL INSTRUCTION PROGRAM (120093007737)</t>
  </si>
  <si>
    <t>Jackson County Virtual Instruction Program</t>
  </si>
  <si>
    <t>JACKSON VIRTUAL INSTRUCTION PROGRAM</t>
  </si>
  <si>
    <t>(850)482-1200</t>
  </si>
  <si>
    <t>http://www.jcsb.org</t>
  </si>
  <si>
    <t>https://nces.ed.gov/ccd/schoolsearch/school_detail.asp?Search=1&amp;Zip=32421&amp;Miles=20&amp;DistrictType=1&amp;DistrictType=2&amp;DistrictType=3&amp;DistrictType=4&amp;DistrictType=5&amp;DistrictType=6&amp;DistrictType=7&amp;NumOfStudentsRange=more&amp;NumOfSchoolsRange=more&amp;SchoolPageNum=2&amp;ID=120096007662</t>
  </si>
  <si>
    <t>Lake Virtual Instruction Program</t>
  </si>
  <si>
    <t>LAKE VIRTUAL INSTRUCTION PROGRAM</t>
  </si>
  <si>
    <t>(352)253-6550</t>
  </si>
  <si>
    <t>http://lcvs.lake.k12.fl.us/</t>
  </si>
  <si>
    <t>Search for Public School - LAKE VIRTUAL INSTRUCTION PROGRAM (120105007681)</t>
  </si>
  <si>
    <t>Monroe Virtual Instruction Program</t>
  </si>
  <si>
    <t>MONROE VIRTUAL INSTRUCTION PROGRAM</t>
  </si>
  <si>
    <t>(305)289-2480</t>
  </si>
  <si>
    <t>Search for Public School - MONROE VIRTUAL INSTRUCTION PROGRAM (120132007723)</t>
  </si>
  <si>
    <t>Okaloosa County Virtual Instruction Program</t>
  </si>
  <si>
    <t>OKALOOSA VIRTUAL INSTRUCTION PROGRAM</t>
  </si>
  <si>
    <t>(850)833-3100</t>
  </si>
  <si>
    <t>Search for Public School - OKALOOSA VIRTUAL INSTRUCTION PROGRAM (120138007675)</t>
  </si>
  <si>
    <t>Orange County Virtual School</t>
  </si>
  <si>
    <t>OCVS VIRTUAL FRANCHISE</t>
  </si>
  <si>
    <t>(407)317-3327</t>
  </si>
  <si>
    <t>http://ocvs.ocps.net/</t>
  </si>
  <si>
    <t>https://nces.ed.gov/ccd/schoolsearch/school_detail.asp?Search=1&amp;DistrictID=1201440&amp;SchoolPageNum=11&amp;ID=120144007846</t>
  </si>
  <si>
    <t>Palm Beach Virtual</t>
  </si>
  <si>
    <t>PALM BEACH VIRTUAL INSTRUCTION PROGRAM</t>
  </si>
  <si>
    <t>(561)881-4769</t>
  </si>
  <si>
    <t>http://pbv.palmbeachschools.org</t>
  </si>
  <si>
    <t>Search for Public School - PALM BEACH VIRTUAL INSTRUCTION PROGRAM (120150007579)</t>
  </si>
  <si>
    <t>Polk County Virtual School</t>
  </si>
  <si>
    <t>POLK VIRTUAL INSTRUCTION PROGRAM</t>
  </si>
  <si>
    <t>(863)354-3999</t>
  </si>
  <si>
    <t>http://schools.polk-fl.net/pvs</t>
  </si>
  <si>
    <t>Search for Public School - POLK VIRTUAL INSTRUCTION PROGRAM (120159007686)</t>
  </si>
  <si>
    <t>St. Lucie Virtual</t>
  </si>
  <si>
    <t>ST. LUCIE VIRTUAL INSTRUCTION PROGRAM</t>
  </si>
  <si>
    <t>(772)429-3913</t>
  </si>
  <si>
    <t>Search for Public School - ST. LUCIE VIRTUAL INSTRUCTION PROGRAM (120177007766)</t>
  </si>
  <si>
    <t>Sumter Virtual School Program</t>
  </si>
  <si>
    <t>SUMTER COUNTY VIRTUAL INSTRUCTION PROGRAM</t>
  </si>
  <si>
    <t>(352)793-2315</t>
  </si>
  <si>
    <t>Search for Public School - SUMTER COUNTY VIRTUAL INSTRUCTION PROGRAM (120180007769)</t>
  </si>
  <si>
    <t>Washington County Virtual Instruction Program</t>
  </si>
  <si>
    <t>WASHINGTON VIRTUAL INSTRUCTION PROGRAM</t>
  </si>
  <si>
    <t>(850)638-6222</t>
  </si>
  <si>
    <t>http://www.wcsdschools.com</t>
  </si>
  <si>
    <t>Search for Public School -WASHINGTON VIRTUAL INSTRUCTION PROGRAM (120201007667)</t>
  </si>
  <si>
    <t>Destinations Career Academy of Georgia</t>
  </si>
  <si>
    <t>Destinations Career Academy of Georgia (Virtual)</t>
  </si>
  <si>
    <t>6-10</t>
  </si>
  <si>
    <t>(855)572-1486</t>
  </si>
  <si>
    <t>Search for Public School - Destinations Career Academy of Georgia (Virtual) (130585304460)</t>
  </si>
  <si>
    <t>Idaho Technical Career Academy</t>
  </si>
  <si>
    <t>IDAHO TECHNICAL CAREER ACADEMY</t>
  </si>
  <si>
    <t>(208)917-2420</t>
  </si>
  <si>
    <t>Search for Public School - IDAHO TECHNICAL CAREER ACADEMY (160017101069)</t>
  </si>
  <si>
    <t>Idaho Virtual Academy</t>
  </si>
  <si>
    <t>IDAHO VIRTUAL ACADEMY</t>
  </si>
  <si>
    <t>(208)322-3559</t>
  </si>
  <si>
    <t>Search for Public School - IDAHO VIRTUAL ACADEMY (160000400859)</t>
  </si>
  <si>
    <t>IIIinois</t>
  </si>
  <si>
    <t>Indiana Digital Learning School - Elementary</t>
  </si>
  <si>
    <t>Indiana Digital Elementary</t>
  </si>
  <si>
    <t>K-6</t>
  </si>
  <si>
    <t>(765)204-2224</t>
  </si>
  <si>
    <t>https://nces.ed.gov/ccd/schoolsearch/school_detail.asp?Search=1&amp;DistrictID=1811730&amp;ID=181173002654</t>
  </si>
  <si>
    <t>Indiana Digital Learning School - 6-12</t>
  </si>
  <si>
    <t>Indiana Digital JR and High School</t>
  </si>
  <si>
    <t>https://nces.ed.gov/ccd/schoolsearch/school_detail.asp?Search=1&amp;DistrictID=1811730&amp;ID=181173002666</t>
  </si>
  <si>
    <t>Hoosier College and Career Academy</t>
  </si>
  <si>
    <t>https://nces.ed.gov/ccd/schoolsearch/school_detail.asp?Search=1&amp;DistrictID=1800179&amp;ID=180017902601</t>
  </si>
  <si>
    <t>(844)743-4437</t>
  </si>
  <si>
    <t>Search for Public School - Indiana Gateway Digital Academy (180192002690)</t>
  </si>
  <si>
    <t>Search for Public School - Indiana Digital Alternative School (181173002660)</t>
  </si>
  <si>
    <t>(812)282-7753</t>
  </si>
  <si>
    <t>Search for Public School - Indiana Gateway Alternative School (180192002759)</t>
  </si>
  <si>
    <t>GEO FOCUS ACADEMY</t>
  </si>
  <si>
    <t>(855) 534-6301</t>
  </si>
  <si>
    <t>https://nces.ed.gov/surveys/pss/privateschoolsearch/school_detail.asp?Search=1&amp;Zip=46203&amp;Miles=20&amp;SchoolPageNum=3&amp;ID=A2190394</t>
  </si>
  <si>
    <t>Marian University Preparatory School-IN</t>
  </si>
  <si>
    <t>Iowa Virtual Academy</t>
  </si>
  <si>
    <t>(563)748-1017</t>
  </si>
  <si>
    <t>http://www.claytonridge.k12.ia.us</t>
  </si>
  <si>
    <t>Search for Public School - Iowa Virtual Academy (191335002206)</t>
  </si>
  <si>
    <t>Kansas Virtual Academy</t>
  </si>
  <si>
    <t>Kansas Virtual Academy (KSVA)</t>
  </si>
  <si>
    <t>(913)592-4600</t>
  </si>
  <si>
    <t>http://www.usd230.org/ourschools/insightschoolofkansas/</t>
  </si>
  <si>
    <t>Search for Public School - Kansas Virtual Academy (KSVA) (201185002068)</t>
  </si>
  <si>
    <t>Insight School of Kansas</t>
  </si>
  <si>
    <t>Search for Public School - Insight School of Kansas (201185001918)</t>
  </si>
  <si>
    <t>Insight School of Kansas Adult</t>
  </si>
  <si>
    <t>ALL</t>
  </si>
  <si>
    <t>Kentucky</t>
  </si>
  <si>
    <t>Kentucky Virtual Academy</t>
  </si>
  <si>
    <t>(270)788-3388</t>
  </si>
  <si>
    <t>Search for Public School - Kentucky Virtual Academy (210129002566)</t>
  </si>
  <si>
    <t>Louisiana Rebirth Academy</t>
  </si>
  <si>
    <t>Louisiana Virtual Charter Academy</t>
  </si>
  <si>
    <t>(504)322-7543</t>
  </si>
  <si>
    <t>Search for Public School - Louisiana Virtual Charter Academy (220023302320)</t>
  </si>
  <si>
    <t>Southern University Laboratory Virtual School</t>
  </si>
  <si>
    <t>(225)771-3490</t>
  </si>
  <si>
    <t>https://nces.ed.gov/ccd/schoolsearch/school_detail.asp?schoolid=220002302402&amp;ID=220002302402</t>
  </si>
  <si>
    <t>Maine Virtual Academy</t>
  </si>
  <si>
    <t>(207)613-8900</t>
  </si>
  <si>
    <t>http://www.mainevirtualacademy.org</t>
  </si>
  <si>
    <t>Search for Public School - Maine Virtual Academy (231482123147)</t>
  </si>
  <si>
    <t>Kent County Digital Scholars</t>
  </si>
  <si>
    <t>1-12</t>
  </si>
  <si>
    <t>Massachusetts</t>
  </si>
  <si>
    <t>Michigan Great Lakes Virtual Academy</t>
  </si>
  <si>
    <t>K PREP-12</t>
  </si>
  <si>
    <t>(231)794-5999</t>
  </si>
  <si>
    <t>Search for Public School - Michigan Great Lakes Virtual Academy (260107008516)</t>
  </si>
  <si>
    <t>Insight School of Michigan</t>
  </si>
  <si>
    <t>(517)580-0020</t>
  </si>
  <si>
    <t>http://mi.insightschools.net/who-we-are/transparency-reporting</t>
  </si>
  <si>
    <t>Search for Public School - Insight School of Michigan ( 260107708627)</t>
  </si>
  <si>
    <t>Highpoint Virtual Academy of Michigan</t>
  </si>
  <si>
    <t>(231)371-4707</t>
  </si>
  <si>
    <t>Search for Public School - Highpoint Virtual Academy of Michigan (260110708801)</t>
  </si>
  <si>
    <t>Michigan Virtual Charter Academy</t>
  </si>
  <si>
    <t>(616)309-1600</t>
  </si>
  <si>
    <t>http://mvca.k12.com/</t>
  </si>
  <si>
    <t>Search for Public School - Michigan Virtual Charter Academy (260097208180)</t>
  </si>
  <si>
    <t>Minnesota Virtual Academy</t>
  </si>
  <si>
    <t>Stride Academy K-8 Charter School</t>
  </si>
  <si>
    <t>(320)230-5340</t>
  </si>
  <si>
    <t>https://nces.ed.gov/ccd/schoolsearch/school_detail.asp?Search=1&amp;Zip=56387&amp;Miles=5&amp;SchoolPageNum=1&amp;ID=270025204405</t>
  </si>
  <si>
    <t>Insight School of Minnesota</t>
  </si>
  <si>
    <t>INSIGHT SCHOOL OF MINNESOTA</t>
  </si>
  <si>
    <t>(763)560-1905</t>
  </si>
  <si>
    <t>http://mn.insightschools.net/</t>
  </si>
  <si>
    <t>Search of Public School - INSIGHT SCHOOL OF MINNESOTA (270624004306)</t>
  </si>
  <si>
    <t>iQ Academy Minnesota</t>
  </si>
  <si>
    <t>Mississippi</t>
  </si>
  <si>
    <t>Missouri Digital Academy</t>
  </si>
  <si>
    <t>(573)765-3716</t>
  </si>
  <si>
    <t>Search for Public School - Missouri Digital Academy (291788003413)</t>
  </si>
  <si>
    <t>Missouri Virtual Academy</t>
  </si>
  <si>
    <t>(636)944-3941</t>
  </si>
  <si>
    <t>https://nces.ed.gov/ccd/schoolsearch/school_detail.asp?Search=1&amp;Miles=10&amp;Zip=63023&amp;SchoolPageNum=1&amp;ID=291317003411</t>
  </si>
  <si>
    <t>Montana</t>
  </si>
  <si>
    <t>Nebraska</t>
  </si>
  <si>
    <t>New Hampshire</t>
  </si>
  <si>
    <t>New Jersey</t>
  </si>
  <si>
    <t>Grand Canyon Private Academy`</t>
  </si>
  <si>
    <t>Destinations Career Academy of New Mexico</t>
  </si>
  <si>
    <t>New York</t>
  </si>
  <si>
    <t>North Carolina Virtual Academy</t>
  </si>
  <si>
    <t>NC Virtual Academy</t>
  </si>
  <si>
    <t>(919)346-0121</t>
  </si>
  <si>
    <t>https://nces.ed.gov/ccd/schoolsearch/school_detail.asp?Search=1&amp;DistrictID=3700398&amp;ID=370039803362</t>
  </si>
  <si>
    <t>Pine Springs Preparatory Virtual Academy North Carolina</t>
  </si>
  <si>
    <t>Pine Springs Preparatory Academy</t>
  </si>
  <si>
    <t>(919)439-9448</t>
  </si>
  <si>
    <t>http://www.pinespringsprep.org</t>
  </si>
  <si>
    <t>https://nces.ed.gov/ccd/schoolsearch/school_detail.asp?Search=1&amp;DistrictID=3700417&amp;ID=370041703413</t>
  </si>
  <si>
    <t>Coast to Mountains Preparatory Academy</t>
  </si>
  <si>
    <t>North Dakota</t>
  </si>
  <si>
    <t>(419)482-0948</t>
  </si>
  <si>
    <t>http://ohva.k12.com/</t>
  </si>
  <si>
    <t>Search for Public School - Ohio Virtual Academy (390018004704)</t>
  </si>
  <si>
    <t>(419)740-9007</t>
  </si>
  <si>
    <t>http://odls.k12.com/</t>
  </si>
  <si>
    <t>Serach for Public School - Ohio Digital Learning School (390161506004)</t>
  </si>
  <si>
    <t>Oklahoma Virtual Charter Academy - ES</t>
  </si>
  <si>
    <t>OKLA. VIRTUAL CHARTER ACAD ES</t>
  </si>
  <si>
    <t>(405)259-9478</t>
  </si>
  <si>
    <t>http://www.okvirtual.net/</t>
  </si>
  <si>
    <t>https://nces.ed.gov/ccd/schoolsearch/school_detail.asp?Search=1&amp;DistrictID=4000778&amp;ID=400077802719</t>
  </si>
  <si>
    <t>Oklahoma Virtual Charter Academy - MS</t>
  </si>
  <si>
    <t>OKLA. VIRTUAL CHARTER ACAD MS</t>
  </si>
  <si>
    <t>https://nces.ed.gov/ccd/schoolsearch/school_detail.asp?Search=1&amp;DistrictID=4000778&amp;ID=400077802784</t>
  </si>
  <si>
    <t>Oklahoma Virtual Charter Academy - HS</t>
  </si>
  <si>
    <t>OKLA. VIRTUAL CHARTER ACAD HS</t>
  </si>
  <si>
    <t>Insight School of Oklahoma</t>
  </si>
  <si>
    <t>INSIGHT SCHOOL OF OKLAHOMA HS</t>
  </si>
  <si>
    <t>(405)835-2133</t>
  </si>
  <si>
    <t>http://ok.insightschools.net</t>
  </si>
  <si>
    <t>Search for Public School - INSIGHT SCHOOL OF OKLAHOMA HS (400078502792)</t>
  </si>
  <si>
    <t>Oregon Cascade Virtual Academy</t>
  </si>
  <si>
    <t>Cascade Virtual Academy</t>
  </si>
  <si>
    <t>(541)823-5010</t>
  </si>
  <si>
    <t>https://cva.k12.com/</t>
  </si>
  <si>
    <t>Insight School of Oregon - Painted Hills</t>
  </si>
  <si>
    <t>Insight School of Oregon Painted Hills</t>
  </si>
  <si>
    <t>http://or-ph.insightschools.net</t>
  </si>
  <si>
    <t>Search for Public School - Insight School of Oregon Painted Hills (410828001813)</t>
  </si>
  <si>
    <t>Destinations Career Academy of Oregon</t>
  </si>
  <si>
    <t>https://ordca.k12.com/</t>
  </si>
  <si>
    <t>Search for Public School - Destinations Career Academy of Oregon (410828001864)</t>
  </si>
  <si>
    <t>Albany Online!</t>
  </si>
  <si>
    <t>Outside USA</t>
  </si>
  <si>
    <t>Agora Cyber Charter School</t>
  </si>
  <si>
    <t>Agora Cyber CS</t>
  </si>
  <si>
    <t>(610)230-0775</t>
  </si>
  <si>
    <t>http://www.agora.org</t>
  </si>
  <si>
    <t>https://nces.ed.gov/ccd/districtsearch/district_detail.asp?Search=2&amp;ID2=4200140&amp;DistrictID=4200140&amp;details=2</t>
  </si>
  <si>
    <t>Insight PA Cyber Charter School</t>
  </si>
  <si>
    <t>Insight PA Cyber CS</t>
  </si>
  <si>
    <t>(484)713-4353</t>
  </si>
  <si>
    <t>http://insightpa.k12.com/</t>
  </si>
  <si>
    <t>https://nces.ed.gov/ccd/schoolsearch/school_detail.asp?Search=1&amp;Zip=19425&amp;Miles=5&amp;ID=420089807635</t>
  </si>
  <si>
    <t>Puerto Rico</t>
  </si>
  <si>
    <t>Rhode Island</t>
  </si>
  <si>
    <t>Cyber Academy of South Carolina</t>
  </si>
  <si>
    <t>(855)611-2830</t>
  </si>
  <si>
    <t>Search for Public School - Cyber Academy of South Carolina (450390901616)</t>
  </si>
  <si>
    <t>South Carolina Carolus Online Academy</t>
  </si>
  <si>
    <t>South Carolina Virtual Charter School</t>
  </si>
  <si>
    <t>(803)253-6222</t>
  </si>
  <si>
    <t>https://nces.ed.gov/ccd/schoolsearch/school_detail.asp?Search=1&amp;Miles=10&amp;Zip=29033&amp;ID=450390901513</t>
  </si>
  <si>
    <t>Heron Virtual Academy of South Carolina</t>
  </si>
  <si>
    <t>(803)849-2464</t>
  </si>
  <si>
    <t>Search for Public School - Heron Virtual Academy of South Carolina ( 450390901784)</t>
  </si>
  <si>
    <t>South Dakota</t>
  </si>
  <si>
    <t>Tennessee Volunteer State Virtual Academy - ES</t>
  </si>
  <si>
    <t>(931)796-3264</t>
  </si>
  <si>
    <t>http://vsva.k12.com/</t>
  </si>
  <si>
    <t>https://nces.ed.gov/ccd/schoolsearch/school_detail.asp?Search=1&amp;DistrictID=4702430&amp;ID=470243010483</t>
  </si>
  <si>
    <t>Tennessee Volunteer State Virtual Academy - MS</t>
  </si>
  <si>
    <t>https://nces.ed.gov/ccd/schoolsearch/school_detail.asp?Search=1&amp;DistrictID=4702430&amp;ID=470243010485</t>
  </si>
  <si>
    <t>Tennessee Volunteer State Virtual Academy - HS</t>
  </si>
  <si>
    <t>https://nces.ed.gov/ccd/schoolsearch/school_detail.asp?Search=1&amp;DistrictID=4702430&amp;ID=470243010484</t>
  </si>
  <si>
    <t>Tennessee Virtual Academy - ES</t>
  </si>
  <si>
    <t>Tennessee Virtual Academy</t>
  </si>
  <si>
    <t>(865)992-9026</t>
  </si>
  <si>
    <t>http://tnva.k12.com/</t>
  </si>
  <si>
    <t>https://nces.ed.gov/ccd/schoolsearch/school_detail.asp?Search=1&amp;DistrictID=4704290&amp;ID=470429002280</t>
  </si>
  <si>
    <t>Tennessee Virtual Academy - MS</t>
  </si>
  <si>
    <t>Tennessee Virtual Junior High School</t>
  </si>
  <si>
    <t>7-9</t>
  </si>
  <si>
    <t>https://nces.ed.gov/ccd/schoolsearch/school_detail.asp?Search=1&amp;DistrictID=4704290&amp;ID=470429010444</t>
  </si>
  <si>
    <t>K12 Texas</t>
  </si>
  <si>
    <t>TEXAS TECH UNIVERSITY K-12</t>
  </si>
  <si>
    <t>(806)834-2238</t>
  </si>
  <si>
    <t>http://www.k12.ttu.edu</t>
  </si>
  <si>
    <t>https://nces.ed.gov/ccd/schoolsearch/school_detail.asp?Search=1&amp;DistrictID=4801480&amp;ID=480148014286</t>
  </si>
  <si>
    <t>LONE STAR ONLINE ACADEMY</t>
  </si>
  <si>
    <t>Signed Oct. 2021</t>
  </si>
  <si>
    <t>7M</t>
  </si>
  <si>
    <t>43M</t>
  </si>
  <si>
    <t>(325)766-3629</t>
  </si>
  <si>
    <t>https://nces.ed.gov/ccd/schoolsearch/school_detail.asp?Search=1&amp;DistrictID=4837860&amp;ID=483786014301</t>
  </si>
  <si>
    <t>TEXAS VIRTUAL ACADEMY AT HALLSVILLE</t>
  </si>
  <si>
    <t>3-12</t>
  </si>
  <si>
    <t>(903)668-5990</t>
  </si>
  <si>
    <t>http://hisd.com</t>
  </si>
  <si>
    <t>Serach for Public School - TEXAS VIRTUAL ACADEMY AT HALLSVILLE (482217012918)</t>
  </si>
  <si>
    <t>TEXAS ONLINE PREPARATORY EL</t>
  </si>
  <si>
    <t>(936)435-6306</t>
  </si>
  <si>
    <t>Serach For Public School -TEXAS ONLINE PREPARATORY EL (482403012936)</t>
  </si>
  <si>
    <t>DIGITAL ACADEMY OF TEXAS</t>
  </si>
  <si>
    <t>5-12</t>
  </si>
  <si>
    <t>(903)794-3651</t>
  </si>
  <si>
    <t>Search for Public School - DIGITAL ACADEMY OF TEXAS (484248013901)</t>
  </si>
  <si>
    <t>KEYSTONE SCHOOL</t>
  </si>
  <si>
    <t>(210) 735-4022</t>
  </si>
  <si>
    <t>Search for PRIVATE School - KEYSTONE SCHOOL (A1904293)</t>
  </si>
  <si>
    <t>U.S. Virgin Island</t>
  </si>
  <si>
    <t>Utah Virtual Academy</t>
  </si>
  <si>
    <t>(801)262-4922</t>
  </si>
  <si>
    <t>http://www.k12.com/utva</t>
  </si>
  <si>
    <t>Search for Public School - Utah Virtual Academy (490013001196)</t>
  </si>
  <si>
    <t>Utah Virtual Academy (Part-Time)</t>
  </si>
  <si>
    <t>Vermont</t>
  </si>
  <si>
    <t>Virginia Virtual Academy</t>
  </si>
  <si>
    <t>Virginia Virtual Academy at Salem</t>
  </si>
  <si>
    <t>(540)389-0130</t>
  </si>
  <si>
    <t>http://www.salem.k12.va.us/</t>
  </si>
  <si>
    <t>https://nces.ed.gov/ccd/schoolsearch/school_detail.asp?Search=1&amp;DistrictID=5103460&amp;ID=510346003134</t>
  </si>
  <si>
    <t>Insight School of Washington</t>
  </si>
  <si>
    <t>(253)292-5817</t>
  </si>
  <si>
    <t>Search for Public School - Insight School of Washington (530702003078)</t>
  </si>
  <si>
    <t>Washington Virtual Academies</t>
  </si>
  <si>
    <t>Washington Virtual Academy Omak High School</t>
  </si>
  <si>
    <t>(509)826-8681</t>
  </si>
  <si>
    <t>https://nces.ed.gov/ccd/schoolsearch/school_detail.asp?Search=1&amp;DistrictID=5306220&amp;ID=530622003304</t>
  </si>
  <si>
    <t>West Virginia Virtual Academy</t>
  </si>
  <si>
    <t>(304)807-9370</t>
  </si>
  <si>
    <t>Search for Public School -West Virginia Virtual Academy (540006401606)</t>
  </si>
  <si>
    <t>Upshur County Schools</t>
  </si>
  <si>
    <t>Destinations Career Academy of WI</t>
  </si>
  <si>
    <t>Destinations Career Academy of Wisconsin High</t>
  </si>
  <si>
    <t>Vocational school</t>
  </si>
  <si>
    <t>(608)838-9482</t>
  </si>
  <si>
    <t>http://www.widca.k12.com</t>
  </si>
  <si>
    <t>Search for Public School - Destinations Career Academy of Wisconsin High ( 550891003039)</t>
  </si>
  <si>
    <t>Wisconsin Virtual Academy - K-8</t>
  </si>
  <si>
    <t>Wisconsin Virtual Academy K-8 (WIVA)</t>
  </si>
  <si>
    <t>http://wiva.k12.com</t>
  </si>
  <si>
    <t>https://nces.ed.gov/ccd/schoolsearch/school_detail.asp?Search=1&amp;DistrictID=5508910&amp;ID=550891002973</t>
  </si>
  <si>
    <t>Wisconsin Virtual Academy - HS</t>
  </si>
  <si>
    <t>http://www.k12.com/wiva</t>
  </si>
  <si>
    <t>https://nces.ed.gov/ccd/schoolsearch/school_detail.asp?Search=1&amp;DistrictID=5508910&amp;ID=550891002975</t>
  </si>
  <si>
    <t>Insight Wisconsin</t>
  </si>
  <si>
    <t>Insight School of Wisconsin High</t>
  </si>
  <si>
    <t>http://www.wiva.k12.com</t>
  </si>
  <si>
    <t>Search for Public School - Insight School of Wisconsin High ( 550891003067)</t>
  </si>
  <si>
    <t>Wyoming Virtual Academy</t>
  </si>
  <si>
    <t>https://wyva.k12.com/</t>
  </si>
  <si>
    <t>Count</t>
  </si>
  <si>
    <t>Total</t>
  </si>
  <si>
    <t>Indiana Enrolment: https://www.in.gov/doe/it/data-center-and-reports/</t>
  </si>
  <si>
    <t>Ohio Enrolment: https://education.ohio.gov/Topics/Data/Frequently-Requested-Data/Enrollment-Data</t>
  </si>
  <si>
    <t>Ohio - public buildings</t>
  </si>
  <si>
    <t>Alternative Education Academy</t>
  </si>
  <si>
    <t>Auglaize County Educational Academy</t>
  </si>
  <si>
    <t>Buckeye On-Line School for Success</t>
  </si>
  <si>
    <t>ChallengeU Ohio Community School</t>
  </si>
  <si>
    <t>Fairborn Digital Academy</t>
  </si>
  <si>
    <t>Findlay Digital Academy</t>
  </si>
  <si>
    <t>GOAL Digital Academy</t>
  </si>
  <si>
    <t>Gateway Online Academy of Ohio</t>
  </si>
  <si>
    <t>Great River Connections Academy</t>
  </si>
  <si>
    <t>Greater Ohio Virtual School</t>
  </si>
  <si>
    <t>Ohio Connections Academy, Inc</t>
  </si>
  <si>
    <t>Pathfinder Career Academy of Ohio</t>
  </si>
  <si>
    <t>Quaker Digital Academy</t>
  </si>
  <si>
    <t>Quaker Preparatory Academy</t>
  </si>
  <si>
    <t>TRECA Digital Academy</t>
  </si>
  <si>
    <t>The Unlimited Classroom dba Valley Virtual Remote Learning A</t>
  </si>
  <si>
    <t>Ohio funding: https://www.ohiobythenumbers.com/#school-funding</t>
  </si>
  <si>
    <t>Funding: http://www.oepiohio.org/index.php/post-derolph-study-on-school-funding/post-derolph-studies-on-school-funding/overview-of-the-ohio-senates-fy22-23-school-funding-formula/</t>
  </si>
  <si>
    <t>SY22</t>
  </si>
  <si>
    <t>Ohio By the Numbers</t>
  </si>
  <si>
    <t>OEPIOHIO.org</t>
  </si>
  <si>
    <t>https://education.ohio.gov/Topics/Data/Frequently-Requested-Data/Enrollment-Data</t>
  </si>
  <si>
    <t>ASU Prep Digital</t>
  </si>
  <si>
    <t>Aspire, Deer Valley's Online Academy</t>
  </si>
  <si>
    <t>Vail Innovation Center</t>
  </si>
  <si>
    <t>GPS Global Academy</t>
  </si>
  <si>
    <t>Chandler Online Academy</t>
  </si>
  <si>
    <t>Leman Virtual Academy</t>
  </si>
  <si>
    <t>PVOnline</t>
  </si>
  <si>
    <t>Kyrene Digital Academy</t>
  </si>
  <si>
    <t>Scottsdale Online Learning</t>
  </si>
  <si>
    <t>Arizona Connections Academy</t>
  </si>
  <si>
    <t>Hope High School Online</t>
  </si>
  <si>
    <t>Peoria Ecampus</t>
  </si>
  <si>
    <t xml:space="preserve">Primavera Online </t>
  </si>
  <si>
    <t xml:space="preserve">PPR (charter) - instructuion </t>
  </si>
  <si>
    <t>PPR (charter) - total</t>
  </si>
  <si>
    <t>https://www.azed.gov/sites/default/files/2024/01/SAFR2023vol1.pdf</t>
  </si>
  <si>
    <t>https://www.azleg.gov/legtext/56leg/1R/summary/S.1729APPROP.DOCX.htm</t>
  </si>
  <si>
    <t>https://michiganvirtual.org/research/publications/michigans-k-12-virtual-learning-effectiveness-report-2022-23-2/#students</t>
  </si>
  <si>
    <t>https://www.mischooldata.org/student-enrollment-counts-report?Common_Locations=1-A,0,0,0~2-A,0,0,0&amp;Common_SchoolYear=25&amp;Common_LocationIncludeComparison=False&amp;Portal_InquiryDisplayType=Snapshot&amp;Common_Subgroup_StudentCountFact2=AllStudents&amp;Common_Grade=AllGrades&amp;Common_CrossTab=</t>
  </si>
  <si>
    <t>West Ottawa Virtual Academy</t>
  </si>
  <si>
    <t>iCademy Global</t>
  </si>
  <si>
    <t>Oxford Virtual Academy</t>
  </si>
  <si>
    <t>Michigan International Prep School</t>
  </si>
  <si>
    <t>Lighthouse Connections Academy</t>
  </si>
  <si>
    <t>Michigan Connections Academy</t>
  </si>
  <si>
    <t>Great Lakes Learning Academy</t>
  </si>
  <si>
    <t>LTM FCF</t>
  </si>
  <si>
    <t>% Organic CC</t>
  </si>
  <si>
    <t>M&amp;A - Revenue</t>
  </si>
  <si>
    <t>M&amp;A - CRC EBITDA</t>
  </si>
  <si>
    <t>M&amp;A - Adj. EBIT</t>
  </si>
  <si>
    <t>Organic CC %</t>
  </si>
  <si>
    <t>Growth - Organic CC %</t>
  </si>
  <si>
    <t>允䅁䍁䅣䅁䍁䅁䅁䅁䑁䅁䅁䅋䅁䍁䅍兓佂䙁䅙兑䵂䕁䅫䅒杁䕁䅍睔乂䙁䅁兑佂䙁䅫䅉䩂䕁䅑䅁䙁䅁䅁䅅䅁䍁䅑兖呂䕁䅑兖呂䕁䅑䅁汁䅁䅁䅋䅁䍁䅧睑桂䡁䅁兙楂䝁䅫䅢灂䡁䅑入杁䕁䄴党求䝁䅑党歂䍁䅫䅁桁䅁䅁杊䅁䍁䅧兓畂䡁䅙兙獂䝁䅫䅚杁䕁䅕杢歂䍁䅁䅒桂䡁䅑党灁䅁䅁䅊䅁䉁䅑䅁㉁䍁䄸睍睁䍁䄸杍睁䑁䅁兏䅁䍁䅙䅁啁䅁䅁䅏癁䑁䅍免癁䑁䅅兏㕁䑁䅕䅁敁䅁䅁权䅁䕁䅅兓卂䙁䅍䅁呁䅁䅁权䅁䕁䅅䅕偂䕁䅷䅁慁䅁䅁权䅁䕁䅉䅒呂䕁䅫䅁䥁䅁䅁权䅁䕁䅉䅔乂䕁䅧䅁婁䅁䅁权䅁䕁䅑睑䡂䕁䄸䅁乁䅁䅁权䅁䕁䅕䅔乂䙁䅍䅁䡁䅁䅁杄䅁䕁䅕䅔乂䙁䅍杌剂䅁䅁䅇䅁䅁䅯䅁䙂䙁䅙睒偂䅁䅁元䅁䅁䅯䅁䝂䙁䅉睕奂䅁䅁权䅁䅁䅧䅁䝂䙁䅍杕䅁䅁䄸䅁佁䅁䅁杒呂䙁䅉杔畁䕁䄸䅁坁䅁䅁杄䅁䕁䅙睕卂䕁䄴杌剂䅁䅁睆䅁䅁䅙䅁䡂䕁䅷䅁十䅁䅁䅇䅁䕁䅫兕啂䑁䅑李硁䑁䅕李ㅁ䑁䅅睎䅁䍁䅉䅁歁䅁䅁兓剂䙁䄸睑䵂䕁䄸睕䙂䙁䅁杕䩂䕁䅍兒時䕁䅅䅒䭂䅁䅁先䅁䍁䅉䅁䩂䙁䅅睘䵂䕁䅅睕啂䙁䅍兑䵂䕁䅕䅕卂䕁䅫睑䙂䅁䅁睇䅁䉁䄴䅁䩂䙁䅅睘兂䕁䅕睘䙂䙁䅧睑䵂䙁䄸杒塂䕁䅑䅁杁䅁䅁权䅁䕁䅷睑䩂䕁䅑䅁剁䅁䅁䅃䅁䕁䅷杕佂䅁䅁䅆䅁䅁䅙䅁佂䕁䅅䅁噁䅁䅁权䅁䕁䄴睕呂䕁䅍䅁䵁䅁䅁杅䅁䕁䄴兗呂䕁䅕杏䝂䕁䅫䅗䅁䉁䅷䅁十䅁䅁杔婂䙁䅍兒㙁䕁䅷杕佂䅁䅁睉䅁䉁䅯䅁呂䙁䅁睘乂䕁䅅杕䱂䕁䅕䅖䑂䕁䅅䅕䅁䅁䅉䅁敁䅁䅁睕兂䙁䄸䅕卂䕁䅫睑䙂䙁䄸睑䵂䕁䄸睕䙂䅁䅁睊䅁䉁䅷䅁呂䙁䅁睘兂䙁䅉兓䑂䕁䅕睘偂䙁䅁兒佂䅁䅁䅂䅁䅁䅯䅁呂䙁䅍䅖䩂䅁䅁睃䅁䅁䅯䅁啂䙁䅉䅖䑂䅁䅁杂䅁䅁䅯䅁塂䕁䅳䅓呂䅁䅁杄䅁䅁䅯䅁奂䙁䅁睔䝂䅁䅁䅅䅁䅁䅯䅁奂䙁䅧兓䩂䅁䅁允䅁䅁䅯䅁敂䙁䅍䅕奂䅁䅁睈䅁䩁䉉䅁䵁䅉䅅䅁䙁䅁䅁睁湂䅁䅁权汁䅁䅁权扁䅁䅁兂䅁䅁䅁䈴歶䅑䅕䅁䅁䕁湁䔵䉁䅁䅁允䅁䅁䅕䅁䅁䅁䅁䐸䴸䅉䅅䅁䙁䅁䅁睁湂䅁䅁权汁䅁䅁权扁䅁䅁兂䅁䅁䅁䵁武䅑䅕䅁䅁䥁い䔵䉁䅁䅁允䅁䅁䅕䅁䅁䅁䅁䐸䴸䅉䅅䅁䙁䅁䅁睁浂䅁䅁权橁䅁䅁权扁䅁䅁兂䅁䅁䅁䥙橦䅑䅕䅁䅁佁ぃ〴䉁䅁䅁允䅁䅁䅕児塲㍯㥁が䵁䅉䅅䅁䙁䅁䅁睁湂䅁䅁权汁䅁䅁权扁䅁䅁兂䅁䅁䅁䵁武䅑䅕䅁䅁䝁卄䔵䉁䅁䅁允䅁䅁䅕䅁䅁䅁䅁䐸䴸䅉䅅䅁䙁䅁䅁睁湂䅁䅁权汁䅁䅁权扁䅁䅁兂䅁䅁䅁伴氯䅑䅕䅁䅁䅁㝄唵䉁䅁䅁允䅁䅁䅕䅁䅁䅁䅁䐸䴸䅉䅅䅁䕁䅁䅁睁歂䅁䅁权楁䅁䅁权扁䅁䅁兂䅁䅁䅁䡁椳䅑䅅䅁䉁䅁䅁兂灁䥘䕶乎坭䅑杷允䅁䅁䅑䅁䑁䝁䅑䅁䭁䍁䅉䅁䭁䉁䅳䅁䙁䅁䅁䅁䅄畱䅊允䅁䅁䅅䅁䙁䱁兲敕偒㕤䅬䍄䉁䅁䅁兂䅁䅁䅍睚䅁䅁䅯兊䅁䅁䅯睇䅁䅁䅕䅁䅁䕁楁唵䙁䅁䅁䅁权敌䅖允䅁䅁䅅䅁䙁䅁䅁䅁䅁偁⽁䍄䉁䅁䅁兂䅁䅁䅍睚䅁䅁䅯兊䅁䅁䅯睇䅁䅁䅕䅁䅁佁奄唵䙁䅁䅁䅁䅂伵䅖允䅁䅁䅅䅁䙁䅁䅁䅁䅁偁⽁䍄䉁䅁䅁兂䅁䅁䅍睚䅁䅁䅯兊䅁䅁䅯睇䅁䅁䅕䅁䅁䭁牂䔵䙁䅁䅁䅁䅁⭤䅒允䅁䅁䅅䅁䙁䅁䅁䅁䅁偁⽁䍄䉁䅁䅁䅂䅁䅁䅍䅄䅁䅁䅯䅇䅁䅁䅯䅂䅁䅁䅕䅁䅁佁穄唵䉁䅁䅁允䅁䅁䅕䉵䘶ㄶ㑇橲䴸䅉䅅䅁䙁䅁䅁睁浂䅁䅁权橁䅁䅁权扁䅁䅁兂䅁䅁䅁䌴浪䅑䅕䅁䅁䍁ぁ欵䉁䅁䅁允䅁䅁䅕䡰㥁瑃䑤䕔䵁䅉䅅䅁䙁䅁䅁睁湂䅁䅁权汁䅁䅁权扁䅁䅁兂䅁䅁䅁䑁欷䅑䅕䅁䅁䝁䩂䔵䉁䅁䅁允䅁䅁䅕䅁䅁䅁䅁䐸䴸䅉䅅䅁䙁䅁䅁睁求䅁䅁权橁䅁䅁权扁䅁䅁兂䅁䅁䅁䕧汔䅑䅕䅁䅁䵁偂唵䉁䅁䅁允䅁䅁䅕䅁䅁䅁䅃歑䵁䅉䅅䅁䙁䅁䅁睁湂䅁䅁权橁䅁䅁权扁䅁䅁兂䅁䅁䅁䉙歄䅑䅕䅁䅁佁㥁䔵䉁䅁䅁允䅁䅁䅕穮嘲㠴瑉歎䵁䅉䅅䅁䙁䅁䅁睁湂䅁䅁权汁䅁䅁权扁䅁䅁兂䅁䅁䅁䝑歄䅑䅕䅁䅁䥁牂䔵䉁䅁䅁允䅁䅁䅕䅁䅁䅁䅁䐸䴸䅉䅅䅁䙁䅁䅁睁湂䅁䅁权汁䅁䅁权扁䅁䅁兂䅁䅁䅁䤴欳䅑䅕䅁䅁䍁婃䔵䉁䅁䅁允䅁䅁䅕䅁䅁䅁䅁䐸䴸䅉䅅䅁䙁䅁䅁睁湂䅁䅁权汁䅁䅁权扁䅁䅁兂䅁䅁䅁䭑汶䅑䅕䅁䅁䵁奄唵䉁䅁䅁允䅁䅁䅕䅁䅁䅁䅁䐸䴸䅉䅅䅁䙁䅁䅁睁湂䅁䅁权汁䅁䅁权扁䅁䅁兂䅁䅁䅁䑁欷䅑䅕䅁䅁䥁牂䔵䉁䅁䅁允䅁䅁䅕䅁䅁䅁䅁䐸䴸䅉䅅䅁䙁䅁䅁睁湂䅁䅁权汁䅁䅁权扁䅁䅁兂䅁䅁䅁䅯汶䅑䅕䅁䅁䵁坁唵䉁䅁䅁允䅁䅁䅕䅁䅁䅁䅁䐸䴸䅉䅅䅁䙁䅁䅁睁湂䅁䅁权汁䅁䅁权扁䅁䅁兂䅁䅁䅁䔴氯䅑䅕䅁䅁䥁㥂唵䉁䅁䅁允䅁䅁䅕䅁䅁䅁䅁䐸䴸䅉䅅䅁䙁䅁䅁睁湂䅁䅁权汁䅁䅁权扁䅁䅁兂䅁䅁䅁䥉汮䅑䅕䅁䅁䥁啃唵䉁䅁䅁允䅁䅁䅕䅁䅁䅁䅁䐸䴸䅉䅅䅁䙁䅁䅁睁湂䅁䅁权汁䅁䅁权扁䅁䅁兂䅁䅁䅁余汔䅑䅕䅁䅁䵁癄唵䉁䅁䅁允䅁䅁䅕䅁䅁䅁䅁䐸䴸䅉䅅䅁䙁䅁䅁睁湂䅁䅁权橁䅁䅁权扁䅁䅁兂䅁䅁䅁临汪䅑䅕䅁䅁䕁歄唵䉁䅁䅁允䅁䅁䅕⽷潕䥘永䕒䵁䅉䅅䅁䙁䅁䅁睁湂䅁䅁权汁䅁䅁权扁䅁䅁兂䅁䅁䅁䝯歶䅑䅕䅁䅁䍁婃䔵䉁䅁䅁允䅁䅁䅕䅁䅁䅁䅁䐸䴸䅉䅅䅁䕁䅁䅁睁䵁䅁䅁权䵁䅁䅁权䕁䅁䅁兂䅁䅁䅁䑑洷䅑䅅䅁䉁䅁䅁兂浂浚浚獚䕚䅑杷允䅁䅁䅕䅁䑁䝁䅙䅁䭁䍁䅍䅁䭁䉁䅳䅁䙁䅁䅁䅁杄⭇䅒兂䅁䅁䅁䍑武䅑䅅䅁䉁䅁䅁兂獄払敧卨睳䅑杷允䅁䅁䅕䅁䑁䝁䅣䅁䭁䍁䅕䅁䭁䉁䅳䅁䙁䅁䅁䅁䅃畂䅚兂䅁䅁䅁䈴浈䅑䅅䅁䉁䅁䅁兂䅁䅁䅁䅁睄睐杷允䅁䅁䅕䅁䑁䝁䅣䅁䭁䍁䅕䅁䭁䉁䅳䅁䙁䅁䅁䅁杄伲䅖兂䅁䅁䅁䅙浢䅑䅅䅁䉁䅁䅁兂䅁䅁䅁䅁睄睐杷允䅁䅁䅑䅁䑁䅁䅷䅁䭁䅁䅷䅁䭁䅁䅑䅁䙁䅁䅁䅁杄佐䅚允䅁䅁䅅䅁䙁䡁㥅瑃橥䕍䅆䍄䉁䅁䅁䅂䅁䅁䅍䅄䅁䅁䅯䅅䅁䅁䅯杁䅁䅁䅕䅁䅁䍁䕁欵䉁䅁䅁允䅁䅁䅕䥑㑓湣捙䕪䵁䅉䅅䅁䙁䅁䅁睁湂䅁䅁权汁䅁䅁权扁䅁䅁兂䅁䅁䅁䉁浌䅑䅕䅁䅁䝁摁欵䉁䅁䅁允䅁䅁䅕䅁䅁䅁䅁䐸䴸䅉䅅䅁䕁䅁䅁睁䵁䅁䅁权佁䅁䅁权䕁䅁䅁兂䅁䅁䅁䥁汲䅑䅅䅁䉁䅁䅁兂䅁䅁䅁䕧㉡䅑杷允䅁䅁䅕䅁䑁䝁䅣䅁䭁䍁䅕䅁䭁䉁䅳䅁䙁䅁䅁䅁杁⭤䅒兂䅁䅁䅁䥧歌䅑䅅䅁䉁䅁䅁兂䅁䅁䅁䅁睄睐杷允䅁䅁䅕䅁䑁䝁䅣䅁䭁䍁䅍䅁䭁䉁䅳䅁䙁䅁䅁䅁䅂敭䅒兂䅁䅁䅁䭯歔䅑䅅䅁䉁䅁䅁兂塄㍯㥁獃焰䅑杷允䅁䅁䅕䅁䑁䝁䅣䅁䭁䍁䅕䅁䭁䉁䅳䅁䙁䅁䅁䅁权佬䅖兂䅁䅁䅁䩷氯䅑䅅䅁䉁䅁䅁兂䅁䅁䅁䅁睄睐杷允䅁䅁䅑䅁䑁䅁䅷䅁䭁䅁䅯䅁䭁䅁䅑䅁䙁䅁䅁䅁䅁估䅖允䅁䅁䅅䅁䙁䭁捷浗㝑⬳⽍䍄䉁䅁䅁兂䅁䅁䅍睚䅁䅁䅯兊䅁䅁䅯睇䅁䅁䅕䅁䅁䕁楁唵䙁䅁䅁䅁䅄⭔䅖允䅁䅁䅅䅁䙁䅁䅁䅁䅁偁⽁䍄䉁䅁䅁兂䅁䅁䅍党䅁䅁䅯睉䅁䅁䅯睇䅁䅁䅕䅁䅁䥁卄䔵䙁䅁䅁䅁杄攳䅒允䅁䅁䅅䅁䙁䕁桪桥畓穨䅆䍄䉁䅁䅁兂䅁䅁䅍睚䅁䅁䅯睉䅁䅁䅯睇䅁䅁䅕䅁䅁䭁䱁唵䙁䅁䅁䅁䅄畆䅖允䅁䅁䅅䅁䙁偁ㅗ低䈶楕䄹䍄䉁䅁䅁兂䅁䅁䅍睚䅁䅁䅯兊䅁䅁䅯睇䅁䅁䅕䅁䅁䕁灄䔵䙁䅁䅁䅁䅃伹䅒允䅁䅁䅅䅁䙁䅁䅁䅁䅁偁⽁䍄䉁䅁䅁兂䅁䅁䅍睚䅁䅁䅯兊䅁䅁䅯睇䅁䅁䅕䅁䅁䵁婂〴䭁䍁䅙䅁䉁䅁䅁允䅁䅁䅕䅁䅁䅁䅁䐸䴸䅉䅅䅁䙁䅁䅁睁湂䅁䅁权汁䅁䅁权扁䅁䅁兂䅁䅁䅁䭑汶䅑䅕䅁䅁䭁㉃唵䉁䅁䅁允䅁䅁䅕䅁䅁䅁䅁䐸䴸䅉䅅䅁䙁䅁䅁睁湂䅁䅁权汁䅁䅁权扁䅁䅁兂䅁䅁䅁䜴汢䅑䅕䅁䅁䍁祂唵䉁䅁䅁允䅁䅁䅕䅁䅁䅁䅁䐸䴸䅉䅅䅁䕁䅁䅁睁䵁䅁䅁权啁䅁䅁权䕁䅁䅁兂䅁䅁䅁䝑洯䅑䅅䅁䉁䅁䅁权噁䅁䅁䍄䉁䅁䅁兂䅁䅁䅍睚䅁䅁䅯兊䅁䅁䅯睇䅁䅁䅕䅁䅁䕁䍄唵䙁䅁䅁䅁杂敺䅖允䅁䅁䅅䅁䙁䅁䅁䅁䅁偁⽁䍄䉁䅁䅁兂䅁䅁䅍党䅁䅁䅯睉䅁䅁䅯睇䅁䅁䅕䅁䅁䕁㕁唵䙁䅁䅁䅁杂佒䅖允䅁䅁䅅䅁䙁䡁㥅瑃橥䕅䅆䍄䉁䅁䅁兂䅁䅁䅍睚䅁䅁䅯兊䅁䅁䅯睇䅁䅁䅕䅁䅁䥁卄䔵䙁䅁䅁䅁杄攳䅒允䅁䅁䅅䅁䙁䅁䅁䅁䅁偁⽁䍄䉁䅁䅁䅂䅁䅁䅍䅄䅁䅁䅯元䅁䅁䅯䅂䅁䅁䅕䅁䅁䵁坄唵䉁䅁䅁允䅁䅁䅕㑈牘払敧䕉䵁䅉䅅䅁䙁䅁䅁睁湂䅁䅁权汁䅁䅁权扁䅁䅁兂䅁䅁䅁䨴氯䅑䅕䅁䅁䍁牃唵䉁䅁䅁允䅁䅁䅕䅁䅁䅁䅁䐸䴸䅉䅅䅁䕁䅁䅁睁䵁䅁䅁权剁䅁䅁权䕁䅁䅁兂䅁䅁䅁偧汈䅑䅅䅁䉁䅁䅁兂䍁㑋坣挲昴䅑杷允䅁䅁䅕䅁䑁䝁䅣䅁䭁䍁䅕䅁䭁䉁䅳䅁䙁䅁䅁䅁权伹䅒兂䅁䅁䅁䅁汄䅑䅅䅁䉁䅁䅁兂䅁䅁䅁䅁睄睐杷允䅁䅁䅑䅁䑁䅁䅷䅁䭁䅁䄰䅁䭁䅁䅑䅁䙁䅁䅁䅁䅁⭈䅚允䅁䅁䅅䅁䙁䩁婱婭婭六䅴䍄䉁䅁䅁兂䅁䅁䅍睚䅁䅁䅯兊䅁䅁䅯睇䅁䅁䅕䅁䅁䍁䅁唵䙁䅁䅁䅁䅃⭃䅖允䅁䅁䅅䅁䙁䅁䅁䅁䅁偁⽁䍄䉁䅁䅁兂䅁䅁䅍睚䅁䅁䅯兊䅁䅁䅯睇䅁䅁䅕䅁䅁䝁湁䔵䙁䅁䅁䅁䅃畍䅒允䅁䅁䅅䅁䙁䅁䅁䅁䅁偁⽁䍄䉁䅁䅁䅂䅁䅁䅍䅄䅁䅁䅯睅䅁䅁䅯䅂䅁䅁䅕䅁䅁䕁楁欵䉁䅁䅁允䅁䅁䅕敨剴䉵䘶歇䵁䅉䅅䅁䙁䅁䅁睁求䅁䅁权橁䅁䅁权扁䅁䅁兂䅁䅁䅁䙙汶䅑䅕䅁䅁䵁浂唵䉁䅁䅁允䅁䅁䅕呣䬰㘱睎歏䵁䅉䅅䅁䙁䅁䅁睁湂䅁䅁权汁䅁䅁权扁䅁䅁兂䅁䅁䅁䑑汮䅑䅕䅁䅁䝁䕂唵䉁䅁䅁允䅁䅁䅕䅁䅁䅁䅁䐸䴸䅉䅅䅁䙁䅁䅁睁求䅁䅁权橁䅁䅁权扁䅁䅁兂䅁䅁䅁䔴氯䅑䅕䅁䅁䥁㥂唵䉁䅁䅁允䅁䅁䅕捺䵺䵺䵹ぐ䵁䅉䅅䅁䙁䅁䅁睁求䅁䅁权橁䅁䅁权扁䅁䅁兂䅁䅁䅁临汪䅑䅕䅁䅁䝁䝁欵䉁䅁䅁允䅁䅁䅕体㙆䭆䠵げ䵁䅉䅅䅁䙁䅁䅁睁湂䅁䅁权汁䅁䅁权扁䅁䅁兂䅁䅁䅁䡯氳䅑䅕䅁䅁䅁䩃唵䉁䅁䅁允䅁䅁䅕䅁䅁䅁䅁䐸䴸䅉䅅䅁䕁䅁䅁睁䵁䅁䅁权䵁䅁䅁权䕁䅁䅁兂䅁䅁䅁䝉浲䅑䅅䅁䉁䅁䅁权噁䅁䅁䍄䉁䅁䅁兂䅁䅁䅍党䅁䅁䅯睉䅁䅁䅯睇䅁䅁䅕䅁䅁佁癄唵䙁䅁䅁䅁䅁⬫䅖允䅁䅁䅅䅁䙁䅁塲㍯㥁歃䅚䍄䉁䅁䅁兂䅁䅁䅍睚䅁䅁䅯兊䅁䅁䅯睇䅁䅁䅕䅁䅁䥁乄唵䙁䅁䅁䅁䅄伲䅖允䅁䅁䅅䅁䙁䅁䅁䅁䅁偁⽁䍄䉁䅁䅁兂䅁䅁䅍党䅁䅁䅯睉䅁䅁䅯睇䅁䅁䅕䅁䅁䭁㝃䔵䙁䅁䅁䅁杄畸䅒允䅁䅁䅅䅁䙁䭁睒児塲祉䅬䍄䉁䅁䅁兂䅁䅁䅍睚䅁䅁䅯兊䅁䅁䅯睇䅁䅁䅕䅁䅁䝁䡃〴䙁䅁䅁䅁杄佴䅎允䅁䅁䅅䅁䙁䅁䅁䅁䅁偁⽁䍄䉁䅁䅁兂䅁䅁䅍睚䅁䅁䅯兊䅁䅁䅯睇䅁䅁䅕䅁䅁䵁瑁唵䙁䅁䅁䅁杁敏䅖允䅁䅁䅅䅁䙁䅁䅁䅁䅁偁⽁䍄䉁䅁䅁䅂䅁䅁䅍䅄䅁䅁䅯䅆䅁䅁䅯䅂䅁䅁䅕䅁䅁䅁䍂欵䉁䅁䅁允䅁䅁䅕䭆䠵場ば䕕䵁䅉䅅䅁䙁䅁䅁睁湂䅁䅁权汁䅁䅁权扁䅁䅁兂䅁䅁䅁䅧浢䅑䅕䅁䅁䍁ぁ欵䉁䅁䅁允䅁䅁䅕䅁䅁䅁䅁䐸䴸䅉䅅䅁䙁䅁䅁睁求䅁䅁权橁䅁䅁权扁䅁䅁兂䅁䅁䅁临汪䅑䅕䅁䅁䕁歄唵䉁䅁䅁允䅁䅁䅕㘱睎児塰歒䵁䅉䅅䅁䙁䅁䅁睁湂䅁䅁权汁䅁䅁权扁䅁䅁兂䅁䅁䅁䕧汔䅑䅕䅁䅁䵁偂唵䉁䅁䅁允䅁䅁䅕䅁䅁䅁䅁䐸䴸䅉䅅䅁䙁䅁䅁睁浂䅁䅁权橁䅁䅁权扁䅁䅁兂䅁䅁䅁乧歌䅑䅕䅁䅁佁摄䔵䉁䅁䅁允䅁䅁䅕積積積積啊䵁䅉䅅䅁䙁䅁䅁睁湂䅁䅁权汁䅁䅁权扁䅁䅁兂䅁䅁䅁䈴汢䅑䅕䅁䅁䍁楁唵䉁䅁䅁允䅁䅁䅕䅁䅁䅁䅁䐸䴸䅉䅅䅁䙁䅁䅁睁湂䅁䅁权汁䅁䅁权扁䅁䅁兂䅁䅁䅁䱷汢䅑䅕䅁䅁䍁䍄唵䉁䅁䅁允䅁䅁䅕䅁䅁䅁䅁䐸䴸䅉䅅䅁䙁䅁䅁睁湂䅁䅁权汁䅁䅁权扁䅁䅁兂䅁䅁䅁偉汶䅑䅕䅁䅁䝁䝁欵䉁䅁䅁允䅁䅁䅕䅁䅁䅁䅁䐸䴸䅉䅅䅁䙁䅁䅁睁湂䅁䅁权汁䅁䅁权扁䅁䅁兂䅁䅁䅁䡑汌䅑䅕䅁䅁䥁㥂唵䉁䅁䅁允䅁䅁䅕䅁䅁䅁䅁䐸䴸䅉䅅䅁䙁䅁䅁睁湂䅁䅁权汁䅁䅁权扁䅁䅁兂䅁䅁䅁䭷歔䅑䅕䅁䅁䍁睃䔵䉁䅁䅁允䅁䅁䅕䅁䅁䅁䅁䐸䴸䅉䅅䅁䙁䅁䅁睁湂䅁䅁权汁䅁䅁权扁䅁䅁兂䅁䅁䅁䙁歘䅑䅕䅁䅁䍁杂䔵䉁䅁䅁允䅁䅁䅕䅁䅁䅁䅁䐸䴸䅉䅅䅁䙁䅁䅁睁湂䅁䅁权汁䅁䅁权扁䅁䅁兂䅁䅁䅁䥯歌䅑䅕䅁䅁䵁乃䔵䉁䅁䅁允䅁䅁䅕䅁䅁䅁䅁䐸䴸䅉䅅䅁䙁䅁䅁睁湂䅁䅁权汁䅁䅁权扁䅁䅁兂䅁䅁䅁䡯氳䅑䅕䅁䅁䍁牃唵䉁䅁䅁允䅁䅁䅕䅁䅁䅁䅁䐸䴸䅉䅅䅁䙁䅁䅁睁湂䅁䅁权汁䅁䅁权扁䅁䅁兂䅁䅁䅁䱑歄䅑䅕䅁䅁䥁㝃䔵䉁䅁䅁允䅁䅁䅕䅁䅁䅁䅁䐸䴸䅉䅅䅁䙁䅁䅁睁湂䅁䅁权橁䅁䅁权扁䅁䅁兂䅁䅁䅁䵁武䅑䅕䅁䅁䝁卄䔵䉁䅁䅁允䅁䅁䅕瑃橥䑣䔲啋䵁䅉䅅䅁䙁䅁䅁睁湂䅁䅁权汁䅁䅁权扁䅁䅁兂䅁䅁䅁䩑歮䅑䅕䅁䅁䭁歃䔵䉁䅁䅁允䅁䅁䅕䅁䅁䅁䅁䐸䴸䅉䅅䅁䙁䅁䅁睁湂䅁䅁权橁䅁䅁权扁䅁䅁兂䅁䅁䅁偯歔䅑䅕䅁䅁䅁䅁唵䉁䅁䅁允䅁䅁䅕晁䨫呏㥋啍䵁䅉䅅䅁䙁䅁䅁睁湂䅁䅁权汁䅁䅁权扁䅁䅁兂䅁䅁䅁䱯歶䅑䅕䅁䅁佁䝄䔵䉁䅁䅁允䅁䅁䅕䅁䅁䅁䅁䐸䴸䅉䅅䅁䙁䅁䅁睁湂䅁䅁权汁䅁䅁权扁䅁䅁兂䅁䅁䅁偯歔䅑䅕䅁䅁䍁楁唵䉁䅁䅁允䅁䅁䅕䅁䅁䅁䅁䐸䴸䅉䅅䅁䙁䅁䅁睁湂䅁䅁权汁䅁䅁权扁䅁䅁兂䅁䅁䅁䉙歄䅑䅕䅁䅁䵁扁䔵䉁䅁䅁允䅁䅁䅕䅁䅁䅁䅁䐸䴸䅉䅅䅁䙁䅁䅁睁湂䅁䅁权汁䅁䅁权扁䅁䅁兂䅁䅁䅁䑯歌䅑䅕䅁䅁佁㥁䔵䉁䅁䅁允䅁䅁䅕䅁䅁䅁䅁䐸䴸䅉䅅䅁䙁䅁䅁睁湂䅁䅁权汁䅁䅁权扁䅁䅁兂䅁䅁䅁䕧歮䅑䅕䅁䅁佁啂䔵䉁䅁䅁允䅁䅁䅕䅁䅁䅁䅁䐸䴸䅉䅅䅁䙁䅁䅁睁湂䅁䅁权汁䅁䅁权扁䅁䅁兂䅁䅁䅁乁欷䅑䅕䅁䅁䍁灄䔵䉁䅁䅁允䅁䅁䅕䅁䅁䅁䅁䐸䴸䅉䅅䅁䙁䅁䅁睁湂䅁䅁权汁䅁䅁权扁䅁䅁兂䅁䅁䅁䔴氯䅑䅕䅁䅁䕁扂唵䉁䅁䅁允䅁䅁䅕䅁䅁䅁䅁䐸䴸䅉䅅䅁䙁䅁䅁睁湂䅁䅁权汁䅁䅁权扁䅁䅁兂䅁䅁䅁䙙汶䅑䅕䅁䅁䵁浂唵䉁䅁䅁允䅁䅁䅕䅁䅁䅁䅁䐸䴸䅉䅅䅁䙁䅁䅁睁湂䅁䅁权汁䅁䅁权扁䅁䅁兂䅁䅁䅁䉧洳䅑䅕䅁䅁䵁潁欵䉁䅁䅁允䅁䅁䅕䅁䅁䅁䅁䐸䴸䅉䅅䅁䙁䅁䅁睁湂䅁䅁权汁䅁䅁权扁䅁䅁兂䅁䅁䅁䌴浪䅑䅕䅁䅁䍁ぁ欵䉁䅁䅁允䅁䅁䅕䅁䅁䅁䅁䐸䴸䅉䅅䅁䙁䅁䅁睁湂䅁䅁权汁䅁䅁权扁䅁䅁兂䅁䅁䅁䱁橘䅑䅕䅁䅁䥁楄〴䉁䅁䅁允䅁䅁䅕䅁䅁䅁䅁䐸䴸䅉䅅䅁䙁䅁䅁睁湂䅁䅁权汁䅁䅁权扁䅁䅁兂䅁䅁䅁佯橌䅑䅕䅁䅁䕁允䔵䉁䅁䅁允䅁䅁䅕䅁䅁䅁䅁䐸䴸䅉䅅䅁䙁䅁䅁睁湂䅁䅁权汁䅁䅁权扁䅁䅁兂䅁䅁䅁䉙歄䅑䅕䅁䅁佁㥁䔵䉁䅁䅁允䅁䅁䅕䅁䅁䅁䅁䐸䴸䅉䅅䅁䙁䅁䅁睁湂䅁䅁权汁䅁䅁权扁䅁䅁兂䅁䅁䅁䩑歮䅑䅕䅁䅁佁䝄䔵䉁䅁䅁允䅁䅁䅕䅁䅁䅁䅁䐸䴸䅉䅅䅁䕁䅁䅁睁䵁䅁䅁权啁䅁䅁权湁䅁䅁兂䅁䅁䅁䕉浶䅑䅅䅁䉁䅁䅁兂獄払敧晨婴䅑杷允䅁䅁䅑䅁䑁䅁䅷䅁䭁䉁䅧䅁䭁䅁䅉䅁䙁䅁䅁䅁杂佸䅖允䅁䅁䅅䅁䙁䑁睱䍈橆㑔䅤䍄䉁䅁䅁兂䅁䅁䅍党䅁䅁䅯睉䅁䅁䅯睇䅁䅁䅕䅁䅁䥁乄唵䙁䅁䅁䅁䅄伲䅖允䅁䅁䅅䅁䙁䕁桪桥畓ば䅒䍄䉁䅁䅁䅂䅁䅁䅍䅄䅁䅁䅯兇䅁䅁䅯䅂䅁䅁䅕䅁䅁䍁杁唵䉁䅁䅁允䅁䅁䅕䅁䅁䅁䅂正䵁䅉䅅䅁䕁䅁䅁睁䵁䅁䅁权佁䅁䅁权䕁䅁䅁兂䅁䅁䅁佯汄䅑䅅䅁䉁䅁䅁兂䅁䅁䅁佁䡩䅑杷允䅁䅁䅑䅁䑁䅁䅷䅁䭁䉁䅁䅁䭁䅁䅑䅁䙁䅁䅁䅁䅂故䅚允䅁䅁䅅䅁䙁䕁桪桥畓穂䅂䍄䉁䅁䅁䅂䅁䅁䅍䅄䅁䅁䅯兇䅁䅁䅯䅂䅁䅁䅕䅁䅁䅁楁唵䉁䅁䅁允䅁䅁䅕䅁䅁䅁䅂䕢䵁䅉䅅䅁䕁䅁䅁睁歂䅁䅁权楁䅁䅁权扁䅁䅁兂䅁䅁䅁偉桔䅑䅅䅁䉁䅁䅁兂橂桨坨堳权䅑杷允䅁䅁䅑䅁䑁䅁䅷䅁䭁䅁䅯䅁䭁䅁䅑䅁䙁䅁䅁䅁杂畯䅖允䅁䅁䅅䅁䙁䑁積積積睍䅖䍄䉁䅁䅁䅂䅁䅁䅍䅄䅁䅁䅯元䅁䅁䅯䅂䅁䅁䅕䅁䅁䝁慄唵䉁䅁䅁允䅁䅁䅕灭婭婭婭䕇䵁䅉䅅䅁䕁䅁䅁睁䵁䅁䅁权奁䅁䅁权䕁䅁䅁兂䅁䅁䅁䵑汢䅑䅅䅁䉁䅁䅁兂慃婭婭婭乫䅑杷允䅁䅁䅕䅁䑁䝁䅣䅁䭁䍁䅍䅁䭁䉁䅳䅁䙁䅁䅁䅁䅂余䅒兂䅁䅁䅁䝧歶䅑䅅䅁䉁䅁䅁兂浂䩢䑍浂㌰䅑杷允䅁䅁䅑䅁䑁䅁䅷䅁䭁䉁䅫䅁䭁䅁䅑䅁䙁䅁䅁䅁杂畉䅖允䅁䅁䅅䅁䙁䅁䅁䅁䅁䜰䅰䍄䉁䅁䅁䅂䅁䅁䅍䅚䅁䅁䅯杉䅁䅁䅯睇䅁䅁䅕䅁䅁䝁奄欴䉁䅁䅁允䅁䅁䅕啨慃佡灥䕮䵁䅉䅅䅁䙁䅁䅁睁湂䅁䅁权橁䅁䅁权扁䅁䅁兂䅁䅁䅁䵁武䅑䅕䅁䅁䥁い䔵䉁䅁䅁允䅁䅁䅕祬䭩楯慧䕍䵁䅉䅅䅁䕁䅁䅁睁䵁䅁䅁权塁䅁䅁权䕁䅁䅁兂䅁䅁䅁佉汲䅑䅅䅁䉁䅁䅁权䙁䅁䅁䍄䉁䅁䅁䅂䅁䅁䅍䅄䅁䅁䅯兇䅁䅁䅯䅂䅁䅁䅕䅁䅁䭁偂唵䉁䅁䅁允䅁䅁䅕䅁䅁䅁䅁歔䵁䅉䅅䅁䕁䅁䅁睁䵁䅁䅁权䉁䅁䅁权䕁䅁䅁兂䅁䅁䅁䔴汢䅑䅅䅁䉁䅁䅁兂卄啁奮㕦瑘䅑杷允䅁䅁䅑䅁䑁䅁䅷䅁䭁䉁䅍䅁䭁䅁䅑䅁䙁䅁䅁䅁䅄敕䅚允䅁䅁䅅䅁䙁䱁敧敨剴䉵䅤䍄䉁䅁䅁䅂䅁䅁䅍䅄䅁䅁䅯睆䅁䅁䅯䅂䅁䅁䅕䅁䅁䕁㍄唵䉁䅁䅁允䅁䅁䅯兂䅁䅁杷允䅁䅁䅕䅁䑁䝁䅣䅁䭁䍁䅍䅁䭁䉁䅳䅁䙁䅁䅁䅁杁敩䅖兂䅁䅁䅁䩧汔䅑䅅䅁䉁䅁䅁兂卂䉵䘶㤶㑑䅑杷允䅁䅁䅑䅁䑁䅁䅷䅁䭁䅁䅫䅁䭁䅁䅉䅁䙁䅁䅁䅁䅄由䅖允䅁䅁䅅䅁䙁佁䉭㡪䭅䥩䅆䍄䉁䅁䅁䅂䅁䅁䅍䅄䅁䅁䅯杄䅁䅁䅯杁䅁䅁䅕䅁䅁䍁硃唵䉁䅁䅁允䅁䅁䅕䤲穆湒け歫䵁䅉䅅䅁䕁䅁䅁睁䵁䅁䅁权䉁䅁䅁权䍁䅁䅁兂䅁䅁䅁䕯汔䅑䅅䅁䉁䅁䅁兂桁婳楬癢煊䅑杷允䅁䅁䅑䅁䑁䅁䅷䅁䭁䅁䅅䅁䭁䅁䅑䅁䙁䅁䅁䅁䅃畒䅖允䅁䅁䅅䅁䙁䍁猹摺⽢佳䄵䍄䉁䅁䅁䅂䅁䅁䅍䅚䅁䅁䅯杉䅁䅁䅯睇䅁䅁䅕䅁䅁䅁偃〴䉁䅁䅁允䅁䅁䅕癧攱刴慣歭䵁䅉䅅䅁䙁䅁䅁睁求䅁䅁权橁䅁䅁权扁䅁䅁兂䅁䅁䅁䍷氳䅑䅕䅁䅁䍁㕁唵䉁䅁䅁允䅁䅁䅕瑃橥䑣䬳䕏䵁䅉䅅䅁䕁䅁䅁睁䵁䅁䅁权婁䅁䅁权䕁䅁䅁兂䅁䅁䅁䍷汐䅑䅅䅁䉁䅁䅁兂䅁䅁䅁䍁灂䅑杷允䅁䅁䅑䅁䑁䅁䅷䅁䭁䉁䅅䅁䭁䅁䅑䅁䙁䅁䅁䅁权甯䅖允䅁䅁䅅䅁䙁䵁䴳䵺䵺䉺䄹䍄䉁䅁䅁䅂䅁䅁䅍䅄䅁䅁䅯杄䅁䅁䅯䅂䅁䅁䅕䅁䅁䝁穃唵䉁䅁䅁允䅁䅁䅕䅁䅁䅁⭁歯䵁䅉䅅䅁䕁䅁䅁睁䵁䅁䅁权婁䅁䅁权䕁䅁䅁兂䅁䅁䅁䍑氳䅑䅅䅁䉁䅁䅁兂䅁䅁䅁䵁牂䅑杷允䅁䅁䅕䅁䑁䝁䅕䅁䭁䍁䅍䅁䭁䉁䅳䅁䙁䅁䅁䅁䅁⭸䅒兂䅁䅁䅁偧歔䅑䅅䅁䉁䅁䅁兂灁䥘䌯改で䅑杷允䅁䅁䅑䅁䑁䅁䅷䅁䭁䅁䅯䅁䭁䅁䅉䅁䙁䅁䅁䅁䅃佯䅖允䅁䅁䅅䅁䙁䝁䱤朰啷婶䅎䍄䉁䅁䅁兂䅁䅁䅍党䅁䅁䅯睉䅁䅁䅯睇䅁䅁䅕䅁䅁䕁祂唵䙁䅁䅁䅁䅃敦䅖允䅁䅁䅅䅁䙁䡁啳歲桦樫䅴䍄䉁䅁䅁䅂䅁䅁䅍䅄䅁䅁䅯睃䅁䅁䅯杁䅁䅁䅕䅁䅁䭁硁唵䉁䅁䅁允䅁䅁䅕㕡䵫⽸婎䕦䵁䅉䅅䅁䕁䅁䅁睁䵁䅁䅁权䱁䅁䅁权䕁䅁䅁兂䅁䅁䅁䑯汈䅑䅅䅁䉁䅁䅁兂灁䥘䌯夹䑨䅑杷允䅁䅁䅑䅁䑁䅁䅷䅁䭁䉁䅉䅁䭁䅁䅑䅁䙁䅁䅁䅁䅂佋䅚允䅁䅁䅅䅁䙁䭁睒児塲ㅅ䄱䍄䉁䅁䅁䅂䅁䅁䅍䅄䅁䅁䅯允䅁䅁䅯䅂䅁䅁䅕䅁䅁䕁䥂唵䉁䅁䅁允䅁䅁䅕牒䥗䐶㜹唸䵁䅉䅅䅁䕁䅁䅁睁䵁䅁䅁权䱁䅁䅁权䕁䅁䅁兂䅁䅁䅁䑧汐䅑䅅䅁䉁䅁䅁兂䙃ㄶ㑇獈㥕䅑杷允䅁䅁䅕䅁䑁䝁䅣䅁䭁䍁䅍䅁䭁䉁䅳䅁䙁䅁䅁䅁䅃效䅚兂䅁䅁䅁䍷浪䅑䅅䅁䉁䅁䅁兂噃㥚硳祇佚䅑杷允䅁䅁䅑䅁䑁䅁䅷䅁䭁䅁䅳䅁䭁䅁䅑䅁䙁䅁䅁䅁杄⭍䅖允䅁䅁䅅䅁䙁䩁婱婭婭啗䅂䍄䉁䅁䅁兂䅁䅁䅍杚䅁䅁䅯睉䅁䅁䅯睇䅁䅁䅕䅁䅁佁乃䔵䙁䅁䅁䅁杁敭䅒允䅁䅁䅅䅁䙁䵁䴳䵺䵺䍔䅬䍄䉁䅁䅁兂䅁䅁䅍睚䅁䅁䅯睉䅁䅁䅯睇䅁䅁䅕䅁䅁䕁㕁唵䙁䅁䅁䅁杂佒䅖允䅁䅁䅅䅁䙁䵁䩁琷儶呦䄵䍄䉁䅁䅁䅂䅁䅁䅍䅄䅁䅁䅯睃䅁䅁䅯䅂䅁䅁䅕䅁䅁䕁ㅁ唵䉁䅁䅁允䅁䅁䅕歲桦桥佔歑䵁䅉䅅䅁䙁䅁䅁睁求䅁䅁权橁䅁䅁权扁䅁䅁兂䅁䅁䅁䅉汄䅑䅕䅁䅁䥁䱁唵䉁䅁䅁允䅁䅁䅕䡰㥁瑃橣歍䵁䅉䅅䅁䕁䅁䅁睁䵁䅁䅁权䵁䅁䅁权䕁䅁䅁兂䅁䅁䅁䑧浺䅑䅅䅁䉁䅁䅁兂浂浚浚歚䍚䅑杷允䅁䅁䅕䅁䑁䝁䅑䅁䭁䉁䄸䅁䭁䍁䅁䅁䙁䅁䅁䅁䅁䱣䅤兂䅁䅁䅁䕯歘䅑䅅䅁䉁䅁䅁兂畄䠶㔫湆獕䅑杷允䅁䅁䅕䅁䑁䝁䅙䅁䭁䍁䅍䅁䭁䉁䅳䅁䙁䅁䅁䅁权畍䅒兂䅁䅁䅁䐴欳䅑䅅䅁䉁䅁䅁兂䑄匹捨㑪㍉䅑杷允䅁䅁䅑䅁䑁䅁䅷䅁䭁䅁䄰䅁䭁䅁䅉䅁䙁䅁䅁䅁䅄佈䅚允䅁䅁䅅䅁䙁䱁乬渫杍㐰䅆䍄䉁䅁䅁䅂䅁䅁䅍䅄䅁䅁䅯杄䅁䅁䅯䅂䅁䅁䅕䅁䅁䵁ぃ唵䉁䅁䅁允䅁䅁䅕䅁䅁䅁偂䕯䵁䅉䅅䅁䕁䅁䅁睁䵁䅁䅁权䩁䅁䅁权䕁䅁䅁兂䅁䅁䅁乁汮䅑䅅䅁䉁䅁䅁兂桄桥畓⭒塅䅑杷允䅁䅁䅑䅁䑁䅁䅷䅁䭁䅁䅳䅁䭁䅁䅑䅁䙁䅁䅁䅁䅄畐䅖允䅁䅁䅅䅁䙁佁剸䉵䘶ど䅤䍄䉁䅁䅁䅂䅁䅁䅍䅄䅁䅁䅯䅅䅁䅁䅯䅂䅁䅁䅕䅁䅁䅁䝁欵䉁䅁䅁允䅁䅁䅕積積積穏き䵁䅉䅅䅁䕁䅁䅁睁䵁䅁䅁权䱁䅁䅁权䕁䅁䅁兂䅁䅁䅁䝉汈䅑䅅䅁䉁䅁䅁兂䅁䅁䅁䅁㉁䅑杷允䅁䅁䅑䅁䑁䅁䅷䅁䭁䉁䅫䅁䭁䅁䅉䅁䙁䅁䅁䅁杁佉䅖允䅁䅁䅅䅁䙁䡁䙨䰸嘫䝤䅨䍄䉁䅁䅁兂䅁䅁䅍睚䅁䅁䅯睉䅁䅁䅯睇䅁䅁䅕䅁䅁䝁歄唵䙁䅁䅁䅁䅄⬷䅖允䅁䅁䅅䅁䙁佁㉐硂煫し䅊䍄䉁䅁䅁䅂䅁䅁䅍䅄䅁䅁䅯杄䅁䅁䅯杁䅁䅁䅕䅁䅁䍁䥃唵䉁䅁䅁允䅁䅁䅕⭵䌱㡣う歯䵁䅉䅅䅁䙁䅁䅁睁求䅁䅁权橁䅁䅁权扁䅁䅁兂䅁䅁䅁䅧浢䅑䅕䅁䅁佁剁欵䉁䅁䅁允䅁䅁䅕䉵䘶ㄶ㑇歒䵁䅉䅅䅁䕁䅁䅁睁䵁䅁䅁权佁䅁䅁权䕁䅁䅁兂䅁䅁䅁䱯汦䅑䅅䅁䉁䅁䅁兂䅁䅁䅁佁她䅑杷允䅁䅁䅕䅁䑁䝁䅣䅁䭁䍁䅍䅁䭁䉁䅳䅁䙁䅁䅁䅁䅁敖䅒兂䅁䅁䅁䝉歄䅑䅅䅁䉁䅁䅁兂⭃瘹汲獔ㅉ䅑杷允䅁䅁䅕䅁䑁䝁䅕䅁䭁䍁䅍䅁䭁䉁䅳䅁䙁䅁䅁䅁䅁整䅎兂䅁䅁䅁佧橌䅑䅅䅁䉁䅁䅁兂偃癷潕䭘䐹䅑杷允䅁䅁䅕䅁䑁䝁䅣䅁䭁䍁䅍䅁䭁䉁䅳䅁䙁䅁䅁䅁杄畆䅖兂䅁䅁䅁䍉汌䅑䅅䅁䉁䅁䅁兂桄桥畓睒癅䅑杷允䅁䅁䅕䅁䑁䝁䅣䅁䭁䍁䅍䅁䭁䉁䅳䅁䙁䅁䅁䅁权敦䅖兂䅁䅁䅁䭉汶䅑䅅䅁䉁䅁䅁兂捃奫療瑘㤰䅑杷允䅁䅁䅕䅁䑁䝁䅣䅁䭁䍁䅍䅁䭁䉁䅳䅁䙁䅁䅁䅁杂佅䅒兂䅁䅁䅁䉷歶䅑䅅䅁䉁䅁䅁兂卄捎婏桁ㅁ䅑杷允䅁䅁䅕䅁䑁䝁䅣䅁䭁䍁䅍䅁䭁䉁䅳䅁䙁䅁䅁䅁䅃畂䅚兂䅁䅁䅁䈴浈䅑䅅䅁䉁䅁䅁兂浂噊楚噊䕚䅑杷允䅁䅁䅑䅁䑁䅁䅷䅁䭁䅁䅅䅁䭁䅁䅑䅁䙁䅁䅁䅁权佒䅖允䅁䅁䅅䅁䙁佁䭢乯⽲⬱䅴䍄䉁䅁䅁䅂䅁䅁䅍䅄䅁䅁䅯睆䅁䅁䅯杁䅁䅁䅕䅁䅁䍁煄唵䉁䅁䅁允䅁䅁䅯兂䅁䅁杷允䅁䅁䅑䅁䑁䅁䅷䅁䭁䅁䅅䅁䭁䅁䅑䅁䙁䅁䅁䅁杁佤䅖允䅁䅁䅅䅁䙁䱁畯伯⽄乇䅤䍄䉁䅁䅁䅂䅁䅁䅍䅄䅁䅁䅯充䅁䅁䅯杁䅁䅁䅕䅁䅁䥁硄唵䉁䅁䅁允䅁䅁䅕瑂摯瑕圴啺䵁䅉䅅䅁䕁䅁䅁睁䵁䅁䅁权十䅁䅁权䍁䅁䅁兂䅁䅁䅁䍑浪䅑䅅䅁䉁䅁䅁兂䩂䙖样块䙲䅑杷允䅁䅁䅑䅁䑁䅁䅷䅁䭁䉁䅍䅁䭁䅁䅉䅁䙁䅁䅁䅁䅂畉䅚允䅁䅁䅅䅁䙁䙁坢獎橘湳䅨䍄䉁䅁䅁䅂䅁䅁䅍䅄䅁䅁䅯元䅁䅁䅯䅂䅁䅁䅕䅁䅁䭁奄唵䉁䅁䅁允䅁䅁䅕積積積積䕈䵁䅉䅅䅁䙁䅁䅁睁浂䅁䅁权橁䅁䅁权扁䅁䅁兂䅁䅁䅁䡑汌䅑䅕䅁䅁䥁㥂唵䉁䅁䅁允䅁䅁䅕灭婭婭婮啍䵁䅉䅅䅁䕁䅁䅁睁䵁䅁䅁权䩁䅁䅁权䕁䅁䅁兂䅁䅁䅁伴汐䅑䅅䅁䉁䅁䅁兂灁䥘䌯匹桧䅑杷允䅁䅁䅑䅁䑁䅁䅷䅁䭁䅁䅫䅁䭁䅁䅑䅁䙁䅁䅁䅁䅂畂䅚允䅁䅁䅅䅁䙁䩁婱婭婭六䄹䍄䉁䅁䅁兂䅁䅁䅍睚䅁䅁䅯睉䅁䅁䅯睇䅁䅁䅕䅁䅁䕁睃䔵䙁䅁䅁䅁䅃⭵䅒允䅁䅁䅅䅁䙁䱁漵偕倳匵䅊䍄䉁䅁䅁䅂䅁䅁䅍䅄䅁䅁䅯䅄䅁䅁䅯杁䅁䅁䅕䅁䅁䭁㙁欵䉁䅁䅁允䅁䅁䅕睰晰橷匸䕯䵁䅉䅅䅁䕁䅁䅁睁䵁䅁䅁权啁䅁䅁权䍁䅁䅁兂䅁䅁䅁䑷洯䅑䅅䅁䉁䅁䅁兂啄䭄業之爫䅑杷允䅁䅁䅕䅁䑁䝁䅑䅁䭁䉁䄸䅁䭁䍁䅁䅁䙁䅁䅁䅁䅁䱣䅤兂䅁䅁䅁䅁橢䅑䅅䅁䉁䅁䅁兂十癶㍣䥡猸䅑杷允䅁䅁䅕䅁䑁䝁䅙䅁䭁䍁䅍䅁䭁䉁䅳䅁䙁䅁䅁䅁䅂收䅒兂䅁䅁䅁偧歔䅑䅅䅁䉁䅁䅁兂桄桥畓㉒硅䅑杷允䅁䅁䅕䅁䑁䝁䅙䅁䭁䍁䅍䅁䭁䉁䅳䅁䙁䅁䅁䅁䅂畉䅖兂䅁䅁䅁䕷氯䅑䅅䅁䉁䅁䅁兂獄払敧卨睳䅑杷允䅁䅁䅕䅁䑁䝁䅙䅁䭁䍁䅍䅁䭁䉁䅳䅁䙁䅁䅁䅁䅂余䅒兂䅁䅁䅁䝧歶䅑䅅䅁䉁䅁䅁兂浂浚浚浚ㅙ䅑杷允䅁䅁䅕䅁䑁䝁䅣䅁䭁䍁䅍䅁䭁䉁䅳䅁䙁䅁䅁䅁䅁畐䅒兂䅁䅁䅁䝧歶䅑䅅䅁䉁䅁䅁兂䱂㑗祌䤹㑳䅑杷允䅁䅁䅑䅁䑁䅁䅷䅁䭁䅁䅷䅁䭁䅁䅑䅁䙁䅁䅁䅁䅄⭒䅚允䅁䅁䅅䅁䙁偁潙䥘䌯商䅒䍄䉁䅁䅁兂䅁䅁䅍杚䅁䅁䅯睉䅁䅁䅯睇䅁䅁䅕䅁䅁䕁婃䔵䙁䅁䅁䅁杄畸䅒允䅁䅁䅅䅁䙁䕁桪桥畓硒䄱䍄䉁䅁䅁兂䅁䅁䅍杚䅁䅁䅯睉䅁䅁䅯睇䅁䅁䅕䅁䅁䭁㥂唵䙁䅁䅁䅁䅁敩䅖允䅁䅁䅅䅁䙁乁橥䑣䬰穖䅰䍄䉁䅁䅁䅂䅁䅁䅍䅄䅁䅁䅯兄䅁䅁䅯䅂䅁䅁䅕䅁䅁䭁敁欵䉁䅁䅁允䅁䅁䅕硥畓⭒㙆䕄䵁䅉䅅䅁䙁䅁䅁睁求䅁䅁权橁䅁䅁权扁䅁䅁兂䅁䅁䅁佑歮䅑䅕䅁䅁䥁い䔵䉁䅁䅁允䅁䅁䅕噋偹癷潘䕎䵁䅉䅅䅁䙁䅁䅁睁浂䅁䅁权橁䅁䅁权扁䅁䅁兂䅁䅁䅁乁欷䅑䅕䅁䅁䍁灄䔵䉁䅁䅁允䅁䅁䅕捺䵺䵺䵸䕍䵁䅉䅅䅁䕁䅁䅁睁䵁䅁䅁权奁䅁䅁权䕁䅁䅁兂䅁䅁䅁乧汈䅑䅅䅁䉁䅁䅁兂晁敨剴䉵琷睐杷允䅁䅁䅑䅁䑁䅁䅷䅁䭁䅁䅅䅁䭁䅁䅑䅁䙁䅁䅁䅁䅄敕䅖允䅁䅁䅅䅁䙁䕁奈摋⽚畋䄹䍄䉁䅁䅁䅂䅁䅁䅍䅄䅁䅁䅯睆䅁䅁䅯䅂䅁䅁䅕䅁䅁䵁瑄唵䉁䅁䅁允䅁䅁䅯兂䅁䅁杷允䅁䅁䅑䅁䑁䅁䅷䅁䭁䅁䄴䅁䭁䅁䅑䅁䙁䅁䅁䅁杁佩䅖允䅁䅁䅅䅁䙁䅁䅁䅁䅁牱䅬䍄䉁䅁䅁䅂䅁䅁䅍䅄䅁䅁䅯䅇䅁䅁䅯䅂䅁䅁䅕䅁䅁䭁䝄唵䉁䅁䅁允䅁䅁䅕㡪ㅌ䙋偹歁䵁䅉䅅䅁䕁䅁䅁睁䵁䅁䅁权佁䅁䅁权䕁䅁䅁兂䅁䅁䅁䥙汲䅑䅅䅁䉁䅁䅁兂䅁䅁䅁䕧㍃䅑杷允䅁䅁䅕䅁䑁䝁䅙䅁䭁䍁䅍䅁䭁䉁䅳䅁䙁䅁䅁䅁杂⭗䅖兂䅁䅁䅁䝷汢䅑䅅䅁䉁䅁䅁兂㉄䙋偹癷祕䅑杷允䅁䅁䅕䅁䑁䝁䅑䅁䭁䉁䄸䅁䭁䍁䅁䅁䙁䅁䅁䅁䅁䱣䅤兂䅁䅁䅁䥁樯䅑䅅䅁䉁䅁䅁兂兂塎ㅯ䭑畅䅑杷允䅁䅁䅕䅁䑁䝁䅙䅁䭁䍁䅍䅁䭁䉁䅳䅁䙁䅁䅁䅁䅁畅䅚兂䅁䅁䅁䉙洳䅑䅅䅁䉁䅁䅁兂䥂場啯畲䙤䅑杷允䅁䅁䅑䅁䑁䅁䅷䅁䭁䅁䄴䅁䭁䅁䅑䅁䙁䅁䅁䅁䅄⭩䅖允䅁䅁䅅䅁䙁䅁䅁䅁䅁爸䅊䍄䉁䅁䅁兂䅁䅁䅍䅚䅁䅁䅯睈䅁䅁䅯䅉䅁䅁䅕䅁䅁䅁睂ぴ䙁䅁䅁䅁䅁佇䅒允䅁䅁䅅䅁䙁佁䙐桷㕁半䅰䍄䉁䅁䅁䅂䅁䅁䅍䅄䅁䅁䅯䅆䅁䅁䅯䅂䅁䅁䅕䅁䅁佁䵂欵䉁䅁䅁允䅁䅁䅕体㙆䭆堶し䵁䅉䅅䅁䕁䅁䅁睁䵁䅁䅁权佁䅁䅁权䕁䅁䅁兂䅁䅁䅁䩑汘䅑䅅䅁䉁䅁䅁兂䅁䅁䅁䝧㉭䅑杷允䅁䅁䅕䅁䑁䝁䅕䅁䭁䍁䅍䅁䭁䉁䅳䅁䙁䅁䅁䅁权畧䅒兂䅁䅁䅁䥷欳䅑䅅䅁䉁䅁䅁兂㉄䙋偹湷硕䅑杷允䅁䅁䅑䅁䑁䅁䅷䅁䭁䅁䅯䅁䭁䅁䅑䅁䙁䅁䅁䅁䅃佯䅖允䅁䅁䅅䅁䙁䉁䑋䵷桱剒䅂䍄䉁䅁䅁䅂䅁䅁䅍䅄䅁䅁䅯权䅁䅁䅯䅂䅁䅁䅕䅁䅁䵁楃唵䉁䅁䅁允䅁䅁䅕捺䵺䵺䵺䕃䵁䅉䅅䅁䙁䅁䅁睁求䅁䅁权橁䅁䅁权扁䅁䅁兂䅁䅁䅁䝑歄䅑䅕䅁䅁䥁牂䔵䉁䅁䅁允䅁䅁䅕硥畓⭒㙈問䵁䅉䅅䅁䕁䅁䅁睁歂䅁䅁权楁䅁䅁权扁䅁䅁兂䅁䅁䅁䑧栳䅑䅅䅁䉁䅁䅁兂睄䬴婍㕧䭩䅑杷允䅁䅁䅑䅁䑁䅁䅷䅁䭁䅁䅯䅁䭁䅁䅑䅁䙁䅁䅁䅁杁佰䅖允䅁䅁䅅䅁䙁䙁橔婰䕶䅉䅚䍄䉁䅁䅁䅂䅁䅁䅍䅄䅁䅁䅯杅䅁䅁䅯䅂䅁䅁䅕䅁䅁佁牁欵䉁䅁䅁允䅁䅁䅕積積積呎さ䵁䅉䅅䅁䙁䅁䅁睁求䅁䅁权橁䅁䅁权扁䅁䅁兂䅁䅁䅁䩑歮䅑䅕䅁䅁䭁歃䔵䉁䅁䅁允䅁䅁䅕⽷潕䥘䌯啌䵁䅉䅅䅁䙁䅁䅁睁浂䅁䅁权橁䅁䅁权扁䅁䅁兂䅁䅁䅁䱑歄䅑䅕䅁䅁䥁㝃䔵䉁䅁䅁允䅁䅁䅕体㙆䭆䠵啈䵁䅉䅅䅁䙁䅁䅁睁湂䅁䅁权橁䅁䅁权扁䅁䅁兂䅁䅁䅁䱷汢䅑䅕䅁䅁䍁䍄唵䉁䅁䅁允䅁䅁䅕䭆䠵場䍰啑䵁䅉䅅䅁䙁䅁䅁睁湂䅁䅁权橁䅁䅁权扁䅁䅁兂䅁䅁䅁临汪䅑䅕䅁䅁䝁䝁欵䉁䅁䅁允䅁䅁䅕匵瑢啭䥇け䵁䅉䅅䅁䕁䅁䅁睁䵁䅁䅁权䭁䅁䅁权䕁䅁䅁兂䅁䅁䅁䭯氳䅑䅅䅁䉁䅁䅁兂婄発呤㘴䉕䅑杷允䅁䅁䅑䅁䑁䅁䅷䅁䭁䉁䅅䅁䭁䅁䅑䅁䙁䅁䅁䅁䅄⬸䅖允䅁䅁䅅䅁䙁䅁塲㍯㥁楃䅤䍄䉁䅁䅁䅂䅁䅁䅍䅄䅁䅁䅯杄䅁䅁䅯䅂䅁䅁䅕䅁䅁䍁硃唵䉁䅁䅁允䅁䅁䅕䅁䅁䅁橃啯䵁䅉䅅䅁䕁䅁䅁睁䵁䅁䅁权佁䅁䅁权䕁䅁䅁兂䅁䅁䅁䱁汐䅑䅅䅁䉁䅁䅁兂䅁䅁䅁䍁橓䅑杷允䅁䅁䅕䅁䑁䝁䅣䅁䭁䍁䅍䅁䭁䉁䅳䅁䙁䅁䅁䅁䅂⭱䅖兂䅁䅁䅁䱯汢䅑䅅䅁䉁䅁䅁兂䥂場啯浌䅤䅑杷允䅁䅁䅑䅁䑁䅁䅷䅁䭁䉁䅧䅁䭁䅁䅑䅁䙁䅁䅁䅁杂佸䅖允䅁䅁䅅䅁䙁䡁啳歲桦桥䅬䍄䉁䅁䅁䅂䅁䅁䅍䅚䅁䅁䅯杉䅁䅁䅯睇䅁䅁䅕䅁䅁䭁穁〴䉁䅁䅁允䅁䅁䅕ㅊ㝥浖㌳啯䵁䅉䅅䅁䕁䅁䅁睁䵁䅁䅁权佁䅁䅁权䕁䅁䅁兂䅁䅁䅁䱑氷䅑䅅䅁䉁䅁䅁兂䅁䅁䅁䭁坩䅑杷允䅁䅁䅕䅁䑁䝁䅕䅁䭁䍁䅍䅁䭁䉁䅳䅁䙁䅁䅁䅁䅁申䅒兂䅁䅁䅁佉歮䅑䅅䅁䉁䅁䅁兂硂児塲穯ぁ䅑杷允䅁䅁䅑䅁䑁䅁䅷䅁䭁䉁䅍䅁䭁䅁䅑䅁䙁䅁䅁䅁杄敊䅚允䅁䅁䅅䅁䙁䡁㥅瑃橥䉣䅤䍄䉁䅁䅁䅂䅁䅁䅍䅄䅁䅁䅯䅇䅁䅁䅯䅂䅁䅁䅕䅁䅁䅁䥄唵䉁䅁䅁允䅁䅁䅕䘷㑇潈牘啁䵁䅉䅅䅁䙁䅁䅁睁浂䅁䅁权橁䅁䅁权扁䅁䅁兂䅁䅁䅁䕧歮䅑䅕䅁䅁佁啂䔵䉁䅁䅁允䅁䅁䅕灭婭婭婭啍䵁䅉䅅䅁䙁䅁䅁睁湂䅁䅁权橁䅁䅁权扁䅁䅁兂䅁䅁䅁乧歌䅑䅕䅁䅁佁摄䔵䉁䅁䅁允䅁䅁䅕䈫䍷奖潐䕌䵁䅉䅅䅁䙁䅁䅁睁求䅁䅁权橁䅁䅁权扁䅁䅁兂䅁䅁䅁䝯歶䅑䅕䅁䅁䍁婃䔵䉁䅁䅁允䅁䅁䅕䥘䌯匹捧䕏䵁䅉䅅䅁䙁䅁䅁睁求䅁䅁权橁䅁䅁权扁䅁䅁兂䅁䅁䅁䡉武䅑䅕䅁䅁䥁䍃䔵䉁䅁䅁允䅁䅁䅕䉵䘶ㄶ㑆䕍䵁䅉䅅䅁䕁䅁䅁睁䵁䅁䅁权塁䅁䅁权䕁䅁䅁兂䅁䅁䅁佁決䅑䅅䅁䉁䅁䅁权䙁䅁䅁䍄䉁䅁䅁兂䅁䅁䅍睚䅁䅁䅯睉䅁䅁䅯睇䅁䅁䅕䅁䅁䭁楄〴䙁䅁䅁䅁䅂佅䅒允䅁䅁䅅䅁䙁䩁歙婓歉呡䅬䍄䉁䅁䅁䅂䅁䅁䅍䅄䅁䅁䅯睆䅁䅁䅯䅂䅁䅁䅕䅁䅁䝁獄唵䉁䅁䅁允䅁䅁䅯兂䅁䅁杷允䅁䅁䅕䅁䑁䝁䅙䅁䭁䍁䅍䅁䭁䉁䅳䅁䙁䅁䅁䅁权伹䅒兂䅁䅁䅁䅁汄䅑䅅䅁䉁䅁䅁兂卂䉵䘶㤶睅䅑杷允䅁䅁䅑䅁䑁䝁䅑䅁䭁䍁䅉䅁䭁䉁䅳䅁䙁䅁䅁䅁䅁畂䅎允䅁䅁䅅䅁䙁䕁浡呴灱婎䄹䍄䉁䅁䅁兂䅁䅁䅍杚䅁䅁䅯睉䅁䅁䅯睇䅁䅁䅕䅁䅁䅁䡄䔵䙁䅁䅁䅁杂田䅒允䅁䅁䅅䅁䙁䑁積積積祳䅚䍄䉁䅁䅁兂䅁䅁䅍杚䅁䅁䅯睉䅁䅁䅯睇䅁䅁䅕䅁䅁佁晃唵䙁䅁䅁䅁杁⭱䅖允䅁䅁䅅䅁䙁乁橥䑣䬰穖䅰䍄䉁䅁䅁䅂䅁䅁䅍䅄䅁䅁䅯䅆䅁䅁䅯䅂䅁䅁䅕䅁䅁䭁䉂欵䉁䅁䅁允䅁䅁䅕歲桦桥⭑啕䵁䅉䅅䅁䙁䅁䅁睁湂䅁䅁权橁䅁䅁权扁䅁䅁兂䅁䅁䅁䑯歌䅑䅕䅁䅁佁㥁䔵䉁䅁䅁允䅁䅁䅕敨剴䉵䰷歏䵁䅉䅅䅁䕁䅁䅁睁䵁䅁䅁权塁䅁䅁权䕁䅁䅁兂䅁䅁䅁䉯浮䅑䅅䅁䉁䅁䅁权䙁䅁䅁䍄䉁䅁䅁䅂䅁䅁䅍䅄䅁䅁䅯䅅䅁䅁䅯䅂䅁䅁䅕䅁䅁䵁䡁欵䉁䅁䅁允䅁䅁䅕捺䵺䵺䵺歍䵁䅉䅅䅁䕁䅁䅁睁䵁䅁䅁权剁䅁䅁权䕁䅁䅁兂䅁䅁䅁偙汐䅑䅅䅁䉁䅁䅁兂㝂䭆䠵昴桯䅑杷允䅁䅁䅕䅁䑁䝁䅕䅁䭁䍁䅍䅁䭁䉁䅳䅁䙁䅁䅁䅁权⭃䅖兂䅁䅁䅁䉷汢䅑䅅䅁䉁䅁䅁兂㝂䭆䠵昴硯䅑杷允䅁䅁䅕䅁䑁䝁䅕䅁䭁䍁䅍䅁䭁䉁䅳䅁䙁䅁䅁䅁杄畆䅖兂䅁䅁䅁䍉汌䅑䅅䅁䉁䅁䅁兂慃婭婭剭硫䅑杷允䅁䅁䅑䅁䑁䅁䅷䅁䭁䉁䅅䅁䭁䅁䅑䅁䙁䅁䅁䅁杁改䅖允䅁䅁䅅䅁䙁佁剸䉵䘶礶䅒䍄䉁䅁䅁兂䅁䅁䅍杚䅁䅁䅯睉䅁䅁䅯睇䅁䅁䅕䅁䅁䕁㕁唵䙁䅁䅁䅁杂佒䅖允䅁䅁䅅䅁䙁䭁䠵場啯樷䅤䍄䉁䅁䅁䅂䅁䅁䅍䅄䅁䅁䅯充䅁䅁䅯䅂䅁䅁䅕䅁䅁䅁桁欵䉁䅁䅁允䅁䅁䅕䅁䅁䅁䅁歂䵁䅉䅅䅁䙁䅁䅁睁湂䅁䅁权橁䅁䅁权扁䅁䅁兂䅁䅁䅁䔴氯䅑䅕䅁䅁䕁扂唵䉁䅁䅁允䅁䅁䅕場啯歲㕥䕐䵁䅉䅅䅁䙁䅁䅁睁浂䅁䅁权橁䅁䅁权扁䅁䅁兂䅁䅁䅁䅯汶䅑䅕䅁䅁䵁坁唵䉁䅁䅁允䅁䅁䅕䥘䌯匹捨䕌䵁䅉䅅䅁䕁䅁䅁睁䵁䅁䅁权允䅁䅁权䕁䅁䅁兂䅁䅁䅁䅉浔䅑䅅䅁䉁䅁䅁兂桄桥畓㙒㙅䅑杷允䅁䅁䅑䅁䑁䅁䅷䅁䭁䅁䄰䅁䭁䅁䅑䅁䙁䅁䅁䅁杂佉䅚允䅁䅁䅅䅁䙁䅁塲㍯㥁权䄱䍄䉁䅁䅁兂䅁䅁䅍杚䅁䅁䅯睉䅁䅁䅯睇䅁䅁䅕䅁䅁佁奄唵䙁䅁䅁䅁䅂伵䅖允䅁䅁䅅䅁䙁䑁積積積に䅆䍄䉁䅁䅁䅂䅁䅁䅍䅄䅁䅁䅯䅅䅁䅁䅯䅂䅁䅁䅕䅁䅁䝁䝁欵䉁䅁䅁允䅁䅁䅕䥘䌯匹㡪啍䵁䅉䅅䅁䕁䅁䅁睁歂䅁䅁权楁䅁䅁权扁䅁䅁兂䅁䅁䅁䬴歄䅑䅅䅁䉁䅁䅁兂桁㙹块䩧獭䅑杷允䅁䅁䅕䅁䑁䝁䅙䅁䭁䍁䅍䅁䭁䉁䅳䅁䙁䅁䅁䅁䅃效䅚兂䅁䅁䅁䍷浪䅑䅅䅁䉁䅁䅁兂硂児塲㝯䱂䅑杷允䅁䅁䅑䅁䑁䅁䅷䅁䭁䉁䅁䅁䭁䅁䅑䅁䙁䅁䅁䅁权⭍䅚允䅁䅁䅅䅁䙁䩁婱婭婭升䄹䍄䉁䅁䅁䅂䅁䅁䅍䅚䅁䅁䅯杉䅁䅁䅯睇䅁䅁䅯杈䅁䅁䅅䅁䉁䅁䅁兂䕁⽋㙃坨䝡䅑杷允䅁䅁䅑䅁䑁䅁䅷䅁䭁䅁䄰䅁䭁䅁䅑䅁䙁䅁䅁䅁䅄佈䅚允䅁䅁䅅䅁䙁䭁睒児塲硯䅖䍄䉁䅁䅁兂䅁䅁䅍䅚䅁䅁䅯睈䅁䅁䅯䅉䅁䅁䅕䅁䅁䅁睂ぴ䙁䅁䅁䅁权⭍䅎允䅁䅁䅅䅁䙁䡁噉㥩唸楘䄱䍄䉁䅁䅁䅂䅁䅁䅍䅄䅁䅁䅯杅䅁䅁䅯䅂䅁䅁䅕䅁䅁䥁煁欵䉁䅁䅁允䅁䅁䅕䅁䅁䅁杄啔䵁䅉䅅䅁䕁䅁䅁睁䵁䅁䅁权乁䅁䅁权䕁䅁䅁兂䅁䅁䅁䌴浮䅑䅅䅁䉁䅁䅁兂㥁瑃橥䑣估䅑杷允䅁䅁䅕䅁䑁䝁䅕䅁䭁䍁䅍䅁䭁䉁䅳䅁䙁䅁䅁䅁权⭡䅒兂䅁䅁䅁䡁武䅑䅅䅁䉁䅁䅁兂捂㡪ㅌ䉋㑷䅑杷允䅁䅁䅑䅁䑁䅁䅷䅁䭁䅁䄰䅁䭁䅁䅑䅁䙁䅁䅁䅁䅂佔䅚允䅁䅁䅅䅁䙁䱁敧敨剴䉵䅂䍄䉁䅁䅁䅂䅁䅁䅍䅚䅁䅁䅯杉䅁䅁䅯睇䅁䅁䅕䅁䅁䍁牂唴䉁䅁䅁允䅁䅁䅕䤲䑒睎づ歫䵁䅉䅅䅁䕁䅁䅁睁䵁䅁䅁权呁䅁䅁权䕁䅁䅁兂䅁䅁䅁䍉浔䅑䅅䅁䉁䅁䅁兂晁敨剴䉵匴䅑杷允䅁䅁䅑䅁䑁䅁䅷䅁䭁䉁䅍䅁䭁䅁䅑䅁䙁䅁䅁䅁杂⭌䅚允䅁䅁䅅䅁䙁䱁敧敨剴䅵䅰䍄䉁䅁䅁兂䅁䅁䅍杚䅁䅁䅯睉䅁䅁䅯睇䅁䅁䅕䅁䅁䝁允䔵䙁䅁䅁䅁杄敐䅒允䅁䅁䅅䅁䙁佁剸䉵䘶穋䅂䍄䉁䅁䅁䅂䅁䅁䅍䅄䅁䅁䅯睅䅁䅁䅯䅂䅁䅁䅕䅁䅁䥁歁欵䉁䅁䅁允䅁䅁䅕牕敧敨剴う䵁䅉䅅䅁䙁䅁䅁睁求䅁䅁权橁䅁䅁权扁䅁䅁兂䅁䅁䅁䙷橮䅑䅯杊䅁䅁䅅䅁䉁䅁䅁兂䅁䅁䅁䅁㥁䅑杷允䅁䅁䅑䅁䑁䅁䅷䅁䭁䉁䅉䅁䭁䅁䅑䅁䙁䅁䅁䅁杁畋䅚允䅁䅁䅅䅁䙁䉁䘫ㄶ㑇汮䅨䍄䉁䅁䅁兂䅁䅁䅍杚䅁䅁䅯睉䅁䅁䅯睇䅁䅁䅕䅁䅁䝁湁䔵䙁䅁䅁䅁䅃畍䅒允䅁䅁䅅䅁䙁䑁積積積稸䅆䍄䉁䅁䅁兂䅁䅁䅍睚䅁䅁䅯睉䅁䅁䅯睇䅁䅁䅕䅁䅁䥁䕂唵䙁䅁䅁䅁䅄⭔䅖允䅁䅁䅅䅁䙁䩁歨㠴堫歆䅂䍄䉁䅁䅁䅂䅁䅁䅍䅄䅁䅁䅯杅䅁䅁䅯䅂䅁䅁䅕䅁䅁䝁ㅁ欵䉁䅁䅁允䅁䅁䅕⽷潕䥘䌫䕖䵁䅉䅅䅁䙁䅁䅁睁浂䅁䅁权橁䅁䅁权扁䅁䅁兂䅁䅁䅁䅉汄䅑䅕䅁䅁䥁䱁唵䉁䅁䅁允䅁䅁䅕䉵䘶ㄶ㑅歌䵁䅉䅅䅁䕁䅁䅁睁䵁䅁䅁权十䅁䅁权䕁䅁䅁兂䅁䅁䅁䙷浦䅑䅅䅁䉁䅁䅁兂䑄匹捨㕪摊䅑杷允䅁䅁䅑䅁䑁䅁䅷䅁䭁䅁䅷䅁䭁䅁䅑䅁䙁䅁䅁䅁权畏䅚允䅁䅁䅅䅁䙁䙁偹癷潕䕮䅴䍄䉁䅁䅁兂䅁䅁䅍党䅁䅁䅯睉䅁䅁䅯睇䅁䅁䅕䅁䅁䥁摁欵䙁䅁䅁䅁䅄佋䅚允䅁䅁䅅䅁䙁䭁睒児塲ㅁ䅂䍄䉁䅁䅁兂䅁䅁䅍党䅁䅁䅯睉䅁䅁䅯睇䅁䅁䅕䅁䅁䭁祁䔵䙁䅁䅁䅁杄敐䅒允䅁䅁䅅䅁䙁䥁䌯匹捨穪䄵䍄䉁䅁䅁兂䅁䅁䅍党䅁䅁䅯睉䅁䅁䅯睇䅁䅁䅕䅁䅁䝁䡃〴䙁䅁䅁䅁杄佴䅎允䅁䅁䅅䅁䙁䩁婱婭婭呭䅬䍄䉁䅁䅁兂䅁䅁䅍睚䅁䅁䅯睉䅁䅁䅯睇䅁䅁䅕䅁䅁䅁ㅃ〴䙁䅁䅁䅁䅃甴䅎允䅁䅁䅅䅁䙁佁武娵あ䑧䄱䍄䉁䅁䅁兂䅁䅁䅍睚䅁䅁䅯睉䅁䅁䅯睇䅁䅁䅕䅁䅁䕁婃䔵䙁䅁䅁䅁杄畸䅒允䅁䅁䅅䅁䙁䩁慇㝇爵楣䅚䍄䉁䅁䅁兂䅁䅁䅍党䅁䅁䅯睉䅁䅁䅯睇䅁䅁䅕䅁䅁䅁⭁䔵䙁䅁䅁䅁杂敓䅒允䅁䅁䅅䅁䙁䵁䴳䵺䵺䔷䅊䍄䉁䅁䅁䅂䅁䅁䅍䅄䅁䅁䅯䅆䅁䅁䅯䅂䅁䅁䅕䅁䅁䵁⽁欵䉁䅁䅁允䅁䅁䅕積積積呎啖䵁䅉䅅䅁䙁䅁䅁睁湂䅁䅁权橁䅁䅁权扁䅁䅁兂䅁䅁䅁䍙武䅑䅕䅁䅁䥁祁䔵䉁䅁䅁允䅁䅁䅕扤歈う當䕎䵁䅉䅅䅁䙁䅁䅁睁湂䅁䅁权橁䅁䅁权扁䅁䅁兂䅁䅁䅁佑歮䅑䅕䅁䅁䥁い䔵䉁䅁䅁允䅁䅁䅕慬器お癉き䵁䅉䅅䅁䕁䅁䅁睁䵁䅁䅁权啁䅁䅁权䕁䅁䅁兂䅁䅁䅁䕙浐䅑䅅䅁䉁䅁䅁兂啁歲桦瑥坒䅑杷允䅁䅁䅕䅁䑁䝁䅑䅁䭁䉁䄸䅁䭁䍁䅁䅁䙁䅁䅁䅁䅁䱣䅤兂䅁䅁䅁䬴歄䅑䅅䅁䉁䅁䅁兂ぁ桌䥷卹眴䅑杷允䅁䅁䅕䅁䑁䝁䅕䅁䭁䍁䅍䅁䭁䉁䅳䅁䙁䅁䅁䅁杂佅䅒兂䅁䅁䅁䉷歶䅑䅅䅁䉁䅁䅁兂䙃ㄶ㑇獈㑕䅑杷允䅁䅁䅕䅁䑁䝁䅙䅁䭁䍁䅍䅁䭁䉁䅳䅁䙁䅁䅁䅁䅃敺䅖兂䅁䅁䅁乷汪䅑䅅䅁䉁䅁䅁兂㝂䭆䠵戴䅰䅑杷允䅁䅁䅕䅁䑁䝁䅕䅁䭁䍁䅍䅁䭁䉁䅳䅁䙁䅁䅁䅁杄⭇䅒兂䅁䅁䅁䍑武䅑䅅䅁䉁䅁䅁兂䅁䅁䅁䕁㉁䅑杷允䅁䅁䅕䅁䑁䝁䅙䅁䭁䍁䅍䅁䭁䉁䅳䅁䙁䅁䅁䅁䅂⭱䅖兂䅁䅁䅁乷汪䅑䅅䅁䉁䅁䅁兂捂㡪ㅌ之㙷䅑杷允䅁䅁䅕䅁䑁䝁䅕䅁䭁䍁䅍䅁䭁䉁䅳䅁䙁䅁䅁䅁杂⭊䅒兂䅁䅁䅁䑧歌䅑䅅䅁䉁䅁䅁兂捂㡪ㅌ䉋㑷䅑杷允䅁䅁䅕䅁䑁䝁䅕䅁䭁䍁䅍䅁䭁䉁䅳䅁䙁䅁䅁䅁䅃敓䅒兂䅁䅁䅁䘴歔䅑䅅䅁䉁䅁䅁兂㝂䭆䠵場⽯䅑杷允䅁䅁䅕䅁䑁䝁䅕䅁䭁䍁䅍䅁䭁䉁䅳䅁䙁䅁䅁䅁䅁敖䅒兂䅁䅁䅁䝉歄䅑䅅䅁䉁䅁䅁兂桄桥畓祒㍅䅑杷允䅁䅁䅕䅁䑁䝁䅕䅁䭁䍁䅍䅁䭁䉁䅳䅁䙁䅁䅁䅁杄敪䅒兂䅁䅁䅁䩉歮䅑䅅䅁䉁䅁䅁兂硂児塲㍯硁䅑杷允䅁䅁䅕䅁䑁䝁䅙䅁䭁䍁䅍䅁䭁䉁䅳䅁䙁䅁䅁䅁䅁畐䅒兂䅁䅁䅁䕙歮䅑䅅䅁䉁䅁䅁兂啁歲桦桥㙑䅑杷允䅁䅁䅕䅁䑁䝁䅕䅁䭁䍁䅍䅁䭁䉁䅳䅁䙁䅁䅁䅁䅄佰䅒兂䅁䅁䅁䱉歄䅑䅅䅁䉁䅁䅁兂㑃潈牘呕獧䅑杷允䅁䅁䅕䅁䑁䝁䅕䅁䭁䍁䅍䅁䭁䉁䅳䅁䙁䅁䅁䅁䅂佳䅒兂䅁䅁䅁䱧歶䅑䅅䅁䉁䅁䅁兂乄䵺䵺䕺海䅑杷允䅁䅁䅕䅁䑁䝁䅙䅁䭁䍁䅍䅁䭁䉁䅳䅁䙁䅁䅁䅁䅃畂䅚兂䅁䅁䅁䈴浈䅑䅅䅁䉁䅁䅁兂灁䥘䌯改䉨䅑杷允䅁䅁䅕䅁䑁䝁䅕䅁䭁䍁䅍䅁䭁䉁䅳䅁䙁䅁䅁䅁䅁⭸䅒兂䅁䅁䅁乙歌䅑䅅䅁䉁䅁䅁兂穁積積㝍獍䅑杷允䅁䅁䅕䅁䑁䝁䅣䅁䭁䍁䅍䅁䭁䉁䅳䅁䙁䅁䅁䅁䅂畣䅖兂䅁䅁䅁䡧氳䅑䅅䅁䉁䅁䅁兂䵂⭓湥关㐰䅑杷允䅁䅁䅕䅁䑁䝁䅕䅁䭁䍁䅍䅁䭁䉁䅳䅁䙁䅁䅁䅁䅁畅䅚兂䅁䅁䅁䉙洳䅑䅅䅁䉁䅁䅁兂䑄匹捨祪偊䅑杷允䅁䅁䅕䅁䑁䝁䅣䅁䭁䍁䅍䅁䭁䉁䅳䅁䙁䅁䅁䅁杂⭨䅎兂䅁䅁䅁䰴橔䅑䅅䅁䉁䅁䅁兂癃偐䜰㍯き䅑杷允䅁䅁䅕䅁䑁䝁䅕䅁䭁䍁䅍䅁䭁䉁䅳䅁䙁䅁䅁䅁权伹䅒兂䅁䅁䅁䅁汄䅑䅅䅁䉁䅁䅁兂䭁㘱睎奐祯䅑杷允䅁䅁䅕䅁䑁䝁䅙䅁䭁䍁䅍䅁䭁䉁䅳䅁䙁䅁䅁䅁䅂敭䅒兂䅁䅁䅁䭯歔䅑䅅䅁䉁䅁䅁兂偃癷潕䥘漸䅑杷允䅁䅁䅕䅁䑁䝁䅕䅁䭁䍁䅍䅁䭁䉁䅳䅁䙁䅁䅁䅁䅂畉䅖兂䅁䅁䅁䍯氳䅑䅅䅁䉁䅁䅁兂䥂場啯杲祣䅑杷允䅁䅁䅕䅁䑁䝁䅕䅁䭁䍁䅍䅁䭁䉁䅳䅁䙁䅁䅁䅁杄⭔䅖兂䅁䅁䅁䙑汶䅑䅅䅁䉁䅁䅁兂乄䵺䵺䥺⽷䅑杷允䅁䅁䅕䅁䑁䝁䅙䅁䭁䍁䅍䅁䭁䉁䅳䅁䙁䅁䅁䅁杂佅䅒兂䅁䅁䅁䉷歶䅑䅅䅁䉁䅁䅁兂㑃潈牘塕硧䅑杷允䅁䅁䅕䅁䑁䝁䅕䅁䭁䍁䅍䅁䭁䉁䅳䅁䙁䅁䅁䅁杄畚䅖兂䅁䅁䅁䡉汌䅑䅅䅁䉁䅁䅁兂硂児塲⽯㍁䅑杷允䅁䅁䅕䅁䑁䝁䅕䅁䭁䍁䅍䅁䭁䉁䅳䅁䙁䅁䅁䅁权敦䅖兂䅁䅁䅁䥁汮䅑䅅䅁䉁䅁䅁兂乄䵺䵺䵺䩸䅑杷允䅁䅁䅕䅁䑁䝁䅕䅁䭁䍁䅍䅁䭁䉁䅳䅁䙁䅁䅁䅁杁敩䅖兂䅁䅁䅁䩧汔䅑䅅䅁䉁䅁䅁兂㥁瑃橥偣⬰䅑杷允䅁䅁䅕䅁䑁䝁䅣䅁䭁䍁䅍䅁䭁䉁䅳䅁䙁䅁䅁䅁权⭡䅒兂䅁䅁䅁䩉歮䅑䅅䅁䉁䅁䅁兂偁佹楦䩬癑䅑杷允䅁䅁䅕䅁䑁䝁䅕䅁䭁䍁䅍䅁䭁䉁䅳䅁䙁䅁䅁䅁权佬䅖兂䅁䅁䅁䩷氯䅑䅅䅁䉁䅁䅁兂穁積積積⽍䅑杷允䅁䅁䅕䅁䑁䝁䅙䅁䭁䍁䅍䅁䭁䉁䅳䅁䙁䅁䅁䅁䅁⭸䅒兂䅁䅁䅁偧歔䅑䅅䅁䉁䅁䅁兂穁積積積汍䅑杷允䅁䅁䅕䅁䑁䝁䅕䅁䭁䍁䅍䅁䭁䉁䅳䅁䙁䅁䅁䅁杄⭮䅖兂䅁䅁䅁䭉汶䅑䅅䅁䉁䅁䅁兂㑃潈牘呕䉨䅑杷允䅁䅁䅕䅁䑁䝁䅕䅁䭁䍁䅍䅁䭁䉁䅳䅁䙁䅁䅁䅁䅂⭱䅖兂䅁䅁䅁䱯汢䅑䅅䅁䉁䅁䅁兂偃癷潕䍘䌹䅑杷允䅁䅁䅕䅁䑁䝁䅕䅁䭁䍁䅍䅁䭁䉁䅳䅁䙁䅁䅁䅁䅄畴䅖兂䅁䅁䅁䵉汌䅑䅅䅁䉁䅁䅁兂慃婭婭摭䍬䅑杷允䅁䅁䅕䅁䑁䝁䅕䅁䭁䍁䅍䅁䭁䉁䅳䅁䙁䅁䅁䅁䅂畷䅖兂䅁䅁䅁䵙氳䅑䅅䅁䉁䅁䅁兂塄㍯㥁汃䍤䅑杷允䅁䅁䅕䅁䑁䝁䅕䅁䭁䍁䅍䅁䭁䉁䅳䅁䙁䅁䅁䅁杂伵䅖兂䅁䅁䅁佷氯䅑䅅䅁䉁䅁䅁兂䥂場啯歲䡤䅑杷允䅁䅁䅕䅁䑁䝁䅑䅁䭁䉁䄸䅁䭁䍁䅁䅁䙁䅁䅁䅁䅁䱣䅤兂䅁䅁䅁䝙橈䅑䅅䅁䉁䅁䅁兂⭄㐷䭧嘱煕䅑杷允䅁䅁䅕䅁䑁䝁䅕䅁䭁䍁䅍䅁䭁䉁䅳䅁䙁䅁䅁䅁杁⬫䅖兂䅁䅁䅁䅙浢䅑䅅䅁䉁䅁䅁兂㝂䭆䠵場䙰䅑杷允䅁䅁䅕䅁䑁䝁䅕䅁䭁䍁䅍䅁䭁䉁䅳䅁䙁䅁䅁䅁杄佋䅚兂䅁䅁䅁䑉浔䅑䅅䅁䉁䅁䅁兂桄桥畓穒卆䅑杷允䅁䅁䅑䅁䑁䝁䅑䅁䭁䍁䅉䅁䭁䉁䅳䅁䙁䅁䅁䅁䅁佇䅒允䅁䅁䅅䅁䙁䱁䱚ぐ祁慊䅎䍄䉁䅁䅁兂䅁䅁䅍党䅁䅁䅯睉䅁䅁䅯睇䅁䅁䅕䅁䅁䭁楄〴䙁䅁䅁䅁䅂佅䅒允䅁䅁䅅䅁䙁䵁䴳䵺䵺䕢䅊䍄䉁䅁䅁兂䅁䅁䅍党䅁䅁䅯睉䅁䅁䅯睇䅁䅁䅕䅁䅁䝁允䔵䙁䅁䅁䅁杄敐䅒允䅁䅁䅅䅁䙁䥁䌯匹捨穪䄵䍄䉁䅁䅁兂䅁䅁䅍党䅁䅁䅯睉䅁䅁䅯睇䅁䅁䅕䅁䅁䅁⭁䔵䙁䅁䅁䅁䅃⭡䅒允䅁䅁䅅䅁䙁䵁䴳䵺䵺䔷䅊䍄䉁䅁䅁兂䅁䅁䅍党䅁䅁䅯睉䅁䅁䅯睇䅁䅁䅕䅁䅁䕁婃䔵䙁䅁䅁䅁杄畸䅒允䅁䅁䅅䅁䙁䵁ㅐ䙋偹楷䄱䍄䉁䅁䅁兂䅁䅁䅍党䅁䅁䅯睉䅁䅁䅯睇䅁䅁䅕䅁䅁䭁い䔵䙁䅁䅁䅁杁畉䅖允䅁䅁䅅䅁䙁䅁塲㍯㥁橩䅊䍄䉁䅁䅁兂䅁䅁䅍杚䅁䅁䅯睉䅁䅁䅯睇䅁䅁䅕䅁䅁䍁䩃唵䙁䅁䅁䅁䅃佬䅖允䅁䅁䅅䅁䙁䵁䴳䵺䵺䑄䅖䍄䉁䅁䅁兂䅁䅁䅍党䅁䅁䅯睉䅁䅁䅯睇䅁䅁䅕䅁䅁䕁楁唵䙁䅁䅁䅁䅄⭔䅖允䅁䅁䅅䅁䙁䅁䅁䅁䅁䕧䅊䍄䉁䅁䅁兂䅁䅁䅍党䅁䅁䅯睉䅁䅁䅯睇䅁䅁䅕䅁䅁䭁㥂唵䙁䅁䅁䅁杁⭱䅖允䅁䅁䅅䅁䙁䵁䴳䵺䵺䕺䅬䍄䉁䅁䅁兂䅁䅁䅍党䅁䅁䅯睉䅁䅁䅯睇䅁䅁䅕䅁䅁䕁牃唵䙁䅁䅁䅁䅄伲䅖允䅁䅁䅅䅁䙁䕁桪桥畓ば䅒䍄䉁䅁䅁兂䅁䅁䅍党䅁䅁䅯睉䅁䅁䅯睇䅁䅁䅕䅁䅁䥁䝁欵䙁䅁䅁䅁杁低䅚允䅁䅁䅅䅁䙁佁㙆䭆䠵噍䅊䍄䉁䅁䅁兂䅁䅁䅍杚䅁䅁䅯睉䅁䅁䅯睇䅁䅁䅕䅁䅁佁坁唵䙁䅁䅁䅁杁畉䅖允䅁䅁䅅䅁䙁佁剸䉵䘶礶䅬䍄䉁䅁䅁䅂䅁䅁䅍䅚䅁䅁䅯杉䅁䅁䅯睇䅁䅁䅕䅁䅁䕁煄〴䉁䅁䅁允䅁䅁䅕䑈橃灦㕅䕯䵁䅉䅅䅁䙁䅁䅁睁浂䅁䅁权橁䅁䅁权扁䅁䅁兂䅁䅁䅁䙁歘䅑䅕䅁䅁䍁杂䔵䉁䅁䅁允䅁䅁䅕䡰㥁瑃橦き䵁䅉䅅䅁䙁䅁䅁睁浂䅁䅁权橁䅁䅁权扁䅁䅁兂䅁䅁䅁䝯歶䅑䅕䅁䅁䅁㍂䔵䉁䅁䅁允䅁䅁䅕䘷㑇潈牘が䵁䅉䅅䅁䙁䅁䅁睁浂䅁䅁权橁䅁䅁权扁䅁䅁兂䅁䅁䅁䡉武䅑䅕䅁䅁䥁䍃䔵䉁䅁䅁允䅁䅁䅕敨剴䉵䘶歊䵁䅉䅅䅁䙁䅁䅁睁浂䅁䅁权橁䅁䅁权扁䅁䅁兂䅁䅁䅁䥯歌䅑䅕䅁䅁䵁乃䔵䉁䅁䅁允䅁䅁䅕䅁䅁䅁䅃䕊䵁䅉䅅䅁䕁䅁䅁睁歂䅁䅁权楁䅁䅁权扁䅁䅁兂䅁䅁䅁䵙桢䅑䅅䅁䉁䅁䅁兂畁䉬ぎ歶捓䅑杷允䅁䅁䅕䅁䑁䝁䅙䅁䭁䍁䅍䅁䭁䉁䅳䅁䙁䅁䅁䅁䅄佰䅒兂䅁䅁䅁䱉歄䅑䅅䅁䉁䅁䅁兂慃婭婭婭桫䅑杷允䅁䅁䅕䅁䑁䝁䅙䅁䭁䍁䅍䅁䭁䉁䅳䅁䙁䅁䅁䅁权⭵䅒兂䅁䅁䅁䴴止䅑䅅䅁䉁䅁䅁兂䑄匹捨㡪楉䅑杷允䅁䅁䅕䅁䑁䝁䅙䅁䭁䍁䅍䅁䭁䉁䅳䅁䙁䅁䅁䅁䅃畂䅚兂䅁䅁䅁䑉浔䅑䅅䅁䉁䅁䅁兂灁䥘䌯改䉨䅑杷允䅁䅁䅕䅁䑁䝁䅙䅁䭁䍁䅍䅁䭁䉁䅳䅁䙁䅁䅁䅁䅂畉䅖兂䅁䅁䅁䍯氳䅑䅅䅁䉁䅁䅁兂獄払敧卨睳䅑杷允䅁䅁䅕䅁䑁䝁䅣䅁䭁䍁䅍䅁䭁䉁䅳䅁䙁䅁䅁䅁权佬䅖兂䅁䅁䅁䩷氯䅑䅅䅁䉁䅁䅁兂⽄牊㝨⽑㕙䅑杷允䅁䅁䅕䅁䑁䝁䅙䅁䭁䍁䅍䅁䭁䉁䅳䅁䙁䅁䅁䅁䅄敌䅖兂䅁䅁䅁䑉汮䅑䅅䅁䉁䅁䅁兂桄桥畓㉒睅䅑杷允䅁䅁䅕䅁䑁䝁䅙䅁䭁䍁䅍䅁䭁䉁䅳䅁䙁䅁䅁䅁䅃佒䅖兂䅁䅁䅁䕷氯䅑䅅䅁䉁䅁䅁兂晁敨剴䙵㠴䅑杷允䅁䅁䅕䅁䑁䝁䅙䅁䭁䍁䅍䅁䭁䉁䅳䅁䙁䅁䅁䅁杄⭔䅖兂䅁䅁䅁䙑汶䅑䅅䅁䉁䅁䅁兂䅁䅁䅁䅁㙁䅑杷允䅁䅁䅕䅁䑁䝁䅙䅁䭁䍁䅍䅁䭁䉁䅳䅁䙁䅁䅁䅁杄畚䅖兂䅁䅁䅁䡉汌䅑䅅䅁䉁䅁䅁兂㑃潈牘払癧䅑杷允䅁䅁䅕䅁䑁䝁䅙䅁䭁䍁䅍䅁䭁䉁䅳䅁䙁䅁䅁䅁权佬䅖兂䅁䅁䅁䩷氯䅑䅅䅁䉁䅁䅁兂歃䑣䬰⬱き䅑杷允䅁䅁䅕䅁䑁䝁䅙䅁䭁䍁䅍䅁䭁䉁䅳䅁䙁䅁䅁䅁䅂⭱䅖兂䅁䅁䅁䱯汢䅑䅅䅁䉁䅁䅁兂桄桥畓㙒㡅䅑杷允䅁䅁䅕䅁䑁䝁䅣䅁䭁䍁䅍䅁䭁䉁䅳䅁䙁䅁䅁䅁䅂⭱䅖兂䅁䅁䅁乷汪䅑䅅䅁䉁䅁䅁兂睃㥷汔椹䈹䅑杷允䅁䅁䅕䅁䑁䝁䅙䅁䭁䍁䅍䅁䭁䉁䅳䅁䙁䅁䅁䅁䅄畴䅖兂䅁䅁䅁䵉汌䅑䅅䅁䉁䅁䅁兂偃癷潕䥘⼸䅑杷允䅁䅁䅕䅁䑁䝁䅙䅁䭁䍁䅍䅁䭁䉁䅳䅁䙁䅁䅁䅁䅂畷䅖兂䅁䅁䅁䵙氳䅑䅅䅁䉁䅁䅁兂捂㡪ㅌ之㙷䅑杷允䅁䅁䅕䅁䑁䝁䅙䅁䭁䍁䅍䅁䭁䉁䅳䅁䙁䅁䅁䅁杂伵䅖兂䅁䅁䅁佷氯䅑䅅䅁䉁䅁䅁兂䥂場啯歲⽣䅑杷允䅁䅁䅕䅁䑁䝁䅙䅁䭁䍁䅍䅁䭁䉁䅳䅁䙁䅁䅁䅁杄⬷䅖兂䅁䅁䅁偁汶䅑䅅䅁䉁䅁䅁兂䙃ㄶ㑇獈⽕䅑杷允䅁䅁䅕䅁䑁䝁䅙䅁䭁䍁䅍䅁䭁䉁䅳䅁䙁䅁䅁䅁杁⬫䅖兂䅁䅁䅁䅙浢䅑䅅䅁䉁䅁䅁兂㥁瑃橥䩣䌱䅑杷允䅁䅁䅑䅁䑁䝁䅑䅁䭁䍁䅉䅁䭁䉁䅳䅁䙁䅁䅁䅁杂⭔䅊允䅁䅁䅅䅁䙁偁祥䵚爵㕙䅒䍄䉁䅁䅁兂䅁䅁䅍杚䅁䅁䅯睉䅁䅁䅯睇䅁䅁䅕䅁䅁䵁婂〴䭁䍁䅙䅁䉁䅁䅁允䅁䅁䅕⽷潕䥘䌯䕋䵁䅉䅅䅁䙁䅁䅁睁浂䅁䅁权橁䅁䅁权扁䅁䅁兂䅁䅁䅁䱁橘䅑䅕䅁䅁䥁楄〴䉁䅁䅁允䅁䅁䅕浚浚浚浚啎䵁䅉䅅䅁䙁䅁䅁睁浂䅁䅁权橁䅁䅁权扁䅁䅁兂䅁䅁䅁佯橌䅑䅕䅁䅁䕁允䔵䉁䅁䅁允䅁䅁䅕䅁䅁䅁䅂啍䵁䅉䅅䅁䙁䅁䅁睁湂䅁䅁权橁䅁䅁权扁䅁䅁兂䅁䅁䅁伴氯䅑䅕䅁䅁䅁㝄唵䉁䅁䅁允䅁䅁䅕摳牮牭攲け䵁䅉䅅䅁䙁䅁䅁睁浂䅁䅁权橁䅁䅁权扁䅁䅁兂䅁䅁䅁䑁欷䅑䅕䅁䅁䥁牂䔵䉁䅁䅁允䅁䅁䅕灭婭婭婭啍䵁䅉䅅䅁䙁䅁䅁睁浂䅁䅁权橁䅁䅁权扁䅁䅁兂䅁䅁䅁䝯歶䅑䅕䅁䅁䍁婃䔵䉁䅁䅁允䅁䅁䅕䅁䅁䅁䅃䕊䵁䅉䅅䅁䙁䅁䅁睁浂䅁䅁权橁䅁䅁权扁䅁䅁兂䅁䅁䅁䡯氳䅑䅕䅁䅁䍁牃唵䉁䅁䅁允䅁䅁䅕䡰㥁瑃橦䕎䵁䅉䅅䅁䙁䅁䅁睁浂䅁䅁权橁䅁䅁权扁䅁䅁兂䅁䅁䅁偯歔䅑䅕䅁䅁䍁楁唵䉁䅁䅁允䅁䅁䅕䘷㑇潈牘啋䵁䅉䅅䅁䙁䅁䅁睁湂䅁䅁权橁䅁䅁权扁䅁䅁兂䅁䅁䅁䅧浢䅑䅕䅁䅁䍁ぁ欵䉁䅁䅁允䅁䅁䅕創畬佷䡦こ䵁䅉䅅䅁䙁䅁䅁睁湂䅁䅁权橁䅁䅁权扁䅁䅁兂䅁䅁䅁䨴氯䅑䅕䅁䅁䍁牃唵䉁䅁䅁允䅁䅁䅕吸偺稸偺啐䵁䅉䅅䅁䙁䅁䅁睁浂䅁䅁权橁䅁䅁权扁䅁䅁兂䅁䅁䅁䔴氯䅑䅕䅁䅁䥁㥂唵䉁䅁䅁允䅁䅁䅕䉵䘶ㄶ㑇が䵁䅉䅅䅁䙁䅁䅁睁浂䅁䅁权橁䅁䅁权扁䅁䅁兂䅁䅁䅁临汪䅑䅕䅁䅁䝁䝁欵䉁䅁䅁允䅁䅁䅕体㙆䭆䠵ぐ䵁䅉䅅䅁䙁䅁䅁睁湂䅁䅁权橁䅁䅁权扁䅁䅁兂䅁䅁䅁䙷橮䅑䅯杊䅁䅁䅅䅁䉁䅁䅁兂⽃奨爸倷稰䅑杷允䅁䅁䅕䅁䑁䝁䅣䅁䭁䍁䅍䅁䭁䉁䅳䅁䙁䅁䅁䅁杄⭇䅒兂䅁䅁䅁䍑武䅑䅅䅁䉁䅁䅁兂あ剅夰挰穅䅑杷允䅁䅁䅕䅁䑁䝁䅣䅁䭁䍁䅍䅁䭁䉁䅳䅁䙁䅁䅁䅁䅁畐䅒兂䅁䅁䅁䕙歮䅑䅅䅁䉁䅁䅁兂偃癷潕䅘䅆䅑杷允䅁䅁䅕䅁䑁䝁䅣䅁䭁䍁䅍䅁䭁䉁䅳䅁䙁䅁䅁䅁䅃敓䅒兂䅁䅁䅁䘴歔䅑䅅䅁䉁䅁䅁兂歃䑣䬰㤱っ䅑杷允䅁䅁䅕䅁䑁䝁䅣䅁䭁䍁䅍䅁䭁䉁䅳䅁䙁䅁䅁䅁权⭡䅒兂䅁䅁䅁䡁武䅑䅅䅁䉁䅁䅁兂乄䵺䵺䕺け䅑杷允䅁䅁䅕䅁䑁䝁䅣䅁䭁䍁䅍䅁䭁䉁䅳䅁䙁䅁䅁䅁杁⭤䅒兂䅁䅁䅁䥧歌䅑䅅䅁䉁䅁䅁兂獄払敧卨煳䅑杷允䅁䅁䅕䅁䑁䝁䅣䅁䭁䍁䅍䅁䭁䉁䅳䅁䙁䅁䅁䅁权畧䅒兂䅁䅁䅁䥷欳䅑䅅䅁䉁䅁䅁兂䝃⭋湬扉瑕䅑杷允䅁䅁䅕䅁䑁䝁䅣䅁䭁䍁䅍䅁䭁䉁䅳䅁䙁䅁䅁䅁杄敪䅒兂䅁䅁䅁䩉歮䅑䅅䅁䉁䅁䅁兂⽄畃穒捣瑯䅑杷允䅁䅁䅕䅁䑁䝁䅑䅁䭁䉁䄸䅁䭁䍁䅁䅁䙁䅁䅁䅁䅁䱣䅤兂䅁䅁䅁佑橲䅑䅅䅁䉁䅁䅁兂㥃椯⭑祤湯䅑杷允䅁䅁䅕䅁䑁䝁䅣䅁䭁䍁䅍䅁䭁䉁䅳䅁䙁䅁䅁䅁䅄佰䅒兂䅁䅁䅁䱉歄䅑䅅䅁䉁䅁䅁兂灁䥘䌯唹汧䅑杷允䅁䅁䅑䅁䑁䝁䅑䅁䭁䍁䅉䅁䭁䉁䅳䅁䙁䅁䅁䅁权佶䅎允䅁䅁䅅䅁䙁䵁䩈倯畳灙䅴䍄䉁䅁䅁兂䅁䅁䅍睚䅁䅁䅯睉䅁䅁䅯睇䅁䅁䅕䅁䅁䭁㝃䔵䙁䅁䅁䅁杄畸䅒允䅁䅁䅅䅁䙁佁㙆䭆䠵祯䅚䍄䉁䅁䅁兂䅁䅁䅍睚䅁䅁䅯睉䅁䅁䅯睇䅁䅁䅕䅁䅁䅁敄䔵䙁䅁䅁䅁杁收䅒允䅁䅁䅅䅁䙁乁充睩砲䑇䅊䍄䉁䅁䅁兂䅁䅁䅍睚䅁䅁䅯睉䅁䅁䅯睇䅁䅁䅕䅁䅁䍁䅁唵䙁䅁䅁䅁䅃⭃䅖允䅁䅁䅅䅁䙁䉁晣㥖牪穯䅂䍄䉁䅁䅁兂䅁䅁䅍睚䅁䅁䅯睉䅁䅁䅯睇䅁䅁䅕䅁䅁䕁楁唵䙁䅁䅁䅁䅄⭔䅖允䅁䅁䅅䅁䙁乁塆䝫獙橏䅬䍄䉁䅁䅁兂䅁䅁䅍睚䅁䅁䅯睉䅁䅁䅯睇䅁䅁䅕䅁䅁䕁楁唵䙁䅁䅁䅁权敌䅖允䅁䅁䅅䅁䙁䑁ㅓ穕ㅵ穅䅆䍄䉁䅁䅁兂䅁䅁䅍睚䅁䅁䅯睉䅁䅁䅯睇䅁䅁䅕䅁䅁䵁瑁唵䙁䅁䅁䅁杁敏䅖允䅁䅁䅅䅁䙁䱁扭样䍷呖䅖䍄䉁䅁䅁兂䅁䅁䅍睚䅁䅁䅯睉䅁䅁䅯睇䅁䅁䅕䅁䅁䝁扂唵䙁䅁䅁䅁䅄畚䅖允䅁䅁䅅䅁䙁䱁敧敨剴穗䅖䍄䉁䅁䅁兂䅁䅁䅍睚䅁䅁䅯睉䅁䅁䅯睇䅁䅁䅕䅁䅁佁浂唵䙁䅁䅁䅁杁畣䅖允䅁䅁䅅䅁䙁乁汵汊焱橣䅊䍄䉁䅁䅁兂䅁䅁䅍睚䅁䅁䅯睉䅁䅁䅯睇䅁䅁䅕䅁䅁䭁㥂唵䙁䅁䅁䅁䅁敩䅖允䅁䅁䅅䅁䙁䅁䅁䅁䅁歖䅎䍄䉁䅁䅁兂䅁䅁䅍睚䅁䅁䅯睉䅁䅁䅯睇䅁䅁䅕䅁䅁䕁䍄唵䙁䅁䅁䅁杂敺䅖允䅁䅁䅅䅁䙁䑁㘹照湍䕭䅂䍄䉁䅁䅁兂䅁䅁䅍睚䅁䅁䅯睉䅁䅁䅯睇䅁䅁䅕䅁䅁䅁十欵䙁䅁䅁䅁杂效䅚允䅁䅁䅅䅁䙁䥁㥂䉰塑歘䅴䍄䉁䅁䅁兂䅁䅁䅍睚䅁䅁䅯睉䅁䅁䅯睇䅁䅁䅕䅁䅁䥁乄唵䙁䅁䅁䅁䅄伲䅖允䅁䅁䅅䅁䙁佁䍈楐猷で䅊䍄䉁䅁䅁兂䅁䅁䅍睚䅁䅁䅯睉䅁䅁䅯睇䅁䅁䅕䅁䅁䍁㝄唵䙁䅁䅁䅁杂畂䅚允䅁䅁䅅䅁䙁䥁㑴奆塬啁䅒䍄䉁䅁䅁兂䅁䅁䅍睚䅁䅁䅯睉䅁䅁䅯睇䅁䅁䅕䅁䅁佁潁欵䙁䅁䅁䅁杁低䅚允䅁䅁䅅䅁䙁䙁瀶癙䍤䙲䅂䍄䉁䅁䅁兂䅁䅁䅍睚䅁䅁䅯睉䅁䅁䅯睇䅁䅁䅕䅁䅁䭁い䔵䙁䅁䅁䅁杁畉䅖允䅁䅁䅅䅁䙁佁砲塦唱穙䅂䍄䉁䅁䅁兂䅁䅁䅍睚䅁䅁䅯睉䅁䅁䅯睇䅁䅁䅕䅁䅁佁偂唵䙁䅁䅁䅁䅃敦䅖允䅁䅁䅅䅁䙁䡁桕匰䔳呌䅤䍄䉁䅁䅁兂䅁䅁䅍䅚䅁䅁䅯睈䅁䅁䅯䅉䅁䅁䅕䅁䅁䅁睂ぴ䙁䅁䅁䅁杂伲䅊允䅁䅁䅅䅁䙁䥁樴由告䍓䄵䍄䉁䅁䅁兂䅁䅁䅍䅚䅁䅁䅯睈䅁䅁䅯䅉䅁䅁䅕䅁䅁䅁睂ぴ䙁䅁䅁䅁权佶䅎允䅁䅁䅅䅁䙁䑁桖㠫奫祸䅤䍄䉁䅁䅁兂䅁䅁䅍䅚䅁䅁䅯睈䅁䅁䅯䅉䅁䅁䅕䅁䅁䅁睂ぴ䙁䅁䅁䅁䅂⭣䅒允䅁䅁䅅䅁䙁偁䩉堲扫穈䅂䍄䉁䅁䅁䅂䅁䅁䅍䅚䅁䅁䅯杉䅁䅁䅯睇䅁䅁䅕䅁䅁䵁奃唴䉁䅁䅁允䅁䅁䅕㍨圴灑㌰䕬䵁䅉䅅䅁䕁䅁䅁睁歂䅁䅁权楁䅁䅁权扁䅁䅁兂䅁䅁䅁䍷楈䅑䅅䅁䉁䅁䅁兂ぃ桚䵆瑵她䅑杷允䅁䅁䅑䅁䑁䝁䅑䅁䭁䍁䅉䅁䭁䉁䅳䅁䙁䅁䅁䅁杂教䅎允䅁䅁䅅䅁䙁䉁畯䱘杣瀷䄹䍄䉁䅁䅁䅂䅁䅁䅍䅚䅁䅁䅯杉䅁䅁䅯睇䅁䅁䅕䅁䅁䭁䙂䔵䉁䅁䅁允䅁䅁䅕䄵砷故㕭歰䵁䅉䅅䅁䕁䅁䅁睁歂䅁䅁权楁䅁䅁权扁䅁䅁兂䅁䅁䅁䡑歐䅑䅅䅁䉁䅁䅁兂⭄䝓㈫塲獡䅑杷允䅁䅁䅑䅁䑁䝁䅑䅁䭁䍁䅉䅁䭁䉁䅳䅁䙁䅁䅁䅁权畺䅒允䅁䅁䅅䅁䙁佁夵創䩂䱇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</si>
</sst>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3">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0_);_(* \(#,##0.0\);_(* &quot;-&quot;??_);_(@_)"/>
    <numFmt numFmtId="165" formatCode="_(&quot;$&quot;* #,##0_);_(&quot;$&quot;* \(#,##0\);_(&quot;$&quot;* &quot;-&quot;??_);_(@_)"/>
    <numFmt numFmtId="166" formatCode="_(* #,##0_);_(* \(#,##0\);_(* &quot;-&quot;??_);_(@_)"/>
    <numFmt numFmtId="167" formatCode="_(* 0.0%_);_(* \-0.0%_);_(* &quot;-&quot;??_);_(@_)"/>
    <numFmt numFmtId="168" formatCode="_(* #,##0.0_);_(* \(#,##0.0\);_(* &quot;-&quot;??_);@"/>
    <numFmt numFmtId="169" formatCode="_(&quot;$&quot;* 0.00_);_(&quot;$&quot;* \(0.00\);_(&quot;$&quot;* &quot;-&quot;??_);_(@_)"/>
    <numFmt numFmtId="170" formatCode="_(* 0.0\ \x_);\ _(* &quot;n/a&quot;_);_(* &quot;-&quot;??_);_(@_)"/>
    <numFmt numFmtId="171" formatCode=";;;"/>
    <numFmt numFmtId="172" formatCode="_(&quot;$&quot;* #,##0.000_);_(&quot;$&quot;* \(#,##0.000\);_(&quot;$&quot;* &quot;-&quot;??_);_(@_)"/>
    <numFmt numFmtId="173" formatCode="_(* #,##0.0_);_(* \(#,##0.0\);_(* &quot;-&quot;??_);_(&quot;Bloomberg &gt;&gt; &quot;@_)"/>
    <numFmt numFmtId="174" formatCode="_(* #,##0.0_);_(* \(#,##0.0\);_(* &quot;-&quot;??_);_(&quot;Capital IQ &gt;&gt; &quot;@_)"/>
    <numFmt numFmtId="175" formatCode="_(* #,##0.0_);_(* \(#,##0.0\);_(* &quot;-&quot;??_);_(&quot;FactSet &gt;&gt; &quot;@_)"/>
    <numFmt numFmtId="176" formatCode="_(* #,##0.0_);_(* \(#,##0.0\);_(* &quot;-&quot;??_);_(&quot;Ticker :   &quot;@_)"/>
    <numFmt numFmtId="177" formatCode="_(&quot;$&quot;* 0,000_);_(&quot;$&quot;* \(0,000\);_(&quot;$&quot;* &quot;-&quot;??_);_(@_)"/>
    <numFmt numFmtId="178" formatCode="_(&quot;$&quot;* 0_);_(&quot;$&quot;* \(0\);_(&quot;$&quot;* &quot;-&quot;??_);_(@_)"/>
    <numFmt numFmtId="179" formatCode="_(* #,##0.0_);_(* \(#,##0.0\);_(* &quot;-&quot;_);_(@_)"/>
    <numFmt numFmtId="180" formatCode="_(* 0.0%_);_(* &quot;NMF&quot;_);_(* &quot;-&quot;??_);_(@_)"/>
    <numFmt numFmtId="181" formatCode="_(* 0.0%_);_(* &quot;n/a&quot;_);_(* &quot;-&quot;??_);_(@_)"/>
    <numFmt numFmtId="182" formatCode="_(* #,##0.0_);_(* \(#,##0.0\);_(* &quot;-&quot;??_);_(&quot;Model Sheet Currency :   &quot;@_)"/>
    <numFmt numFmtId="183" formatCode="_(* #,##0.0_);_(* \(#,##0.0\);_(* &quot;-&quot;??_);_(&quot;Canalyst Security Identification #: &quot;@_)"/>
    <numFmt numFmtId="184" formatCode="_(* #,##0.0_);_(* \(#,##0.0\);_(* &quot;-&quot;??_);_(&quot;Model Version #: &quot;@_)"/>
    <numFmt numFmtId="185" formatCode="_(* #,##0.0_);_(* \(#,##0.0\);_(* &quot; - &quot;??_);_(&quot;Last Price (&quot;@&quot;) &quot;_)"/>
    <numFmt numFmtId="186" formatCode="_(* #,##0.0_);_(* \(#,##0.0\);_(* &quot;-&quot;??_);_(&quot;Real-Time Stock Price :   &quot;@_)"/>
    <numFmt numFmtId="187" formatCode="_(&quot;$&quot;* 0.00_);_(&quot;$&quot;* \(0.00\);_(&quot;$&quot;* &quot; - &quot;??_);_(@_)"/>
    <numFmt numFmtId="188" formatCode="_(* #,##0.000_);_(* \(#,##0.000\);_(* &quot;-&quot;??_);_(@_)"/>
    <numFmt numFmtId="189" formatCode="&quot;Most Recent Period:&quot;"/>
    <numFmt numFmtId="190" formatCode="_(* #,##0.0_);_(* \(#,##0.0\);_(* &quot; -&quot;??_);_(&quot;Refinitiv &gt;&gt; &quot;@_)"/>
    <numFmt numFmtId="191" formatCode="yyyy\-mm\-dd"/>
    <numFmt numFmtId="192" formatCode="m\-d\-yy"/>
    <numFmt numFmtId="193" formatCode="_(* #,##0.0_);_(* \(#,##0.0\);_(* &quot;-&quot;??_);_(&quot;Canalyst Ticker &gt;&gt; &quot;@_)"/>
    <numFmt numFmtId="194" formatCode="_(\$* 0.00_);_(\$* \(0.00\);_(\$* &quot; - &quot;??_);_(@_)"/>
    <numFmt numFmtId="195" formatCode="_(\$* 0.00_);_(\$* \(0.00\);_(\$* &quot;-&quot;??_);_(@\ * \ &quot;Toggle  &gt;&gt;&gt;&quot;_)"/>
    <numFmt numFmtId="196" formatCode="_(* 0.00\ \x_);\ _(* &quot;n/a&quot;_);_(* &quot;-&quot;??_);_(@_)"/>
    <numFmt numFmtId="197" formatCode="_(* #,##0.0%_);_(* \(#,##0.0%\);_(* &quot;-&quot;_);_(@_)"/>
    <numFmt numFmtId="198" formatCode="0.0\x"/>
    <numFmt numFmtId="199" formatCode="0.0%"/>
    <numFmt numFmtId="200" formatCode="#,##0.0\x_);\(#,##0.0\x\)"/>
    <numFmt numFmtId="201" formatCode="#,##0%_);\(#,##0%\)"/>
    <numFmt numFmtId="202" formatCode="#,##0.0%_);\(#,##0.0%\)"/>
    <numFmt numFmtId="203" formatCode="_(* #,##0.000_);_(* \(#,##0.000\);_(* &quot;-&quot;_);_(@_)"/>
    <numFmt numFmtId="204" formatCode="#,##0;[Red]\(#,##0\)"/>
    <numFmt numFmtId="205" formatCode="_(&quot;$&quot;* #,##0.00_);_(&quot;$&quot;* \(#,##0.00\);_(&quot;$&quot;* &quot; - &quot;??_);_(@_)"/>
    <numFmt numFmtId="206" formatCode="_(* #,##0.00_);_(* \(#,##0.00\);_(* &quot;-&quot;_);_(@_)"/>
    <numFmt numFmtId="207" formatCode="_(* #,##0.0_);_(* \(#,##0.0\)_)\ ;_(* 0_)"/>
    <numFmt numFmtId="208" formatCode="_(* #,##0.0#_);_(* \(#,##0.0#\)_)\ ;_(* 0_)"/>
    <numFmt numFmtId="209" formatCode="_(&quot;$&quot;#,##0.0#_);_(\(&quot;$&quot;#,##0.0#\)_);_(&quot;$&quot;&quot; - &quot;_)"/>
    <numFmt numFmtId="210" formatCode="_(#,##0.0%_);_(\(#,##0.0%\)_);_(#,##0.0%_)"/>
    <numFmt numFmtId="211" formatCode="mmm\-dd\-yyyy"/>
    <numFmt numFmtId="212" formatCode="_(* #,##0_);_(* \(#,##0\)_)\ ;_(* 0_)"/>
    <numFmt numFmtId="213" formatCode="m/d/yy;@"/>
    <numFmt numFmtId="214" formatCode="_(* #,##0%_);_(* \(#,##0%\);_(* &quot;-&quot;??_);_(@_)"/>
    <numFmt numFmtId="215" formatCode="0%_);\(0%\);&quot;–&quot;_)"/>
    <numFmt numFmtId="216" formatCode="_(* #,##0%_);_(* \(#,##0%\);_(* &quot;–&quot;_);_(@_)"/>
    <numFmt numFmtId="217" formatCode="0.0\x_);\(0.0\x\);&quot;–&quot;_)"/>
    <numFmt numFmtId="218" formatCode="_(* #,##0%_);_(* \(#,##0%\);_(* &quot;–&quot;?_);_(@_)"/>
    <numFmt numFmtId="219" formatCode="#,##0.00_);\(#,##0.00\);\–_);&quot;–&quot;_)"/>
    <numFmt numFmtId="220" formatCode="0.0\x_);\(0.0\x\);&quot;-&quot;_);_(@_)"/>
    <numFmt numFmtId="221" formatCode="0\x_);\(0\x\);&quot;–&quot;_)"/>
    <numFmt numFmtId="222" formatCode="_(* #,##0.000%_);_(* \(#,##0.000%\);_(* &quot;-&quot;??_);_(@_)"/>
    <numFmt numFmtId="223" formatCode="_(* #,##0%_);_(* \(#,##0%\);_(* &quot;-&quot;_);_(@_)"/>
    <numFmt numFmtId="224" formatCode="[$-409]mmm\-yy;@"/>
    <numFmt numFmtId="225" formatCode="&quot;$&quot;#,##0.0_);\(&quot;$&quot;#,##0.0\)"/>
    <numFmt numFmtId="226" formatCode="_(* #,##0.0000_);_(* \(#,##0.0000\);_(* &quot;-&quot;??_);_(@_)"/>
    <numFmt numFmtId="227" formatCode="0.0000000000000000%"/>
    <numFmt numFmtId="228" formatCode="0.000000000000000%"/>
  </numFmts>
  <fonts count="166" x14ac:knownFonts="1">
    <font>
      <sz val="1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1"/>
      <color theme="1"/>
      <name val="Calibri"/>
      <family val="2"/>
      <scheme val="minor"/>
    </font>
    <font>
      <b/>
      <sz val="11"/>
      <color theme="1"/>
      <name val="Calibri"/>
      <family val="2"/>
      <scheme val="minor"/>
    </font>
    <font>
      <u/>
      <sz val="11"/>
      <color theme="10"/>
      <name val="Calibri"/>
      <family val="2"/>
      <scheme val="minor"/>
    </font>
    <font>
      <b/>
      <sz val="11"/>
      <name val="Calibri"/>
      <family val="2"/>
      <scheme val="minor"/>
    </font>
    <font>
      <b/>
      <sz val="11"/>
      <name val="Calibri"/>
      <family val="2"/>
    </font>
    <font>
      <sz val="11"/>
      <name val="Calibri"/>
      <family val="2"/>
      <scheme val="minor"/>
    </font>
    <font>
      <sz val="11"/>
      <color rgb="FFFF0000"/>
      <name val="Calibri"/>
      <family val="2"/>
    </font>
    <font>
      <sz val="11"/>
      <color theme="0"/>
      <name val="Calibri"/>
      <family val="2"/>
      <scheme val="minor"/>
    </font>
    <font>
      <sz val="22"/>
      <color theme="1"/>
      <name val="Calibri"/>
      <family val="2"/>
      <scheme val="minor"/>
    </font>
    <font>
      <u/>
      <sz val="11"/>
      <color theme="10"/>
      <name val="Calibri"/>
      <family val="2"/>
    </font>
    <font>
      <sz val="14"/>
      <color theme="1"/>
      <name val="Calibri"/>
      <family val="2"/>
      <scheme val="minor"/>
    </font>
    <font>
      <b/>
      <sz val="11"/>
      <color rgb="FFFF0000"/>
      <name val="Calibri"/>
      <family val="2"/>
    </font>
    <font>
      <sz val="11"/>
      <color rgb="FF006100"/>
      <name val="Calibri"/>
      <family val="2"/>
      <scheme val="minor"/>
    </font>
    <font>
      <sz val="10"/>
      <color theme="1"/>
      <name val="Calibri"/>
      <family val="2"/>
      <scheme val="minor"/>
    </font>
    <font>
      <b/>
      <sz val="10"/>
      <color theme="1"/>
      <name val="Calibri"/>
      <family val="2"/>
      <scheme val="minor"/>
    </font>
    <font>
      <b/>
      <sz val="14"/>
      <color rgb="FFFF0000"/>
      <name val="Calibri"/>
      <family val="2"/>
      <scheme val="minor"/>
    </font>
    <font>
      <b/>
      <sz val="14"/>
      <color theme="1"/>
      <name val="Calibri"/>
      <family val="2"/>
      <scheme val="minor"/>
    </font>
    <font>
      <sz val="14"/>
      <name val="Calibri"/>
      <family val="2"/>
      <scheme val="minor"/>
    </font>
    <font>
      <i/>
      <sz val="11"/>
      <name val="Calibri"/>
      <family val="2"/>
    </font>
    <font>
      <u/>
      <sz val="22"/>
      <color theme="10"/>
      <name val="Calibri"/>
      <family val="2"/>
      <scheme val="minor"/>
    </font>
    <font>
      <sz val="11"/>
      <color rgb="FF000000"/>
      <name val="Calibri"/>
      <family val="2"/>
      <scheme val="minor"/>
    </font>
    <font>
      <b/>
      <sz val="11"/>
      <color rgb="FFFFFFFF"/>
      <name val="Calibri"/>
      <family val="2"/>
    </font>
    <font>
      <sz val="11"/>
      <color rgb="FF000000"/>
      <name val="Calibri"/>
      <family val="2"/>
    </font>
    <font>
      <b/>
      <i/>
      <sz val="11"/>
      <color rgb="FF000000"/>
      <name val="Calibri"/>
      <family val="2"/>
    </font>
    <font>
      <b/>
      <i/>
      <sz val="11"/>
      <color rgb="FF000000"/>
      <name val="Calibri"/>
      <family val="2"/>
      <scheme val="minor"/>
    </font>
    <font>
      <b/>
      <sz val="11"/>
      <color rgb="FF000000"/>
      <name val="Calibri"/>
      <family val="2"/>
    </font>
    <font>
      <b/>
      <sz val="11"/>
      <color rgb="FF000000"/>
      <name val="Calibri"/>
      <family val="2"/>
      <scheme val="minor"/>
    </font>
    <font>
      <sz val="10"/>
      <color theme="0"/>
      <name val="Calibri"/>
      <family val="2"/>
      <scheme val="minor"/>
    </font>
    <font>
      <i/>
      <sz val="11"/>
      <color rgb="FF000000"/>
      <name val="Calibri"/>
      <family val="2"/>
      <scheme val="minor"/>
    </font>
    <font>
      <i/>
      <sz val="11"/>
      <color rgb="FF000000"/>
      <name val="Calibri"/>
      <family val="2"/>
    </font>
    <font>
      <b/>
      <sz val="11"/>
      <color rgb="FFFFFFFF"/>
      <name val="Calibri"/>
      <family val="2"/>
      <scheme val="minor"/>
    </font>
    <font>
      <sz val="11"/>
      <color rgb="FFFFFFFF"/>
      <name val="Calibri"/>
      <family val="2"/>
    </font>
    <font>
      <sz val="11"/>
      <color theme="0" tint="-4.3275246436964017E-2"/>
      <name val="Calibri"/>
      <family val="2"/>
    </font>
    <font>
      <b/>
      <sz val="11"/>
      <color theme="0"/>
      <name val="Calibri"/>
      <family val="2"/>
    </font>
    <font>
      <u/>
      <sz val="22"/>
      <color rgb="FF000000"/>
      <name val="Calibri"/>
      <family val="2"/>
      <scheme val="minor"/>
    </font>
    <font>
      <u/>
      <sz val="11"/>
      <color rgb="FF000000"/>
      <name val="Calibri"/>
      <family val="2"/>
      <scheme val="minor"/>
    </font>
    <font>
      <sz val="11"/>
      <color rgb="FFF2F2F2"/>
      <name val="Calibri"/>
      <family val="2"/>
    </font>
    <font>
      <u/>
      <sz val="11"/>
      <color rgb="FF0000FF"/>
      <name val="Calibri"/>
      <family val="2"/>
      <scheme val="minor"/>
    </font>
    <font>
      <u/>
      <sz val="14"/>
      <color rgb="FF0000FF"/>
      <name val="Calibri"/>
      <family val="2"/>
      <scheme val="minor"/>
    </font>
    <font>
      <b/>
      <i/>
      <sz val="11"/>
      <name val="Calibri"/>
      <family val="2"/>
    </font>
    <font>
      <b/>
      <i/>
      <sz val="11"/>
      <color rgb="FFFF0000"/>
      <name val="Calibri"/>
      <family val="2"/>
    </font>
    <font>
      <b/>
      <sz val="9"/>
      <name val="Tahoma"/>
      <family val="2"/>
    </font>
    <font>
      <sz val="9"/>
      <name val="Tahoma"/>
      <family val="2"/>
    </font>
    <font>
      <b/>
      <sz val="8"/>
      <name val="Tahoma"/>
      <family val="2"/>
    </font>
    <font>
      <sz val="8"/>
      <name val="Tahoma"/>
      <family val="2"/>
    </font>
    <font>
      <i/>
      <sz val="11"/>
      <color rgb="FFFF0000"/>
      <name val="Calibri"/>
      <family val="2"/>
    </font>
    <font>
      <sz val="7"/>
      <color rgb="FF000000"/>
      <name val="Calibri"/>
      <family val="2"/>
      <scheme val="minor"/>
    </font>
    <font>
      <b/>
      <sz val="7"/>
      <color rgb="FF000000"/>
      <name val="Calibri"/>
      <family val="2"/>
      <scheme val="minor"/>
    </font>
    <font>
      <b/>
      <i/>
      <sz val="11"/>
      <color rgb="FFFFFFFF"/>
      <name val="Calibri"/>
      <family val="2"/>
    </font>
    <font>
      <sz val="11"/>
      <color rgb="FF0000FC"/>
      <name val="Calibri"/>
      <family val="2"/>
    </font>
    <font>
      <b/>
      <i/>
      <sz val="11"/>
      <color rgb="FF0000FC"/>
      <name val="Calibri"/>
      <family val="2"/>
    </font>
    <font>
      <b/>
      <sz val="11"/>
      <color rgb="FF0000FC"/>
      <name val="Calibri"/>
      <family val="2"/>
    </font>
    <font>
      <i/>
      <sz val="11"/>
      <color rgb="FF0000FC"/>
      <name val="Calibri"/>
      <family val="2"/>
    </font>
    <font>
      <sz val="11"/>
      <color rgb="FF0000FC"/>
      <name val="Calibri"/>
      <family val="2"/>
      <scheme val="minor"/>
    </font>
    <font>
      <sz val="11"/>
      <name val="Calibri"/>
      <family val="2"/>
    </font>
    <font>
      <b/>
      <sz val="9"/>
      <name val="Tahoma"/>
      <family val="2"/>
      <charset val="1"/>
    </font>
    <font>
      <sz val="9"/>
      <name val="Tahoma"/>
      <family val="2"/>
      <charset val="1"/>
    </font>
    <font>
      <u val="singleAccounting"/>
      <sz val="10"/>
      <color theme="1"/>
      <name val="Arial"/>
      <family val="2"/>
    </font>
    <font>
      <b/>
      <sz val="10"/>
      <color theme="1"/>
      <name val="Arial"/>
      <family val="2"/>
    </font>
    <font>
      <b/>
      <u val="singleAccounting"/>
      <sz val="10"/>
      <color theme="1"/>
      <name val="Arial"/>
      <family val="2"/>
    </font>
    <font>
      <i/>
      <sz val="10"/>
      <color theme="1"/>
      <name val="Arial"/>
      <family val="2"/>
    </font>
    <font>
      <i/>
      <u/>
      <sz val="10"/>
      <color theme="1"/>
      <name val="Arial"/>
      <family val="2"/>
    </font>
    <font>
      <b/>
      <i/>
      <sz val="10"/>
      <name val="Arial"/>
      <family val="2"/>
    </font>
    <font>
      <sz val="10"/>
      <name val="Arial"/>
      <family val="2"/>
    </font>
    <font>
      <b/>
      <sz val="10"/>
      <name val="Arial"/>
      <family val="2"/>
    </font>
    <font>
      <i/>
      <sz val="10"/>
      <name val="Arial"/>
      <family val="2"/>
    </font>
    <font>
      <u/>
      <sz val="10"/>
      <name val="Arial"/>
      <family val="2"/>
    </font>
    <font>
      <i/>
      <u/>
      <sz val="10"/>
      <name val="Arial"/>
      <family val="2"/>
    </font>
    <font>
      <b/>
      <u/>
      <sz val="10"/>
      <color theme="1"/>
      <name val="Arial"/>
      <family val="2"/>
    </font>
    <font>
      <u val="singleAccounting"/>
      <sz val="10"/>
      <name val="Arial"/>
      <family val="2"/>
    </font>
    <font>
      <u/>
      <sz val="10"/>
      <color theme="1"/>
      <name val="Arial"/>
      <family val="2"/>
    </font>
    <font>
      <i/>
      <sz val="10"/>
      <color rgb="FFFF0000"/>
      <name val="Arial"/>
      <family val="2"/>
    </font>
    <font>
      <sz val="10"/>
      <color theme="0"/>
      <name val="Arial"/>
      <family val="2"/>
    </font>
    <font>
      <sz val="10"/>
      <color rgb="FFFF0000"/>
      <name val="Arial"/>
      <family val="2"/>
    </font>
    <font>
      <sz val="8"/>
      <color theme="1"/>
      <name val="Arial"/>
      <family val="2"/>
    </font>
    <font>
      <sz val="10"/>
      <color rgb="FF0000FF"/>
      <name val="Arial"/>
      <family val="2"/>
    </font>
    <font>
      <u val="singleAccounting"/>
      <sz val="10"/>
      <color rgb="FF0000FF"/>
      <name val="Arial"/>
      <family val="2"/>
    </font>
    <font>
      <sz val="9"/>
      <color theme="1"/>
      <name val="Arial"/>
      <family val="2"/>
    </font>
    <font>
      <i/>
      <sz val="9"/>
      <color theme="1"/>
      <name val="Arial"/>
      <family val="2"/>
    </font>
    <font>
      <b/>
      <sz val="9"/>
      <color theme="1"/>
      <name val="Arial"/>
      <family val="2"/>
    </font>
    <font>
      <sz val="9"/>
      <color rgb="FF0070C0"/>
      <name val="Arial"/>
      <family val="2"/>
    </font>
    <font>
      <sz val="9"/>
      <color theme="0"/>
      <name val="Arial"/>
      <family val="2"/>
    </font>
    <font>
      <b/>
      <u val="singleAccounting"/>
      <sz val="9"/>
      <color theme="1"/>
      <name val="Arial"/>
      <family val="2"/>
    </font>
    <font>
      <i/>
      <sz val="9"/>
      <color rgb="FFFF0000"/>
      <name val="Arial"/>
      <family val="2"/>
    </font>
    <font>
      <sz val="9"/>
      <color rgb="FF00B050"/>
      <name val="Arial"/>
      <family val="2"/>
    </font>
    <font>
      <sz val="9"/>
      <name val="Arial"/>
      <family val="2"/>
    </font>
    <font>
      <i/>
      <sz val="9"/>
      <name val="Arial"/>
      <family val="2"/>
    </font>
    <font>
      <i/>
      <u val="singleAccounting"/>
      <sz val="9"/>
      <color theme="1"/>
      <name val="Arial"/>
      <family val="2"/>
    </font>
    <font>
      <u val="singleAccounting"/>
      <sz val="9"/>
      <color rgb="FF00B050"/>
      <name val="Arial"/>
      <family val="2"/>
    </font>
    <font>
      <u val="singleAccounting"/>
      <sz val="9"/>
      <name val="Arial"/>
      <family val="2"/>
    </font>
    <font>
      <u val="singleAccounting"/>
      <sz val="9"/>
      <color theme="1"/>
      <name val="Arial"/>
      <family val="2"/>
    </font>
    <font>
      <u val="singleAccounting"/>
      <sz val="9"/>
      <color theme="0" tint="-0.34998626667073579"/>
      <name val="Arial"/>
      <family val="2"/>
    </font>
    <font>
      <sz val="9"/>
      <color rgb="FFFF0000"/>
      <name val="Arial"/>
      <family val="2"/>
    </font>
    <font>
      <u val="singleAccounting"/>
      <sz val="9"/>
      <color rgb="FFFF0000"/>
      <name val="Arial"/>
      <family val="2"/>
    </font>
    <font>
      <i/>
      <sz val="9"/>
      <color rgb="FF0070C0"/>
      <name val="Arial"/>
      <family val="2"/>
    </font>
    <font>
      <i/>
      <sz val="9"/>
      <color rgb="FF00B050"/>
      <name val="Arial"/>
      <family val="2"/>
    </font>
    <font>
      <sz val="9"/>
      <color theme="0" tint="-0.34998626667073579"/>
      <name val="Arial"/>
      <family val="2"/>
    </font>
    <font>
      <b/>
      <u/>
      <sz val="9"/>
      <color theme="1"/>
      <name val="Arial"/>
      <family val="2"/>
    </font>
    <font>
      <b/>
      <sz val="9"/>
      <name val="Arial"/>
      <family val="2"/>
    </font>
    <font>
      <b/>
      <sz val="9"/>
      <color theme="0"/>
      <name val="Arial"/>
      <family val="2"/>
    </font>
    <font>
      <u/>
      <sz val="10"/>
      <color rgb="FF0070C0"/>
      <name val="Arial"/>
      <family val="2"/>
    </font>
    <font>
      <u val="singleAccounting"/>
      <sz val="10"/>
      <color rgb="FFFF0000"/>
      <name val="Arial"/>
      <family val="2"/>
    </font>
    <font>
      <u val="singleAccounting"/>
      <sz val="10"/>
      <color theme="0" tint="-0.249977111117893"/>
      <name val="Arial"/>
      <family val="2"/>
    </font>
    <font>
      <i/>
      <u/>
      <sz val="10"/>
      <color rgb="FFFF0000"/>
      <name val="Arial"/>
      <family val="2"/>
    </font>
    <font>
      <sz val="10"/>
      <color theme="0" tint="-0.249977111117893"/>
      <name val="Arial"/>
      <family val="2"/>
    </font>
    <font>
      <u/>
      <sz val="9"/>
      <color rgb="FFFF0000"/>
      <name val="Arial"/>
      <family val="2"/>
    </font>
    <font>
      <i/>
      <sz val="10"/>
      <color rgb="FF0000FF"/>
      <name val="Arial"/>
      <family val="2"/>
    </font>
    <font>
      <sz val="10"/>
      <color rgb="FFF2F2F2"/>
      <name val="Arial"/>
      <family val="2"/>
    </font>
    <font>
      <u/>
      <sz val="10"/>
      <color rgb="FF000000"/>
      <name val="Arial"/>
      <family val="2"/>
    </font>
    <font>
      <sz val="10"/>
      <color rgb="FF000000"/>
      <name val="Arial"/>
      <family val="2"/>
    </font>
    <font>
      <i/>
      <sz val="10"/>
      <color rgb="FF000000"/>
      <name val="Arial"/>
      <family val="2"/>
    </font>
    <font>
      <b/>
      <sz val="10"/>
      <color rgb="FF000000"/>
      <name val="Arial"/>
      <family val="2"/>
    </font>
    <font>
      <b/>
      <u/>
      <sz val="10"/>
      <name val="Arial"/>
      <family val="2"/>
    </font>
    <font>
      <b/>
      <u val="singleAccounting"/>
      <sz val="10"/>
      <name val="Arial"/>
      <family val="2"/>
    </font>
    <font>
      <u/>
      <sz val="10"/>
      <color rgb="FF0000FF"/>
      <name val="Arial"/>
      <family val="2"/>
    </font>
    <font>
      <sz val="10"/>
      <color theme="0" tint="-4.2085024567400126E-2"/>
      <name val="Arial"/>
      <family val="2"/>
    </font>
    <font>
      <b/>
      <sz val="10"/>
      <color theme="0"/>
      <name val="Arial"/>
      <family val="2"/>
    </font>
    <font>
      <b/>
      <sz val="13"/>
      <color indexed="8"/>
      <name val="Verdana"/>
      <family val="2"/>
    </font>
    <font>
      <sz val="8"/>
      <name val="Arial"/>
      <family val="2"/>
    </font>
    <font>
      <i/>
      <sz val="8"/>
      <name val="Arial"/>
      <family val="2"/>
    </font>
    <font>
      <b/>
      <sz val="8"/>
      <name val="Arial"/>
      <family val="2"/>
    </font>
    <font>
      <sz val="8"/>
      <color indexed="8"/>
      <name val="Arial"/>
      <family val="2"/>
    </font>
    <font>
      <b/>
      <sz val="8"/>
      <color indexed="9"/>
      <name val="Verdana"/>
      <family val="2"/>
    </font>
    <font>
      <sz val="1"/>
      <color indexed="9"/>
      <name val="Symbol"/>
      <family val="1"/>
      <charset val="2"/>
    </font>
    <font>
      <b/>
      <sz val="8"/>
      <color indexed="8"/>
      <name val="Arial"/>
      <family val="2"/>
    </font>
    <font>
      <b/>
      <i/>
      <sz val="8"/>
      <color indexed="8"/>
      <name val="Arial"/>
      <family val="2"/>
    </font>
    <font>
      <b/>
      <u val="double"/>
      <sz val="8"/>
      <color indexed="8"/>
      <name val="Arial"/>
      <family val="2"/>
    </font>
    <font>
      <b/>
      <u/>
      <sz val="8"/>
      <color indexed="8"/>
      <name val="Arial"/>
      <family val="2"/>
    </font>
    <font>
      <sz val="9"/>
      <name val="Calibri"/>
      <family val="2"/>
    </font>
    <font>
      <i/>
      <sz val="9"/>
      <color rgb="FF000000"/>
      <name val="Arial"/>
      <family val="2"/>
    </font>
    <font>
      <b/>
      <sz val="9"/>
      <color rgb="FF0000FF"/>
      <name val="Arial"/>
      <family val="2"/>
    </font>
    <font>
      <b/>
      <sz val="9"/>
      <color rgb="FF008000"/>
      <name val="Arial"/>
      <family val="2"/>
    </font>
    <font>
      <b/>
      <sz val="9"/>
      <color rgb="FF000000"/>
      <name val="Arial"/>
      <family val="2"/>
    </font>
    <font>
      <i/>
      <sz val="9"/>
      <color rgb="FF008000"/>
      <name val="Arial"/>
      <family val="2"/>
    </font>
    <font>
      <i/>
      <sz val="9"/>
      <color rgb="FF0000FF"/>
      <name val="Arial"/>
      <family val="2"/>
    </font>
    <font>
      <sz val="9"/>
      <color rgb="FF000000"/>
      <name val="Arial"/>
      <family val="2"/>
    </font>
    <font>
      <u val="singleAccounting"/>
      <sz val="9"/>
      <color rgb="FF000000"/>
      <name val="Arial"/>
      <family val="2"/>
    </font>
    <font>
      <u val="singleAccounting"/>
      <sz val="9"/>
      <color rgb="FF0000FF"/>
      <name val="Arial"/>
      <family val="2"/>
    </font>
    <font>
      <u val="singleAccounting"/>
      <sz val="9"/>
      <color rgb="FF008000"/>
      <name val="Arial"/>
      <family val="2"/>
    </font>
    <font>
      <i/>
      <u/>
      <sz val="9"/>
      <color theme="1"/>
      <name val="Arial"/>
      <family val="2"/>
    </font>
    <font>
      <sz val="9"/>
      <color rgb="FF0000FF"/>
      <name val="Arial"/>
      <family val="2"/>
    </font>
    <font>
      <sz val="9"/>
      <color rgb="FF008000"/>
      <name val="Arial"/>
      <family val="2"/>
    </font>
    <font>
      <i/>
      <u val="singleAccounting"/>
      <sz val="9"/>
      <color rgb="FF0000FF"/>
      <name val="Arial"/>
      <family val="2"/>
    </font>
    <font>
      <i/>
      <u val="singleAccounting"/>
      <sz val="9"/>
      <color rgb="FF000000"/>
      <name val="Arial"/>
      <family val="2"/>
    </font>
    <font>
      <sz val="9"/>
      <color rgb="FF800080"/>
      <name val="Arial"/>
      <family val="2"/>
    </font>
    <font>
      <u/>
      <sz val="9"/>
      <color theme="1"/>
      <name val="Arial"/>
      <family val="2"/>
    </font>
    <font>
      <i/>
      <sz val="9"/>
      <color rgb="FF800080"/>
      <name val="Arial"/>
      <family val="2"/>
    </font>
    <font>
      <sz val="11"/>
      <color rgb="FF0000FF"/>
      <name val="Calibri"/>
      <family val="2"/>
      <scheme val="minor"/>
    </font>
    <font>
      <u/>
      <sz val="11"/>
      <color theme="1"/>
      <name val="Calibri"/>
      <family val="2"/>
      <scheme val="minor"/>
    </font>
    <font>
      <sz val="11"/>
      <name val="Aptos"/>
      <family val="2"/>
    </font>
    <font>
      <sz val="11"/>
      <color rgb="FF00B050"/>
      <name val="Calibri"/>
      <family val="2"/>
      <scheme val="minor"/>
    </font>
    <font>
      <i/>
      <sz val="11"/>
      <color theme="1"/>
      <name val="Calibri"/>
      <family val="2"/>
      <scheme val="minor"/>
    </font>
    <font>
      <u val="singleAccounting"/>
      <sz val="11"/>
      <name val="Calibri"/>
      <family val="2"/>
      <scheme val="minor"/>
    </font>
    <font>
      <b/>
      <u/>
      <sz val="11"/>
      <name val="Calibri"/>
      <family val="2"/>
    </font>
    <font>
      <u/>
      <sz val="11"/>
      <name val="Calibri"/>
      <family val="2"/>
    </font>
    <font>
      <u val="singleAccounting"/>
      <sz val="11"/>
      <name val="Calibri"/>
      <family val="2"/>
    </font>
    <font>
      <sz val="11"/>
      <color theme="0"/>
      <name val="Calibri"/>
      <family val="2"/>
    </font>
    <font>
      <sz val="11"/>
      <color rgb="FF000000"/>
      <name val="Arial"/>
      <family val="2"/>
    </font>
    <font>
      <u/>
      <sz val="11"/>
      <color rgb="FF000000"/>
      <name val="Arial"/>
      <family val="2"/>
    </font>
    <font>
      <sz val="9"/>
      <color rgb="FF888888"/>
      <name val="Arial"/>
      <family val="2"/>
    </font>
  </fonts>
  <fills count="23">
    <fill>
      <patternFill patternType="none"/>
    </fill>
    <fill>
      <patternFill patternType="gray125"/>
    </fill>
    <fill>
      <patternFill patternType="solid">
        <fgColor rgb="FFC6EFCE"/>
        <bgColor indexed="64"/>
      </patternFill>
    </fill>
    <fill>
      <patternFill patternType="solid">
        <fgColor rgb="FFF2F2F2"/>
        <bgColor indexed="64"/>
      </patternFill>
    </fill>
    <fill>
      <patternFill patternType="solid">
        <fgColor theme="0"/>
        <bgColor indexed="64"/>
      </patternFill>
    </fill>
    <fill>
      <patternFill patternType="solid">
        <fgColor theme="0" tint="-4.3275246436964017E-2"/>
        <bgColor indexed="64"/>
      </patternFill>
    </fill>
    <fill>
      <patternFill patternType="solid">
        <fgColor theme="0" tint="-0.24326303903317362"/>
        <bgColor indexed="64"/>
      </patternFill>
    </fill>
    <fill>
      <patternFill patternType="solid">
        <fgColor rgb="FFFBCE20"/>
        <bgColor indexed="64"/>
      </patternFill>
    </fill>
    <fill>
      <patternFill patternType="solid">
        <fgColor rgb="FFFFFFFF"/>
        <bgColor indexed="64"/>
      </patternFill>
    </fill>
    <fill>
      <patternFill patternType="solid">
        <fgColor rgb="FF000000"/>
        <bgColor indexed="64"/>
      </patternFill>
    </fill>
    <fill>
      <patternFill patternType="solid">
        <fgColor theme="1"/>
        <bgColor indexed="64"/>
      </patternFill>
    </fill>
    <fill>
      <patternFill patternType="solid">
        <fgColor rgb="FFBFBFBF"/>
        <bgColor indexed="64"/>
      </patternFill>
    </fill>
    <fill>
      <patternFill patternType="solid">
        <fgColor rgb="FFFFFF00"/>
        <bgColor indexed="64"/>
      </patternFill>
    </fill>
    <fill>
      <patternFill patternType="solid">
        <fgColor rgb="FFFFC000"/>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
      <patternFill patternType="solid">
        <fgColor indexed="56"/>
        <bgColor indexed="64"/>
      </patternFill>
    </fill>
    <fill>
      <patternFill patternType="solid">
        <fgColor indexed="6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3" tint="0.749992370372631"/>
        <bgColor indexed="64"/>
      </patternFill>
    </fill>
  </fills>
  <borders count="45">
    <border>
      <left/>
      <right/>
      <top/>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bottom style="thin">
        <color rgb="FF000000"/>
      </bottom>
      <diagonal/>
    </border>
    <border>
      <left/>
      <right style="thin">
        <color rgb="FF000000"/>
      </right>
      <top/>
      <bottom/>
      <diagonal/>
    </border>
    <border>
      <left style="thin">
        <color rgb="FF000000"/>
      </left>
      <right/>
      <top/>
      <bottom/>
      <diagonal/>
    </border>
    <border>
      <left style="thin">
        <color auto="1"/>
      </left>
      <right style="thin">
        <color auto="1"/>
      </right>
      <top/>
      <bottom style="thin">
        <color auto="1"/>
      </bottom>
      <diagonal/>
    </border>
    <border>
      <left/>
      <right/>
      <top style="thin">
        <color rgb="FF000000"/>
      </top>
      <bottom/>
      <diagonal/>
    </border>
    <border>
      <left style="thin">
        <color rgb="FF000000"/>
      </left>
      <right style="thin">
        <color auto="1"/>
      </right>
      <top/>
      <bottom style="thin">
        <color rgb="FF000000"/>
      </bottom>
      <diagonal/>
    </border>
    <border>
      <left style="thin">
        <color auto="1"/>
      </left>
      <right style="thin">
        <color auto="1"/>
      </right>
      <top/>
      <bottom style="thin">
        <color rgb="FF000000"/>
      </bottom>
      <diagonal/>
    </border>
    <border>
      <left style="thin">
        <color auto="1"/>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ck">
        <color auto="1"/>
      </right>
      <top/>
      <bottom/>
      <diagonal/>
    </border>
    <border>
      <left/>
      <right style="thick">
        <color auto="1"/>
      </right>
      <top/>
      <bottom style="thin">
        <color rgb="FF000000"/>
      </bottom>
      <diagonal/>
    </border>
    <border>
      <left/>
      <right style="thick">
        <color auto="1"/>
      </right>
      <top style="thin">
        <color rgb="FF000000"/>
      </top>
      <bottom/>
      <diagonal/>
    </border>
    <border>
      <left style="thin">
        <color rgb="FF000000"/>
      </left>
      <right/>
      <top/>
      <bottom style="thin">
        <color auto="1"/>
      </bottom>
      <diagonal/>
    </border>
    <border>
      <left/>
      <right style="thick">
        <color auto="1"/>
      </right>
      <top/>
      <bottom style="thin">
        <color auto="1"/>
      </bottom>
      <diagonal/>
    </border>
    <border>
      <left/>
      <right style="thin">
        <color rgb="FF000000"/>
      </right>
      <top/>
      <bottom style="thin">
        <color auto="1"/>
      </bottom>
      <diagonal/>
    </border>
    <border>
      <left/>
      <right style="thick">
        <color auto="1"/>
      </right>
      <top style="thin">
        <color auto="1"/>
      </top>
      <bottom/>
      <diagonal/>
    </border>
    <border>
      <left/>
      <right style="thick">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dashed">
        <color indexed="64"/>
      </right>
      <top style="thin">
        <color indexed="64"/>
      </top>
      <bottom/>
      <diagonal/>
    </border>
    <border>
      <left style="thin">
        <color indexed="64"/>
      </left>
      <right style="dashed">
        <color indexed="64"/>
      </right>
      <top/>
      <bottom/>
      <diagonal/>
    </border>
    <border>
      <left/>
      <right style="dashed">
        <color auto="1"/>
      </right>
      <top/>
      <bottom/>
      <diagonal/>
    </border>
    <border>
      <left/>
      <right style="dashed">
        <color auto="1"/>
      </right>
      <top style="thin">
        <color auto="1"/>
      </top>
      <bottom/>
      <diagonal/>
    </border>
    <border>
      <left/>
      <right/>
      <top style="thin">
        <color indexed="8"/>
      </top>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s>
  <cellStyleXfs count="26">
    <xf numFmtId="0" fontId="0" fillId="0" borderId="0"/>
    <xf numFmtId="9" fontId="5" fillId="0" borderId="0" applyFont="0" applyFill="0" applyBorder="0" applyAlignment="0" applyProtection="0"/>
    <xf numFmtId="44" fontId="60" fillId="0" borderId="0"/>
    <xf numFmtId="42" fontId="5" fillId="0" borderId="0" applyFont="0" applyFill="0" applyBorder="0" applyAlignment="0" applyProtection="0"/>
    <xf numFmtId="43" fontId="5" fillId="0" borderId="0" applyFont="0" applyFill="0" applyBorder="0" applyAlignment="0" applyProtection="0"/>
    <xf numFmtId="41" fontId="5" fillId="0" borderId="0" applyFont="0" applyFill="0" applyBorder="0" applyAlignment="0" applyProtection="0"/>
    <xf numFmtId="44" fontId="6" fillId="0" borderId="0"/>
    <xf numFmtId="44" fontId="60" fillId="0" borderId="0"/>
    <xf numFmtId="0" fontId="18" fillId="2" borderId="0"/>
    <xf numFmtId="0" fontId="8" fillId="0" borderId="0"/>
    <xf numFmtId="0" fontId="15" fillId="0" borderId="0">
      <alignment vertical="top"/>
      <protection locked="0"/>
    </xf>
    <xf numFmtId="0" fontId="6" fillId="0" borderId="0"/>
    <xf numFmtId="0" fontId="6" fillId="0" borderId="0"/>
    <xf numFmtId="0" fontId="60" fillId="0" borderId="0"/>
    <xf numFmtId="9" fontId="6" fillId="0" borderId="0"/>
    <xf numFmtId="0" fontId="80" fillId="0" borderId="0"/>
    <xf numFmtId="0" fontId="129" fillId="0" borderId="0" applyAlignment="0"/>
    <xf numFmtId="0" fontId="69" fillId="0" borderId="0">
      <alignment vertical="center"/>
    </xf>
    <xf numFmtId="0" fontId="4" fillId="0" borderId="0"/>
    <xf numFmtId="0" fontId="3" fillId="0" borderId="0"/>
    <xf numFmtId="0" fontId="80" fillId="0" borderId="0"/>
    <xf numFmtId="43" fontId="3" fillId="0" borderId="0" applyFont="0" applyFill="0" applyBorder="0" applyAlignment="0" applyProtection="0"/>
    <xf numFmtId="9" fontId="3" fillId="0" borderId="0" applyFont="0" applyFill="0" applyBorder="0" applyAlignment="0" applyProtection="0"/>
    <xf numFmtId="0" fontId="2" fillId="0" borderId="0"/>
    <xf numFmtId="43" fontId="2" fillId="0" borderId="0" applyFont="0" applyFill="0" applyBorder="0" applyAlignment="0" applyProtection="0"/>
    <xf numFmtId="0" fontId="8" fillId="0" borderId="0" applyNumberFormat="0" applyFill="0" applyBorder="0" applyAlignment="0" applyProtection="0"/>
  </cellStyleXfs>
  <cellXfs count="1587">
    <xf numFmtId="0" fontId="0" fillId="0" borderId="0" xfId="0"/>
    <xf numFmtId="164" fontId="10" fillId="0" borderId="0" xfId="0" applyNumberFormat="1" applyFont="1"/>
    <xf numFmtId="0" fontId="6" fillId="5" borderId="0" xfId="12" applyFill="1"/>
    <xf numFmtId="0" fontId="19" fillId="5" borderId="0" xfId="12" applyFont="1" applyFill="1"/>
    <xf numFmtId="0" fontId="20" fillId="5" borderId="0" xfId="12" applyFont="1" applyFill="1"/>
    <xf numFmtId="1" fontId="19" fillId="5" borderId="0" xfId="12" applyNumberFormat="1" applyFont="1" applyFill="1" applyAlignment="1">
      <alignment horizontal="center"/>
    </xf>
    <xf numFmtId="0" fontId="16" fillId="5" borderId="0" xfId="12" applyFont="1" applyFill="1"/>
    <xf numFmtId="1" fontId="21" fillId="6" borderId="0" xfId="12" applyNumberFormat="1" applyFont="1" applyFill="1" applyAlignment="1">
      <alignment horizontal="center" vertical="center"/>
    </xf>
    <xf numFmtId="0" fontId="6" fillId="5" borderId="0" xfId="12" applyFill="1" applyAlignment="1">
      <alignment vertical="center"/>
    </xf>
    <xf numFmtId="0" fontId="22" fillId="5" borderId="0" xfId="12" applyFont="1" applyFill="1" applyAlignment="1">
      <alignment vertical="center"/>
    </xf>
    <xf numFmtId="14" fontId="16" fillId="7" borderId="0" xfId="12" applyNumberFormat="1" applyFont="1" applyFill="1" applyAlignment="1">
      <alignment horizontal="center" vertical="center"/>
    </xf>
    <xf numFmtId="0" fontId="16" fillId="5" borderId="0" xfId="12" applyFont="1" applyFill="1" applyAlignment="1">
      <alignment horizontal="center"/>
    </xf>
    <xf numFmtId="0" fontId="6" fillId="4" borderId="0" xfId="12" applyFill="1"/>
    <xf numFmtId="0" fontId="6" fillId="4" borderId="9" xfId="12" applyFill="1" applyBorder="1" applyAlignment="1">
      <alignment horizontal="center"/>
    </xf>
    <xf numFmtId="0" fontId="11" fillId="4" borderId="9" xfId="12" applyFont="1" applyFill="1" applyBorder="1" applyAlignment="1">
      <alignment horizontal="center"/>
    </xf>
    <xf numFmtId="14" fontId="11" fillId="4" borderId="9" xfId="12" applyNumberFormat="1" applyFont="1" applyFill="1" applyBorder="1" applyAlignment="1">
      <alignment horizontal="center"/>
    </xf>
    <xf numFmtId="0" fontId="16" fillId="5" borderId="0" xfId="12" applyFont="1" applyFill="1" applyAlignment="1">
      <alignment vertical="center"/>
    </xf>
    <xf numFmtId="164" fontId="0" fillId="0" borderId="0" xfId="0" applyNumberFormat="1"/>
    <xf numFmtId="164" fontId="10" fillId="0" borderId="0" xfId="0" applyNumberFormat="1" applyFont="1" applyAlignment="1">
      <alignment horizontal="center"/>
    </xf>
    <xf numFmtId="167" fontId="10" fillId="0" borderId="0" xfId="0" applyNumberFormat="1" applyFont="1"/>
    <xf numFmtId="164" fontId="24" fillId="0" borderId="0" xfId="0" applyNumberFormat="1" applyFont="1"/>
    <xf numFmtId="169" fontId="10" fillId="0" borderId="0" xfId="0" applyNumberFormat="1" applyFont="1"/>
    <xf numFmtId="170" fontId="10" fillId="0" borderId="0" xfId="0" applyNumberFormat="1" applyFont="1"/>
    <xf numFmtId="170" fontId="0" fillId="0" borderId="0" xfId="0" applyNumberFormat="1"/>
    <xf numFmtId="167" fontId="10" fillId="8" borderId="7" xfId="0" applyNumberFormat="1" applyFont="1" applyFill="1" applyBorder="1" applyAlignment="1">
      <alignment horizontal="right"/>
    </xf>
    <xf numFmtId="167" fontId="0" fillId="8" borderId="0" xfId="0" applyNumberFormat="1" applyFill="1" applyAlignment="1">
      <alignment horizontal="right"/>
    </xf>
    <xf numFmtId="167" fontId="10" fillId="8" borderId="0" xfId="0" applyNumberFormat="1" applyFont="1" applyFill="1" applyAlignment="1">
      <alignment horizontal="right"/>
    </xf>
    <xf numFmtId="167" fontId="10" fillId="8" borderId="0" xfId="0" applyNumberFormat="1" applyFont="1" applyFill="1"/>
    <xf numFmtId="169" fontId="10" fillId="8" borderId="0" xfId="0" applyNumberFormat="1" applyFont="1" applyFill="1"/>
    <xf numFmtId="0" fontId="9" fillId="8" borderId="0" xfId="0" applyFont="1" applyFill="1" applyAlignment="1">
      <alignment horizontal="center"/>
    </xf>
    <xf numFmtId="167" fontId="12" fillId="8" borderId="0" xfId="0" applyNumberFormat="1" applyFont="1" applyFill="1" applyAlignment="1">
      <alignment horizontal="right"/>
    </xf>
    <xf numFmtId="167" fontId="17" fillId="8" borderId="0" xfId="0" applyNumberFormat="1" applyFont="1" applyFill="1" applyAlignment="1">
      <alignment horizontal="right"/>
    </xf>
    <xf numFmtId="164" fontId="26" fillId="2" borderId="0" xfId="8" applyNumberFormat="1" applyFont="1"/>
    <xf numFmtId="0" fontId="22" fillId="5" borderId="0" xfId="12" applyFont="1" applyFill="1" applyAlignment="1">
      <alignment horizontal="center" vertical="center"/>
    </xf>
    <xf numFmtId="0" fontId="23" fillId="7" borderId="0" xfId="12" applyFont="1" applyFill="1" applyAlignment="1">
      <alignment horizontal="center" vertical="center"/>
    </xf>
    <xf numFmtId="0" fontId="20" fillId="5" borderId="0" xfId="12" quotePrefix="1" applyFont="1" applyFill="1"/>
    <xf numFmtId="0" fontId="22" fillId="5" borderId="0" xfId="12" applyFont="1" applyFill="1"/>
    <xf numFmtId="170" fontId="10" fillId="8" borderId="0" xfId="0" applyNumberFormat="1" applyFont="1" applyFill="1"/>
    <xf numFmtId="170" fontId="0" fillId="8" borderId="0" xfId="0" applyNumberFormat="1" applyFill="1"/>
    <xf numFmtId="41" fontId="0" fillId="0" borderId="0" xfId="0" applyNumberFormat="1"/>
    <xf numFmtId="177" fontId="0" fillId="0" borderId="0" xfId="0" applyNumberFormat="1"/>
    <xf numFmtId="178" fontId="0" fillId="0" borderId="0" xfId="0" applyNumberFormat="1"/>
    <xf numFmtId="167" fontId="10" fillId="8" borderId="7" xfId="0" applyNumberFormat="1" applyFont="1" applyFill="1" applyBorder="1" applyAlignment="1">
      <alignment horizontal="left" indent="1"/>
    </xf>
    <xf numFmtId="167" fontId="10" fillId="8" borderId="7" xfId="0" applyNumberFormat="1" applyFont="1" applyFill="1" applyBorder="1" applyAlignment="1">
      <alignment horizontal="left"/>
    </xf>
    <xf numFmtId="167" fontId="10" fillId="8" borderId="0" xfId="0" applyNumberFormat="1" applyFont="1" applyFill="1" applyAlignment="1">
      <alignment horizontal="left"/>
    </xf>
    <xf numFmtId="167" fontId="0" fillId="8" borderId="0" xfId="0" applyNumberFormat="1" applyFill="1" applyAlignment="1">
      <alignment horizontal="left"/>
    </xf>
    <xf numFmtId="164" fontId="10" fillId="8" borderId="7" xfId="0" applyNumberFormat="1" applyFont="1" applyFill="1" applyBorder="1" applyAlignment="1">
      <alignment horizontal="left" indent="1"/>
    </xf>
    <xf numFmtId="164" fontId="10" fillId="8" borderId="7" xfId="0" applyNumberFormat="1" applyFont="1" applyFill="1" applyBorder="1" applyAlignment="1">
      <alignment horizontal="left"/>
    </xf>
    <xf numFmtId="164" fontId="0" fillId="8" borderId="0" xfId="0" applyNumberFormat="1" applyFill="1" applyAlignment="1">
      <alignment horizontal="left"/>
    </xf>
    <xf numFmtId="167" fontId="0" fillId="8" borderId="0" xfId="0" applyNumberFormat="1" applyFill="1"/>
    <xf numFmtId="164" fontId="10" fillId="8" borderId="10" xfId="0" applyNumberFormat="1" applyFont="1" applyFill="1" applyBorder="1" applyAlignment="1">
      <alignment horizontal="left"/>
    </xf>
    <xf numFmtId="164" fontId="10" fillId="8" borderId="0" xfId="0" applyNumberFormat="1" applyFont="1" applyFill="1" applyAlignment="1">
      <alignment horizontal="left"/>
    </xf>
    <xf numFmtId="169" fontId="7" fillId="8" borderId="0" xfId="2" applyNumberFormat="1" applyFont="1" applyFill="1"/>
    <xf numFmtId="164" fontId="7" fillId="8" borderId="0" xfId="0" applyNumberFormat="1" applyFont="1" applyFill="1"/>
    <xf numFmtId="170" fontId="7" fillId="8" borderId="0" xfId="0" applyNumberFormat="1" applyFont="1" applyFill="1"/>
    <xf numFmtId="164" fontId="10" fillId="8" borderId="0" xfId="0" applyNumberFormat="1" applyFont="1" applyFill="1" applyAlignment="1">
      <alignment horizontal="left" indent="1"/>
    </xf>
    <xf numFmtId="164" fontId="0" fillId="8" borderId="0" xfId="0" applyNumberFormat="1" applyFill="1" applyAlignment="1">
      <alignment horizontal="left" indent="2"/>
    </xf>
    <xf numFmtId="166" fontId="10" fillId="8" borderId="0" xfId="0" applyNumberFormat="1" applyFont="1" applyFill="1"/>
    <xf numFmtId="166" fontId="10" fillId="0" borderId="0" xfId="0" applyNumberFormat="1" applyFont="1"/>
    <xf numFmtId="167" fontId="27" fillId="9" borderId="0" xfId="0" applyNumberFormat="1" applyFont="1" applyFill="1"/>
    <xf numFmtId="167" fontId="28" fillId="8" borderId="0" xfId="0" applyNumberFormat="1" applyFont="1" applyFill="1" applyAlignment="1">
      <alignment horizontal="left"/>
    </xf>
    <xf numFmtId="167" fontId="28" fillId="8" borderId="0" xfId="0" applyNumberFormat="1" applyFont="1" applyFill="1" applyAlignment="1">
      <alignment horizontal="right"/>
    </xf>
    <xf numFmtId="1" fontId="10" fillId="8" borderId="0" xfId="0" applyNumberFormat="1" applyFont="1" applyFill="1" applyAlignment="1">
      <alignment horizontal="center"/>
    </xf>
    <xf numFmtId="17" fontId="11" fillId="8" borderId="0" xfId="0" applyNumberFormat="1" applyFont="1" applyFill="1" applyAlignment="1">
      <alignment horizontal="center"/>
    </xf>
    <xf numFmtId="0" fontId="60" fillId="0" borderId="0" xfId="13"/>
    <xf numFmtId="169" fontId="10" fillId="0" borderId="0" xfId="13" applyNumberFormat="1" applyFont="1"/>
    <xf numFmtId="164" fontId="10" fillId="0" borderId="0" xfId="13" applyNumberFormat="1" applyFont="1"/>
    <xf numFmtId="167" fontId="10" fillId="0" borderId="0" xfId="13" applyNumberFormat="1" applyFont="1"/>
    <xf numFmtId="180" fontId="10" fillId="0" borderId="0" xfId="13" applyNumberFormat="1" applyFont="1"/>
    <xf numFmtId="170" fontId="10" fillId="0" borderId="0" xfId="13" applyNumberFormat="1" applyFont="1"/>
    <xf numFmtId="181" fontId="10" fillId="0" borderId="0" xfId="13" applyNumberFormat="1" applyFont="1"/>
    <xf numFmtId="170" fontId="60" fillId="0" borderId="0" xfId="13" applyNumberFormat="1"/>
    <xf numFmtId="167" fontId="60" fillId="0" borderId="0" xfId="13" applyNumberFormat="1"/>
    <xf numFmtId="0" fontId="19" fillId="5" borderId="0" xfId="12" applyFont="1" applyFill="1" applyAlignment="1">
      <alignment horizontal="left" wrapText="1" indent="1"/>
    </xf>
    <xf numFmtId="167" fontId="0" fillId="8" borderId="0" xfId="0" applyNumberFormat="1" applyFill="1" applyAlignment="1">
      <alignment horizontal="left" indent="2"/>
    </xf>
    <xf numFmtId="164" fontId="32" fillId="8" borderId="0" xfId="13" applyNumberFormat="1" applyFont="1" applyFill="1" applyAlignment="1">
      <alignment horizontal="center"/>
    </xf>
    <xf numFmtId="169" fontId="31" fillId="8" borderId="0" xfId="13" applyNumberFormat="1" applyFont="1" applyFill="1" applyAlignment="1">
      <alignment horizontal="right"/>
    </xf>
    <xf numFmtId="167" fontId="31" fillId="8" borderId="7" xfId="0" applyNumberFormat="1" applyFont="1" applyFill="1" applyBorder="1" applyAlignment="1">
      <alignment horizontal="right"/>
    </xf>
    <xf numFmtId="167" fontId="31" fillId="8" borderId="0" xfId="0" applyNumberFormat="1" applyFont="1" applyFill="1" applyAlignment="1">
      <alignment horizontal="right"/>
    </xf>
    <xf numFmtId="177" fontId="28" fillId="8" borderId="0" xfId="0" applyNumberFormat="1" applyFont="1" applyFill="1"/>
    <xf numFmtId="169" fontId="31" fillId="8" borderId="0" xfId="13" applyNumberFormat="1" applyFont="1" applyFill="1"/>
    <xf numFmtId="167" fontId="31" fillId="8" borderId="0" xfId="13" applyNumberFormat="1" applyFont="1" applyFill="1" applyAlignment="1">
      <alignment horizontal="center"/>
    </xf>
    <xf numFmtId="167" fontId="28" fillId="8" borderId="0" xfId="13" applyNumberFormat="1" applyFont="1" applyFill="1" applyAlignment="1">
      <alignment horizontal="center"/>
    </xf>
    <xf numFmtId="167" fontId="28" fillId="8" borderId="0" xfId="13" applyNumberFormat="1" applyFont="1" applyFill="1" applyAlignment="1">
      <alignment horizontal="right"/>
    </xf>
    <xf numFmtId="167" fontId="31" fillId="8" borderId="0" xfId="13" applyNumberFormat="1" applyFont="1" applyFill="1" applyAlignment="1">
      <alignment horizontal="right"/>
    </xf>
    <xf numFmtId="180" fontId="31" fillId="8" borderId="0" xfId="13" applyNumberFormat="1" applyFont="1" applyFill="1" applyAlignment="1">
      <alignment horizontal="right"/>
    </xf>
    <xf numFmtId="170" fontId="31" fillId="8" borderId="0" xfId="13" applyNumberFormat="1" applyFont="1" applyFill="1" applyAlignment="1">
      <alignment horizontal="right"/>
    </xf>
    <xf numFmtId="170" fontId="31" fillId="8" borderId="0" xfId="13" applyNumberFormat="1" applyFont="1" applyFill="1"/>
    <xf numFmtId="181" fontId="31" fillId="8" borderId="0" xfId="13" applyNumberFormat="1" applyFont="1" applyFill="1" applyAlignment="1">
      <alignment horizontal="right"/>
    </xf>
    <xf numFmtId="170" fontId="28" fillId="8" borderId="0" xfId="13" applyNumberFormat="1" applyFont="1" applyFill="1" applyAlignment="1">
      <alignment horizontal="right"/>
    </xf>
    <xf numFmtId="170" fontId="28" fillId="8" borderId="0" xfId="13" applyNumberFormat="1" applyFont="1" applyFill="1"/>
    <xf numFmtId="0" fontId="8" fillId="4" borderId="9" xfId="9" applyFill="1" applyBorder="1" applyAlignment="1">
      <alignment horizontal="left"/>
    </xf>
    <xf numFmtId="182" fontId="7" fillId="8" borderId="0" xfId="0" applyNumberFormat="1" applyFont="1" applyFill="1"/>
    <xf numFmtId="0" fontId="33" fillId="5" borderId="0" xfId="12" applyFont="1" applyFill="1" applyAlignment="1">
      <alignment horizontal="center"/>
    </xf>
    <xf numFmtId="183" fontId="7" fillId="5" borderId="0" xfId="12" applyNumberFormat="1" applyFont="1" applyFill="1" applyAlignment="1">
      <alignment horizontal="right"/>
    </xf>
    <xf numFmtId="168" fontId="25" fillId="8" borderId="0" xfId="9" applyNumberFormat="1" applyFont="1" applyFill="1" applyAlignment="1">
      <alignment horizontal="left"/>
    </xf>
    <xf numFmtId="170" fontId="6" fillId="8" borderId="0" xfId="0" applyNumberFormat="1" applyFont="1" applyFill="1"/>
    <xf numFmtId="164" fontId="35" fillId="0" borderId="0" xfId="0" applyNumberFormat="1" applyFont="1"/>
    <xf numFmtId="169" fontId="34" fillId="8" borderId="0" xfId="0" applyNumberFormat="1" applyFont="1" applyFill="1" applyAlignment="1">
      <alignment horizontal="left" indent="1"/>
    </xf>
    <xf numFmtId="169" fontId="35" fillId="8" borderId="0" xfId="0" applyNumberFormat="1" applyFont="1" applyFill="1"/>
    <xf numFmtId="169" fontId="34" fillId="8" borderId="0" xfId="0" applyNumberFormat="1" applyFont="1" applyFill="1"/>
    <xf numFmtId="169" fontId="35" fillId="0" borderId="0" xfId="0" applyNumberFormat="1" applyFont="1"/>
    <xf numFmtId="169" fontId="34" fillId="8" borderId="0" xfId="2" applyNumberFormat="1" applyFont="1" applyFill="1"/>
    <xf numFmtId="167" fontId="24" fillId="8" borderId="0" xfId="0" applyNumberFormat="1" applyFont="1" applyFill="1" applyAlignment="1">
      <alignment horizontal="left" indent="1"/>
    </xf>
    <xf numFmtId="167" fontId="24" fillId="0" borderId="0" xfId="0" applyNumberFormat="1" applyFont="1" applyAlignment="1">
      <alignment horizontal="left" indent="1"/>
    </xf>
    <xf numFmtId="167" fontId="26" fillId="8" borderId="0" xfId="2" applyNumberFormat="1" applyFont="1" applyFill="1"/>
    <xf numFmtId="167" fontId="32" fillId="8" borderId="0" xfId="2" applyNumberFormat="1" applyFont="1" applyFill="1"/>
    <xf numFmtId="167" fontId="31" fillId="0" borderId="0" xfId="0" applyNumberFormat="1" applyFont="1"/>
    <xf numFmtId="167" fontId="31" fillId="8" borderId="7" xfId="0" applyNumberFormat="1" applyFont="1" applyFill="1" applyBorder="1" applyAlignment="1">
      <alignment horizontal="left" indent="1"/>
    </xf>
    <xf numFmtId="167" fontId="32" fillId="8" borderId="7" xfId="2" applyNumberFormat="1" applyFont="1" applyFill="1" applyBorder="1"/>
    <xf numFmtId="167" fontId="34" fillId="8" borderId="0" xfId="0" applyNumberFormat="1" applyFont="1" applyFill="1" applyAlignment="1">
      <alignment horizontal="left" indent="1"/>
    </xf>
    <xf numFmtId="167" fontId="34" fillId="8" borderId="0" xfId="0" applyNumberFormat="1" applyFont="1" applyFill="1"/>
    <xf numFmtId="167" fontId="35" fillId="0" borderId="0" xfId="0" applyNumberFormat="1" applyFont="1"/>
    <xf numFmtId="167" fontId="26" fillId="8" borderId="0" xfId="11" applyNumberFormat="1" applyFont="1" applyFill="1"/>
    <xf numFmtId="167" fontId="28" fillId="8" borderId="0" xfId="0" applyNumberFormat="1" applyFont="1" applyFill="1"/>
    <xf numFmtId="164" fontId="26" fillId="8" borderId="0" xfId="11" applyNumberFormat="1" applyFont="1" applyFill="1"/>
    <xf numFmtId="172" fontId="26" fillId="8" borderId="0" xfId="2" applyNumberFormat="1" applyFont="1" applyFill="1"/>
    <xf numFmtId="164" fontId="36" fillId="9" borderId="0" xfId="13" applyNumberFormat="1" applyFont="1" applyFill="1"/>
    <xf numFmtId="167" fontId="27" fillId="9" borderId="0" xfId="13" applyNumberFormat="1" applyFont="1" applyFill="1"/>
    <xf numFmtId="167" fontId="37" fillId="9" borderId="0" xfId="13" applyNumberFormat="1" applyFont="1" applyFill="1"/>
    <xf numFmtId="164" fontId="27" fillId="9" borderId="0" xfId="13" applyNumberFormat="1" applyFont="1" applyFill="1"/>
    <xf numFmtId="167" fontId="31" fillId="8" borderId="0" xfId="0" applyNumberFormat="1" applyFont="1" applyFill="1" applyAlignment="1">
      <alignment horizontal="left" indent="1"/>
    </xf>
    <xf numFmtId="167" fontId="10" fillId="8" borderId="0" xfId="0" applyNumberFormat="1" applyFont="1" applyFill="1" applyAlignment="1">
      <alignment horizontal="left" indent="1"/>
    </xf>
    <xf numFmtId="167" fontId="35" fillId="8" borderId="0" xfId="0" applyNumberFormat="1" applyFont="1" applyFill="1" applyAlignment="1">
      <alignment horizontal="left" indent="3"/>
    </xf>
    <xf numFmtId="169" fontId="35" fillId="8" borderId="0" xfId="0" applyNumberFormat="1" applyFont="1" applyFill="1" applyAlignment="1">
      <alignment horizontal="left" indent="3"/>
    </xf>
    <xf numFmtId="167" fontId="17" fillId="8" borderId="0" xfId="0" applyNumberFormat="1" applyFont="1" applyFill="1"/>
    <xf numFmtId="17" fontId="30" fillId="8" borderId="0" xfId="13" applyNumberFormat="1" applyFont="1" applyFill="1" applyAlignment="1">
      <alignment horizontal="center"/>
    </xf>
    <xf numFmtId="0" fontId="39" fillId="0" borderId="0" xfId="0" applyFont="1" applyAlignment="1">
      <alignment horizontal="left"/>
    </xf>
    <xf numFmtId="0" fontId="39" fillId="0" borderId="0" xfId="0" applyFont="1" applyAlignment="1">
      <alignment horizontal="center"/>
    </xf>
    <xf numFmtId="0" fontId="38" fillId="0" borderId="0" xfId="0" applyFont="1"/>
    <xf numFmtId="0" fontId="10" fillId="0" borderId="0" xfId="0" applyFont="1"/>
    <xf numFmtId="0" fontId="24" fillId="0" borderId="0" xfId="0" applyFont="1"/>
    <xf numFmtId="167" fontId="0" fillId="0" borderId="0" xfId="0" applyNumberFormat="1"/>
    <xf numFmtId="0" fontId="0" fillId="0" borderId="0" xfId="0" applyAlignment="1">
      <alignment horizontal="left"/>
    </xf>
    <xf numFmtId="0" fontId="12" fillId="0" borderId="0" xfId="0" applyFont="1"/>
    <xf numFmtId="184" fontId="7" fillId="5" borderId="0" xfId="12" applyNumberFormat="1" applyFont="1" applyFill="1" applyAlignment="1">
      <alignment horizontal="right"/>
    </xf>
    <xf numFmtId="171" fontId="0" fillId="8" borderId="0" xfId="0" applyNumberFormat="1" applyFill="1"/>
    <xf numFmtId="164" fontId="26" fillId="8" borderId="11" xfId="11" applyNumberFormat="1" applyFont="1" applyFill="1" applyBorder="1"/>
    <xf numFmtId="164" fontId="28" fillId="8" borderId="12" xfId="0" applyNumberFormat="1" applyFont="1" applyFill="1" applyBorder="1"/>
    <xf numFmtId="164" fontId="26" fillId="8" borderId="13" xfId="11" applyNumberFormat="1" applyFont="1" applyFill="1" applyBorder="1" applyAlignment="1">
      <alignment horizontal="left" indent="1"/>
    </xf>
    <xf numFmtId="168" fontId="40" fillId="8" borderId="0" xfId="9" applyNumberFormat="1" applyFont="1" applyFill="1" applyAlignment="1">
      <alignment horizontal="left"/>
    </xf>
    <xf numFmtId="0" fontId="31" fillId="8" borderId="0" xfId="0" applyFont="1" applyFill="1"/>
    <xf numFmtId="0" fontId="35" fillId="8" borderId="0" xfId="0" applyFont="1" applyFill="1"/>
    <xf numFmtId="0" fontId="28" fillId="8" borderId="0" xfId="0" applyFont="1" applyFill="1" applyAlignment="1">
      <alignment horizontal="left"/>
    </xf>
    <xf numFmtId="0" fontId="28" fillId="8" borderId="0" xfId="0" applyFont="1" applyFill="1"/>
    <xf numFmtId="14" fontId="28" fillId="8" borderId="0" xfId="0" applyNumberFormat="1" applyFont="1" applyFill="1" applyAlignment="1">
      <alignment horizontal="left"/>
    </xf>
    <xf numFmtId="0" fontId="41" fillId="8" borderId="0" xfId="9" applyFont="1" applyFill="1"/>
    <xf numFmtId="0" fontId="28" fillId="8" borderId="0" xfId="0" applyFont="1" applyFill="1" applyAlignment="1">
      <alignment horizontal="center"/>
    </xf>
    <xf numFmtId="164" fontId="28" fillId="8" borderId="0" xfId="0" applyNumberFormat="1" applyFont="1" applyFill="1" applyAlignment="1">
      <alignment horizontal="center"/>
    </xf>
    <xf numFmtId="0" fontId="42" fillId="8" borderId="0" xfId="0" applyFont="1" applyFill="1"/>
    <xf numFmtId="0" fontId="27" fillId="9" borderId="0" xfId="0" applyFont="1" applyFill="1" applyAlignment="1">
      <alignment horizontal="left"/>
    </xf>
    <xf numFmtId="0" fontId="27" fillId="9" borderId="0" xfId="0" applyFont="1" applyFill="1" applyAlignment="1">
      <alignment horizontal="centerContinuous"/>
    </xf>
    <xf numFmtId="0" fontId="27" fillId="9" borderId="0" xfId="0" applyFont="1" applyFill="1" applyAlignment="1">
      <alignment horizontal="center"/>
    </xf>
    <xf numFmtId="167" fontId="27" fillId="9" borderId="0" xfId="0" applyNumberFormat="1" applyFont="1" applyFill="1" applyAlignment="1">
      <alignment horizontal="center"/>
    </xf>
    <xf numFmtId="0" fontId="28" fillId="3" borderId="0" xfId="0" applyFont="1" applyFill="1"/>
    <xf numFmtId="0" fontId="35" fillId="3" borderId="0" xfId="0" applyFont="1" applyFill="1"/>
    <xf numFmtId="164" fontId="28" fillId="3" borderId="0" xfId="0" applyNumberFormat="1" applyFont="1" applyFill="1"/>
    <xf numFmtId="14" fontId="28" fillId="3" borderId="0" xfId="0" applyNumberFormat="1" applyFont="1" applyFill="1" applyAlignment="1">
      <alignment horizontal="left"/>
    </xf>
    <xf numFmtId="0" fontId="27" fillId="8" borderId="0" xfId="0" applyFont="1" applyFill="1" applyAlignment="1">
      <alignment horizontal="left"/>
    </xf>
    <xf numFmtId="0" fontId="27" fillId="8" borderId="0" xfId="0" applyFont="1" applyFill="1" applyAlignment="1">
      <alignment horizontal="center"/>
    </xf>
    <xf numFmtId="0" fontId="31" fillId="3" borderId="0" xfId="0" applyFont="1" applyFill="1"/>
    <xf numFmtId="164" fontId="31" fillId="3" borderId="0" xfId="0" applyNumberFormat="1" applyFont="1" applyFill="1" applyAlignment="1">
      <alignment horizontal="center"/>
    </xf>
    <xf numFmtId="167" fontId="31" fillId="3" borderId="0" xfId="0" applyNumberFormat="1" applyFont="1" applyFill="1" applyAlignment="1">
      <alignment horizontal="center"/>
    </xf>
    <xf numFmtId="164" fontId="32" fillId="8" borderId="0" xfId="13" applyNumberFormat="1" applyFont="1" applyFill="1" applyAlignment="1">
      <alignment horizontal="left"/>
    </xf>
    <xf numFmtId="164" fontId="30" fillId="8" borderId="0" xfId="13" applyNumberFormat="1" applyFont="1" applyFill="1" applyAlignment="1">
      <alignment horizontal="center"/>
    </xf>
    <xf numFmtId="164" fontId="31" fillId="8" borderId="0" xfId="13" applyNumberFormat="1" applyFont="1" applyFill="1" applyAlignment="1">
      <alignment horizontal="left"/>
    </xf>
    <xf numFmtId="164" fontId="28" fillId="8" borderId="0" xfId="13" applyNumberFormat="1" applyFont="1" applyFill="1" applyAlignment="1">
      <alignment horizontal="left" indent="1"/>
    </xf>
    <xf numFmtId="164" fontId="28" fillId="8" borderId="0" xfId="13" applyNumberFormat="1" applyFont="1" applyFill="1" applyAlignment="1">
      <alignment horizontal="left" indent="3"/>
    </xf>
    <xf numFmtId="164" fontId="31" fillId="8" borderId="7" xfId="13" applyNumberFormat="1" applyFont="1" applyFill="1" applyBorder="1" applyAlignment="1">
      <alignment horizontal="left"/>
    </xf>
    <xf numFmtId="164" fontId="31" fillId="8" borderId="7" xfId="13" applyNumberFormat="1" applyFont="1" applyFill="1" applyBorder="1" applyAlignment="1">
      <alignment horizontal="left" indent="3"/>
    </xf>
    <xf numFmtId="164" fontId="31" fillId="8" borderId="0" xfId="13" applyNumberFormat="1" applyFont="1" applyFill="1" applyAlignment="1">
      <alignment horizontal="left" indent="3"/>
    </xf>
    <xf numFmtId="167" fontId="28" fillId="8" borderId="0" xfId="0" applyNumberFormat="1" applyFont="1" applyFill="1" applyAlignment="1">
      <alignment horizontal="left" indent="2"/>
    </xf>
    <xf numFmtId="167" fontId="31" fillId="8" borderId="7" xfId="0" applyNumberFormat="1" applyFont="1" applyFill="1" applyBorder="1" applyAlignment="1">
      <alignment horizontal="left"/>
    </xf>
    <xf numFmtId="167" fontId="31" fillId="8" borderId="0" xfId="0" applyNumberFormat="1" applyFont="1" applyFill="1" applyAlignment="1">
      <alignment horizontal="left"/>
    </xf>
    <xf numFmtId="164" fontId="28" fillId="8" borderId="0" xfId="0" applyNumberFormat="1" applyFont="1" applyFill="1" applyAlignment="1">
      <alignment horizontal="left" indent="2"/>
    </xf>
    <xf numFmtId="164" fontId="28" fillId="8" borderId="0" xfId="0" applyNumberFormat="1" applyFont="1" applyFill="1" applyAlignment="1">
      <alignment horizontal="left" indent="4"/>
    </xf>
    <xf numFmtId="164" fontId="31" fillId="8" borderId="7" xfId="0" applyNumberFormat="1" applyFont="1" applyFill="1" applyBorder="1" applyAlignment="1">
      <alignment horizontal="left" indent="1"/>
    </xf>
    <xf numFmtId="164" fontId="31" fillId="8" borderId="7" xfId="0" applyNumberFormat="1" applyFont="1" applyFill="1" applyBorder="1" applyAlignment="1">
      <alignment horizontal="left" indent="4"/>
    </xf>
    <xf numFmtId="164" fontId="28" fillId="8" borderId="0" xfId="0" applyNumberFormat="1" applyFont="1" applyFill="1" applyAlignment="1">
      <alignment horizontal="left" indent="1"/>
    </xf>
    <xf numFmtId="164" fontId="31" fillId="8" borderId="7" xfId="0" applyNumberFormat="1" applyFont="1" applyFill="1" applyBorder="1" applyAlignment="1">
      <alignment horizontal="left"/>
    </xf>
    <xf numFmtId="41" fontId="28" fillId="8" borderId="0" xfId="0" applyNumberFormat="1" applyFont="1" applyFill="1" applyAlignment="1">
      <alignment horizontal="left" indent="4"/>
    </xf>
    <xf numFmtId="177" fontId="28" fillId="8" borderId="0" xfId="0" applyNumberFormat="1" applyFont="1" applyFill="1" applyAlignment="1">
      <alignment horizontal="left" indent="4"/>
    </xf>
    <xf numFmtId="178" fontId="28" fillId="8" borderId="0" xfId="0" applyNumberFormat="1" applyFont="1" applyFill="1" applyAlignment="1">
      <alignment horizontal="left" indent="4"/>
    </xf>
    <xf numFmtId="164" fontId="28" fillId="8" borderId="0" xfId="13" applyNumberFormat="1" applyFont="1" applyFill="1" applyAlignment="1">
      <alignment horizontal="left" indent="4"/>
    </xf>
    <xf numFmtId="169" fontId="32" fillId="8" borderId="0" xfId="7" applyNumberFormat="1" applyFont="1" applyFill="1"/>
    <xf numFmtId="169" fontId="31" fillId="8" borderId="0" xfId="13" applyNumberFormat="1" applyFont="1" applyFill="1" applyAlignment="1">
      <alignment horizontal="left" indent="3"/>
    </xf>
    <xf numFmtId="167" fontId="28" fillId="8" borderId="0" xfId="13" applyNumberFormat="1" applyFont="1" applyFill="1"/>
    <xf numFmtId="167" fontId="26" fillId="8" borderId="0" xfId="7" applyNumberFormat="1" applyFont="1" applyFill="1"/>
    <xf numFmtId="167" fontId="28" fillId="8" borderId="0" xfId="13" applyNumberFormat="1" applyFont="1" applyFill="1" applyAlignment="1">
      <alignment horizontal="left" indent="1"/>
    </xf>
    <xf numFmtId="167" fontId="31" fillId="8" borderId="0" xfId="13" applyNumberFormat="1" applyFont="1" applyFill="1" applyAlignment="1">
      <alignment horizontal="left"/>
    </xf>
    <xf numFmtId="167" fontId="32" fillId="8" borderId="0" xfId="7" applyNumberFormat="1" applyFont="1" applyFill="1"/>
    <xf numFmtId="180" fontId="31" fillId="8" borderId="0" xfId="13" applyNumberFormat="1" applyFont="1" applyFill="1" applyAlignment="1">
      <alignment horizontal="left"/>
    </xf>
    <xf numFmtId="180" fontId="32" fillId="8" borderId="0" xfId="7" applyNumberFormat="1" applyFont="1" applyFill="1"/>
    <xf numFmtId="170" fontId="32" fillId="8" borderId="0" xfId="13" applyNumberFormat="1" applyFont="1" applyFill="1"/>
    <xf numFmtId="170" fontId="31" fillId="8" borderId="0" xfId="13" applyNumberFormat="1" applyFont="1" applyFill="1" applyAlignment="1">
      <alignment horizontal="left" indent="3"/>
    </xf>
    <xf numFmtId="181" fontId="31" fillId="8" borderId="0" xfId="13" applyNumberFormat="1" applyFont="1" applyFill="1" applyAlignment="1">
      <alignment horizontal="left"/>
    </xf>
    <xf numFmtId="181" fontId="32" fillId="8" borderId="0" xfId="7" applyNumberFormat="1" applyFont="1" applyFill="1"/>
    <xf numFmtId="167" fontId="28" fillId="8" borderId="0" xfId="13" applyNumberFormat="1" applyFont="1" applyFill="1" applyAlignment="1">
      <alignment horizontal="left"/>
    </xf>
    <xf numFmtId="170" fontId="26" fillId="8" borderId="0" xfId="13" applyNumberFormat="1" applyFont="1" applyFill="1"/>
    <xf numFmtId="170" fontId="28" fillId="8" borderId="0" xfId="13" applyNumberFormat="1" applyFont="1" applyFill="1" applyAlignment="1">
      <alignment horizontal="left" indent="3"/>
    </xf>
    <xf numFmtId="0" fontId="28" fillId="8" borderId="0" xfId="13" applyFont="1" applyFill="1"/>
    <xf numFmtId="14" fontId="11" fillId="4" borderId="14" xfId="12" applyNumberFormat="1" applyFont="1" applyFill="1" applyBorder="1" applyAlignment="1">
      <alignment horizontal="center"/>
    </xf>
    <xf numFmtId="0" fontId="11" fillId="4" borderId="14" xfId="12" applyFont="1" applyFill="1" applyBorder="1" applyAlignment="1">
      <alignment horizontal="center"/>
    </xf>
    <xf numFmtId="0" fontId="6" fillId="4" borderId="14" xfId="12" applyFill="1" applyBorder="1" applyAlignment="1">
      <alignment horizontal="center"/>
    </xf>
    <xf numFmtId="0" fontId="8" fillId="4" borderId="14" xfId="9" applyFill="1" applyBorder="1" applyAlignment="1">
      <alignment horizontal="left"/>
    </xf>
    <xf numFmtId="164" fontId="10" fillId="8" borderId="15" xfId="0" applyNumberFormat="1" applyFont="1" applyFill="1" applyBorder="1"/>
    <xf numFmtId="166" fontId="0" fillId="0" borderId="0" xfId="0" applyNumberFormat="1"/>
    <xf numFmtId="187" fontId="0" fillId="8" borderId="0" xfId="0" applyNumberFormat="1" applyFill="1"/>
    <xf numFmtId="164" fontId="0" fillId="8" borderId="0" xfId="0" applyNumberFormat="1" applyFill="1" applyAlignment="1">
      <alignment horizontal="left" indent="1"/>
    </xf>
    <xf numFmtId="0" fontId="0" fillId="8" borderId="0" xfId="0" applyFill="1"/>
    <xf numFmtId="166" fontId="0" fillId="8" borderId="0" xfId="0" applyNumberFormat="1" applyFill="1" applyAlignment="1">
      <alignment horizontal="left" indent="1"/>
    </xf>
    <xf numFmtId="166" fontId="0" fillId="8" borderId="0" xfId="0" applyNumberFormat="1" applyFill="1"/>
    <xf numFmtId="166" fontId="0" fillId="8" borderId="11" xfId="0" applyNumberFormat="1" applyFill="1" applyBorder="1" applyAlignment="1">
      <alignment horizontal="left" indent="1"/>
    </xf>
    <xf numFmtId="166" fontId="0" fillId="8" borderId="11" xfId="0" applyNumberFormat="1" applyFill="1" applyBorder="1"/>
    <xf numFmtId="0" fontId="37" fillId="9" borderId="0" xfId="0" applyFont="1" applyFill="1"/>
    <xf numFmtId="167" fontId="28" fillId="3" borderId="0" xfId="0" applyNumberFormat="1" applyFont="1" applyFill="1"/>
    <xf numFmtId="0" fontId="10" fillId="8" borderId="0" xfId="0" applyFont="1" applyFill="1"/>
    <xf numFmtId="167" fontId="31" fillId="8" borderId="0" xfId="0" applyNumberFormat="1" applyFont="1" applyFill="1"/>
    <xf numFmtId="164" fontId="31" fillId="8" borderId="0" xfId="0" applyNumberFormat="1" applyFont="1" applyFill="1" applyAlignment="1">
      <alignment horizontal="center"/>
    </xf>
    <xf numFmtId="0" fontId="43" fillId="8" borderId="0" xfId="9" applyFont="1" applyFill="1"/>
    <xf numFmtId="41" fontId="28" fillId="8" borderId="0" xfId="0" applyNumberFormat="1" applyFont="1" applyFill="1"/>
    <xf numFmtId="167" fontId="31" fillId="8" borderId="0" xfId="13" applyNumberFormat="1" applyFont="1" applyFill="1"/>
    <xf numFmtId="180" fontId="31" fillId="8" borderId="0" xfId="13" applyNumberFormat="1" applyFont="1" applyFill="1"/>
    <xf numFmtId="181" fontId="31" fillId="8" borderId="0" xfId="13" applyNumberFormat="1" applyFont="1" applyFill="1"/>
    <xf numFmtId="14" fontId="11" fillId="4" borderId="16" xfId="12" applyNumberFormat="1" applyFont="1" applyFill="1" applyBorder="1" applyAlignment="1">
      <alignment horizontal="center"/>
    </xf>
    <xf numFmtId="0" fontId="11" fillId="4" borderId="17" xfId="12" applyFont="1" applyFill="1" applyBorder="1" applyAlignment="1">
      <alignment horizontal="center"/>
    </xf>
    <xf numFmtId="0" fontId="6" fillId="4" borderId="17" xfId="12" applyFill="1" applyBorder="1" applyAlignment="1">
      <alignment horizontal="center"/>
    </xf>
    <xf numFmtId="0" fontId="8" fillId="4" borderId="18" xfId="9" applyFill="1" applyBorder="1" applyAlignment="1">
      <alignment horizontal="left"/>
    </xf>
    <xf numFmtId="164" fontId="27" fillId="9" borderId="0" xfId="0" applyNumberFormat="1" applyFont="1" applyFill="1" applyAlignment="1">
      <alignment horizontal="left"/>
    </xf>
    <xf numFmtId="164" fontId="27" fillId="9" borderId="0" xfId="0" applyNumberFormat="1" applyFont="1" applyFill="1" applyAlignment="1">
      <alignment horizontal="left" indent="3"/>
    </xf>
    <xf numFmtId="167" fontId="45" fillId="8" borderId="0" xfId="0" applyNumberFormat="1" applyFont="1" applyFill="1" applyAlignment="1">
      <alignment horizontal="left" indent="1"/>
    </xf>
    <xf numFmtId="167" fontId="45" fillId="8" borderId="0" xfId="0" applyNumberFormat="1" applyFont="1" applyFill="1"/>
    <xf numFmtId="167" fontId="46" fillId="8" borderId="0" xfId="0" applyNumberFormat="1" applyFont="1" applyFill="1"/>
    <xf numFmtId="164" fontId="28" fillId="8" borderId="15" xfId="0" applyNumberFormat="1" applyFont="1" applyFill="1" applyBorder="1"/>
    <xf numFmtId="164" fontId="26" fillId="8" borderId="15" xfId="11" applyNumberFormat="1" applyFont="1" applyFill="1" applyBorder="1"/>
    <xf numFmtId="164" fontId="28" fillId="8" borderId="19" xfId="0" applyNumberFormat="1" applyFont="1" applyFill="1" applyBorder="1"/>
    <xf numFmtId="165" fontId="32" fillId="8" borderId="20" xfId="11" applyNumberFormat="1" applyFont="1" applyFill="1" applyBorder="1" applyAlignment="1">
      <alignment horizontal="left"/>
    </xf>
    <xf numFmtId="165" fontId="26" fillId="8" borderId="13" xfId="11" applyNumberFormat="1" applyFont="1" applyFill="1" applyBorder="1" applyAlignment="1">
      <alignment horizontal="left"/>
    </xf>
    <xf numFmtId="187" fontId="26" fillId="8" borderId="13" xfId="11" applyNumberFormat="1" applyFont="1" applyFill="1" applyBorder="1" applyAlignment="1">
      <alignment horizontal="left" indent="1"/>
    </xf>
    <xf numFmtId="187" fontId="28" fillId="8" borderId="0" xfId="0" applyNumberFormat="1" applyFont="1" applyFill="1"/>
    <xf numFmtId="187" fontId="26" fillId="8" borderId="0" xfId="11" applyNumberFormat="1" applyFont="1" applyFill="1"/>
    <xf numFmtId="187" fontId="28" fillId="8" borderId="12" xfId="0" applyNumberFormat="1" applyFont="1" applyFill="1" applyBorder="1"/>
    <xf numFmtId="187" fontId="0" fillId="0" borderId="0" xfId="0" applyNumberFormat="1"/>
    <xf numFmtId="187" fontId="26" fillId="8" borderId="13" xfId="11" applyNumberFormat="1" applyFont="1" applyFill="1" applyBorder="1" applyAlignment="1">
      <alignment horizontal="left" indent="2"/>
    </xf>
    <xf numFmtId="188" fontId="26" fillId="8" borderId="13" xfId="11" applyNumberFormat="1" applyFont="1" applyFill="1" applyBorder="1" applyAlignment="1">
      <alignment horizontal="left" indent="1"/>
    </xf>
    <xf numFmtId="188" fontId="0" fillId="8" borderId="0" xfId="0" applyNumberFormat="1" applyFill="1"/>
    <xf numFmtId="188" fontId="0" fillId="0" borderId="0" xfId="0" applyNumberFormat="1"/>
    <xf numFmtId="188" fontId="26" fillId="8" borderId="13" xfId="11" applyNumberFormat="1" applyFont="1" applyFill="1" applyBorder="1" applyAlignment="1">
      <alignment horizontal="left" indent="2"/>
    </xf>
    <xf numFmtId="187" fontId="0" fillId="8" borderId="0" xfId="0" applyNumberFormat="1" applyFill="1" applyAlignment="1">
      <alignment horizontal="left" indent="1"/>
    </xf>
    <xf numFmtId="188" fontId="0" fillId="8" borderId="0" xfId="0" applyNumberFormat="1" applyFill="1" applyAlignment="1">
      <alignment horizontal="left" indent="1"/>
    </xf>
    <xf numFmtId="0" fontId="43" fillId="3" borderId="0" xfId="9" applyFont="1" applyFill="1"/>
    <xf numFmtId="0" fontId="8" fillId="0" borderId="21" xfId="9" applyBorder="1"/>
    <xf numFmtId="0" fontId="10" fillId="8" borderId="0" xfId="0" applyFont="1" applyFill="1" applyAlignment="1">
      <alignment horizontal="center"/>
    </xf>
    <xf numFmtId="189" fontId="22" fillId="5" borderId="0" xfId="12" applyNumberFormat="1" applyFont="1" applyFill="1" applyAlignment="1">
      <alignment horizontal="center" vertical="center"/>
    </xf>
    <xf numFmtId="169" fontId="0" fillId="8" borderId="0" xfId="0" applyNumberFormat="1" applyFill="1" applyAlignment="1">
      <alignment horizontal="left" indent="1"/>
    </xf>
    <xf numFmtId="169" fontId="0" fillId="8" borderId="0" xfId="0" applyNumberFormat="1" applyFill="1" applyAlignment="1">
      <alignment horizontal="right"/>
    </xf>
    <xf numFmtId="169" fontId="0" fillId="8" borderId="0" xfId="0" applyNumberFormat="1" applyFill="1"/>
    <xf numFmtId="169" fontId="0" fillId="0" borderId="0" xfId="0" applyNumberFormat="1"/>
    <xf numFmtId="169" fontId="10" fillId="8" borderId="0" xfId="0" applyNumberFormat="1" applyFont="1" applyFill="1" applyAlignment="1">
      <alignment horizontal="right"/>
    </xf>
    <xf numFmtId="169" fontId="6" fillId="8" borderId="0" xfId="2" applyNumberFormat="1" applyFont="1" applyFill="1"/>
    <xf numFmtId="169" fontId="12" fillId="8" borderId="0" xfId="0" applyNumberFormat="1" applyFont="1" applyFill="1"/>
    <xf numFmtId="178" fontId="0" fillId="8" borderId="0" xfId="0" applyNumberFormat="1" applyFill="1" applyAlignment="1">
      <alignment horizontal="left"/>
    </xf>
    <xf numFmtId="178" fontId="0" fillId="8" borderId="0" xfId="0" applyNumberFormat="1" applyFill="1"/>
    <xf numFmtId="167" fontId="0" fillId="8" borderId="2" xfId="0" applyNumberFormat="1" applyFill="1" applyBorder="1" applyAlignment="1">
      <alignment horizontal="left" indent="2"/>
    </xf>
    <xf numFmtId="167" fontId="0" fillId="8" borderId="2" xfId="0" applyNumberFormat="1" applyFill="1" applyBorder="1" applyAlignment="1">
      <alignment horizontal="right"/>
    </xf>
    <xf numFmtId="167" fontId="0" fillId="8" borderId="2" xfId="0" applyNumberFormat="1" applyFill="1" applyBorder="1" applyAlignment="1">
      <alignment horizontal="left" indent="1"/>
    </xf>
    <xf numFmtId="164" fontId="0" fillId="8" borderId="2" xfId="0" applyNumberFormat="1" applyFill="1" applyBorder="1" applyAlignment="1">
      <alignment horizontal="left" indent="2"/>
    </xf>
    <xf numFmtId="164" fontId="0" fillId="8" borderId="2" xfId="0" applyNumberFormat="1" applyFill="1" applyBorder="1" applyAlignment="1">
      <alignment horizontal="left" indent="1"/>
    </xf>
    <xf numFmtId="167" fontId="31" fillId="8" borderId="2" xfId="0" applyNumberFormat="1" applyFont="1" applyFill="1" applyBorder="1" applyAlignment="1">
      <alignment horizontal="left" indent="2"/>
    </xf>
    <xf numFmtId="167" fontId="32" fillId="8" borderId="2" xfId="2" applyNumberFormat="1" applyFont="1" applyFill="1" applyBorder="1"/>
    <xf numFmtId="167" fontId="31" fillId="8" borderId="2" xfId="0" applyNumberFormat="1" applyFont="1" applyFill="1" applyBorder="1" applyAlignment="1">
      <alignment horizontal="right"/>
    </xf>
    <xf numFmtId="164" fontId="0" fillId="8" borderId="10" xfId="0" applyNumberFormat="1" applyFill="1" applyBorder="1" applyAlignment="1">
      <alignment horizontal="left" indent="1"/>
    </xf>
    <xf numFmtId="164" fontId="0" fillId="8" borderId="7" xfId="0" applyNumberFormat="1" applyFill="1" applyBorder="1" applyAlignment="1">
      <alignment horizontal="left" indent="1"/>
    </xf>
    <xf numFmtId="164" fontId="0" fillId="8" borderId="13" xfId="0" applyNumberFormat="1" applyFill="1" applyBorder="1"/>
    <xf numFmtId="187" fontId="0" fillId="8" borderId="13" xfId="0" applyNumberFormat="1" applyFill="1" applyBorder="1"/>
    <xf numFmtId="188" fontId="0" fillId="8" borderId="13" xfId="0" applyNumberFormat="1" applyFill="1" applyBorder="1"/>
    <xf numFmtId="164" fontId="28" fillId="8" borderId="2" xfId="13" applyNumberFormat="1" applyFont="1" applyFill="1" applyBorder="1" applyAlignment="1">
      <alignment horizontal="left" indent="3"/>
    </xf>
    <xf numFmtId="167" fontId="28" fillId="8" borderId="2" xfId="0" applyNumberFormat="1" applyFont="1" applyFill="1" applyBorder="1" applyAlignment="1">
      <alignment horizontal="left" indent="2"/>
    </xf>
    <xf numFmtId="167" fontId="26" fillId="8" borderId="2" xfId="2" applyNumberFormat="1" applyFont="1" applyFill="1" applyBorder="1"/>
    <xf numFmtId="167" fontId="28" fillId="8" borderId="2" xfId="0" applyNumberFormat="1" applyFont="1" applyFill="1" applyBorder="1" applyAlignment="1">
      <alignment horizontal="right"/>
    </xf>
    <xf numFmtId="0" fontId="8" fillId="0" borderId="9" xfId="9" applyBorder="1"/>
    <xf numFmtId="14" fontId="16" fillId="3" borderId="0" xfId="12" applyNumberFormat="1" applyFont="1" applyFill="1" applyAlignment="1">
      <alignment horizontal="center" vertical="center"/>
    </xf>
    <xf numFmtId="0" fontId="11" fillId="4" borderId="9" xfId="12" applyFont="1" applyFill="1" applyBorder="1" applyAlignment="1">
      <alignment horizontal="left"/>
    </xf>
    <xf numFmtId="0" fontId="11" fillId="4" borderId="17" xfId="12" applyFont="1" applyFill="1" applyBorder="1" applyAlignment="1">
      <alignment horizontal="left"/>
    </xf>
    <xf numFmtId="0" fontId="11" fillId="4" borderId="14" xfId="12" applyFont="1" applyFill="1" applyBorder="1" applyAlignment="1">
      <alignment horizontal="left"/>
    </xf>
    <xf numFmtId="164" fontId="26" fillId="8" borderId="11" xfId="11" applyNumberFormat="1" applyFont="1" applyFill="1" applyBorder="1" applyAlignment="1">
      <alignment horizontal="left" indent="1"/>
    </xf>
    <xf numFmtId="164" fontId="26" fillId="8" borderId="2" xfId="11" applyNumberFormat="1" applyFont="1" applyFill="1" applyBorder="1"/>
    <xf numFmtId="167" fontId="28" fillId="8" borderId="4" xfId="0" applyNumberFormat="1" applyFont="1" applyFill="1" applyBorder="1"/>
    <xf numFmtId="164" fontId="28" fillId="8" borderId="4" xfId="0" applyNumberFormat="1" applyFont="1" applyFill="1" applyBorder="1"/>
    <xf numFmtId="164" fontId="28" fillId="8" borderId="1" xfId="0" applyNumberFormat="1" applyFont="1" applyFill="1" applyBorder="1"/>
    <xf numFmtId="164" fontId="26" fillId="8" borderId="5" xfId="11" applyNumberFormat="1" applyFont="1" applyFill="1" applyBorder="1" applyAlignment="1">
      <alignment horizontal="left" indent="1"/>
    </xf>
    <xf numFmtId="164" fontId="26" fillId="8" borderId="3" xfId="11" applyNumberFormat="1" applyFont="1" applyFill="1" applyBorder="1" applyAlignment="1">
      <alignment horizontal="left" indent="1"/>
    </xf>
    <xf numFmtId="164" fontId="32" fillId="8" borderId="22" xfId="11" applyNumberFormat="1" applyFont="1" applyFill="1" applyBorder="1"/>
    <xf numFmtId="173" fontId="26" fillId="8" borderId="23" xfId="11" applyNumberFormat="1" applyFont="1" applyFill="1" applyBorder="1" applyAlignment="1">
      <alignment horizontal="left" indent="1"/>
    </xf>
    <xf numFmtId="174" fontId="26" fillId="8" borderId="23" xfId="11" applyNumberFormat="1" applyFont="1" applyFill="1" applyBorder="1" applyAlignment="1">
      <alignment horizontal="left" indent="1"/>
    </xf>
    <xf numFmtId="175" fontId="26" fillId="8" borderId="23" xfId="11" applyNumberFormat="1" applyFont="1" applyFill="1" applyBorder="1" applyAlignment="1">
      <alignment horizontal="left" indent="1"/>
    </xf>
    <xf numFmtId="164" fontId="32" fillId="8" borderId="8" xfId="11" applyNumberFormat="1" applyFont="1" applyFill="1" applyBorder="1"/>
    <xf numFmtId="0" fontId="13" fillId="10" borderId="9" xfId="12" applyFont="1" applyFill="1" applyBorder="1" applyAlignment="1">
      <alignment horizontal="center"/>
    </xf>
    <xf numFmtId="164" fontId="7" fillId="8" borderId="6" xfId="11" applyNumberFormat="1" applyFont="1" applyFill="1" applyBorder="1" applyAlignment="1">
      <alignment horizontal="left"/>
    </xf>
    <xf numFmtId="164" fontId="6" fillId="8" borderId="4" xfId="11" applyNumberFormat="1" applyFill="1" applyBorder="1" applyAlignment="1">
      <alignment horizontal="left" indent="1"/>
    </xf>
    <xf numFmtId="0" fontId="13" fillId="10" borderId="6" xfId="12" applyFont="1" applyFill="1" applyBorder="1" applyAlignment="1">
      <alignment horizontal="center"/>
    </xf>
    <xf numFmtId="0" fontId="8" fillId="8" borderId="24" xfId="9" applyFill="1" applyBorder="1"/>
    <xf numFmtId="0" fontId="24" fillId="8" borderId="0" xfId="0" applyFont="1" applyFill="1"/>
    <xf numFmtId="164" fontId="0" fillId="8" borderId="11" xfId="0" applyNumberFormat="1" applyFill="1" applyBorder="1" applyAlignment="1">
      <alignment horizontal="left" indent="1"/>
    </xf>
    <xf numFmtId="169" fontId="32" fillId="8" borderId="0" xfId="2" applyNumberFormat="1" applyFont="1" applyFill="1"/>
    <xf numFmtId="169" fontId="31" fillId="8" borderId="0" xfId="0" applyNumberFormat="1" applyFont="1" applyFill="1" applyAlignment="1">
      <alignment horizontal="left" indent="3"/>
    </xf>
    <xf numFmtId="169" fontId="17" fillId="8" borderId="0" xfId="2" applyNumberFormat="1" applyFont="1" applyFill="1"/>
    <xf numFmtId="164" fontId="31" fillId="8" borderId="0" xfId="0" applyNumberFormat="1" applyFont="1" applyFill="1" applyAlignment="1">
      <alignment horizontal="left" indent="3"/>
    </xf>
    <xf numFmtId="164" fontId="28" fillId="8" borderId="0" xfId="0" applyNumberFormat="1" applyFont="1" applyFill="1" applyAlignment="1">
      <alignment horizontal="left" indent="3"/>
    </xf>
    <xf numFmtId="170" fontId="31" fillId="8" borderId="0" xfId="0" applyNumberFormat="1" applyFont="1" applyFill="1" applyAlignment="1">
      <alignment horizontal="right"/>
    </xf>
    <xf numFmtId="169" fontId="31" fillId="8" borderId="0" xfId="0" applyNumberFormat="1" applyFont="1" applyFill="1"/>
    <xf numFmtId="0" fontId="8" fillId="8" borderId="25" xfId="9" applyFill="1" applyBorder="1"/>
    <xf numFmtId="169" fontId="31" fillId="8" borderId="0" xfId="13" applyNumberFormat="1" applyFont="1" applyFill="1" applyAlignment="1">
      <alignment horizontal="left" indent="1"/>
    </xf>
    <xf numFmtId="169" fontId="21" fillId="11" borderId="0" xfId="2" applyNumberFormat="1" applyFont="1" applyFill="1" applyAlignment="1">
      <alignment horizontal="center" vertical="center"/>
    </xf>
    <xf numFmtId="166" fontId="27" fillId="9" borderId="0" xfId="13" applyNumberFormat="1" applyFont="1" applyFill="1"/>
    <xf numFmtId="166" fontId="27" fillId="9" borderId="0" xfId="0" applyNumberFormat="1" applyFont="1" applyFill="1"/>
    <xf numFmtId="166" fontId="31" fillId="8" borderId="0" xfId="13" applyNumberFormat="1" applyFont="1" applyFill="1"/>
    <xf numFmtId="164" fontId="10" fillId="8" borderId="10" xfId="0" applyNumberFormat="1" applyFont="1" applyFill="1" applyBorder="1" applyAlignment="1">
      <alignment horizontal="left" indent="1"/>
    </xf>
    <xf numFmtId="167" fontId="24" fillId="8" borderId="0" xfId="0" applyNumberFormat="1" applyFont="1" applyFill="1" applyAlignment="1">
      <alignment horizontal="right"/>
    </xf>
    <xf numFmtId="167" fontId="24" fillId="8" borderId="0" xfId="0" applyNumberFormat="1" applyFont="1" applyFill="1"/>
    <xf numFmtId="167" fontId="24" fillId="0" borderId="0" xfId="0" applyNumberFormat="1" applyFont="1"/>
    <xf numFmtId="167" fontId="28" fillId="8" borderId="0" xfId="0" applyNumberFormat="1" applyFont="1" applyFill="1" applyAlignment="1">
      <alignment horizontal="left" indent="1"/>
    </xf>
    <xf numFmtId="167" fontId="35" fillId="8" borderId="0" xfId="0" applyNumberFormat="1" applyFont="1" applyFill="1" applyAlignment="1">
      <alignment horizontal="left" indent="1"/>
    </xf>
    <xf numFmtId="167" fontId="34" fillId="8" borderId="0" xfId="2" applyNumberFormat="1" applyFont="1" applyFill="1" applyAlignment="1">
      <alignment horizontal="left" indent="1"/>
    </xf>
    <xf numFmtId="167" fontId="51" fillId="8" borderId="0" xfId="0" applyNumberFormat="1" applyFont="1" applyFill="1" applyAlignment="1">
      <alignment horizontal="left" indent="1"/>
    </xf>
    <xf numFmtId="167" fontId="34" fillId="8" borderId="0" xfId="2" applyNumberFormat="1" applyFont="1" applyFill="1"/>
    <xf numFmtId="167" fontId="35" fillId="8" borderId="0" xfId="0" applyNumberFormat="1" applyFont="1" applyFill="1" applyAlignment="1">
      <alignment horizontal="right"/>
    </xf>
    <xf numFmtId="167" fontId="51" fillId="8" borderId="0" xfId="0" applyNumberFormat="1" applyFont="1" applyFill="1" applyAlignment="1">
      <alignment horizontal="right"/>
    </xf>
    <xf numFmtId="164" fontId="31" fillId="8" borderId="0" xfId="0" applyNumberFormat="1" applyFont="1" applyFill="1" applyAlignment="1">
      <alignment horizontal="left" indent="1"/>
    </xf>
    <xf numFmtId="177" fontId="31" fillId="8" borderId="0" xfId="0" applyNumberFormat="1" applyFont="1" applyFill="1"/>
    <xf numFmtId="177" fontId="10" fillId="0" borderId="0" xfId="0" applyNumberFormat="1" applyFont="1"/>
    <xf numFmtId="164" fontId="31" fillId="8" borderId="0" xfId="0" applyNumberFormat="1" applyFont="1" applyFill="1" applyAlignment="1">
      <alignment horizontal="left" indent="4"/>
    </xf>
    <xf numFmtId="177" fontId="31" fillId="8" borderId="7" xfId="0" applyNumberFormat="1" applyFont="1" applyFill="1" applyBorder="1" applyAlignment="1">
      <alignment horizontal="left" indent="4"/>
    </xf>
    <xf numFmtId="190" fontId="26" fillId="8" borderId="14" xfId="11" applyNumberFormat="1" applyFont="1" applyFill="1" applyBorder="1" applyAlignment="1">
      <alignment horizontal="left" indent="1"/>
    </xf>
    <xf numFmtId="167" fontId="31" fillId="8" borderId="0" xfId="0" applyNumberFormat="1" applyFont="1" applyFill="1" applyAlignment="1">
      <alignment horizontal="center"/>
    </xf>
    <xf numFmtId="167" fontId="28" fillId="8" borderId="0" xfId="0" applyNumberFormat="1" applyFont="1" applyFill="1" applyAlignment="1">
      <alignment horizontal="center"/>
    </xf>
    <xf numFmtId="166" fontId="26" fillId="8" borderId="0" xfId="11" applyNumberFormat="1" applyFont="1" applyFill="1"/>
    <xf numFmtId="165" fontId="10" fillId="8" borderId="0" xfId="0" applyNumberFormat="1" applyFont="1" applyFill="1" applyAlignment="1">
      <alignment horizontal="left"/>
    </xf>
    <xf numFmtId="165" fontId="10" fillId="8" borderId="0" xfId="0" applyNumberFormat="1" applyFont="1" applyFill="1" applyAlignment="1">
      <alignment horizontal="right"/>
    </xf>
    <xf numFmtId="165" fontId="10" fillId="8" borderId="0" xfId="0" applyNumberFormat="1" applyFont="1" applyFill="1"/>
    <xf numFmtId="165" fontId="10" fillId="0" borderId="0" xfId="0" applyNumberFormat="1" applyFont="1"/>
    <xf numFmtId="0" fontId="16" fillId="4" borderId="0" xfId="12" applyFont="1" applyFill="1" applyAlignment="1">
      <alignment vertical="center"/>
    </xf>
    <xf numFmtId="0" fontId="19" fillId="4" borderId="0" xfId="12" applyFont="1" applyFill="1"/>
    <xf numFmtId="176" fontId="6" fillId="8" borderId="0" xfId="0" applyNumberFormat="1" applyFont="1" applyFill="1" applyAlignment="1">
      <alignment horizontal="left"/>
    </xf>
    <xf numFmtId="185" fontId="7" fillId="8" borderId="0" xfId="0" applyNumberFormat="1" applyFont="1" applyFill="1" applyAlignment="1">
      <alignment horizontal="left"/>
    </xf>
    <xf numFmtId="169" fontId="9" fillId="8" borderId="0" xfId="2" applyNumberFormat="1" applyFont="1" applyFill="1" applyAlignment="1">
      <alignment horizontal="center"/>
    </xf>
    <xf numFmtId="164" fontId="10" fillId="8" borderId="0" xfId="0" applyNumberFormat="1" applyFont="1" applyFill="1" applyAlignment="1">
      <alignment horizontal="center"/>
    </xf>
    <xf numFmtId="186" fontId="7" fillId="8" borderId="0" xfId="0" applyNumberFormat="1" applyFont="1" applyFill="1"/>
    <xf numFmtId="168" fontId="26" fillId="8" borderId="0" xfId="0" applyNumberFormat="1" applyFont="1" applyFill="1" applyAlignment="1">
      <alignment horizontal="center"/>
    </xf>
    <xf numFmtId="0" fontId="32" fillId="8" borderId="0" xfId="2" applyNumberFormat="1" applyFont="1" applyFill="1" applyAlignment="1">
      <alignment horizontal="center"/>
    </xf>
    <xf numFmtId="164" fontId="32" fillId="8" borderId="0" xfId="2" applyNumberFormat="1" applyFont="1" applyFill="1"/>
    <xf numFmtId="164" fontId="26" fillId="8" borderId="0" xfId="2" applyNumberFormat="1" applyFont="1" applyFill="1"/>
    <xf numFmtId="164" fontId="32" fillId="8" borderId="10" xfId="2" applyNumberFormat="1" applyFont="1" applyFill="1" applyBorder="1"/>
    <xf numFmtId="164" fontId="32" fillId="8" borderId="7" xfId="2" applyNumberFormat="1" applyFont="1" applyFill="1" applyBorder="1"/>
    <xf numFmtId="164" fontId="31" fillId="8" borderId="0" xfId="0" applyNumberFormat="1" applyFont="1" applyFill="1" applyAlignment="1">
      <alignment horizontal="left"/>
    </xf>
    <xf numFmtId="165" fontId="32" fillId="8" borderId="0" xfId="2" applyNumberFormat="1" applyFont="1" applyFill="1"/>
    <xf numFmtId="165" fontId="31" fillId="8" borderId="0" xfId="0" applyNumberFormat="1" applyFont="1" applyFill="1" applyAlignment="1">
      <alignment horizontal="right"/>
    </xf>
    <xf numFmtId="164" fontId="28" fillId="8" borderId="2" xfId="0" applyNumberFormat="1" applyFont="1" applyFill="1" applyBorder="1" applyAlignment="1">
      <alignment horizontal="left" indent="4"/>
    </xf>
    <xf numFmtId="164" fontId="28" fillId="8" borderId="0" xfId="0" applyNumberFormat="1" applyFont="1" applyFill="1" applyAlignment="1">
      <alignment horizontal="left"/>
    </xf>
    <xf numFmtId="165" fontId="28" fillId="8" borderId="0" xfId="0" applyNumberFormat="1" applyFont="1" applyFill="1"/>
    <xf numFmtId="164" fontId="31" fillId="8" borderId="7" xfId="0" applyNumberFormat="1" applyFont="1" applyFill="1" applyBorder="1" applyAlignment="1">
      <alignment horizontal="left" indent="3"/>
    </xf>
    <xf numFmtId="164" fontId="31" fillId="8" borderId="10" xfId="0" applyNumberFormat="1" applyFont="1" applyFill="1" applyBorder="1" applyAlignment="1">
      <alignment horizontal="left" indent="3"/>
    </xf>
    <xf numFmtId="164" fontId="28" fillId="8" borderId="2" xfId="0" applyNumberFormat="1" applyFont="1" applyFill="1" applyBorder="1" applyAlignment="1">
      <alignment horizontal="left" indent="3"/>
    </xf>
    <xf numFmtId="164" fontId="28" fillId="8" borderId="10" xfId="0" applyNumberFormat="1" applyFont="1" applyFill="1" applyBorder="1" applyAlignment="1">
      <alignment horizontal="left" indent="3"/>
    </xf>
    <xf numFmtId="164" fontId="28" fillId="8" borderId="7" xfId="0" applyNumberFormat="1" applyFont="1" applyFill="1" applyBorder="1" applyAlignment="1">
      <alignment horizontal="left" indent="3"/>
    </xf>
    <xf numFmtId="164" fontId="34" fillId="8" borderId="7" xfId="0" applyNumberFormat="1" applyFont="1" applyFill="1" applyBorder="1" applyAlignment="1">
      <alignment horizontal="left" indent="1"/>
    </xf>
    <xf numFmtId="164" fontId="35" fillId="8" borderId="7" xfId="0" applyNumberFormat="1" applyFont="1" applyFill="1" applyBorder="1" applyAlignment="1">
      <alignment horizontal="left" indent="3"/>
    </xf>
    <xf numFmtId="167" fontId="31" fillId="8" borderId="0" xfId="0" applyNumberFormat="1" applyFont="1" applyFill="1" applyAlignment="1">
      <alignment horizontal="left" indent="3"/>
    </xf>
    <xf numFmtId="169" fontId="28" fillId="8" borderId="0" xfId="0" applyNumberFormat="1" applyFont="1" applyFill="1" applyAlignment="1">
      <alignment horizontal="left" indent="3"/>
    </xf>
    <xf numFmtId="169" fontId="26" fillId="8" borderId="0" xfId="2" applyNumberFormat="1" applyFont="1" applyFill="1"/>
    <xf numFmtId="169" fontId="28" fillId="8" borderId="0" xfId="0" applyNumberFormat="1" applyFont="1" applyFill="1"/>
    <xf numFmtId="164" fontId="28" fillId="8" borderId="11" xfId="0" applyNumberFormat="1" applyFont="1" applyFill="1" applyBorder="1" applyAlignment="1">
      <alignment horizontal="left" indent="3"/>
    </xf>
    <xf numFmtId="170" fontId="31" fillId="8" borderId="0" xfId="0" applyNumberFormat="1" applyFont="1" applyFill="1" applyAlignment="1">
      <alignment horizontal="left" indent="3"/>
    </xf>
    <xf numFmtId="170" fontId="31" fillId="8" borderId="0" xfId="0" applyNumberFormat="1" applyFont="1" applyFill="1"/>
    <xf numFmtId="0" fontId="28" fillId="8" borderId="0" xfId="0" applyFont="1" applyFill="1" applyAlignment="1">
      <alignment horizontal="left" indent="3"/>
    </xf>
    <xf numFmtId="170" fontId="26" fillId="8" borderId="0" xfId="0" applyNumberFormat="1" applyFont="1" applyFill="1"/>
    <xf numFmtId="170" fontId="28" fillId="8" borderId="0" xfId="0" applyNumberFormat="1" applyFont="1" applyFill="1" applyAlignment="1">
      <alignment horizontal="left" indent="3"/>
    </xf>
    <xf numFmtId="170" fontId="28" fillId="8" borderId="0" xfId="0" applyNumberFormat="1" applyFont="1" applyFill="1" applyAlignment="1">
      <alignment horizontal="right"/>
    </xf>
    <xf numFmtId="170" fontId="28" fillId="8" borderId="0" xfId="0" applyNumberFormat="1" applyFont="1" applyFill="1"/>
    <xf numFmtId="188" fontId="26" fillId="8" borderId="0" xfId="2" applyNumberFormat="1" applyFont="1" applyFill="1"/>
    <xf numFmtId="167" fontId="29" fillId="8" borderId="0" xfId="0" applyNumberFormat="1" applyFont="1" applyFill="1" applyAlignment="1">
      <alignment horizontal="left" indent="3"/>
    </xf>
    <xf numFmtId="164" fontId="26" fillId="8" borderId="0" xfId="11" applyNumberFormat="1" applyFont="1" applyFill="1" applyAlignment="1">
      <alignment horizontal="left" indent="1"/>
    </xf>
    <xf numFmtId="166" fontId="31" fillId="8" borderId="0" xfId="0" applyNumberFormat="1" applyFont="1" applyFill="1"/>
    <xf numFmtId="166" fontId="32" fillId="8" borderId="0" xfId="11" applyNumberFormat="1" applyFont="1" applyFill="1"/>
    <xf numFmtId="166" fontId="28" fillId="8" borderId="0" xfId="0" applyNumberFormat="1" applyFont="1" applyFill="1"/>
    <xf numFmtId="164" fontId="26" fillId="8" borderId="1" xfId="11" applyNumberFormat="1" applyFont="1" applyFill="1" applyBorder="1" applyAlignment="1">
      <alignment horizontal="left" indent="1"/>
    </xf>
    <xf numFmtId="164" fontId="26" fillId="8" borderId="26" xfId="11" applyNumberFormat="1" applyFont="1" applyFill="1" applyBorder="1" applyAlignment="1">
      <alignment horizontal="left" indent="1"/>
    </xf>
    <xf numFmtId="164" fontId="28" fillId="8" borderId="26" xfId="0" applyNumberFormat="1" applyFont="1" applyFill="1" applyBorder="1"/>
    <xf numFmtId="0" fontId="28" fillId="8" borderId="15" xfId="0" applyFont="1" applyFill="1" applyBorder="1"/>
    <xf numFmtId="0" fontId="31" fillId="8" borderId="6" xfId="0" applyFont="1" applyFill="1" applyBorder="1"/>
    <xf numFmtId="0" fontId="28" fillId="8" borderId="27" xfId="0" applyFont="1" applyFill="1" applyBorder="1"/>
    <xf numFmtId="167" fontId="27" fillId="9" borderId="27" xfId="0" applyNumberFormat="1" applyFont="1" applyFill="1" applyBorder="1"/>
    <xf numFmtId="164" fontId="36" fillId="9" borderId="27" xfId="13" applyNumberFormat="1" applyFont="1" applyFill="1" applyBorder="1"/>
    <xf numFmtId="167" fontId="37" fillId="9" borderId="27" xfId="13" applyNumberFormat="1" applyFont="1" applyFill="1" applyBorder="1"/>
    <xf numFmtId="191" fontId="19" fillId="5" borderId="0" xfId="12" applyNumberFormat="1" applyFont="1" applyFill="1"/>
    <xf numFmtId="191" fontId="28" fillId="8" borderId="0" xfId="0" applyNumberFormat="1" applyFont="1" applyFill="1"/>
    <xf numFmtId="167" fontId="28" fillId="8" borderId="7" xfId="0" applyNumberFormat="1" applyFont="1" applyFill="1" applyBorder="1" applyAlignment="1">
      <alignment horizontal="left" indent="1"/>
    </xf>
    <xf numFmtId="167" fontId="26" fillId="8" borderId="7" xfId="2" applyNumberFormat="1" applyFont="1" applyFill="1" applyBorder="1"/>
    <xf numFmtId="167" fontId="28" fillId="8" borderId="7" xfId="0" applyNumberFormat="1" applyFont="1" applyFill="1" applyBorder="1" applyAlignment="1">
      <alignment horizontal="right"/>
    </xf>
    <xf numFmtId="167" fontId="0" fillId="8" borderId="0" xfId="0" applyNumberFormat="1" applyFill="1" applyAlignment="1">
      <alignment horizontal="left" indent="1"/>
    </xf>
    <xf numFmtId="167" fontId="28" fillId="8" borderId="0" xfId="0" applyNumberFormat="1" applyFont="1" applyFill="1" applyAlignment="1">
      <alignment horizontal="left" indent="3"/>
    </xf>
    <xf numFmtId="167" fontId="27" fillId="9" borderId="0" xfId="0" applyNumberFormat="1" applyFont="1" applyFill="1" applyAlignment="1">
      <alignment horizontal="left"/>
    </xf>
    <xf numFmtId="167" fontId="27" fillId="9" borderId="0" xfId="0" applyNumberFormat="1" applyFont="1" applyFill="1" applyAlignment="1">
      <alignment horizontal="left" indent="3"/>
    </xf>
    <xf numFmtId="167" fontId="35" fillId="8" borderId="0" xfId="0" applyNumberFormat="1" applyFont="1" applyFill="1" applyAlignment="1">
      <alignment horizontal="left"/>
    </xf>
    <xf numFmtId="166" fontId="31" fillId="8" borderId="0" xfId="0" applyNumberFormat="1" applyFont="1" applyFill="1" applyAlignment="1">
      <alignment horizontal="right"/>
    </xf>
    <xf numFmtId="164" fontId="31" fillId="8" borderId="15" xfId="0" applyNumberFormat="1" applyFont="1" applyFill="1" applyBorder="1" applyAlignment="1">
      <alignment horizontal="left" indent="3"/>
    </xf>
    <xf numFmtId="166" fontId="31" fillId="8" borderId="0" xfId="0" applyNumberFormat="1" applyFont="1" applyFill="1" applyAlignment="1">
      <alignment horizontal="left" indent="3"/>
    </xf>
    <xf numFmtId="164" fontId="31" fillId="8" borderId="15" xfId="0" applyNumberFormat="1" applyFont="1" applyFill="1" applyBorder="1" applyAlignment="1">
      <alignment horizontal="left"/>
    </xf>
    <xf numFmtId="166" fontId="31" fillId="8" borderId="0" xfId="0" applyNumberFormat="1" applyFont="1" applyFill="1" applyAlignment="1">
      <alignment horizontal="left"/>
    </xf>
    <xf numFmtId="164" fontId="28" fillId="8" borderId="2" xfId="0" applyNumberFormat="1" applyFont="1" applyFill="1" applyBorder="1" applyAlignment="1">
      <alignment horizontal="left" indent="2"/>
    </xf>
    <xf numFmtId="164" fontId="26" fillId="8" borderId="2" xfId="2" applyNumberFormat="1" applyFont="1" applyFill="1" applyBorder="1"/>
    <xf numFmtId="164" fontId="28" fillId="8" borderId="7" xfId="0" applyNumberFormat="1" applyFont="1" applyFill="1" applyBorder="1" applyAlignment="1">
      <alignment horizontal="left" indent="2"/>
    </xf>
    <xf numFmtId="164" fontId="26" fillId="8" borderId="7" xfId="2" applyNumberFormat="1" applyFont="1" applyFill="1" applyBorder="1"/>
    <xf numFmtId="164" fontId="28" fillId="8" borderId="7" xfId="0" applyNumberFormat="1" applyFont="1" applyFill="1" applyBorder="1" applyAlignment="1">
      <alignment horizontal="left" indent="1"/>
    </xf>
    <xf numFmtId="164" fontId="28" fillId="8" borderId="10" xfId="0" applyNumberFormat="1" applyFont="1" applyFill="1" applyBorder="1" applyAlignment="1">
      <alignment horizontal="left" indent="2"/>
    </xf>
    <xf numFmtId="164" fontId="26" fillId="8" borderId="10" xfId="2" applyNumberFormat="1" applyFont="1" applyFill="1" applyBorder="1"/>
    <xf numFmtId="164" fontId="28" fillId="8" borderId="10" xfId="0" applyNumberFormat="1" applyFont="1" applyFill="1" applyBorder="1" applyAlignment="1">
      <alignment horizontal="left" indent="1"/>
    </xf>
    <xf numFmtId="165" fontId="0" fillId="8" borderId="0" xfId="0" applyNumberFormat="1" applyFill="1"/>
    <xf numFmtId="166" fontId="28" fillId="3" borderId="0" xfId="0" applyNumberFormat="1" applyFont="1" applyFill="1"/>
    <xf numFmtId="166" fontId="31" fillId="3" borderId="0" xfId="0" applyNumberFormat="1" applyFont="1" applyFill="1" applyAlignment="1">
      <alignment horizontal="center"/>
    </xf>
    <xf numFmtId="165" fontId="28" fillId="3" borderId="0" xfId="0" applyNumberFormat="1" applyFont="1" applyFill="1"/>
    <xf numFmtId="165" fontId="31" fillId="3" borderId="0" xfId="0" applyNumberFormat="1" applyFont="1" applyFill="1" applyAlignment="1">
      <alignment horizontal="center"/>
    </xf>
    <xf numFmtId="167" fontId="29" fillId="8" borderId="0" xfId="0" applyNumberFormat="1" applyFont="1" applyFill="1"/>
    <xf numFmtId="165" fontId="0" fillId="8" borderId="0" xfId="0" applyNumberFormat="1" applyFill="1" applyAlignment="1">
      <alignment horizontal="left"/>
    </xf>
    <xf numFmtId="165" fontId="28" fillId="8" borderId="0" xfId="0" applyNumberFormat="1" applyFont="1" applyFill="1" applyAlignment="1">
      <alignment horizontal="left" indent="4"/>
    </xf>
    <xf numFmtId="165" fontId="0" fillId="0" borderId="0" xfId="0" applyNumberFormat="1"/>
    <xf numFmtId="165" fontId="28" fillId="8" borderId="0" xfId="0" applyNumberFormat="1" applyFont="1" applyFill="1" applyAlignment="1">
      <alignment horizontal="left"/>
    </xf>
    <xf numFmtId="164" fontId="24" fillId="8" borderId="0" xfId="0" applyNumberFormat="1" applyFont="1" applyFill="1"/>
    <xf numFmtId="166" fontId="27" fillId="9" borderId="0" xfId="0" applyNumberFormat="1" applyFont="1" applyFill="1" applyAlignment="1">
      <alignment horizontal="left"/>
    </xf>
    <xf numFmtId="166" fontId="27" fillId="9" borderId="0" xfId="0" applyNumberFormat="1" applyFont="1" applyFill="1" applyAlignment="1">
      <alignment horizontal="left" indent="3"/>
    </xf>
    <xf numFmtId="192" fontId="28" fillId="8" borderId="0" xfId="0" applyNumberFormat="1" applyFont="1" applyFill="1"/>
    <xf numFmtId="166" fontId="28" fillId="8" borderId="0" xfId="0" applyNumberFormat="1" applyFont="1" applyFill="1" applyAlignment="1">
      <alignment horizontal="left"/>
    </xf>
    <xf numFmtId="17" fontId="26" fillId="8" borderId="0" xfId="11" applyNumberFormat="1" applyFont="1" applyFill="1"/>
    <xf numFmtId="17" fontId="28" fillId="8" borderId="0" xfId="0" applyNumberFormat="1" applyFont="1" applyFill="1"/>
    <xf numFmtId="17" fontId="28" fillId="8" borderId="12" xfId="0" applyNumberFormat="1" applyFont="1" applyFill="1" applyBorder="1"/>
    <xf numFmtId="194" fontId="28" fillId="8" borderId="0" xfId="0" applyNumberFormat="1" applyFont="1" applyFill="1"/>
    <xf numFmtId="194" fontId="28" fillId="8" borderId="12" xfId="0" applyNumberFormat="1" applyFont="1" applyFill="1" applyBorder="1"/>
    <xf numFmtId="188" fontId="26" fillId="8" borderId="0" xfId="11" applyNumberFormat="1" applyFont="1" applyFill="1"/>
    <xf numFmtId="188" fontId="28" fillId="8" borderId="0" xfId="0" applyNumberFormat="1" applyFont="1" applyFill="1"/>
    <xf numFmtId="188" fontId="28" fillId="8" borderId="12" xfId="0" applyNumberFormat="1" applyFont="1" applyFill="1" applyBorder="1"/>
    <xf numFmtId="164" fontId="26" fillId="8" borderId="30" xfId="11" applyNumberFormat="1" applyFont="1" applyFill="1" applyBorder="1" applyAlignment="1">
      <alignment horizontal="left" indent="1"/>
    </xf>
    <xf numFmtId="188" fontId="26" fillId="8" borderId="2" xfId="11" applyNumberFormat="1" applyFont="1" applyFill="1" applyBorder="1"/>
    <xf numFmtId="188" fontId="28" fillId="8" borderId="2" xfId="0" applyNumberFormat="1" applyFont="1" applyFill="1" applyBorder="1"/>
    <xf numFmtId="188" fontId="28" fillId="8" borderId="32" xfId="0" applyNumberFormat="1" applyFont="1" applyFill="1" applyBorder="1"/>
    <xf numFmtId="194" fontId="0" fillId="8" borderId="0" xfId="0" applyNumberFormat="1" applyFill="1" applyAlignment="1">
      <alignment horizontal="right"/>
    </xf>
    <xf numFmtId="188" fontId="0" fillId="8" borderId="0" xfId="0" applyNumberFormat="1" applyFill="1" applyAlignment="1">
      <alignment horizontal="right"/>
    </xf>
    <xf numFmtId="193" fontId="26" fillId="8" borderId="23" xfId="11" applyNumberFormat="1" applyFont="1" applyFill="1" applyBorder="1" applyAlignment="1">
      <alignment horizontal="left" indent="1"/>
    </xf>
    <xf numFmtId="1" fontId="31" fillId="8" borderId="0" xfId="0" applyNumberFormat="1" applyFont="1" applyFill="1" applyAlignment="1">
      <alignment horizontal="center"/>
    </xf>
    <xf numFmtId="17" fontId="26" fillId="8" borderId="0" xfId="0" applyNumberFormat="1" applyFont="1" applyFill="1" applyAlignment="1">
      <alignment horizontal="center"/>
    </xf>
    <xf numFmtId="0" fontId="32" fillId="8" borderId="0" xfId="0" applyFont="1" applyFill="1" applyAlignment="1">
      <alignment horizontal="center"/>
    </xf>
    <xf numFmtId="169" fontId="31" fillId="8" borderId="0" xfId="2" applyNumberFormat="1" applyFont="1" applyFill="1"/>
    <xf numFmtId="169" fontId="31" fillId="8" borderId="0" xfId="0" applyNumberFormat="1" applyFont="1" applyFill="1" applyAlignment="1">
      <alignment horizontal="right"/>
    </xf>
    <xf numFmtId="169" fontId="28" fillId="8" borderId="0" xfId="0" applyNumberFormat="1" applyFont="1" applyFill="1" applyAlignment="1">
      <alignment horizontal="right"/>
    </xf>
    <xf numFmtId="194" fontId="28" fillId="8" borderId="0" xfId="0" applyNumberFormat="1" applyFont="1" applyFill="1" applyAlignment="1">
      <alignment horizontal="right"/>
    </xf>
    <xf numFmtId="188" fontId="28" fillId="8" borderId="0" xfId="0" applyNumberFormat="1" applyFont="1" applyFill="1" applyAlignment="1">
      <alignment horizontal="right"/>
    </xf>
    <xf numFmtId="195" fontId="10" fillId="8" borderId="0" xfId="0" applyNumberFormat="1" applyFont="1" applyFill="1" applyAlignment="1">
      <alignment horizontal="left"/>
    </xf>
    <xf numFmtId="164" fontId="28" fillId="8" borderId="2" xfId="0" applyNumberFormat="1" applyFont="1" applyFill="1" applyBorder="1" applyAlignment="1">
      <alignment horizontal="left" indent="1"/>
    </xf>
    <xf numFmtId="169" fontId="32" fillId="8" borderId="0" xfId="0" applyNumberFormat="1" applyFont="1" applyFill="1" applyAlignment="1">
      <alignment horizontal="left"/>
    </xf>
    <xf numFmtId="164" fontId="60" fillId="0" borderId="0" xfId="13" applyNumberFormat="1"/>
    <xf numFmtId="167" fontId="31" fillId="8" borderId="7" xfId="13" applyNumberFormat="1" applyFont="1" applyFill="1" applyBorder="1" applyAlignment="1">
      <alignment horizontal="left"/>
    </xf>
    <xf numFmtId="167" fontId="32" fillId="8" borderId="7" xfId="7" applyNumberFormat="1" applyFont="1" applyFill="1" applyBorder="1"/>
    <xf numFmtId="167" fontId="31" fillId="8" borderId="7" xfId="13" applyNumberFormat="1" applyFont="1" applyFill="1" applyBorder="1" applyAlignment="1">
      <alignment horizontal="right"/>
    </xf>
    <xf numFmtId="164" fontId="32" fillId="8" borderId="6" xfId="11" applyNumberFormat="1" applyFont="1" applyFill="1" applyBorder="1" applyAlignment="1">
      <alignment horizontal="left"/>
    </xf>
    <xf numFmtId="164" fontId="26" fillId="8" borderId="4" xfId="11" applyNumberFormat="1" applyFont="1" applyFill="1" applyBorder="1" applyAlignment="1">
      <alignment horizontal="left" indent="1"/>
    </xf>
    <xf numFmtId="0" fontId="6" fillId="3" borderId="0" xfId="12" applyFill="1"/>
    <xf numFmtId="166" fontId="10" fillId="8" borderId="0" xfId="0" applyNumberFormat="1" applyFont="1" applyFill="1" applyAlignment="1">
      <alignment horizontal="right"/>
    </xf>
    <xf numFmtId="166" fontId="27" fillId="9" borderId="27" xfId="0" applyNumberFormat="1" applyFont="1" applyFill="1" applyBorder="1"/>
    <xf numFmtId="166" fontId="35" fillId="8" borderId="0" xfId="0" applyNumberFormat="1" applyFont="1" applyFill="1" applyAlignment="1">
      <alignment horizontal="left" indent="1"/>
    </xf>
    <xf numFmtId="167" fontId="35" fillId="8" borderId="0" xfId="0" applyNumberFormat="1" applyFont="1" applyFill="1"/>
    <xf numFmtId="167" fontId="51" fillId="8" borderId="0" xfId="0" applyNumberFormat="1" applyFont="1" applyFill="1"/>
    <xf numFmtId="166" fontId="35" fillId="8" borderId="2" xfId="0" applyNumberFormat="1" applyFont="1" applyFill="1" applyBorder="1" applyAlignment="1">
      <alignment horizontal="left" indent="1"/>
    </xf>
    <xf numFmtId="164" fontId="35" fillId="8" borderId="2" xfId="0" applyNumberFormat="1" applyFont="1" applyFill="1" applyBorder="1" applyAlignment="1">
      <alignment horizontal="left" indent="3"/>
    </xf>
    <xf numFmtId="167" fontId="35" fillId="8" borderId="2" xfId="0" applyNumberFormat="1" applyFont="1" applyFill="1" applyBorder="1"/>
    <xf numFmtId="166" fontId="35" fillId="8" borderId="0" xfId="0" applyNumberFormat="1" applyFont="1" applyFill="1" applyAlignment="1">
      <alignment horizontal="left"/>
    </xf>
    <xf numFmtId="196" fontId="35" fillId="8" borderId="0" xfId="0" applyNumberFormat="1" applyFont="1" applyFill="1"/>
    <xf numFmtId="196" fontId="51" fillId="8" borderId="0" xfId="0" applyNumberFormat="1" applyFont="1" applyFill="1"/>
    <xf numFmtId="164" fontId="28" fillId="8" borderId="0" xfId="13" applyNumberFormat="1" applyFont="1" applyFill="1" applyAlignment="1">
      <alignment horizontal="left"/>
    </xf>
    <xf numFmtId="164" fontId="28" fillId="8" borderId="2" xfId="13" applyNumberFormat="1" applyFont="1" applyFill="1" applyBorder="1" applyAlignment="1">
      <alignment horizontal="left" indent="1"/>
    </xf>
    <xf numFmtId="169" fontId="28" fillId="8" borderId="2" xfId="13" applyNumberFormat="1" applyFont="1" applyFill="1" applyBorder="1" applyAlignment="1">
      <alignment horizontal="left"/>
    </xf>
    <xf numFmtId="1" fontId="10" fillId="8" borderId="27" xfId="0" applyNumberFormat="1" applyFont="1" applyFill="1" applyBorder="1" applyAlignment="1">
      <alignment horizontal="center"/>
    </xf>
    <xf numFmtId="167" fontId="10" fillId="8" borderId="27" xfId="0" applyNumberFormat="1" applyFont="1" applyFill="1" applyBorder="1" applyAlignment="1">
      <alignment horizontal="right"/>
    </xf>
    <xf numFmtId="167" fontId="0" fillId="8" borderId="27" xfId="0" applyNumberFormat="1" applyFill="1" applyBorder="1" applyAlignment="1">
      <alignment horizontal="right"/>
    </xf>
    <xf numFmtId="167" fontId="28" fillId="8" borderId="27" xfId="0" applyNumberFormat="1" applyFont="1" applyFill="1" applyBorder="1" applyAlignment="1">
      <alignment horizontal="right"/>
    </xf>
    <xf numFmtId="167" fontId="10" fillId="8" borderId="33" xfId="0" applyNumberFormat="1" applyFont="1" applyFill="1" applyBorder="1" applyAlignment="1">
      <alignment horizontal="right"/>
    </xf>
    <xf numFmtId="167" fontId="31" fillId="8" borderId="27" xfId="0" applyNumberFormat="1" applyFont="1" applyFill="1" applyBorder="1" applyAlignment="1">
      <alignment horizontal="right"/>
    </xf>
    <xf numFmtId="167" fontId="28" fillId="8" borderId="31" xfId="0" applyNumberFormat="1" applyFont="1" applyFill="1" applyBorder="1" applyAlignment="1">
      <alignment horizontal="right"/>
    </xf>
    <xf numFmtId="167" fontId="31" fillId="8" borderId="33" xfId="0" applyNumberFormat="1" applyFont="1" applyFill="1" applyBorder="1" applyAlignment="1">
      <alignment horizontal="right"/>
    </xf>
    <xf numFmtId="165" fontId="10" fillId="8" borderId="27" xfId="0" applyNumberFormat="1" applyFont="1" applyFill="1" applyBorder="1" applyAlignment="1">
      <alignment horizontal="right"/>
    </xf>
    <xf numFmtId="167" fontId="35" fillId="8" borderId="27" xfId="0" applyNumberFormat="1" applyFont="1" applyFill="1" applyBorder="1" applyAlignment="1">
      <alignment horizontal="left" indent="1"/>
    </xf>
    <xf numFmtId="167" fontId="35" fillId="8" borderId="27" xfId="0" applyNumberFormat="1" applyFont="1" applyFill="1" applyBorder="1" applyAlignment="1">
      <alignment horizontal="right"/>
    </xf>
    <xf numFmtId="167" fontId="24" fillId="8" borderId="27" xfId="0" applyNumberFormat="1" applyFont="1" applyFill="1" applyBorder="1" applyAlignment="1">
      <alignment horizontal="left" indent="1"/>
    </xf>
    <xf numFmtId="167" fontId="24" fillId="8" borderId="27" xfId="0" applyNumberFormat="1" applyFont="1" applyFill="1" applyBorder="1" applyAlignment="1">
      <alignment horizontal="right"/>
    </xf>
    <xf numFmtId="165" fontId="28" fillId="8" borderId="27" xfId="0" applyNumberFormat="1" applyFont="1" applyFill="1" applyBorder="1"/>
    <xf numFmtId="167" fontId="28" fillId="8" borderId="33" xfId="0" applyNumberFormat="1" applyFont="1" applyFill="1" applyBorder="1" applyAlignment="1">
      <alignment horizontal="right"/>
    </xf>
    <xf numFmtId="167" fontId="31" fillId="8" borderId="31" xfId="0" applyNumberFormat="1" applyFont="1" applyFill="1" applyBorder="1" applyAlignment="1">
      <alignment horizontal="right"/>
    </xf>
    <xf numFmtId="167" fontId="35" fillId="8" borderId="27" xfId="0" applyNumberFormat="1" applyFont="1" applyFill="1" applyBorder="1"/>
    <xf numFmtId="167" fontId="10" fillId="8" borderId="27" xfId="0" applyNumberFormat="1" applyFont="1" applyFill="1" applyBorder="1"/>
    <xf numFmtId="169" fontId="35" fillId="8" borderId="27" xfId="0" applyNumberFormat="1" applyFont="1" applyFill="1" applyBorder="1"/>
    <xf numFmtId="167" fontId="35" fillId="8" borderId="31" xfId="0" applyNumberFormat="1" applyFont="1" applyFill="1" applyBorder="1"/>
    <xf numFmtId="192" fontId="28" fillId="8" borderId="27" xfId="0" applyNumberFormat="1" applyFont="1" applyFill="1" applyBorder="1"/>
    <xf numFmtId="196" fontId="35" fillId="8" borderId="27" xfId="0" applyNumberFormat="1" applyFont="1" applyFill="1" applyBorder="1"/>
    <xf numFmtId="169" fontId="31" fillId="8" borderId="27" xfId="2" applyNumberFormat="1" applyFont="1" applyFill="1" applyBorder="1"/>
    <xf numFmtId="169" fontId="28" fillId="8" borderId="27" xfId="0" applyNumberFormat="1" applyFont="1" applyFill="1" applyBorder="1"/>
    <xf numFmtId="169" fontId="31" fillId="8" borderId="27" xfId="0" applyNumberFormat="1" applyFont="1" applyFill="1" applyBorder="1"/>
    <xf numFmtId="170" fontId="31" fillId="8" borderId="27" xfId="0" applyNumberFormat="1" applyFont="1" applyFill="1" applyBorder="1" applyAlignment="1">
      <alignment horizontal="right"/>
    </xf>
    <xf numFmtId="169" fontId="10" fillId="8" borderId="27" xfId="0" applyNumberFormat="1" applyFont="1" applyFill="1" applyBorder="1" applyAlignment="1">
      <alignment horizontal="right"/>
    </xf>
    <xf numFmtId="170" fontId="28" fillId="8" borderId="27" xfId="0" applyNumberFormat="1" applyFont="1" applyFill="1" applyBorder="1" applyAlignment="1">
      <alignment horizontal="right"/>
    </xf>
    <xf numFmtId="169" fontId="0" fillId="8" borderId="27" xfId="0" applyNumberFormat="1" applyFill="1" applyBorder="1" applyAlignment="1">
      <alignment horizontal="right"/>
    </xf>
    <xf numFmtId="194" fontId="0" fillId="8" borderId="27" xfId="0" applyNumberFormat="1" applyFill="1" applyBorder="1" applyAlignment="1">
      <alignment horizontal="right"/>
    </xf>
    <xf numFmtId="188" fontId="0" fillId="8" borderId="27" xfId="0" applyNumberFormat="1" applyFill="1" applyBorder="1" applyAlignment="1">
      <alignment horizontal="right"/>
    </xf>
    <xf numFmtId="167" fontId="31" fillId="8" borderId="27" xfId="0" applyNumberFormat="1" applyFont="1" applyFill="1" applyBorder="1"/>
    <xf numFmtId="167" fontId="45" fillId="8" borderId="27" xfId="0" applyNumberFormat="1" applyFont="1" applyFill="1" applyBorder="1"/>
    <xf numFmtId="17" fontId="30" fillId="8" borderId="27" xfId="13" applyNumberFormat="1" applyFont="1" applyFill="1" applyBorder="1" applyAlignment="1">
      <alignment horizontal="center"/>
    </xf>
    <xf numFmtId="164" fontId="32" fillId="8" borderId="27" xfId="13" applyNumberFormat="1" applyFont="1" applyFill="1" applyBorder="1" applyAlignment="1">
      <alignment horizontal="center"/>
    </xf>
    <xf numFmtId="169" fontId="31" fillId="8" borderId="27" xfId="13" applyNumberFormat="1" applyFont="1" applyFill="1" applyBorder="1" applyAlignment="1">
      <alignment horizontal="right"/>
    </xf>
    <xf numFmtId="177" fontId="28" fillId="8" borderId="27" xfId="0" applyNumberFormat="1" applyFont="1" applyFill="1" applyBorder="1"/>
    <xf numFmtId="169" fontId="31" fillId="8" borderId="27" xfId="13" applyNumberFormat="1" applyFont="1" applyFill="1" applyBorder="1"/>
    <xf numFmtId="167" fontId="31" fillId="8" borderId="27" xfId="13" applyNumberFormat="1" applyFont="1" applyFill="1" applyBorder="1" applyAlignment="1">
      <alignment horizontal="center"/>
    </xf>
    <xf numFmtId="167" fontId="28" fillId="8" borderId="27" xfId="13" applyNumberFormat="1" applyFont="1" applyFill="1" applyBorder="1" applyAlignment="1">
      <alignment horizontal="right"/>
    </xf>
    <xf numFmtId="167" fontId="31" fillId="8" borderId="33" xfId="13" applyNumberFormat="1" applyFont="1" applyFill="1" applyBorder="1" applyAlignment="1">
      <alignment horizontal="right"/>
    </xf>
    <xf numFmtId="167" fontId="31" fillId="8" borderId="27" xfId="13" applyNumberFormat="1" applyFont="1" applyFill="1" applyBorder="1" applyAlignment="1">
      <alignment horizontal="right"/>
    </xf>
    <xf numFmtId="180" fontId="31" fillId="8" borderId="27" xfId="13" applyNumberFormat="1" applyFont="1" applyFill="1" applyBorder="1" applyAlignment="1">
      <alignment horizontal="right"/>
    </xf>
    <xf numFmtId="170" fontId="31" fillId="8" borderId="27" xfId="13" applyNumberFormat="1" applyFont="1" applyFill="1" applyBorder="1"/>
    <xf numFmtId="181" fontId="31" fillId="8" borderId="27" xfId="13" applyNumberFormat="1" applyFont="1" applyFill="1" applyBorder="1" applyAlignment="1">
      <alignment horizontal="right"/>
    </xf>
    <xf numFmtId="170" fontId="28" fillId="8" borderId="27" xfId="13" applyNumberFormat="1" applyFont="1" applyFill="1" applyBorder="1"/>
    <xf numFmtId="167" fontId="28" fillId="8" borderId="27" xfId="13" applyNumberFormat="1" applyFont="1" applyFill="1" applyBorder="1"/>
    <xf numFmtId="166" fontId="10" fillId="8" borderId="27" xfId="0" applyNumberFormat="1" applyFont="1" applyFill="1" applyBorder="1" applyAlignment="1">
      <alignment horizontal="right"/>
    </xf>
    <xf numFmtId="164" fontId="27" fillId="9" borderId="0" xfId="0" applyNumberFormat="1" applyFont="1" applyFill="1"/>
    <xf numFmtId="164" fontId="28" fillId="8" borderId="0" xfId="0" applyNumberFormat="1" applyFont="1" applyFill="1" applyAlignment="1">
      <alignment horizontal="right"/>
    </xf>
    <xf numFmtId="164" fontId="31" fillId="8" borderId="0" xfId="0" applyNumberFormat="1" applyFont="1" applyFill="1"/>
    <xf numFmtId="164" fontId="10" fillId="8" borderId="0" xfId="0" applyNumberFormat="1" applyFont="1" applyFill="1"/>
    <xf numFmtId="164" fontId="31" fillId="8" borderId="27" xfId="0" applyNumberFormat="1" applyFont="1" applyFill="1" applyBorder="1"/>
    <xf numFmtId="164" fontId="28" fillId="8" borderId="0" xfId="0" applyNumberFormat="1" applyFont="1" applyFill="1"/>
    <xf numFmtId="164" fontId="0" fillId="8" borderId="0" xfId="0" applyNumberFormat="1" applyFill="1"/>
    <xf numFmtId="164" fontId="28" fillId="8" borderId="27" xfId="0" applyNumberFormat="1" applyFont="1" applyFill="1" applyBorder="1"/>
    <xf numFmtId="164" fontId="28" fillId="8" borderId="2" xfId="0" applyNumberFormat="1" applyFont="1" applyFill="1" applyBorder="1"/>
    <xf numFmtId="164" fontId="28" fillId="8" borderId="31" xfId="0" applyNumberFormat="1" applyFont="1" applyFill="1" applyBorder="1"/>
    <xf numFmtId="164" fontId="35" fillId="8" borderId="0" xfId="0" applyNumberFormat="1" applyFont="1" applyFill="1"/>
    <xf numFmtId="164" fontId="28" fillId="8" borderId="11" xfId="0" applyNumberFormat="1" applyFont="1" applyFill="1" applyBorder="1"/>
    <xf numFmtId="164" fontId="36" fillId="9" borderId="0" xfId="0" applyNumberFormat="1" applyFont="1" applyFill="1"/>
    <xf numFmtId="164" fontId="36" fillId="9" borderId="27" xfId="0" applyNumberFormat="1" applyFont="1" applyFill="1" applyBorder="1"/>
    <xf numFmtId="164" fontId="34" fillId="8" borderId="0" xfId="0" applyNumberFormat="1" applyFont="1" applyFill="1" applyAlignment="1">
      <alignment horizontal="left" indent="1"/>
    </xf>
    <xf numFmtId="164" fontId="35" fillId="8" borderId="0" xfId="0" applyNumberFormat="1" applyFont="1" applyFill="1" applyAlignment="1">
      <alignment horizontal="left" indent="3"/>
    </xf>
    <xf numFmtId="164" fontId="28" fillId="8" borderId="0" xfId="13" applyNumberFormat="1" applyFont="1" applyFill="1"/>
    <xf numFmtId="164" fontId="31" fillId="8" borderId="0" xfId="13" applyNumberFormat="1" applyFont="1" applyFill="1"/>
    <xf numFmtId="164" fontId="37" fillId="9" borderId="0" xfId="13" applyNumberFormat="1" applyFont="1" applyFill="1"/>
    <xf numFmtId="169" fontId="10" fillId="8" borderId="27" xfId="0" applyNumberFormat="1" applyFont="1" applyFill="1" applyBorder="1"/>
    <xf numFmtId="164" fontId="27" fillId="9" borderId="27" xfId="0" applyNumberFormat="1" applyFont="1" applyFill="1" applyBorder="1"/>
    <xf numFmtId="164" fontId="31" fillId="8" borderId="0" xfId="0" applyNumberFormat="1" applyFont="1" applyFill="1" applyAlignment="1">
      <alignment horizontal="right"/>
    </xf>
    <xf numFmtId="164" fontId="10" fillId="8" borderId="0" xfId="0" applyNumberFormat="1" applyFont="1" applyFill="1" applyAlignment="1">
      <alignment horizontal="right"/>
    </xf>
    <xf numFmtId="164" fontId="10" fillId="8" borderId="27" xfId="0" applyNumberFormat="1" applyFont="1" applyFill="1" applyBorder="1" applyAlignment="1">
      <alignment horizontal="right"/>
    </xf>
    <xf numFmtId="164" fontId="0" fillId="8" borderId="0" xfId="0" applyNumberFormat="1" applyFill="1" applyAlignment="1">
      <alignment horizontal="right"/>
    </xf>
    <xf numFmtId="164" fontId="0" fillId="8" borderId="27" xfId="0" applyNumberFormat="1" applyFill="1" applyBorder="1" applyAlignment="1">
      <alignment horizontal="right"/>
    </xf>
    <xf numFmtId="164" fontId="31" fillId="8" borderId="10" xfId="0" applyNumberFormat="1" applyFont="1" applyFill="1" applyBorder="1" applyAlignment="1">
      <alignment horizontal="right"/>
    </xf>
    <xf numFmtId="164" fontId="10" fillId="8" borderId="10" xfId="0" applyNumberFormat="1" applyFont="1" applyFill="1" applyBorder="1" applyAlignment="1">
      <alignment horizontal="right"/>
    </xf>
    <xf numFmtId="164" fontId="10" fillId="8" borderId="34" xfId="0" applyNumberFormat="1" applyFont="1" applyFill="1" applyBorder="1" applyAlignment="1">
      <alignment horizontal="right"/>
    </xf>
    <xf numFmtId="164" fontId="31" fillId="8" borderId="7" xfId="0" applyNumberFormat="1" applyFont="1" applyFill="1" applyBorder="1" applyAlignment="1">
      <alignment horizontal="right"/>
    </xf>
    <xf numFmtId="164" fontId="10" fillId="8" borderId="7" xfId="0" applyNumberFormat="1" applyFont="1" applyFill="1" applyBorder="1" applyAlignment="1">
      <alignment horizontal="right"/>
    </xf>
    <xf numFmtId="164" fontId="10" fillId="8" borderId="33" xfId="0" applyNumberFormat="1" applyFont="1" applyFill="1" applyBorder="1" applyAlignment="1">
      <alignment horizontal="right"/>
    </xf>
    <xf numFmtId="164" fontId="31" fillId="8" borderId="27" xfId="0" applyNumberFormat="1" applyFont="1" applyFill="1" applyBorder="1" applyAlignment="1">
      <alignment horizontal="right"/>
    </xf>
    <xf numFmtId="164" fontId="28" fillId="8" borderId="27" xfId="0" applyNumberFormat="1" applyFont="1" applyFill="1" applyBorder="1" applyAlignment="1">
      <alignment horizontal="right"/>
    </xf>
    <xf numFmtId="164" fontId="31" fillId="8" borderId="33" xfId="0" applyNumberFormat="1" applyFont="1" applyFill="1" applyBorder="1" applyAlignment="1">
      <alignment horizontal="right"/>
    </xf>
    <xf numFmtId="164" fontId="31" fillId="8" borderId="34" xfId="0" applyNumberFormat="1" applyFont="1" applyFill="1" applyBorder="1" applyAlignment="1">
      <alignment horizontal="right"/>
    </xf>
    <xf numFmtId="164" fontId="54" fillId="9" borderId="0" xfId="0" applyNumberFormat="1" applyFont="1" applyFill="1"/>
    <xf numFmtId="164" fontId="12" fillId="8" borderId="0" xfId="0" applyNumberFormat="1" applyFont="1" applyFill="1" applyAlignment="1">
      <alignment horizontal="right"/>
    </xf>
    <xf numFmtId="164" fontId="28" fillId="8" borderId="2" xfId="0" applyNumberFormat="1" applyFont="1" applyFill="1" applyBorder="1" applyAlignment="1">
      <alignment horizontal="right"/>
    </xf>
    <xf numFmtId="164" fontId="28" fillId="8" borderId="7" xfId="0" applyNumberFormat="1" applyFont="1" applyFill="1" applyBorder="1" applyAlignment="1">
      <alignment horizontal="right"/>
    </xf>
    <xf numFmtId="164" fontId="28" fillId="8" borderId="33" xfId="0" applyNumberFormat="1" applyFont="1" applyFill="1" applyBorder="1" applyAlignment="1">
      <alignment horizontal="right"/>
    </xf>
    <xf numFmtId="164" fontId="12" fillId="8" borderId="2" xfId="0" applyNumberFormat="1" applyFont="1" applyFill="1" applyBorder="1" applyAlignment="1">
      <alignment horizontal="right"/>
    </xf>
    <xf numFmtId="164" fontId="28" fillId="8" borderId="10" xfId="0" applyNumberFormat="1" applyFont="1" applyFill="1" applyBorder="1" applyAlignment="1">
      <alignment horizontal="right"/>
    </xf>
    <xf numFmtId="164" fontId="28" fillId="8" borderId="34" xfId="0" applyNumberFormat="1" applyFont="1" applyFill="1" applyBorder="1" applyAlignment="1">
      <alignment horizontal="right"/>
    </xf>
    <xf numFmtId="164" fontId="0" fillId="8" borderId="2" xfId="0" applyNumberFormat="1" applyFill="1" applyBorder="1"/>
    <xf numFmtId="164" fontId="31" fillId="8" borderId="7" xfId="0" applyNumberFormat="1" applyFont="1" applyFill="1" applyBorder="1"/>
    <xf numFmtId="164" fontId="10" fillId="8" borderId="7" xfId="0" applyNumberFormat="1" applyFont="1" applyFill="1" applyBorder="1"/>
    <xf numFmtId="164" fontId="31" fillId="8" borderId="33" xfId="0" applyNumberFormat="1" applyFont="1" applyFill="1" applyBorder="1"/>
    <xf numFmtId="164" fontId="10" fillId="8" borderId="27" xfId="0" applyNumberFormat="1" applyFont="1" applyFill="1" applyBorder="1"/>
    <xf numFmtId="164" fontId="0" fillId="8" borderId="27" xfId="0" applyNumberFormat="1" applyFill="1" applyBorder="1"/>
    <xf numFmtId="164" fontId="10" fillId="8" borderId="33" xfId="0" applyNumberFormat="1" applyFont="1" applyFill="1" applyBorder="1"/>
    <xf numFmtId="164" fontId="10" fillId="8" borderId="10" xfId="0" applyNumberFormat="1" applyFont="1" applyFill="1" applyBorder="1"/>
    <xf numFmtId="164" fontId="10" fillId="8" borderId="34" xfId="0" applyNumberFormat="1" applyFont="1" applyFill="1" applyBorder="1"/>
    <xf numFmtId="164" fontId="31" fillId="8" borderId="10" xfId="0" applyNumberFormat="1" applyFont="1" applyFill="1" applyBorder="1"/>
    <xf numFmtId="164" fontId="34" fillId="8" borderId="0" xfId="0" applyNumberFormat="1" applyFont="1" applyFill="1"/>
    <xf numFmtId="164" fontId="35" fillId="8" borderId="27" xfId="0" applyNumberFormat="1" applyFont="1" applyFill="1" applyBorder="1"/>
    <xf numFmtId="164" fontId="0" fillId="8" borderId="31" xfId="0" applyNumberFormat="1" applyFill="1" applyBorder="1"/>
    <xf numFmtId="164" fontId="12" fillId="8" borderId="2" xfId="0" applyNumberFormat="1" applyFont="1" applyFill="1" applyBorder="1"/>
    <xf numFmtId="164" fontId="12" fillId="8" borderId="0" xfId="0" applyNumberFormat="1" applyFont="1" applyFill="1"/>
    <xf numFmtId="164" fontId="0" fillId="8" borderId="10" xfId="0" applyNumberFormat="1" applyFill="1" applyBorder="1"/>
    <xf numFmtId="164" fontId="0" fillId="8" borderId="34" xfId="0" applyNumberFormat="1" applyFill="1" applyBorder="1"/>
    <xf numFmtId="164" fontId="28" fillId="8" borderId="10" xfId="0" applyNumberFormat="1" applyFont="1" applyFill="1" applyBorder="1"/>
    <xf numFmtId="164" fontId="28" fillId="8" borderId="7" xfId="0" applyNumberFormat="1" applyFont="1" applyFill="1" applyBorder="1"/>
    <xf numFmtId="164" fontId="28" fillId="8" borderId="33" xfId="0" applyNumberFormat="1" applyFont="1" applyFill="1" applyBorder="1"/>
    <xf numFmtId="164" fontId="35" fillId="8" borderId="7" xfId="0" applyNumberFormat="1" applyFont="1" applyFill="1" applyBorder="1"/>
    <xf numFmtId="164" fontId="35" fillId="8" borderId="33" xfId="0" applyNumberFormat="1" applyFont="1" applyFill="1" applyBorder="1"/>
    <xf numFmtId="164" fontId="17" fillId="8" borderId="0" xfId="0" applyNumberFormat="1" applyFont="1" applyFill="1"/>
    <xf numFmtId="164" fontId="0" fillId="8" borderId="11" xfId="0" applyNumberFormat="1" applyFill="1" applyBorder="1"/>
    <xf numFmtId="164" fontId="0" fillId="8" borderId="28" xfId="0" applyNumberFormat="1" applyFill="1" applyBorder="1"/>
    <xf numFmtId="164" fontId="28" fillId="8" borderId="34" xfId="0" applyNumberFormat="1" applyFont="1" applyFill="1" applyBorder="1"/>
    <xf numFmtId="164" fontId="27" fillId="9" borderId="0" xfId="0" applyNumberFormat="1" applyFont="1" applyFill="1" applyAlignment="1">
      <alignment horizontal="right"/>
    </xf>
    <xf numFmtId="164" fontId="27" fillId="9" borderId="27" xfId="0" applyNumberFormat="1" applyFont="1" applyFill="1" applyBorder="1" applyAlignment="1">
      <alignment horizontal="right"/>
    </xf>
    <xf numFmtId="164" fontId="31" fillId="8" borderId="15" xfId="0" applyNumberFormat="1" applyFont="1" applyFill="1" applyBorder="1" applyAlignment="1">
      <alignment horizontal="right"/>
    </xf>
    <xf numFmtId="164" fontId="10" fillId="8" borderId="15" xfId="0" applyNumberFormat="1" applyFont="1" applyFill="1" applyBorder="1" applyAlignment="1">
      <alignment horizontal="right"/>
    </xf>
    <xf numFmtId="164" fontId="10" fillId="8" borderId="29" xfId="0" applyNumberFormat="1" applyFont="1" applyFill="1" applyBorder="1" applyAlignment="1">
      <alignment horizontal="right"/>
    </xf>
    <xf numFmtId="164" fontId="0" fillId="8" borderId="7" xfId="0" applyNumberFormat="1" applyFill="1" applyBorder="1"/>
    <xf numFmtId="164" fontId="0" fillId="8" borderId="33" xfId="0" applyNumberFormat="1" applyFill="1" applyBorder="1"/>
    <xf numFmtId="164" fontId="26" fillId="2" borderId="0" xfId="8" applyNumberFormat="1" applyFont="1" applyAlignment="1">
      <alignment horizontal="right"/>
    </xf>
    <xf numFmtId="164" fontId="26" fillId="2" borderId="27" xfId="8" applyNumberFormat="1" applyFont="1" applyBorder="1" applyAlignment="1">
      <alignment horizontal="right"/>
    </xf>
    <xf numFmtId="164" fontId="31" fillId="8" borderId="8" xfId="0" applyNumberFormat="1" applyFont="1" applyFill="1" applyBorder="1"/>
    <xf numFmtId="164" fontId="31" fillId="8" borderId="6" xfId="0" applyNumberFormat="1" applyFont="1" applyFill="1" applyBorder="1"/>
    <xf numFmtId="164" fontId="31" fillId="8" borderId="5" xfId="0" applyNumberFormat="1" applyFont="1" applyFill="1" applyBorder="1"/>
    <xf numFmtId="164" fontId="31" fillId="8" borderId="4" xfId="0" applyNumberFormat="1" applyFont="1" applyFill="1" applyBorder="1"/>
    <xf numFmtId="164" fontId="28" fillId="8" borderId="2" xfId="13" applyNumberFormat="1" applyFont="1" applyFill="1" applyBorder="1" applyAlignment="1">
      <alignment horizontal="right"/>
    </xf>
    <xf numFmtId="164" fontId="28" fillId="8" borderId="31" xfId="13" applyNumberFormat="1" applyFont="1" applyFill="1" applyBorder="1" applyAlignment="1">
      <alignment horizontal="right"/>
    </xf>
    <xf numFmtId="164" fontId="31" fillId="8" borderId="7" xfId="13" applyNumberFormat="1" applyFont="1" applyFill="1" applyBorder="1"/>
    <xf numFmtId="164" fontId="31" fillId="8" borderId="33" xfId="13" applyNumberFormat="1" applyFont="1" applyFill="1" applyBorder="1"/>
    <xf numFmtId="164" fontId="28" fillId="8" borderId="27" xfId="13" applyNumberFormat="1" applyFont="1" applyFill="1" applyBorder="1"/>
    <xf numFmtId="164" fontId="28" fillId="8" borderId="2" xfId="13" applyNumberFormat="1" applyFont="1" applyFill="1" applyBorder="1"/>
    <xf numFmtId="164" fontId="28" fillId="8" borderId="31" xfId="13" applyNumberFormat="1" applyFont="1" applyFill="1" applyBorder="1"/>
    <xf numFmtId="164" fontId="31" fillId="8" borderId="27" xfId="13" applyNumberFormat="1" applyFont="1" applyFill="1" applyBorder="1"/>
    <xf numFmtId="164" fontId="37" fillId="9" borderId="27" xfId="13" applyNumberFormat="1" applyFont="1" applyFill="1" applyBorder="1"/>
    <xf numFmtId="179" fontId="28" fillId="8" borderId="0" xfId="0" applyNumberFormat="1" applyFont="1" applyFill="1"/>
    <xf numFmtId="179" fontId="28" fillId="8" borderId="27" xfId="0" applyNumberFormat="1" applyFont="1" applyFill="1" applyBorder="1"/>
    <xf numFmtId="169" fontId="31" fillId="8" borderId="0" xfId="13" applyNumberFormat="1" applyFont="1" applyFill="1" applyAlignment="1">
      <alignment horizontal="left"/>
    </xf>
    <xf numFmtId="17" fontId="26" fillId="8" borderId="27" xfId="0" applyNumberFormat="1" applyFont="1" applyFill="1" applyBorder="1" applyAlignment="1">
      <alignment horizontal="center"/>
    </xf>
    <xf numFmtId="0" fontId="32" fillId="8" borderId="27" xfId="0" applyFont="1" applyFill="1" applyBorder="1" applyAlignment="1">
      <alignment horizontal="center"/>
    </xf>
    <xf numFmtId="167" fontId="55" fillId="8" borderId="0" xfId="0" applyNumberFormat="1" applyFont="1" applyFill="1" applyAlignment="1">
      <alignment horizontal="right"/>
    </xf>
    <xf numFmtId="164" fontId="57" fillId="8" borderId="0" xfId="0" applyNumberFormat="1" applyFont="1" applyFill="1" applyAlignment="1">
      <alignment horizontal="right"/>
    </xf>
    <xf numFmtId="164" fontId="57" fillId="8" borderId="27" xfId="0" applyNumberFormat="1" applyFont="1" applyFill="1" applyBorder="1" applyAlignment="1">
      <alignment horizontal="right"/>
    </xf>
    <xf numFmtId="164" fontId="55" fillId="8" borderId="0" xfId="0" applyNumberFormat="1" applyFont="1" applyFill="1" applyAlignment="1">
      <alignment horizontal="right"/>
    </xf>
    <xf numFmtId="164" fontId="55" fillId="8" borderId="27" xfId="0" applyNumberFormat="1" applyFont="1" applyFill="1" applyBorder="1" applyAlignment="1">
      <alignment horizontal="right"/>
    </xf>
    <xf numFmtId="167" fontId="58" fillId="8" borderId="0" xfId="0" applyNumberFormat="1" applyFont="1" applyFill="1" applyAlignment="1">
      <alignment horizontal="left" indent="1"/>
    </xf>
    <xf numFmtId="167" fontId="58" fillId="8" borderId="0" xfId="0" applyNumberFormat="1" applyFont="1" applyFill="1" applyAlignment="1">
      <alignment horizontal="right"/>
    </xf>
    <xf numFmtId="165" fontId="57" fillId="8" borderId="0" xfId="0" applyNumberFormat="1" applyFont="1" applyFill="1" applyAlignment="1">
      <alignment horizontal="right"/>
    </xf>
    <xf numFmtId="165" fontId="57" fillId="8" borderId="27" xfId="0" applyNumberFormat="1" applyFont="1" applyFill="1" applyBorder="1" applyAlignment="1">
      <alignment horizontal="right"/>
    </xf>
    <xf numFmtId="164" fontId="55" fillId="8" borderId="2" xfId="0" applyNumberFormat="1" applyFont="1" applyFill="1" applyBorder="1" applyAlignment="1">
      <alignment horizontal="right"/>
    </xf>
    <xf numFmtId="164" fontId="55" fillId="8" borderId="31" xfId="0" applyNumberFormat="1" applyFont="1" applyFill="1" applyBorder="1" applyAlignment="1">
      <alignment horizontal="right"/>
    </xf>
    <xf numFmtId="164" fontId="55" fillId="8" borderId="7" xfId="0" applyNumberFormat="1" applyFont="1" applyFill="1" applyBorder="1" applyAlignment="1">
      <alignment horizontal="right"/>
    </xf>
    <xf numFmtId="164" fontId="55" fillId="8" borderId="10" xfId="0" applyNumberFormat="1" applyFont="1" applyFill="1" applyBorder="1" applyAlignment="1">
      <alignment horizontal="right"/>
    </xf>
    <xf numFmtId="164" fontId="57" fillId="8" borderId="0" xfId="0" applyNumberFormat="1" applyFont="1" applyFill="1"/>
    <xf numFmtId="164" fontId="55" fillId="8" borderId="0" xfId="0" applyNumberFormat="1" applyFont="1" applyFill="1"/>
    <xf numFmtId="164" fontId="55" fillId="8" borderId="2" xfId="0" applyNumberFormat="1" applyFont="1" applyFill="1" applyBorder="1"/>
    <xf numFmtId="165" fontId="55" fillId="8" borderId="0" xfId="0" applyNumberFormat="1" applyFont="1" applyFill="1"/>
    <xf numFmtId="167" fontId="57" fillId="8" borderId="0" xfId="0" applyNumberFormat="1" applyFont="1" applyFill="1" applyAlignment="1">
      <alignment horizontal="right"/>
    </xf>
    <xf numFmtId="164" fontId="57" fillId="8" borderId="27" xfId="0" applyNumberFormat="1" applyFont="1" applyFill="1" applyBorder="1"/>
    <xf numFmtId="164" fontId="55" fillId="8" borderId="27" xfId="0" applyNumberFormat="1" applyFont="1" applyFill="1" applyBorder="1"/>
    <xf numFmtId="167" fontId="57" fillId="8" borderId="0" xfId="0" applyNumberFormat="1" applyFont="1" applyFill="1"/>
    <xf numFmtId="167" fontId="58" fillId="8" borderId="0" xfId="0" applyNumberFormat="1" applyFont="1" applyFill="1"/>
    <xf numFmtId="192" fontId="55" fillId="8" borderId="0" xfId="0" applyNumberFormat="1" applyFont="1" applyFill="1"/>
    <xf numFmtId="192" fontId="55" fillId="8" borderId="27" xfId="0" applyNumberFormat="1" applyFont="1" applyFill="1" applyBorder="1"/>
    <xf numFmtId="196" fontId="58" fillId="8" borderId="0" xfId="0" applyNumberFormat="1" applyFont="1" applyFill="1"/>
    <xf numFmtId="169" fontId="55" fillId="8" borderId="0" xfId="0" applyNumberFormat="1" applyFont="1" applyFill="1"/>
    <xf numFmtId="169" fontId="55" fillId="8" borderId="27" xfId="0" applyNumberFormat="1" applyFont="1" applyFill="1" applyBorder="1"/>
    <xf numFmtId="169" fontId="57" fillId="8" borderId="0" xfId="2" applyNumberFormat="1" applyFont="1" applyFill="1"/>
    <xf numFmtId="169" fontId="57" fillId="8" borderId="0" xfId="0" applyNumberFormat="1" applyFont="1" applyFill="1" applyAlignment="1">
      <alignment horizontal="left"/>
    </xf>
    <xf numFmtId="167" fontId="56" fillId="8" borderId="0" xfId="0" applyNumberFormat="1" applyFont="1" applyFill="1"/>
    <xf numFmtId="164" fontId="55" fillId="8" borderId="31" xfId="0" applyNumberFormat="1" applyFont="1" applyFill="1" applyBorder="1"/>
    <xf numFmtId="166" fontId="59" fillId="8" borderId="4" xfId="11" applyNumberFormat="1" applyFont="1" applyFill="1" applyBorder="1"/>
    <xf numFmtId="166" fontId="59" fillId="8" borderId="1" xfId="11" applyNumberFormat="1" applyFont="1" applyFill="1" applyBorder="1"/>
    <xf numFmtId="187" fontId="55" fillId="8" borderId="0" xfId="0" applyNumberFormat="1" applyFont="1" applyFill="1"/>
    <xf numFmtId="187" fontId="59" fillId="8" borderId="0" xfId="11" applyNumberFormat="1" applyFont="1" applyFill="1"/>
    <xf numFmtId="188" fontId="55" fillId="8" borderId="0" xfId="0" applyNumberFormat="1" applyFont="1" applyFill="1"/>
    <xf numFmtId="188" fontId="59" fillId="8" borderId="0" xfId="11" applyNumberFormat="1" applyFont="1" applyFill="1"/>
    <xf numFmtId="194" fontId="55" fillId="8" borderId="0" xfId="0" applyNumberFormat="1" applyFont="1" applyFill="1"/>
    <xf numFmtId="194" fontId="59" fillId="8" borderId="0" xfId="11" applyNumberFormat="1" applyFont="1" applyFill="1"/>
    <xf numFmtId="166" fontId="55" fillId="8" borderId="0" xfId="0" applyNumberFormat="1" applyFont="1" applyFill="1"/>
    <xf numFmtId="1" fontId="10" fillId="3" borderId="0" xfId="0" applyNumberFormat="1" applyFont="1" applyFill="1" applyAlignment="1">
      <alignment horizontal="center"/>
    </xf>
    <xf numFmtId="1" fontId="10" fillId="3" borderId="27" xfId="0" applyNumberFormat="1" applyFont="1" applyFill="1" applyBorder="1" applyAlignment="1">
      <alignment horizontal="center"/>
    </xf>
    <xf numFmtId="1" fontId="31" fillId="3" borderId="0" xfId="0" applyNumberFormat="1" applyFont="1" applyFill="1" applyAlignment="1">
      <alignment horizontal="center"/>
    </xf>
    <xf numFmtId="17" fontId="55" fillId="3" borderId="0" xfId="0" applyNumberFormat="1" applyFont="1" applyFill="1" applyAlignment="1">
      <alignment horizontal="center"/>
    </xf>
    <xf numFmtId="17" fontId="26" fillId="3" borderId="0" xfId="0" applyNumberFormat="1" applyFont="1" applyFill="1" applyAlignment="1">
      <alignment horizontal="center"/>
    </xf>
    <xf numFmtId="17" fontId="26" fillId="3" borderId="27" xfId="0" applyNumberFormat="1" applyFont="1" applyFill="1" applyBorder="1" applyAlignment="1">
      <alignment horizontal="center"/>
    </xf>
    <xf numFmtId="0" fontId="57" fillId="3" borderId="0" xfId="0" applyFont="1" applyFill="1" applyAlignment="1">
      <alignment horizontal="center"/>
    </xf>
    <xf numFmtId="0" fontId="32" fillId="3" borderId="0" xfId="0" applyFont="1" applyFill="1" applyAlignment="1">
      <alignment horizontal="center"/>
    </xf>
    <xf numFmtId="0" fontId="32" fillId="3" borderId="27" xfId="0" applyFont="1" applyFill="1" applyBorder="1" applyAlignment="1">
      <alignment horizontal="center"/>
    </xf>
    <xf numFmtId="167" fontId="31" fillId="3" borderId="0" xfId="0" applyNumberFormat="1" applyFont="1" applyFill="1" applyAlignment="1">
      <alignment horizontal="right"/>
    </xf>
    <xf numFmtId="167" fontId="10" fillId="3" borderId="0" xfId="0" applyNumberFormat="1" applyFont="1" applyFill="1" applyAlignment="1">
      <alignment horizontal="right"/>
    </xf>
    <xf numFmtId="167" fontId="10" fillId="3" borderId="27" xfId="0" applyNumberFormat="1" applyFont="1" applyFill="1" applyBorder="1" applyAlignment="1">
      <alignment horizontal="right"/>
    </xf>
    <xf numFmtId="167" fontId="28" fillId="3" borderId="0" xfId="0" applyNumberFormat="1" applyFont="1" applyFill="1" applyAlignment="1">
      <alignment horizontal="right"/>
    </xf>
    <xf numFmtId="167" fontId="28" fillId="3" borderId="27" xfId="0" applyNumberFormat="1" applyFont="1" applyFill="1" applyBorder="1" applyAlignment="1">
      <alignment horizontal="right"/>
    </xf>
    <xf numFmtId="167" fontId="55" fillId="3" borderId="0" xfId="0" applyNumberFormat="1" applyFont="1" applyFill="1" applyAlignment="1">
      <alignment horizontal="right"/>
    </xf>
    <xf numFmtId="167" fontId="31" fillId="3" borderId="7" xfId="0" applyNumberFormat="1" applyFont="1" applyFill="1" applyBorder="1" applyAlignment="1">
      <alignment horizontal="right"/>
    </xf>
    <xf numFmtId="167" fontId="10" fillId="3" borderId="7" xfId="0" applyNumberFormat="1" applyFont="1" applyFill="1" applyBorder="1" applyAlignment="1">
      <alignment horizontal="right"/>
    </xf>
    <xf numFmtId="167" fontId="10" fillId="3" borderId="33" xfId="0" applyNumberFormat="1" applyFont="1" applyFill="1" applyBorder="1" applyAlignment="1">
      <alignment horizontal="right"/>
    </xf>
    <xf numFmtId="167" fontId="31" fillId="3" borderId="27" xfId="0" applyNumberFormat="1" applyFont="1" applyFill="1" applyBorder="1" applyAlignment="1">
      <alignment horizontal="right"/>
    </xf>
    <xf numFmtId="167" fontId="0" fillId="3" borderId="0" xfId="0" applyNumberFormat="1" applyFill="1" applyAlignment="1">
      <alignment horizontal="right"/>
    </xf>
    <xf numFmtId="167" fontId="28" fillId="3" borderId="2" xfId="0" applyNumberFormat="1" applyFont="1" applyFill="1" applyBorder="1" applyAlignment="1">
      <alignment horizontal="right"/>
    </xf>
    <xf numFmtId="167" fontId="0" fillId="3" borderId="2" xfId="0" applyNumberFormat="1" applyFill="1" applyBorder="1" applyAlignment="1">
      <alignment horizontal="right"/>
    </xf>
    <xf numFmtId="167" fontId="28" fillId="3" borderId="31" xfId="0" applyNumberFormat="1" applyFont="1" applyFill="1" applyBorder="1" applyAlignment="1">
      <alignment horizontal="right"/>
    </xf>
    <xf numFmtId="167" fontId="31" fillId="3" borderId="33" xfId="0" applyNumberFormat="1" applyFont="1" applyFill="1" applyBorder="1" applyAlignment="1">
      <alignment horizontal="right"/>
    </xf>
    <xf numFmtId="164" fontId="31" fillId="3" borderId="0" xfId="0" applyNumberFormat="1" applyFont="1" applyFill="1" applyAlignment="1">
      <alignment horizontal="right"/>
    </xf>
    <xf numFmtId="164" fontId="10" fillId="3" borderId="0" xfId="0" applyNumberFormat="1" applyFont="1" applyFill="1" applyAlignment="1">
      <alignment horizontal="right"/>
    </xf>
    <xf numFmtId="164" fontId="57" fillId="3" borderId="0" xfId="0" applyNumberFormat="1" applyFont="1" applyFill="1" applyAlignment="1">
      <alignment horizontal="right"/>
    </xf>
    <xf numFmtId="164" fontId="57" fillId="3" borderId="27" xfId="0" applyNumberFormat="1" applyFont="1" applyFill="1" applyBorder="1" applyAlignment="1">
      <alignment horizontal="right"/>
    </xf>
    <xf numFmtId="164" fontId="28" fillId="3" borderId="0" xfId="0" applyNumberFormat="1" applyFont="1" applyFill="1" applyAlignment="1">
      <alignment horizontal="right"/>
    </xf>
    <xf numFmtId="164" fontId="0" fillId="3" borderId="0" xfId="0" applyNumberFormat="1" applyFill="1" applyAlignment="1">
      <alignment horizontal="right"/>
    </xf>
    <xf numFmtId="164" fontId="55" fillId="3" borderId="0" xfId="0" applyNumberFormat="1" applyFont="1" applyFill="1" applyAlignment="1">
      <alignment horizontal="right"/>
    </xf>
    <xf numFmtId="164" fontId="55" fillId="3" borderId="27" xfId="0" applyNumberFormat="1" applyFont="1" applyFill="1" applyBorder="1" applyAlignment="1">
      <alignment horizontal="right"/>
    </xf>
    <xf numFmtId="164" fontId="31" fillId="3" borderId="10" xfId="0" applyNumberFormat="1" applyFont="1" applyFill="1" applyBorder="1" applyAlignment="1">
      <alignment horizontal="right"/>
    </xf>
    <xf numFmtId="164" fontId="10" fillId="3" borderId="10" xfId="0" applyNumberFormat="1" applyFont="1" applyFill="1" applyBorder="1" applyAlignment="1">
      <alignment horizontal="right"/>
    </xf>
    <xf numFmtId="164" fontId="10" fillId="3" borderId="34" xfId="0" applyNumberFormat="1" applyFont="1" applyFill="1" applyBorder="1" applyAlignment="1">
      <alignment horizontal="right"/>
    </xf>
    <xf numFmtId="164" fontId="31" fillId="3" borderId="7" xfId="0" applyNumberFormat="1" applyFont="1" applyFill="1" applyBorder="1" applyAlignment="1">
      <alignment horizontal="right"/>
    </xf>
    <xf numFmtId="164" fontId="10" fillId="3" borderId="7" xfId="0" applyNumberFormat="1" applyFont="1" applyFill="1" applyBorder="1" applyAlignment="1">
      <alignment horizontal="right"/>
    </xf>
    <xf numFmtId="164" fontId="10" fillId="3" borderId="33" xfId="0" applyNumberFormat="1" applyFont="1" applyFill="1" applyBorder="1" applyAlignment="1">
      <alignment horizontal="right"/>
    </xf>
    <xf numFmtId="164" fontId="31" fillId="3" borderId="27" xfId="0" applyNumberFormat="1" applyFont="1" applyFill="1" applyBorder="1" applyAlignment="1">
      <alignment horizontal="right"/>
    </xf>
    <xf numFmtId="165" fontId="31" fillId="3" borderId="0" xfId="0" applyNumberFormat="1" applyFont="1" applyFill="1" applyAlignment="1">
      <alignment horizontal="right"/>
    </xf>
    <xf numFmtId="165" fontId="10" fillId="3" borderId="0" xfId="0" applyNumberFormat="1" applyFont="1" applyFill="1" applyAlignment="1">
      <alignment horizontal="right"/>
    </xf>
    <xf numFmtId="165" fontId="10" fillId="3" borderId="27" xfId="0" applyNumberFormat="1" applyFont="1" applyFill="1" applyBorder="1" applyAlignment="1">
      <alignment horizontal="right"/>
    </xf>
    <xf numFmtId="167" fontId="35" fillId="3" borderId="0" xfId="0" applyNumberFormat="1" applyFont="1" applyFill="1" applyAlignment="1">
      <alignment horizontal="left" indent="1"/>
    </xf>
    <xf numFmtId="167" fontId="35" fillId="3" borderId="27" xfId="0" applyNumberFormat="1" applyFont="1" applyFill="1" applyBorder="1" applyAlignment="1">
      <alignment horizontal="left" indent="1"/>
    </xf>
    <xf numFmtId="167" fontId="58" fillId="3" borderId="0" xfId="0" applyNumberFormat="1" applyFont="1" applyFill="1" applyAlignment="1">
      <alignment horizontal="left" indent="1"/>
    </xf>
    <xf numFmtId="167" fontId="35" fillId="3" borderId="0" xfId="0" applyNumberFormat="1" applyFont="1" applyFill="1" applyAlignment="1">
      <alignment horizontal="right"/>
    </xf>
    <xf numFmtId="167" fontId="35" fillId="3" borderId="27" xfId="0" applyNumberFormat="1" applyFont="1" applyFill="1" applyBorder="1" applyAlignment="1">
      <alignment horizontal="right"/>
    </xf>
    <xf numFmtId="167" fontId="58" fillId="3" borderId="0" xfId="0" applyNumberFormat="1" applyFont="1" applyFill="1" applyAlignment="1">
      <alignment horizontal="right"/>
    </xf>
    <xf numFmtId="164" fontId="28" fillId="3" borderId="27" xfId="0" applyNumberFormat="1" applyFont="1" applyFill="1" applyBorder="1" applyAlignment="1">
      <alignment horizontal="right"/>
    </xf>
    <xf numFmtId="164" fontId="31" fillId="3" borderId="33" xfId="0" applyNumberFormat="1" applyFont="1" applyFill="1" applyBorder="1" applyAlignment="1">
      <alignment horizontal="right"/>
    </xf>
    <xf numFmtId="165" fontId="57" fillId="3" borderId="0" xfId="0" applyNumberFormat="1" applyFont="1" applyFill="1" applyAlignment="1">
      <alignment horizontal="right"/>
    </xf>
    <xf numFmtId="165" fontId="57" fillId="3" borderId="27" xfId="0" applyNumberFormat="1" applyFont="1" applyFill="1" applyBorder="1" applyAlignment="1">
      <alignment horizontal="right"/>
    </xf>
    <xf numFmtId="164" fontId="31" fillId="3" borderId="34" xfId="0" applyNumberFormat="1" applyFont="1" applyFill="1" applyBorder="1" applyAlignment="1">
      <alignment horizontal="right"/>
    </xf>
    <xf numFmtId="164" fontId="55" fillId="3" borderId="2" xfId="0" applyNumberFormat="1" applyFont="1" applyFill="1" applyBorder="1" applyAlignment="1">
      <alignment horizontal="right"/>
    </xf>
    <xf numFmtId="164" fontId="55" fillId="3" borderId="31" xfId="0" applyNumberFormat="1" applyFont="1" applyFill="1" applyBorder="1" applyAlignment="1">
      <alignment horizontal="right"/>
    </xf>
    <xf numFmtId="164" fontId="28" fillId="3" borderId="2" xfId="0" applyNumberFormat="1" applyFont="1" applyFill="1" applyBorder="1" applyAlignment="1">
      <alignment horizontal="right"/>
    </xf>
    <xf numFmtId="164" fontId="28" fillId="3" borderId="7" xfId="0" applyNumberFormat="1" applyFont="1" applyFill="1" applyBorder="1" applyAlignment="1">
      <alignment horizontal="right"/>
    </xf>
    <xf numFmtId="164" fontId="55" fillId="3" borderId="7" xfId="0" applyNumberFormat="1" applyFont="1" applyFill="1" applyBorder="1" applyAlignment="1">
      <alignment horizontal="right"/>
    </xf>
    <xf numFmtId="164" fontId="28" fillId="3" borderId="33" xfId="0" applyNumberFormat="1" applyFont="1" applyFill="1" applyBorder="1" applyAlignment="1">
      <alignment horizontal="right"/>
    </xf>
    <xf numFmtId="164" fontId="28" fillId="3" borderId="10" xfId="0" applyNumberFormat="1" applyFont="1" applyFill="1" applyBorder="1" applyAlignment="1">
      <alignment horizontal="right"/>
    </xf>
    <xf numFmtId="164" fontId="55" fillId="3" borderId="10" xfId="0" applyNumberFormat="1" applyFont="1" applyFill="1" applyBorder="1" applyAlignment="1">
      <alignment horizontal="right"/>
    </xf>
    <xf numFmtId="164" fontId="28" fillId="3" borderId="34" xfId="0" applyNumberFormat="1" applyFont="1" applyFill="1" applyBorder="1" applyAlignment="1">
      <alignment horizontal="right"/>
    </xf>
    <xf numFmtId="164" fontId="31" fillId="3" borderId="0" xfId="0" applyNumberFormat="1" applyFont="1" applyFill="1"/>
    <xf numFmtId="164" fontId="57" fillId="3" borderId="0" xfId="0" applyNumberFormat="1" applyFont="1" applyFill="1"/>
    <xf numFmtId="164" fontId="31" fillId="3" borderId="27" xfId="0" applyNumberFormat="1" applyFont="1" applyFill="1" applyBorder="1"/>
    <xf numFmtId="164" fontId="55" fillId="3" borderId="0" xfId="0" applyNumberFormat="1" applyFont="1" applyFill="1"/>
    <xf numFmtId="164" fontId="28" fillId="3" borderId="27" xfId="0" applyNumberFormat="1" applyFont="1" applyFill="1" applyBorder="1"/>
    <xf numFmtId="164" fontId="28" fillId="3" borderId="2" xfId="0" applyNumberFormat="1" applyFont="1" applyFill="1" applyBorder="1"/>
    <xf numFmtId="164" fontId="55" fillId="3" borderId="2" xfId="0" applyNumberFormat="1" applyFont="1" applyFill="1" applyBorder="1"/>
    <xf numFmtId="164" fontId="28" fillId="3" borderId="31" xfId="0" applyNumberFormat="1" applyFont="1" applyFill="1" applyBorder="1"/>
    <xf numFmtId="164" fontId="31" fillId="3" borderId="7" xfId="0" applyNumberFormat="1" applyFont="1" applyFill="1" applyBorder="1"/>
    <xf numFmtId="164" fontId="10" fillId="3" borderId="7" xfId="0" applyNumberFormat="1" applyFont="1" applyFill="1" applyBorder="1"/>
    <xf numFmtId="164" fontId="31" fillId="3" borderId="33" xfId="0" applyNumberFormat="1" applyFont="1" applyFill="1" applyBorder="1"/>
    <xf numFmtId="165" fontId="55" fillId="3" borderId="0" xfId="0" applyNumberFormat="1" applyFont="1" applyFill="1"/>
    <xf numFmtId="165" fontId="28" fillId="3" borderId="27" xfId="0" applyNumberFormat="1" applyFont="1" applyFill="1" applyBorder="1"/>
    <xf numFmtId="167" fontId="28" fillId="3" borderId="7" xfId="0" applyNumberFormat="1" applyFont="1" applyFill="1" applyBorder="1" applyAlignment="1">
      <alignment horizontal="right"/>
    </xf>
    <xf numFmtId="167" fontId="28" fillId="3" borderId="33" xfId="0" applyNumberFormat="1" applyFont="1" applyFill="1" applyBorder="1" applyAlignment="1">
      <alignment horizontal="right"/>
    </xf>
    <xf numFmtId="167" fontId="31" fillId="3" borderId="2" xfId="0" applyNumberFormat="1" applyFont="1" applyFill="1" applyBorder="1" applyAlignment="1">
      <alignment horizontal="right"/>
    </xf>
    <xf numFmtId="167" fontId="31" fillId="3" borderId="31" xfId="0" applyNumberFormat="1" applyFont="1" applyFill="1" applyBorder="1" applyAlignment="1">
      <alignment horizontal="right"/>
    </xf>
    <xf numFmtId="167" fontId="57" fillId="3" borderId="0" xfId="0" applyNumberFormat="1" applyFont="1" applyFill="1" applyAlignment="1">
      <alignment horizontal="right"/>
    </xf>
    <xf numFmtId="167" fontId="35" fillId="3" borderId="0" xfId="0" applyNumberFormat="1" applyFont="1" applyFill="1"/>
    <xf numFmtId="167" fontId="35" fillId="3" borderId="27" xfId="0" applyNumberFormat="1" applyFont="1" applyFill="1" applyBorder="1"/>
    <xf numFmtId="167" fontId="0" fillId="3" borderId="27" xfId="0" applyNumberFormat="1" applyFill="1" applyBorder="1" applyAlignment="1">
      <alignment horizontal="right"/>
    </xf>
    <xf numFmtId="164" fontId="57" fillId="3" borderId="27" xfId="0" applyNumberFormat="1" applyFont="1" applyFill="1" applyBorder="1"/>
    <xf numFmtId="164" fontId="55" fillId="3" borderId="27" xfId="0" applyNumberFormat="1" applyFont="1" applyFill="1" applyBorder="1"/>
    <xf numFmtId="164" fontId="10" fillId="3" borderId="33" xfId="0" applyNumberFormat="1" applyFont="1" applyFill="1" applyBorder="1"/>
    <xf numFmtId="164" fontId="10" fillId="3" borderId="0" xfId="0" applyNumberFormat="1" applyFont="1" applyFill="1"/>
    <xf numFmtId="164" fontId="10" fillId="3" borderId="27" xfId="0" applyNumberFormat="1" applyFont="1" applyFill="1" applyBorder="1"/>
    <xf numFmtId="164" fontId="10" fillId="3" borderId="10" xfId="0" applyNumberFormat="1" applyFont="1" applyFill="1" applyBorder="1"/>
    <xf numFmtId="164" fontId="10" fillId="3" borderId="34" xfId="0" applyNumberFormat="1" applyFont="1" applyFill="1" applyBorder="1"/>
    <xf numFmtId="164" fontId="31" fillId="3" borderId="10" xfId="0" applyNumberFormat="1" applyFont="1" applyFill="1" applyBorder="1"/>
    <xf numFmtId="164" fontId="0" fillId="3" borderId="0" xfId="0" applyNumberFormat="1" applyFill="1"/>
    <xf numFmtId="164" fontId="0" fillId="3" borderId="27" xfId="0" applyNumberFormat="1" applyFill="1" applyBorder="1"/>
    <xf numFmtId="164" fontId="35" fillId="3" borderId="0" xfId="0" applyNumberFormat="1" applyFont="1" applyFill="1"/>
    <xf numFmtId="164" fontId="35" fillId="3" borderId="27" xfId="0" applyNumberFormat="1" applyFont="1" applyFill="1" applyBorder="1"/>
    <xf numFmtId="164" fontId="35" fillId="3" borderId="0" xfId="0" applyNumberFormat="1" applyFont="1" applyFill="1" applyAlignment="1">
      <alignment horizontal="right"/>
    </xf>
    <xf numFmtId="164" fontId="0" fillId="3" borderId="2" xfId="0" applyNumberFormat="1" applyFill="1" applyBorder="1"/>
    <xf numFmtId="164" fontId="0" fillId="3" borderId="31" xfId="0" applyNumberFormat="1" applyFill="1" applyBorder="1"/>
    <xf numFmtId="164" fontId="34" fillId="3" borderId="0" xfId="0" applyNumberFormat="1" applyFont="1" applyFill="1"/>
    <xf numFmtId="164" fontId="0" fillId="3" borderId="10" xfId="0" applyNumberFormat="1" applyFill="1" applyBorder="1"/>
    <xf numFmtId="164" fontId="0" fillId="3" borderId="34" xfId="0" applyNumberFormat="1" applyFill="1" applyBorder="1"/>
    <xf numFmtId="164" fontId="28" fillId="3" borderId="10" xfId="0" applyNumberFormat="1" applyFont="1" applyFill="1" applyBorder="1"/>
    <xf numFmtId="164" fontId="28" fillId="3" borderId="7" xfId="0" applyNumberFormat="1" applyFont="1" applyFill="1" applyBorder="1"/>
    <xf numFmtId="164" fontId="28" fillId="3" borderId="33" xfId="0" applyNumberFormat="1" applyFont="1" applyFill="1" applyBorder="1"/>
    <xf numFmtId="164" fontId="35" fillId="3" borderId="7" xfId="0" applyNumberFormat="1" applyFont="1" applyFill="1" applyBorder="1"/>
    <xf numFmtId="164" fontId="35" fillId="3" borderId="33" xfId="0" applyNumberFormat="1" applyFont="1" applyFill="1" applyBorder="1"/>
    <xf numFmtId="167" fontId="10" fillId="3" borderId="0" xfId="0" applyNumberFormat="1" applyFont="1" applyFill="1"/>
    <xf numFmtId="167" fontId="10" fillId="3" borderId="27" xfId="0" applyNumberFormat="1" applyFont="1" applyFill="1" applyBorder="1"/>
    <xf numFmtId="167" fontId="31" fillId="3" borderId="0" xfId="0" applyNumberFormat="1" applyFont="1" applyFill="1"/>
    <xf numFmtId="167" fontId="57" fillId="3" borderId="0" xfId="0" applyNumberFormat="1" applyFont="1" applyFill="1"/>
    <xf numFmtId="169" fontId="10" fillId="3" borderId="0" xfId="0" applyNumberFormat="1" applyFont="1" applyFill="1"/>
    <xf numFmtId="169" fontId="10" fillId="3" borderId="27" xfId="0" applyNumberFormat="1" applyFont="1" applyFill="1" applyBorder="1"/>
    <xf numFmtId="169" fontId="31" fillId="3" borderId="0" xfId="0" applyNumberFormat="1" applyFont="1" applyFill="1"/>
    <xf numFmtId="169" fontId="35" fillId="3" borderId="0" xfId="0" applyNumberFormat="1" applyFont="1" applyFill="1"/>
    <xf numFmtId="169" fontId="35" fillId="3" borderId="27" xfId="0" applyNumberFormat="1" applyFont="1" applyFill="1" applyBorder="1"/>
    <xf numFmtId="169" fontId="35" fillId="3" borderId="0" xfId="0" applyNumberFormat="1" applyFont="1" applyFill="1" applyAlignment="1">
      <alignment horizontal="right"/>
    </xf>
    <xf numFmtId="167" fontId="58" fillId="3" borderId="0" xfId="0" applyNumberFormat="1" applyFont="1" applyFill="1"/>
    <xf numFmtId="167" fontId="35" fillId="3" borderId="2" xfId="0" applyNumberFormat="1" applyFont="1" applyFill="1" applyBorder="1"/>
    <xf numFmtId="167" fontId="35" fillId="3" borderId="31" xfId="0" applyNumberFormat="1" applyFont="1" applyFill="1" applyBorder="1"/>
    <xf numFmtId="192" fontId="55" fillId="3" borderId="0" xfId="0" applyNumberFormat="1" applyFont="1" applyFill="1"/>
    <xf numFmtId="192" fontId="55" fillId="3" borderId="27" xfId="0" applyNumberFormat="1" applyFont="1" applyFill="1" applyBorder="1"/>
    <xf numFmtId="192" fontId="28" fillId="3" borderId="0" xfId="0" applyNumberFormat="1" applyFont="1" applyFill="1"/>
    <xf numFmtId="192" fontId="28" fillId="3" borderId="27" xfId="0" applyNumberFormat="1" applyFont="1" applyFill="1" applyBorder="1"/>
    <xf numFmtId="196" fontId="35" fillId="3" borderId="0" xfId="0" applyNumberFormat="1" applyFont="1" applyFill="1"/>
    <xf numFmtId="196" fontId="35" fillId="3" borderId="27" xfId="0" applyNumberFormat="1" applyFont="1" applyFill="1" applyBorder="1"/>
    <xf numFmtId="196" fontId="58" fillId="3" borderId="0" xfId="0" applyNumberFormat="1" applyFont="1" applyFill="1"/>
    <xf numFmtId="169" fontId="31" fillId="3" borderId="0" xfId="2" applyNumberFormat="1" applyFont="1" applyFill="1" applyAlignment="1">
      <alignment horizontal="right" indent="1"/>
    </xf>
    <xf numFmtId="169" fontId="31" fillId="3" borderId="0" xfId="2" applyNumberFormat="1" applyFont="1" applyFill="1"/>
    <xf numFmtId="169" fontId="31" fillId="3" borderId="27" xfId="2" applyNumberFormat="1" applyFont="1" applyFill="1" applyBorder="1"/>
    <xf numFmtId="169" fontId="34" fillId="3" borderId="0" xfId="2" applyNumberFormat="1" applyFont="1" applyFill="1" applyAlignment="1">
      <alignment horizontal="right"/>
    </xf>
    <xf numFmtId="164" fontId="34" fillId="3" borderId="0" xfId="0" applyNumberFormat="1" applyFont="1" applyFill="1" applyAlignment="1">
      <alignment horizontal="right"/>
    </xf>
    <xf numFmtId="169" fontId="55" fillId="3" borderId="0" xfId="0" applyNumberFormat="1" applyFont="1" applyFill="1"/>
    <xf numFmtId="169" fontId="0" fillId="3" borderId="0" xfId="0" applyNumberFormat="1" applyFill="1"/>
    <xf numFmtId="169" fontId="0" fillId="3" borderId="27" xfId="0" applyNumberFormat="1" applyFill="1" applyBorder="1"/>
    <xf numFmtId="169" fontId="28" fillId="3" borderId="0" xfId="0" applyNumberFormat="1" applyFont="1" applyFill="1"/>
    <xf numFmtId="169" fontId="28" fillId="3" borderId="27" xfId="0" applyNumberFormat="1" applyFont="1" applyFill="1" applyBorder="1"/>
    <xf numFmtId="169" fontId="31" fillId="3" borderId="27" xfId="0" applyNumberFormat="1" applyFont="1" applyFill="1" applyBorder="1"/>
    <xf numFmtId="169" fontId="57" fillId="3" borderId="0" xfId="2" applyNumberFormat="1" applyFont="1" applyFill="1"/>
    <xf numFmtId="164" fontId="0" fillId="3" borderId="11" xfId="0" applyNumberFormat="1" applyFill="1" applyBorder="1"/>
    <xf numFmtId="164" fontId="0" fillId="3" borderId="28" xfId="0" applyNumberFormat="1" applyFill="1" applyBorder="1"/>
    <xf numFmtId="164" fontId="28" fillId="3" borderId="11" xfId="0" applyNumberFormat="1" applyFont="1" applyFill="1" applyBorder="1"/>
    <xf numFmtId="170" fontId="31" fillId="3" borderId="0" xfId="0" applyNumberFormat="1" applyFont="1" applyFill="1" applyAlignment="1">
      <alignment horizontal="right"/>
    </xf>
    <xf numFmtId="170" fontId="31" fillId="3" borderId="27" xfId="0" applyNumberFormat="1" applyFont="1" applyFill="1" applyBorder="1" applyAlignment="1">
      <alignment horizontal="right"/>
    </xf>
    <xf numFmtId="170" fontId="10" fillId="3" borderId="0" xfId="0" applyNumberFormat="1" applyFont="1" applyFill="1" applyAlignment="1">
      <alignment horizontal="right"/>
    </xf>
    <xf numFmtId="170" fontId="10" fillId="3" borderId="27" xfId="0" applyNumberFormat="1" applyFont="1" applyFill="1" applyBorder="1" applyAlignment="1">
      <alignment horizontal="right"/>
    </xf>
    <xf numFmtId="0" fontId="28" fillId="3" borderId="27" xfId="0" applyFont="1" applyFill="1" applyBorder="1"/>
    <xf numFmtId="169" fontId="10" fillId="3" borderId="0" xfId="0" applyNumberFormat="1" applyFont="1" applyFill="1" applyAlignment="1">
      <alignment horizontal="right"/>
    </xf>
    <xf numFmtId="169" fontId="10" fillId="3" borderId="27" xfId="0" applyNumberFormat="1" applyFont="1" applyFill="1" applyBorder="1" applyAlignment="1">
      <alignment horizontal="right"/>
    </xf>
    <xf numFmtId="170" fontId="28" fillId="3" borderId="0" xfId="0" applyNumberFormat="1" applyFont="1" applyFill="1" applyAlignment="1">
      <alignment horizontal="right"/>
    </xf>
    <xf numFmtId="170" fontId="28" fillId="3" borderId="27" xfId="0" applyNumberFormat="1" applyFont="1" applyFill="1" applyBorder="1" applyAlignment="1">
      <alignment horizontal="right"/>
    </xf>
    <xf numFmtId="170" fontId="0" fillId="3" borderId="0" xfId="0" applyNumberFormat="1" applyFill="1" applyAlignment="1">
      <alignment horizontal="right"/>
    </xf>
    <xf numFmtId="170" fontId="0" fillId="3" borderId="27" xfId="0" applyNumberFormat="1" applyFill="1" applyBorder="1" applyAlignment="1">
      <alignment horizontal="right"/>
    </xf>
    <xf numFmtId="169" fontId="0" fillId="3" borderId="0" xfId="0" applyNumberFormat="1" applyFill="1" applyAlignment="1">
      <alignment horizontal="right"/>
    </xf>
    <xf numFmtId="169" fontId="0" fillId="3" borderId="27" xfId="0" applyNumberFormat="1" applyFill="1" applyBorder="1" applyAlignment="1">
      <alignment horizontal="right"/>
    </xf>
    <xf numFmtId="194" fontId="0" fillId="3" borderId="0" xfId="0" applyNumberFormat="1" applyFill="1" applyAlignment="1">
      <alignment horizontal="right"/>
    </xf>
    <xf numFmtId="194" fontId="0" fillId="3" borderId="27" xfId="0" applyNumberFormat="1" applyFill="1" applyBorder="1" applyAlignment="1">
      <alignment horizontal="right"/>
    </xf>
    <xf numFmtId="194" fontId="28" fillId="3" borderId="0" xfId="0" applyNumberFormat="1" applyFont="1" applyFill="1"/>
    <xf numFmtId="188" fontId="0" fillId="3" borderId="0" xfId="0" applyNumberFormat="1" applyFill="1" applyAlignment="1">
      <alignment horizontal="right"/>
    </xf>
    <xf numFmtId="188" fontId="0" fillId="3" borderId="27" xfId="0" applyNumberFormat="1" applyFill="1" applyBorder="1" applyAlignment="1">
      <alignment horizontal="right"/>
    </xf>
    <xf numFmtId="188" fontId="28" fillId="3" borderId="0" xfId="0" applyNumberFormat="1" applyFont="1" applyFill="1"/>
    <xf numFmtId="164" fontId="28" fillId="3" borderId="34" xfId="0" applyNumberFormat="1" applyFont="1" applyFill="1" applyBorder="1"/>
    <xf numFmtId="167" fontId="31" fillId="3" borderId="27" xfId="0" applyNumberFormat="1" applyFont="1" applyFill="1" applyBorder="1"/>
    <xf numFmtId="167" fontId="29" fillId="3" borderId="0" xfId="0" applyNumberFormat="1" applyFont="1" applyFill="1"/>
    <xf numFmtId="167" fontId="45" fillId="3" borderId="0" xfId="0" applyNumberFormat="1" applyFont="1" applyFill="1"/>
    <xf numFmtId="167" fontId="45" fillId="3" borderId="27" xfId="0" applyNumberFormat="1" applyFont="1" applyFill="1" applyBorder="1"/>
    <xf numFmtId="167" fontId="56" fillId="3" borderId="0" xfId="0" applyNumberFormat="1" applyFont="1" applyFill="1"/>
    <xf numFmtId="164" fontId="31" fillId="3" borderId="15" xfId="0" applyNumberFormat="1" applyFont="1" applyFill="1" applyBorder="1" applyAlignment="1">
      <alignment horizontal="right"/>
    </xf>
    <xf numFmtId="164" fontId="31" fillId="3" borderId="29" xfId="0" applyNumberFormat="1" applyFont="1" applyFill="1" applyBorder="1" applyAlignment="1">
      <alignment horizontal="right"/>
    </xf>
    <xf numFmtId="166" fontId="31" fillId="3" borderId="0" xfId="0" applyNumberFormat="1" applyFont="1" applyFill="1" applyAlignment="1">
      <alignment horizontal="right"/>
    </xf>
    <xf numFmtId="166" fontId="31" fillId="3" borderId="27" xfId="0" applyNumberFormat="1" applyFont="1" applyFill="1" applyBorder="1" applyAlignment="1">
      <alignment horizontal="right"/>
    </xf>
    <xf numFmtId="164" fontId="0" fillId="3" borderId="7" xfId="0" applyNumberFormat="1" applyFill="1" applyBorder="1"/>
    <xf numFmtId="164" fontId="0" fillId="3" borderId="33" xfId="0" applyNumberFormat="1" applyFill="1" applyBorder="1"/>
    <xf numFmtId="164" fontId="55" fillId="3" borderId="31" xfId="0" applyNumberFormat="1" applyFont="1" applyFill="1" applyBorder="1"/>
    <xf numFmtId="17" fontId="29" fillId="3" borderId="0" xfId="13" applyNumberFormat="1" applyFont="1" applyFill="1" applyAlignment="1">
      <alignment horizontal="center"/>
    </xf>
    <xf numFmtId="17" fontId="30" fillId="3" borderId="0" xfId="13" applyNumberFormat="1" applyFont="1" applyFill="1" applyAlignment="1">
      <alignment horizontal="center"/>
    </xf>
    <xf numFmtId="17" fontId="30" fillId="3" borderId="27" xfId="13" applyNumberFormat="1" applyFont="1" applyFill="1" applyBorder="1" applyAlignment="1">
      <alignment horizontal="center"/>
    </xf>
    <xf numFmtId="164" fontId="31" fillId="3" borderId="0" xfId="13" applyNumberFormat="1" applyFont="1" applyFill="1" applyAlignment="1">
      <alignment horizontal="center"/>
    </xf>
    <xf numFmtId="164" fontId="32" fillId="3" borderId="0" xfId="13" applyNumberFormat="1" applyFont="1" applyFill="1" applyAlignment="1">
      <alignment horizontal="center"/>
    </xf>
    <xf numFmtId="164" fontId="32" fillId="3" borderId="27" xfId="13" applyNumberFormat="1" applyFont="1" applyFill="1" applyBorder="1" applyAlignment="1">
      <alignment horizontal="center"/>
    </xf>
    <xf numFmtId="169" fontId="31" fillId="3" borderId="0" xfId="13" applyNumberFormat="1" applyFont="1" applyFill="1" applyAlignment="1">
      <alignment horizontal="right"/>
    </xf>
    <xf numFmtId="169" fontId="31" fillId="3" borderId="0" xfId="13" applyNumberFormat="1" applyFont="1" applyFill="1"/>
    <xf numFmtId="169" fontId="31" fillId="3" borderId="27" xfId="13" applyNumberFormat="1" applyFont="1" applyFill="1" applyBorder="1"/>
    <xf numFmtId="164" fontId="28" fillId="3" borderId="2" xfId="13" applyNumberFormat="1" applyFont="1" applyFill="1" applyBorder="1" applyAlignment="1">
      <alignment horizontal="right"/>
    </xf>
    <xf numFmtId="164" fontId="28" fillId="3" borderId="2" xfId="13" applyNumberFormat="1" applyFont="1" applyFill="1" applyBorder="1"/>
    <xf numFmtId="164" fontId="28" fillId="3" borderId="31" xfId="13" applyNumberFormat="1" applyFont="1" applyFill="1" applyBorder="1"/>
    <xf numFmtId="164" fontId="31" fillId="3" borderId="7" xfId="13" applyNumberFormat="1" applyFont="1" applyFill="1" applyBorder="1"/>
    <xf numFmtId="164" fontId="31" fillId="3" borderId="33" xfId="13" applyNumberFormat="1" applyFont="1" applyFill="1" applyBorder="1"/>
    <xf numFmtId="164" fontId="28" fillId="3" borderId="0" xfId="13" applyNumberFormat="1" applyFont="1" applyFill="1"/>
    <xf numFmtId="164" fontId="28" fillId="3" borderId="27" xfId="13" applyNumberFormat="1" applyFont="1" applyFill="1" applyBorder="1"/>
    <xf numFmtId="164" fontId="31" fillId="3" borderId="0" xfId="13" applyNumberFormat="1" applyFont="1" applyFill="1"/>
    <xf numFmtId="164" fontId="31" fillId="3" borderId="27" xfId="13" applyNumberFormat="1" applyFont="1" applyFill="1" applyBorder="1"/>
    <xf numFmtId="179" fontId="28" fillId="3" borderId="0" xfId="0" applyNumberFormat="1" applyFont="1" applyFill="1"/>
    <xf numFmtId="179" fontId="28" fillId="3" borderId="27" xfId="0" applyNumberFormat="1" applyFont="1" applyFill="1" applyBorder="1"/>
    <xf numFmtId="177" fontId="28" fillId="3" borderId="0" xfId="0" applyNumberFormat="1" applyFont="1" applyFill="1"/>
    <xf numFmtId="177" fontId="28" fillId="3" borderId="27" xfId="0" applyNumberFormat="1" applyFont="1" applyFill="1" applyBorder="1"/>
    <xf numFmtId="167" fontId="31" fillId="3" borderId="0" xfId="13" applyNumberFormat="1" applyFont="1" applyFill="1" applyAlignment="1">
      <alignment horizontal="center"/>
    </xf>
    <xf numFmtId="167" fontId="28" fillId="3" borderId="0" xfId="13" applyNumberFormat="1" applyFont="1" applyFill="1"/>
    <xf numFmtId="167" fontId="28" fillId="3" borderId="27" xfId="13" applyNumberFormat="1" applyFont="1" applyFill="1" applyBorder="1"/>
    <xf numFmtId="167" fontId="28" fillId="3" borderId="0" xfId="13" applyNumberFormat="1" applyFont="1" applyFill="1" applyAlignment="1">
      <alignment horizontal="right"/>
    </xf>
    <xf numFmtId="167" fontId="28" fillId="3" borderId="27" xfId="13" applyNumberFormat="1" applyFont="1" applyFill="1" applyBorder="1" applyAlignment="1">
      <alignment horizontal="right"/>
    </xf>
    <xf numFmtId="167" fontId="31" fillId="3" borderId="7" xfId="13" applyNumberFormat="1" applyFont="1" applyFill="1" applyBorder="1" applyAlignment="1">
      <alignment horizontal="right"/>
    </xf>
    <xf numFmtId="167" fontId="31" fillId="3" borderId="33" xfId="13" applyNumberFormat="1" applyFont="1" applyFill="1" applyBorder="1" applyAlignment="1">
      <alignment horizontal="right"/>
    </xf>
    <xf numFmtId="167" fontId="31" fillId="3" borderId="0" xfId="13" applyNumberFormat="1" applyFont="1" applyFill="1" applyAlignment="1">
      <alignment horizontal="right"/>
    </xf>
    <xf numFmtId="167" fontId="31" fillId="3" borderId="27" xfId="13" applyNumberFormat="1" applyFont="1" applyFill="1" applyBorder="1" applyAlignment="1">
      <alignment horizontal="right"/>
    </xf>
    <xf numFmtId="180" fontId="31" fillId="3" borderId="0" xfId="13" applyNumberFormat="1" applyFont="1" applyFill="1" applyAlignment="1">
      <alignment horizontal="right"/>
    </xf>
    <xf numFmtId="180" fontId="31" fillId="3" borderId="27" xfId="13" applyNumberFormat="1" applyFont="1" applyFill="1" applyBorder="1" applyAlignment="1">
      <alignment horizontal="right"/>
    </xf>
    <xf numFmtId="170" fontId="31" fillId="3" borderId="0" xfId="13" applyNumberFormat="1" applyFont="1" applyFill="1" applyAlignment="1">
      <alignment horizontal="right"/>
    </xf>
    <xf numFmtId="170" fontId="31" fillId="3" borderId="27" xfId="13" applyNumberFormat="1" applyFont="1" applyFill="1" applyBorder="1" applyAlignment="1">
      <alignment horizontal="right"/>
    </xf>
    <xf numFmtId="181" fontId="31" fillId="3" borderId="0" xfId="13" applyNumberFormat="1" applyFont="1" applyFill="1" applyAlignment="1">
      <alignment horizontal="right"/>
    </xf>
    <xf numFmtId="181" fontId="31" fillId="3" borderId="27" xfId="13" applyNumberFormat="1" applyFont="1" applyFill="1" applyBorder="1" applyAlignment="1">
      <alignment horizontal="right"/>
    </xf>
    <xf numFmtId="170" fontId="28" fillId="3" borderId="0" xfId="13" applyNumberFormat="1" applyFont="1" applyFill="1" applyAlignment="1">
      <alignment horizontal="right"/>
    </xf>
    <xf numFmtId="170" fontId="28" fillId="3" borderId="27" xfId="13" applyNumberFormat="1" applyFont="1" applyFill="1" applyBorder="1" applyAlignment="1">
      <alignment horizontal="right"/>
    </xf>
    <xf numFmtId="0" fontId="5" fillId="0" borderId="0" xfId="0" applyFont="1"/>
    <xf numFmtId="41" fontId="5" fillId="0" borderId="0" xfId="4" applyNumberFormat="1" applyFont="1" applyBorder="1" applyAlignment="1">
      <alignment horizontal="right"/>
    </xf>
    <xf numFmtId="166" fontId="5" fillId="0" borderId="0" xfId="4" applyNumberFormat="1" applyFont="1" applyBorder="1" applyAlignment="1">
      <alignment horizontal="right"/>
    </xf>
    <xf numFmtId="0" fontId="63" fillId="0" borderId="0" xfId="0" applyFont="1"/>
    <xf numFmtId="41" fontId="63" fillId="0" borderId="0" xfId="4" applyNumberFormat="1" applyFont="1" applyBorder="1" applyAlignment="1">
      <alignment horizontal="right"/>
    </xf>
    <xf numFmtId="166" fontId="63" fillId="0" borderId="0" xfId="4" applyNumberFormat="1" applyFont="1" applyBorder="1" applyAlignment="1">
      <alignment horizontal="right"/>
    </xf>
    <xf numFmtId="0" fontId="5" fillId="0" borderId="0" xfId="0" applyFont="1" applyAlignment="1">
      <alignment horizontal="left" indent="1"/>
    </xf>
    <xf numFmtId="197" fontId="66" fillId="0" borderId="0" xfId="0" applyNumberFormat="1" applyFont="1"/>
    <xf numFmtId="0" fontId="69" fillId="0" borderId="0" xfId="0" applyFont="1"/>
    <xf numFmtId="0" fontId="70" fillId="0" borderId="2" xfId="0" applyFont="1" applyBorder="1"/>
    <xf numFmtId="0" fontId="69" fillId="0" borderId="2" xfId="0" applyFont="1" applyBorder="1"/>
    <xf numFmtId="0" fontId="71" fillId="0" borderId="0" xfId="0" applyFont="1"/>
    <xf numFmtId="0" fontId="72" fillId="0" borderId="0" xfId="0" applyFont="1"/>
    <xf numFmtId="0" fontId="73" fillId="0" borderId="0" xfId="0" applyFont="1" applyAlignment="1">
      <alignment horizontal="left" indent="1"/>
    </xf>
    <xf numFmtId="0" fontId="71" fillId="0" borderId="0" xfId="0" applyFont="1" applyAlignment="1">
      <alignment horizontal="left" indent="1"/>
    </xf>
    <xf numFmtId="0" fontId="73" fillId="0" borderId="0" xfId="0" applyFont="1"/>
    <xf numFmtId="0" fontId="71" fillId="0" borderId="0" xfId="0" applyFont="1" applyAlignment="1">
      <alignment horizontal="left" indent="2"/>
    </xf>
    <xf numFmtId="0" fontId="65" fillId="0" borderId="0" xfId="0" applyFont="1" applyAlignment="1">
      <alignment horizontal="center"/>
    </xf>
    <xf numFmtId="166" fontId="5" fillId="0" borderId="0" xfId="4" applyNumberFormat="1" applyFont="1" applyBorder="1"/>
    <xf numFmtId="166" fontId="63" fillId="0" borderId="0" xfId="4" applyNumberFormat="1" applyFont="1" applyBorder="1"/>
    <xf numFmtId="197" fontId="67" fillId="0" borderId="0" xfId="0" applyNumberFormat="1" applyFont="1"/>
    <xf numFmtId="0" fontId="64" fillId="0" borderId="2" xfId="0" applyFont="1" applyBorder="1" applyAlignment="1">
      <alignment horizontal="centerContinuous"/>
    </xf>
    <xf numFmtId="41" fontId="69" fillId="0" borderId="0" xfId="0" applyNumberFormat="1" applyFont="1"/>
    <xf numFmtId="43" fontId="69" fillId="0" borderId="0" xfId="4" applyFont="1" applyBorder="1"/>
    <xf numFmtId="0" fontId="75" fillId="0" borderId="0" xfId="0" applyFont="1"/>
    <xf numFmtId="164" fontId="75" fillId="0" borderId="0" xfId="4" applyNumberFormat="1" applyFont="1" applyBorder="1"/>
    <xf numFmtId="164" fontId="75" fillId="0" borderId="0" xfId="4" applyNumberFormat="1" applyFont="1"/>
    <xf numFmtId="0" fontId="69" fillId="0" borderId="36" xfId="0" applyFont="1" applyBorder="1"/>
    <xf numFmtId="0" fontId="70" fillId="0" borderId="35" xfId="0" applyFont="1" applyBorder="1"/>
    <xf numFmtId="41" fontId="75" fillId="0" borderId="0" xfId="0" applyNumberFormat="1" applyFont="1"/>
    <xf numFmtId="43" fontId="69" fillId="0" borderId="0" xfId="0" applyNumberFormat="1" applyFont="1"/>
    <xf numFmtId="14" fontId="71" fillId="0" borderId="0" xfId="0" applyNumberFormat="1" applyFont="1"/>
    <xf numFmtId="0" fontId="70" fillId="0" borderId="0" xfId="0" applyFont="1"/>
    <xf numFmtId="0" fontId="78" fillId="0" borderId="0" xfId="0" applyFont="1"/>
    <xf numFmtId="0" fontId="76" fillId="0" borderId="0" xfId="0" applyFont="1"/>
    <xf numFmtId="0" fontId="5" fillId="0" borderId="0" xfId="0" applyFont="1" applyAlignment="1">
      <alignment horizontal="left"/>
    </xf>
    <xf numFmtId="0" fontId="64" fillId="0" borderId="0" xfId="0" applyFont="1" applyAlignment="1">
      <alignment horizontal="left" indent="1"/>
    </xf>
    <xf numFmtId="0" fontId="66" fillId="0" borderId="0" xfId="0" applyFont="1" applyAlignment="1">
      <alignment horizontal="left" indent="2"/>
    </xf>
    <xf numFmtId="0" fontId="69" fillId="0" borderId="0" xfId="0" applyFont="1" applyAlignment="1">
      <alignment horizontal="left"/>
    </xf>
    <xf numFmtId="0" fontId="64" fillId="0" borderId="35" xfId="0" applyFont="1" applyBorder="1" applyAlignment="1">
      <alignment horizontal="centerContinuous"/>
    </xf>
    <xf numFmtId="0" fontId="64" fillId="0" borderId="10" xfId="0" applyFont="1" applyBorder="1" applyAlignment="1">
      <alignment horizontal="centerContinuous"/>
    </xf>
    <xf numFmtId="0" fontId="5" fillId="0" borderId="10" xfId="0" applyFont="1" applyBorder="1" applyAlignment="1">
      <alignment horizontal="centerContinuous"/>
    </xf>
    <xf numFmtId="0" fontId="5" fillId="0" borderId="36" xfId="0" applyFont="1" applyBorder="1" applyAlignment="1">
      <alignment horizontal="centerContinuous"/>
    </xf>
    <xf numFmtId="197" fontId="5" fillId="0" borderId="0" xfId="0" applyNumberFormat="1" applyFont="1"/>
    <xf numFmtId="0" fontId="74" fillId="0" borderId="0" xfId="0" applyFont="1" applyAlignment="1">
      <alignment horizontal="right"/>
    </xf>
    <xf numFmtId="37" fontId="69" fillId="0" borderId="0" xfId="0" applyNumberFormat="1" applyFont="1"/>
    <xf numFmtId="43" fontId="75" fillId="0" borderId="0" xfId="0" applyNumberFormat="1" applyFont="1"/>
    <xf numFmtId="0" fontId="66" fillId="0" borderId="0" xfId="0" applyFont="1"/>
    <xf numFmtId="37" fontId="70" fillId="0" borderId="0" xfId="0" applyNumberFormat="1" applyFont="1"/>
    <xf numFmtId="39" fontId="70" fillId="0" borderId="0" xfId="0" applyNumberFormat="1" applyFont="1"/>
    <xf numFmtId="0" fontId="66" fillId="0" borderId="0" xfId="0" applyFont="1" applyAlignment="1">
      <alignment horizontal="left" indent="1"/>
    </xf>
    <xf numFmtId="41" fontId="71" fillId="0" borderId="0" xfId="0" applyNumberFormat="1" applyFont="1"/>
    <xf numFmtId="188" fontId="5" fillId="0" borderId="0" xfId="0" applyNumberFormat="1" applyFont="1"/>
    <xf numFmtId="0" fontId="64" fillId="0" borderId="0" xfId="0" applyFont="1"/>
    <xf numFmtId="41" fontId="79" fillId="0" borderId="0" xfId="0" applyNumberFormat="1" applyFont="1"/>
    <xf numFmtId="0" fontId="74" fillId="0" borderId="0" xfId="0" applyFont="1"/>
    <xf numFmtId="41" fontId="72" fillId="0" borderId="0" xfId="0" applyNumberFormat="1" applyFont="1"/>
    <xf numFmtId="166" fontId="69" fillId="0" borderId="0" xfId="4" applyNumberFormat="1" applyFont="1"/>
    <xf numFmtId="166" fontId="75" fillId="0" borderId="0" xfId="4" applyNumberFormat="1" applyFont="1"/>
    <xf numFmtId="43" fontId="31" fillId="3" borderId="27" xfId="0" applyNumberFormat="1" applyFont="1" applyFill="1" applyBorder="1" applyAlignment="1">
      <alignment horizontal="right"/>
    </xf>
    <xf numFmtId="0" fontId="5" fillId="0" borderId="0" xfId="15" applyFont="1"/>
    <xf numFmtId="41" fontId="81" fillId="0" borderId="0" xfId="15" applyNumberFormat="1" applyFont="1"/>
    <xf numFmtId="0" fontId="5" fillId="0" borderId="0" xfId="15" quotePrefix="1" applyFont="1"/>
    <xf numFmtId="203" fontId="82" fillId="0" borderId="0" xfId="15" applyNumberFormat="1" applyFont="1"/>
    <xf numFmtId="0" fontId="5" fillId="0" borderId="0" xfId="15" applyFont="1" applyAlignment="1">
      <alignment horizontal="left" indent="1"/>
    </xf>
    <xf numFmtId="179" fontId="5" fillId="0" borderId="0" xfId="15" applyNumberFormat="1" applyFont="1"/>
    <xf numFmtId="179" fontId="63" fillId="0" borderId="0" xfId="15" applyNumberFormat="1" applyFont="1"/>
    <xf numFmtId="0" fontId="72" fillId="0" borderId="0" xfId="0" applyFont="1" applyAlignment="1">
      <alignment horizontal="left"/>
    </xf>
    <xf numFmtId="0" fontId="76" fillId="0" borderId="0" xfId="15" applyFont="1"/>
    <xf numFmtId="41" fontId="76" fillId="0" borderId="0" xfId="4" applyNumberFormat="1" applyFont="1" applyBorder="1" applyAlignment="1">
      <alignment horizontal="right"/>
    </xf>
    <xf numFmtId="0" fontId="64" fillId="0" borderId="0" xfId="15" applyFont="1"/>
    <xf numFmtId="41" fontId="64" fillId="0" borderId="0" xfId="4" applyNumberFormat="1" applyFont="1" applyBorder="1" applyAlignment="1">
      <alignment horizontal="right"/>
    </xf>
    <xf numFmtId="41" fontId="70" fillId="0" borderId="0" xfId="0" applyNumberFormat="1" applyFont="1"/>
    <xf numFmtId="166" fontId="64" fillId="0" borderId="0" xfId="4" applyNumberFormat="1" applyFont="1" applyBorder="1"/>
    <xf numFmtId="41" fontId="5" fillId="14" borderId="0" xfId="4" applyNumberFormat="1" applyFont="1" applyFill="1" applyBorder="1" applyAlignment="1">
      <alignment horizontal="right"/>
    </xf>
    <xf numFmtId="41" fontId="76" fillId="14" borderId="0" xfId="4" applyNumberFormat="1" applyFont="1" applyFill="1" applyBorder="1" applyAlignment="1">
      <alignment horizontal="right"/>
    </xf>
    <xf numFmtId="0" fontId="69" fillId="14" borderId="0" xfId="0" applyFont="1" applyFill="1"/>
    <xf numFmtId="0" fontId="69" fillId="0" borderId="4" xfId="0" applyFont="1" applyBorder="1"/>
    <xf numFmtId="41" fontId="5" fillId="0" borderId="4" xfId="4" applyNumberFormat="1" applyFont="1" applyBorder="1" applyAlignment="1">
      <alignment horizontal="right"/>
    </xf>
    <xf numFmtId="41" fontId="76" fillId="0" borderId="4" xfId="4" applyNumberFormat="1" applyFont="1" applyBorder="1" applyAlignment="1">
      <alignment horizontal="right"/>
    </xf>
    <xf numFmtId="41" fontId="63" fillId="0" borderId="4" xfId="4" applyNumberFormat="1" applyFont="1" applyBorder="1" applyAlignment="1">
      <alignment horizontal="right"/>
    </xf>
    <xf numFmtId="41" fontId="69" fillId="0" borderId="4" xfId="0" applyNumberFormat="1" applyFont="1" applyBorder="1"/>
    <xf numFmtId="41" fontId="75" fillId="0" borderId="4" xfId="0" applyNumberFormat="1" applyFont="1" applyBorder="1"/>
    <xf numFmtId="41" fontId="70" fillId="0" borderId="4" xfId="0" applyNumberFormat="1" applyFont="1" applyBorder="1"/>
    <xf numFmtId="41" fontId="5" fillId="14" borderId="4" xfId="4" applyNumberFormat="1" applyFont="1" applyFill="1" applyBorder="1" applyAlignment="1">
      <alignment horizontal="right"/>
    </xf>
    <xf numFmtId="41" fontId="76" fillId="14" borderId="4" xfId="4" applyNumberFormat="1" applyFont="1" applyFill="1" applyBorder="1" applyAlignment="1">
      <alignment horizontal="right"/>
    </xf>
    <xf numFmtId="0" fontId="69" fillId="14" borderId="4" xfId="0" applyFont="1" applyFill="1" applyBorder="1"/>
    <xf numFmtId="0" fontId="71" fillId="0" borderId="4" xfId="0" applyFont="1" applyBorder="1"/>
    <xf numFmtId="197" fontId="66" fillId="0" borderId="4" xfId="0" applyNumberFormat="1" applyFont="1" applyBorder="1"/>
    <xf numFmtId="197" fontId="67" fillId="0" borderId="4" xfId="0" applyNumberFormat="1" applyFont="1" applyBorder="1"/>
    <xf numFmtId="197" fontId="67" fillId="0" borderId="0" xfId="0" applyNumberFormat="1" applyFont="1" applyAlignment="1">
      <alignment horizontal="right"/>
    </xf>
    <xf numFmtId="0" fontId="69" fillId="0" borderId="39" xfId="0" applyFont="1" applyBorder="1"/>
    <xf numFmtId="41" fontId="5" fillId="0" borderId="39" xfId="4" applyNumberFormat="1" applyFont="1" applyBorder="1" applyAlignment="1">
      <alignment horizontal="right"/>
    </xf>
    <xf numFmtId="41" fontId="76" fillId="0" borderId="39" xfId="4" applyNumberFormat="1" applyFont="1" applyBorder="1" applyAlignment="1">
      <alignment horizontal="right"/>
    </xf>
    <xf numFmtId="41" fontId="63" fillId="0" borderId="39" xfId="4" applyNumberFormat="1" applyFont="1" applyBorder="1" applyAlignment="1">
      <alignment horizontal="right"/>
    </xf>
    <xf numFmtId="41" fontId="69" fillId="0" borderId="39" xfId="0" applyNumberFormat="1" applyFont="1" applyBorder="1"/>
    <xf numFmtId="41" fontId="75" fillId="0" borderId="39" xfId="0" applyNumberFormat="1" applyFont="1" applyBorder="1"/>
    <xf numFmtId="41" fontId="70" fillId="0" borderId="39" xfId="0" applyNumberFormat="1" applyFont="1" applyBorder="1"/>
    <xf numFmtId="198" fontId="71" fillId="0" borderId="0" xfId="0" applyNumberFormat="1" applyFont="1"/>
    <xf numFmtId="41" fontId="64" fillId="0" borderId="4" xfId="4" applyNumberFormat="1" applyFont="1" applyBorder="1" applyAlignment="1">
      <alignment horizontal="right"/>
    </xf>
    <xf numFmtId="41" fontId="64" fillId="0" borderId="39" xfId="4" applyNumberFormat="1" applyFont="1" applyBorder="1" applyAlignment="1">
      <alignment horizontal="right"/>
    </xf>
    <xf numFmtId="41" fontId="65" fillId="0" borderId="0" xfId="4" applyNumberFormat="1" applyFont="1" applyBorder="1" applyAlignment="1">
      <alignment horizontal="right"/>
    </xf>
    <xf numFmtId="41" fontId="65" fillId="0" borderId="4" xfId="4" applyNumberFormat="1" applyFont="1" applyBorder="1" applyAlignment="1">
      <alignment horizontal="right"/>
    </xf>
    <xf numFmtId="41" fontId="65" fillId="0" borderId="39" xfId="4" applyNumberFormat="1" applyFont="1" applyBorder="1" applyAlignment="1">
      <alignment horizontal="right"/>
    </xf>
    <xf numFmtId="41" fontId="74" fillId="0" borderId="0" xfId="4" applyNumberFormat="1" applyFont="1" applyBorder="1" applyAlignment="1">
      <alignment horizontal="right"/>
    </xf>
    <xf numFmtId="166" fontId="74" fillId="0" borderId="0" xfId="4" applyNumberFormat="1" applyFont="1" applyBorder="1"/>
    <xf numFmtId="0" fontId="64" fillId="0" borderId="0" xfId="15" applyFont="1" applyAlignment="1">
      <alignment horizontal="right"/>
    </xf>
    <xf numFmtId="0" fontId="70" fillId="0" borderId="0" xfId="0" applyFont="1" applyAlignment="1">
      <alignment horizontal="right"/>
    </xf>
    <xf numFmtId="0" fontId="68" fillId="0" borderId="0" xfId="0" applyFont="1" applyAlignment="1">
      <alignment horizontal="right"/>
    </xf>
    <xf numFmtId="0" fontId="68" fillId="0" borderId="4" xfId="0" applyFont="1" applyBorder="1" applyAlignment="1">
      <alignment horizontal="right"/>
    </xf>
    <xf numFmtId="0" fontId="68" fillId="0" borderId="39" xfId="0" applyFont="1" applyBorder="1" applyAlignment="1">
      <alignment horizontal="right"/>
    </xf>
    <xf numFmtId="166" fontId="72" fillId="0" borderId="0" xfId="4" applyNumberFormat="1" applyFont="1"/>
    <xf numFmtId="166" fontId="66" fillId="0" borderId="0" xfId="4" applyNumberFormat="1" applyFont="1"/>
    <xf numFmtId="41" fontId="66" fillId="0" borderId="0" xfId="4" applyNumberFormat="1" applyFont="1" applyBorder="1" applyAlignment="1">
      <alignment horizontal="right"/>
    </xf>
    <xf numFmtId="41" fontId="66" fillId="0" borderId="4" xfId="4" applyNumberFormat="1" applyFont="1" applyBorder="1" applyAlignment="1">
      <alignment horizontal="right"/>
    </xf>
    <xf numFmtId="166" fontId="66" fillId="0" borderId="0" xfId="4" applyNumberFormat="1" applyFont="1" applyBorder="1" applyAlignment="1">
      <alignment horizontal="right"/>
    </xf>
    <xf numFmtId="166" fontId="66" fillId="0" borderId="0" xfId="4" applyNumberFormat="1" applyFont="1" applyBorder="1"/>
    <xf numFmtId="197" fontId="71" fillId="0" borderId="0" xfId="0" applyNumberFormat="1" applyFont="1"/>
    <xf numFmtId="197" fontId="71" fillId="0" borderId="4" xfId="0" applyNumberFormat="1" applyFont="1" applyBorder="1"/>
    <xf numFmtId="0" fontId="83" fillId="0" borderId="0" xfId="0" applyFont="1"/>
    <xf numFmtId="14" fontId="84" fillId="0" borderId="0" xfId="0" applyNumberFormat="1" applyFont="1"/>
    <xf numFmtId="0" fontId="85" fillId="0" borderId="0" xfId="0" applyFont="1"/>
    <xf numFmtId="0" fontId="84" fillId="0" borderId="7" xfId="0" applyFont="1" applyBorder="1"/>
    <xf numFmtId="0" fontId="83" fillId="0" borderId="7" xfId="0" applyFont="1" applyBorder="1"/>
    <xf numFmtId="14" fontId="86" fillId="0" borderId="7" xfId="0" applyNumberFormat="1" applyFont="1" applyBorder="1"/>
    <xf numFmtId="14" fontId="87" fillId="0" borderId="7" xfId="0" applyNumberFormat="1" applyFont="1" applyBorder="1"/>
    <xf numFmtId="0" fontId="85" fillId="0" borderId="0" xfId="0" applyFont="1" applyAlignment="1">
      <alignment horizontal="centerContinuous"/>
    </xf>
    <xf numFmtId="0" fontId="83" fillId="0" borderId="0" xfId="0" applyFont="1" applyAlignment="1">
      <alignment horizontal="centerContinuous"/>
    </xf>
    <xf numFmtId="0" fontId="88" fillId="0" borderId="7" xfId="0" applyFont="1" applyBorder="1" applyAlignment="1">
      <alignment horizontal="center"/>
    </xf>
    <xf numFmtId="0" fontId="88" fillId="0" borderId="37" xfId="0" applyFont="1" applyBorder="1" applyAlignment="1">
      <alignment horizontal="center"/>
    </xf>
    <xf numFmtId="0" fontId="85" fillId="0" borderId="9" xfId="0" applyFont="1" applyBorder="1"/>
    <xf numFmtId="41" fontId="89" fillId="0" borderId="0" xfId="0" applyNumberFormat="1" applyFont="1" applyAlignment="1">
      <alignment horizontal="right"/>
    </xf>
    <xf numFmtId="188" fontId="83" fillId="0" borderId="0" xfId="0" applyNumberFormat="1" applyFont="1"/>
    <xf numFmtId="0" fontId="89" fillId="0" borderId="0" xfId="0" applyFont="1"/>
    <xf numFmtId="199" fontId="83" fillId="0" borderId="0" xfId="1" applyNumberFormat="1" applyFont="1"/>
    <xf numFmtId="41" fontId="83" fillId="0" borderId="0" xfId="0" applyNumberFormat="1" applyFont="1"/>
    <xf numFmtId="41" fontId="90" fillId="0" borderId="0" xfId="0" applyNumberFormat="1" applyFont="1"/>
    <xf numFmtId="41" fontId="91" fillId="0" borderId="0" xfId="0" applyNumberFormat="1" applyFont="1"/>
    <xf numFmtId="197" fontId="84" fillId="0" borderId="0" xfId="0" applyNumberFormat="1" applyFont="1" applyAlignment="1">
      <alignment horizontal="right"/>
    </xf>
    <xf numFmtId="0" fontId="84" fillId="0" borderId="0" xfId="0" applyFont="1" applyAlignment="1">
      <alignment horizontal="left" indent="1"/>
    </xf>
    <xf numFmtId="197" fontId="84" fillId="0" borderId="0" xfId="0" applyNumberFormat="1" applyFont="1" applyAlignment="1">
      <alignment horizontal="left" indent="1"/>
    </xf>
    <xf numFmtId="197" fontId="84" fillId="0" borderId="38" xfId="0" applyNumberFormat="1" applyFont="1" applyBorder="1" applyAlignment="1">
      <alignment horizontal="right"/>
    </xf>
    <xf numFmtId="197" fontId="89" fillId="0" borderId="0" xfId="0" applyNumberFormat="1" applyFont="1" applyAlignment="1">
      <alignment horizontal="right"/>
    </xf>
    <xf numFmtId="197" fontId="83" fillId="0" borderId="0" xfId="0" applyNumberFormat="1" applyFont="1"/>
    <xf numFmtId="5" fontId="86" fillId="0" borderId="0" xfId="0" applyNumberFormat="1" applyFont="1"/>
    <xf numFmtId="197" fontId="92" fillId="0" borderId="0" xfId="0" applyNumberFormat="1" applyFont="1" applyAlignment="1">
      <alignment horizontal="right"/>
    </xf>
    <xf numFmtId="0" fontId="83" fillId="0" borderId="0" xfId="0" applyFont="1" applyAlignment="1">
      <alignment horizontal="left"/>
    </xf>
    <xf numFmtId="197" fontId="84" fillId="0" borderId="0" xfId="0" applyNumberFormat="1" applyFont="1"/>
    <xf numFmtId="197" fontId="84" fillId="0" borderId="38" xfId="0" applyNumberFormat="1" applyFont="1" applyBorder="1"/>
    <xf numFmtId="197" fontId="93" fillId="0" borderId="0" xfId="0" applyNumberFormat="1" applyFont="1" applyAlignment="1">
      <alignment horizontal="left" indent="1"/>
    </xf>
    <xf numFmtId="41" fontId="94" fillId="0" borderId="0" xfId="0" applyNumberFormat="1" applyFont="1"/>
    <xf numFmtId="166" fontId="95" fillId="0" borderId="0" xfId="4" quotePrefix="1" applyNumberFormat="1" applyFont="1" applyAlignment="1">
      <alignment horizontal="right"/>
    </xf>
    <xf numFmtId="197" fontId="96" fillId="0" borderId="0" xfId="0" applyNumberFormat="1" applyFont="1"/>
    <xf numFmtId="0" fontId="91" fillId="0" borderId="0" xfId="0" applyFont="1" applyAlignment="1">
      <alignment horizontal="left" indent="1"/>
    </xf>
    <xf numFmtId="41" fontId="91" fillId="0" borderId="38" xfId="0" applyNumberFormat="1" applyFont="1" applyBorder="1"/>
    <xf numFmtId="197" fontId="91" fillId="0" borderId="0" xfId="0" applyNumberFormat="1" applyFont="1"/>
    <xf numFmtId="5" fontId="91" fillId="0" borderId="0" xfId="0" applyNumberFormat="1" applyFont="1"/>
    <xf numFmtId="0" fontId="84" fillId="0" borderId="0" xfId="0" applyFont="1" applyAlignment="1">
      <alignment horizontal="left" indent="2"/>
    </xf>
    <xf numFmtId="197" fontId="92" fillId="0" borderId="38" xfId="0" applyNumberFormat="1" applyFont="1" applyBorder="1" applyAlignment="1">
      <alignment horizontal="right"/>
    </xf>
    <xf numFmtId="166" fontId="97" fillId="0" borderId="0" xfId="4" quotePrefix="1" applyNumberFormat="1" applyFont="1" applyAlignment="1">
      <alignment horizontal="right"/>
    </xf>
    <xf numFmtId="0" fontId="83" fillId="0" borderId="0" xfId="0" applyFont="1" applyAlignment="1">
      <alignment horizontal="left" indent="1"/>
    </xf>
    <xf numFmtId="0" fontId="91" fillId="0" borderId="0" xfId="0" applyFont="1"/>
    <xf numFmtId="0" fontId="91" fillId="0" borderId="38" xfId="0" applyFont="1" applyBorder="1"/>
    <xf numFmtId="0" fontId="83" fillId="0" borderId="0" xfId="0" applyFont="1" applyAlignment="1">
      <alignment wrapText="1"/>
    </xf>
    <xf numFmtId="197" fontId="84" fillId="13" borderId="9" xfId="0" applyNumberFormat="1" applyFont="1" applyFill="1" applyBorder="1"/>
    <xf numFmtId="166" fontId="83" fillId="0" borderId="0" xfId="4" applyNumberFormat="1" applyFont="1"/>
    <xf numFmtId="166" fontId="91" fillId="0" borderId="0" xfId="4" applyNumberFormat="1" applyFont="1"/>
    <xf numFmtId="41" fontId="98" fillId="0" borderId="0" xfId="0" applyNumberFormat="1" applyFont="1"/>
    <xf numFmtId="0" fontId="96" fillId="0" borderId="0" xfId="0" applyFont="1"/>
    <xf numFmtId="166" fontId="96" fillId="0" borderId="0" xfId="4" applyNumberFormat="1" applyFont="1"/>
    <xf numFmtId="166" fontId="95" fillId="0" borderId="0" xfId="4" applyNumberFormat="1" applyFont="1"/>
    <xf numFmtId="41" fontId="99" fillId="0" borderId="0" xfId="0" applyNumberFormat="1" applyFont="1"/>
    <xf numFmtId="41" fontId="95" fillId="0" borderId="0" xfId="0" applyNumberFormat="1" applyFont="1"/>
    <xf numFmtId="197" fontId="100" fillId="0" borderId="0" xfId="0" applyNumberFormat="1" applyFont="1"/>
    <xf numFmtId="197" fontId="89" fillId="0" borderId="0" xfId="0" applyNumberFormat="1" applyFont="1"/>
    <xf numFmtId="197" fontId="89" fillId="0" borderId="38" xfId="0" applyNumberFormat="1" applyFont="1" applyBorder="1"/>
    <xf numFmtId="41" fontId="83" fillId="0" borderId="38" xfId="0" applyNumberFormat="1" applyFont="1" applyBorder="1"/>
    <xf numFmtId="37" fontId="91" fillId="0" borderId="0" xfId="0" applyNumberFormat="1" applyFont="1"/>
    <xf numFmtId="200" fontId="84" fillId="0" borderId="0" xfId="0" applyNumberFormat="1" applyFont="1" applyAlignment="1">
      <alignment horizontal="right"/>
    </xf>
    <xf numFmtId="200" fontId="92" fillId="0" borderId="38" xfId="0" applyNumberFormat="1" applyFont="1" applyBorder="1" applyAlignment="1">
      <alignment horizontal="right"/>
    </xf>
    <xf numFmtId="200" fontId="89" fillId="0" borderId="0" xfId="0" applyNumberFormat="1" applyFont="1" applyAlignment="1">
      <alignment horizontal="right"/>
    </xf>
    <xf numFmtId="200" fontId="101" fillId="0" borderId="0" xfId="0" applyNumberFormat="1" applyFont="1" applyAlignment="1">
      <alignment horizontal="right"/>
    </xf>
    <xf numFmtId="200" fontId="100" fillId="0" borderId="38" xfId="0" applyNumberFormat="1" applyFont="1" applyBorder="1" applyAlignment="1">
      <alignment horizontal="right"/>
    </xf>
    <xf numFmtId="200" fontId="100" fillId="0" borderId="0" xfId="0" applyNumberFormat="1" applyFont="1" applyAlignment="1">
      <alignment horizontal="right"/>
    </xf>
    <xf numFmtId="5" fontId="83" fillId="0" borderId="0" xfId="0" applyNumberFormat="1" applyFont="1"/>
    <xf numFmtId="197" fontId="84" fillId="0" borderId="0" xfId="0" applyNumberFormat="1" applyFont="1" applyAlignment="1">
      <alignment horizontal="left" indent="2"/>
    </xf>
    <xf numFmtId="0" fontId="83" fillId="0" borderId="38" xfId="0" applyFont="1" applyBorder="1"/>
    <xf numFmtId="0" fontId="83" fillId="0" borderId="0" xfId="0" applyFont="1" applyAlignment="1">
      <alignment horizontal="center"/>
    </xf>
    <xf numFmtId="200" fontId="83" fillId="0" borderId="0" xfId="0" applyNumberFormat="1" applyFont="1"/>
    <xf numFmtId="200" fontId="83" fillId="0" borderId="38" xfId="0" applyNumberFormat="1" applyFont="1" applyBorder="1"/>
    <xf numFmtId="7" fontId="83" fillId="0" borderId="0" xfId="0" applyNumberFormat="1" applyFont="1"/>
    <xf numFmtId="200" fontId="102" fillId="0" borderId="0" xfId="0" applyNumberFormat="1" applyFont="1"/>
    <xf numFmtId="0" fontId="103" fillId="0" borderId="0" xfId="0" applyFont="1"/>
    <xf numFmtId="200" fontId="99" fillId="0" borderId="0" xfId="0" applyNumberFormat="1" applyFont="1"/>
    <xf numFmtId="37" fontId="83" fillId="0" borderId="0" xfId="0" applyNumberFormat="1" applyFont="1"/>
    <xf numFmtId="0" fontId="88" fillId="0" borderId="0" xfId="0" applyFont="1" applyAlignment="1">
      <alignment horizontal="center"/>
    </xf>
    <xf numFmtId="0" fontId="85" fillId="12" borderId="35" xfId="0" applyFont="1" applyFill="1" applyBorder="1" applyAlignment="1">
      <alignment horizontal="left" indent="1"/>
    </xf>
    <xf numFmtId="0" fontId="85" fillId="12" borderId="10" xfId="0" applyFont="1" applyFill="1" applyBorder="1" applyAlignment="1">
      <alignment horizontal="left" indent="1"/>
    </xf>
    <xf numFmtId="201" fontId="85" fillId="12" borderId="36" xfId="0" applyNumberFormat="1" applyFont="1" applyFill="1" applyBorder="1"/>
    <xf numFmtId="0" fontId="85" fillId="0" borderId="35" xfId="0" applyFont="1" applyBorder="1" applyAlignment="1">
      <alignment horizontal="centerContinuous"/>
    </xf>
    <xf numFmtId="0" fontId="85" fillId="0" borderId="10" xfId="0" applyFont="1" applyBorder="1" applyAlignment="1">
      <alignment horizontal="centerContinuous"/>
    </xf>
    <xf numFmtId="0" fontId="83" fillId="0" borderId="10" xfId="0" applyFont="1" applyBorder="1" applyAlignment="1">
      <alignment horizontal="centerContinuous"/>
    </xf>
    <xf numFmtId="0" fontId="83" fillId="0" borderId="36" xfId="0" applyFont="1" applyBorder="1" applyAlignment="1">
      <alignment horizontal="centerContinuous"/>
    </xf>
    <xf numFmtId="0" fontId="103" fillId="0" borderId="0" xfId="0" applyFont="1" applyAlignment="1">
      <alignment horizontal="right"/>
    </xf>
    <xf numFmtId="43" fontId="98" fillId="0" borderId="0" xfId="0" applyNumberFormat="1" applyFont="1"/>
    <xf numFmtId="43" fontId="96" fillId="0" borderId="0" xfId="0" applyNumberFormat="1" applyFont="1"/>
    <xf numFmtId="0" fontId="84" fillId="0" borderId="0" xfId="0" applyFont="1"/>
    <xf numFmtId="0" fontId="85" fillId="0" borderId="0" xfId="0" applyFont="1" applyAlignment="1">
      <alignment horizontal="left" indent="1"/>
    </xf>
    <xf numFmtId="37" fontId="85" fillId="0" borderId="0" xfId="0" applyNumberFormat="1" applyFont="1"/>
    <xf numFmtId="39" fontId="85" fillId="0" borderId="0" xfId="0" applyNumberFormat="1" applyFont="1"/>
    <xf numFmtId="41" fontId="101" fillId="0" borderId="0" xfId="0" applyNumberFormat="1" applyFont="1"/>
    <xf numFmtId="202" fontId="83" fillId="0" borderId="0" xfId="0" applyNumberFormat="1" applyFont="1"/>
    <xf numFmtId="43" fontId="83" fillId="0" borderId="0" xfId="0" applyNumberFormat="1" applyFont="1"/>
    <xf numFmtId="0" fontId="77" fillId="0" borderId="0" xfId="0" applyFont="1" applyAlignment="1">
      <alignment horizontal="right"/>
    </xf>
    <xf numFmtId="41" fontId="69" fillId="0" borderId="0" xfId="4" applyNumberFormat="1" applyFont="1" applyBorder="1" applyAlignment="1">
      <alignment horizontal="right"/>
    </xf>
    <xf numFmtId="43" fontId="91" fillId="0" borderId="0" xfId="0" applyNumberFormat="1" applyFont="1"/>
    <xf numFmtId="43" fontId="95" fillId="0" borderId="0" xfId="0" applyNumberFormat="1" applyFont="1"/>
    <xf numFmtId="37" fontId="104" fillId="0" borderId="0" xfId="0" applyNumberFormat="1" applyFont="1"/>
    <xf numFmtId="39" fontId="104" fillId="0" borderId="0" xfId="0" applyNumberFormat="1" applyFont="1"/>
    <xf numFmtId="41" fontId="92" fillId="0" borderId="0" xfId="0" applyNumberFormat="1" applyFont="1"/>
    <xf numFmtId="0" fontId="83" fillId="12" borderId="0" xfId="0" applyFont="1" applyFill="1"/>
    <xf numFmtId="0" fontId="85" fillId="12" borderId="0" xfId="0" applyFont="1" applyFill="1"/>
    <xf numFmtId="0" fontId="69" fillId="0" borderId="0" xfId="0" applyFont="1" applyAlignment="1">
      <alignment horizontal="right"/>
    </xf>
    <xf numFmtId="0" fontId="69" fillId="0" borderId="39" xfId="0" applyFont="1" applyBorder="1" applyAlignment="1">
      <alignment horizontal="right"/>
    </xf>
    <xf numFmtId="0" fontId="80" fillId="0" borderId="0" xfId="0" applyFont="1"/>
    <xf numFmtId="13" fontId="5" fillId="0" borderId="0" xfId="4" applyNumberFormat="1" applyFont="1" applyBorder="1" applyAlignment="1">
      <alignment horizontal="right"/>
    </xf>
    <xf numFmtId="0" fontId="76" fillId="0" borderId="0" xfId="0" applyFont="1" applyAlignment="1">
      <alignment horizontal="left"/>
    </xf>
    <xf numFmtId="0" fontId="87" fillId="15" borderId="0" xfId="0" applyFont="1" applyFill="1"/>
    <xf numFmtId="0" fontId="105" fillId="15" borderId="0" xfId="0" applyFont="1" applyFill="1"/>
    <xf numFmtId="0" fontId="87" fillId="16" borderId="0" xfId="0" applyFont="1" applyFill="1"/>
    <xf numFmtId="0" fontId="105" fillId="16" borderId="0" xfId="0" applyFont="1" applyFill="1"/>
    <xf numFmtId="41" fontId="69" fillId="0" borderId="0" xfId="0" applyNumberFormat="1" applyFont="1" applyAlignment="1">
      <alignment horizontal="right"/>
    </xf>
    <xf numFmtId="41" fontId="5" fillId="0" borderId="0" xfId="0" applyNumberFormat="1" applyFont="1"/>
    <xf numFmtId="41" fontId="69" fillId="0" borderId="4" xfId="0" applyNumberFormat="1" applyFont="1" applyBorder="1" applyAlignment="1">
      <alignment horizontal="right"/>
    </xf>
    <xf numFmtId="166" fontId="69" fillId="0" borderId="0" xfId="4" applyNumberFormat="1" applyFont="1" applyBorder="1" applyAlignment="1">
      <alignment horizontal="right"/>
    </xf>
    <xf numFmtId="197" fontId="73" fillId="0" borderId="0" xfId="0" applyNumberFormat="1" applyFont="1"/>
    <xf numFmtId="9" fontId="83" fillId="0" borderId="0" xfId="0" applyNumberFormat="1" applyFont="1"/>
    <xf numFmtId="41" fontId="63" fillId="0" borderId="0" xfId="0" applyNumberFormat="1" applyFont="1"/>
    <xf numFmtId="0" fontId="65" fillId="0" borderId="7" xfId="0" applyFont="1" applyBorder="1" applyAlignment="1">
      <alignment horizontal="center"/>
    </xf>
    <xf numFmtId="0" fontId="77" fillId="0" borderId="0" xfId="0" applyFont="1"/>
    <xf numFmtId="166" fontId="69" fillId="0" borderId="0" xfId="4" applyNumberFormat="1" applyFont="1" applyBorder="1"/>
    <xf numFmtId="166" fontId="75" fillId="0" borderId="0" xfId="4" applyNumberFormat="1" applyFont="1" applyBorder="1"/>
    <xf numFmtId="166" fontId="72" fillId="0" borderId="0" xfId="4" applyNumberFormat="1" applyFont="1" applyBorder="1"/>
    <xf numFmtId="188" fontId="71" fillId="0" borderId="0" xfId="0" applyNumberFormat="1" applyFont="1"/>
    <xf numFmtId="0" fontId="65" fillId="0" borderId="4" xfId="0" applyFont="1" applyBorder="1" applyAlignment="1">
      <alignment horizontal="center"/>
    </xf>
    <xf numFmtId="166" fontId="69" fillId="0" borderId="4" xfId="4" applyNumberFormat="1" applyFont="1" applyBorder="1"/>
    <xf numFmtId="197" fontId="106" fillId="0" borderId="0" xfId="0" applyNumberFormat="1" applyFont="1"/>
    <xf numFmtId="197" fontId="76" fillId="12" borderId="0" xfId="0" applyNumberFormat="1" applyFont="1" applyFill="1"/>
    <xf numFmtId="197" fontId="79" fillId="0" borderId="4" xfId="0" applyNumberFormat="1" applyFont="1" applyBorder="1"/>
    <xf numFmtId="197" fontId="5" fillId="12" borderId="0" xfId="0" applyNumberFormat="1" applyFont="1" applyFill="1"/>
    <xf numFmtId="0" fontId="89" fillId="0" borderId="0" xfId="0" applyFont="1" applyAlignment="1">
      <alignment horizontal="right"/>
    </xf>
    <xf numFmtId="41" fontId="97" fillId="0" borderId="0" xfId="0" applyNumberFormat="1" applyFont="1"/>
    <xf numFmtId="166" fontId="91" fillId="0" borderId="0" xfId="4" applyNumberFormat="1" applyFont="1" applyBorder="1"/>
    <xf numFmtId="166" fontId="95" fillId="0" borderId="0" xfId="4" applyNumberFormat="1" applyFont="1" applyBorder="1"/>
    <xf numFmtId="200" fontId="92" fillId="0" borderId="0" xfId="0" applyNumberFormat="1" applyFont="1" applyAlignment="1">
      <alignment horizontal="right"/>
    </xf>
    <xf numFmtId="0" fontId="89" fillId="0" borderId="4" xfId="0" applyFont="1" applyBorder="1" applyAlignment="1">
      <alignment horizontal="right"/>
    </xf>
    <xf numFmtId="41" fontId="90" fillId="0" borderId="4" xfId="0" applyNumberFormat="1" applyFont="1" applyBorder="1"/>
    <xf numFmtId="197" fontId="84" fillId="0" borderId="4" xfId="0" applyNumberFormat="1" applyFont="1" applyBorder="1" applyAlignment="1">
      <alignment horizontal="right"/>
    </xf>
    <xf numFmtId="197" fontId="84" fillId="0" borderId="4" xfId="0" applyNumberFormat="1" applyFont="1" applyBorder="1"/>
    <xf numFmtId="41" fontId="94" fillId="0" borderId="4" xfId="0" applyNumberFormat="1" applyFont="1" applyBorder="1"/>
    <xf numFmtId="41" fontId="91" fillId="0" borderId="4" xfId="0" applyNumberFormat="1" applyFont="1" applyBorder="1"/>
    <xf numFmtId="197" fontId="92" fillId="0" borderId="4" xfId="0" applyNumberFormat="1" applyFont="1" applyBorder="1" applyAlignment="1">
      <alignment horizontal="right"/>
    </xf>
    <xf numFmtId="0" fontId="91" fillId="0" borderId="4" xfId="0" applyFont="1" applyBorder="1"/>
    <xf numFmtId="166" fontId="91" fillId="0" borderId="4" xfId="4" applyNumberFormat="1" applyFont="1" applyBorder="1"/>
    <xf numFmtId="166" fontId="95" fillId="0" borderId="4" xfId="4" applyNumberFormat="1" applyFont="1" applyBorder="1"/>
    <xf numFmtId="197" fontId="89" fillId="0" borderId="4" xfId="0" applyNumberFormat="1" applyFont="1" applyBorder="1"/>
    <xf numFmtId="41" fontId="83" fillId="0" borderId="4" xfId="0" applyNumberFormat="1" applyFont="1" applyBorder="1"/>
    <xf numFmtId="41" fontId="95" fillId="0" borderId="4" xfId="0" applyNumberFormat="1" applyFont="1" applyBorder="1"/>
    <xf numFmtId="200" fontId="92" fillId="0" borderId="4" xfId="0" applyNumberFormat="1" applyFont="1" applyBorder="1" applyAlignment="1">
      <alignment horizontal="right"/>
    </xf>
    <xf numFmtId="200" fontId="100" fillId="0" borderId="4" xfId="0" applyNumberFormat="1" applyFont="1" applyBorder="1" applyAlignment="1">
      <alignment horizontal="right"/>
    </xf>
    <xf numFmtId="0" fontId="83" fillId="0" borderId="4" xfId="0" applyFont="1" applyBorder="1"/>
    <xf numFmtId="200" fontId="83" fillId="0" borderId="4" xfId="0" applyNumberFormat="1" applyFont="1" applyBorder="1"/>
    <xf numFmtId="0" fontId="88" fillId="0" borderId="40" xfId="0" applyFont="1" applyBorder="1" applyAlignment="1">
      <alignment horizontal="center"/>
    </xf>
    <xf numFmtId="0" fontId="83" fillId="0" borderId="39" xfId="0" applyFont="1" applyBorder="1"/>
    <xf numFmtId="41" fontId="91" fillId="0" borderId="39" xfId="0" applyNumberFormat="1" applyFont="1" applyBorder="1"/>
    <xf numFmtId="197" fontId="92" fillId="0" borderId="39" xfId="0" quotePrefix="1" applyNumberFormat="1" applyFont="1" applyBorder="1" applyAlignment="1">
      <alignment horizontal="right"/>
    </xf>
    <xf numFmtId="197" fontId="84" fillId="0" borderId="39" xfId="0" applyNumberFormat="1" applyFont="1" applyBorder="1" applyAlignment="1">
      <alignment horizontal="right"/>
    </xf>
    <xf numFmtId="197" fontId="84" fillId="0" borderId="39" xfId="0" applyNumberFormat="1" applyFont="1" applyBorder="1"/>
    <xf numFmtId="197" fontId="92" fillId="0" borderId="39" xfId="0" applyNumberFormat="1" applyFont="1" applyBorder="1" applyAlignment="1">
      <alignment horizontal="right"/>
    </xf>
    <xf numFmtId="0" fontId="91" fillId="0" borderId="39" xfId="0" applyFont="1" applyBorder="1"/>
    <xf numFmtId="197" fontId="89" fillId="0" borderId="39" xfId="0" applyNumberFormat="1" applyFont="1" applyBorder="1"/>
    <xf numFmtId="41" fontId="83" fillId="0" borderId="39" xfId="0" applyNumberFormat="1" applyFont="1" applyBorder="1"/>
    <xf numFmtId="37" fontId="91" fillId="0" borderId="39" xfId="0" applyNumberFormat="1" applyFont="1" applyBorder="1"/>
    <xf numFmtId="200" fontId="100" fillId="0" borderId="39" xfId="0" applyNumberFormat="1" applyFont="1" applyBorder="1" applyAlignment="1">
      <alignment horizontal="right"/>
    </xf>
    <xf numFmtId="200" fontId="83" fillId="0" borderId="39" xfId="0" applyNumberFormat="1" applyFont="1" applyBorder="1"/>
    <xf numFmtId="0" fontId="88" fillId="0" borderId="6" xfId="0" applyFont="1" applyBorder="1" applyAlignment="1">
      <alignment horizontal="center"/>
    </xf>
    <xf numFmtId="200" fontId="92" fillId="0" borderId="39" xfId="0" applyNumberFormat="1" applyFont="1" applyBorder="1" applyAlignment="1">
      <alignment horizontal="right"/>
    </xf>
    <xf numFmtId="200" fontId="102" fillId="0" borderId="4" xfId="0" applyNumberFormat="1" applyFont="1" applyBorder="1"/>
    <xf numFmtId="197" fontId="89" fillId="0" borderId="38" xfId="0" applyNumberFormat="1" applyFont="1" applyBorder="1" applyAlignment="1">
      <alignment horizontal="right"/>
    </xf>
    <xf numFmtId="197" fontId="92" fillId="0" borderId="38" xfId="0" quotePrefix="1" applyNumberFormat="1" applyFont="1" applyBorder="1" applyAlignment="1">
      <alignment horizontal="right"/>
    </xf>
    <xf numFmtId="166" fontId="95" fillId="0" borderId="38" xfId="4" quotePrefix="1" applyNumberFormat="1" applyFont="1" applyBorder="1" applyAlignment="1">
      <alignment horizontal="right"/>
    </xf>
    <xf numFmtId="166" fontId="97" fillId="0" borderId="38" xfId="4" quotePrefix="1" applyNumberFormat="1" applyFont="1" applyBorder="1" applyAlignment="1">
      <alignment horizontal="right"/>
    </xf>
    <xf numFmtId="41" fontId="98" fillId="0" borderId="38" xfId="0" applyNumberFormat="1" applyFont="1" applyBorder="1"/>
    <xf numFmtId="41" fontId="99" fillId="0" borderId="38" xfId="0" applyNumberFormat="1" applyFont="1" applyBorder="1"/>
    <xf numFmtId="37" fontId="91" fillId="0" borderId="38" xfId="0" applyNumberFormat="1" applyFont="1" applyBorder="1"/>
    <xf numFmtId="0" fontId="66" fillId="0" borderId="0" xfId="0" applyFont="1" applyAlignment="1">
      <alignment horizontal="left" vertical="center" indent="2"/>
    </xf>
    <xf numFmtId="0" fontId="5" fillId="0" borderId="0" xfId="0" applyFont="1" applyAlignment="1">
      <alignment horizontal="left" vertical="center"/>
    </xf>
    <xf numFmtId="41" fontId="75" fillId="0" borderId="0" xfId="0" applyNumberFormat="1" applyFont="1" applyAlignment="1">
      <alignment horizontal="right"/>
    </xf>
    <xf numFmtId="41" fontId="75" fillId="0" borderId="4" xfId="0" applyNumberFormat="1" applyFont="1" applyBorder="1" applyAlignment="1">
      <alignment horizontal="right"/>
    </xf>
    <xf numFmtId="197" fontId="64" fillId="0" borderId="0" xfId="0" applyNumberFormat="1" applyFont="1"/>
    <xf numFmtId="197" fontId="64" fillId="0" borderId="4" xfId="0" applyNumberFormat="1" applyFont="1" applyBorder="1"/>
    <xf numFmtId="197" fontId="77" fillId="0" borderId="0" xfId="0" applyNumberFormat="1" applyFont="1"/>
    <xf numFmtId="166" fontId="107" fillId="0" borderId="0" xfId="4" applyNumberFormat="1" applyFont="1"/>
    <xf numFmtId="41" fontId="79" fillId="0" borderId="0" xfId="4" applyNumberFormat="1" applyFont="1" applyBorder="1" applyAlignment="1">
      <alignment horizontal="right"/>
    </xf>
    <xf numFmtId="41" fontId="107" fillId="0" borderId="0" xfId="4" applyNumberFormat="1" applyFont="1" applyBorder="1" applyAlignment="1">
      <alignment horizontal="right"/>
    </xf>
    <xf numFmtId="197" fontId="109" fillId="0" borderId="0" xfId="0" applyNumberFormat="1" applyFont="1"/>
    <xf numFmtId="166" fontId="108" fillId="0" borderId="0" xfId="4" applyNumberFormat="1" applyFont="1" applyBorder="1" applyAlignment="1">
      <alignment horizontal="right"/>
    </xf>
    <xf numFmtId="166" fontId="79" fillId="0" borderId="0" xfId="4" applyNumberFormat="1" applyFont="1"/>
    <xf numFmtId="166" fontId="110" fillId="0" borderId="0" xfId="4" applyNumberFormat="1" applyFont="1" applyBorder="1" applyAlignment="1">
      <alignment horizontal="right"/>
    </xf>
    <xf numFmtId="41" fontId="90" fillId="0" borderId="38" xfId="0" applyNumberFormat="1" applyFont="1" applyBorder="1"/>
    <xf numFmtId="41" fontId="90" fillId="0" borderId="39" xfId="0" applyNumberFormat="1" applyFont="1" applyBorder="1"/>
    <xf numFmtId="41" fontId="94" fillId="0" borderId="38" xfId="0" applyNumberFormat="1" applyFont="1" applyBorder="1"/>
    <xf numFmtId="166" fontId="91" fillId="0" borderId="38" xfId="4" applyNumberFormat="1" applyFont="1" applyBorder="1"/>
    <xf numFmtId="166" fontId="95" fillId="0" borderId="38" xfId="4" applyNumberFormat="1" applyFont="1" applyBorder="1"/>
    <xf numFmtId="41" fontId="95" fillId="0" borderId="38" xfId="0" applyNumberFormat="1" applyFont="1" applyBorder="1"/>
    <xf numFmtId="0" fontId="111" fillId="0" borderId="38" xfId="0" applyFont="1" applyBorder="1" applyAlignment="1">
      <alignment horizontal="center"/>
    </xf>
    <xf numFmtId="41" fontId="112" fillId="0" borderId="0" xfId="15" applyNumberFormat="1" applyFont="1"/>
    <xf numFmtId="166" fontId="71" fillId="0" borderId="0" xfId="4" applyNumberFormat="1" applyFont="1"/>
    <xf numFmtId="0" fontId="67" fillId="0" borderId="0" xfId="15" applyFont="1" applyAlignment="1">
      <alignment horizontal="left" indent="1"/>
    </xf>
    <xf numFmtId="0" fontId="66" fillId="0" borderId="0" xfId="15" applyFont="1" applyAlignment="1">
      <alignment horizontal="left" indent="1"/>
    </xf>
    <xf numFmtId="166" fontId="71" fillId="0" borderId="0" xfId="0" applyNumberFormat="1" applyFont="1"/>
    <xf numFmtId="0" fontId="67" fillId="0" borderId="0" xfId="0" applyFont="1" applyAlignment="1">
      <alignment horizontal="left" indent="1"/>
    </xf>
    <xf numFmtId="166" fontId="71" fillId="0" borderId="39" xfId="4" applyNumberFormat="1" applyFont="1" applyBorder="1"/>
    <xf numFmtId="166" fontId="69" fillId="0" borderId="0" xfId="0" applyNumberFormat="1" applyFont="1"/>
    <xf numFmtId="166" fontId="69" fillId="0" borderId="39" xfId="0" applyNumberFormat="1" applyFont="1" applyBorder="1"/>
    <xf numFmtId="166" fontId="71" fillId="0" borderId="0" xfId="4" applyNumberFormat="1" applyFont="1" applyAlignment="1">
      <alignment horizontal="right"/>
    </xf>
    <xf numFmtId="0" fontId="63" fillId="0" borderId="0" xfId="0" applyFont="1" applyAlignment="1">
      <alignment horizontal="center"/>
    </xf>
    <xf numFmtId="14" fontId="69" fillId="0" borderId="0" xfId="0" applyNumberFormat="1" applyFont="1"/>
    <xf numFmtId="166" fontId="69" fillId="0" borderId="0" xfId="4" applyNumberFormat="1" applyFont="1" applyAlignment="1">
      <alignment horizontal="left"/>
    </xf>
    <xf numFmtId="43" fontId="69" fillId="0" borderId="0" xfId="4" applyFont="1" applyAlignment="1">
      <alignment horizontal="right"/>
    </xf>
    <xf numFmtId="197" fontId="66" fillId="0" borderId="0" xfId="0" applyNumberFormat="1" applyFont="1" applyAlignment="1">
      <alignment horizontal="right"/>
    </xf>
    <xf numFmtId="166" fontId="79" fillId="0" borderId="0" xfId="4" applyNumberFormat="1" applyFont="1" applyAlignment="1">
      <alignment horizontal="left"/>
    </xf>
    <xf numFmtId="43" fontId="79" fillId="0" borderId="0" xfId="4" applyFont="1" applyAlignment="1">
      <alignment horizontal="right"/>
    </xf>
    <xf numFmtId="0" fontId="113" fillId="0" borderId="0" xfId="0" applyFont="1"/>
    <xf numFmtId="168" fontId="114" fillId="0" borderId="0" xfId="9" applyNumberFormat="1" applyFont="1" applyAlignment="1">
      <alignment horizontal="left"/>
    </xf>
    <xf numFmtId="0" fontId="115" fillId="0" borderId="0" xfId="0" applyFont="1"/>
    <xf numFmtId="0" fontId="116" fillId="0" borderId="0" xfId="0" applyFont="1"/>
    <xf numFmtId="0" fontId="115" fillId="0" borderId="0" xfId="0" applyFont="1" applyAlignment="1">
      <alignment horizontal="left"/>
    </xf>
    <xf numFmtId="167" fontId="115" fillId="0" borderId="0" xfId="0" applyNumberFormat="1" applyFont="1"/>
    <xf numFmtId="0" fontId="117" fillId="0" borderId="0" xfId="0" applyFont="1"/>
    <xf numFmtId="0" fontId="70" fillId="0" borderId="0" xfId="0" applyFont="1" applyAlignment="1">
      <alignment horizontal="left"/>
    </xf>
    <xf numFmtId="0" fontId="118" fillId="0" borderId="0" xfId="0" applyFont="1" applyAlignment="1">
      <alignment horizontal="centerContinuous"/>
    </xf>
    <xf numFmtId="0" fontId="70" fillId="0" borderId="0" xfId="0" applyFont="1" applyAlignment="1">
      <alignment horizontal="centerContinuous"/>
    </xf>
    <xf numFmtId="0" fontId="70" fillId="0" borderId="0" xfId="0" applyFont="1" applyAlignment="1">
      <alignment horizontal="center"/>
    </xf>
    <xf numFmtId="0" fontId="118" fillId="0" borderId="0" xfId="0" applyFont="1" applyAlignment="1">
      <alignment horizontal="left"/>
    </xf>
    <xf numFmtId="0" fontId="118" fillId="0" borderId="0" xfId="0" applyFont="1" applyAlignment="1">
      <alignment horizontal="center"/>
    </xf>
    <xf numFmtId="167" fontId="119" fillId="0" borderId="0" xfId="0" applyNumberFormat="1" applyFont="1" applyAlignment="1">
      <alignment horizontal="center"/>
    </xf>
    <xf numFmtId="0" fontId="69" fillId="0" borderId="0" xfId="0" applyFont="1" applyAlignment="1">
      <alignment horizontal="center"/>
    </xf>
    <xf numFmtId="14" fontId="115" fillId="0" borderId="0" xfId="0" applyNumberFormat="1" applyFont="1" applyAlignment="1">
      <alignment horizontal="left"/>
    </xf>
    <xf numFmtId="164" fontId="115" fillId="0" borderId="0" xfId="0" applyNumberFormat="1" applyFont="1"/>
    <xf numFmtId="164" fontId="117" fillId="0" borderId="0" xfId="0" applyNumberFormat="1" applyFont="1" applyAlignment="1">
      <alignment horizontal="center"/>
    </xf>
    <xf numFmtId="167" fontId="117" fillId="0" borderId="0" xfId="0" applyNumberFormat="1" applyFont="1" applyAlignment="1">
      <alignment horizontal="center"/>
    </xf>
    <xf numFmtId="0" fontId="120" fillId="0" borderId="0" xfId="9" applyFont="1"/>
    <xf numFmtId="205" fontId="115" fillId="0" borderId="0" xfId="0" applyNumberFormat="1" applyFont="1"/>
    <xf numFmtId="205" fontId="117" fillId="0" borderId="0" xfId="0" applyNumberFormat="1" applyFont="1" applyAlignment="1">
      <alignment horizontal="center"/>
    </xf>
    <xf numFmtId="166" fontId="115" fillId="0" borderId="0" xfId="0" applyNumberFormat="1" applyFont="1"/>
    <xf numFmtId="166" fontId="117" fillId="0" borderId="0" xfId="0" applyNumberFormat="1" applyFont="1" applyAlignment="1">
      <alignment horizontal="center"/>
    </xf>
    <xf numFmtId="165" fontId="115" fillId="0" borderId="0" xfId="0" applyNumberFormat="1" applyFont="1"/>
    <xf numFmtId="165" fontId="117" fillId="0" borderId="0" xfId="0" applyNumberFormat="1" applyFont="1" applyAlignment="1">
      <alignment horizontal="center"/>
    </xf>
    <xf numFmtId="0" fontId="113" fillId="12" borderId="0" xfId="0" applyFont="1" applyFill="1"/>
    <xf numFmtId="0" fontId="115" fillId="12" borderId="0" xfId="0" applyFont="1" applyFill="1"/>
    <xf numFmtId="0" fontId="70" fillId="12" borderId="0" xfId="0" applyFont="1" applyFill="1"/>
    <xf numFmtId="0" fontId="117" fillId="12" borderId="0" xfId="0" applyFont="1" applyFill="1"/>
    <xf numFmtId="0" fontId="116" fillId="12" borderId="0" xfId="0" applyFont="1" applyFill="1"/>
    <xf numFmtId="14" fontId="115" fillId="12" borderId="0" xfId="0" applyNumberFormat="1" applyFont="1" applyFill="1" applyAlignment="1">
      <alignment horizontal="left"/>
    </xf>
    <xf numFmtId="164" fontId="115" fillId="12" borderId="0" xfId="0" applyNumberFormat="1" applyFont="1" applyFill="1"/>
    <xf numFmtId="164" fontId="117" fillId="12" borderId="0" xfId="0" applyNumberFormat="1" applyFont="1" applyFill="1" applyAlignment="1">
      <alignment horizontal="center"/>
    </xf>
    <xf numFmtId="167" fontId="117" fillId="12" borderId="0" xfId="0" applyNumberFormat="1" applyFont="1" applyFill="1" applyAlignment="1">
      <alignment horizontal="center"/>
    </xf>
    <xf numFmtId="0" fontId="120" fillId="12" borderId="0" xfId="9" applyFont="1" applyFill="1"/>
    <xf numFmtId="0" fontId="69" fillId="12" borderId="0" xfId="0" applyFont="1" applyFill="1"/>
    <xf numFmtId="164" fontId="115" fillId="0" borderId="0" xfId="0" applyNumberFormat="1" applyFont="1" applyAlignment="1">
      <alignment horizontal="center"/>
    </xf>
    <xf numFmtId="167" fontId="115" fillId="0" borderId="0" xfId="0" applyNumberFormat="1" applyFont="1" applyAlignment="1">
      <alignment horizontal="center"/>
    </xf>
    <xf numFmtId="0" fontId="114" fillId="0" borderId="0" xfId="9" applyFont="1"/>
    <xf numFmtId="0" fontId="121" fillId="0" borderId="0" xfId="0" applyFont="1"/>
    <xf numFmtId="167" fontId="69" fillId="0" borderId="0" xfId="0" applyNumberFormat="1" applyFont="1"/>
    <xf numFmtId="0" fontId="79" fillId="0" borderId="0" xfId="0" applyFont="1"/>
    <xf numFmtId="9" fontId="5" fillId="0" borderId="0" xfId="1" applyFont="1"/>
    <xf numFmtId="14" fontId="69" fillId="0" borderId="0" xfId="0" applyNumberFormat="1" applyFont="1" applyAlignment="1">
      <alignment vertical="center"/>
    </xf>
    <xf numFmtId="0" fontId="69" fillId="0" borderId="0" xfId="0" applyFont="1" applyAlignment="1">
      <alignment vertical="center"/>
    </xf>
    <xf numFmtId="0" fontId="122" fillId="15" borderId="0" xfId="0" quotePrefix="1" applyFont="1" applyFill="1" applyAlignment="1">
      <alignment vertical="center"/>
    </xf>
    <xf numFmtId="0" fontId="122" fillId="15" borderId="0" xfId="0" applyFont="1" applyFill="1" applyAlignment="1">
      <alignment vertical="center" wrapText="1"/>
    </xf>
    <xf numFmtId="0" fontId="70" fillId="17" borderId="0" xfId="0" applyFont="1" applyFill="1" applyAlignment="1">
      <alignment vertical="center" wrapText="1"/>
    </xf>
    <xf numFmtId="0" fontId="69" fillId="0" borderId="0" xfId="0" applyFont="1" applyAlignment="1">
      <alignment vertical="center" wrapText="1"/>
    </xf>
    <xf numFmtId="0" fontId="118" fillId="0" borderId="0" xfId="0" applyFont="1" applyAlignment="1">
      <alignment vertical="center"/>
    </xf>
    <xf numFmtId="0" fontId="0" fillId="0" borderId="0" xfId="0" applyAlignment="1">
      <alignment vertical="top"/>
    </xf>
    <xf numFmtId="0" fontId="0" fillId="0" borderId="0" xfId="0" applyAlignment="1">
      <alignment vertical="top" wrapText="1"/>
    </xf>
    <xf numFmtId="0" fontId="10" fillId="0" borderId="2" xfId="0" applyFont="1" applyBorder="1" applyAlignment="1">
      <alignment vertical="top"/>
    </xf>
    <xf numFmtId="0" fontId="0" fillId="0" borderId="2" xfId="0" applyBorder="1" applyAlignment="1">
      <alignment vertical="top" wrapText="1"/>
    </xf>
    <xf numFmtId="0" fontId="0" fillId="0" borderId="2" xfId="0" applyBorder="1" applyAlignment="1">
      <alignment vertical="top"/>
    </xf>
    <xf numFmtId="0" fontId="65" fillId="0" borderId="0" xfId="0" applyFont="1" applyAlignment="1">
      <alignment horizontal="center" vertical="top"/>
    </xf>
    <xf numFmtId="0" fontId="65" fillId="0" borderId="0" xfId="0" applyFont="1" applyAlignment="1">
      <alignment horizontal="center" vertical="top" wrapText="1"/>
    </xf>
    <xf numFmtId="0" fontId="8" fillId="0" borderId="0" xfId="9" applyAlignment="1">
      <alignment vertical="top"/>
    </xf>
    <xf numFmtId="14" fontId="0" fillId="0" borderId="0" xfId="0" applyNumberFormat="1" applyAlignment="1">
      <alignment vertical="top"/>
    </xf>
    <xf numFmtId="43" fontId="72" fillId="0" borderId="0" xfId="0" applyNumberFormat="1" applyFont="1"/>
    <xf numFmtId="206" fontId="5" fillId="0" borderId="0" xfId="4" applyNumberFormat="1" applyFont="1" applyBorder="1" applyAlignment="1">
      <alignment horizontal="right"/>
    </xf>
    <xf numFmtId="0" fontId="69" fillId="0" borderId="38" xfId="0" applyFont="1" applyBorder="1"/>
    <xf numFmtId="41" fontId="5" fillId="0" borderId="38" xfId="4" applyNumberFormat="1" applyFont="1" applyBorder="1" applyAlignment="1">
      <alignment horizontal="right"/>
    </xf>
    <xf numFmtId="41" fontId="63" fillId="0" borderId="38" xfId="4" applyNumberFormat="1" applyFont="1" applyBorder="1" applyAlignment="1">
      <alignment horizontal="right"/>
    </xf>
    <xf numFmtId="0" fontId="71" fillId="0" borderId="38" xfId="0" applyFont="1" applyBorder="1"/>
    <xf numFmtId="197" fontId="66" fillId="0" borderId="38" xfId="0" applyNumberFormat="1" applyFont="1" applyBorder="1"/>
    <xf numFmtId="197" fontId="67" fillId="0" borderId="38" xfId="0" applyNumberFormat="1" applyFont="1" applyBorder="1"/>
    <xf numFmtId="197" fontId="71" fillId="0" borderId="38" xfId="0" applyNumberFormat="1" applyFont="1" applyBorder="1"/>
    <xf numFmtId="41" fontId="66" fillId="0" borderId="38" xfId="4" applyNumberFormat="1" applyFont="1" applyBorder="1" applyAlignment="1">
      <alignment horizontal="right"/>
    </xf>
    <xf numFmtId="166" fontId="66" fillId="0" borderId="38" xfId="4" applyNumberFormat="1" applyFont="1" applyBorder="1" applyAlignment="1">
      <alignment horizontal="right"/>
    </xf>
    <xf numFmtId="41" fontId="76" fillId="0" borderId="38" xfId="4" applyNumberFormat="1" applyFont="1" applyBorder="1" applyAlignment="1">
      <alignment horizontal="right"/>
    </xf>
    <xf numFmtId="166" fontId="69" fillId="0" borderId="38" xfId="4" applyNumberFormat="1" applyFont="1" applyBorder="1" applyAlignment="1">
      <alignment horizontal="right"/>
    </xf>
    <xf numFmtId="166" fontId="5" fillId="0" borderId="38" xfId="4" applyNumberFormat="1" applyFont="1" applyBorder="1" applyAlignment="1">
      <alignment horizontal="right"/>
    </xf>
    <xf numFmtId="166" fontId="72" fillId="0" borderId="38" xfId="4" applyNumberFormat="1" applyFont="1" applyBorder="1"/>
    <xf numFmtId="197" fontId="73" fillId="0" borderId="38" xfId="0" applyNumberFormat="1" applyFont="1" applyBorder="1"/>
    <xf numFmtId="41" fontId="5" fillId="14" borderId="38" xfId="4" applyNumberFormat="1" applyFont="1" applyFill="1" applyBorder="1" applyAlignment="1">
      <alignment horizontal="right"/>
    </xf>
    <xf numFmtId="41" fontId="76" fillId="14" borderId="38" xfId="4" applyNumberFormat="1" applyFont="1" applyFill="1" applyBorder="1" applyAlignment="1">
      <alignment horizontal="right"/>
    </xf>
    <xf numFmtId="0" fontId="69" fillId="14" borderId="38" xfId="0" applyFont="1" applyFill="1" applyBorder="1"/>
    <xf numFmtId="41" fontId="64" fillId="0" borderId="38" xfId="4" applyNumberFormat="1" applyFont="1" applyBorder="1" applyAlignment="1">
      <alignment horizontal="right"/>
    </xf>
    <xf numFmtId="41" fontId="74" fillId="0" borderId="38" xfId="4" applyNumberFormat="1" applyFont="1" applyBorder="1" applyAlignment="1">
      <alignment horizontal="right"/>
    </xf>
    <xf numFmtId="0" fontId="68" fillId="0" borderId="38" xfId="0" applyFont="1" applyBorder="1" applyAlignment="1">
      <alignment horizontal="right"/>
    </xf>
    <xf numFmtId="0" fontId="70" fillId="0" borderId="38" xfId="0" applyFont="1" applyBorder="1" applyAlignment="1">
      <alignment horizontal="right"/>
    </xf>
    <xf numFmtId="197" fontId="64" fillId="0" borderId="38" xfId="0" applyNumberFormat="1" applyFont="1" applyBorder="1"/>
    <xf numFmtId="166" fontId="77" fillId="0" borderId="0" xfId="4" applyNumberFormat="1" applyFont="1" applyBorder="1" applyAlignment="1">
      <alignment horizontal="right"/>
    </xf>
    <xf numFmtId="204" fontId="69" fillId="0" borderId="0" xfId="4" applyNumberFormat="1" applyFont="1" applyBorder="1" applyAlignment="1">
      <alignment horizontal="right"/>
    </xf>
    <xf numFmtId="41" fontId="69" fillId="0" borderId="38" xfId="4" applyNumberFormat="1" applyFont="1" applyBorder="1" applyAlignment="1">
      <alignment horizontal="right"/>
    </xf>
    <xf numFmtId="41" fontId="94" fillId="0" borderId="39" xfId="0" applyNumberFormat="1" applyFont="1" applyBorder="1"/>
    <xf numFmtId="166" fontId="94" fillId="0" borderId="39" xfId="4" quotePrefix="1" applyNumberFormat="1" applyFont="1" applyBorder="1" applyAlignment="1">
      <alignment horizontal="right"/>
    </xf>
    <xf numFmtId="41" fontId="95" fillId="0" borderId="39" xfId="0" applyNumberFormat="1" applyFont="1" applyBorder="1"/>
    <xf numFmtId="188" fontId="89" fillId="0" borderId="38" xfId="0" applyNumberFormat="1" applyFont="1" applyBorder="1" applyAlignment="1">
      <alignment horizontal="right"/>
    </xf>
    <xf numFmtId="203" fontId="91" fillId="0" borderId="0" xfId="0" applyNumberFormat="1" applyFont="1"/>
    <xf numFmtId="0" fontId="123" fillId="0" borderId="0" xfId="0" applyFont="1"/>
    <xf numFmtId="0" fontId="124" fillId="0" borderId="0" xfId="0" applyFont="1"/>
    <xf numFmtId="0" fontId="125" fillId="0" borderId="0" xfId="0" applyFont="1" applyAlignment="1">
      <alignment wrapText="1"/>
    </xf>
    <xf numFmtId="0" fontId="126" fillId="0" borderId="0" xfId="0" applyFont="1"/>
    <xf numFmtId="0" fontId="127" fillId="0" borderId="0" xfId="0" applyFont="1" applyAlignment="1">
      <alignment horizontal="left" vertical="top"/>
    </xf>
    <xf numFmtId="49" fontId="124" fillId="0" borderId="0" xfId="0" applyNumberFormat="1" applyFont="1"/>
    <xf numFmtId="0" fontId="127" fillId="0" borderId="0" xfId="0" applyFont="1" applyAlignment="1">
      <alignment horizontal="left" vertical="center"/>
    </xf>
    <xf numFmtId="0" fontId="128" fillId="18" borderId="0" xfId="0" applyFont="1" applyFill="1"/>
    <xf numFmtId="0" fontId="129" fillId="0" borderId="0" xfId="16" applyAlignment="1"/>
    <xf numFmtId="0" fontId="130" fillId="19" borderId="0" xfId="0" applyFont="1" applyFill="1" applyAlignment="1">
      <alignment wrapText="1"/>
    </xf>
    <xf numFmtId="0" fontId="130" fillId="19" borderId="0" xfId="0" applyFont="1" applyFill="1" applyAlignment="1">
      <alignment horizontal="right" wrapText="1"/>
    </xf>
    <xf numFmtId="0" fontId="131" fillId="19" borderId="0" xfId="0" applyFont="1" applyFill="1" applyAlignment="1">
      <alignment wrapText="1"/>
    </xf>
    <xf numFmtId="0" fontId="131" fillId="19" borderId="0" xfId="0" applyFont="1" applyFill="1" applyAlignment="1">
      <alignment horizontal="right" wrapText="1"/>
    </xf>
    <xf numFmtId="0" fontId="130" fillId="0" borderId="0" xfId="0" applyFont="1" applyAlignment="1">
      <alignment horizontal="left" vertical="top"/>
    </xf>
    <xf numFmtId="207" fontId="127" fillId="0" borderId="0" xfId="0" applyNumberFormat="1" applyFont="1" applyAlignment="1">
      <alignment horizontal="right" vertical="top" wrapText="1"/>
    </xf>
    <xf numFmtId="207" fontId="130" fillId="0" borderId="41" xfId="0" applyNumberFormat="1" applyFont="1" applyBorder="1" applyAlignment="1">
      <alignment horizontal="right" vertical="top" wrapText="1"/>
    </xf>
    <xf numFmtId="207" fontId="130" fillId="0" borderId="0" xfId="0" applyNumberFormat="1" applyFont="1" applyAlignment="1">
      <alignment horizontal="right" vertical="top" wrapText="1"/>
    </xf>
    <xf numFmtId="207" fontId="132" fillId="0" borderId="41" xfId="0" applyNumberFormat="1" applyFont="1" applyBorder="1" applyAlignment="1">
      <alignment horizontal="right" vertical="top" wrapText="1"/>
    </xf>
    <xf numFmtId="208" fontId="127" fillId="0" borderId="0" xfId="0" applyNumberFormat="1" applyFont="1" applyAlignment="1">
      <alignment horizontal="right" vertical="top" wrapText="1"/>
    </xf>
    <xf numFmtId="209" fontId="127" fillId="0" borderId="0" xfId="0" applyNumberFormat="1" applyFont="1" applyAlignment="1">
      <alignment horizontal="right" vertical="top" wrapText="1"/>
    </xf>
    <xf numFmtId="210" fontId="127" fillId="0" borderId="0" xfId="0" applyNumberFormat="1" applyFont="1" applyAlignment="1">
      <alignment horizontal="right" vertical="top" wrapText="1"/>
    </xf>
    <xf numFmtId="211" fontId="127" fillId="0" borderId="0" xfId="0" applyNumberFormat="1" applyFont="1" applyAlignment="1">
      <alignment horizontal="right" vertical="top" wrapText="1"/>
    </xf>
    <xf numFmtId="49" fontId="127" fillId="0" borderId="0" xfId="0" applyNumberFormat="1" applyFont="1" applyAlignment="1">
      <alignment horizontal="right" vertical="top" wrapText="1"/>
    </xf>
    <xf numFmtId="211" fontId="130" fillId="19" borderId="0" xfId="0" applyNumberFormat="1" applyFont="1" applyFill="1" applyAlignment="1">
      <alignment horizontal="right" wrapText="1"/>
    </xf>
    <xf numFmtId="207" fontId="133" fillId="0" borderId="0" xfId="0" applyNumberFormat="1" applyFont="1" applyAlignment="1">
      <alignment horizontal="right" vertical="top" wrapText="1"/>
    </xf>
    <xf numFmtId="207" fontId="132" fillId="0" borderId="0" xfId="0" applyNumberFormat="1" applyFont="1" applyAlignment="1">
      <alignment horizontal="right" vertical="top" wrapText="1"/>
    </xf>
    <xf numFmtId="212" fontId="127" fillId="0" borderId="0" xfId="0" applyNumberFormat="1" applyFont="1" applyAlignment="1">
      <alignment horizontal="right" vertical="top" wrapText="1"/>
    </xf>
    <xf numFmtId="0" fontId="124" fillId="0" borderId="0" xfId="0" applyFont="1" applyAlignment="1">
      <alignment vertical="top" wrapText="1"/>
    </xf>
    <xf numFmtId="0" fontId="127" fillId="0" borderId="0" xfId="0" applyFont="1" applyAlignment="1">
      <alignment horizontal="center" vertical="center"/>
    </xf>
    <xf numFmtId="43" fontId="127" fillId="0" borderId="0" xfId="0" applyNumberFormat="1" applyFont="1" applyAlignment="1">
      <alignment horizontal="left" vertical="top"/>
    </xf>
    <xf numFmtId="213" fontId="84" fillId="0" borderId="0" xfId="0" applyNumberFormat="1" applyFont="1" applyAlignment="1">
      <alignment horizontal="centerContinuous"/>
    </xf>
    <xf numFmtId="213" fontId="83" fillId="0" borderId="0" xfId="0" applyNumberFormat="1" applyFont="1" applyAlignment="1">
      <alignment horizontal="centerContinuous"/>
    </xf>
    <xf numFmtId="213" fontId="84" fillId="0" borderId="0" xfId="0" applyNumberFormat="1" applyFont="1" applyAlignment="1">
      <alignment horizontal="right" wrapText="1"/>
    </xf>
    <xf numFmtId="0" fontId="84" fillId="0" borderId="42" xfId="0" applyFont="1" applyBorder="1"/>
    <xf numFmtId="0" fontId="85" fillId="0" borderId="42" xfId="0" applyFont="1" applyBorder="1" applyAlignment="1">
      <alignment horizontal="centerContinuous"/>
    </xf>
    <xf numFmtId="0" fontId="88" fillId="0" borderId="0" xfId="0" applyFont="1" applyAlignment="1">
      <alignment horizontal="centerContinuous"/>
    </xf>
    <xf numFmtId="213" fontId="84" fillId="0" borderId="0" xfId="0" applyNumberFormat="1" applyFont="1" applyAlignment="1">
      <alignment horizontal="centerContinuous" vertical="center"/>
    </xf>
    <xf numFmtId="0" fontId="134" fillId="0" borderId="0" xfId="0" applyFont="1" applyAlignment="1">
      <alignment horizontal="centerContinuous"/>
    </xf>
    <xf numFmtId="0" fontId="135" fillId="0" borderId="0" xfId="0" applyFont="1" applyAlignment="1">
      <alignment vertical="center"/>
    </xf>
    <xf numFmtId="0" fontId="85" fillId="0" borderId="35" xfId="0" applyFont="1" applyBorder="1" applyAlignment="1">
      <alignment vertical="center"/>
    </xf>
    <xf numFmtId="0" fontId="83" fillId="0" borderId="36" xfId="0" applyFont="1" applyBorder="1"/>
    <xf numFmtId="0" fontId="84" fillId="0" borderId="0" xfId="0" applyFont="1" applyAlignment="1">
      <alignment horizontal="center"/>
    </xf>
    <xf numFmtId="0" fontId="85" fillId="0" borderId="0" xfId="0" applyFont="1" applyAlignment="1">
      <alignment horizontal="left" vertical="center"/>
    </xf>
    <xf numFmtId="0" fontId="85" fillId="0" borderId="0" xfId="0" applyFont="1" applyAlignment="1">
      <alignment vertical="center"/>
    </xf>
    <xf numFmtId="41" fontId="136" fillId="0" borderId="0" xfId="0" applyNumberFormat="1" applyFont="1" applyAlignment="1">
      <alignment vertical="center"/>
    </xf>
    <xf numFmtId="41" fontId="136" fillId="0" borderId="0" xfId="0" applyNumberFormat="1" applyFont="1"/>
    <xf numFmtId="41" fontId="137" fillId="0" borderId="0" xfId="0" applyNumberFormat="1" applyFont="1"/>
    <xf numFmtId="214" fontId="138" fillId="0" borderId="0" xfId="0" applyNumberFormat="1" applyFont="1" applyAlignment="1">
      <alignment horizontal="right" vertical="center"/>
    </xf>
    <xf numFmtId="214" fontId="135" fillId="0" borderId="0" xfId="0" applyNumberFormat="1" applyFont="1" applyAlignment="1">
      <alignment horizontal="right"/>
    </xf>
    <xf numFmtId="216" fontId="139" fillId="0" borderId="0" xfId="0" applyNumberFormat="1" applyFont="1" applyAlignment="1">
      <alignment horizontal="right"/>
    </xf>
    <xf numFmtId="215" fontId="135" fillId="0" borderId="0" xfId="0" applyNumberFormat="1" applyFont="1"/>
    <xf numFmtId="216" fontId="140" fillId="0" borderId="0" xfId="0" applyNumberFormat="1" applyFont="1" applyAlignment="1">
      <alignment horizontal="right"/>
    </xf>
    <xf numFmtId="0" fontId="84" fillId="0" borderId="0" xfId="0" applyFont="1" applyAlignment="1">
      <alignment horizontal="left" vertical="center" indent="1"/>
    </xf>
    <xf numFmtId="0" fontId="83" fillId="0" borderId="0" xfId="0" applyFont="1" applyAlignment="1">
      <alignment vertical="center"/>
    </xf>
    <xf numFmtId="215" fontId="135" fillId="0" borderId="0" xfId="0" applyNumberFormat="1" applyFont="1" applyAlignment="1">
      <alignment vertical="center"/>
    </xf>
    <xf numFmtId="215" fontId="135" fillId="0" borderId="0" xfId="0" applyNumberFormat="1" applyFont="1" applyAlignment="1">
      <alignment horizontal="right" vertical="center"/>
    </xf>
    <xf numFmtId="214" fontId="141" fillId="0" borderId="0" xfId="0" applyNumberFormat="1" applyFont="1" applyAlignment="1">
      <alignment horizontal="right" vertical="center"/>
    </xf>
    <xf numFmtId="166" fontId="135" fillId="0" borderId="0" xfId="4" applyNumberFormat="1" applyFont="1" applyAlignment="1">
      <alignment vertical="center"/>
    </xf>
    <xf numFmtId="0" fontId="83" fillId="0" borderId="0" xfId="0" applyFont="1" applyAlignment="1">
      <alignment horizontal="left" vertical="center"/>
    </xf>
    <xf numFmtId="41" fontId="142" fillId="0" borderId="0" xfId="0" applyNumberFormat="1" applyFont="1" applyAlignment="1">
      <alignment vertical="center"/>
    </xf>
    <xf numFmtId="214" fontId="142" fillId="0" borderId="0" xfId="0" applyNumberFormat="1" applyFont="1" applyAlignment="1">
      <alignment horizontal="right" vertical="center"/>
    </xf>
    <xf numFmtId="0" fontId="85" fillId="0" borderId="0" xfId="0" applyFont="1" applyAlignment="1">
      <alignment horizontal="left" vertical="center" indent="1"/>
    </xf>
    <xf numFmtId="0" fontId="84" fillId="0" borderId="0" xfId="0" applyFont="1" applyAlignment="1">
      <alignment horizontal="left" vertical="center" indent="2"/>
    </xf>
    <xf numFmtId="216" fontId="135" fillId="0" borderId="0" xfId="0" applyNumberFormat="1" applyFont="1" applyAlignment="1">
      <alignment horizontal="right" vertical="center"/>
    </xf>
    <xf numFmtId="41" fontId="143" fillId="0" borderId="0" xfId="0" applyNumberFormat="1" applyFont="1" applyAlignment="1">
      <alignment vertical="center"/>
    </xf>
    <xf numFmtId="41" fontId="144" fillId="0" borderId="0" xfId="0" applyNumberFormat="1" applyFont="1" applyAlignment="1">
      <alignment vertical="center"/>
    </xf>
    <xf numFmtId="41" fontId="138" fillId="0" borderId="0" xfId="0" applyNumberFormat="1" applyFont="1" applyAlignment="1">
      <alignment vertical="center"/>
    </xf>
    <xf numFmtId="0" fontId="84" fillId="0" borderId="0" xfId="0" applyFont="1" applyAlignment="1">
      <alignment horizontal="left" vertical="center" indent="3"/>
    </xf>
    <xf numFmtId="0" fontId="83" fillId="0" borderId="0" xfId="0" applyFont="1" applyAlignment="1">
      <alignment horizontal="left" vertical="center" indent="1"/>
    </xf>
    <xf numFmtId="41" fontId="141" fillId="0" borderId="0" xfId="0" applyNumberFormat="1" applyFont="1" applyAlignment="1">
      <alignment vertical="center"/>
    </xf>
    <xf numFmtId="41" fontId="144" fillId="0" borderId="0" xfId="0" applyNumberFormat="1" applyFont="1"/>
    <xf numFmtId="179" fontId="143" fillId="0" borderId="0" xfId="0" applyNumberFormat="1" applyFont="1" applyAlignment="1">
      <alignment vertical="center"/>
    </xf>
    <xf numFmtId="179" fontId="144" fillId="0" borderId="0" xfId="0" applyNumberFormat="1" applyFont="1" applyAlignment="1">
      <alignment vertical="center"/>
    </xf>
    <xf numFmtId="206" fontId="138" fillId="0" borderId="0" xfId="0" applyNumberFormat="1" applyFont="1" applyAlignment="1">
      <alignment vertical="center"/>
    </xf>
    <xf numFmtId="0" fontId="103" fillId="0" borderId="0" xfId="0" applyFont="1" applyAlignment="1">
      <alignment horizontal="left"/>
    </xf>
    <xf numFmtId="41" fontId="146" fillId="0" borderId="0" xfId="0" applyNumberFormat="1" applyFont="1" applyAlignment="1">
      <alignment vertical="center"/>
    </xf>
    <xf numFmtId="41" fontId="146" fillId="0" borderId="0" xfId="0" applyNumberFormat="1" applyFont="1" applyAlignment="1">
      <alignment horizontal="right" vertical="center"/>
    </xf>
    <xf numFmtId="41" fontId="147" fillId="0" borderId="0" xfId="0" applyNumberFormat="1" applyFont="1"/>
    <xf numFmtId="41" fontId="137" fillId="0" borderId="0" xfId="0" applyNumberFormat="1" applyFont="1" applyAlignment="1">
      <alignment vertical="center"/>
    </xf>
    <xf numFmtId="0" fontId="103" fillId="0" borderId="0" xfId="0" quotePrefix="1" applyFont="1" applyAlignment="1">
      <alignment horizontal="left"/>
    </xf>
    <xf numFmtId="0" fontId="83" fillId="0" borderId="0" xfId="0" quotePrefix="1" applyFont="1" applyAlignment="1">
      <alignment horizontal="left" vertical="center"/>
    </xf>
    <xf numFmtId="0" fontId="83" fillId="0" borderId="0" xfId="0" quotePrefix="1" applyFont="1" applyAlignment="1">
      <alignment horizontal="left" vertical="center" indent="1"/>
    </xf>
    <xf numFmtId="217" fontId="135" fillId="0" borderId="0" xfId="0" applyNumberFormat="1" applyFont="1" applyAlignment="1">
      <alignment vertical="center"/>
    </xf>
    <xf numFmtId="217" fontId="141" fillId="0" borderId="0" xfId="0" applyNumberFormat="1" applyFont="1" applyAlignment="1">
      <alignment vertical="center"/>
    </xf>
    <xf numFmtId="0" fontId="145" fillId="0" borderId="0" xfId="0" applyFont="1" applyAlignment="1">
      <alignment horizontal="left" indent="1"/>
    </xf>
    <xf numFmtId="218" fontId="140" fillId="0" borderId="0" xfId="0" applyNumberFormat="1" applyFont="1" applyAlignment="1">
      <alignment vertical="center"/>
    </xf>
    <xf numFmtId="218" fontId="135" fillId="0" borderId="0" xfId="0" applyNumberFormat="1" applyFont="1" applyAlignment="1">
      <alignment vertical="center"/>
    </xf>
    <xf numFmtId="218" fontId="148" fillId="0" borderId="0" xfId="0" applyNumberFormat="1" applyFont="1" applyAlignment="1">
      <alignment vertical="center"/>
    </xf>
    <xf numFmtId="218" fontId="149" fillId="0" borderId="0" xfId="0" applyNumberFormat="1" applyFont="1" applyAlignment="1">
      <alignment vertical="center"/>
    </xf>
    <xf numFmtId="0" fontId="84" fillId="0" borderId="0" xfId="0" applyFont="1" applyAlignment="1">
      <alignment horizontal="left" indent="3"/>
    </xf>
    <xf numFmtId="0" fontId="85" fillId="0" borderId="35" xfId="0" applyFont="1" applyBorder="1"/>
    <xf numFmtId="214" fontId="135" fillId="0" borderId="0" xfId="0" applyNumberFormat="1" applyFont="1" applyAlignment="1">
      <alignment horizontal="right" vertical="center"/>
    </xf>
    <xf numFmtId="219" fontId="150" fillId="0" borderId="0" xfId="0" applyNumberFormat="1" applyFont="1" applyAlignment="1">
      <alignment horizontal="right"/>
    </xf>
    <xf numFmtId="0" fontId="83" fillId="0" borderId="0" xfId="0" quotePrefix="1" applyFont="1" applyAlignment="1">
      <alignment vertical="center"/>
    </xf>
    <xf numFmtId="0" fontId="83" fillId="0" borderId="0" xfId="0" quotePrefix="1" applyFont="1"/>
    <xf numFmtId="41" fontId="147" fillId="0" borderId="0" xfId="0" applyNumberFormat="1" applyFont="1" applyAlignment="1">
      <alignment vertical="center"/>
    </xf>
    <xf numFmtId="41" fontId="143" fillId="0" borderId="0" xfId="0" applyNumberFormat="1" applyFont="1" applyAlignment="1">
      <alignment horizontal="right" vertical="center"/>
    </xf>
    <xf numFmtId="41" fontId="141" fillId="0" borderId="0" xfId="0" applyNumberFormat="1" applyFont="1" applyAlignment="1">
      <alignment horizontal="right" vertical="center"/>
    </xf>
    <xf numFmtId="0" fontId="151" fillId="0" borderId="0" xfId="0" applyFont="1"/>
    <xf numFmtId="0" fontId="103" fillId="0" borderId="0" xfId="0" applyFont="1" applyAlignment="1">
      <alignment horizontal="centerContinuous" vertical="center"/>
    </xf>
    <xf numFmtId="220" fontId="141" fillId="0" borderId="0" xfId="0" applyNumberFormat="1" applyFont="1" applyAlignment="1">
      <alignment horizontal="right" vertical="center"/>
    </xf>
    <xf numFmtId="221" fontId="146" fillId="0" borderId="9" xfId="0" applyNumberFormat="1" applyFont="1" applyBorder="1" applyAlignment="1">
      <alignment horizontal="center" vertical="center"/>
    </xf>
    <xf numFmtId="221" fontId="141" fillId="0" borderId="0" xfId="0" applyNumberFormat="1" applyFont="1" applyAlignment="1">
      <alignment horizontal="center" vertical="center"/>
    </xf>
    <xf numFmtId="214" fontId="83" fillId="0" borderId="0" xfId="0" applyNumberFormat="1" applyFont="1"/>
    <xf numFmtId="222" fontId="83" fillId="0" borderId="0" xfId="0" applyNumberFormat="1" applyFont="1"/>
    <xf numFmtId="200" fontId="152" fillId="0" borderId="0" xfId="0" applyNumberFormat="1" applyFont="1" applyAlignment="1">
      <alignment horizontal="right"/>
    </xf>
    <xf numFmtId="200" fontId="152" fillId="0" borderId="0" xfId="0" applyNumberFormat="1" applyFont="1" applyAlignment="1">
      <alignment horizontal="left"/>
    </xf>
    <xf numFmtId="223" fontId="84" fillId="0" borderId="0" xfId="0" applyNumberFormat="1" applyFont="1" applyAlignment="1">
      <alignment horizontal="right"/>
    </xf>
    <xf numFmtId="223" fontId="83" fillId="0" borderId="0" xfId="0" applyNumberFormat="1" applyFont="1" applyAlignment="1">
      <alignment horizontal="right"/>
    </xf>
    <xf numFmtId="219" fontId="141" fillId="0" borderId="0" xfId="0" applyNumberFormat="1" applyFont="1" applyAlignment="1">
      <alignment horizontal="right"/>
    </xf>
    <xf numFmtId="41" fontId="152" fillId="0" borderId="0" xfId="0" applyNumberFormat="1" applyFont="1" applyAlignment="1">
      <alignment horizontal="right"/>
    </xf>
    <xf numFmtId="0" fontId="83" fillId="0" borderId="42" xfId="0" applyFont="1" applyBorder="1"/>
    <xf numFmtId="0" fontId="84" fillId="0" borderId="42" xfId="0" applyFont="1" applyBorder="1" applyAlignment="1">
      <alignment horizontal="center"/>
    </xf>
    <xf numFmtId="0" fontId="69" fillId="0" borderId="0" xfId="17">
      <alignment vertical="center"/>
    </xf>
    <xf numFmtId="2" fontId="69" fillId="0" borderId="0" xfId="17" applyNumberFormat="1">
      <alignment vertical="center"/>
    </xf>
    <xf numFmtId="224" fontId="69" fillId="0" borderId="0" xfId="17" applyNumberFormat="1">
      <alignment vertical="center"/>
    </xf>
    <xf numFmtId="43" fontId="71" fillId="0" borderId="0" xfId="0" applyNumberFormat="1" applyFont="1"/>
    <xf numFmtId="166" fontId="5" fillId="0" borderId="0" xfId="0" applyNumberFormat="1" applyFont="1"/>
    <xf numFmtId="0" fontId="4" fillId="0" borderId="0" xfId="18"/>
    <xf numFmtId="7" fontId="4" fillId="0" borderId="0" xfId="18" applyNumberFormat="1"/>
    <xf numFmtId="5" fontId="4" fillId="0" borderId="0" xfId="18" applyNumberFormat="1"/>
    <xf numFmtId="225" fontId="153" fillId="0" borderId="0" xfId="18" applyNumberFormat="1" applyFont="1"/>
    <xf numFmtId="6" fontId="153" fillId="0" borderId="0" xfId="18" applyNumberFormat="1" applyFont="1"/>
    <xf numFmtId="7" fontId="153" fillId="0" borderId="0" xfId="18" applyNumberFormat="1" applyFont="1"/>
    <xf numFmtId="8" fontId="4" fillId="0" borderId="0" xfId="18" applyNumberFormat="1"/>
    <xf numFmtId="8" fontId="153" fillId="0" borderId="0" xfId="18" applyNumberFormat="1" applyFont="1"/>
    <xf numFmtId="37" fontId="4" fillId="0" borderId="0" xfId="18" applyNumberFormat="1"/>
    <xf numFmtId="5" fontId="153" fillId="0" borderId="0" xfId="18" applyNumberFormat="1" applyFont="1"/>
    <xf numFmtId="0" fontId="4" fillId="0" borderId="2" xfId="18" applyBorder="1"/>
    <xf numFmtId="0" fontId="7" fillId="0" borderId="2" xfId="18" applyFont="1" applyBorder="1"/>
    <xf numFmtId="0" fontId="4" fillId="0" borderId="0" xfId="18" applyAlignment="1">
      <alignment horizontal="left" indent="1"/>
    </xf>
    <xf numFmtId="43" fontId="154" fillId="0" borderId="0" xfId="4" applyFont="1"/>
    <xf numFmtId="166" fontId="154" fillId="0" borderId="0" xfId="4" applyNumberFormat="1" applyFont="1"/>
    <xf numFmtId="0" fontId="0" fillId="0" borderId="0" xfId="0" applyAlignment="1">
      <alignment vertical="center"/>
    </xf>
    <xf numFmtId="0" fontId="155" fillId="0" borderId="0" xfId="0" applyFont="1" applyAlignment="1">
      <alignment vertical="center"/>
    </xf>
    <xf numFmtId="0" fontId="4" fillId="0" borderId="0" xfId="18" quotePrefix="1"/>
    <xf numFmtId="166" fontId="4" fillId="0" borderId="0" xfId="4" applyNumberFormat="1" applyFont="1"/>
    <xf numFmtId="166" fontId="43" fillId="0" borderId="0" xfId="4" applyNumberFormat="1" applyFont="1"/>
    <xf numFmtId="226" fontId="43" fillId="0" borderId="0" xfId="4" applyNumberFormat="1" applyFont="1"/>
    <xf numFmtId="43" fontId="156" fillId="0" borderId="0" xfId="4" applyFont="1"/>
    <xf numFmtId="166" fontId="11" fillId="0" borderId="0" xfId="4" applyNumberFormat="1" applyFont="1"/>
    <xf numFmtId="0" fontId="154" fillId="0" borderId="0" xfId="18" quotePrefix="1" applyFont="1"/>
    <xf numFmtId="166" fontId="156" fillId="0" borderId="0" xfId="4" applyNumberFormat="1" applyFont="1"/>
    <xf numFmtId="0" fontId="157" fillId="0" borderId="0" xfId="18" applyFont="1"/>
    <xf numFmtId="0" fontId="157" fillId="0" borderId="0" xfId="18" applyFont="1" applyAlignment="1">
      <alignment horizontal="left" indent="1"/>
    </xf>
    <xf numFmtId="199" fontId="157" fillId="0" borderId="0" xfId="1" applyNumberFormat="1" applyFont="1"/>
    <xf numFmtId="166" fontId="157" fillId="0" borderId="0" xfId="4" applyNumberFormat="1" applyFont="1"/>
    <xf numFmtId="166" fontId="158" fillId="0" borderId="0" xfId="4" applyNumberFormat="1" applyFont="1"/>
    <xf numFmtId="0" fontId="4" fillId="0" borderId="0" xfId="18" quotePrefix="1" applyAlignment="1">
      <alignment horizontal="left" indent="1"/>
    </xf>
    <xf numFmtId="0" fontId="157" fillId="0" borderId="0" xfId="18" applyFont="1" applyAlignment="1">
      <alignment horizontal="left" indent="2"/>
    </xf>
    <xf numFmtId="14" fontId="4" fillId="0" borderId="0" xfId="18" applyNumberFormat="1"/>
    <xf numFmtId="0" fontId="85" fillId="20" borderId="0" xfId="0" applyFont="1" applyFill="1"/>
    <xf numFmtId="0" fontId="88" fillId="20" borderId="0" xfId="0" applyFont="1" applyFill="1" applyAlignment="1">
      <alignment horizontal="centerContinuous"/>
    </xf>
    <xf numFmtId="0" fontId="88" fillId="21" borderId="0" xfId="0" applyFont="1" applyFill="1" applyAlignment="1">
      <alignment horizontal="centerContinuous"/>
    </xf>
    <xf numFmtId="0" fontId="85" fillId="20" borderId="0" xfId="0" applyFont="1" applyFill="1" applyAlignment="1">
      <alignment horizontal="centerContinuous"/>
    </xf>
    <xf numFmtId="0" fontId="85" fillId="21" borderId="0" xfId="0" applyFont="1" applyFill="1" applyAlignment="1">
      <alignment horizontal="centerContinuous"/>
    </xf>
    <xf numFmtId="0" fontId="0" fillId="20" borderId="0" xfId="0" applyFill="1"/>
    <xf numFmtId="227" fontId="69" fillId="0" borderId="0" xfId="0" applyNumberFormat="1" applyFont="1"/>
    <xf numFmtId="43" fontId="5" fillId="0" borderId="0" xfId="4" applyFont="1" applyBorder="1" applyAlignment="1">
      <alignment horizontal="right"/>
    </xf>
    <xf numFmtId="43" fontId="5" fillId="0" borderId="4" xfId="4" applyFont="1" applyBorder="1" applyAlignment="1">
      <alignment horizontal="right"/>
    </xf>
    <xf numFmtId="43" fontId="5" fillId="0" borderId="38" xfId="4" applyFont="1" applyBorder="1" applyAlignment="1">
      <alignment horizontal="right"/>
    </xf>
    <xf numFmtId="43" fontId="5" fillId="0" borderId="0" xfId="4" applyFont="1" applyBorder="1"/>
    <xf numFmtId="0" fontId="76" fillId="0" borderId="0" xfId="0" applyFont="1" applyAlignment="1">
      <alignment horizontal="left" indent="1"/>
    </xf>
    <xf numFmtId="166" fontId="0" fillId="0" borderId="0" xfId="4" applyNumberFormat="1" applyFont="1" applyAlignment="1">
      <alignment horizontal="right"/>
    </xf>
    <xf numFmtId="0" fontId="159" fillId="0" borderId="0" xfId="0" applyFont="1"/>
    <xf numFmtId="228" fontId="69" fillId="0" borderId="0" xfId="0" applyNumberFormat="1" applyFont="1"/>
    <xf numFmtId="0" fontId="83" fillId="0" borderId="0" xfId="19" applyFont="1"/>
    <xf numFmtId="0" fontId="83" fillId="0" borderId="2" xfId="19" applyFont="1" applyBorder="1"/>
    <xf numFmtId="0" fontId="85" fillId="0" borderId="2" xfId="19" applyFont="1" applyBorder="1"/>
    <xf numFmtId="0" fontId="103" fillId="0" borderId="0" xfId="19" applyFont="1" applyAlignment="1">
      <alignment horizontal="right"/>
    </xf>
    <xf numFmtId="0" fontId="103" fillId="12" borderId="43" xfId="19" applyFont="1" applyFill="1" applyBorder="1" applyAlignment="1">
      <alignment horizontal="right"/>
    </xf>
    <xf numFmtId="166" fontId="83" fillId="0" borderId="0" xfId="19" applyNumberFormat="1" applyFont="1"/>
    <xf numFmtId="166" fontId="83" fillId="12" borderId="23" xfId="19" applyNumberFormat="1" applyFont="1" applyFill="1" applyBorder="1"/>
    <xf numFmtId="0" fontId="84" fillId="0" borderId="0" xfId="19" applyFont="1"/>
    <xf numFmtId="0" fontId="84" fillId="0" borderId="0" xfId="19" applyFont="1" applyAlignment="1">
      <alignment horizontal="left" indent="1"/>
    </xf>
    <xf numFmtId="197" fontId="84" fillId="0" borderId="0" xfId="20" applyNumberFormat="1" applyFont="1"/>
    <xf numFmtId="197" fontId="84" fillId="12" borderId="14" xfId="20" applyNumberFormat="1" applyFont="1" applyFill="1" applyBorder="1"/>
    <xf numFmtId="166" fontId="83" fillId="0" borderId="0" xfId="21" applyNumberFormat="1" applyFont="1"/>
    <xf numFmtId="9" fontId="83" fillId="0" borderId="0" xfId="22" applyFont="1"/>
    <xf numFmtId="0" fontId="151" fillId="0" borderId="0" xfId="19" applyFont="1"/>
    <xf numFmtId="166" fontId="151" fillId="0" borderId="0" xfId="21" applyNumberFormat="1" applyFont="1"/>
    <xf numFmtId="0" fontId="83" fillId="0" borderId="0" xfId="19" applyFont="1" applyAlignment="1">
      <alignment horizontal="left" indent="1"/>
    </xf>
    <xf numFmtId="0" fontId="84" fillId="0" borderId="0" xfId="19" applyFont="1" applyAlignment="1">
      <alignment horizontal="left" indent="2"/>
    </xf>
    <xf numFmtId="0" fontId="85" fillId="0" borderId="35" xfId="19" applyFont="1" applyBorder="1"/>
    <xf numFmtId="0" fontId="85" fillId="0" borderId="36" xfId="19" applyFont="1" applyBorder="1"/>
    <xf numFmtId="0" fontId="83" fillId="0" borderId="0" xfId="19" applyFont="1" applyAlignment="1">
      <alignment horizontal="right"/>
    </xf>
    <xf numFmtId="0" fontId="84" fillId="0" borderId="0" xfId="19" applyFont="1" applyAlignment="1">
      <alignment horizontal="right"/>
    </xf>
    <xf numFmtId="14" fontId="84" fillId="0" borderId="0" xfId="19" applyNumberFormat="1" applyFont="1"/>
    <xf numFmtId="197" fontId="84" fillId="12" borderId="23" xfId="20" applyNumberFormat="1" applyFont="1" applyFill="1" applyBorder="1"/>
    <xf numFmtId="0" fontId="83" fillId="12" borderId="23" xfId="19" applyFont="1" applyFill="1" applyBorder="1"/>
    <xf numFmtId="164" fontId="83" fillId="0" borderId="0" xfId="4" applyNumberFormat="1" applyFont="1"/>
    <xf numFmtId="164" fontId="83" fillId="12" borderId="23" xfId="4" applyNumberFormat="1" applyFont="1" applyFill="1" applyBorder="1"/>
    <xf numFmtId="43" fontId="83" fillId="0" borderId="0" xfId="19" applyNumberFormat="1" applyFont="1"/>
    <xf numFmtId="166" fontId="84" fillId="0" borderId="0" xfId="4" applyNumberFormat="1" applyFont="1"/>
    <xf numFmtId="166" fontId="84" fillId="12" borderId="23" xfId="4" applyNumberFormat="1" applyFont="1" applyFill="1" applyBorder="1"/>
    <xf numFmtId="164" fontId="83" fillId="0" borderId="0" xfId="19" applyNumberFormat="1" applyFont="1"/>
    <xf numFmtId="0" fontId="0" fillId="0" borderId="2" xfId="0" applyBorder="1"/>
    <xf numFmtId="166" fontId="0" fillId="0" borderId="0" xfId="4" applyNumberFormat="1" applyFont="1"/>
    <xf numFmtId="0" fontId="0" fillId="0" borderId="0" xfId="0" applyAlignment="1">
      <alignment horizontal="left" indent="1"/>
    </xf>
    <xf numFmtId="0" fontId="0" fillId="0" borderId="0" xfId="0" applyAlignment="1">
      <alignment horizontal="right"/>
    </xf>
    <xf numFmtId="3" fontId="0" fillId="0" borderId="0" xfId="0" applyNumberFormat="1" applyAlignment="1">
      <alignment horizontal="right"/>
    </xf>
    <xf numFmtId="0" fontId="160" fillId="0" borderId="0" xfId="0" applyFont="1"/>
    <xf numFmtId="0" fontId="0" fillId="0" borderId="2" xfId="0" applyBorder="1" applyAlignment="1">
      <alignment horizontal="left"/>
    </xf>
    <xf numFmtId="0" fontId="160" fillId="0" borderId="0" xfId="0" applyFont="1" applyAlignment="1">
      <alignment horizontal="left"/>
    </xf>
    <xf numFmtId="0" fontId="10" fillId="0" borderId="44" xfId="0" applyFont="1" applyBorder="1"/>
    <xf numFmtId="14" fontId="0" fillId="0" borderId="0" xfId="0" applyNumberFormat="1"/>
    <xf numFmtId="3" fontId="0" fillId="0" borderId="0" xfId="0" applyNumberFormat="1" applyAlignment="1">
      <alignment horizontal="left"/>
    </xf>
    <xf numFmtId="0" fontId="10" fillId="0" borderId="0" xfId="0" applyFont="1" applyAlignment="1">
      <alignment horizontal="left"/>
    </xf>
    <xf numFmtId="166" fontId="161" fillId="0" borderId="0" xfId="0" applyNumberFormat="1" applyFont="1" applyAlignment="1">
      <alignment horizontal="right"/>
    </xf>
    <xf numFmtId="166" fontId="0" fillId="0" borderId="0" xfId="0" applyNumberFormat="1" applyAlignment="1">
      <alignment horizontal="right"/>
    </xf>
    <xf numFmtId="199" fontId="0" fillId="0" borderId="0" xfId="1" applyNumberFormat="1" applyFont="1" applyAlignment="1">
      <alignment horizontal="right"/>
    </xf>
    <xf numFmtId="0" fontId="24" fillId="0" borderId="0" xfId="0" applyFont="1" applyAlignment="1">
      <alignment horizontal="left" indent="2"/>
    </xf>
    <xf numFmtId="0" fontId="24" fillId="0" borderId="0" xfId="0" applyFont="1" applyAlignment="1">
      <alignment horizontal="left"/>
    </xf>
    <xf numFmtId="0" fontId="24" fillId="0" borderId="0" xfId="0" applyFont="1" applyAlignment="1">
      <alignment horizontal="left" indent="1"/>
    </xf>
    <xf numFmtId="199" fontId="24" fillId="0" borderId="0" xfId="1" applyNumberFormat="1" applyFont="1" applyAlignment="1">
      <alignment horizontal="right"/>
    </xf>
    <xf numFmtId="0" fontId="0" fillId="0" borderId="2" xfId="0" applyBorder="1" applyAlignment="1">
      <alignment horizontal="right"/>
    </xf>
    <xf numFmtId="0" fontId="10" fillId="0" borderId="2" xfId="0" applyFont="1" applyBorder="1"/>
    <xf numFmtId="0" fontId="10" fillId="0" borderId="35" xfId="0" applyFont="1" applyBorder="1"/>
    <xf numFmtId="0" fontId="0" fillId="0" borderId="36" xfId="0" applyBorder="1"/>
    <xf numFmtId="0" fontId="162" fillId="0" borderId="0" xfId="0" applyFont="1"/>
    <xf numFmtId="0" fontId="159" fillId="0" borderId="0" xfId="0" applyFont="1" applyAlignment="1">
      <alignment horizontal="right"/>
    </xf>
    <xf numFmtId="43" fontId="0" fillId="0" borderId="0" xfId="0" applyNumberFormat="1"/>
    <xf numFmtId="199" fontId="0" fillId="0" borderId="0" xfId="1" applyNumberFormat="1" applyFont="1"/>
    <xf numFmtId="3" fontId="163" fillId="0" borderId="0" xfId="0" applyNumberFormat="1" applyFont="1"/>
    <xf numFmtId="3" fontId="163" fillId="0" borderId="0" xfId="0" applyNumberFormat="1" applyFont="1" applyAlignment="1">
      <alignment horizontal="right"/>
    </xf>
    <xf numFmtId="166" fontId="164" fillId="0" borderId="0" xfId="4" applyNumberFormat="1" applyFont="1" applyAlignment="1">
      <alignment horizontal="right"/>
    </xf>
    <xf numFmtId="0" fontId="69" fillId="0" borderId="0" xfId="23" applyFont="1"/>
    <xf numFmtId="0" fontId="69" fillId="0" borderId="0" xfId="23" applyFont="1" applyAlignment="1">
      <alignment horizontal="center"/>
    </xf>
    <xf numFmtId="14" fontId="69" fillId="0" borderId="0" xfId="23" applyNumberFormat="1" applyFont="1"/>
    <xf numFmtId="0" fontId="2" fillId="22" borderId="0" xfId="23" applyFill="1"/>
    <xf numFmtId="14" fontId="71" fillId="0" borderId="0" xfId="23" applyNumberFormat="1" applyFont="1"/>
    <xf numFmtId="0" fontId="70" fillId="0" borderId="2" xfId="23" applyFont="1" applyBorder="1"/>
    <xf numFmtId="0" fontId="70" fillId="0" borderId="2" xfId="23" applyFont="1" applyBorder="1" applyAlignment="1">
      <alignment horizontal="center"/>
    </xf>
    <xf numFmtId="0" fontId="69" fillId="0" borderId="2" xfId="23" applyFont="1" applyBorder="1"/>
    <xf numFmtId="0" fontId="70" fillId="0" borderId="0" xfId="23" applyFont="1"/>
    <xf numFmtId="0" fontId="70" fillId="0" borderId="0" xfId="23" applyFont="1" applyAlignment="1">
      <alignment horizontal="center"/>
    </xf>
    <xf numFmtId="0" fontId="2" fillId="0" borderId="0" xfId="23"/>
    <xf numFmtId="0" fontId="7" fillId="0" borderId="0" xfId="23" applyFont="1"/>
    <xf numFmtId="0" fontId="2" fillId="0" borderId="0" xfId="23" applyAlignment="1">
      <alignment horizontal="center"/>
    </xf>
    <xf numFmtId="3" fontId="2" fillId="0" borderId="0" xfId="23" applyNumberFormat="1"/>
    <xf numFmtId="0" fontId="64" fillId="0" borderId="2" xfId="23" applyFont="1" applyBorder="1" applyAlignment="1">
      <alignment horizontal="centerContinuous"/>
    </xf>
    <xf numFmtId="166" fontId="0" fillId="0" borderId="0" xfId="24" applyNumberFormat="1" applyFont="1"/>
    <xf numFmtId="0" fontId="65" fillId="0" borderId="0" xfId="23" applyFont="1" applyAlignment="1">
      <alignment horizontal="center" wrapText="1"/>
    </xf>
    <xf numFmtId="0" fontId="65" fillId="0" borderId="0" xfId="23" applyFont="1" applyAlignment="1">
      <alignment horizontal="left" wrapText="1"/>
    </xf>
    <xf numFmtId="3" fontId="2" fillId="0" borderId="0" xfId="23" applyNumberFormat="1" applyAlignment="1">
      <alignment horizontal="right"/>
    </xf>
    <xf numFmtId="166" fontId="0" fillId="0" borderId="0" xfId="24" applyNumberFormat="1" applyFont="1" applyFill="1" applyAlignment="1">
      <alignment horizontal="right"/>
    </xf>
    <xf numFmtId="166" fontId="0" fillId="0" borderId="0" xfId="24" applyNumberFormat="1" applyFont="1" applyFill="1"/>
    <xf numFmtId="0" fontId="8" fillId="0" borderId="0" xfId="25" applyFill="1"/>
    <xf numFmtId="16" fontId="2" fillId="0" borderId="0" xfId="23" quotePrefix="1" applyNumberFormat="1"/>
    <xf numFmtId="0" fontId="2" fillId="0" borderId="0" xfId="23" quotePrefix="1" applyAlignment="1">
      <alignment horizontal="center"/>
    </xf>
    <xf numFmtId="166" fontId="0" fillId="0" borderId="0" xfId="24" applyNumberFormat="1" applyFont="1" applyAlignment="1">
      <alignment horizontal="right"/>
    </xf>
    <xf numFmtId="0" fontId="8" fillId="0" borderId="0" xfId="25"/>
    <xf numFmtId="0" fontId="2" fillId="0" borderId="0" xfId="23" quotePrefix="1"/>
    <xf numFmtId="0" fontId="2" fillId="22" borderId="0" xfId="23" applyFill="1" applyAlignment="1">
      <alignment wrapText="1"/>
    </xf>
    <xf numFmtId="0" fontId="2" fillId="0" borderId="0" xfId="23" applyAlignment="1">
      <alignment wrapText="1"/>
    </xf>
    <xf numFmtId="0" fontId="8" fillId="0" borderId="0" xfId="25" applyFill="1" applyBorder="1"/>
    <xf numFmtId="0" fontId="2" fillId="0" borderId="0" xfId="23" applyAlignment="1">
      <alignment horizontal="right"/>
    </xf>
    <xf numFmtId="0" fontId="2" fillId="4" borderId="0" xfId="23" applyFill="1" applyAlignment="1">
      <alignment wrapText="1"/>
    </xf>
    <xf numFmtId="0" fontId="2" fillId="0" borderId="2" xfId="23" applyBorder="1"/>
    <xf numFmtId="0" fontId="2" fillId="22" borderId="2" xfId="23" applyFill="1" applyBorder="1"/>
    <xf numFmtId="0" fontId="2" fillId="0" borderId="2" xfId="23" applyBorder="1" applyAlignment="1">
      <alignment horizontal="center"/>
    </xf>
    <xf numFmtId="166" fontId="0" fillId="0" borderId="2" xfId="24" applyNumberFormat="1" applyFont="1" applyBorder="1"/>
    <xf numFmtId="0" fontId="7" fillId="0" borderId="0" xfId="23" applyFont="1" applyAlignment="1">
      <alignment horizontal="center"/>
    </xf>
    <xf numFmtId="3" fontId="7" fillId="0" borderId="0" xfId="23" applyNumberFormat="1" applyFont="1"/>
    <xf numFmtId="166" fontId="7" fillId="0" borderId="0" xfId="24" applyNumberFormat="1" applyFont="1"/>
    <xf numFmtId="0" fontId="165" fillId="0" borderId="0" xfId="0" applyFont="1"/>
    <xf numFmtId="0" fontId="1" fillId="0" borderId="0" xfId="23" applyFont="1"/>
    <xf numFmtId="3" fontId="0" fillId="0" borderId="0" xfId="0" applyNumberFormat="1"/>
    <xf numFmtId="41" fontId="77" fillId="0" borderId="0" xfId="0" applyNumberFormat="1" applyFont="1" applyAlignment="1">
      <alignment horizontal="right"/>
    </xf>
    <xf numFmtId="43" fontId="77" fillId="0" borderId="0" xfId="0" applyNumberFormat="1" applyFont="1" applyAlignment="1">
      <alignment horizontal="right"/>
    </xf>
    <xf numFmtId="9" fontId="69" fillId="0" borderId="0" xfId="1" applyFont="1" applyBorder="1"/>
    <xf numFmtId="0" fontId="63" fillId="0" borderId="0" xfId="0" applyFont="1" applyAlignment="1">
      <alignment horizontal="center" wrapText="1"/>
    </xf>
    <xf numFmtId="0" fontId="0" fillId="0" borderId="0" xfId="0" applyAlignment="1">
      <alignment horizontal="center" wrapText="1"/>
    </xf>
    <xf numFmtId="0" fontId="14" fillId="5" borderId="0" xfId="12" applyFont="1" applyFill="1" applyAlignment="1">
      <alignment horizontal="center"/>
    </xf>
    <xf numFmtId="0" fontId="6" fillId="4" borderId="0" xfId="12" quotePrefix="1" applyFill="1" applyAlignment="1">
      <alignment horizontal="left" vertical="top" wrapText="1"/>
    </xf>
    <xf numFmtId="0" fontId="52" fillId="0" borderId="8" xfId="12" applyFont="1" applyBorder="1" applyAlignment="1">
      <alignment vertical="top" wrapText="1"/>
    </xf>
    <xf numFmtId="0" fontId="6" fillId="0" borderId="7" xfId="12" applyBorder="1" applyAlignment="1">
      <alignment vertical="top" wrapText="1"/>
    </xf>
    <xf numFmtId="0" fontId="6" fillId="0" borderId="6" xfId="12" applyBorder="1" applyAlignment="1">
      <alignment vertical="top" wrapText="1"/>
    </xf>
    <xf numFmtId="0" fontId="6" fillId="0" borderId="5" xfId="12" applyBorder="1" applyAlignment="1">
      <alignment vertical="top" wrapText="1"/>
    </xf>
    <xf numFmtId="0" fontId="6" fillId="0" borderId="0" xfId="12" applyAlignment="1">
      <alignment vertical="top" wrapText="1"/>
    </xf>
    <xf numFmtId="0" fontId="6" fillId="0" borderId="4" xfId="12" applyBorder="1" applyAlignment="1">
      <alignment vertical="top" wrapText="1"/>
    </xf>
    <xf numFmtId="0" fontId="6" fillId="0" borderId="3" xfId="12" applyBorder="1" applyAlignment="1">
      <alignment vertical="top" wrapText="1"/>
    </xf>
    <xf numFmtId="0" fontId="6" fillId="0" borderId="2" xfId="12" applyBorder="1" applyAlignment="1">
      <alignment vertical="top" wrapText="1"/>
    </xf>
    <xf numFmtId="0" fontId="6" fillId="0" borderId="1" xfId="12" applyBorder="1" applyAlignment="1">
      <alignment vertical="top" wrapText="1"/>
    </xf>
    <xf numFmtId="0" fontId="44" fillId="3" borderId="0" xfId="9" applyFont="1" applyFill="1"/>
    <xf numFmtId="14" fontId="89" fillId="0" borderId="0" xfId="0" applyNumberFormat="1" applyFont="1"/>
  </cellXfs>
  <cellStyles count="26">
    <cellStyle name="Comma" xfId="4" xr:uid="{00000000-0005-0000-0000-000004000000}"/>
    <cellStyle name="Comma [0]" xfId="5" xr:uid="{00000000-0005-0000-0000-000005000000}"/>
    <cellStyle name="Comma 2" xfId="21" xr:uid="{2CABFC2C-70A2-49BB-A0C9-E98BB166804F}"/>
    <cellStyle name="Comma 3" xfId="24" xr:uid="{225627B8-3C3A-46B5-AF0A-4AA68934D929}"/>
    <cellStyle name="Currency" xfId="2" xr:uid="{00000000-0005-0000-0000-000002000000}"/>
    <cellStyle name="Currency [0]" xfId="3" xr:uid="{00000000-0005-0000-0000-000003000000}"/>
    <cellStyle name="Currency 2" xfId="6" xr:uid="{00000000-0005-0000-0000-000006000000}"/>
    <cellStyle name="Currency 2 2" xfId="7" xr:uid="{00000000-0005-0000-0000-000007000000}"/>
    <cellStyle name="Good" xfId="8" xr:uid="{00000000-0005-0000-0000-000008000000}"/>
    <cellStyle name="Hyperlink" xfId="9" xr:uid="{00000000-0005-0000-0000-000009000000}"/>
    <cellStyle name="Hyperlink 2" xfId="10" xr:uid="{00000000-0005-0000-0000-00000A000000}"/>
    <cellStyle name="Hyperlink 3" xfId="25" xr:uid="{173EC128-78EA-4D29-BBBE-3F93C0AC7229}"/>
    <cellStyle name="Invisible" xfId="16" xr:uid="{C4C9A411-5CFE-4152-92B8-C7B3C40936FE}"/>
    <cellStyle name="Normal" xfId="0" builtinId="0"/>
    <cellStyle name="Normal 2" xfId="11" xr:uid="{00000000-0005-0000-0000-00000B000000}"/>
    <cellStyle name="Normal 2 2" xfId="15" xr:uid="{9F1C0FBE-9CB0-4A7F-B1B2-EA2BA2374CA3}"/>
    <cellStyle name="Normal 3" xfId="12" xr:uid="{00000000-0005-0000-0000-00000C000000}"/>
    <cellStyle name="Normal 4" xfId="13" xr:uid="{00000000-0005-0000-0000-00000D000000}"/>
    <cellStyle name="Normal 4 2" xfId="20" xr:uid="{4F2E6385-D338-452B-A16C-91B34465B5D7}"/>
    <cellStyle name="Normal 5" xfId="17" xr:uid="{144B0C73-B5D0-4426-897E-6EBEEDFF5036}"/>
    <cellStyle name="Normal 6" xfId="18" xr:uid="{28DA26AC-2CA8-4B16-9A71-D4B93715A1E1}"/>
    <cellStyle name="Normal 7" xfId="19" xr:uid="{09656B3F-7AC4-4EE2-89AD-ADBCC053AF65}"/>
    <cellStyle name="Normal 8" xfId="23" xr:uid="{AFA29188-3BCA-44B3-8844-019135115D2D}"/>
    <cellStyle name="Percent" xfId="1" xr:uid="{00000000-0005-0000-0000-000001000000}"/>
    <cellStyle name="Percent 2" xfId="14" xr:uid="{00000000-0005-0000-0000-00000E000000}"/>
    <cellStyle name="Percent 3" xfId="22" xr:uid="{D29A65F8-4E70-4399-B2DD-E4B6A3622664}"/>
  </cellStyles>
  <dxfs count="7">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ont>
        <color rgb="FFF2F2F2"/>
      </font>
      <fill>
        <patternFill>
          <bgColor rgb="FFF2F2F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Net School Operating Loss Reduction to Revenue - $ Per Enrollment</a:t>
            </a:r>
          </a:p>
        </c:rich>
      </c:tx>
      <c:layout>
        <c:manualLayout>
          <c:xMode val="edge"/>
          <c:yMode val="edge"/>
          <c:x val="0.16281040788561457"/>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2"/>
          <c:tx>
            <c:strRef>
              <c:f>Historicals!$AX$275</c:f>
              <c:strCache>
                <c:ptCount val="1"/>
                <c:pt idx="0">
                  <c:v>ESSER to LRN schools (per FP)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Historicals!$AY$275:$BF$275</c:f>
              <c:numCache>
                <c:formatCode>_(* #,##0_);_(* \(#,##0\);_(* "-"??_);_(@_)</c:formatCode>
                <c:ptCount val="8"/>
                <c:pt idx="0">
                  <c:v>0</c:v>
                </c:pt>
                <c:pt idx="1">
                  <c:v>0</c:v>
                </c:pt>
                <c:pt idx="2">
                  <c:v>0</c:v>
                </c:pt>
                <c:pt idx="3">
                  <c:v>0</c:v>
                </c:pt>
                <c:pt idx="4">
                  <c:v>48.517000000000003</c:v>
                </c:pt>
                <c:pt idx="5">
                  <c:v>61.773000000000003</c:v>
                </c:pt>
                <c:pt idx="6">
                  <c:v>95.18</c:v>
                </c:pt>
                <c:pt idx="7">
                  <c:v>125.636</c:v>
                </c:pt>
              </c:numCache>
            </c:numRef>
          </c:val>
          <c:extLst>
            <c:ext xmlns:c16="http://schemas.microsoft.com/office/drawing/2014/chart" uri="{C3380CC4-5D6E-409C-BE32-E72D297353CC}">
              <c16:uniqueId val="{00000000-2005-4582-85A5-5C290CBE308E}"/>
            </c:ext>
          </c:extLst>
        </c:ser>
        <c:dLbls>
          <c:showLegendKey val="0"/>
          <c:showVal val="0"/>
          <c:showCatName val="0"/>
          <c:showSerName val="0"/>
          <c:showPercent val="0"/>
          <c:showBubbleSize val="0"/>
        </c:dLbls>
        <c:gapWidth val="150"/>
        <c:axId val="1436521967"/>
        <c:axId val="1436521487"/>
      </c:barChart>
      <c:lineChart>
        <c:grouping val="standard"/>
        <c:varyColors val="0"/>
        <c:ser>
          <c:idx val="1"/>
          <c:order val="0"/>
          <c:tx>
            <c:strRef>
              <c:f>Historicals!$AX$272</c:f>
              <c:strCache>
                <c:ptCount val="1"/>
                <c:pt idx="0">
                  <c:v>CRC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Historicals!$AY$271:$BF$271</c:f>
              <c:strCache>
                <c:ptCount val="8"/>
                <c:pt idx="0">
                  <c:v>FY17</c:v>
                </c:pt>
                <c:pt idx="1">
                  <c:v>FY18</c:v>
                </c:pt>
                <c:pt idx="2">
                  <c:v>FY19</c:v>
                </c:pt>
                <c:pt idx="3">
                  <c:v>FY20</c:v>
                </c:pt>
                <c:pt idx="4">
                  <c:v>FY21</c:v>
                </c:pt>
                <c:pt idx="5">
                  <c:v>FY22</c:v>
                </c:pt>
                <c:pt idx="6">
                  <c:v>FY23</c:v>
                </c:pt>
                <c:pt idx="7">
                  <c:v>FY24</c:v>
                </c:pt>
              </c:strCache>
            </c:strRef>
          </c:cat>
          <c:val>
            <c:numRef>
              <c:f>Historicals!$AY$272:$BF$272</c:f>
              <c:numCache>
                <c:formatCode>_(* #,##0_);_(* \(#,##0\);_(* "-"??_);_(@_)</c:formatCode>
                <c:ptCount val="8"/>
                <c:pt idx="0">
                  <c:v>-550.04508566275922</c:v>
                </c:pt>
                <c:pt idx="1">
                  <c:v>-593.41637010676152</c:v>
                </c:pt>
                <c:pt idx="2">
                  <c:v>-463.95250212044101</c:v>
                </c:pt>
                <c:pt idx="3">
                  <c:v>-375.51695616211742</c:v>
                </c:pt>
                <c:pt idx="4">
                  <c:v>-340.31132581857219</c:v>
                </c:pt>
                <c:pt idx="5">
                  <c:v>-196.11021069692057</c:v>
                </c:pt>
                <c:pt idx="6">
                  <c:v>-133.55780022446689</c:v>
                </c:pt>
                <c:pt idx="7">
                  <c:v>-87.991718426501038</c:v>
                </c:pt>
              </c:numCache>
            </c:numRef>
          </c:val>
          <c:smooth val="0"/>
          <c:extLst>
            <c:ext xmlns:c16="http://schemas.microsoft.com/office/drawing/2014/chart" uri="{C3380CC4-5D6E-409C-BE32-E72D297353CC}">
              <c16:uniqueId val="{00000001-42BB-4612-811B-0645C4B7D6A7}"/>
            </c:ext>
          </c:extLst>
        </c:ser>
        <c:ser>
          <c:idx val="2"/>
          <c:order val="1"/>
          <c:tx>
            <c:strRef>
              <c:f>Historicals!$AX$273</c:f>
              <c:strCache>
                <c:ptCount val="1"/>
                <c:pt idx="0">
                  <c:v>FP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Historicals!$AY$271:$BF$271</c:f>
              <c:strCache>
                <c:ptCount val="8"/>
                <c:pt idx="0">
                  <c:v>FY17</c:v>
                </c:pt>
                <c:pt idx="1">
                  <c:v>FY18</c:v>
                </c:pt>
                <c:pt idx="2">
                  <c:v>FY19</c:v>
                </c:pt>
                <c:pt idx="3">
                  <c:v>FY20</c:v>
                </c:pt>
                <c:pt idx="4">
                  <c:v>FY21</c:v>
                </c:pt>
                <c:pt idx="5">
                  <c:v>FY22</c:v>
                </c:pt>
                <c:pt idx="6">
                  <c:v>FY23</c:v>
                </c:pt>
                <c:pt idx="7">
                  <c:v>FY24</c:v>
                </c:pt>
              </c:strCache>
            </c:strRef>
          </c:cat>
          <c:val>
            <c:numRef>
              <c:f>Historicals!$AY$273:$BF$273</c:f>
              <c:numCache>
                <c:formatCode>_(* #,##0_);_(* \(#,##0\);_(* "-"??_);_(@_)</c:formatCode>
                <c:ptCount val="8"/>
                <c:pt idx="0">
                  <c:v>-589</c:v>
                </c:pt>
                <c:pt idx="1">
                  <c:v>-614</c:v>
                </c:pt>
                <c:pt idx="2">
                  <c:v>-464</c:v>
                </c:pt>
                <c:pt idx="3">
                  <c:v>-376</c:v>
                </c:pt>
                <c:pt idx="4">
                  <c:v>-340</c:v>
                </c:pt>
                <c:pt idx="5">
                  <c:v>-196</c:v>
                </c:pt>
                <c:pt idx="6">
                  <c:v>-134</c:v>
                </c:pt>
                <c:pt idx="7">
                  <c:v>-87</c:v>
                </c:pt>
              </c:numCache>
            </c:numRef>
          </c:val>
          <c:smooth val="0"/>
          <c:extLst>
            <c:ext xmlns:c16="http://schemas.microsoft.com/office/drawing/2014/chart" uri="{C3380CC4-5D6E-409C-BE32-E72D297353CC}">
              <c16:uniqueId val="{00000002-42BB-4612-811B-0645C4B7D6A7}"/>
            </c:ext>
          </c:extLst>
        </c:ser>
        <c:dLbls>
          <c:showLegendKey val="0"/>
          <c:showVal val="0"/>
          <c:showCatName val="0"/>
          <c:showSerName val="0"/>
          <c:showPercent val="0"/>
          <c:showBubbleSize val="0"/>
        </c:dLbls>
        <c:marker val="1"/>
        <c:smooth val="0"/>
        <c:axId val="1113879024"/>
        <c:axId val="1113877584"/>
      </c:lineChart>
      <c:catAx>
        <c:axId val="111387902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877584"/>
        <c:crosses val="autoZero"/>
        <c:auto val="1"/>
        <c:lblAlgn val="ctr"/>
        <c:lblOffset val="100"/>
        <c:noMultiLvlLbl val="0"/>
      </c:catAx>
      <c:valAx>
        <c:axId val="1113877584"/>
        <c:scaling>
          <c:orientation val="minMax"/>
          <c:max val="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879024"/>
        <c:crosses val="autoZero"/>
        <c:crossBetween val="between"/>
      </c:valAx>
      <c:valAx>
        <c:axId val="1436521487"/>
        <c:scaling>
          <c:orientation val="minMax"/>
        </c:scaling>
        <c:delete val="0"/>
        <c:axPos val="r"/>
        <c:numFmt formatCode="_(&quot;$&quot;* #,##0_);_(&quot;$&quot;* \(#,##0\);_(&quot;$&quot;*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521967"/>
        <c:crosses val="max"/>
        <c:crossBetween val="between"/>
      </c:valAx>
      <c:catAx>
        <c:axId val="1436521967"/>
        <c:scaling>
          <c:orientation val="minMax"/>
        </c:scaling>
        <c:delete val="1"/>
        <c:axPos val="b"/>
        <c:majorTickMark val="out"/>
        <c:minorTickMark val="none"/>
        <c:tickLblPos val="nextTo"/>
        <c:crossAx val="14365214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Annual Disclosure on Program and State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Historicals!$AY$201</c:f>
              <c:strCache>
                <c:ptCount val="1"/>
                <c:pt idx="0">
                  <c:v>GE - School-as-a-Service Programs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Historicals!$AZ$200:$BH$200</c:f>
              <c:strCache>
                <c:ptCount val="9"/>
                <c:pt idx="0">
                  <c:v>FY16</c:v>
                </c:pt>
                <c:pt idx="1">
                  <c:v>FY17</c:v>
                </c:pt>
                <c:pt idx="2">
                  <c:v>FY18</c:v>
                </c:pt>
                <c:pt idx="3">
                  <c:v>FY19</c:v>
                </c:pt>
                <c:pt idx="4">
                  <c:v>FY20</c:v>
                </c:pt>
                <c:pt idx="5">
                  <c:v>FY21</c:v>
                </c:pt>
                <c:pt idx="6">
                  <c:v>FY22</c:v>
                </c:pt>
                <c:pt idx="7">
                  <c:v>FY23</c:v>
                </c:pt>
                <c:pt idx="8">
                  <c:v>FY24</c:v>
                </c:pt>
              </c:strCache>
            </c:strRef>
          </c:cat>
          <c:val>
            <c:numRef>
              <c:f>Historicals!$AZ$201:$BH$201</c:f>
              <c:numCache>
                <c:formatCode>_(* #,##0_);_(* \(#,##0\);_(* "-"??_);_(@_)</c:formatCode>
                <c:ptCount val="9"/>
                <c:pt idx="5">
                  <c:v>77</c:v>
                </c:pt>
                <c:pt idx="6">
                  <c:v>80</c:v>
                </c:pt>
                <c:pt idx="7">
                  <c:v>87</c:v>
                </c:pt>
                <c:pt idx="8">
                  <c:v>91</c:v>
                </c:pt>
              </c:numCache>
            </c:numRef>
          </c:val>
          <c:extLst>
            <c:ext xmlns:c16="http://schemas.microsoft.com/office/drawing/2014/chart" uri="{C3380CC4-5D6E-409C-BE32-E72D297353CC}">
              <c16:uniqueId val="{00000000-819B-4893-9C10-01FD119B4980}"/>
            </c:ext>
          </c:extLst>
        </c:ser>
        <c:ser>
          <c:idx val="1"/>
          <c:order val="1"/>
          <c:tx>
            <c:strRef>
              <c:f>Historicals!$AY$202</c:f>
              <c:strCache>
                <c:ptCount val="1"/>
                <c:pt idx="0">
                  <c:v>GE - School-as-a-Service States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Historicals!$AZ$200:$BH$200</c:f>
              <c:strCache>
                <c:ptCount val="9"/>
                <c:pt idx="0">
                  <c:v>FY16</c:v>
                </c:pt>
                <c:pt idx="1">
                  <c:v>FY17</c:v>
                </c:pt>
                <c:pt idx="2">
                  <c:v>FY18</c:v>
                </c:pt>
                <c:pt idx="3">
                  <c:v>FY19</c:v>
                </c:pt>
                <c:pt idx="4">
                  <c:v>FY20</c:v>
                </c:pt>
                <c:pt idx="5">
                  <c:v>FY21</c:v>
                </c:pt>
                <c:pt idx="6">
                  <c:v>FY22</c:v>
                </c:pt>
                <c:pt idx="7">
                  <c:v>FY23</c:v>
                </c:pt>
                <c:pt idx="8">
                  <c:v>FY24</c:v>
                </c:pt>
              </c:strCache>
            </c:strRef>
          </c:cat>
          <c:val>
            <c:numRef>
              <c:f>Historicals!$AZ$202:$BH$202</c:f>
              <c:numCache>
                <c:formatCode>_(* #,##0_);_(* \(#,##0\);_(* "-"??_);_(@_)</c:formatCode>
                <c:ptCount val="9"/>
                <c:pt idx="5">
                  <c:v>30</c:v>
                </c:pt>
                <c:pt idx="6">
                  <c:v>30</c:v>
                </c:pt>
                <c:pt idx="7">
                  <c:v>31</c:v>
                </c:pt>
                <c:pt idx="8">
                  <c:v>31</c:v>
                </c:pt>
              </c:numCache>
            </c:numRef>
          </c:val>
          <c:extLst>
            <c:ext xmlns:c16="http://schemas.microsoft.com/office/drawing/2014/chart" uri="{C3380CC4-5D6E-409C-BE32-E72D297353CC}">
              <c16:uniqueId val="{00000001-819B-4893-9C10-01FD119B4980}"/>
            </c:ext>
          </c:extLst>
        </c:ser>
        <c:ser>
          <c:idx val="2"/>
          <c:order val="2"/>
          <c:tx>
            <c:strRef>
              <c:f>Historicals!$AY$203</c:f>
              <c:strCache>
                <c:ptCount val="1"/>
                <c:pt idx="0">
                  <c:v>Managed Public School Programs</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Historicals!$AZ$200:$BH$200</c:f>
              <c:strCache>
                <c:ptCount val="9"/>
                <c:pt idx="0">
                  <c:v>FY16</c:v>
                </c:pt>
                <c:pt idx="1">
                  <c:v>FY17</c:v>
                </c:pt>
                <c:pt idx="2">
                  <c:v>FY18</c:v>
                </c:pt>
                <c:pt idx="3">
                  <c:v>FY19</c:v>
                </c:pt>
                <c:pt idx="4">
                  <c:v>FY20</c:v>
                </c:pt>
                <c:pt idx="5">
                  <c:v>FY21</c:v>
                </c:pt>
                <c:pt idx="6">
                  <c:v>FY22</c:v>
                </c:pt>
                <c:pt idx="7">
                  <c:v>FY23</c:v>
                </c:pt>
                <c:pt idx="8">
                  <c:v>FY24</c:v>
                </c:pt>
              </c:strCache>
            </c:strRef>
          </c:cat>
          <c:val>
            <c:numRef>
              <c:f>Historicals!$AZ$203:$BH$203</c:f>
              <c:numCache>
                <c:formatCode>_(* #,##0_);_(* \(#,##0\);_(* "-"??_);_(@_)</c:formatCode>
                <c:ptCount val="9"/>
                <c:pt idx="1">
                  <c:v>77</c:v>
                </c:pt>
                <c:pt idx="2">
                  <c:v>75</c:v>
                </c:pt>
                <c:pt idx="3">
                  <c:v>75</c:v>
                </c:pt>
                <c:pt idx="4">
                  <c:v>76</c:v>
                </c:pt>
              </c:numCache>
            </c:numRef>
          </c:val>
          <c:extLst>
            <c:ext xmlns:c16="http://schemas.microsoft.com/office/drawing/2014/chart" uri="{C3380CC4-5D6E-409C-BE32-E72D297353CC}">
              <c16:uniqueId val="{00000002-819B-4893-9C10-01FD119B4980}"/>
            </c:ext>
          </c:extLst>
        </c:ser>
        <c:ser>
          <c:idx val="3"/>
          <c:order val="3"/>
          <c:tx>
            <c:strRef>
              <c:f>Historicals!$AY$204</c:f>
              <c:strCache>
                <c:ptCount val="1"/>
                <c:pt idx="0">
                  <c:v>Managed Public School States</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Historicals!$AZ$200:$BH$200</c:f>
              <c:strCache>
                <c:ptCount val="9"/>
                <c:pt idx="0">
                  <c:v>FY16</c:v>
                </c:pt>
                <c:pt idx="1">
                  <c:v>FY17</c:v>
                </c:pt>
                <c:pt idx="2">
                  <c:v>FY18</c:v>
                </c:pt>
                <c:pt idx="3">
                  <c:v>FY19</c:v>
                </c:pt>
                <c:pt idx="4">
                  <c:v>FY20</c:v>
                </c:pt>
                <c:pt idx="5">
                  <c:v>FY21</c:v>
                </c:pt>
                <c:pt idx="6">
                  <c:v>FY22</c:v>
                </c:pt>
                <c:pt idx="7">
                  <c:v>FY23</c:v>
                </c:pt>
                <c:pt idx="8">
                  <c:v>FY24</c:v>
                </c:pt>
              </c:strCache>
            </c:strRef>
          </c:cat>
          <c:val>
            <c:numRef>
              <c:f>Historicals!$AZ$204:$BH$204</c:f>
              <c:numCache>
                <c:formatCode>_(* #,##0_);_(* \(#,##0\);_(* "-"??_);_(@_)</c:formatCode>
                <c:ptCount val="9"/>
                <c:pt idx="0">
                  <c:v>33</c:v>
                </c:pt>
                <c:pt idx="1">
                  <c:v>33</c:v>
                </c:pt>
                <c:pt idx="2">
                  <c:v>31</c:v>
                </c:pt>
                <c:pt idx="3">
                  <c:v>30</c:v>
                </c:pt>
                <c:pt idx="4">
                  <c:v>30</c:v>
                </c:pt>
              </c:numCache>
            </c:numRef>
          </c:val>
          <c:extLst>
            <c:ext xmlns:c16="http://schemas.microsoft.com/office/drawing/2014/chart" uri="{C3380CC4-5D6E-409C-BE32-E72D297353CC}">
              <c16:uniqueId val="{00000003-819B-4893-9C10-01FD119B4980}"/>
            </c:ext>
          </c:extLst>
        </c:ser>
        <c:dLbls>
          <c:showLegendKey val="0"/>
          <c:showVal val="0"/>
          <c:showCatName val="0"/>
          <c:showSerName val="0"/>
          <c:showPercent val="0"/>
          <c:showBubbleSize val="0"/>
        </c:dLbls>
        <c:gapWidth val="219"/>
        <c:overlap val="-27"/>
        <c:axId val="1465696959"/>
        <c:axId val="1465697919"/>
      </c:barChart>
      <c:catAx>
        <c:axId val="146569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697919"/>
        <c:crosses val="autoZero"/>
        <c:auto val="1"/>
        <c:lblAlgn val="ctr"/>
        <c:lblOffset val="100"/>
        <c:noMultiLvlLbl val="0"/>
      </c:catAx>
      <c:valAx>
        <c:axId val="14656979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6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Monthly Total Traffic</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Semrush!$C$78:$D$78</c:f>
              <c:strCache>
                <c:ptCount val="2"/>
                <c:pt idx="0">
                  <c:v>Organic Traffic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Semrush!$E$77:$FC$77</c:f>
              <c:strCache>
                <c:ptCount val="127"/>
                <c:pt idx="0">
                  <c:v>2014-05</c:v>
                </c:pt>
                <c:pt idx="1">
                  <c:v>2014-06</c:v>
                </c:pt>
                <c:pt idx="2">
                  <c:v>2014-07</c:v>
                </c:pt>
                <c:pt idx="3">
                  <c:v>2014-08</c:v>
                </c:pt>
                <c:pt idx="4">
                  <c:v>2014-09</c:v>
                </c:pt>
                <c:pt idx="5">
                  <c:v>2014-10</c:v>
                </c:pt>
                <c:pt idx="6">
                  <c:v>2014-11</c:v>
                </c:pt>
                <c:pt idx="7">
                  <c:v>2014-12</c:v>
                </c:pt>
                <c:pt idx="8">
                  <c:v>2015-01</c:v>
                </c:pt>
                <c:pt idx="9">
                  <c:v>2015-02</c:v>
                </c:pt>
                <c:pt idx="10">
                  <c:v>2015-03</c:v>
                </c:pt>
                <c:pt idx="11">
                  <c:v>2015-04</c:v>
                </c:pt>
                <c:pt idx="12">
                  <c:v>2015-05</c:v>
                </c:pt>
                <c:pt idx="13">
                  <c:v>2015-06</c:v>
                </c:pt>
                <c:pt idx="14">
                  <c:v>2015-07</c:v>
                </c:pt>
                <c:pt idx="15">
                  <c:v>2015-08</c:v>
                </c:pt>
                <c:pt idx="16">
                  <c:v>2015-09</c:v>
                </c:pt>
                <c:pt idx="17">
                  <c:v>2015-10</c:v>
                </c:pt>
                <c:pt idx="18">
                  <c:v>2015-11</c:v>
                </c:pt>
                <c:pt idx="19">
                  <c:v>2015-12</c:v>
                </c:pt>
                <c:pt idx="20">
                  <c:v>2016-01</c:v>
                </c:pt>
                <c:pt idx="21">
                  <c:v>2016-02</c:v>
                </c:pt>
                <c:pt idx="22">
                  <c:v>2016-03</c:v>
                </c:pt>
                <c:pt idx="23">
                  <c:v>2016-04</c:v>
                </c:pt>
                <c:pt idx="24">
                  <c:v>2016-05</c:v>
                </c:pt>
                <c:pt idx="25">
                  <c:v>2016-06</c:v>
                </c:pt>
                <c:pt idx="26">
                  <c:v>2016-07</c:v>
                </c:pt>
                <c:pt idx="27">
                  <c:v>2016-08</c:v>
                </c:pt>
                <c:pt idx="28">
                  <c:v>2016-09</c:v>
                </c:pt>
                <c:pt idx="29">
                  <c:v>2016-10</c:v>
                </c:pt>
                <c:pt idx="30">
                  <c:v>2016-11</c:v>
                </c:pt>
                <c:pt idx="31">
                  <c:v>2016-12</c:v>
                </c:pt>
                <c:pt idx="32">
                  <c:v>2017-01</c:v>
                </c:pt>
                <c:pt idx="33">
                  <c:v>2017-02</c:v>
                </c:pt>
                <c:pt idx="34">
                  <c:v>2017-03</c:v>
                </c:pt>
                <c:pt idx="35">
                  <c:v>2017-04</c:v>
                </c:pt>
                <c:pt idx="36">
                  <c:v>2017-05</c:v>
                </c:pt>
                <c:pt idx="37">
                  <c:v>2017-06</c:v>
                </c:pt>
                <c:pt idx="38">
                  <c:v>2017-07</c:v>
                </c:pt>
                <c:pt idx="39">
                  <c:v>2017-08</c:v>
                </c:pt>
                <c:pt idx="40">
                  <c:v>2017-09</c:v>
                </c:pt>
                <c:pt idx="41">
                  <c:v>2017-10</c:v>
                </c:pt>
                <c:pt idx="42">
                  <c:v>2017-11</c:v>
                </c:pt>
                <c:pt idx="43">
                  <c:v>2017-12</c:v>
                </c:pt>
                <c:pt idx="44">
                  <c:v>2018-01</c:v>
                </c:pt>
                <c:pt idx="45">
                  <c:v>2018-02</c:v>
                </c:pt>
                <c:pt idx="46">
                  <c:v>2018-03</c:v>
                </c:pt>
                <c:pt idx="47">
                  <c:v>2018-04</c:v>
                </c:pt>
                <c:pt idx="48">
                  <c:v>2018-05</c:v>
                </c:pt>
                <c:pt idx="49">
                  <c:v>2018-06</c:v>
                </c:pt>
                <c:pt idx="50">
                  <c:v>2018-07</c:v>
                </c:pt>
                <c:pt idx="51">
                  <c:v>2018-08</c:v>
                </c:pt>
                <c:pt idx="52">
                  <c:v>2018-09</c:v>
                </c:pt>
                <c:pt idx="53">
                  <c:v>2018-10</c:v>
                </c:pt>
                <c:pt idx="54">
                  <c:v>2018-11</c:v>
                </c:pt>
                <c:pt idx="55">
                  <c:v>2018-12</c:v>
                </c:pt>
                <c:pt idx="56">
                  <c:v>2019-01</c:v>
                </c:pt>
                <c:pt idx="57">
                  <c:v>2019-02</c:v>
                </c:pt>
                <c:pt idx="58">
                  <c:v>2019-03</c:v>
                </c:pt>
                <c:pt idx="59">
                  <c:v>2019-04</c:v>
                </c:pt>
                <c:pt idx="60">
                  <c:v>2019-05</c:v>
                </c:pt>
                <c:pt idx="61">
                  <c:v>2019-06</c:v>
                </c:pt>
                <c:pt idx="62">
                  <c:v>2019-07</c:v>
                </c:pt>
                <c:pt idx="63">
                  <c:v>2019-08</c:v>
                </c:pt>
                <c:pt idx="64">
                  <c:v>2019-09</c:v>
                </c:pt>
                <c:pt idx="65">
                  <c:v>2019-10</c:v>
                </c:pt>
                <c:pt idx="66">
                  <c:v>2019-11</c:v>
                </c:pt>
                <c:pt idx="67">
                  <c:v>2019-12</c:v>
                </c:pt>
                <c:pt idx="68">
                  <c:v>2020-01</c:v>
                </c:pt>
                <c:pt idx="69">
                  <c:v>2020-02</c:v>
                </c:pt>
                <c:pt idx="70">
                  <c:v>2020-03</c:v>
                </c:pt>
                <c:pt idx="71">
                  <c:v>2020-04</c:v>
                </c:pt>
                <c:pt idx="72">
                  <c:v>2020-05</c:v>
                </c:pt>
                <c:pt idx="73">
                  <c:v>2020-06</c:v>
                </c:pt>
                <c:pt idx="74">
                  <c:v>2020-07</c:v>
                </c:pt>
                <c:pt idx="75">
                  <c:v>2020-08</c:v>
                </c:pt>
                <c:pt idx="76">
                  <c:v>2020-09</c:v>
                </c:pt>
                <c:pt idx="77">
                  <c:v>2020-10</c:v>
                </c:pt>
                <c:pt idx="78">
                  <c:v>2020-11</c:v>
                </c:pt>
                <c:pt idx="79">
                  <c:v>2020-12</c:v>
                </c:pt>
                <c:pt idx="80">
                  <c:v>2021-01</c:v>
                </c:pt>
                <c:pt idx="81">
                  <c:v>2021-02</c:v>
                </c:pt>
                <c:pt idx="82">
                  <c:v>2021-03</c:v>
                </c:pt>
                <c:pt idx="83">
                  <c:v>2021-04</c:v>
                </c:pt>
                <c:pt idx="84">
                  <c:v>2021-05</c:v>
                </c:pt>
                <c:pt idx="85">
                  <c:v>2021-06</c:v>
                </c:pt>
                <c:pt idx="86">
                  <c:v>2021-07</c:v>
                </c:pt>
                <c:pt idx="87">
                  <c:v>2021-08</c:v>
                </c:pt>
                <c:pt idx="88">
                  <c:v>2021-09</c:v>
                </c:pt>
                <c:pt idx="89">
                  <c:v>2021-10</c:v>
                </c:pt>
                <c:pt idx="90">
                  <c:v>2021-11</c:v>
                </c:pt>
                <c:pt idx="91">
                  <c:v>2021-12</c:v>
                </c:pt>
                <c:pt idx="92">
                  <c:v>2022-01</c:v>
                </c:pt>
                <c:pt idx="93">
                  <c:v>2022-02</c:v>
                </c:pt>
                <c:pt idx="94">
                  <c:v>2022-03</c:v>
                </c:pt>
                <c:pt idx="95">
                  <c:v>2022-04</c:v>
                </c:pt>
                <c:pt idx="96">
                  <c:v>2022-05</c:v>
                </c:pt>
                <c:pt idx="97">
                  <c:v>2022-06</c:v>
                </c:pt>
                <c:pt idx="98">
                  <c:v>2022-07</c:v>
                </c:pt>
                <c:pt idx="99">
                  <c:v>2022-08</c:v>
                </c:pt>
                <c:pt idx="100">
                  <c:v>2022-09</c:v>
                </c:pt>
                <c:pt idx="101">
                  <c:v>2022-10</c:v>
                </c:pt>
                <c:pt idx="102">
                  <c:v>2022-11</c:v>
                </c:pt>
                <c:pt idx="103">
                  <c:v>2022-12</c:v>
                </c:pt>
                <c:pt idx="104">
                  <c:v> 2023-01 </c:v>
                </c:pt>
                <c:pt idx="105">
                  <c:v> 2023-02 </c:v>
                </c:pt>
                <c:pt idx="106">
                  <c:v> 2023-03 </c:v>
                </c:pt>
                <c:pt idx="107">
                  <c:v> 2023-04 </c:v>
                </c:pt>
                <c:pt idx="108">
                  <c:v> 2023-05 </c:v>
                </c:pt>
                <c:pt idx="109">
                  <c:v> 2023-06 </c:v>
                </c:pt>
                <c:pt idx="110">
                  <c:v> 2023-07 </c:v>
                </c:pt>
                <c:pt idx="111">
                  <c:v> 2023-08 </c:v>
                </c:pt>
                <c:pt idx="112">
                  <c:v> 2023-09 </c:v>
                </c:pt>
                <c:pt idx="113">
                  <c:v> 2023-10 </c:v>
                </c:pt>
                <c:pt idx="114">
                  <c:v> 2023-11 </c:v>
                </c:pt>
                <c:pt idx="115">
                  <c:v> 2023-12 </c:v>
                </c:pt>
                <c:pt idx="116">
                  <c:v> 2024-01 </c:v>
                </c:pt>
                <c:pt idx="117">
                  <c:v> 2024-02 </c:v>
                </c:pt>
                <c:pt idx="118">
                  <c:v> 2024-03 </c:v>
                </c:pt>
                <c:pt idx="119">
                  <c:v> 2024-04 </c:v>
                </c:pt>
                <c:pt idx="120">
                  <c:v> 2024-05 </c:v>
                </c:pt>
                <c:pt idx="121">
                  <c:v> 2024-06 </c:v>
                </c:pt>
                <c:pt idx="122">
                  <c:v> 2024-07 </c:v>
                </c:pt>
                <c:pt idx="123">
                  <c:v> 2024-08 </c:v>
                </c:pt>
                <c:pt idx="124">
                  <c:v> 2024-09 </c:v>
                </c:pt>
                <c:pt idx="125">
                  <c:v> 2024-10 </c:v>
                </c:pt>
                <c:pt idx="126">
                  <c:v> 2024-11 </c:v>
                </c:pt>
              </c:strCache>
            </c:strRef>
          </c:cat>
          <c:val>
            <c:numRef>
              <c:f>Semrush!$E$78:$FC$78</c:f>
            </c:numRef>
          </c:val>
          <c:smooth val="0"/>
          <c:extLst>
            <c:ext xmlns:c16="http://schemas.microsoft.com/office/drawing/2014/chart" uri="{C3380CC4-5D6E-409C-BE32-E72D297353CC}">
              <c16:uniqueId val="{00000000-44C6-4083-A54E-452B970150B8}"/>
            </c:ext>
          </c:extLst>
        </c:ser>
        <c:ser>
          <c:idx val="1"/>
          <c:order val="1"/>
          <c:tx>
            <c:strRef>
              <c:f>Semrush!$C$79:$D$79</c:f>
              <c:strCache>
                <c:ptCount val="2"/>
                <c:pt idx="0">
                  <c:v>Paid Traffic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Semrush!$E$77:$FC$77</c:f>
              <c:strCache>
                <c:ptCount val="127"/>
                <c:pt idx="0">
                  <c:v>2014-05</c:v>
                </c:pt>
                <c:pt idx="1">
                  <c:v>2014-06</c:v>
                </c:pt>
                <c:pt idx="2">
                  <c:v>2014-07</c:v>
                </c:pt>
                <c:pt idx="3">
                  <c:v>2014-08</c:v>
                </c:pt>
                <c:pt idx="4">
                  <c:v>2014-09</c:v>
                </c:pt>
                <c:pt idx="5">
                  <c:v>2014-10</c:v>
                </c:pt>
                <c:pt idx="6">
                  <c:v>2014-11</c:v>
                </c:pt>
                <c:pt idx="7">
                  <c:v>2014-12</c:v>
                </c:pt>
                <c:pt idx="8">
                  <c:v>2015-01</c:v>
                </c:pt>
                <c:pt idx="9">
                  <c:v>2015-02</c:v>
                </c:pt>
                <c:pt idx="10">
                  <c:v>2015-03</c:v>
                </c:pt>
                <c:pt idx="11">
                  <c:v>2015-04</c:v>
                </c:pt>
                <c:pt idx="12">
                  <c:v>2015-05</c:v>
                </c:pt>
                <c:pt idx="13">
                  <c:v>2015-06</c:v>
                </c:pt>
                <c:pt idx="14">
                  <c:v>2015-07</c:v>
                </c:pt>
                <c:pt idx="15">
                  <c:v>2015-08</c:v>
                </c:pt>
                <c:pt idx="16">
                  <c:v>2015-09</c:v>
                </c:pt>
                <c:pt idx="17">
                  <c:v>2015-10</c:v>
                </c:pt>
                <c:pt idx="18">
                  <c:v>2015-11</c:v>
                </c:pt>
                <c:pt idx="19">
                  <c:v>2015-12</c:v>
                </c:pt>
                <c:pt idx="20">
                  <c:v>2016-01</c:v>
                </c:pt>
                <c:pt idx="21">
                  <c:v>2016-02</c:v>
                </c:pt>
                <c:pt idx="22">
                  <c:v>2016-03</c:v>
                </c:pt>
                <c:pt idx="23">
                  <c:v>2016-04</c:v>
                </c:pt>
                <c:pt idx="24">
                  <c:v>2016-05</c:v>
                </c:pt>
                <c:pt idx="25">
                  <c:v>2016-06</c:v>
                </c:pt>
                <c:pt idx="26">
                  <c:v>2016-07</c:v>
                </c:pt>
                <c:pt idx="27">
                  <c:v>2016-08</c:v>
                </c:pt>
                <c:pt idx="28">
                  <c:v>2016-09</c:v>
                </c:pt>
                <c:pt idx="29">
                  <c:v>2016-10</c:v>
                </c:pt>
                <c:pt idx="30">
                  <c:v>2016-11</c:v>
                </c:pt>
                <c:pt idx="31">
                  <c:v>2016-12</c:v>
                </c:pt>
                <c:pt idx="32">
                  <c:v>2017-01</c:v>
                </c:pt>
                <c:pt idx="33">
                  <c:v>2017-02</c:v>
                </c:pt>
                <c:pt idx="34">
                  <c:v>2017-03</c:v>
                </c:pt>
                <c:pt idx="35">
                  <c:v>2017-04</c:v>
                </c:pt>
                <c:pt idx="36">
                  <c:v>2017-05</c:v>
                </c:pt>
                <c:pt idx="37">
                  <c:v>2017-06</c:v>
                </c:pt>
                <c:pt idx="38">
                  <c:v>2017-07</c:v>
                </c:pt>
                <c:pt idx="39">
                  <c:v>2017-08</c:v>
                </c:pt>
                <c:pt idx="40">
                  <c:v>2017-09</c:v>
                </c:pt>
                <c:pt idx="41">
                  <c:v>2017-10</c:v>
                </c:pt>
                <c:pt idx="42">
                  <c:v>2017-11</c:v>
                </c:pt>
                <c:pt idx="43">
                  <c:v>2017-12</c:v>
                </c:pt>
                <c:pt idx="44">
                  <c:v>2018-01</c:v>
                </c:pt>
                <c:pt idx="45">
                  <c:v>2018-02</c:v>
                </c:pt>
                <c:pt idx="46">
                  <c:v>2018-03</c:v>
                </c:pt>
                <c:pt idx="47">
                  <c:v>2018-04</c:v>
                </c:pt>
                <c:pt idx="48">
                  <c:v>2018-05</c:v>
                </c:pt>
                <c:pt idx="49">
                  <c:v>2018-06</c:v>
                </c:pt>
                <c:pt idx="50">
                  <c:v>2018-07</c:v>
                </c:pt>
                <c:pt idx="51">
                  <c:v>2018-08</c:v>
                </c:pt>
                <c:pt idx="52">
                  <c:v>2018-09</c:v>
                </c:pt>
                <c:pt idx="53">
                  <c:v>2018-10</c:v>
                </c:pt>
                <c:pt idx="54">
                  <c:v>2018-11</c:v>
                </c:pt>
                <c:pt idx="55">
                  <c:v>2018-12</c:v>
                </c:pt>
                <c:pt idx="56">
                  <c:v>2019-01</c:v>
                </c:pt>
                <c:pt idx="57">
                  <c:v>2019-02</c:v>
                </c:pt>
                <c:pt idx="58">
                  <c:v>2019-03</c:v>
                </c:pt>
                <c:pt idx="59">
                  <c:v>2019-04</c:v>
                </c:pt>
                <c:pt idx="60">
                  <c:v>2019-05</c:v>
                </c:pt>
                <c:pt idx="61">
                  <c:v>2019-06</c:v>
                </c:pt>
                <c:pt idx="62">
                  <c:v>2019-07</c:v>
                </c:pt>
                <c:pt idx="63">
                  <c:v>2019-08</c:v>
                </c:pt>
                <c:pt idx="64">
                  <c:v>2019-09</c:v>
                </c:pt>
                <c:pt idx="65">
                  <c:v>2019-10</c:v>
                </c:pt>
                <c:pt idx="66">
                  <c:v>2019-11</c:v>
                </c:pt>
                <c:pt idx="67">
                  <c:v>2019-12</c:v>
                </c:pt>
                <c:pt idx="68">
                  <c:v>2020-01</c:v>
                </c:pt>
                <c:pt idx="69">
                  <c:v>2020-02</c:v>
                </c:pt>
                <c:pt idx="70">
                  <c:v>2020-03</c:v>
                </c:pt>
                <c:pt idx="71">
                  <c:v>2020-04</c:v>
                </c:pt>
                <c:pt idx="72">
                  <c:v>2020-05</c:v>
                </c:pt>
                <c:pt idx="73">
                  <c:v>2020-06</c:v>
                </c:pt>
                <c:pt idx="74">
                  <c:v>2020-07</c:v>
                </c:pt>
                <c:pt idx="75">
                  <c:v>2020-08</c:v>
                </c:pt>
                <c:pt idx="76">
                  <c:v>2020-09</c:v>
                </c:pt>
                <c:pt idx="77">
                  <c:v>2020-10</c:v>
                </c:pt>
                <c:pt idx="78">
                  <c:v>2020-11</c:v>
                </c:pt>
                <c:pt idx="79">
                  <c:v>2020-12</c:v>
                </c:pt>
                <c:pt idx="80">
                  <c:v>2021-01</c:v>
                </c:pt>
                <c:pt idx="81">
                  <c:v>2021-02</c:v>
                </c:pt>
                <c:pt idx="82">
                  <c:v>2021-03</c:v>
                </c:pt>
                <c:pt idx="83">
                  <c:v>2021-04</c:v>
                </c:pt>
                <c:pt idx="84">
                  <c:v>2021-05</c:v>
                </c:pt>
                <c:pt idx="85">
                  <c:v>2021-06</c:v>
                </c:pt>
                <c:pt idx="86">
                  <c:v>2021-07</c:v>
                </c:pt>
                <c:pt idx="87">
                  <c:v>2021-08</c:v>
                </c:pt>
                <c:pt idx="88">
                  <c:v>2021-09</c:v>
                </c:pt>
                <c:pt idx="89">
                  <c:v>2021-10</c:v>
                </c:pt>
                <c:pt idx="90">
                  <c:v>2021-11</c:v>
                </c:pt>
                <c:pt idx="91">
                  <c:v>2021-12</c:v>
                </c:pt>
                <c:pt idx="92">
                  <c:v>2022-01</c:v>
                </c:pt>
                <c:pt idx="93">
                  <c:v>2022-02</c:v>
                </c:pt>
                <c:pt idx="94">
                  <c:v>2022-03</c:v>
                </c:pt>
                <c:pt idx="95">
                  <c:v>2022-04</c:v>
                </c:pt>
                <c:pt idx="96">
                  <c:v>2022-05</c:v>
                </c:pt>
                <c:pt idx="97">
                  <c:v>2022-06</c:v>
                </c:pt>
                <c:pt idx="98">
                  <c:v>2022-07</c:v>
                </c:pt>
                <c:pt idx="99">
                  <c:v>2022-08</c:v>
                </c:pt>
                <c:pt idx="100">
                  <c:v>2022-09</c:v>
                </c:pt>
                <c:pt idx="101">
                  <c:v>2022-10</c:v>
                </c:pt>
                <c:pt idx="102">
                  <c:v>2022-11</c:v>
                </c:pt>
                <c:pt idx="103">
                  <c:v>2022-12</c:v>
                </c:pt>
                <c:pt idx="104">
                  <c:v> 2023-01 </c:v>
                </c:pt>
                <c:pt idx="105">
                  <c:v> 2023-02 </c:v>
                </c:pt>
                <c:pt idx="106">
                  <c:v> 2023-03 </c:v>
                </c:pt>
                <c:pt idx="107">
                  <c:v> 2023-04 </c:v>
                </c:pt>
                <c:pt idx="108">
                  <c:v> 2023-05 </c:v>
                </c:pt>
                <c:pt idx="109">
                  <c:v> 2023-06 </c:v>
                </c:pt>
                <c:pt idx="110">
                  <c:v> 2023-07 </c:v>
                </c:pt>
                <c:pt idx="111">
                  <c:v> 2023-08 </c:v>
                </c:pt>
                <c:pt idx="112">
                  <c:v> 2023-09 </c:v>
                </c:pt>
                <c:pt idx="113">
                  <c:v> 2023-10 </c:v>
                </c:pt>
                <c:pt idx="114">
                  <c:v> 2023-11 </c:v>
                </c:pt>
                <c:pt idx="115">
                  <c:v> 2023-12 </c:v>
                </c:pt>
                <c:pt idx="116">
                  <c:v> 2024-01 </c:v>
                </c:pt>
                <c:pt idx="117">
                  <c:v> 2024-02 </c:v>
                </c:pt>
                <c:pt idx="118">
                  <c:v> 2024-03 </c:v>
                </c:pt>
                <c:pt idx="119">
                  <c:v> 2024-04 </c:v>
                </c:pt>
                <c:pt idx="120">
                  <c:v> 2024-05 </c:v>
                </c:pt>
                <c:pt idx="121">
                  <c:v> 2024-06 </c:v>
                </c:pt>
                <c:pt idx="122">
                  <c:v> 2024-07 </c:v>
                </c:pt>
                <c:pt idx="123">
                  <c:v> 2024-08 </c:v>
                </c:pt>
                <c:pt idx="124">
                  <c:v> 2024-09 </c:v>
                </c:pt>
                <c:pt idx="125">
                  <c:v> 2024-10 </c:v>
                </c:pt>
                <c:pt idx="126">
                  <c:v> 2024-11 </c:v>
                </c:pt>
              </c:strCache>
            </c:strRef>
          </c:cat>
          <c:val>
            <c:numRef>
              <c:f>Semrush!$E$79:$FC$79</c:f>
            </c:numRef>
          </c:val>
          <c:smooth val="0"/>
          <c:extLst>
            <c:ext xmlns:c16="http://schemas.microsoft.com/office/drawing/2014/chart" uri="{C3380CC4-5D6E-409C-BE32-E72D297353CC}">
              <c16:uniqueId val="{00000001-44C6-4083-A54E-452B970150B8}"/>
            </c:ext>
          </c:extLst>
        </c:ser>
        <c:ser>
          <c:idx val="2"/>
          <c:order val="2"/>
          <c:tx>
            <c:strRef>
              <c:f>Semrush!$C$80:$D$80</c:f>
              <c:strCache>
                <c:ptCount val="2"/>
                <c:pt idx="0">
                  <c:v>Total Traffic</c:v>
                </c:pt>
              </c:strCache>
            </c:strRef>
          </c:tx>
          <c:spPr>
            <a:ln w="28575" cap="rnd">
              <a:solidFill>
                <a:schemeClr val="accent3"/>
              </a:solidFill>
              <a:round/>
            </a:ln>
            <a:effectLst/>
          </c:spPr>
          <c:marker>
            <c:symbol val="none"/>
          </c:marker>
          <c:cat>
            <c:strRef>
              <c:f>Semrush!$E$77:$FC$77</c:f>
              <c:strCache>
                <c:ptCount val="127"/>
                <c:pt idx="0">
                  <c:v>2014-05</c:v>
                </c:pt>
                <c:pt idx="1">
                  <c:v>2014-06</c:v>
                </c:pt>
                <c:pt idx="2">
                  <c:v>2014-07</c:v>
                </c:pt>
                <c:pt idx="3">
                  <c:v>2014-08</c:v>
                </c:pt>
                <c:pt idx="4">
                  <c:v>2014-09</c:v>
                </c:pt>
                <c:pt idx="5">
                  <c:v>2014-10</c:v>
                </c:pt>
                <c:pt idx="6">
                  <c:v>2014-11</c:v>
                </c:pt>
                <c:pt idx="7">
                  <c:v>2014-12</c:v>
                </c:pt>
                <c:pt idx="8">
                  <c:v>2015-01</c:v>
                </c:pt>
                <c:pt idx="9">
                  <c:v>2015-02</c:v>
                </c:pt>
                <c:pt idx="10">
                  <c:v>2015-03</c:v>
                </c:pt>
                <c:pt idx="11">
                  <c:v>2015-04</c:v>
                </c:pt>
                <c:pt idx="12">
                  <c:v>2015-05</c:v>
                </c:pt>
                <c:pt idx="13">
                  <c:v>2015-06</c:v>
                </c:pt>
                <c:pt idx="14">
                  <c:v>2015-07</c:v>
                </c:pt>
                <c:pt idx="15">
                  <c:v>2015-08</c:v>
                </c:pt>
                <c:pt idx="16">
                  <c:v>2015-09</c:v>
                </c:pt>
                <c:pt idx="17">
                  <c:v>2015-10</c:v>
                </c:pt>
                <c:pt idx="18">
                  <c:v>2015-11</c:v>
                </c:pt>
                <c:pt idx="19">
                  <c:v>2015-12</c:v>
                </c:pt>
                <c:pt idx="20">
                  <c:v>2016-01</c:v>
                </c:pt>
                <c:pt idx="21">
                  <c:v>2016-02</c:v>
                </c:pt>
                <c:pt idx="22">
                  <c:v>2016-03</c:v>
                </c:pt>
                <c:pt idx="23">
                  <c:v>2016-04</c:v>
                </c:pt>
                <c:pt idx="24">
                  <c:v>2016-05</c:v>
                </c:pt>
                <c:pt idx="25">
                  <c:v>2016-06</c:v>
                </c:pt>
                <c:pt idx="26">
                  <c:v>2016-07</c:v>
                </c:pt>
                <c:pt idx="27">
                  <c:v>2016-08</c:v>
                </c:pt>
                <c:pt idx="28">
                  <c:v>2016-09</c:v>
                </c:pt>
                <c:pt idx="29">
                  <c:v>2016-10</c:v>
                </c:pt>
                <c:pt idx="30">
                  <c:v>2016-11</c:v>
                </c:pt>
                <c:pt idx="31">
                  <c:v>2016-12</c:v>
                </c:pt>
                <c:pt idx="32">
                  <c:v>2017-01</c:v>
                </c:pt>
                <c:pt idx="33">
                  <c:v>2017-02</c:v>
                </c:pt>
                <c:pt idx="34">
                  <c:v>2017-03</c:v>
                </c:pt>
                <c:pt idx="35">
                  <c:v>2017-04</c:v>
                </c:pt>
                <c:pt idx="36">
                  <c:v>2017-05</c:v>
                </c:pt>
                <c:pt idx="37">
                  <c:v>2017-06</c:v>
                </c:pt>
                <c:pt idx="38">
                  <c:v>2017-07</c:v>
                </c:pt>
                <c:pt idx="39">
                  <c:v>2017-08</c:v>
                </c:pt>
                <c:pt idx="40">
                  <c:v>2017-09</c:v>
                </c:pt>
                <c:pt idx="41">
                  <c:v>2017-10</c:v>
                </c:pt>
                <c:pt idx="42">
                  <c:v>2017-11</c:v>
                </c:pt>
                <c:pt idx="43">
                  <c:v>2017-12</c:v>
                </c:pt>
                <c:pt idx="44">
                  <c:v>2018-01</c:v>
                </c:pt>
                <c:pt idx="45">
                  <c:v>2018-02</c:v>
                </c:pt>
                <c:pt idx="46">
                  <c:v>2018-03</c:v>
                </c:pt>
                <c:pt idx="47">
                  <c:v>2018-04</c:v>
                </c:pt>
                <c:pt idx="48">
                  <c:v>2018-05</c:v>
                </c:pt>
                <c:pt idx="49">
                  <c:v>2018-06</c:v>
                </c:pt>
                <c:pt idx="50">
                  <c:v>2018-07</c:v>
                </c:pt>
                <c:pt idx="51">
                  <c:v>2018-08</c:v>
                </c:pt>
                <c:pt idx="52">
                  <c:v>2018-09</c:v>
                </c:pt>
                <c:pt idx="53">
                  <c:v>2018-10</c:v>
                </c:pt>
                <c:pt idx="54">
                  <c:v>2018-11</c:v>
                </c:pt>
                <c:pt idx="55">
                  <c:v>2018-12</c:v>
                </c:pt>
                <c:pt idx="56">
                  <c:v>2019-01</c:v>
                </c:pt>
                <c:pt idx="57">
                  <c:v>2019-02</c:v>
                </c:pt>
                <c:pt idx="58">
                  <c:v>2019-03</c:v>
                </c:pt>
                <c:pt idx="59">
                  <c:v>2019-04</c:v>
                </c:pt>
                <c:pt idx="60">
                  <c:v>2019-05</c:v>
                </c:pt>
                <c:pt idx="61">
                  <c:v>2019-06</c:v>
                </c:pt>
                <c:pt idx="62">
                  <c:v>2019-07</c:v>
                </c:pt>
                <c:pt idx="63">
                  <c:v>2019-08</c:v>
                </c:pt>
                <c:pt idx="64">
                  <c:v>2019-09</c:v>
                </c:pt>
                <c:pt idx="65">
                  <c:v>2019-10</c:v>
                </c:pt>
                <c:pt idx="66">
                  <c:v>2019-11</c:v>
                </c:pt>
                <c:pt idx="67">
                  <c:v>2019-12</c:v>
                </c:pt>
                <c:pt idx="68">
                  <c:v>2020-01</c:v>
                </c:pt>
                <c:pt idx="69">
                  <c:v>2020-02</c:v>
                </c:pt>
                <c:pt idx="70">
                  <c:v>2020-03</c:v>
                </c:pt>
                <c:pt idx="71">
                  <c:v>2020-04</c:v>
                </c:pt>
                <c:pt idx="72">
                  <c:v>2020-05</c:v>
                </c:pt>
                <c:pt idx="73">
                  <c:v>2020-06</c:v>
                </c:pt>
                <c:pt idx="74">
                  <c:v>2020-07</c:v>
                </c:pt>
                <c:pt idx="75">
                  <c:v>2020-08</c:v>
                </c:pt>
                <c:pt idx="76">
                  <c:v>2020-09</c:v>
                </c:pt>
                <c:pt idx="77">
                  <c:v>2020-10</c:v>
                </c:pt>
                <c:pt idx="78">
                  <c:v>2020-11</c:v>
                </c:pt>
                <c:pt idx="79">
                  <c:v>2020-12</c:v>
                </c:pt>
                <c:pt idx="80">
                  <c:v>2021-01</c:v>
                </c:pt>
                <c:pt idx="81">
                  <c:v>2021-02</c:v>
                </c:pt>
                <c:pt idx="82">
                  <c:v>2021-03</c:v>
                </c:pt>
                <c:pt idx="83">
                  <c:v>2021-04</c:v>
                </c:pt>
                <c:pt idx="84">
                  <c:v>2021-05</c:v>
                </c:pt>
                <c:pt idx="85">
                  <c:v>2021-06</c:v>
                </c:pt>
                <c:pt idx="86">
                  <c:v>2021-07</c:v>
                </c:pt>
                <c:pt idx="87">
                  <c:v>2021-08</c:v>
                </c:pt>
                <c:pt idx="88">
                  <c:v>2021-09</c:v>
                </c:pt>
                <c:pt idx="89">
                  <c:v>2021-10</c:v>
                </c:pt>
                <c:pt idx="90">
                  <c:v>2021-11</c:v>
                </c:pt>
                <c:pt idx="91">
                  <c:v>2021-12</c:v>
                </c:pt>
                <c:pt idx="92">
                  <c:v>2022-01</c:v>
                </c:pt>
                <c:pt idx="93">
                  <c:v>2022-02</c:v>
                </c:pt>
                <c:pt idx="94">
                  <c:v>2022-03</c:v>
                </c:pt>
                <c:pt idx="95">
                  <c:v>2022-04</c:v>
                </c:pt>
                <c:pt idx="96">
                  <c:v>2022-05</c:v>
                </c:pt>
                <c:pt idx="97">
                  <c:v>2022-06</c:v>
                </c:pt>
                <c:pt idx="98">
                  <c:v>2022-07</c:v>
                </c:pt>
                <c:pt idx="99">
                  <c:v>2022-08</c:v>
                </c:pt>
                <c:pt idx="100">
                  <c:v>2022-09</c:v>
                </c:pt>
                <c:pt idx="101">
                  <c:v>2022-10</c:v>
                </c:pt>
                <c:pt idx="102">
                  <c:v>2022-11</c:v>
                </c:pt>
                <c:pt idx="103">
                  <c:v>2022-12</c:v>
                </c:pt>
                <c:pt idx="104">
                  <c:v> 2023-01 </c:v>
                </c:pt>
                <c:pt idx="105">
                  <c:v> 2023-02 </c:v>
                </c:pt>
                <c:pt idx="106">
                  <c:v> 2023-03 </c:v>
                </c:pt>
                <c:pt idx="107">
                  <c:v> 2023-04 </c:v>
                </c:pt>
                <c:pt idx="108">
                  <c:v> 2023-05 </c:v>
                </c:pt>
                <c:pt idx="109">
                  <c:v> 2023-06 </c:v>
                </c:pt>
                <c:pt idx="110">
                  <c:v> 2023-07 </c:v>
                </c:pt>
                <c:pt idx="111">
                  <c:v> 2023-08 </c:v>
                </c:pt>
                <c:pt idx="112">
                  <c:v> 2023-09 </c:v>
                </c:pt>
                <c:pt idx="113">
                  <c:v> 2023-10 </c:v>
                </c:pt>
                <c:pt idx="114">
                  <c:v> 2023-11 </c:v>
                </c:pt>
                <c:pt idx="115">
                  <c:v> 2023-12 </c:v>
                </c:pt>
                <c:pt idx="116">
                  <c:v> 2024-01 </c:v>
                </c:pt>
                <c:pt idx="117">
                  <c:v> 2024-02 </c:v>
                </c:pt>
                <c:pt idx="118">
                  <c:v> 2024-03 </c:v>
                </c:pt>
                <c:pt idx="119">
                  <c:v> 2024-04 </c:v>
                </c:pt>
                <c:pt idx="120">
                  <c:v> 2024-05 </c:v>
                </c:pt>
                <c:pt idx="121">
                  <c:v> 2024-06 </c:v>
                </c:pt>
                <c:pt idx="122">
                  <c:v> 2024-07 </c:v>
                </c:pt>
                <c:pt idx="123">
                  <c:v> 2024-08 </c:v>
                </c:pt>
                <c:pt idx="124">
                  <c:v> 2024-09 </c:v>
                </c:pt>
                <c:pt idx="125">
                  <c:v> 2024-10 </c:v>
                </c:pt>
                <c:pt idx="126">
                  <c:v> 2024-11 </c:v>
                </c:pt>
              </c:strCache>
            </c:strRef>
          </c:cat>
          <c:val>
            <c:numRef>
              <c:f>Semrush!$E$80:$FC$80</c:f>
              <c:numCache>
                <c:formatCode>_(* #,##0_);_(* \(#,##0\);_(* "-"??_);_(@_)</c:formatCode>
                <c:ptCount val="127"/>
                <c:pt idx="0">
                  <c:v>476579</c:v>
                </c:pt>
                <c:pt idx="1">
                  <c:v>489471</c:v>
                </c:pt>
                <c:pt idx="2">
                  <c:v>495493</c:v>
                </c:pt>
                <c:pt idx="3">
                  <c:v>447778</c:v>
                </c:pt>
                <c:pt idx="4">
                  <c:v>461825</c:v>
                </c:pt>
                <c:pt idx="5">
                  <c:v>436835</c:v>
                </c:pt>
                <c:pt idx="6">
                  <c:v>581882</c:v>
                </c:pt>
                <c:pt idx="7">
                  <c:v>331277</c:v>
                </c:pt>
                <c:pt idx="8">
                  <c:v>391140</c:v>
                </c:pt>
                <c:pt idx="9">
                  <c:v>351194</c:v>
                </c:pt>
                <c:pt idx="10">
                  <c:v>390220</c:v>
                </c:pt>
                <c:pt idx="11">
                  <c:v>435753</c:v>
                </c:pt>
                <c:pt idx="12">
                  <c:v>404879</c:v>
                </c:pt>
                <c:pt idx="13">
                  <c:v>556768</c:v>
                </c:pt>
                <c:pt idx="14">
                  <c:v>578548</c:v>
                </c:pt>
                <c:pt idx="15">
                  <c:v>589838</c:v>
                </c:pt>
                <c:pt idx="16">
                  <c:v>534409</c:v>
                </c:pt>
                <c:pt idx="17">
                  <c:v>554313</c:v>
                </c:pt>
                <c:pt idx="18">
                  <c:v>489560</c:v>
                </c:pt>
                <c:pt idx="19">
                  <c:v>510043</c:v>
                </c:pt>
                <c:pt idx="20">
                  <c:v>519187</c:v>
                </c:pt>
                <c:pt idx="21">
                  <c:v>524343</c:v>
                </c:pt>
                <c:pt idx="22">
                  <c:v>510303</c:v>
                </c:pt>
                <c:pt idx="23">
                  <c:v>479164</c:v>
                </c:pt>
                <c:pt idx="24">
                  <c:v>465736</c:v>
                </c:pt>
                <c:pt idx="25">
                  <c:v>463919</c:v>
                </c:pt>
                <c:pt idx="26">
                  <c:v>445307</c:v>
                </c:pt>
                <c:pt idx="27">
                  <c:v>467050</c:v>
                </c:pt>
                <c:pt idx="28">
                  <c:v>458657</c:v>
                </c:pt>
                <c:pt idx="29">
                  <c:v>456765</c:v>
                </c:pt>
                <c:pt idx="30">
                  <c:v>490882</c:v>
                </c:pt>
                <c:pt idx="31">
                  <c:v>622980</c:v>
                </c:pt>
                <c:pt idx="32">
                  <c:v>619880</c:v>
                </c:pt>
                <c:pt idx="33">
                  <c:v>623212</c:v>
                </c:pt>
                <c:pt idx="34">
                  <c:v>623112</c:v>
                </c:pt>
                <c:pt idx="35">
                  <c:v>689372</c:v>
                </c:pt>
                <c:pt idx="36">
                  <c:v>633431</c:v>
                </c:pt>
                <c:pt idx="37">
                  <c:v>619219</c:v>
                </c:pt>
                <c:pt idx="38">
                  <c:v>381860</c:v>
                </c:pt>
                <c:pt idx="39">
                  <c:v>629608</c:v>
                </c:pt>
                <c:pt idx="40">
                  <c:v>612578</c:v>
                </c:pt>
                <c:pt idx="41">
                  <c:v>613839</c:v>
                </c:pt>
                <c:pt idx="42">
                  <c:v>629252</c:v>
                </c:pt>
                <c:pt idx="43">
                  <c:v>626004</c:v>
                </c:pt>
                <c:pt idx="44">
                  <c:v>667954</c:v>
                </c:pt>
                <c:pt idx="45">
                  <c:v>690908</c:v>
                </c:pt>
                <c:pt idx="46">
                  <c:v>575964</c:v>
                </c:pt>
                <c:pt idx="47">
                  <c:v>564484</c:v>
                </c:pt>
                <c:pt idx="48">
                  <c:v>575349</c:v>
                </c:pt>
                <c:pt idx="49">
                  <c:v>589452</c:v>
                </c:pt>
                <c:pt idx="50">
                  <c:v>621302</c:v>
                </c:pt>
                <c:pt idx="51">
                  <c:v>647203</c:v>
                </c:pt>
                <c:pt idx="52">
                  <c:v>627087</c:v>
                </c:pt>
                <c:pt idx="53">
                  <c:v>644519</c:v>
                </c:pt>
                <c:pt idx="54">
                  <c:v>654607</c:v>
                </c:pt>
                <c:pt idx="55">
                  <c:v>623113</c:v>
                </c:pt>
                <c:pt idx="56">
                  <c:v>639866</c:v>
                </c:pt>
                <c:pt idx="57">
                  <c:v>675558</c:v>
                </c:pt>
                <c:pt idx="58">
                  <c:v>642727</c:v>
                </c:pt>
                <c:pt idx="59">
                  <c:v>623801</c:v>
                </c:pt>
                <c:pt idx="60">
                  <c:v>631939</c:v>
                </c:pt>
                <c:pt idx="61">
                  <c:v>827845</c:v>
                </c:pt>
                <c:pt idx="62">
                  <c:v>820269</c:v>
                </c:pt>
                <c:pt idx="63">
                  <c:v>835376</c:v>
                </c:pt>
                <c:pt idx="64">
                  <c:v>791311</c:v>
                </c:pt>
                <c:pt idx="65">
                  <c:v>766702</c:v>
                </c:pt>
                <c:pt idx="66">
                  <c:v>748638</c:v>
                </c:pt>
                <c:pt idx="67">
                  <c:v>799880</c:v>
                </c:pt>
                <c:pt idx="68">
                  <c:v>804939</c:v>
                </c:pt>
                <c:pt idx="69">
                  <c:v>836492</c:v>
                </c:pt>
                <c:pt idx="70">
                  <c:v>864228</c:v>
                </c:pt>
                <c:pt idx="71">
                  <c:v>881867</c:v>
                </c:pt>
                <c:pt idx="72">
                  <c:v>896297</c:v>
                </c:pt>
                <c:pt idx="73">
                  <c:v>898729</c:v>
                </c:pt>
                <c:pt idx="74">
                  <c:v>1014182</c:v>
                </c:pt>
                <c:pt idx="75">
                  <c:v>1016410</c:v>
                </c:pt>
                <c:pt idx="76">
                  <c:v>1034866</c:v>
                </c:pt>
                <c:pt idx="77">
                  <c:v>1115365</c:v>
                </c:pt>
                <c:pt idx="78">
                  <c:v>1244146</c:v>
                </c:pt>
                <c:pt idx="79">
                  <c:v>1092522</c:v>
                </c:pt>
                <c:pt idx="80">
                  <c:v>1176436</c:v>
                </c:pt>
                <c:pt idx="81">
                  <c:v>1190049</c:v>
                </c:pt>
                <c:pt idx="82">
                  <c:v>1153705</c:v>
                </c:pt>
                <c:pt idx="83">
                  <c:v>1153824</c:v>
                </c:pt>
                <c:pt idx="84">
                  <c:v>1200278</c:v>
                </c:pt>
                <c:pt idx="85">
                  <c:v>1261071</c:v>
                </c:pt>
                <c:pt idx="86">
                  <c:v>1356356</c:v>
                </c:pt>
                <c:pt idx="87">
                  <c:v>1432360</c:v>
                </c:pt>
                <c:pt idx="88">
                  <c:v>1250144</c:v>
                </c:pt>
                <c:pt idx="89">
                  <c:v>1226389</c:v>
                </c:pt>
                <c:pt idx="90">
                  <c:v>1166007</c:v>
                </c:pt>
                <c:pt idx="91">
                  <c:v>1147288</c:v>
                </c:pt>
                <c:pt idx="92">
                  <c:v>1172600</c:v>
                </c:pt>
                <c:pt idx="93">
                  <c:v>1428894</c:v>
                </c:pt>
                <c:pt idx="94">
                  <c:v>1528222</c:v>
                </c:pt>
                <c:pt idx="95">
                  <c:v>1518148</c:v>
                </c:pt>
                <c:pt idx="96">
                  <c:v>1617745</c:v>
                </c:pt>
                <c:pt idx="97">
                  <c:v>1640956</c:v>
                </c:pt>
                <c:pt idx="98">
                  <c:v>1557188</c:v>
                </c:pt>
                <c:pt idx="99">
                  <c:v>1389477</c:v>
                </c:pt>
                <c:pt idx="100">
                  <c:v>1408774</c:v>
                </c:pt>
                <c:pt idx="101">
                  <c:v>1427234</c:v>
                </c:pt>
                <c:pt idx="102">
                  <c:v>1320019</c:v>
                </c:pt>
                <c:pt idx="103">
                  <c:v>1377047</c:v>
                </c:pt>
                <c:pt idx="104">
                  <c:v>1359166</c:v>
                </c:pt>
                <c:pt idx="105">
                  <c:v>1381355</c:v>
                </c:pt>
                <c:pt idx="106">
                  <c:v>1295910</c:v>
                </c:pt>
                <c:pt idx="107">
                  <c:v>1195915</c:v>
                </c:pt>
                <c:pt idx="108">
                  <c:v>1197611</c:v>
                </c:pt>
                <c:pt idx="109">
                  <c:v>1168249</c:v>
                </c:pt>
                <c:pt idx="110">
                  <c:v>1190402</c:v>
                </c:pt>
                <c:pt idx="111">
                  <c:v>1204481</c:v>
                </c:pt>
                <c:pt idx="112">
                  <c:v>1225674</c:v>
                </c:pt>
                <c:pt idx="113">
                  <c:v>1312914</c:v>
                </c:pt>
                <c:pt idx="114">
                  <c:v>1327670</c:v>
                </c:pt>
                <c:pt idx="115">
                  <c:v>1220785</c:v>
                </c:pt>
                <c:pt idx="116">
                  <c:v>1301679</c:v>
                </c:pt>
                <c:pt idx="117">
                  <c:v>1393889</c:v>
                </c:pt>
                <c:pt idx="118">
                  <c:v>1332473</c:v>
                </c:pt>
                <c:pt idx="119">
                  <c:v>1359646</c:v>
                </c:pt>
                <c:pt idx="120">
                  <c:v>1358293</c:v>
                </c:pt>
                <c:pt idx="121">
                  <c:v>1318338</c:v>
                </c:pt>
                <c:pt idx="122">
                  <c:v>1366955</c:v>
                </c:pt>
                <c:pt idx="123">
                  <c:v>1326563</c:v>
                </c:pt>
                <c:pt idx="124">
                  <c:v>1327372</c:v>
                </c:pt>
                <c:pt idx="125">
                  <c:v>1414315</c:v>
                </c:pt>
                <c:pt idx="126">
                  <c:v>1471698</c:v>
                </c:pt>
              </c:numCache>
            </c:numRef>
          </c:val>
          <c:smooth val="0"/>
          <c:extLst>
            <c:ext xmlns:c16="http://schemas.microsoft.com/office/drawing/2014/chart" uri="{C3380CC4-5D6E-409C-BE32-E72D297353CC}">
              <c16:uniqueId val="{00000002-44C6-4083-A54E-452B970150B8}"/>
            </c:ext>
          </c:extLst>
        </c:ser>
        <c:dLbls>
          <c:showLegendKey val="0"/>
          <c:showVal val="0"/>
          <c:showCatName val="0"/>
          <c:showSerName val="0"/>
          <c:showPercent val="0"/>
          <c:showBubbleSize val="0"/>
        </c:dLbls>
        <c:marker val="1"/>
        <c:smooth val="0"/>
        <c:axId val="1807977360"/>
        <c:axId val="1807975440"/>
      </c:lineChart>
      <c:lineChart>
        <c:grouping val="standard"/>
        <c:varyColors val="0"/>
        <c:ser>
          <c:idx val="3"/>
          <c:order val="3"/>
          <c:tx>
            <c:strRef>
              <c:f>Semrush!$C$42</c:f>
              <c:strCache>
                <c:ptCount val="1"/>
                <c:pt idx="0">
                  <c:v>Growth %</c:v>
                </c:pt>
              </c:strCache>
            </c:strRef>
          </c:tx>
          <c:spPr>
            <a:ln w="28575" cap="rnd">
              <a:solidFill>
                <a:schemeClr val="accent4"/>
              </a:solidFill>
              <a:round/>
            </a:ln>
            <a:effectLst/>
          </c:spPr>
          <c:marker>
            <c:symbol val="none"/>
          </c:marker>
          <c:val>
            <c:numRef>
              <c:f>Semrush!$AG$81:$FC$81</c:f>
              <c:numCache>
                <c:formatCode>General</c:formatCode>
                <c:ptCount val="127"/>
                <c:pt idx="12" formatCode="_(* #,##0.0%_);_(* \(#,##0.0%\);_(* &quot;-&quot;_);_(@_)">
                  <c:v>-0.15044725008865267</c:v>
                </c:pt>
                <c:pt idx="13" formatCode="_(* #,##0.0%_);_(* \(#,##0.0%\);_(* &quot;-&quot;_);_(@_)">
                  <c:v>0.13748924859695477</c:v>
                </c:pt>
                <c:pt idx="14" formatCode="_(* #,##0.0%_);_(* \(#,##0.0%\);_(* &quot;-&quot;_);_(@_)">
                  <c:v>0.16762093510907317</c:v>
                </c:pt>
                <c:pt idx="15" formatCode="_(* #,##0.0%_);_(* \(#,##0.0%\);_(* &quot;-&quot;_);_(@_)">
                  <c:v>0.31725542567968956</c:v>
                </c:pt>
                <c:pt idx="16" formatCode="_(* #,##0.0%_);_(* \(#,##0.0%\);_(* &quot;-&quot;_);_(@_)">
                  <c:v>0.15716775835002439</c:v>
                </c:pt>
                <c:pt idx="17" formatCode="_(* #,##0.0%_);_(* \(#,##0.0%\);_(* &quot;-&quot;_);_(@_)">
                  <c:v>0.26892991632996432</c:v>
                </c:pt>
                <c:pt idx="18" formatCode="_(* #,##0.0%_);_(* \(#,##0.0%\);_(* &quot;-&quot;_);_(@_)">
                  <c:v>-0.15866103436779277</c:v>
                </c:pt>
                <c:pt idx="19" formatCode="_(* #,##0.0%_);_(* \(#,##0.0%\);_(* &quot;-&quot;_);_(@_)">
                  <c:v>0.53962695870827138</c:v>
                </c:pt>
                <c:pt idx="20" formatCode="_(* #,##0.0%_);_(* \(#,##0.0%\);_(* &quot;-&quot;_);_(@_)">
                  <c:v>0.32736871708339721</c:v>
                </c:pt>
                <c:pt idx="21" formatCode="_(* #,##0.0%_);_(* \(#,##0.0%\);_(* &quot;-&quot;_);_(@_)">
                  <c:v>0.49302949367016513</c:v>
                </c:pt>
                <c:pt idx="22" formatCode="_(* #,##0.0%_);_(* \(#,##0.0%\);_(* &quot;-&quot;_);_(@_)">
                  <c:v>0.30773153605658354</c:v>
                </c:pt>
                <c:pt idx="23" formatCode="_(* #,##0.0%_);_(* \(#,##0.0%\);_(* &quot;-&quot;_);_(@_)">
                  <c:v>9.9622951534470205E-2</c:v>
                </c:pt>
                <c:pt idx="24" formatCode="_(* #,##0.0%_);_(* \(#,##0.0%\);_(* &quot;-&quot;_);_(@_)">
                  <c:v>0.15030910469547698</c:v>
                </c:pt>
                <c:pt idx="25" formatCode="_(* #,##0.0%_);_(* \(#,##0.0%\);_(* &quot;-&quot;_);_(@_)">
                  <c:v>-0.16676425369274095</c:v>
                </c:pt>
                <c:pt idx="26" formatCode="_(* #,##0.0%_);_(* \(#,##0.0%\);_(* &quot;-&quot;_);_(@_)">
                  <c:v>-0.23030241224582926</c:v>
                </c:pt>
                <c:pt idx="27" formatCode="_(* #,##0.0%_);_(* \(#,##0.0%\);_(* &quot;-&quot;_);_(@_)">
                  <c:v>-0.20817241344233506</c:v>
                </c:pt>
                <c:pt idx="28" formatCode="_(* #,##0.0%_);_(* \(#,##0.0%\);_(* &quot;-&quot;_);_(@_)">
                  <c:v>-0.14174910976424426</c:v>
                </c:pt>
                <c:pt idx="29" formatCode="_(* #,##0.0%_);_(* \(#,##0.0%\);_(* &quot;-&quot;_);_(@_)">
                  <c:v>-0.17597999686097932</c:v>
                </c:pt>
                <c:pt idx="30" formatCode="_(* #,##0.0%_);_(* \(#,##0.0%\);_(* &quot;-&quot;_);_(@_)">
                  <c:v>2.7003840183021932E-3</c:v>
                </c:pt>
                <c:pt idx="31" formatCode="_(* #,##0.0%_);_(* \(#,##0.0%\);_(* &quot;-&quot;_);_(@_)">
                  <c:v>0.22142642875208551</c:v>
                </c:pt>
                <c:pt idx="32" formatCode="_(* #,##0.0%_);_(* \(#,##0.0%\);_(* &quot;-&quot;_);_(@_)">
                  <c:v>0.19394360798710286</c:v>
                </c:pt>
                <c:pt idx="33" formatCode="_(* #,##0.0%_);_(* \(#,##0.0%\);_(* &quot;-&quot;_);_(@_)">
                  <c:v>0.18855787146962966</c:v>
                </c:pt>
                <c:pt idx="34" formatCode="_(* #,##0.0%_);_(* \(#,##0.0%\);_(* &quot;-&quot;_);_(@_)">
                  <c:v>0.22106278034814619</c:v>
                </c:pt>
                <c:pt idx="35" formatCode="_(* #,##0.0%_);_(* \(#,##0.0%\);_(* &quot;-&quot;_);_(@_)">
                  <c:v>0.4386973979681279</c:v>
                </c:pt>
                <c:pt idx="36" formatCode="_(* #,##0.0%_);_(* \(#,##0.0%\);_(* &quot;-&quot;_);_(@_)">
                  <c:v>0.36006450006011992</c:v>
                </c:pt>
                <c:pt idx="37" formatCode="_(* #,##0.0%_);_(* \(#,##0.0%\);_(* &quot;-&quot;_);_(@_)">
                  <c:v>0.33475671399533113</c:v>
                </c:pt>
                <c:pt idx="38" formatCode="_(* #,##0.0%_);_(* \(#,##0.0%\);_(* &quot;-&quot;_);_(@_)">
                  <c:v>-0.14247923342772517</c:v>
                </c:pt>
                <c:pt idx="39" formatCode="_(* #,##0.0%_);_(* \(#,##0.0%\);_(* &quot;-&quot;_);_(@_)">
                  <c:v>0.34805267102023341</c:v>
                </c:pt>
                <c:pt idx="40" formatCode="_(* #,##0.0%_);_(* \(#,##0.0%\);_(* &quot;-&quot;_);_(@_)">
                  <c:v>0.33559064834942021</c:v>
                </c:pt>
                <c:pt idx="41" formatCode="_(* #,##0.0%_);_(* \(#,##0.0%\);_(* &quot;-&quot;_);_(@_)">
                  <c:v>0.34388361630159925</c:v>
                </c:pt>
                <c:pt idx="42" formatCode="_(* #,##0.0%_);_(* \(#,##0.0%\);_(* &quot;-&quot;_);_(@_)">
                  <c:v>0.28188037043525727</c:v>
                </c:pt>
                <c:pt idx="43" formatCode="_(* #,##0.0%_);_(* \(#,##0.0%\);_(* &quot;-&quot;_);_(@_)">
                  <c:v>4.8540884137533435E-3</c:v>
                </c:pt>
                <c:pt idx="44" formatCode="_(* #,##0.0%_);_(* \(#,##0.0%\);_(* &quot;-&quot;_);_(@_)">
                  <c:v>7.7553720074853283E-2</c:v>
                </c:pt>
                <c:pt idx="45" formatCode="_(* #,##0.0%_);_(* \(#,##0.0%\);_(* &quot;-&quot;_);_(@_)">
                  <c:v>0.10862435254776859</c:v>
                </c:pt>
                <c:pt idx="46" formatCode="_(* #,##0.0%_);_(* \(#,##0.0%\);_(* &quot;-&quot;_);_(@_)">
                  <c:v>-7.5665369949543537E-2</c:v>
                </c:pt>
                <c:pt idx="47" formatCode="_(* #,##0.0%_);_(* \(#,##0.0%\);_(* &quot;-&quot;_);_(@_)">
                  <c:v>-0.18116198511108661</c:v>
                </c:pt>
                <c:pt idx="48" formatCode="_(* #,##0.0%_);_(* \(#,##0.0%\);_(* &quot;-&quot;_);_(@_)">
                  <c:v>-9.1694280829324737E-2</c:v>
                </c:pt>
                <c:pt idx="49" formatCode="_(* #,##0.0%_);_(* \(#,##0.0%\);_(* &quot;-&quot;_);_(@_)">
                  <c:v>-4.8071845340663E-2</c:v>
                </c:pt>
                <c:pt idx="50" formatCode="_(* #,##0.0%_);_(* \(#,##0.0%\);_(* &quot;-&quot;_);_(@_)">
                  <c:v>0.62704132404546176</c:v>
                </c:pt>
                <c:pt idx="51" formatCode="_(* #,##0.0%_);_(* \(#,##0.0%\);_(* &quot;-&quot;_);_(@_)">
                  <c:v>2.7945960025920868E-2</c:v>
                </c:pt>
                <c:pt idx="52" formatCode="_(* #,##0.0%_);_(* \(#,##0.0%\);_(* &quot;-&quot;_);_(@_)">
                  <c:v>2.3685147034336884E-2</c:v>
                </c:pt>
                <c:pt idx="53" formatCode="_(* #,##0.0%_);_(* \(#,##0.0%\);_(* &quot;-&quot;_);_(@_)">
                  <c:v>4.9980532354575002E-2</c:v>
                </c:pt>
                <c:pt idx="54" formatCode="_(* #,##0.0%_);_(* \(#,##0.0%\);_(* &quot;-&quot;_);_(@_)">
                  <c:v>4.0293872725076785E-2</c:v>
                </c:pt>
                <c:pt idx="55" formatCode="_(* #,##0.0%_);_(* \(#,##0.0%\);_(* &quot;-&quot;_);_(@_)">
                  <c:v>-4.6181813534738048E-3</c:v>
                </c:pt>
                <c:pt idx="56" formatCode="_(* #,##0.0%_);_(* \(#,##0.0%\);_(* &quot;-&quot;_);_(@_)">
                  <c:v>-4.2050799905382741E-2</c:v>
                </c:pt>
                <c:pt idx="57" formatCode="_(* #,##0.0%_);_(* \(#,##0.0%\);_(* &quot;-&quot;_);_(@_)">
                  <c:v>-2.2217140342853159E-2</c:v>
                </c:pt>
                <c:pt idx="58" formatCode="_(* #,##0.0%_);_(* \(#,##0.0%\);_(* &quot;-&quot;_);_(@_)">
                  <c:v>0.1159152308130369</c:v>
                </c:pt>
                <c:pt idx="59" formatCode="_(* #,##0.0%_);_(* \(#,##0.0%\);_(* &quot;-&quot;_);_(@_)">
                  <c:v>0.10508180922754229</c:v>
                </c:pt>
                <c:pt idx="60" formatCode="_(* #,##0.0%_);_(* \(#,##0.0%\);_(* &quot;-&quot;_);_(@_)">
                  <c:v>9.8357692461445101E-2</c:v>
                </c:pt>
                <c:pt idx="61" formatCode="_(* #,##0.0%_);_(* \(#,##0.0%\);_(* &quot;-&quot;_);_(@_)">
                  <c:v>0.40443157373289096</c:v>
                </c:pt>
                <c:pt idx="62" formatCode="_(* #,##0.0%_);_(* \(#,##0.0%\);_(* &quot;-&quot;_);_(@_)">
                  <c:v>0.32024200791241619</c:v>
                </c:pt>
                <c:pt idx="63" formatCode="_(* #,##0.0%_);_(* \(#,##0.0%\);_(* &quot;-&quot;_);_(@_)">
                  <c:v>0.29074803423346318</c:v>
                </c:pt>
                <c:pt idx="64" formatCode="_(* #,##0.0%_);_(* \(#,##0.0%\);_(* &quot;-&quot;_);_(@_)">
                  <c:v>0.26188391722360693</c:v>
                </c:pt>
                <c:pt idx="65" formatCode="_(* #,##0.0%_);_(* \(#,##0.0%\);_(* &quot;-&quot;_);_(@_)">
                  <c:v>0.18957237878169608</c:v>
                </c:pt>
                <c:pt idx="66" formatCode="_(* #,##0.0%_);_(* \(#,##0.0%\);_(* &quot;-&quot;_);_(@_)">
                  <c:v>0.14364496560531737</c:v>
                </c:pt>
                <c:pt idx="67" formatCode="_(* #,##0.0%_);_(* \(#,##0.0%\);_(* &quot;-&quot;_);_(@_)">
                  <c:v>0.28368369782045955</c:v>
                </c:pt>
                <c:pt idx="68" formatCode="_(* #,##0.0%_);_(* \(#,##0.0%\);_(* &quot;-&quot;_);_(@_)">
                  <c:v>0.25798057718334766</c:v>
                </c:pt>
                <c:pt idx="69" formatCode="_(* #,##0.0%_);_(* \(#,##0.0%\);_(* &quot;-&quot;_);_(@_)">
                  <c:v>0.23822380905858553</c:v>
                </c:pt>
                <c:pt idx="70" formatCode="_(* #,##0.0%_);_(* \(#,##0.0%\);_(* &quot;-&quot;_);_(@_)">
                  <c:v>0.34462687890815236</c:v>
                </c:pt>
                <c:pt idx="71" formatCode="_(* #,##0.0%_);_(* \(#,##0.0%\);_(* &quot;-&quot;_);_(@_)">
                  <c:v>0.41369924062321162</c:v>
                </c:pt>
                <c:pt idx="72" formatCode="_(* #,##0.0%_);_(* \(#,##0.0%\);_(* &quot;-&quot;_);_(@_)">
                  <c:v>0.41832835131238943</c:v>
                </c:pt>
                <c:pt idx="73" formatCode="_(* #,##0.0%_);_(* \(#,##0.0%\);_(* &quot;-&quot;_);_(@_)">
                  <c:v>8.5624724435129806E-2</c:v>
                </c:pt>
                <c:pt idx="74" formatCode="_(* #,##0.0%_);_(* \(#,##0.0%\);_(* &quot;-&quot;_);_(@_)">
                  <c:v>0.23640171699771662</c:v>
                </c:pt>
                <c:pt idx="75" formatCode="_(* #,##0.0%_);_(* \(#,##0.0%\);_(* &quot;-&quot;_);_(@_)">
                  <c:v>0.21670960142498696</c:v>
                </c:pt>
                <c:pt idx="76" formatCode="_(* #,##0.0%_);_(* \(#,##0.0%\);_(* &quot;-&quot;_);_(@_)">
                  <c:v>0.30778669827665728</c:v>
                </c:pt>
                <c:pt idx="77" formatCode="_(* #,##0.0%_);_(* \(#,##0.0%\);_(* &quot;-&quot;_);_(@_)">
                  <c:v>0.45475686772696555</c:v>
                </c:pt>
                <c:pt idx="78" formatCode="_(* #,##0.0%_);_(* \(#,##0.0%\);_(* &quot;-&quot;_);_(@_)">
                  <c:v>0.6618793061533077</c:v>
                </c:pt>
                <c:pt idx="79" formatCode="_(* #,##0.0%_);_(* \(#,##0.0%\);_(* &quot;-&quot;_);_(@_)">
                  <c:v>0.36585737860679113</c:v>
                </c:pt>
                <c:pt idx="80" formatCode="_(* #,##0.0%_);_(* \(#,##0.0%\);_(* &quot;-&quot;_);_(@_)">
                  <c:v>0.4615219289908925</c:v>
                </c:pt>
                <c:pt idx="81" formatCode="_(* #,##0.0%_);_(* \(#,##0.0%\);_(* &quot;-&quot;_);_(@_)">
                  <c:v>0.42266632555959882</c:v>
                </c:pt>
                <c:pt idx="82" formatCode="_(* #,##0.0%_);_(* \(#,##0.0%\);_(* &quot;-&quot;_);_(@_)">
                  <c:v>0.33495443332083674</c:v>
                </c:pt>
                <c:pt idx="83" formatCode="_(* #,##0.0%_);_(* \(#,##0.0%\);_(* &quot;-&quot;_);_(@_)">
                  <c:v>0.30838777275938445</c:v>
                </c:pt>
                <c:pt idx="84" formatCode="_(* #,##0.0%_);_(* \(#,##0.0%\);_(* &quot;-&quot;_);_(@_)">
                  <c:v>0.33915208909546735</c:v>
                </c:pt>
                <c:pt idx="85" formatCode="_(* #,##0.0%_);_(* \(#,##0.0%\);_(* &quot;-&quot;_);_(@_)">
                  <c:v>0.40317159010113168</c:v>
                </c:pt>
                <c:pt idx="86" formatCode="_(* #,##0.0%_);_(* \(#,##0.0%\);_(* &quot;-&quot;_);_(@_)">
                  <c:v>0.33738914711560652</c:v>
                </c:pt>
                <c:pt idx="87" formatCode="_(* #,##0.0%_);_(* \(#,##0.0%\);_(* &quot;-&quot;_);_(@_)">
                  <c:v>0.40923446247085327</c:v>
                </c:pt>
                <c:pt idx="88" formatCode="_(* #,##0.0%_);_(* \(#,##0.0%\);_(* &quot;-&quot;_);_(@_)">
                  <c:v>0.20802500033820803</c:v>
                </c:pt>
                <c:pt idx="89" formatCode="_(* #,##0.0%_);_(* \(#,##0.0%\);_(* &quot;-&quot;_);_(@_)">
                  <c:v>9.9540509160678248E-2</c:v>
                </c:pt>
                <c:pt idx="90" formatCode="_(* #,##0.0%_);_(* \(#,##0.0%\);_(* &quot;-&quot;_);_(@_)">
                  <c:v>-6.280532992108645E-2</c:v>
                </c:pt>
                <c:pt idx="91" formatCode="_(* #,##0.0%_);_(* \(#,##0.0%\);_(* &quot;-&quot;_);_(@_)">
                  <c:v>5.0128052341280149E-2</c:v>
                </c:pt>
                <c:pt idx="92" formatCode="_(* #,##0.0%_);_(* \(#,##0.0%\);_(* &quot;-&quot;_);_(@_)">
                  <c:v>-3.2606958644584294E-3</c:v>
                </c:pt>
                <c:pt idx="93" formatCode="_(* #,##0.0%_);_(* \(#,##0.0%\);_(* &quot;-&quot;_);_(@_)">
                  <c:v>0.20070181984103175</c:v>
                </c:pt>
                <c:pt idx="94" formatCode="_(* #,##0.0%_);_(* \(#,##0.0%\);_(* &quot;-&quot;_);_(@_)">
                  <c:v>0.32462111198269916</c:v>
                </c:pt>
                <c:pt idx="95" formatCode="_(* #,##0.0%_);_(* \(#,##0.0%\);_(* &quot;-&quot;_);_(@_)">
                  <c:v>0.315753529134426</c:v>
                </c:pt>
                <c:pt idx="96" formatCode="_(* #,##0.0%_);_(* \(#,##0.0%\);_(* &quot;-&quot;_);_(@_)">
                  <c:v>0.34780859100974948</c:v>
                </c:pt>
                <c:pt idx="97" formatCode="_(* #,##0.0%_);_(* \(#,##0.0%\);_(* &quot;-&quot;_);_(@_)">
                  <c:v>0.3012399777649315</c:v>
                </c:pt>
                <c:pt idx="98" formatCode="_(* #,##0.0%_);_(* \(#,##0.0%\);_(* &quot;-&quot;_);_(@_)">
                  <c:v>0.14806732155864677</c:v>
                </c:pt>
                <c:pt idx="99" formatCode="_(* #,##0.0%_);_(* \(#,##0.0%\);_(* &quot;-&quot;_);_(@_)">
                  <c:v>-2.9938702560808772E-2</c:v>
                </c:pt>
                <c:pt idx="100" formatCode="_(* #,##0.0%_);_(* \(#,##0.0%\);_(* &quot;-&quot;_);_(@_)">
                  <c:v>0.12688938234315406</c:v>
                </c:pt>
                <c:pt idx="101" formatCode="_(* #,##0.0%_);_(* \(#,##0.0%\);_(* &quot;-&quot;_);_(@_)">
                  <c:v>0.16376940758601055</c:v>
                </c:pt>
                <c:pt idx="102" formatCode="_(* #,##0.0%_);_(* \(#,##0.0%\);_(* &quot;-&quot;_);_(@_)">
                  <c:v>0.13208497033036681</c:v>
                </c:pt>
                <c:pt idx="103" formatCode="_(* #,##0.0%_);_(* \(#,##0.0%\);_(* &quot;-&quot;_);_(@_)">
                  <c:v>0.20026270648694999</c:v>
                </c:pt>
                <c:pt idx="104" formatCode="_(* #,##0.0%_);_(* \(#,##0.0%\);_(* &quot;-&quot;_);_(@_)">
                  <c:v>0.15910455398260281</c:v>
                </c:pt>
                <c:pt idx="105" formatCode="_(* #,##0.0%_);_(* \(#,##0.0%\);_(* &quot;-&quot;_);_(@_)">
                  <c:v>-3.3269787681941443E-2</c:v>
                </c:pt>
                <c:pt idx="106" formatCode="_(* #,##0.0%_);_(* \(#,##0.0%\);_(* &quot;-&quot;_);_(@_)">
                  <c:v>-0.15201456332914987</c:v>
                </c:pt>
                <c:pt idx="107" formatCode="_(* #,##0.0%_);_(* \(#,##0.0%\);_(* &quot;-&quot;_);_(@_)">
                  <c:v>-0.21225400949051076</c:v>
                </c:pt>
                <c:pt idx="108" formatCode="_(* #,##0.0%_);_(* \(#,##0.0%\);_(* &quot;-&quot;_);_(@_)">
                  <c:v>-0.25970347613499034</c:v>
                </c:pt>
                <c:pt idx="109" formatCode="_(* #,##0.0%_);_(* \(#,##0.0%\);_(* &quot;-&quot;_);_(@_)">
                  <c:v>-0.28806805301299976</c:v>
                </c:pt>
                <c:pt idx="110" formatCode="_(* #,##0.0%_);_(* \(#,##0.0%\);_(* &quot;-&quot;_);_(@_)">
                  <c:v>-0.23554381359219312</c:v>
                </c:pt>
                <c:pt idx="111" formatCode="_(* #,##0.0%_);_(* \(#,##0.0%\);_(* &quot;-&quot;_);_(@_)">
                  <c:v>-0.13314074288383326</c:v>
                </c:pt>
                <c:pt idx="112" formatCode="_(* #,##0.0%_);_(* \(#,##0.0%\);_(* &quot;-&quot;_);_(@_)">
                  <c:v>-0.12997116641846029</c:v>
                </c:pt>
                <c:pt idx="113" formatCode="_(* #,##0.0%_);_(* \(#,##0.0%\);_(* &quot;-&quot;_);_(@_)">
                  <c:v>-8.009898867319587E-2</c:v>
                </c:pt>
                <c:pt idx="114" formatCode="_(* #,##0.0%_);_(* \(#,##0.0%\);_(* &quot;-&quot;_);_(@_)">
                  <c:v>5.7961286920868993E-3</c:v>
                </c:pt>
                <c:pt idx="115" formatCode="_(* #,##0.0%_);_(* \(#,##0.0%\);_(* &quot;-&quot;_);_(@_)">
                  <c:v>-0.1134761558610563</c:v>
                </c:pt>
                <c:pt idx="116" formatCode="_(* #,##0.0%_);_(* \(#,##0.0%\);_(* &quot;-&quot;_);_(@_)">
                  <c:v>-4.2295790212527384E-2</c:v>
                </c:pt>
                <c:pt idx="117" formatCode="_(* #,##0.0%_);_(* \(#,##0.0%\);_(* &quot;-&quot;_);_(@_)">
                  <c:v>9.0736993748892214E-3</c:v>
                </c:pt>
                <c:pt idx="118" formatCode="_(* #,##0.0%_);_(* \(#,##0.0%\);_(* &quot;-&quot;_);_(@_)">
                  <c:v>2.8214150674043648E-2</c:v>
                </c:pt>
                <c:pt idx="119" formatCode="_(* #,##0.0%_);_(* \(#,##0.0%\);_(* &quot;-&quot;_);_(@_)">
                  <c:v>0.13690855955481784</c:v>
                </c:pt>
                <c:pt idx="120" formatCode="_(* #,##0.0%_);_(* \(#,##0.0%\);_(* &quot;-&quot;_);_(@_)">
                  <c:v>0.13416877433490515</c:v>
                </c:pt>
                <c:pt idx="121" formatCode="_(* #,##0.0%_);_(* \(#,##0.0%\);_(* &quot;-&quot;_);_(@_)">
                  <c:v>0.12847346755700206</c:v>
                </c:pt>
                <c:pt idx="122" formatCode="_(* #,##0.0%_);_(* \(#,##0.0%\);_(* &quot;-&quot;_);_(@_)">
                  <c:v>0.14831376291370479</c:v>
                </c:pt>
                <c:pt idx="123" formatCode="_(* #,##0.0%_);_(* \(#,##0.0%\);_(* &quot;-&quot;_);_(@_)">
                  <c:v>0.10135651786952216</c:v>
                </c:pt>
                <c:pt idx="124" formatCode="_(* #,##0.0%_);_(* \(#,##0.0%\);_(* &quot;-&quot;_);_(@_)">
                  <c:v>8.2973123359066037E-2</c:v>
                </c:pt>
                <c:pt idx="125" formatCode="_(* #,##0.0%_);_(* \(#,##0.0%\);_(* &quot;-&quot;_);_(@_)">
                  <c:v>7.7233543095739599E-2</c:v>
                </c:pt>
                <c:pt idx="126" formatCode="_(* #,##0.0%_);_(* \(#,##0.0%\);_(* &quot;-&quot;_);_(@_)">
                  <c:v>0.10848177634502543</c:v>
                </c:pt>
              </c:numCache>
            </c:numRef>
          </c:val>
          <c:smooth val="0"/>
          <c:extLst>
            <c:ext xmlns:c16="http://schemas.microsoft.com/office/drawing/2014/chart" uri="{C3380CC4-5D6E-409C-BE32-E72D297353CC}">
              <c16:uniqueId val="{00000003-44C6-4083-A54E-452B970150B8}"/>
            </c:ext>
          </c:extLst>
        </c:ser>
        <c:dLbls>
          <c:showLegendKey val="0"/>
          <c:showVal val="0"/>
          <c:showCatName val="0"/>
          <c:showSerName val="0"/>
          <c:showPercent val="0"/>
          <c:showBubbleSize val="0"/>
        </c:dLbls>
        <c:marker val="1"/>
        <c:smooth val="0"/>
        <c:axId val="2089431519"/>
        <c:axId val="2089456479"/>
      </c:lineChart>
      <c:catAx>
        <c:axId val="180797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07975440"/>
        <c:crosses val="autoZero"/>
        <c:auto val="1"/>
        <c:lblAlgn val="ctr"/>
        <c:lblOffset val="100"/>
        <c:noMultiLvlLbl val="0"/>
      </c:catAx>
      <c:valAx>
        <c:axId val="180797544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07977360"/>
        <c:crosses val="autoZero"/>
        <c:crossBetween val="between"/>
      </c:valAx>
      <c:valAx>
        <c:axId val="2089456479"/>
        <c:scaling>
          <c:orientation val="minMax"/>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089431519"/>
        <c:crosses val="max"/>
        <c:crossBetween val="between"/>
      </c:valAx>
      <c:catAx>
        <c:axId val="2089431519"/>
        <c:scaling>
          <c:orientation val="minMax"/>
        </c:scaling>
        <c:delete val="1"/>
        <c:axPos val="b"/>
        <c:majorTickMark val="out"/>
        <c:minorTickMark val="none"/>
        <c:tickLblPos val="nextTo"/>
        <c:crossAx val="20894564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2910119593803888"/>
          <c:y val="3.000098636055417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6.2289095681221665E-2"/>
          <c:y val="9.1339002624671914E-2"/>
          <c:w val="0.92093787703103147"/>
          <c:h val="0.7413528608923885"/>
        </c:manualLayout>
      </c:layout>
      <c:lineChart>
        <c:grouping val="standard"/>
        <c:varyColors val="0"/>
        <c:ser>
          <c:idx val="0"/>
          <c:order val="0"/>
          <c:tx>
            <c:v>Apollo Education Group, Inc. (NasdaqGM:APOL) - Share Pricing</c:v>
          </c:tx>
          <c:spPr>
            <a:ln w="19050">
              <a:solidFill>
                <a:sysClr val="windowText" lastClr="000000"/>
              </a:solidFill>
              <a:prstDash val="solid"/>
            </a:ln>
          </c:spPr>
          <c:marker>
            <c:symbol val="none"/>
          </c:marker>
          <c:cat>
            <c:numRef>
              <c:f>'APOL stock chart'!$A$44:$A$5622</c:f>
              <c:numCache>
                <c:formatCode>[$-409]mmm\-yy;@</c:formatCode>
                <c:ptCount val="5579"/>
                <c:pt idx="0">
                  <c:v>34674</c:v>
                </c:pt>
                <c:pt idx="1">
                  <c:v>34675</c:v>
                </c:pt>
                <c:pt idx="2">
                  <c:v>34676</c:v>
                </c:pt>
                <c:pt idx="3">
                  <c:v>34677</c:v>
                </c:pt>
                <c:pt idx="4">
                  <c:v>34680</c:v>
                </c:pt>
                <c:pt idx="5">
                  <c:v>34681</c:v>
                </c:pt>
                <c:pt idx="6">
                  <c:v>34682</c:v>
                </c:pt>
                <c:pt idx="7">
                  <c:v>34683</c:v>
                </c:pt>
                <c:pt idx="8">
                  <c:v>34684</c:v>
                </c:pt>
                <c:pt idx="9">
                  <c:v>34687</c:v>
                </c:pt>
                <c:pt idx="10">
                  <c:v>34688</c:v>
                </c:pt>
                <c:pt idx="11">
                  <c:v>34689</c:v>
                </c:pt>
                <c:pt idx="12">
                  <c:v>34690</c:v>
                </c:pt>
                <c:pt idx="13">
                  <c:v>34691</c:v>
                </c:pt>
                <c:pt idx="14">
                  <c:v>34695</c:v>
                </c:pt>
                <c:pt idx="15">
                  <c:v>34696</c:v>
                </c:pt>
                <c:pt idx="16">
                  <c:v>34697</c:v>
                </c:pt>
                <c:pt idx="17">
                  <c:v>34698</c:v>
                </c:pt>
                <c:pt idx="18">
                  <c:v>34702</c:v>
                </c:pt>
                <c:pt idx="19">
                  <c:v>34703</c:v>
                </c:pt>
                <c:pt idx="20">
                  <c:v>34704</c:v>
                </c:pt>
                <c:pt idx="21">
                  <c:v>34705</c:v>
                </c:pt>
                <c:pt idx="22">
                  <c:v>34708</c:v>
                </c:pt>
                <c:pt idx="23">
                  <c:v>34709</c:v>
                </c:pt>
                <c:pt idx="24">
                  <c:v>34710</c:v>
                </c:pt>
                <c:pt idx="25">
                  <c:v>34711</c:v>
                </c:pt>
                <c:pt idx="26">
                  <c:v>34712</c:v>
                </c:pt>
                <c:pt idx="27">
                  <c:v>34715</c:v>
                </c:pt>
                <c:pt idx="28">
                  <c:v>34716</c:v>
                </c:pt>
                <c:pt idx="29">
                  <c:v>34717</c:v>
                </c:pt>
                <c:pt idx="30">
                  <c:v>34718</c:v>
                </c:pt>
                <c:pt idx="31">
                  <c:v>34719</c:v>
                </c:pt>
                <c:pt idx="32">
                  <c:v>34722</c:v>
                </c:pt>
                <c:pt idx="33">
                  <c:v>34723</c:v>
                </c:pt>
                <c:pt idx="34">
                  <c:v>34724</c:v>
                </c:pt>
                <c:pt idx="35">
                  <c:v>34725</c:v>
                </c:pt>
                <c:pt idx="36">
                  <c:v>34726</c:v>
                </c:pt>
                <c:pt idx="37">
                  <c:v>34729</c:v>
                </c:pt>
                <c:pt idx="38">
                  <c:v>34730</c:v>
                </c:pt>
                <c:pt idx="39">
                  <c:v>34731</c:v>
                </c:pt>
                <c:pt idx="40">
                  <c:v>34732</c:v>
                </c:pt>
                <c:pt idx="41">
                  <c:v>34733</c:v>
                </c:pt>
                <c:pt idx="42">
                  <c:v>34736</c:v>
                </c:pt>
                <c:pt idx="43">
                  <c:v>34737</c:v>
                </c:pt>
                <c:pt idx="44">
                  <c:v>34738</c:v>
                </c:pt>
                <c:pt idx="45">
                  <c:v>34739</c:v>
                </c:pt>
                <c:pt idx="46">
                  <c:v>34740</c:v>
                </c:pt>
                <c:pt idx="47">
                  <c:v>34743</c:v>
                </c:pt>
                <c:pt idx="48">
                  <c:v>34744</c:v>
                </c:pt>
                <c:pt idx="49">
                  <c:v>34745</c:v>
                </c:pt>
                <c:pt idx="50">
                  <c:v>34746</c:v>
                </c:pt>
                <c:pt idx="51">
                  <c:v>34747</c:v>
                </c:pt>
                <c:pt idx="52">
                  <c:v>34751</c:v>
                </c:pt>
                <c:pt idx="53">
                  <c:v>34752</c:v>
                </c:pt>
                <c:pt idx="54">
                  <c:v>34753</c:v>
                </c:pt>
                <c:pt idx="55">
                  <c:v>34754</c:v>
                </c:pt>
                <c:pt idx="56">
                  <c:v>34757</c:v>
                </c:pt>
                <c:pt idx="57">
                  <c:v>34758</c:v>
                </c:pt>
                <c:pt idx="58">
                  <c:v>34759</c:v>
                </c:pt>
                <c:pt idx="59">
                  <c:v>34760</c:v>
                </c:pt>
                <c:pt idx="60">
                  <c:v>34761</c:v>
                </c:pt>
                <c:pt idx="61">
                  <c:v>34764</c:v>
                </c:pt>
                <c:pt idx="62">
                  <c:v>34765</c:v>
                </c:pt>
                <c:pt idx="63">
                  <c:v>34766</c:v>
                </c:pt>
                <c:pt idx="64">
                  <c:v>34767</c:v>
                </c:pt>
                <c:pt idx="65">
                  <c:v>34768</c:v>
                </c:pt>
                <c:pt idx="66">
                  <c:v>34771</c:v>
                </c:pt>
                <c:pt idx="67">
                  <c:v>34772</c:v>
                </c:pt>
                <c:pt idx="68">
                  <c:v>34773</c:v>
                </c:pt>
                <c:pt idx="69">
                  <c:v>34774</c:v>
                </c:pt>
                <c:pt idx="70">
                  <c:v>34775</c:v>
                </c:pt>
                <c:pt idx="71">
                  <c:v>34778</c:v>
                </c:pt>
                <c:pt idx="72">
                  <c:v>34779</c:v>
                </c:pt>
                <c:pt idx="73">
                  <c:v>34780</c:v>
                </c:pt>
                <c:pt idx="74">
                  <c:v>34781</c:v>
                </c:pt>
                <c:pt idx="75">
                  <c:v>34782</c:v>
                </c:pt>
                <c:pt idx="76">
                  <c:v>34785</c:v>
                </c:pt>
                <c:pt idx="77">
                  <c:v>34786</c:v>
                </c:pt>
                <c:pt idx="78">
                  <c:v>34787</c:v>
                </c:pt>
                <c:pt idx="79">
                  <c:v>34788</c:v>
                </c:pt>
                <c:pt idx="80">
                  <c:v>34789</c:v>
                </c:pt>
                <c:pt idx="81">
                  <c:v>34792</c:v>
                </c:pt>
                <c:pt idx="82">
                  <c:v>34793</c:v>
                </c:pt>
                <c:pt idx="83">
                  <c:v>34794</c:v>
                </c:pt>
                <c:pt idx="84">
                  <c:v>34795</c:v>
                </c:pt>
                <c:pt idx="85">
                  <c:v>34796</c:v>
                </c:pt>
                <c:pt idx="86">
                  <c:v>34799</c:v>
                </c:pt>
                <c:pt idx="87">
                  <c:v>34800</c:v>
                </c:pt>
                <c:pt idx="88">
                  <c:v>34801</c:v>
                </c:pt>
                <c:pt idx="89">
                  <c:v>34802</c:v>
                </c:pt>
                <c:pt idx="90">
                  <c:v>34806</c:v>
                </c:pt>
                <c:pt idx="91">
                  <c:v>34807</c:v>
                </c:pt>
                <c:pt idx="92">
                  <c:v>34808</c:v>
                </c:pt>
                <c:pt idx="93">
                  <c:v>34809</c:v>
                </c:pt>
                <c:pt idx="94">
                  <c:v>34810</c:v>
                </c:pt>
                <c:pt idx="95">
                  <c:v>34813</c:v>
                </c:pt>
                <c:pt idx="96">
                  <c:v>34814</c:v>
                </c:pt>
                <c:pt idx="97">
                  <c:v>34815</c:v>
                </c:pt>
                <c:pt idx="98">
                  <c:v>34816</c:v>
                </c:pt>
                <c:pt idx="99">
                  <c:v>34817</c:v>
                </c:pt>
                <c:pt idx="100">
                  <c:v>34820</c:v>
                </c:pt>
                <c:pt idx="101">
                  <c:v>34821</c:v>
                </c:pt>
                <c:pt idx="102">
                  <c:v>34822</c:v>
                </c:pt>
                <c:pt idx="103">
                  <c:v>34823</c:v>
                </c:pt>
                <c:pt idx="104">
                  <c:v>34824</c:v>
                </c:pt>
                <c:pt idx="105">
                  <c:v>34827</c:v>
                </c:pt>
                <c:pt idx="106">
                  <c:v>34828</c:v>
                </c:pt>
                <c:pt idx="107">
                  <c:v>34829</c:v>
                </c:pt>
                <c:pt idx="108">
                  <c:v>34830</c:v>
                </c:pt>
                <c:pt idx="109">
                  <c:v>34831</c:v>
                </c:pt>
                <c:pt idx="110">
                  <c:v>34834</c:v>
                </c:pt>
                <c:pt idx="111">
                  <c:v>34835</c:v>
                </c:pt>
                <c:pt idx="112">
                  <c:v>34836</c:v>
                </c:pt>
                <c:pt idx="113">
                  <c:v>34837</c:v>
                </c:pt>
                <c:pt idx="114">
                  <c:v>34838</c:v>
                </c:pt>
                <c:pt idx="115">
                  <c:v>34841</c:v>
                </c:pt>
                <c:pt idx="116">
                  <c:v>34842</c:v>
                </c:pt>
                <c:pt idx="117">
                  <c:v>34843</c:v>
                </c:pt>
                <c:pt idx="118">
                  <c:v>34844</c:v>
                </c:pt>
                <c:pt idx="119">
                  <c:v>34845</c:v>
                </c:pt>
                <c:pt idx="120">
                  <c:v>34849</c:v>
                </c:pt>
                <c:pt idx="121">
                  <c:v>34850</c:v>
                </c:pt>
                <c:pt idx="122">
                  <c:v>34851</c:v>
                </c:pt>
                <c:pt idx="123">
                  <c:v>34852</c:v>
                </c:pt>
                <c:pt idx="124">
                  <c:v>34855</c:v>
                </c:pt>
                <c:pt idx="125">
                  <c:v>34856</c:v>
                </c:pt>
                <c:pt idx="126">
                  <c:v>34857</c:v>
                </c:pt>
                <c:pt idx="127">
                  <c:v>34858</c:v>
                </c:pt>
                <c:pt idx="128">
                  <c:v>34859</c:v>
                </c:pt>
                <c:pt idx="129">
                  <c:v>34862</c:v>
                </c:pt>
                <c:pt idx="130">
                  <c:v>34863</c:v>
                </c:pt>
                <c:pt idx="131">
                  <c:v>34864</c:v>
                </c:pt>
                <c:pt idx="132">
                  <c:v>34865</c:v>
                </c:pt>
                <c:pt idx="133">
                  <c:v>34866</c:v>
                </c:pt>
                <c:pt idx="134">
                  <c:v>34869</c:v>
                </c:pt>
                <c:pt idx="135">
                  <c:v>34870</c:v>
                </c:pt>
                <c:pt idx="136">
                  <c:v>34871</c:v>
                </c:pt>
                <c:pt idx="137">
                  <c:v>34872</c:v>
                </c:pt>
                <c:pt idx="138">
                  <c:v>34873</c:v>
                </c:pt>
                <c:pt idx="139">
                  <c:v>34876</c:v>
                </c:pt>
                <c:pt idx="140">
                  <c:v>34877</c:v>
                </c:pt>
                <c:pt idx="141">
                  <c:v>34878</c:v>
                </c:pt>
                <c:pt idx="142">
                  <c:v>34879</c:v>
                </c:pt>
                <c:pt idx="143">
                  <c:v>34880</c:v>
                </c:pt>
                <c:pt idx="144">
                  <c:v>34883</c:v>
                </c:pt>
                <c:pt idx="145">
                  <c:v>34885</c:v>
                </c:pt>
                <c:pt idx="146">
                  <c:v>34886</c:v>
                </c:pt>
                <c:pt idx="147">
                  <c:v>34887</c:v>
                </c:pt>
                <c:pt idx="148">
                  <c:v>34890</c:v>
                </c:pt>
                <c:pt idx="149">
                  <c:v>34891</c:v>
                </c:pt>
                <c:pt idx="150">
                  <c:v>34892</c:v>
                </c:pt>
                <c:pt idx="151">
                  <c:v>34893</c:v>
                </c:pt>
                <c:pt idx="152">
                  <c:v>34894</c:v>
                </c:pt>
                <c:pt idx="153">
                  <c:v>34897</c:v>
                </c:pt>
                <c:pt idx="154">
                  <c:v>34898</c:v>
                </c:pt>
                <c:pt idx="155">
                  <c:v>34899</c:v>
                </c:pt>
                <c:pt idx="156">
                  <c:v>34900</c:v>
                </c:pt>
                <c:pt idx="157">
                  <c:v>34901</c:v>
                </c:pt>
                <c:pt idx="158">
                  <c:v>34904</c:v>
                </c:pt>
                <c:pt idx="159">
                  <c:v>34905</c:v>
                </c:pt>
                <c:pt idx="160">
                  <c:v>34906</c:v>
                </c:pt>
                <c:pt idx="161">
                  <c:v>34907</c:v>
                </c:pt>
                <c:pt idx="162">
                  <c:v>34908</c:v>
                </c:pt>
                <c:pt idx="163">
                  <c:v>34911</c:v>
                </c:pt>
                <c:pt idx="164">
                  <c:v>34912</c:v>
                </c:pt>
                <c:pt idx="165">
                  <c:v>34913</c:v>
                </c:pt>
                <c:pt idx="166">
                  <c:v>34914</c:v>
                </c:pt>
                <c:pt idx="167">
                  <c:v>34915</c:v>
                </c:pt>
                <c:pt idx="168">
                  <c:v>34918</c:v>
                </c:pt>
                <c:pt idx="169">
                  <c:v>34919</c:v>
                </c:pt>
                <c:pt idx="170">
                  <c:v>34920</c:v>
                </c:pt>
                <c:pt idx="171">
                  <c:v>34921</c:v>
                </c:pt>
                <c:pt idx="172">
                  <c:v>34922</c:v>
                </c:pt>
                <c:pt idx="173">
                  <c:v>34925</c:v>
                </c:pt>
                <c:pt idx="174">
                  <c:v>34926</c:v>
                </c:pt>
                <c:pt idx="175">
                  <c:v>34927</c:v>
                </c:pt>
                <c:pt idx="176">
                  <c:v>34928</c:v>
                </c:pt>
                <c:pt idx="177">
                  <c:v>34929</c:v>
                </c:pt>
                <c:pt idx="178">
                  <c:v>34932</c:v>
                </c:pt>
                <c:pt idx="179">
                  <c:v>34933</c:v>
                </c:pt>
                <c:pt idx="180">
                  <c:v>34934</c:v>
                </c:pt>
                <c:pt idx="181">
                  <c:v>34935</c:v>
                </c:pt>
                <c:pt idx="182">
                  <c:v>34936</c:v>
                </c:pt>
                <c:pt idx="183">
                  <c:v>34939</c:v>
                </c:pt>
                <c:pt idx="184">
                  <c:v>34940</c:v>
                </c:pt>
                <c:pt idx="185">
                  <c:v>34941</c:v>
                </c:pt>
                <c:pt idx="186">
                  <c:v>34942</c:v>
                </c:pt>
                <c:pt idx="187">
                  <c:v>34943</c:v>
                </c:pt>
                <c:pt idx="188">
                  <c:v>34947</c:v>
                </c:pt>
                <c:pt idx="189">
                  <c:v>34948</c:v>
                </c:pt>
                <c:pt idx="190">
                  <c:v>34949</c:v>
                </c:pt>
                <c:pt idx="191">
                  <c:v>34950</c:v>
                </c:pt>
                <c:pt idx="192">
                  <c:v>34953</c:v>
                </c:pt>
                <c:pt idx="193">
                  <c:v>34954</c:v>
                </c:pt>
                <c:pt idx="194">
                  <c:v>34955</c:v>
                </c:pt>
                <c:pt idx="195">
                  <c:v>34956</c:v>
                </c:pt>
                <c:pt idx="196">
                  <c:v>34957</c:v>
                </c:pt>
                <c:pt idx="197">
                  <c:v>34960</c:v>
                </c:pt>
                <c:pt idx="198">
                  <c:v>34961</c:v>
                </c:pt>
                <c:pt idx="199">
                  <c:v>34962</c:v>
                </c:pt>
                <c:pt idx="200">
                  <c:v>34963</c:v>
                </c:pt>
                <c:pt idx="201">
                  <c:v>34964</c:v>
                </c:pt>
                <c:pt idx="202">
                  <c:v>34967</c:v>
                </c:pt>
                <c:pt idx="203">
                  <c:v>34968</c:v>
                </c:pt>
                <c:pt idx="204">
                  <c:v>34969</c:v>
                </c:pt>
                <c:pt idx="205">
                  <c:v>34970</c:v>
                </c:pt>
                <c:pt idx="206">
                  <c:v>34971</c:v>
                </c:pt>
                <c:pt idx="207">
                  <c:v>34974</c:v>
                </c:pt>
                <c:pt idx="208">
                  <c:v>34975</c:v>
                </c:pt>
                <c:pt idx="209">
                  <c:v>34976</c:v>
                </c:pt>
                <c:pt idx="210">
                  <c:v>34977</c:v>
                </c:pt>
                <c:pt idx="211">
                  <c:v>34978</c:v>
                </c:pt>
                <c:pt idx="212">
                  <c:v>34981</c:v>
                </c:pt>
                <c:pt idx="213">
                  <c:v>34982</c:v>
                </c:pt>
                <c:pt idx="214">
                  <c:v>34983</c:v>
                </c:pt>
                <c:pt idx="215">
                  <c:v>34984</c:v>
                </c:pt>
                <c:pt idx="216">
                  <c:v>34985</c:v>
                </c:pt>
                <c:pt idx="217">
                  <c:v>34988</c:v>
                </c:pt>
                <c:pt idx="218">
                  <c:v>34989</c:v>
                </c:pt>
                <c:pt idx="219">
                  <c:v>34990</c:v>
                </c:pt>
                <c:pt idx="220">
                  <c:v>34991</c:v>
                </c:pt>
                <c:pt idx="221">
                  <c:v>34992</c:v>
                </c:pt>
                <c:pt idx="222">
                  <c:v>34995</c:v>
                </c:pt>
                <c:pt idx="223">
                  <c:v>34996</c:v>
                </c:pt>
                <c:pt idx="224">
                  <c:v>34997</c:v>
                </c:pt>
                <c:pt idx="225">
                  <c:v>34998</c:v>
                </c:pt>
                <c:pt idx="226">
                  <c:v>34999</c:v>
                </c:pt>
                <c:pt idx="227">
                  <c:v>35002</c:v>
                </c:pt>
                <c:pt idx="228">
                  <c:v>35003</c:v>
                </c:pt>
                <c:pt idx="229">
                  <c:v>35004</c:v>
                </c:pt>
                <c:pt idx="230">
                  <c:v>35005</c:v>
                </c:pt>
                <c:pt idx="231">
                  <c:v>35006</c:v>
                </c:pt>
                <c:pt idx="232">
                  <c:v>35009</c:v>
                </c:pt>
                <c:pt idx="233">
                  <c:v>35010</c:v>
                </c:pt>
                <c:pt idx="234">
                  <c:v>35011</c:v>
                </c:pt>
                <c:pt idx="235">
                  <c:v>35012</c:v>
                </c:pt>
                <c:pt idx="236">
                  <c:v>35013</c:v>
                </c:pt>
                <c:pt idx="237">
                  <c:v>35016</c:v>
                </c:pt>
                <c:pt idx="238">
                  <c:v>35017</c:v>
                </c:pt>
                <c:pt idx="239">
                  <c:v>35018</c:v>
                </c:pt>
                <c:pt idx="240">
                  <c:v>35019</c:v>
                </c:pt>
                <c:pt idx="241">
                  <c:v>35020</c:v>
                </c:pt>
                <c:pt idx="242">
                  <c:v>35023</c:v>
                </c:pt>
                <c:pt idx="243">
                  <c:v>35024</c:v>
                </c:pt>
                <c:pt idx="244">
                  <c:v>35025</c:v>
                </c:pt>
                <c:pt idx="245">
                  <c:v>35027</c:v>
                </c:pt>
                <c:pt idx="246">
                  <c:v>35030</c:v>
                </c:pt>
                <c:pt idx="247">
                  <c:v>35031</c:v>
                </c:pt>
                <c:pt idx="248">
                  <c:v>35032</c:v>
                </c:pt>
                <c:pt idx="249">
                  <c:v>35033</c:v>
                </c:pt>
                <c:pt idx="250">
                  <c:v>35034</c:v>
                </c:pt>
                <c:pt idx="251">
                  <c:v>35037</c:v>
                </c:pt>
                <c:pt idx="252">
                  <c:v>35038</c:v>
                </c:pt>
                <c:pt idx="253">
                  <c:v>35039</c:v>
                </c:pt>
                <c:pt idx="254">
                  <c:v>35040</c:v>
                </c:pt>
                <c:pt idx="255">
                  <c:v>35041</c:v>
                </c:pt>
                <c:pt idx="256">
                  <c:v>35044</c:v>
                </c:pt>
                <c:pt idx="257">
                  <c:v>35045</c:v>
                </c:pt>
                <c:pt idx="258">
                  <c:v>35046</c:v>
                </c:pt>
                <c:pt idx="259">
                  <c:v>35047</c:v>
                </c:pt>
                <c:pt idx="260">
                  <c:v>35048</c:v>
                </c:pt>
                <c:pt idx="261">
                  <c:v>35051</c:v>
                </c:pt>
                <c:pt idx="262">
                  <c:v>35052</c:v>
                </c:pt>
                <c:pt idx="263">
                  <c:v>35053</c:v>
                </c:pt>
                <c:pt idx="264">
                  <c:v>35054</c:v>
                </c:pt>
                <c:pt idx="265">
                  <c:v>35055</c:v>
                </c:pt>
                <c:pt idx="266">
                  <c:v>35059</c:v>
                </c:pt>
                <c:pt idx="267">
                  <c:v>35060</c:v>
                </c:pt>
                <c:pt idx="268">
                  <c:v>35061</c:v>
                </c:pt>
                <c:pt idx="269">
                  <c:v>35062</c:v>
                </c:pt>
                <c:pt idx="270">
                  <c:v>35066</c:v>
                </c:pt>
                <c:pt idx="271">
                  <c:v>35067</c:v>
                </c:pt>
                <c:pt idx="272">
                  <c:v>35068</c:v>
                </c:pt>
                <c:pt idx="273">
                  <c:v>35069</c:v>
                </c:pt>
                <c:pt idx="274">
                  <c:v>35072</c:v>
                </c:pt>
                <c:pt idx="275">
                  <c:v>35073</c:v>
                </c:pt>
                <c:pt idx="276">
                  <c:v>35074</c:v>
                </c:pt>
                <c:pt idx="277">
                  <c:v>35075</c:v>
                </c:pt>
                <c:pt idx="278">
                  <c:v>35076</c:v>
                </c:pt>
                <c:pt idx="279">
                  <c:v>35079</c:v>
                </c:pt>
                <c:pt idx="280">
                  <c:v>35080</c:v>
                </c:pt>
                <c:pt idx="281">
                  <c:v>35081</c:v>
                </c:pt>
                <c:pt idx="282">
                  <c:v>35082</c:v>
                </c:pt>
                <c:pt idx="283">
                  <c:v>35083</c:v>
                </c:pt>
                <c:pt idx="284">
                  <c:v>35086</c:v>
                </c:pt>
                <c:pt idx="285">
                  <c:v>35087</c:v>
                </c:pt>
                <c:pt idx="286">
                  <c:v>35088</c:v>
                </c:pt>
                <c:pt idx="287">
                  <c:v>35089</c:v>
                </c:pt>
                <c:pt idx="288">
                  <c:v>35090</c:v>
                </c:pt>
                <c:pt idx="289">
                  <c:v>35093</c:v>
                </c:pt>
                <c:pt idx="290">
                  <c:v>35094</c:v>
                </c:pt>
                <c:pt idx="291">
                  <c:v>35095</c:v>
                </c:pt>
                <c:pt idx="292">
                  <c:v>35096</c:v>
                </c:pt>
                <c:pt idx="293">
                  <c:v>35097</c:v>
                </c:pt>
                <c:pt idx="294">
                  <c:v>35100</c:v>
                </c:pt>
                <c:pt idx="295">
                  <c:v>35101</c:v>
                </c:pt>
                <c:pt idx="296">
                  <c:v>35102</c:v>
                </c:pt>
                <c:pt idx="297">
                  <c:v>35103</c:v>
                </c:pt>
                <c:pt idx="298">
                  <c:v>35104</c:v>
                </c:pt>
                <c:pt idx="299">
                  <c:v>35107</c:v>
                </c:pt>
                <c:pt idx="300">
                  <c:v>35108</c:v>
                </c:pt>
                <c:pt idx="301">
                  <c:v>35109</c:v>
                </c:pt>
                <c:pt idx="302">
                  <c:v>35110</c:v>
                </c:pt>
                <c:pt idx="303">
                  <c:v>35111</c:v>
                </c:pt>
                <c:pt idx="304">
                  <c:v>35115</c:v>
                </c:pt>
                <c:pt idx="305">
                  <c:v>35116</c:v>
                </c:pt>
                <c:pt idx="306">
                  <c:v>35117</c:v>
                </c:pt>
                <c:pt idx="307">
                  <c:v>35118</c:v>
                </c:pt>
                <c:pt idx="308">
                  <c:v>35121</c:v>
                </c:pt>
                <c:pt idx="309">
                  <c:v>35122</c:v>
                </c:pt>
                <c:pt idx="310">
                  <c:v>35123</c:v>
                </c:pt>
                <c:pt idx="311">
                  <c:v>35124</c:v>
                </c:pt>
                <c:pt idx="312">
                  <c:v>35125</c:v>
                </c:pt>
                <c:pt idx="313">
                  <c:v>35128</c:v>
                </c:pt>
                <c:pt idx="314">
                  <c:v>35129</c:v>
                </c:pt>
                <c:pt idx="315">
                  <c:v>35130</c:v>
                </c:pt>
                <c:pt idx="316">
                  <c:v>35131</c:v>
                </c:pt>
                <c:pt idx="317">
                  <c:v>35132</c:v>
                </c:pt>
                <c:pt idx="318">
                  <c:v>35135</c:v>
                </c:pt>
                <c:pt idx="319">
                  <c:v>35136</c:v>
                </c:pt>
                <c:pt idx="320">
                  <c:v>35137</c:v>
                </c:pt>
                <c:pt idx="321">
                  <c:v>35138</c:v>
                </c:pt>
                <c:pt idx="322">
                  <c:v>35139</c:v>
                </c:pt>
                <c:pt idx="323">
                  <c:v>35142</c:v>
                </c:pt>
                <c:pt idx="324">
                  <c:v>35143</c:v>
                </c:pt>
                <c:pt idx="325">
                  <c:v>35144</c:v>
                </c:pt>
                <c:pt idx="326">
                  <c:v>35145</c:v>
                </c:pt>
                <c:pt idx="327">
                  <c:v>35146</c:v>
                </c:pt>
                <c:pt idx="328">
                  <c:v>35149</c:v>
                </c:pt>
                <c:pt idx="329">
                  <c:v>35150</c:v>
                </c:pt>
                <c:pt idx="330">
                  <c:v>35151</c:v>
                </c:pt>
                <c:pt idx="331">
                  <c:v>35152</c:v>
                </c:pt>
                <c:pt idx="332">
                  <c:v>35153</c:v>
                </c:pt>
                <c:pt idx="333">
                  <c:v>35156</c:v>
                </c:pt>
                <c:pt idx="334">
                  <c:v>35157</c:v>
                </c:pt>
                <c:pt idx="335">
                  <c:v>35158</c:v>
                </c:pt>
                <c:pt idx="336">
                  <c:v>35159</c:v>
                </c:pt>
                <c:pt idx="337">
                  <c:v>35163</c:v>
                </c:pt>
                <c:pt idx="338">
                  <c:v>35164</c:v>
                </c:pt>
                <c:pt idx="339">
                  <c:v>35165</c:v>
                </c:pt>
                <c:pt idx="340">
                  <c:v>35166</c:v>
                </c:pt>
                <c:pt idx="341">
                  <c:v>35167</c:v>
                </c:pt>
                <c:pt idx="342">
                  <c:v>35170</c:v>
                </c:pt>
                <c:pt idx="343">
                  <c:v>35171</c:v>
                </c:pt>
                <c:pt idx="344">
                  <c:v>35172</c:v>
                </c:pt>
                <c:pt idx="345">
                  <c:v>35173</c:v>
                </c:pt>
                <c:pt idx="346">
                  <c:v>35174</c:v>
                </c:pt>
                <c:pt idx="347">
                  <c:v>35177</c:v>
                </c:pt>
                <c:pt idx="348">
                  <c:v>35178</c:v>
                </c:pt>
                <c:pt idx="349">
                  <c:v>35179</c:v>
                </c:pt>
                <c:pt idx="350">
                  <c:v>35180</c:v>
                </c:pt>
                <c:pt idx="351">
                  <c:v>35181</c:v>
                </c:pt>
                <c:pt idx="352">
                  <c:v>35184</c:v>
                </c:pt>
                <c:pt idx="353">
                  <c:v>35185</c:v>
                </c:pt>
                <c:pt idx="354">
                  <c:v>35186</c:v>
                </c:pt>
                <c:pt idx="355">
                  <c:v>35187</c:v>
                </c:pt>
                <c:pt idx="356">
                  <c:v>35188</c:v>
                </c:pt>
                <c:pt idx="357">
                  <c:v>35191</c:v>
                </c:pt>
                <c:pt idx="358">
                  <c:v>35192</c:v>
                </c:pt>
                <c:pt idx="359">
                  <c:v>35193</c:v>
                </c:pt>
                <c:pt idx="360">
                  <c:v>35194</c:v>
                </c:pt>
                <c:pt idx="361">
                  <c:v>35195</c:v>
                </c:pt>
                <c:pt idx="362">
                  <c:v>35198</c:v>
                </c:pt>
                <c:pt idx="363">
                  <c:v>35199</c:v>
                </c:pt>
                <c:pt idx="364">
                  <c:v>35200</c:v>
                </c:pt>
                <c:pt idx="365">
                  <c:v>35201</c:v>
                </c:pt>
                <c:pt idx="366">
                  <c:v>35202</c:v>
                </c:pt>
                <c:pt idx="367">
                  <c:v>35205</c:v>
                </c:pt>
                <c:pt idx="368">
                  <c:v>35206</c:v>
                </c:pt>
                <c:pt idx="369">
                  <c:v>35207</c:v>
                </c:pt>
                <c:pt idx="370">
                  <c:v>35208</c:v>
                </c:pt>
                <c:pt idx="371">
                  <c:v>35209</c:v>
                </c:pt>
                <c:pt idx="372">
                  <c:v>35213</c:v>
                </c:pt>
                <c:pt idx="373">
                  <c:v>35214</c:v>
                </c:pt>
                <c:pt idx="374">
                  <c:v>35215</c:v>
                </c:pt>
                <c:pt idx="375">
                  <c:v>35216</c:v>
                </c:pt>
                <c:pt idx="376">
                  <c:v>35219</c:v>
                </c:pt>
                <c:pt idx="377">
                  <c:v>35220</c:v>
                </c:pt>
                <c:pt idx="378">
                  <c:v>35221</c:v>
                </c:pt>
                <c:pt idx="379">
                  <c:v>35222</c:v>
                </c:pt>
                <c:pt idx="380">
                  <c:v>35223</c:v>
                </c:pt>
                <c:pt idx="381">
                  <c:v>35226</c:v>
                </c:pt>
                <c:pt idx="382">
                  <c:v>35227</c:v>
                </c:pt>
                <c:pt idx="383">
                  <c:v>35228</c:v>
                </c:pt>
                <c:pt idx="384">
                  <c:v>35229</c:v>
                </c:pt>
                <c:pt idx="385">
                  <c:v>35230</c:v>
                </c:pt>
                <c:pt idx="386">
                  <c:v>35233</c:v>
                </c:pt>
                <c:pt idx="387">
                  <c:v>35234</c:v>
                </c:pt>
                <c:pt idx="388">
                  <c:v>35235</c:v>
                </c:pt>
                <c:pt idx="389">
                  <c:v>35236</c:v>
                </c:pt>
                <c:pt idx="390">
                  <c:v>35237</c:v>
                </c:pt>
                <c:pt idx="391">
                  <c:v>35240</c:v>
                </c:pt>
                <c:pt idx="392">
                  <c:v>35241</c:v>
                </c:pt>
                <c:pt idx="393">
                  <c:v>35242</c:v>
                </c:pt>
                <c:pt idx="394">
                  <c:v>35243</c:v>
                </c:pt>
                <c:pt idx="395">
                  <c:v>35244</c:v>
                </c:pt>
                <c:pt idx="396">
                  <c:v>35247</c:v>
                </c:pt>
                <c:pt idx="397">
                  <c:v>35248</c:v>
                </c:pt>
                <c:pt idx="398">
                  <c:v>35249</c:v>
                </c:pt>
                <c:pt idx="399">
                  <c:v>35251</c:v>
                </c:pt>
                <c:pt idx="400">
                  <c:v>35254</c:v>
                </c:pt>
                <c:pt idx="401">
                  <c:v>35255</c:v>
                </c:pt>
                <c:pt idx="402">
                  <c:v>35256</c:v>
                </c:pt>
                <c:pt idx="403">
                  <c:v>35257</c:v>
                </c:pt>
                <c:pt idx="404">
                  <c:v>35258</c:v>
                </c:pt>
                <c:pt idx="405">
                  <c:v>35261</c:v>
                </c:pt>
                <c:pt idx="406">
                  <c:v>35262</c:v>
                </c:pt>
                <c:pt idx="407">
                  <c:v>35263</c:v>
                </c:pt>
                <c:pt idx="408">
                  <c:v>35264</c:v>
                </c:pt>
                <c:pt idx="409">
                  <c:v>35265</c:v>
                </c:pt>
                <c:pt idx="410">
                  <c:v>35268</c:v>
                </c:pt>
                <c:pt idx="411">
                  <c:v>35269</c:v>
                </c:pt>
                <c:pt idx="412">
                  <c:v>35270</c:v>
                </c:pt>
                <c:pt idx="413">
                  <c:v>35271</c:v>
                </c:pt>
                <c:pt idx="414">
                  <c:v>35272</c:v>
                </c:pt>
                <c:pt idx="415">
                  <c:v>35275</c:v>
                </c:pt>
                <c:pt idx="416">
                  <c:v>35276</c:v>
                </c:pt>
                <c:pt idx="417">
                  <c:v>35277</c:v>
                </c:pt>
                <c:pt idx="418">
                  <c:v>35278</c:v>
                </c:pt>
                <c:pt idx="419">
                  <c:v>35279</c:v>
                </c:pt>
                <c:pt idx="420">
                  <c:v>35282</c:v>
                </c:pt>
                <c:pt idx="421">
                  <c:v>35283</c:v>
                </c:pt>
                <c:pt idx="422">
                  <c:v>35284</c:v>
                </c:pt>
                <c:pt idx="423">
                  <c:v>35285</c:v>
                </c:pt>
                <c:pt idx="424">
                  <c:v>35286</c:v>
                </c:pt>
                <c:pt idx="425">
                  <c:v>35289</c:v>
                </c:pt>
                <c:pt idx="426">
                  <c:v>35290</c:v>
                </c:pt>
                <c:pt idx="427">
                  <c:v>35291</c:v>
                </c:pt>
                <c:pt idx="428">
                  <c:v>35292</c:v>
                </c:pt>
                <c:pt idx="429">
                  <c:v>35293</c:v>
                </c:pt>
                <c:pt idx="430">
                  <c:v>35296</c:v>
                </c:pt>
                <c:pt idx="431">
                  <c:v>35297</c:v>
                </c:pt>
                <c:pt idx="432">
                  <c:v>35298</c:v>
                </c:pt>
                <c:pt idx="433">
                  <c:v>35299</c:v>
                </c:pt>
                <c:pt idx="434">
                  <c:v>35300</c:v>
                </c:pt>
                <c:pt idx="435">
                  <c:v>35303</c:v>
                </c:pt>
                <c:pt idx="436">
                  <c:v>35304</c:v>
                </c:pt>
                <c:pt idx="437">
                  <c:v>35305</c:v>
                </c:pt>
                <c:pt idx="438">
                  <c:v>35306</c:v>
                </c:pt>
                <c:pt idx="439">
                  <c:v>35307</c:v>
                </c:pt>
                <c:pt idx="440">
                  <c:v>35311</c:v>
                </c:pt>
                <c:pt idx="441">
                  <c:v>35312</c:v>
                </c:pt>
                <c:pt idx="442">
                  <c:v>35313</c:v>
                </c:pt>
                <c:pt idx="443">
                  <c:v>35314</c:v>
                </c:pt>
                <c:pt idx="444">
                  <c:v>35317</c:v>
                </c:pt>
                <c:pt idx="445">
                  <c:v>35318</c:v>
                </c:pt>
                <c:pt idx="446">
                  <c:v>35319</c:v>
                </c:pt>
                <c:pt idx="447">
                  <c:v>35320</c:v>
                </c:pt>
                <c:pt idx="448">
                  <c:v>35321</c:v>
                </c:pt>
                <c:pt idx="449">
                  <c:v>35324</c:v>
                </c:pt>
                <c:pt idx="450">
                  <c:v>35325</c:v>
                </c:pt>
                <c:pt idx="451">
                  <c:v>35326</c:v>
                </c:pt>
                <c:pt idx="452">
                  <c:v>35327</c:v>
                </c:pt>
                <c:pt idx="453">
                  <c:v>35328</c:v>
                </c:pt>
                <c:pt idx="454">
                  <c:v>35331</c:v>
                </c:pt>
                <c:pt idx="455">
                  <c:v>35332</c:v>
                </c:pt>
                <c:pt idx="456">
                  <c:v>35333</c:v>
                </c:pt>
                <c:pt idx="457">
                  <c:v>35334</c:v>
                </c:pt>
                <c:pt idx="458">
                  <c:v>35335</c:v>
                </c:pt>
                <c:pt idx="459">
                  <c:v>35338</c:v>
                </c:pt>
                <c:pt idx="460">
                  <c:v>35339</c:v>
                </c:pt>
                <c:pt idx="461">
                  <c:v>35340</c:v>
                </c:pt>
                <c:pt idx="462">
                  <c:v>35341</c:v>
                </c:pt>
                <c:pt idx="463">
                  <c:v>35342</c:v>
                </c:pt>
                <c:pt idx="464">
                  <c:v>35345</c:v>
                </c:pt>
                <c:pt idx="465">
                  <c:v>35346</c:v>
                </c:pt>
                <c:pt idx="466">
                  <c:v>35347</c:v>
                </c:pt>
                <c:pt idx="467">
                  <c:v>35348</c:v>
                </c:pt>
                <c:pt idx="468">
                  <c:v>35349</c:v>
                </c:pt>
                <c:pt idx="469">
                  <c:v>35352</c:v>
                </c:pt>
                <c:pt idx="470">
                  <c:v>35353</c:v>
                </c:pt>
                <c:pt idx="471">
                  <c:v>35354</c:v>
                </c:pt>
                <c:pt idx="472">
                  <c:v>35355</c:v>
                </c:pt>
                <c:pt idx="473">
                  <c:v>35356</c:v>
                </c:pt>
                <c:pt idx="474">
                  <c:v>35359</c:v>
                </c:pt>
                <c:pt idx="475">
                  <c:v>35360</c:v>
                </c:pt>
                <c:pt idx="476">
                  <c:v>35361</c:v>
                </c:pt>
                <c:pt idx="477">
                  <c:v>35362</c:v>
                </c:pt>
                <c:pt idx="478">
                  <c:v>35363</c:v>
                </c:pt>
                <c:pt idx="479">
                  <c:v>35366</c:v>
                </c:pt>
                <c:pt idx="480">
                  <c:v>35367</c:v>
                </c:pt>
                <c:pt idx="481">
                  <c:v>35368</c:v>
                </c:pt>
                <c:pt idx="482">
                  <c:v>35369</c:v>
                </c:pt>
                <c:pt idx="483">
                  <c:v>35370</c:v>
                </c:pt>
                <c:pt idx="484">
                  <c:v>35373</c:v>
                </c:pt>
                <c:pt idx="485">
                  <c:v>35374</c:v>
                </c:pt>
                <c:pt idx="486">
                  <c:v>35375</c:v>
                </c:pt>
                <c:pt idx="487">
                  <c:v>35376</c:v>
                </c:pt>
                <c:pt idx="488">
                  <c:v>35377</c:v>
                </c:pt>
                <c:pt idx="489">
                  <c:v>35380</c:v>
                </c:pt>
                <c:pt idx="490">
                  <c:v>35381</c:v>
                </c:pt>
                <c:pt idx="491">
                  <c:v>35382</c:v>
                </c:pt>
                <c:pt idx="492">
                  <c:v>35383</c:v>
                </c:pt>
                <c:pt idx="493">
                  <c:v>35384</c:v>
                </c:pt>
                <c:pt idx="494">
                  <c:v>35387</c:v>
                </c:pt>
                <c:pt idx="495">
                  <c:v>35388</c:v>
                </c:pt>
                <c:pt idx="496">
                  <c:v>35389</c:v>
                </c:pt>
                <c:pt idx="497">
                  <c:v>35390</c:v>
                </c:pt>
                <c:pt idx="498">
                  <c:v>35391</c:v>
                </c:pt>
                <c:pt idx="499">
                  <c:v>35394</c:v>
                </c:pt>
                <c:pt idx="500">
                  <c:v>35395</c:v>
                </c:pt>
                <c:pt idx="501">
                  <c:v>35396</c:v>
                </c:pt>
                <c:pt idx="502">
                  <c:v>35398</c:v>
                </c:pt>
                <c:pt idx="503">
                  <c:v>35401</c:v>
                </c:pt>
                <c:pt idx="504">
                  <c:v>35402</c:v>
                </c:pt>
                <c:pt idx="505">
                  <c:v>35403</c:v>
                </c:pt>
                <c:pt idx="506">
                  <c:v>35404</c:v>
                </c:pt>
                <c:pt idx="507">
                  <c:v>35405</c:v>
                </c:pt>
                <c:pt idx="508">
                  <c:v>35408</c:v>
                </c:pt>
                <c:pt idx="509">
                  <c:v>35409</c:v>
                </c:pt>
                <c:pt idx="510">
                  <c:v>35410</c:v>
                </c:pt>
                <c:pt idx="511">
                  <c:v>35411</c:v>
                </c:pt>
                <c:pt idx="512">
                  <c:v>35412</c:v>
                </c:pt>
                <c:pt idx="513">
                  <c:v>35415</c:v>
                </c:pt>
                <c:pt idx="514">
                  <c:v>35416</c:v>
                </c:pt>
                <c:pt idx="515">
                  <c:v>35417</c:v>
                </c:pt>
                <c:pt idx="516">
                  <c:v>35418</c:v>
                </c:pt>
                <c:pt idx="517">
                  <c:v>35419</c:v>
                </c:pt>
                <c:pt idx="518">
                  <c:v>35422</c:v>
                </c:pt>
                <c:pt idx="519">
                  <c:v>35423</c:v>
                </c:pt>
                <c:pt idx="520">
                  <c:v>35425</c:v>
                </c:pt>
                <c:pt idx="521">
                  <c:v>35426</c:v>
                </c:pt>
                <c:pt idx="522">
                  <c:v>35429</c:v>
                </c:pt>
                <c:pt idx="523">
                  <c:v>35430</c:v>
                </c:pt>
                <c:pt idx="524">
                  <c:v>35432</c:v>
                </c:pt>
                <c:pt idx="525">
                  <c:v>35433</c:v>
                </c:pt>
                <c:pt idx="526">
                  <c:v>35436</c:v>
                </c:pt>
                <c:pt idx="527">
                  <c:v>35437</c:v>
                </c:pt>
                <c:pt idx="528">
                  <c:v>35438</c:v>
                </c:pt>
                <c:pt idx="529">
                  <c:v>35439</c:v>
                </c:pt>
                <c:pt idx="530">
                  <c:v>35440</c:v>
                </c:pt>
                <c:pt idx="531">
                  <c:v>35443</c:v>
                </c:pt>
                <c:pt idx="532">
                  <c:v>35444</c:v>
                </c:pt>
                <c:pt idx="533">
                  <c:v>35445</c:v>
                </c:pt>
                <c:pt idx="534">
                  <c:v>35446</c:v>
                </c:pt>
                <c:pt idx="535">
                  <c:v>35447</c:v>
                </c:pt>
                <c:pt idx="536">
                  <c:v>35450</c:v>
                </c:pt>
                <c:pt idx="537">
                  <c:v>35451</c:v>
                </c:pt>
                <c:pt idx="538">
                  <c:v>35452</c:v>
                </c:pt>
                <c:pt idx="539">
                  <c:v>35453</c:v>
                </c:pt>
                <c:pt idx="540">
                  <c:v>35454</c:v>
                </c:pt>
                <c:pt idx="541">
                  <c:v>35457</c:v>
                </c:pt>
                <c:pt idx="542">
                  <c:v>35458</c:v>
                </c:pt>
                <c:pt idx="543">
                  <c:v>35459</c:v>
                </c:pt>
                <c:pt idx="544">
                  <c:v>35460</c:v>
                </c:pt>
                <c:pt idx="545">
                  <c:v>35461</c:v>
                </c:pt>
                <c:pt idx="546">
                  <c:v>35464</c:v>
                </c:pt>
                <c:pt idx="547">
                  <c:v>35465</c:v>
                </c:pt>
                <c:pt idx="548">
                  <c:v>35466</c:v>
                </c:pt>
                <c:pt idx="549">
                  <c:v>35467</c:v>
                </c:pt>
                <c:pt idx="550">
                  <c:v>35468</c:v>
                </c:pt>
                <c:pt idx="551">
                  <c:v>35471</c:v>
                </c:pt>
                <c:pt idx="552">
                  <c:v>35472</c:v>
                </c:pt>
                <c:pt idx="553">
                  <c:v>35473</c:v>
                </c:pt>
                <c:pt idx="554">
                  <c:v>35474</c:v>
                </c:pt>
                <c:pt idx="555">
                  <c:v>35475</c:v>
                </c:pt>
                <c:pt idx="556">
                  <c:v>35479</c:v>
                </c:pt>
                <c:pt idx="557">
                  <c:v>35480</c:v>
                </c:pt>
                <c:pt idx="558">
                  <c:v>35481</c:v>
                </c:pt>
                <c:pt idx="559">
                  <c:v>35482</c:v>
                </c:pt>
                <c:pt idx="560">
                  <c:v>35485</c:v>
                </c:pt>
                <c:pt idx="561">
                  <c:v>35486</c:v>
                </c:pt>
                <c:pt idx="562">
                  <c:v>35487</c:v>
                </c:pt>
                <c:pt idx="563">
                  <c:v>35488</c:v>
                </c:pt>
                <c:pt idx="564">
                  <c:v>35489</c:v>
                </c:pt>
                <c:pt idx="565">
                  <c:v>35492</c:v>
                </c:pt>
                <c:pt idx="566">
                  <c:v>35493</c:v>
                </c:pt>
                <c:pt idx="567">
                  <c:v>35494</c:v>
                </c:pt>
                <c:pt idx="568">
                  <c:v>35495</c:v>
                </c:pt>
                <c:pt idx="569">
                  <c:v>35496</c:v>
                </c:pt>
                <c:pt idx="570">
                  <c:v>35499</c:v>
                </c:pt>
                <c:pt idx="571">
                  <c:v>35500</c:v>
                </c:pt>
                <c:pt idx="572">
                  <c:v>35501</c:v>
                </c:pt>
                <c:pt idx="573">
                  <c:v>35502</c:v>
                </c:pt>
                <c:pt idx="574">
                  <c:v>35503</c:v>
                </c:pt>
                <c:pt idx="575">
                  <c:v>35506</c:v>
                </c:pt>
                <c:pt idx="576">
                  <c:v>35507</c:v>
                </c:pt>
                <c:pt idx="577">
                  <c:v>35508</c:v>
                </c:pt>
                <c:pt idx="578">
                  <c:v>35509</c:v>
                </c:pt>
                <c:pt idx="579">
                  <c:v>35510</c:v>
                </c:pt>
                <c:pt idx="580">
                  <c:v>35513</c:v>
                </c:pt>
                <c:pt idx="581">
                  <c:v>35514</c:v>
                </c:pt>
                <c:pt idx="582">
                  <c:v>35515</c:v>
                </c:pt>
                <c:pt idx="583">
                  <c:v>35516</c:v>
                </c:pt>
                <c:pt idx="584">
                  <c:v>35520</c:v>
                </c:pt>
                <c:pt idx="585">
                  <c:v>35521</c:v>
                </c:pt>
                <c:pt idx="586">
                  <c:v>35522</c:v>
                </c:pt>
                <c:pt idx="587">
                  <c:v>35523</c:v>
                </c:pt>
                <c:pt idx="588">
                  <c:v>35524</c:v>
                </c:pt>
                <c:pt idx="589">
                  <c:v>35527</c:v>
                </c:pt>
                <c:pt idx="590">
                  <c:v>35528</c:v>
                </c:pt>
                <c:pt idx="591">
                  <c:v>35529</c:v>
                </c:pt>
                <c:pt idx="592">
                  <c:v>35530</c:v>
                </c:pt>
                <c:pt idx="593">
                  <c:v>35531</c:v>
                </c:pt>
                <c:pt idx="594">
                  <c:v>35534</c:v>
                </c:pt>
                <c:pt idx="595">
                  <c:v>35535</c:v>
                </c:pt>
                <c:pt idx="596">
                  <c:v>35536</c:v>
                </c:pt>
                <c:pt idx="597">
                  <c:v>35537</c:v>
                </c:pt>
                <c:pt idx="598">
                  <c:v>35538</c:v>
                </c:pt>
                <c:pt idx="599">
                  <c:v>35541</c:v>
                </c:pt>
                <c:pt idx="600">
                  <c:v>35542</c:v>
                </c:pt>
                <c:pt idx="601">
                  <c:v>35543</c:v>
                </c:pt>
                <c:pt idx="602">
                  <c:v>35544</c:v>
                </c:pt>
                <c:pt idx="603">
                  <c:v>35545</c:v>
                </c:pt>
                <c:pt idx="604">
                  <c:v>35548</c:v>
                </c:pt>
                <c:pt idx="605">
                  <c:v>35549</c:v>
                </c:pt>
                <c:pt idx="606">
                  <c:v>35550</c:v>
                </c:pt>
                <c:pt idx="607">
                  <c:v>35551</c:v>
                </c:pt>
                <c:pt idx="608">
                  <c:v>35552</c:v>
                </c:pt>
                <c:pt idx="609">
                  <c:v>35555</c:v>
                </c:pt>
                <c:pt idx="610">
                  <c:v>35556</c:v>
                </c:pt>
                <c:pt idx="611">
                  <c:v>35557</c:v>
                </c:pt>
                <c:pt idx="612">
                  <c:v>35558</c:v>
                </c:pt>
                <c:pt idx="613">
                  <c:v>35559</c:v>
                </c:pt>
                <c:pt idx="614">
                  <c:v>35562</c:v>
                </c:pt>
                <c:pt idx="615">
                  <c:v>35563</c:v>
                </c:pt>
                <c:pt idx="616">
                  <c:v>35564</c:v>
                </c:pt>
                <c:pt idx="617">
                  <c:v>35565</c:v>
                </c:pt>
                <c:pt idx="618">
                  <c:v>35566</c:v>
                </c:pt>
                <c:pt idx="619">
                  <c:v>35569</c:v>
                </c:pt>
                <c:pt idx="620">
                  <c:v>35570</c:v>
                </c:pt>
                <c:pt idx="621">
                  <c:v>35571</c:v>
                </c:pt>
                <c:pt idx="622">
                  <c:v>35572</c:v>
                </c:pt>
                <c:pt idx="623">
                  <c:v>35573</c:v>
                </c:pt>
                <c:pt idx="624">
                  <c:v>35577</c:v>
                </c:pt>
                <c:pt idx="625">
                  <c:v>35578</c:v>
                </c:pt>
                <c:pt idx="626">
                  <c:v>35579</c:v>
                </c:pt>
                <c:pt idx="627">
                  <c:v>35580</c:v>
                </c:pt>
                <c:pt idx="628">
                  <c:v>35583</c:v>
                </c:pt>
                <c:pt idx="629">
                  <c:v>35584</c:v>
                </c:pt>
                <c:pt idx="630">
                  <c:v>35585</c:v>
                </c:pt>
                <c:pt idx="631">
                  <c:v>35586</c:v>
                </c:pt>
                <c:pt idx="632">
                  <c:v>35587</c:v>
                </c:pt>
                <c:pt idx="633">
                  <c:v>35590</c:v>
                </c:pt>
                <c:pt idx="634">
                  <c:v>35591</c:v>
                </c:pt>
                <c:pt idx="635">
                  <c:v>35592</c:v>
                </c:pt>
                <c:pt idx="636">
                  <c:v>35593</c:v>
                </c:pt>
                <c:pt idx="637">
                  <c:v>35594</c:v>
                </c:pt>
                <c:pt idx="638">
                  <c:v>35597</c:v>
                </c:pt>
                <c:pt idx="639">
                  <c:v>35598</c:v>
                </c:pt>
                <c:pt idx="640">
                  <c:v>35599</c:v>
                </c:pt>
                <c:pt idx="641">
                  <c:v>35600</c:v>
                </c:pt>
                <c:pt idx="642">
                  <c:v>35601</c:v>
                </c:pt>
                <c:pt idx="643">
                  <c:v>35604</c:v>
                </c:pt>
                <c:pt idx="644">
                  <c:v>35605</c:v>
                </c:pt>
                <c:pt idx="645">
                  <c:v>35606</c:v>
                </c:pt>
                <c:pt idx="646">
                  <c:v>35607</c:v>
                </c:pt>
                <c:pt idx="647">
                  <c:v>35608</c:v>
                </c:pt>
                <c:pt idx="648">
                  <c:v>35611</c:v>
                </c:pt>
                <c:pt idx="649">
                  <c:v>35612</c:v>
                </c:pt>
                <c:pt idx="650">
                  <c:v>35613</c:v>
                </c:pt>
                <c:pt idx="651">
                  <c:v>35614</c:v>
                </c:pt>
                <c:pt idx="652">
                  <c:v>35618</c:v>
                </c:pt>
                <c:pt idx="653">
                  <c:v>35619</c:v>
                </c:pt>
                <c:pt idx="654">
                  <c:v>35620</c:v>
                </c:pt>
                <c:pt idx="655">
                  <c:v>35621</c:v>
                </c:pt>
                <c:pt idx="656">
                  <c:v>35622</c:v>
                </c:pt>
                <c:pt idx="657">
                  <c:v>35625</c:v>
                </c:pt>
                <c:pt idx="658">
                  <c:v>35626</c:v>
                </c:pt>
                <c:pt idx="659">
                  <c:v>35627</c:v>
                </c:pt>
                <c:pt idx="660">
                  <c:v>35628</c:v>
                </c:pt>
                <c:pt idx="661">
                  <c:v>35629</c:v>
                </c:pt>
                <c:pt idx="662">
                  <c:v>35632</c:v>
                </c:pt>
                <c:pt idx="663">
                  <c:v>35633</c:v>
                </c:pt>
                <c:pt idx="664">
                  <c:v>35634</c:v>
                </c:pt>
                <c:pt idx="665">
                  <c:v>35635</c:v>
                </c:pt>
                <c:pt idx="666">
                  <c:v>35636</c:v>
                </c:pt>
                <c:pt idx="667">
                  <c:v>35639</c:v>
                </c:pt>
                <c:pt idx="668">
                  <c:v>35640</c:v>
                </c:pt>
                <c:pt idx="669">
                  <c:v>35641</c:v>
                </c:pt>
                <c:pt idx="670">
                  <c:v>35642</c:v>
                </c:pt>
                <c:pt idx="671">
                  <c:v>35643</c:v>
                </c:pt>
                <c:pt idx="672">
                  <c:v>35646</c:v>
                </c:pt>
                <c:pt idx="673">
                  <c:v>35647</c:v>
                </c:pt>
                <c:pt idx="674">
                  <c:v>35648</c:v>
                </c:pt>
                <c:pt idx="675">
                  <c:v>35649</c:v>
                </c:pt>
                <c:pt idx="676">
                  <c:v>35650</c:v>
                </c:pt>
                <c:pt idx="677">
                  <c:v>35653</c:v>
                </c:pt>
                <c:pt idx="678">
                  <c:v>35654</c:v>
                </c:pt>
                <c:pt idx="679">
                  <c:v>35655</c:v>
                </c:pt>
                <c:pt idx="680">
                  <c:v>35656</c:v>
                </c:pt>
                <c:pt idx="681">
                  <c:v>35657</c:v>
                </c:pt>
                <c:pt idx="682">
                  <c:v>35660</c:v>
                </c:pt>
                <c:pt idx="683">
                  <c:v>35661</c:v>
                </c:pt>
                <c:pt idx="684">
                  <c:v>35662</c:v>
                </c:pt>
                <c:pt idx="685">
                  <c:v>35663</c:v>
                </c:pt>
                <c:pt idx="686">
                  <c:v>35664</c:v>
                </c:pt>
                <c:pt idx="687">
                  <c:v>35667</c:v>
                </c:pt>
                <c:pt idx="688">
                  <c:v>35668</c:v>
                </c:pt>
                <c:pt idx="689">
                  <c:v>35669</c:v>
                </c:pt>
                <c:pt idx="690">
                  <c:v>35670</c:v>
                </c:pt>
                <c:pt idx="691">
                  <c:v>35671</c:v>
                </c:pt>
                <c:pt idx="692">
                  <c:v>35675</c:v>
                </c:pt>
                <c:pt idx="693">
                  <c:v>35676</c:v>
                </c:pt>
                <c:pt idx="694">
                  <c:v>35677</c:v>
                </c:pt>
                <c:pt idx="695">
                  <c:v>35678</c:v>
                </c:pt>
                <c:pt idx="696">
                  <c:v>35681</c:v>
                </c:pt>
                <c:pt idx="697">
                  <c:v>35682</c:v>
                </c:pt>
                <c:pt idx="698">
                  <c:v>35683</c:v>
                </c:pt>
                <c:pt idx="699">
                  <c:v>35684</c:v>
                </c:pt>
                <c:pt idx="700">
                  <c:v>35685</c:v>
                </c:pt>
                <c:pt idx="701">
                  <c:v>35688</c:v>
                </c:pt>
                <c:pt idx="702">
                  <c:v>35689</c:v>
                </c:pt>
                <c:pt idx="703">
                  <c:v>35690</c:v>
                </c:pt>
                <c:pt idx="704">
                  <c:v>35691</c:v>
                </c:pt>
                <c:pt idx="705">
                  <c:v>35692</c:v>
                </c:pt>
                <c:pt idx="706">
                  <c:v>35695</c:v>
                </c:pt>
                <c:pt idx="707">
                  <c:v>35696</c:v>
                </c:pt>
                <c:pt idx="708">
                  <c:v>35697</c:v>
                </c:pt>
                <c:pt idx="709">
                  <c:v>35698</c:v>
                </c:pt>
                <c:pt idx="710">
                  <c:v>35699</c:v>
                </c:pt>
                <c:pt idx="711">
                  <c:v>35702</c:v>
                </c:pt>
                <c:pt idx="712">
                  <c:v>35703</c:v>
                </c:pt>
                <c:pt idx="713">
                  <c:v>35704</c:v>
                </c:pt>
                <c:pt idx="714">
                  <c:v>35705</c:v>
                </c:pt>
                <c:pt idx="715">
                  <c:v>35706</c:v>
                </c:pt>
                <c:pt idx="716">
                  <c:v>35709</c:v>
                </c:pt>
                <c:pt idx="717">
                  <c:v>35710</c:v>
                </c:pt>
                <c:pt idx="718">
                  <c:v>35711</c:v>
                </c:pt>
                <c:pt idx="719">
                  <c:v>35712</c:v>
                </c:pt>
                <c:pt idx="720">
                  <c:v>35713</c:v>
                </c:pt>
                <c:pt idx="721">
                  <c:v>35716</c:v>
                </c:pt>
                <c:pt idx="722">
                  <c:v>35717</c:v>
                </c:pt>
                <c:pt idx="723">
                  <c:v>35718</c:v>
                </c:pt>
                <c:pt idx="724">
                  <c:v>35719</c:v>
                </c:pt>
                <c:pt idx="725">
                  <c:v>35720</c:v>
                </c:pt>
                <c:pt idx="726">
                  <c:v>35723</c:v>
                </c:pt>
                <c:pt idx="727">
                  <c:v>35724</c:v>
                </c:pt>
                <c:pt idx="728">
                  <c:v>35725</c:v>
                </c:pt>
                <c:pt idx="729">
                  <c:v>35726</c:v>
                </c:pt>
                <c:pt idx="730">
                  <c:v>35727</c:v>
                </c:pt>
                <c:pt idx="731">
                  <c:v>35730</c:v>
                </c:pt>
                <c:pt idx="732">
                  <c:v>35731</c:v>
                </c:pt>
                <c:pt idx="733">
                  <c:v>35732</c:v>
                </c:pt>
                <c:pt idx="734">
                  <c:v>35733</c:v>
                </c:pt>
                <c:pt idx="735">
                  <c:v>35734</c:v>
                </c:pt>
                <c:pt idx="736">
                  <c:v>35737</c:v>
                </c:pt>
                <c:pt idx="737">
                  <c:v>35738</c:v>
                </c:pt>
                <c:pt idx="738">
                  <c:v>35739</c:v>
                </c:pt>
                <c:pt idx="739">
                  <c:v>35740</c:v>
                </c:pt>
                <c:pt idx="740">
                  <c:v>35741</c:v>
                </c:pt>
                <c:pt idx="741">
                  <c:v>35744</c:v>
                </c:pt>
                <c:pt idx="742">
                  <c:v>35745</c:v>
                </c:pt>
                <c:pt idx="743">
                  <c:v>35746</c:v>
                </c:pt>
                <c:pt idx="744">
                  <c:v>35747</c:v>
                </c:pt>
                <c:pt idx="745">
                  <c:v>35748</c:v>
                </c:pt>
                <c:pt idx="746">
                  <c:v>35751</c:v>
                </c:pt>
                <c:pt idx="747">
                  <c:v>35752</c:v>
                </c:pt>
                <c:pt idx="748">
                  <c:v>35753</c:v>
                </c:pt>
                <c:pt idx="749">
                  <c:v>35754</c:v>
                </c:pt>
                <c:pt idx="750">
                  <c:v>35755</c:v>
                </c:pt>
                <c:pt idx="751">
                  <c:v>35758</c:v>
                </c:pt>
                <c:pt idx="752">
                  <c:v>35759</c:v>
                </c:pt>
                <c:pt idx="753">
                  <c:v>35760</c:v>
                </c:pt>
                <c:pt idx="754">
                  <c:v>35762</c:v>
                </c:pt>
                <c:pt idx="755">
                  <c:v>35765</c:v>
                </c:pt>
                <c:pt idx="756">
                  <c:v>35766</c:v>
                </c:pt>
                <c:pt idx="757">
                  <c:v>35767</c:v>
                </c:pt>
                <c:pt idx="758">
                  <c:v>35768</c:v>
                </c:pt>
                <c:pt idx="759">
                  <c:v>35769</c:v>
                </c:pt>
                <c:pt idx="760">
                  <c:v>35772</c:v>
                </c:pt>
                <c:pt idx="761">
                  <c:v>35773</c:v>
                </c:pt>
                <c:pt idx="762">
                  <c:v>35774</c:v>
                </c:pt>
                <c:pt idx="763">
                  <c:v>35775</c:v>
                </c:pt>
                <c:pt idx="764">
                  <c:v>35776</c:v>
                </c:pt>
                <c:pt idx="765">
                  <c:v>35779</c:v>
                </c:pt>
                <c:pt idx="766">
                  <c:v>35780</c:v>
                </c:pt>
                <c:pt idx="767">
                  <c:v>35781</c:v>
                </c:pt>
                <c:pt idx="768">
                  <c:v>35782</c:v>
                </c:pt>
                <c:pt idx="769">
                  <c:v>35783</c:v>
                </c:pt>
                <c:pt idx="770">
                  <c:v>35786</c:v>
                </c:pt>
                <c:pt idx="771">
                  <c:v>35787</c:v>
                </c:pt>
                <c:pt idx="772">
                  <c:v>35788</c:v>
                </c:pt>
                <c:pt idx="773">
                  <c:v>35790</c:v>
                </c:pt>
                <c:pt idx="774">
                  <c:v>35793</c:v>
                </c:pt>
                <c:pt idx="775">
                  <c:v>35794</c:v>
                </c:pt>
                <c:pt idx="776">
                  <c:v>35795</c:v>
                </c:pt>
                <c:pt idx="777">
                  <c:v>35797</c:v>
                </c:pt>
                <c:pt idx="778">
                  <c:v>35800</c:v>
                </c:pt>
                <c:pt idx="779">
                  <c:v>35801</c:v>
                </c:pt>
                <c:pt idx="780">
                  <c:v>35802</c:v>
                </c:pt>
                <c:pt idx="781">
                  <c:v>35803</c:v>
                </c:pt>
                <c:pt idx="782">
                  <c:v>35804</c:v>
                </c:pt>
                <c:pt idx="783">
                  <c:v>35807</c:v>
                </c:pt>
                <c:pt idx="784">
                  <c:v>35808</c:v>
                </c:pt>
                <c:pt idx="785">
                  <c:v>35809</c:v>
                </c:pt>
                <c:pt idx="786">
                  <c:v>35810</c:v>
                </c:pt>
                <c:pt idx="787">
                  <c:v>35811</c:v>
                </c:pt>
                <c:pt idx="788">
                  <c:v>35815</c:v>
                </c:pt>
                <c:pt idx="789">
                  <c:v>35816</c:v>
                </c:pt>
                <c:pt idx="790">
                  <c:v>35817</c:v>
                </c:pt>
                <c:pt idx="791">
                  <c:v>35818</c:v>
                </c:pt>
                <c:pt idx="792">
                  <c:v>35821</c:v>
                </c:pt>
                <c:pt idx="793">
                  <c:v>35822</c:v>
                </c:pt>
                <c:pt idx="794">
                  <c:v>35823</c:v>
                </c:pt>
                <c:pt idx="795">
                  <c:v>35824</c:v>
                </c:pt>
                <c:pt idx="796">
                  <c:v>35825</c:v>
                </c:pt>
                <c:pt idx="797">
                  <c:v>35828</c:v>
                </c:pt>
                <c:pt idx="798">
                  <c:v>35829</c:v>
                </c:pt>
                <c:pt idx="799">
                  <c:v>35830</c:v>
                </c:pt>
                <c:pt idx="800">
                  <c:v>35831</c:v>
                </c:pt>
                <c:pt idx="801">
                  <c:v>35832</c:v>
                </c:pt>
                <c:pt idx="802">
                  <c:v>35835</c:v>
                </c:pt>
                <c:pt idx="803">
                  <c:v>35836</c:v>
                </c:pt>
                <c:pt idx="804">
                  <c:v>35837</c:v>
                </c:pt>
                <c:pt idx="805">
                  <c:v>35838</c:v>
                </c:pt>
                <c:pt idx="806">
                  <c:v>35839</c:v>
                </c:pt>
                <c:pt idx="807">
                  <c:v>35843</c:v>
                </c:pt>
                <c:pt idx="808">
                  <c:v>35844</c:v>
                </c:pt>
                <c:pt idx="809">
                  <c:v>35845</c:v>
                </c:pt>
                <c:pt idx="810">
                  <c:v>35846</c:v>
                </c:pt>
                <c:pt idx="811">
                  <c:v>35849</c:v>
                </c:pt>
                <c:pt idx="812">
                  <c:v>35850</c:v>
                </c:pt>
                <c:pt idx="813">
                  <c:v>35851</c:v>
                </c:pt>
                <c:pt idx="814">
                  <c:v>35852</c:v>
                </c:pt>
                <c:pt idx="815">
                  <c:v>35853</c:v>
                </c:pt>
                <c:pt idx="816">
                  <c:v>35856</c:v>
                </c:pt>
                <c:pt idx="817">
                  <c:v>35857</c:v>
                </c:pt>
                <c:pt idx="818">
                  <c:v>35858</c:v>
                </c:pt>
                <c:pt idx="819">
                  <c:v>35859</c:v>
                </c:pt>
                <c:pt idx="820">
                  <c:v>35860</c:v>
                </c:pt>
                <c:pt idx="821">
                  <c:v>35863</c:v>
                </c:pt>
                <c:pt idx="822">
                  <c:v>35864</c:v>
                </c:pt>
                <c:pt idx="823">
                  <c:v>35865</c:v>
                </c:pt>
                <c:pt idx="824">
                  <c:v>35866</c:v>
                </c:pt>
                <c:pt idx="825">
                  <c:v>35867</c:v>
                </c:pt>
                <c:pt idx="826">
                  <c:v>35870</c:v>
                </c:pt>
                <c:pt idx="827">
                  <c:v>35871</c:v>
                </c:pt>
                <c:pt idx="828">
                  <c:v>35872</c:v>
                </c:pt>
                <c:pt idx="829">
                  <c:v>35873</c:v>
                </c:pt>
                <c:pt idx="830">
                  <c:v>35874</c:v>
                </c:pt>
                <c:pt idx="831">
                  <c:v>35877</c:v>
                </c:pt>
                <c:pt idx="832">
                  <c:v>35878</c:v>
                </c:pt>
                <c:pt idx="833">
                  <c:v>35879</c:v>
                </c:pt>
                <c:pt idx="834">
                  <c:v>35880</c:v>
                </c:pt>
                <c:pt idx="835">
                  <c:v>35881</c:v>
                </c:pt>
                <c:pt idx="836">
                  <c:v>35884</c:v>
                </c:pt>
                <c:pt idx="837">
                  <c:v>35885</c:v>
                </c:pt>
                <c:pt idx="838">
                  <c:v>35886</c:v>
                </c:pt>
                <c:pt idx="839">
                  <c:v>35887</c:v>
                </c:pt>
                <c:pt idx="840">
                  <c:v>35888</c:v>
                </c:pt>
                <c:pt idx="841">
                  <c:v>35891</c:v>
                </c:pt>
                <c:pt idx="842">
                  <c:v>35892</c:v>
                </c:pt>
                <c:pt idx="843">
                  <c:v>35893</c:v>
                </c:pt>
                <c:pt idx="844">
                  <c:v>35894</c:v>
                </c:pt>
                <c:pt idx="845">
                  <c:v>35898</c:v>
                </c:pt>
                <c:pt idx="846">
                  <c:v>35899</c:v>
                </c:pt>
                <c:pt idx="847">
                  <c:v>35900</c:v>
                </c:pt>
                <c:pt idx="848">
                  <c:v>35901</c:v>
                </c:pt>
                <c:pt idx="849">
                  <c:v>35902</c:v>
                </c:pt>
                <c:pt idx="850">
                  <c:v>35905</c:v>
                </c:pt>
                <c:pt idx="851">
                  <c:v>35906</c:v>
                </c:pt>
                <c:pt idx="852">
                  <c:v>35907</c:v>
                </c:pt>
                <c:pt idx="853">
                  <c:v>35908</c:v>
                </c:pt>
                <c:pt idx="854">
                  <c:v>35909</c:v>
                </c:pt>
                <c:pt idx="855">
                  <c:v>35912</c:v>
                </c:pt>
                <c:pt idx="856">
                  <c:v>35913</c:v>
                </c:pt>
                <c:pt idx="857">
                  <c:v>35914</c:v>
                </c:pt>
                <c:pt idx="858">
                  <c:v>35915</c:v>
                </c:pt>
                <c:pt idx="859">
                  <c:v>35916</c:v>
                </c:pt>
                <c:pt idx="860">
                  <c:v>35919</c:v>
                </c:pt>
                <c:pt idx="861">
                  <c:v>35920</c:v>
                </c:pt>
                <c:pt idx="862">
                  <c:v>35921</c:v>
                </c:pt>
                <c:pt idx="863">
                  <c:v>35922</c:v>
                </c:pt>
                <c:pt idx="864">
                  <c:v>35923</c:v>
                </c:pt>
                <c:pt idx="865">
                  <c:v>35926</c:v>
                </c:pt>
                <c:pt idx="866">
                  <c:v>35927</c:v>
                </c:pt>
                <c:pt idx="867">
                  <c:v>35928</c:v>
                </c:pt>
                <c:pt idx="868">
                  <c:v>35929</c:v>
                </c:pt>
                <c:pt idx="869">
                  <c:v>35930</c:v>
                </c:pt>
                <c:pt idx="870">
                  <c:v>35933</c:v>
                </c:pt>
                <c:pt idx="871">
                  <c:v>35934</c:v>
                </c:pt>
                <c:pt idx="872">
                  <c:v>35935</c:v>
                </c:pt>
                <c:pt idx="873">
                  <c:v>35936</c:v>
                </c:pt>
                <c:pt idx="874">
                  <c:v>35937</c:v>
                </c:pt>
                <c:pt idx="875">
                  <c:v>35941</c:v>
                </c:pt>
                <c:pt idx="876">
                  <c:v>35942</c:v>
                </c:pt>
                <c:pt idx="877">
                  <c:v>35943</c:v>
                </c:pt>
                <c:pt idx="878">
                  <c:v>35944</c:v>
                </c:pt>
                <c:pt idx="879">
                  <c:v>35947</c:v>
                </c:pt>
                <c:pt idx="880">
                  <c:v>35948</c:v>
                </c:pt>
                <c:pt idx="881">
                  <c:v>35949</c:v>
                </c:pt>
                <c:pt idx="882">
                  <c:v>35950</c:v>
                </c:pt>
                <c:pt idx="883">
                  <c:v>35951</c:v>
                </c:pt>
                <c:pt idx="884">
                  <c:v>35954</c:v>
                </c:pt>
                <c:pt idx="885">
                  <c:v>35955</c:v>
                </c:pt>
                <c:pt idx="886">
                  <c:v>35956</c:v>
                </c:pt>
                <c:pt idx="887">
                  <c:v>35957</c:v>
                </c:pt>
                <c:pt idx="888">
                  <c:v>35958</c:v>
                </c:pt>
                <c:pt idx="889">
                  <c:v>35961</c:v>
                </c:pt>
                <c:pt idx="890">
                  <c:v>35962</c:v>
                </c:pt>
                <c:pt idx="891">
                  <c:v>35963</c:v>
                </c:pt>
                <c:pt idx="892">
                  <c:v>35964</c:v>
                </c:pt>
                <c:pt idx="893">
                  <c:v>35965</c:v>
                </c:pt>
                <c:pt idx="894">
                  <c:v>35968</c:v>
                </c:pt>
                <c:pt idx="895">
                  <c:v>35969</c:v>
                </c:pt>
                <c:pt idx="896">
                  <c:v>35970</c:v>
                </c:pt>
                <c:pt idx="897">
                  <c:v>35971</c:v>
                </c:pt>
                <c:pt idx="898">
                  <c:v>35972</c:v>
                </c:pt>
                <c:pt idx="899">
                  <c:v>35975</c:v>
                </c:pt>
                <c:pt idx="900">
                  <c:v>35976</c:v>
                </c:pt>
                <c:pt idx="901">
                  <c:v>35977</c:v>
                </c:pt>
                <c:pt idx="902">
                  <c:v>35978</c:v>
                </c:pt>
                <c:pt idx="903">
                  <c:v>35982</c:v>
                </c:pt>
                <c:pt idx="904">
                  <c:v>35983</c:v>
                </c:pt>
                <c:pt idx="905">
                  <c:v>35984</c:v>
                </c:pt>
                <c:pt idx="906">
                  <c:v>35985</c:v>
                </c:pt>
                <c:pt idx="907">
                  <c:v>35986</c:v>
                </c:pt>
                <c:pt idx="908">
                  <c:v>35989</c:v>
                </c:pt>
                <c:pt idx="909">
                  <c:v>35990</c:v>
                </c:pt>
                <c:pt idx="910">
                  <c:v>35991</c:v>
                </c:pt>
                <c:pt idx="911">
                  <c:v>35992</c:v>
                </c:pt>
                <c:pt idx="912">
                  <c:v>35993</c:v>
                </c:pt>
                <c:pt idx="913">
                  <c:v>35996</c:v>
                </c:pt>
                <c:pt idx="914">
                  <c:v>35997</c:v>
                </c:pt>
                <c:pt idx="915">
                  <c:v>35998</c:v>
                </c:pt>
                <c:pt idx="916">
                  <c:v>35999</c:v>
                </c:pt>
                <c:pt idx="917">
                  <c:v>36000</c:v>
                </c:pt>
                <c:pt idx="918">
                  <c:v>36003</c:v>
                </c:pt>
                <c:pt idx="919">
                  <c:v>36004</c:v>
                </c:pt>
                <c:pt idx="920">
                  <c:v>36005</c:v>
                </c:pt>
                <c:pt idx="921">
                  <c:v>36006</c:v>
                </c:pt>
                <c:pt idx="922">
                  <c:v>36007</c:v>
                </c:pt>
                <c:pt idx="923">
                  <c:v>36010</c:v>
                </c:pt>
                <c:pt idx="924">
                  <c:v>36011</c:v>
                </c:pt>
                <c:pt idx="925">
                  <c:v>36012</c:v>
                </c:pt>
                <c:pt idx="926">
                  <c:v>36013</c:v>
                </c:pt>
                <c:pt idx="927">
                  <c:v>36014</c:v>
                </c:pt>
                <c:pt idx="928">
                  <c:v>36017</c:v>
                </c:pt>
                <c:pt idx="929">
                  <c:v>36018</c:v>
                </c:pt>
                <c:pt idx="930">
                  <c:v>36019</c:v>
                </c:pt>
                <c:pt idx="931">
                  <c:v>36020</c:v>
                </c:pt>
                <c:pt idx="932">
                  <c:v>36021</c:v>
                </c:pt>
                <c:pt idx="933">
                  <c:v>36024</c:v>
                </c:pt>
                <c:pt idx="934">
                  <c:v>36025</c:v>
                </c:pt>
                <c:pt idx="935">
                  <c:v>36026</c:v>
                </c:pt>
                <c:pt idx="936">
                  <c:v>36027</c:v>
                </c:pt>
                <c:pt idx="937">
                  <c:v>36028</c:v>
                </c:pt>
                <c:pt idx="938">
                  <c:v>36031</c:v>
                </c:pt>
                <c:pt idx="939">
                  <c:v>36032</c:v>
                </c:pt>
                <c:pt idx="940">
                  <c:v>36033</c:v>
                </c:pt>
                <c:pt idx="941">
                  <c:v>36034</c:v>
                </c:pt>
                <c:pt idx="942">
                  <c:v>36035</c:v>
                </c:pt>
                <c:pt idx="943">
                  <c:v>36038</c:v>
                </c:pt>
                <c:pt idx="944">
                  <c:v>36039</c:v>
                </c:pt>
                <c:pt idx="945">
                  <c:v>36040</c:v>
                </c:pt>
                <c:pt idx="946">
                  <c:v>36041</c:v>
                </c:pt>
                <c:pt idx="947">
                  <c:v>36042</c:v>
                </c:pt>
                <c:pt idx="948">
                  <c:v>36046</c:v>
                </c:pt>
                <c:pt idx="949">
                  <c:v>36047</c:v>
                </c:pt>
                <c:pt idx="950">
                  <c:v>36048</c:v>
                </c:pt>
                <c:pt idx="951">
                  <c:v>36049</c:v>
                </c:pt>
                <c:pt idx="952">
                  <c:v>36052</c:v>
                </c:pt>
                <c:pt idx="953">
                  <c:v>36053</c:v>
                </c:pt>
                <c:pt idx="954">
                  <c:v>36054</c:v>
                </c:pt>
                <c:pt idx="955">
                  <c:v>36055</c:v>
                </c:pt>
                <c:pt idx="956">
                  <c:v>36056</c:v>
                </c:pt>
                <c:pt idx="957">
                  <c:v>36059</c:v>
                </c:pt>
                <c:pt idx="958">
                  <c:v>36060</c:v>
                </c:pt>
                <c:pt idx="959">
                  <c:v>36061</c:v>
                </c:pt>
                <c:pt idx="960">
                  <c:v>36062</c:v>
                </c:pt>
                <c:pt idx="961">
                  <c:v>36063</c:v>
                </c:pt>
                <c:pt idx="962">
                  <c:v>36066</c:v>
                </c:pt>
                <c:pt idx="963">
                  <c:v>36067</c:v>
                </c:pt>
                <c:pt idx="964">
                  <c:v>36068</c:v>
                </c:pt>
                <c:pt idx="965">
                  <c:v>36069</c:v>
                </c:pt>
                <c:pt idx="966">
                  <c:v>36070</c:v>
                </c:pt>
                <c:pt idx="967">
                  <c:v>36073</c:v>
                </c:pt>
                <c:pt idx="968">
                  <c:v>36074</c:v>
                </c:pt>
                <c:pt idx="969">
                  <c:v>36075</c:v>
                </c:pt>
                <c:pt idx="970">
                  <c:v>36076</c:v>
                </c:pt>
                <c:pt idx="971">
                  <c:v>36077</c:v>
                </c:pt>
                <c:pt idx="972">
                  <c:v>36080</c:v>
                </c:pt>
                <c:pt idx="973">
                  <c:v>36081</c:v>
                </c:pt>
                <c:pt idx="974">
                  <c:v>36082</c:v>
                </c:pt>
                <c:pt idx="975">
                  <c:v>36083</c:v>
                </c:pt>
                <c:pt idx="976">
                  <c:v>36084</c:v>
                </c:pt>
                <c:pt idx="977">
                  <c:v>36087</c:v>
                </c:pt>
                <c:pt idx="978">
                  <c:v>36088</c:v>
                </c:pt>
                <c:pt idx="979">
                  <c:v>36089</c:v>
                </c:pt>
                <c:pt idx="980">
                  <c:v>36090</c:v>
                </c:pt>
                <c:pt idx="981">
                  <c:v>36091</c:v>
                </c:pt>
                <c:pt idx="982">
                  <c:v>36094</c:v>
                </c:pt>
                <c:pt idx="983">
                  <c:v>36095</c:v>
                </c:pt>
                <c:pt idx="984">
                  <c:v>36096</c:v>
                </c:pt>
                <c:pt idx="985">
                  <c:v>36097</c:v>
                </c:pt>
                <c:pt idx="986">
                  <c:v>36098</c:v>
                </c:pt>
                <c:pt idx="987">
                  <c:v>36101</c:v>
                </c:pt>
                <c:pt idx="988">
                  <c:v>36102</c:v>
                </c:pt>
                <c:pt idx="989">
                  <c:v>36103</c:v>
                </c:pt>
                <c:pt idx="990">
                  <c:v>36104</c:v>
                </c:pt>
                <c:pt idx="991">
                  <c:v>36105</c:v>
                </c:pt>
                <c:pt idx="992">
                  <c:v>36108</c:v>
                </c:pt>
                <c:pt idx="993">
                  <c:v>36109</c:v>
                </c:pt>
                <c:pt idx="994">
                  <c:v>36110</c:v>
                </c:pt>
                <c:pt idx="995">
                  <c:v>36111</c:v>
                </c:pt>
                <c:pt idx="996">
                  <c:v>36112</c:v>
                </c:pt>
                <c:pt idx="997">
                  <c:v>36115</c:v>
                </c:pt>
                <c:pt idx="998">
                  <c:v>36116</c:v>
                </c:pt>
                <c:pt idx="999">
                  <c:v>36117</c:v>
                </c:pt>
                <c:pt idx="1000">
                  <c:v>36118</c:v>
                </c:pt>
                <c:pt idx="1001">
                  <c:v>36119</c:v>
                </c:pt>
                <c:pt idx="1002">
                  <c:v>36122</c:v>
                </c:pt>
                <c:pt idx="1003">
                  <c:v>36123</c:v>
                </c:pt>
                <c:pt idx="1004">
                  <c:v>36124</c:v>
                </c:pt>
                <c:pt idx="1005">
                  <c:v>36126</c:v>
                </c:pt>
                <c:pt idx="1006">
                  <c:v>36129</c:v>
                </c:pt>
                <c:pt idx="1007">
                  <c:v>36130</c:v>
                </c:pt>
                <c:pt idx="1008">
                  <c:v>36131</c:v>
                </c:pt>
                <c:pt idx="1009">
                  <c:v>36132</c:v>
                </c:pt>
                <c:pt idx="1010">
                  <c:v>36133</c:v>
                </c:pt>
                <c:pt idx="1011">
                  <c:v>36136</c:v>
                </c:pt>
                <c:pt idx="1012">
                  <c:v>36137</c:v>
                </c:pt>
                <c:pt idx="1013">
                  <c:v>36138</c:v>
                </c:pt>
                <c:pt idx="1014">
                  <c:v>36139</c:v>
                </c:pt>
                <c:pt idx="1015">
                  <c:v>36140</c:v>
                </c:pt>
                <c:pt idx="1016">
                  <c:v>36143</c:v>
                </c:pt>
                <c:pt idx="1017">
                  <c:v>36144</c:v>
                </c:pt>
                <c:pt idx="1018">
                  <c:v>36145</c:v>
                </c:pt>
                <c:pt idx="1019">
                  <c:v>36146</c:v>
                </c:pt>
                <c:pt idx="1020">
                  <c:v>36147</c:v>
                </c:pt>
                <c:pt idx="1021">
                  <c:v>36150</c:v>
                </c:pt>
                <c:pt idx="1022">
                  <c:v>36151</c:v>
                </c:pt>
                <c:pt idx="1023">
                  <c:v>36152</c:v>
                </c:pt>
                <c:pt idx="1024">
                  <c:v>36153</c:v>
                </c:pt>
                <c:pt idx="1025">
                  <c:v>36157</c:v>
                </c:pt>
                <c:pt idx="1026">
                  <c:v>36158</c:v>
                </c:pt>
                <c:pt idx="1027">
                  <c:v>36159</c:v>
                </c:pt>
                <c:pt idx="1028">
                  <c:v>36160</c:v>
                </c:pt>
                <c:pt idx="1029">
                  <c:v>36164</c:v>
                </c:pt>
                <c:pt idx="1030">
                  <c:v>36165</c:v>
                </c:pt>
                <c:pt idx="1031">
                  <c:v>36166</c:v>
                </c:pt>
                <c:pt idx="1032">
                  <c:v>36167</c:v>
                </c:pt>
                <c:pt idx="1033">
                  <c:v>36168</c:v>
                </c:pt>
                <c:pt idx="1034">
                  <c:v>36171</c:v>
                </c:pt>
                <c:pt idx="1035">
                  <c:v>36172</c:v>
                </c:pt>
                <c:pt idx="1036">
                  <c:v>36173</c:v>
                </c:pt>
                <c:pt idx="1037">
                  <c:v>36174</c:v>
                </c:pt>
                <c:pt idx="1038">
                  <c:v>36175</c:v>
                </c:pt>
                <c:pt idx="1039">
                  <c:v>36179</c:v>
                </c:pt>
                <c:pt idx="1040">
                  <c:v>36180</c:v>
                </c:pt>
                <c:pt idx="1041">
                  <c:v>36181</c:v>
                </c:pt>
                <c:pt idx="1042">
                  <c:v>36182</c:v>
                </c:pt>
                <c:pt idx="1043">
                  <c:v>36185</c:v>
                </c:pt>
                <c:pt idx="1044">
                  <c:v>36186</c:v>
                </c:pt>
                <c:pt idx="1045">
                  <c:v>36187</c:v>
                </c:pt>
                <c:pt idx="1046">
                  <c:v>36188</c:v>
                </c:pt>
                <c:pt idx="1047">
                  <c:v>36189</c:v>
                </c:pt>
                <c:pt idx="1048">
                  <c:v>36192</c:v>
                </c:pt>
                <c:pt idx="1049">
                  <c:v>36193</c:v>
                </c:pt>
                <c:pt idx="1050">
                  <c:v>36194</c:v>
                </c:pt>
                <c:pt idx="1051">
                  <c:v>36195</c:v>
                </c:pt>
                <c:pt idx="1052">
                  <c:v>36196</c:v>
                </c:pt>
                <c:pt idx="1053">
                  <c:v>36199</c:v>
                </c:pt>
                <c:pt idx="1054">
                  <c:v>36200</c:v>
                </c:pt>
                <c:pt idx="1055">
                  <c:v>36201</c:v>
                </c:pt>
                <c:pt idx="1056">
                  <c:v>36202</c:v>
                </c:pt>
                <c:pt idx="1057">
                  <c:v>36203</c:v>
                </c:pt>
                <c:pt idx="1058">
                  <c:v>36207</c:v>
                </c:pt>
                <c:pt idx="1059">
                  <c:v>36208</c:v>
                </c:pt>
                <c:pt idx="1060">
                  <c:v>36209</c:v>
                </c:pt>
                <c:pt idx="1061">
                  <c:v>36210</c:v>
                </c:pt>
                <c:pt idx="1062">
                  <c:v>36213</c:v>
                </c:pt>
                <c:pt idx="1063">
                  <c:v>36214</c:v>
                </c:pt>
                <c:pt idx="1064">
                  <c:v>36215</c:v>
                </c:pt>
                <c:pt idx="1065">
                  <c:v>36216</c:v>
                </c:pt>
                <c:pt idx="1066">
                  <c:v>36217</c:v>
                </c:pt>
                <c:pt idx="1067">
                  <c:v>36220</c:v>
                </c:pt>
                <c:pt idx="1068">
                  <c:v>36221</c:v>
                </c:pt>
                <c:pt idx="1069">
                  <c:v>36222</c:v>
                </c:pt>
                <c:pt idx="1070">
                  <c:v>36223</c:v>
                </c:pt>
                <c:pt idx="1071">
                  <c:v>36224</c:v>
                </c:pt>
                <c:pt idx="1072">
                  <c:v>36227</c:v>
                </c:pt>
                <c:pt idx="1073">
                  <c:v>36228</c:v>
                </c:pt>
                <c:pt idx="1074">
                  <c:v>36229</c:v>
                </c:pt>
                <c:pt idx="1075">
                  <c:v>36230</c:v>
                </c:pt>
                <c:pt idx="1076">
                  <c:v>36231</c:v>
                </c:pt>
                <c:pt idx="1077">
                  <c:v>36234</c:v>
                </c:pt>
                <c:pt idx="1078">
                  <c:v>36235</c:v>
                </c:pt>
                <c:pt idx="1079">
                  <c:v>36236</c:v>
                </c:pt>
                <c:pt idx="1080">
                  <c:v>36237</c:v>
                </c:pt>
                <c:pt idx="1081">
                  <c:v>36238</c:v>
                </c:pt>
                <c:pt idx="1082">
                  <c:v>36241</c:v>
                </c:pt>
                <c:pt idx="1083">
                  <c:v>36242</c:v>
                </c:pt>
                <c:pt idx="1084">
                  <c:v>36243</c:v>
                </c:pt>
                <c:pt idx="1085">
                  <c:v>36244</c:v>
                </c:pt>
                <c:pt idx="1086">
                  <c:v>36245</c:v>
                </c:pt>
                <c:pt idx="1087">
                  <c:v>36248</c:v>
                </c:pt>
                <c:pt idx="1088">
                  <c:v>36249</c:v>
                </c:pt>
                <c:pt idx="1089">
                  <c:v>36250</c:v>
                </c:pt>
                <c:pt idx="1090">
                  <c:v>36251</c:v>
                </c:pt>
                <c:pt idx="1091">
                  <c:v>36255</c:v>
                </c:pt>
                <c:pt idx="1092">
                  <c:v>36256</c:v>
                </c:pt>
                <c:pt idx="1093">
                  <c:v>36257</c:v>
                </c:pt>
                <c:pt idx="1094">
                  <c:v>36258</c:v>
                </c:pt>
                <c:pt idx="1095">
                  <c:v>36259</c:v>
                </c:pt>
                <c:pt idx="1096">
                  <c:v>36262</c:v>
                </c:pt>
                <c:pt idx="1097">
                  <c:v>36263</c:v>
                </c:pt>
                <c:pt idx="1098">
                  <c:v>36264</c:v>
                </c:pt>
                <c:pt idx="1099">
                  <c:v>36265</c:v>
                </c:pt>
                <c:pt idx="1100">
                  <c:v>36266</c:v>
                </c:pt>
                <c:pt idx="1101">
                  <c:v>36269</c:v>
                </c:pt>
                <c:pt idx="1102">
                  <c:v>36270</c:v>
                </c:pt>
                <c:pt idx="1103">
                  <c:v>36271</c:v>
                </c:pt>
                <c:pt idx="1104">
                  <c:v>36272</c:v>
                </c:pt>
                <c:pt idx="1105">
                  <c:v>36273</c:v>
                </c:pt>
                <c:pt idx="1106">
                  <c:v>36276</c:v>
                </c:pt>
                <c:pt idx="1107">
                  <c:v>36277</c:v>
                </c:pt>
                <c:pt idx="1108">
                  <c:v>36278</c:v>
                </c:pt>
                <c:pt idx="1109">
                  <c:v>36279</c:v>
                </c:pt>
                <c:pt idx="1110">
                  <c:v>36280</c:v>
                </c:pt>
                <c:pt idx="1111">
                  <c:v>36283</c:v>
                </c:pt>
                <c:pt idx="1112">
                  <c:v>36284</c:v>
                </c:pt>
                <c:pt idx="1113">
                  <c:v>36285</c:v>
                </c:pt>
                <c:pt idx="1114">
                  <c:v>36286</c:v>
                </c:pt>
                <c:pt idx="1115">
                  <c:v>36287</c:v>
                </c:pt>
                <c:pt idx="1116">
                  <c:v>36290</c:v>
                </c:pt>
                <c:pt idx="1117">
                  <c:v>36291</c:v>
                </c:pt>
                <c:pt idx="1118">
                  <c:v>36292</c:v>
                </c:pt>
                <c:pt idx="1119">
                  <c:v>36293</c:v>
                </c:pt>
                <c:pt idx="1120">
                  <c:v>36294</c:v>
                </c:pt>
                <c:pt idx="1121">
                  <c:v>36297</c:v>
                </c:pt>
                <c:pt idx="1122">
                  <c:v>36298</c:v>
                </c:pt>
                <c:pt idx="1123">
                  <c:v>36299</c:v>
                </c:pt>
                <c:pt idx="1124">
                  <c:v>36300</c:v>
                </c:pt>
                <c:pt idx="1125">
                  <c:v>36301</c:v>
                </c:pt>
                <c:pt idx="1126">
                  <c:v>36304</c:v>
                </c:pt>
                <c:pt idx="1127">
                  <c:v>36305</c:v>
                </c:pt>
                <c:pt idx="1128">
                  <c:v>36306</c:v>
                </c:pt>
                <c:pt idx="1129">
                  <c:v>36307</c:v>
                </c:pt>
                <c:pt idx="1130">
                  <c:v>36308</c:v>
                </c:pt>
                <c:pt idx="1131">
                  <c:v>36312</c:v>
                </c:pt>
                <c:pt idx="1132">
                  <c:v>36313</c:v>
                </c:pt>
                <c:pt idx="1133">
                  <c:v>36314</c:v>
                </c:pt>
                <c:pt idx="1134">
                  <c:v>36315</c:v>
                </c:pt>
                <c:pt idx="1135">
                  <c:v>36318</c:v>
                </c:pt>
                <c:pt idx="1136">
                  <c:v>36319</c:v>
                </c:pt>
                <c:pt idx="1137">
                  <c:v>36320</c:v>
                </c:pt>
                <c:pt idx="1138">
                  <c:v>36321</c:v>
                </c:pt>
                <c:pt idx="1139">
                  <c:v>36322</c:v>
                </c:pt>
                <c:pt idx="1140">
                  <c:v>36325</c:v>
                </c:pt>
                <c:pt idx="1141">
                  <c:v>36326</c:v>
                </c:pt>
                <c:pt idx="1142">
                  <c:v>36327</c:v>
                </c:pt>
                <c:pt idx="1143">
                  <c:v>36328</c:v>
                </c:pt>
                <c:pt idx="1144">
                  <c:v>36329</c:v>
                </c:pt>
                <c:pt idx="1145">
                  <c:v>36332</c:v>
                </c:pt>
                <c:pt idx="1146">
                  <c:v>36333</c:v>
                </c:pt>
                <c:pt idx="1147">
                  <c:v>36334</c:v>
                </c:pt>
                <c:pt idx="1148">
                  <c:v>36335</c:v>
                </c:pt>
                <c:pt idx="1149">
                  <c:v>36336</c:v>
                </c:pt>
                <c:pt idx="1150">
                  <c:v>36339</c:v>
                </c:pt>
                <c:pt idx="1151">
                  <c:v>36340</c:v>
                </c:pt>
                <c:pt idx="1152">
                  <c:v>36341</c:v>
                </c:pt>
                <c:pt idx="1153">
                  <c:v>36342</c:v>
                </c:pt>
                <c:pt idx="1154">
                  <c:v>36343</c:v>
                </c:pt>
                <c:pt idx="1155">
                  <c:v>36347</c:v>
                </c:pt>
                <c:pt idx="1156">
                  <c:v>36348</c:v>
                </c:pt>
                <c:pt idx="1157">
                  <c:v>36349</c:v>
                </c:pt>
                <c:pt idx="1158">
                  <c:v>36350</c:v>
                </c:pt>
                <c:pt idx="1159">
                  <c:v>36353</c:v>
                </c:pt>
                <c:pt idx="1160">
                  <c:v>36354</c:v>
                </c:pt>
                <c:pt idx="1161">
                  <c:v>36355</c:v>
                </c:pt>
                <c:pt idx="1162">
                  <c:v>36356</c:v>
                </c:pt>
                <c:pt idx="1163">
                  <c:v>36357</c:v>
                </c:pt>
                <c:pt idx="1164">
                  <c:v>36360</c:v>
                </c:pt>
                <c:pt idx="1165">
                  <c:v>36361</c:v>
                </c:pt>
                <c:pt idx="1166">
                  <c:v>36362</c:v>
                </c:pt>
                <c:pt idx="1167">
                  <c:v>36363</c:v>
                </c:pt>
                <c:pt idx="1168">
                  <c:v>36364</c:v>
                </c:pt>
                <c:pt idx="1169">
                  <c:v>36367</c:v>
                </c:pt>
                <c:pt idx="1170">
                  <c:v>36368</c:v>
                </c:pt>
                <c:pt idx="1171">
                  <c:v>36369</c:v>
                </c:pt>
                <c:pt idx="1172">
                  <c:v>36370</c:v>
                </c:pt>
                <c:pt idx="1173">
                  <c:v>36371</c:v>
                </c:pt>
                <c:pt idx="1174">
                  <c:v>36374</c:v>
                </c:pt>
                <c:pt idx="1175">
                  <c:v>36375</c:v>
                </c:pt>
                <c:pt idx="1176">
                  <c:v>36376</c:v>
                </c:pt>
                <c:pt idx="1177">
                  <c:v>36377</c:v>
                </c:pt>
                <c:pt idx="1178">
                  <c:v>36378</c:v>
                </c:pt>
                <c:pt idx="1179">
                  <c:v>36381</c:v>
                </c:pt>
                <c:pt idx="1180">
                  <c:v>36382</c:v>
                </c:pt>
                <c:pt idx="1181">
                  <c:v>36383</c:v>
                </c:pt>
                <c:pt idx="1182">
                  <c:v>36384</c:v>
                </c:pt>
                <c:pt idx="1183">
                  <c:v>36385</c:v>
                </c:pt>
                <c:pt idx="1184">
                  <c:v>36388</c:v>
                </c:pt>
                <c:pt idx="1185">
                  <c:v>36389</c:v>
                </c:pt>
                <c:pt idx="1186">
                  <c:v>36390</c:v>
                </c:pt>
                <c:pt idx="1187">
                  <c:v>36391</c:v>
                </c:pt>
                <c:pt idx="1188">
                  <c:v>36392</c:v>
                </c:pt>
                <c:pt idx="1189">
                  <c:v>36395</c:v>
                </c:pt>
                <c:pt idx="1190">
                  <c:v>36396</c:v>
                </c:pt>
                <c:pt idx="1191">
                  <c:v>36397</c:v>
                </c:pt>
                <c:pt idx="1192">
                  <c:v>36398</c:v>
                </c:pt>
                <c:pt idx="1193">
                  <c:v>36399</c:v>
                </c:pt>
                <c:pt idx="1194">
                  <c:v>36402</c:v>
                </c:pt>
                <c:pt idx="1195">
                  <c:v>36403</c:v>
                </c:pt>
                <c:pt idx="1196">
                  <c:v>36404</c:v>
                </c:pt>
                <c:pt idx="1197">
                  <c:v>36405</c:v>
                </c:pt>
                <c:pt idx="1198">
                  <c:v>36406</c:v>
                </c:pt>
                <c:pt idx="1199">
                  <c:v>36410</c:v>
                </c:pt>
                <c:pt idx="1200">
                  <c:v>36411</c:v>
                </c:pt>
                <c:pt idx="1201">
                  <c:v>36412</c:v>
                </c:pt>
                <c:pt idx="1202">
                  <c:v>36413</c:v>
                </c:pt>
                <c:pt idx="1203">
                  <c:v>36416</c:v>
                </c:pt>
                <c:pt idx="1204">
                  <c:v>36417</c:v>
                </c:pt>
                <c:pt idx="1205">
                  <c:v>36418</c:v>
                </c:pt>
                <c:pt idx="1206">
                  <c:v>36419</c:v>
                </c:pt>
                <c:pt idx="1207">
                  <c:v>36420</c:v>
                </c:pt>
                <c:pt idx="1208">
                  <c:v>36423</c:v>
                </c:pt>
                <c:pt idx="1209">
                  <c:v>36424</c:v>
                </c:pt>
                <c:pt idx="1210">
                  <c:v>36425</c:v>
                </c:pt>
                <c:pt idx="1211">
                  <c:v>36426</c:v>
                </c:pt>
                <c:pt idx="1212">
                  <c:v>36427</c:v>
                </c:pt>
                <c:pt idx="1213">
                  <c:v>36430</c:v>
                </c:pt>
                <c:pt idx="1214">
                  <c:v>36431</c:v>
                </c:pt>
                <c:pt idx="1215">
                  <c:v>36432</c:v>
                </c:pt>
                <c:pt idx="1216">
                  <c:v>36433</c:v>
                </c:pt>
                <c:pt idx="1217">
                  <c:v>36434</c:v>
                </c:pt>
                <c:pt idx="1218">
                  <c:v>36437</c:v>
                </c:pt>
                <c:pt idx="1219">
                  <c:v>36438</c:v>
                </c:pt>
                <c:pt idx="1220">
                  <c:v>36439</c:v>
                </c:pt>
                <c:pt idx="1221">
                  <c:v>36440</c:v>
                </c:pt>
                <c:pt idx="1222">
                  <c:v>36441</c:v>
                </c:pt>
                <c:pt idx="1223">
                  <c:v>36444</c:v>
                </c:pt>
                <c:pt idx="1224">
                  <c:v>36445</c:v>
                </c:pt>
                <c:pt idx="1225">
                  <c:v>36446</c:v>
                </c:pt>
                <c:pt idx="1226">
                  <c:v>36447</c:v>
                </c:pt>
                <c:pt idx="1227">
                  <c:v>36448</c:v>
                </c:pt>
                <c:pt idx="1228">
                  <c:v>36451</c:v>
                </c:pt>
                <c:pt idx="1229">
                  <c:v>36452</c:v>
                </c:pt>
                <c:pt idx="1230">
                  <c:v>36453</c:v>
                </c:pt>
                <c:pt idx="1231">
                  <c:v>36454</c:v>
                </c:pt>
                <c:pt idx="1232">
                  <c:v>36455</c:v>
                </c:pt>
                <c:pt idx="1233">
                  <c:v>36458</c:v>
                </c:pt>
                <c:pt idx="1234">
                  <c:v>36459</c:v>
                </c:pt>
                <c:pt idx="1235">
                  <c:v>36460</c:v>
                </c:pt>
                <c:pt idx="1236">
                  <c:v>36461</c:v>
                </c:pt>
                <c:pt idx="1237">
                  <c:v>36462</c:v>
                </c:pt>
                <c:pt idx="1238">
                  <c:v>36465</c:v>
                </c:pt>
                <c:pt idx="1239">
                  <c:v>36466</c:v>
                </c:pt>
                <c:pt idx="1240">
                  <c:v>36467</c:v>
                </c:pt>
                <c:pt idx="1241">
                  <c:v>36468</c:v>
                </c:pt>
                <c:pt idx="1242">
                  <c:v>36469</c:v>
                </c:pt>
                <c:pt idx="1243">
                  <c:v>36472</c:v>
                </c:pt>
                <c:pt idx="1244">
                  <c:v>36473</c:v>
                </c:pt>
                <c:pt idx="1245">
                  <c:v>36474</c:v>
                </c:pt>
                <c:pt idx="1246">
                  <c:v>36475</c:v>
                </c:pt>
                <c:pt idx="1247">
                  <c:v>36476</c:v>
                </c:pt>
                <c:pt idx="1248">
                  <c:v>36479</c:v>
                </c:pt>
                <c:pt idx="1249">
                  <c:v>36480</c:v>
                </c:pt>
                <c:pt idx="1250">
                  <c:v>36481</c:v>
                </c:pt>
                <c:pt idx="1251">
                  <c:v>36482</c:v>
                </c:pt>
                <c:pt idx="1252">
                  <c:v>36483</c:v>
                </c:pt>
                <c:pt idx="1253">
                  <c:v>36486</c:v>
                </c:pt>
                <c:pt idx="1254">
                  <c:v>36487</c:v>
                </c:pt>
                <c:pt idx="1255">
                  <c:v>36488</c:v>
                </c:pt>
                <c:pt idx="1256">
                  <c:v>36490</c:v>
                </c:pt>
                <c:pt idx="1257">
                  <c:v>36493</c:v>
                </c:pt>
                <c:pt idx="1258">
                  <c:v>36494</c:v>
                </c:pt>
                <c:pt idx="1259">
                  <c:v>36495</c:v>
                </c:pt>
                <c:pt idx="1260">
                  <c:v>36496</c:v>
                </c:pt>
                <c:pt idx="1261">
                  <c:v>36497</c:v>
                </c:pt>
                <c:pt idx="1262">
                  <c:v>36500</c:v>
                </c:pt>
                <c:pt idx="1263">
                  <c:v>36501</c:v>
                </c:pt>
                <c:pt idx="1264">
                  <c:v>36502</c:v>
                </c:pt>
                <c:pt idx="1265">
                  <c:v>36503</c:v>
                </c:pt>
                <c:pt idx="1266">
                  <c:v>36504</c:v>
                </c:pt>
                <c:pt idx="1267">
                  <c:v>36507</c:v>
                </c:pt>
                <c:pt idx="1268">
                  <c:v>36508</c:v>
                </c:pt>
                <c:pt idx="1269">
                  <c:v>36509</c:v>
                </c:pt>
                <c:pt idx="1270">
                  <c:v>36510</c:v>
                </c:pt>
                <c:pt idx="1271">
                  <c:v>36511</c:v>
                </c:pt>
                <c:pt idx="1272">
                  <c:v>36514</c:v>
                </c:pt>
                <c:pt idx="1273">
                  <c:v>36515</c:v>
                </c:pt>
                <c:pt idx="1274">
                  <c:v>36516</c:v>
                </c:pt>
                <c:pt idx="1275">
                  <c:v>36517</c:v>
                </c:pt>
                <c:pt idx="1276">
                  <c:v>36521</c:v>
                </c:pt>
                <c:pt idx="1277">
                  <c:v>36522</c:v>
                </c:pt>
                <c:pt idx="1278">
                  <c:v>36523</c:v>
                </c:pt>
                <c:pt idx="1279">
                  <c:v>36524</c:v>
                </c:pt>
                <c:pt idx="1280">
                  <c:v>36525</c:v>
                </c:pt>
                <c:pt idx="1281">
                  <c:v>36528</c:v>
                </c:pt>
                <c:pt idx="1282">
                  <c:v>36529</c:v>
                </c:pt>
                <c:pt idx="1283">
                  <c:v>36530</c:v>
                </c:pt>
                <c:pt idx="1284">
                  <c:v>36531</c:v>
                </c:pt>
                <c:pt idx="1285">
                  <c:v>36532</c:v>
                </c:pt>
                <c:pt idx="1286">
                  <c:v>36535</c:v>
                </c:pt>
                <c:pt idx="1287">
                  <c:v>36536</c:v>
                </c:pt>
                <c:pt idx="1288">
                  <c:v>36537</c:v>
                </c:pt>
                <c:pt idx="1289">
                  <c:v>36538</c:v>
                </c:pt>
                <c:pt idx="1290">
                  <c:v>36539</c:v>
                </c:pt>
                <c:pt idx="1291">
                  <c:v>36543</c:v>
                </c:pt>
                <c:pt idx="1292">
                  <c:v>36544</c:v>
                </c:pt>
                <c:pt idx="1293">
                  <c:v>36545</c:v>
                </c:pt>
                <c:pt idx="1294">
                  <c:v>36546</c:v>
                </c:pt>
                <c:pt idx="1295">
                  <c:v>36549</c:v>
                </c:pt>
                <c:pt idx="1296">
                  <c:v>36550</c:v>
                </c:pt>
                <c:pt idx="1297">
                  <c:v>36551</c:v>
                </c:pt>
                <c:pt idx="1298">
                  <c:v>36552</c:v>
                </c:pt>
                <c:pt idx="1299">
                  <c:v>36553</c:v>
                </c:pt>
                <c:pt idx="1300">
                  <c:v>36556</c:v>
                </c:pt>
                <c:pt idx="1301">
                  <c:v>36557</c:v>
                </c:pt>
                <c:pt idx="1302">
                  <c:v>36558</c:v>
                </c:pt>
                <c:pt idx="1303">
                  <c:v>36559</c:v>
                </c:pt>
                <c:pt idx="1304">
                  <c:v>36560</c:v>
                </c:pt>
                <c:pt idx="1305">
                  <c:v>36563</c:v>
                </c:pt>
                <c:pt idx="1306">
                  <c:v>36564</c:v>
                </c:pt>
                <c:pt idx="1307">
                  <c:v>36565</c:v>
                </c:pt>
                <c:pt idx="1308">
                  <c:v>36566</c:v>
                </c:pt>
                <c:pt idx="1309">
                  <c:v>36567</c:v>
                </c:pt>
                <c:pt idx="1310">
                  <c:v>36570</c:v>
                </c:pt>
                <c:pt idx="1311">
                  <c:v>36571</c:v>
                </c:pt>
                <c:pt idx="1312">
                  <c:v>36572</c:v>
                </c:pt>
                <c:pt idx="1313">
                  <c:v>36573</c:v>
                </c:pt>
                <c:pt idx="1314">
                  <c:v>36574</c:v>
                </c:pt>
                <c:pt idx="1315">
                  <c:v>36578</c:v>
                </c:pt>
                <c:pt idx="1316">
                  <c:v>36579</c:v>
                </c:pt>
                <c:pt idx="1317">
                  <c:v>36580</c:v>
                </c:pt>
                <c:pt idx="1318">
                  <c:v>36581</c:v>
                </c:pt>
                <c:pt idx="1319">
                  <c:v>36584</c:v>
                </c:pt>
                <c:pt idx="1320">
                  <c:v>36585</c:v>
                </c:pt>
                <c:pt idx="1321">
                  <c:v>36586</c:v>
                </c:pt>
                <c:pt idx="1322">
                  <c:v>36587</c:v>
                </c:pt>
                <c:pt idx="1323">
                  <c:v>36588</c:v>
                </c:pt>
                <c:pt idx="1324">
                  <c:v>36591</c:v>
                </c:pt>
                <c:pt idx="1325">
                  <c:v>36592</c:v>
                </c:pt>
                <c:pt idx="1326">
                  <c:v>36593</c:v>
                </c:pt>
                <c:pt idx="1327">
                  <c:v>36594</c:v>
                </c:pt>
                <c:pt idx="1328">
                  <c:v>36595</c:v>
                </c:pt>
                <c:pt idx="1329">
                  <c:v>36598</c:v>
                </c:pt>
                <c:pt idx="1330">
                  <c:v>36599</c:v>
                </c:pt>
                <c:pt idx="1331">
                  <c:v>36600</c:v>
                </c:pt>
                <c:pt idx="1332">
                  <c:v>36601</c:v>
                </c:pt>
                <c:pt idx="1333">
                  <c:v>36602</c:v>
                </c:pt>
                <c:pt idx="1334">
                  <c:v>36605</c:v>
                </c:pt>
                <c:pt idx="1335">
                  <c:v>36606</c:v>
                </c:pt>
                <c:pt idx="1336">
                  <c:v>36607</c:v>
                </c:pt>
                <c:pt idx="1337">
                  <c:v>36608</c:v>
                </c:pt>
                <c:pt idx="1338">
                  <c:v>36609</c:v>
                </c:pt>
                <c:pt idx="1339">
                  <c:v>36612</c:v>
                </c:pt>
                <c:pt idx="1340">
                  <c:v>36613</c:v>
                </c:pt>
                <c:pt idx="1341">
                  <c:v>36614</c:v>
                </c:pt>
                <c:pt idx="1342">
                  <c:v>36615</c:v>
                </c:pt>
                <c:pt idx="1343">
                  <c:v>36616</c:v>
                </c:pt>
                <c:pt idx="1344">
                  <c:v>36619</c:v>
                </c:pt>
                <c:pt idx="1345">
                  <c:v>36620</c:v>
                </c:pt>
                <c:pt idx="1346">
                  <c:v>36621</c:v>
                </c:pt>
                <c:pt idx="1347">
                  <c:v>36622</c:v>
                </c:pt>
                <c:pt idx="1348">
                  <c:v>36623</c:v>
                </c:pt>
                <c:pt idx="1349">
                  <c:v>36626</c:v>
                </c:pt>
                <c:pt idx="1350">
                  <c:v>36627</c:v>
                </c:pt>
                <c:pt idx="1351">
                  <c:v>36628</c:v>
                </c:pt>
                <c:pt idx="1352">
                  <c:v>36629</c:v>
                </c:pt>
                <c:pt idx="1353">
                  <c:v>36630</c:v>
                </c:pt>
                <c:pt idx="1354">
                  <c:v>36633</c:v>
                </c:pt>
                <c:pt idx="1355">
                  <c:v>36634</c:v>
                </c:pt>
                <c:pt idx="1356">
                  <c:v>36635</c:v>
                </c:pt>
                <c:pt idx="1357">
                  <c:v>36636</c:v>
                </c:pt>
                <c:pt idx="1358">
                  <c:v>36640</c:v>
                </c:pt>
                <c:pt idx="1359">
                  <c:v>36641</c:v>
                </c:pt>
                <c:pt idx="1360">
                  <c:v>36642</c:v>
                </c:pt>
                <c:pt idx="1361">
                  <c:v>36643</c:v>
                </c:pt>
                <c:pt idx="1362">
                  <c:v>36644</c:v>
                </c:pt>
                <c:pt idx="1363">
                  <c:v>36647</c:v>
                </c:pt>
                <c:pt idx="1364">
                  <c:v>36648</c:v>
                </c:pt>
                <c:pt idx="1365">
                  <c:v>36649</c:v>
                </c:pt>
                <c:pt idx="1366">
                  <c:v>36650</c:v>
                </c:pt>
                <c:pt idx="1367">
                  <c:v>36651</c:v>
                </c:pt>
                <c:pt idx="1368">
                  <c:v>36654</c:v>
                </c:pt>
                <c:pt idx="1369">
                  <c:v>36655</c:v>
                </c:pt>
                <c:pt idx="1370">
                  <c:v>36656</c:v>
                </c:pt>
                <c:pt idx="1371">
                  <c:v>36657</c:v>
                </c:pt>
                <c:pt idx="1372">
                  <c:v>36658</c:v>
                </c:pt>
                <c:pt idx="1373">
                  <c:v>36661</c:v>
                </c:pt>
                <c:pt idx="1374">
                  <c:v>36662</c:v>
                </c:pt>
                <c:pt idx="1375">
                  <c:v>36663</c:v>
                </c:pt>
                <c:pt idx="1376">
                  <c:v>36664</c:v>
                </c:pt>
                <c:pt idx="1377">
                  <c:v>36665</c:v>
                </c:pt>
                <c:pt idx="1378">
                  <c:v>36668</c:v>
                </c:pt>
                <c:pt idx="1379">
                  <c:v>36669</c:v>
                </c:pt>
                <c:pt idx="1380">
                  <c:v>36670</c:v>
                </c:pt>
                <c:pt idx="1381">
                  <c:v>36671</c:v>
                </c:pt>
                <c:pt idx="1382">
                  <c:v>36672</c:v>
                </c:pt>
                <c:pt idx="1383">
                  <c:v>36676</c:v>
                </c:pt>
                <c:pt idx="1384">
                  <c:v>36677</c:v>
                </c:pt>
                <c:pt idx="1385">
                  <c:v>36678</c:v>
                </c:pt>
                <c:pt idx="1386">
                  <c:v>36679</c:v>
                </c:pt>
                <c:pt idx="1387">
                  <c:v>36682</c:v>
                </c:pt>
                <c:pt idx="1388">
                  <c:v>36683</c:v>
                </c:pt>
                <c:pt idx="1389">
                  <c:v>36684</c:v>
                </c:pt>
                <c:pt idx="1390">
                  <c:v>36685</c:v>
                </c:pt>
                <c:pt idx="1391">
                  <c:v>36686</c:v>
                </c:pt>
                <c:pt idx="1392">
                  <c:v>36689</c:v>
                </c:pt>
                <c:pt idx="1393">
                  <c:v>36690</c:v>
                </c:pt>
                <c:pt idx="1394">
                  <c:v>36691</c:v>
                </c:pt>
                <c:pt idx="1395">
                  <c:v>36692</c:v>
                </c:pt>
                <c:pt idx="1396">
                  <c:v>36693</c:v>
                </c:pt>
                <c:pt idx="1397">
                  <c:v>36696</c:v>
                </c:pt>
                <c:pt idx="1398">
                  <c:v>36697</c:v>
                </c:pt>
                <c:pt idx="1399">
                  <c:v>36698</c:v>
                </c:pt>
                <c:pt idx="1400">
                  <c:v>36699</c:v>
                </c:pt>
                <c:pt idx="1401">
                  <c:v>36700</c:v>
                </c:pt>
                <c:pt idx="1402">
                  <c:v>36703</c:v>
                </c:pt>
                <c:pt idx="1403">
                  <c:v>36704</c:v>
                </c:pt>
                <c:pt idx="1404">
                  <c:v>36705</c:v>
                </c:pt>
                <c:pt idx="1405">
                  <c:v>36706</c:v>
                </c:pt>
                <c:pt idx="1406">
                  <c:v>36707</c:v>
                </c:pt>
                <c:pt idx="1407">
                  <c:v>36710</c:v>
                </c:pt>
                <c:pt idx="1408">
                  <c:v>36712</c:v>
                </c:pt>
                <c:pt idx="1409">
                  <c:v>36713</c:v>
                </c:pt>
                <c:pt idx="1410">
                  <c:v>36714</c:v>
                </c:pt>
                <c:pt idx="1411">
                  <c:v>36717</c:v>
                </c:pt>
                <c:pt idx="1412">
                  <c:v>36718</c:v>
                </c:pt>
                <c:pt idx="1413">
                  <c:v>36719</c:v>
                </c:pt>
                <c:pt idx="1414">
                  <c:v>36720</c:v>
                </c:pt>
                <c:pt idx="1415">
                  <c:v>36721</c:v>
                </c:pt>
                <c:pt idx="1416">
                  <c:v>36724</c:v>
                </c:pt>
                <c:pt idx="1417">
                  <c:v>36725</c:v>
                </c:pt>
                <c:pt idx="1418">
                  <c:v>36726</c:v>
                </c:pt>
                <c:pt idx="1419">
                  <c:v>36727</c:v>
                </c:pt>
                <c:pt idx="1420">
                  <c:v>36728</c:v>
                </c:pt>
                <c:pt idx="1421">
                  <c:v>36731</c:v>
                </c:pt>
                <c:pt idx="1422">
                  <c:v>36732</c:v>
                </c:pt>
                <c:pt idx="1423">
                  <c:v>36733</c:v>
                </c:pt>
                <c:pt idx="1424">
                  <c:v>36734</c:v>
                </c:pt>
                <c:pt idx="1425">
                  <c:v>36735</c:v>
                </c:pt>
                <c:pt idx="1426">
                  <c:v>36738</c:v>
                </c:pt>
                <c:pt idx="1427">
                  <c:v>36739</c:v>
                </c:pt>
                <c:pt idx="1428">
                  <c:v>36740</c:v>
                </c:pt>
                <c:pt idx="1429">
                  <c:v>36741</c:v>
                </c:pt>
                <c:pt idx="1430">
                  <c:v>36742</c:v>
                </c:pt>
                <c:pt idx="1431">
                  <c:v>36745</c:v>
                </c:pt>
                <c:pt idx="1432">
                  <c:v>36746</c:v>
                </c:pt>
                <c:pt idx="1433">
                  <c:v>36747</c:v>
                </c:pt>
                <c:pt idx="1434">
                  <c:v>36748</c:v>
                </c:pt>
                <c:pt idx="1435">
                  <c:v>36749</c:v>
                </c:pt>
                <c:pt idx="1436">
                  <c:v>36752</c:v>
                </c:pt>
                <c:pt idx="1437">
                  <c:v>36753</c:v>
                </c:pt>
                <c:pt idx="1438">
                  <c:v>36754</c:v>
                </c:pt>
                <c:pt idx="1439">
                  <c:v>36755</c:v>
                </c:pt>
                <c:pt idx="1440">
                  <c:v>36756</c:v>
                </c:pt>
                <c:pt idx="1441">
                  <c:v>36759</c:v>
                </c:pt>
                <c:pt idx="1442">
                  <c:v>36760</c:v>
                </c:pt>
                <c:pt idx="1443">
                  <c:v>36761</c:v>
                </c:pt>
                <c:pt idx="1444">
                  <c:v>36762</c:v>
                </c:pt>
                <c:pt idx="1445">
                  <c:v>36763</c:v>
                </c:pt>
                <c:pt idx="1446">
                  <c:v>36766</c:v>
                </c:pt>
                <c:pt idx="1447">
                  <c:v>36767</c:v>
                </c:pt>
                <c:pt idx="1448">
                  <c:v>36768</c:v>
                </c:pt>
                <c:pt idx="1449">
                  <c:v>36769</c:v>
                </c:pt>
                <c:pt idx="1450">
                  <c:v>36770</c:v>
                </c:pt>
                <c:pt idx="1451">
                  <c:v>36774</c:v>
                </c:pt>
                <c:pt idx="1452">
                  <c:v>36775</c:v>
                </c:pt>
                <c:pt idx="1453">
                  <c:v>36776</c:v>
                </c:pt>
                <c:pt idx="1454">
                  <c:v>36777</c:v>
                </c:pt>
                <c:pt idx="1455">
                  <c:v>36780</c:v>
                </c:pt>
                <c:pt idx="1456">
                  <c:v>36781</c:v>
                </c:pt>
                <c:pt idx="1457">
                  <c:v>36782</c:v>
                </c:pt>
                <c:pt idx="1458">
                  <c:v>36783</c:v>
                </c:pt>
                <c:pt idx="1459">
                  <c:v>36784</c:v>
                </c:pt>
                <c:pt idx="1460">
                  <c:v>36787</c:v>
                </c:pt>
                <c:pt idx="1461">
                  <c:v>36788</c:v>
                </c:pt>
                <c:pt idx="1462">
                  <c:v>36789</c:v>
                </c:pt>
                <c:pt idx="1463">
                  <c:v>36790</c:v>
                </c:pt>
                <c:pt idx="1464">
                  <c:v>36791</c:v>
                </c:pt>
                <c:pt idx="1465">
                  <c:v>36794</c:v>
                </c:pt>
                <c:pt idx="1466">
                  <c:v>36795</c:v>
                </c:pt>
                <c:pt idx="1467">
                  <c:v>36796</c:v>
                </c:pt>
                <c:pt idx="1468">
                  <c:v>36797</c:v>
                </c:pt>
                <c:pt idx="1469">
                  <c:v>36798</c:v>
                </c:pt>
                <c:pt idx="1470">
                  <c:v>36801</c:v>
                </c:pt>
                <c:pt idx="1471">
                  <c:v>36802</c:v>
                </c:pt>
                <c:pt idx="1472">
                  <c:v>36803</c:v>
                </c:pt>
                <c:pt idx="1473">
                  <c:v>36804</c:v>
                </c:pt>
                <c:pt idx="1474">
                  <c:v>36805</c:v>
                </c:pt>
                <c:pt idx="1475">
                  <c:v>36808</c:v>
                </c:pt>
                <c:pt idx="1476">
                  <c:v>36809</c:v>
                </c:pt>
                <c:pt idx="1477">
                  <c:v>36810</c:v>
                </c:pt>
                <c:pt idx="1478">
                  <c:v>36811</c:v>
                </c:pt>
                <c:pt idx="1479">
                  <c:v>36812</c:v>
                </c:pt>
                <c:pt idx="1480">
                  <c:v>36815</c:v>
                </c:pt>
                <c:pt idx="1481">
                  <c:v>36816</c:v>
                </c:pt>
                <c:pt idx="1482">
                  <c:v>36817</c:v>
                </c:pt>
                <c:pt idx="1483">
                  <c:v>36818</c:v>
                </c:pt>
                <c:pt idx="1484">
                  <c:v>36819</c:v>
                </c:pt>
                <c:pt idx="1485">
                  <c:v>36822</c:v>
                </c:pt>
                <c:pt idx="1486">
                  <c:v>36823</c:v>
                </c:pt>
                <c:pt idx="1487">
                  <c:v>36824</c:v>
                </c:pt>
                <c:pt idx="1488">
                  <c:v>36825</c:v>
                </c:pt>
                <c:pt idx="1489">
                  <c:v>36826</c:v>
                </c:pt>
                <c:pt idx="1490">
                  <c:v>36829</c:v>
                </c:pt>
                <c:pt idx="1491">
                  <c:v>36830</c:v>
                </c:pt>
                <c:pt idx="1492">
                  <c:v>36831</c:v>
                </c:pt>
                <c:pt idx="1493">
                  <c:v>36832</c:v>
                </c:pt>
                <c:pt idx="1494">
                  <c:v>36833</c:v>
                </c:pt>
                <c:pt idx="1495">
                  <c:v>36836</c:v>
                </c:pt>
                <c:pt idx="1496">
                  <c:v>36837</c:v>
                </c:pt>
                <c:pt idx="1497">
                  <c:v>36838</c:v>
                </c:pt>
                <c:pt idx="1498">
                  <c:v>36839</c:v>
                </c:pt>
                <c:pt idx="1499">
                  <c:v>36840</c:v>
                </c:pt>
                <c:pt idx="1500">
                  <c:v>36843</c:v>
                </c:pt>
                <c:pt idx="1501">
                  <c:v>36844</c:v>
                </c:pt>
                <c:pt idx="1502">
                  <c:v>36845</c:v>
                </c:pt>
                <c:pt idx="1503">
                  <c:v>36846</c:v>
                </c:pt>
                <c:pt idx="1504">
                  <c:v>36847</c:v>
                </c:pt>
                <c:pt idx="1505">
                  <c:v>36850</c:v>
                </c:pt>
                <c:pt idx="1506">
                  <c:v>36851</c:v>
                </c:pt>
                <c:pt idx="1507">
                  <c:v>36852</c:v>
                </c:pt>
                <c:pt idx="1508">
                  <c:v>36854</c:v>
                </c:pt>
                <c:pt idx="1509">
                  <c:v>36857</c:v>
                </c:pt>
                <c:pt idx="1510">
                  <c:v>36858</c:v>
                </c:pt>
                <c:pt idx="1511">
                  <c:v>36859</c:v>
                </c:pt>
                <c:pt idx="1512">
                  <c:v>36860</c:v>
                </c:pt>
                <c:pt idx="1513">
                  <c:v>36861</c:v>
                </c:pt>
                <c:pt idx="1514">
                  <c:v>36864</c:v>
                </c:pt>
                <c:pt idx="1515">
                  <c:v>36865</c:v>
                </c:pt>
                <c:pt idx="1516">
                  <c:v>36866</c:v>
                </c:pt>
                <c:pt idx="1517">
                  <c:v>36867</c:v>
                </c:pt>
                <c:pt idx="1518">
                  <c:v>36868</c:v>
                </c:pt>
                <c:pt idx="1519">
                  <c:v>36871</c:v>
                </c:pt>
                <c:pt idx="1520">
                  <c:v>36872</c:v>
                </c:pt>
                <c:pt idx="1521">
                  <c:v>36873</c:v>
                </c:pt>
                <c:pt idx="1522">
                  <c:v>36874</c:v>
                </c:pt>
                <c:pt idx="1523">
                  <c:v>36875</c:v>
                </c:pt>
                <c:pt idx="1524">
                  <c:v>36878</c:v>
                </c:pt>
                <c:pt idx="1525">
                  <c:v>36879</c:v>
                </c:pt>
                <c:pt idx="1526">
                  <c:v>36880</c:v>
                </c:pt>
                <c:pt idx="1527">
                  <c:v>36881</c:v>
                </c:pt>
                <c:pt idx="1528">
                  <c:v>36882</c:v>
                </c:pt>
                <c:pt idx="1529">
                  <c:v>36886</c:v>
                </c:pt>
                <c:pt idx="1530">
                  <c:v>36887</c:v>
                </c:pt>
                <c:pt idx="1531">
                  <c:v>36888</c:v>
                </c:pt>
                <c:pt idx="1532">
                  <c:v>36889</c:v>
                </c:pt>
                <c:pt idx="1533">
                  <c:v>36893</c:v>
                </c:pt>
                <c:pt idx="1534">
                  <c:v>36894</c:v>
                </c:pt>
                <c:pt idx="1535">
                  <c:v>36895</c:v>
                </c:pt>
                <c:pt idx="1536">
                  <c:v>36896</c:v>
                </c:pt>
                <c:pt idx="1537">
                  <c:v>36899</c:v>
                </c:pt>
                <c:pt idx="1538">
                  <c:v>36900</c:v>
                </c:pt>
                <c:pt idx="1539">
                  <c:v>36901</c:v>
                </c:pt>
                <c:pt idx="1540">
                  <c:v>36902</c:v>
                </c:pt>
                <c:pt idx="1541">
                  <c:v>36903</c:v>
                </c:pt>
                <c:pt idx="1542">
                  <c:v>36907</c:v>
                </c:pt>
                <c:pt idx="1543">
                  <c:v>36908</c:v>
                </c:pt>
                <c:pt idx="1544">
                  <c:v>36909</c:v>
                </c:pt>
                <c:pt idx="1545">
                  <c:v>36910</c:v>
                </c:pt>
                <c:pt idx="1546">
                  <c:v>36913</c:v>
                </c:pt>
                <c:pt idx="1547">
                  <c:v>36914</c:v>
                </c:pt>
                <c:pt idx="1548">
                  <c:v>36915</c:v>
                </c:pt>
                <c:pt idx="1549">
                  <c:v>36916</c:v>
                </c:pt>
                <c:pt idx="1550">
                  <c:v>36917</c:v>
                </c:pt>
                <c:pt idx="1551">
                  <c:v>36920</c:v>
                </c:pt>
                <c:pt idx="1552">
                  <c:v>36921</c:v>
                </c:pt>
                <c:pt idx="1553">
                  <c:v>36922</c:v>
                </c:pt>
                <c:pt idx="1554">
                  <c:v>36923</c:v>
                </c:pt>
                <c:pt idx="1555">
                  <c:v>36924</c:v>
                </c:pt>
                <c:pt idx="1556">
                  <c:v>36927</c:v>
                </c:pt>
                <c:pt idx="1557">
                  <c:v>36928</c:v>
                </c:pt>
                <c:pt idx="1558">
                  <c:v>36929</c:v>
                </c:pt>
                <c:pt idx="1559">
                  <c:v>36930</c:v>
                </c:pt>
                <c:pt idx="1560">
                  <c:v>36931</c:v>
                </c:pt>
                <c:pt idx="1561">
                  <c:v>36934</c:v>
                </c:pt>
                <c:pt idx="1562">
                  <c:v>36935</c:v>
                </c:pt>
                <c:pt idx="1563">
                  <c:v>36936</c:v>
                </c:pt>
                <c:pt idx="1564">
                  <c:v>36937</c:v>
                </c:pt>
                <c:pt idx="1565">
                  <c:v>36938</c:v>
                </c:pt>
                <c:pt idx="1566">
                  <c:v>36942</c:v>
                </c:pt>
                <c:pt idx="1567">
                  <c:v>36943</c:v>
                </c:pt>
                <c:pt idx="1568">
                  <c:v>36944</c:v>
                </c:pt>
                <c:pt idx="1569">
                  <c:v>36945</c:v>
                </c:pt>
                <c:pt idx="1570">
                  <c:v>36948</c:v>
                </c:pt>
                <c:pt idx="1571">
                  <c:v>36949</c:v>
                </c:pt>
                <c:pt idx="1572">
                  <c:v>36950</c:v>
                </c:pt>
                <c:pt idx="1573">
                  <c:v>36951</c:v>
                </c:pt>
                <c:pt idx="1574">
                  <c:v>36952</c:v>
                </c:pt>
                <c:pt idx="1575">
                  <c:v>36955</c:v>
                </c:pt>
                <c:pt idx="1576">
                  <c:v>36956</c:v>
                </c:pt>
                <c:pt idx="1577">
                  <c:v>36957</c:v>
                </c:pt>
                <c:pt idx="1578">
                  <c:v>36958</c:v>
                </c:pt>
                <c:pt idx="1579">
                  <c:v>36959</c:v>
                </c:pt>
                <c:pt idx="1580">
                  <c:v>36962</c:v>
                </c:pt>
                <c:pt idx="1581">
                  <c:v>36963</c:v>
                </c:pt>
                <c:pt idx="1582">
                  <c:v>36964</c:v>
                </c:pt>
                <c:pt idx="1583">
                  <c:v>36965</c:v>
                </c:pt>
                <c:pt idx="1584">
                  <c:v>36966</c:v>
                </c:pt>
                <c:pt idx="1585">
                  <c:v>36969</c:v>
                </c:pt>
                <c:pt idx="1586">
                  <c:v>36970</c:v>
                </c:pt>
                <c:pt idx="1587">
                  <c:v>36971</c:v>
                </c:pt>
                <c:pt idx="1588">
                  <c:v>36972</c:v>
                </c:pt>
                <c:pt idx="1589">
                  <c:v>36973</c:v>
                </c:pt>
                <c:pt idx="1590">
                  <c:v>36976</c:v>
                </c:pt>
                <c:pt idx="1591">
                  <c:v>36977</c:v>
                </c:pt>
                <c:pt idx="1592">
                  <c:v>36978</c:v>
                </c:pt>
                <c:pt idx="1593">
                  <c:v>36979</c:v>
                </c:pt>
                <c:pt idx="1594">
                  <c:v>36980</c:v>
                </c:pt>
                <c:pt idx="1595">
                  <c:v>36983</c:v>
                </c:pt>
                <c:pt idx="1596">
                  <c:v>36984</c:v>
                </c:pt>
                <c:pt idx="1597">
                  <c:v>36985</c:v>
                </c:pt>
                <c:pt idx="1598">
                  <c:v>36986</c:v>
                </c:pt>
                <c:pt idx="1599">
                  <c:v>36987</c:v>
                </c:pt>
                <c:pt idx="1600">
                  <c:v>36990</c:v>
                </c:pt>
                <c:pt idx="1601">
                  <c:v>36991</c:v>
                </c:pt>
                <c:pt idx="1602">
                  <c:v>36992</c:v>
                </c:pt>
                <c:pt idx="1603">
                  <c:v>36993</c:v>
                </c:pt>
                <c:pt idx="1604">
                  <c:v>36997</c:v>
                </c:pt>
                <c:pt idx="1605">
                  <c:v>36998</c:v>
                </c:pt>
                <c:pt idx="1606">
                  <c:v>36999</c:v>
                </c:pt>
                <c:pt idx="1607">
                  <c:v>37000</c:v>
                </c:pt>
                <c:pt idx="1608">
                  <c:v>37001</c:v>
                </c:pt>
                <c:pt idx="1609">
                  <c:v>37004</c:v>
                </c:pt>
                <c:pt idx="1610">
                  <c:v>37005</c:v>
                </c:pt>
                <c:pt idx="1611">
                  <c:v>37006</c:v>
                </c:pt>
                <c:pt idx="1612">
                  <c:v>37007</c:v>
                </c:pt>
                <c:pt idx="1613">
                  <c:v>37008</c:v>
                </c:pt>
                <c:pt idx="1614">
                  <c:v>37011</c:v>
                </c:pt>
                <c:pt idx="1615">
                  <c:v>37012</c:v>
                </c:pt>
                <c:pt idx="1616">
                  <c:v>37013</c:v>
                </c:pt>
                <c:pt idx="1617">
                  <c:v>37014</c:v>
                </c:pt>
                <c:pt idx="1618">
                  <c:v>37015</c:v>
                </c:pt>
                <c:pt idx="1619">
                  <c:v>37018</c:v>
                </c:pt>
                <c:pt idx="1620">
                  <c:v>37019</c:v>
                </c:pt>
                <c:pt idx="1621">
                  <c:v>37020</c:v>
                </c:pt>
                <c:pt idx="1622">
                  <c:v>37021</c:v>
                </c:pt>
                <c:pt idx="1623">
                  <c:v>37022</c:v>
                </c:pt>
                <c:pt idx="1624">
                  <c:v>37025</c:v>
                </c:pt>
                <c:pt idx="1625">
                  <c:v>37026</c:v>
                </c:pt>
                <c:pt idx="1626">
                  <c:v>37027</c:v>
                </c:pt>
                <c:pt idx="1627">
                  <c:v>37028</c:v>
                </c:pt>
                <c:pt idx="1628">
                  <c:v>37029</c:v>
                </c:pt>
                <c:pt idx="1629">
                  <c:v>37032</c:v>
                </c:pt>
                <c:pt idx="1630">
                  <c:v>37033</c:v>
                </c:pt>
                <c:pt idx="1631">
                  <c:v>37034</c:v>
                </c:pt>
                <c:pt idx="1632">
                  <c:v>37035</c:v>
                </c:pt>
                <c:pt idx="1633">
                  <c:v>37036</c:v>
                </c:pt>
                <c:pt idx="1634">
                  <c:v>37040</c:v>
                </c:pt>
                <c:pt idx="1635">
                  <c:v>37041</c:v>
                </c:pt>
                <c:pt idx="1636">
                  <c:v>37042</c:v>
                </c:pt>
                <c:pt idx="1637">
                  <c:v>37043</c:v>
                </c:pt>
                <c:pt idx="1638">
                  <c:v>37046</c:v>
                </c:pt>
                <c:pt idx="1639">
                  <c:v>37047</c:v>
                </c:pt>
                <c:pt idx="1640">
                  <c:v>37048</c:v>
                </c:pt>
                <c:pt idx="1641">
                  <c:v>37049</c:v>
                </c:pt>
                <c:pt idx="1642">
                  <c:v>37050</c:v>
                </c:pt>
                <c:pt idx="1643">
                  <c:v>37053</c:v>
                </c:pt>
                <c:pt idx="1644">
                  <c:v>37054</c:v>
                </c:pt>
                <c:pt idx="1645">
                  <c:v>37055</c:v>
                </c:pt>
                <c:pt idx="1646">
                  <c:v>37056</c:v>
                </c:pt>
                <c:pt idx="1647">
                  <c:v>37057</c:v>
                </c:pt>
                <c:pt idx="1648">
                  <c:v>37060</c:v>
                </c:pt>
                <c:pt idx="1649">
                  <c:v>37061</c:v>
                </c:pt>
                <c:pt idx="1650">
                  <c:v>37062</c:v>
                </c:pt>
                <c:pt idx="1651">
                  <c:v>37063</c:v>
                </c:pt>
                <c:pt idx="1652">
                  <c:v>37064</c:v>
                </c:pt>
                <c:pt idx="1653">
                  <c:v>37067</c:v>
                </c:pt>
                <c:pt idx="1654">
                  <c:v>37068</c:v>
                </c:pt>
                <c:pt idx="1655">
                  <c:v>37069</c:v>
                </c:pt>
                <c:pt idx="1656">
                  <c:v>37070</c:v>
                </c:pt>
                <c:pt idx="1657">
                  <c:v>37071</c:v>
                </c:pt>
                <c:pt idx="1658">
                  <c:v>37074</c:v>
                </c:pt>
                <c:pt idx="1659">
                  <c:v>37075</c:v>
                </c:pt>
                <c:pt idx="1660">
                  <c:v>37077</c:v>
                </c:pt>
                <c:pt idx="1661">
                  <c:v>37078</c:v>
                </c:pt>
                <c:pt idx="1662">
                  <c:v>37081</c:v>
                </c:pt>
                <c:pt idx="1663">
                  <c:v>37082</c:v>
                </c:pt>
                <c:pt idx="1664">
                  <c:v>37083</c:v>
                </c:pt>
                <c:pt idx="1665">
                  <c:v>37084</c:v>
                </c:pt>
                <c:pt idx="1666">
                  <c:v>37085</c:v>
                </c:pt>
                <c:pt idx="1667">
                  <c:v>37088</c:v>
                </c:pt>
                <c:pt idx="1668">
                  <c:v>37089</c:v>
                </c:pt>
                <c:pt idx="1669">
                  <c:v>37090</c:v>
                </c:pt>
                <c:pt idx="1670">
                  <c:v>37091</c:v>
                </c:pt>
                <c:pt idx="1671">
                  <c:v>37092</c:v>
                </c:pt>
                <c:pt idx="1672">
                  <c:v>37095</c:v>
                </c:pt>
                <c:pt idx="1673">
                  <c:v>37096</c:v>
                </c:pt>
                <c:pt idx="1674">
                  <c:v>37097</c:v>
                </c:pt>
                <c:pt idx="1675">
                  <c:v>37098</c:v>
                </c:pt>
                <c:pt idx="1676">
                  <c:v>37099</c:v>
                </c:pt>
                <c:pt idx="1677">
                  <c:v>37102</c:v>
                </c:pt>
                <c:pt idx="1678">
                  <c:v>37103</c:v>
                </c:pt>
                <c:pt idx="1679">
                  <c:v>37104</c:v>
                </c:pt>
                <c:pt idx="1680">
                  <c:v>37105</c:v>
                </c:pt>
                <c:pt idx="1681">
                  <c:v>37106</c:v>
                </c:pt>
                <c:pt idx="1682">
                  <c:v>37109</c:v>
                </c:pt>
                <c:pt idx="1683">
                  <c:v>37110</c:v>
                </c:pt>
                <c:pt idx="1684">
                  <c:v>37111</c:v>
                </c:pt>
                <c:pt idx="1685">
                  <c:v>37112</c:v>
                </c:pt>
                <c:pt idx="1686">
                  <c:v>37113</c:v>
                </c:pt>
                <c:pt idx="1687">
                  <c:v>37116</c:v>
                </c:pt>
                <c:pt idx="1688">
                  <c:v>37117</c:v>
                </c:pt>
                <c:pt idx="1689">
                  <c:v>37118</c:v>
                </c:pt>
                <c:pt idx="1690">
                  <c:v>37119</c:v>
                </c:pt>
                <c:pt idx="1691">
                  <c:v>37120</c:v>
                </c:pt>
                <c:pt idx="1692">
                  <c:v>37123</c:v>
                </c:pt>
                <c:pt idx="1693">
                  <c:v>37124</c:v>
                </c:pt>
                <c:pt idx="1694">
                  <c:v>37125</c:v>
                </c:pt>
                <c:pt idx="1695">
                  <c:v>37126</c:v>
                </c:pt>
                <c:pt idx="1696">
                  <c:v>37127</c:v>
                </c:pt>
                <c:pt idx="1697">
                  <c:v>37130</c:v>
                </c:pt>
                <c:pt idx="1698">
                  <c:v>37131</c:v>
                </c:pt>
                <c:pt idx="1699">
                  <c:v>37132</c:v>
                </c:pt>
                <c:pt idx="1700">
                  <c:v>37133</c:v>
                </c:pt>
                <c:pt idx="1701">
                  <c:v>37134</c:v>
                </c:pt>
                <c:pt idx="1702">
                  <c:v>37138</c:v>
                </c:pt>
                <c:pt idx="1703">
                  <c:v>37139</c:v>
                </c:pt>
                <c:pt idx="1704">
                  <c:v>37140</c:v>
                </c:pt>
                <c:pt idx="1705">
                  <c:v>37141</c:v>
                </c:pt>
                <c:pt idx="1706">
                  <c:v>37144</c:v>
                </c:pt>
                <c:pt idx="1707">
                  <c:v>37151</c:v>
                </c:pt>
                <c:pt idx="1708">
                  <c:v>37152</c:v>
                </c:pt>
                <c:pt idx="1709">
                  <c:v>37153</c:v>
                </c:pt>
                <c:pt idx="1710">
                  <c:v>37154</c:v>
                </c:pt>
                <c:pt idx="1711">
                  <c:v>37155</c:v>
                </c:pt>
                <c:pt idx="1712">
                  <c:v>37158</c:v>
                </c:pt>
                <c:pt idx="1713">
                  <c:v>37159</c:v>
                </c:pt>
                <c:pt idx="1714">
                  <c:v>37160</c:v>
                </c:pt>
                <c:pt idx="1715">
                  <c:v>37161</c:v>
                </c:pt>
                <c:pt idx="1716">
                  <c:v>37162</c:v>
                </c:pt>
                <c:pt idx="1717">
                  <c:v>37165</c:v>
                </c:pt>
                <c:pt idx="1718">
                  <c:v>37166</c:v>
                </c:pt>
                <c:pt idx="1719">
                  <c:v>37167</c:v>
                </c:pt>
                <c:pt idx="1720">
                  <c:v>37168</c:v>
                </c:pt>
                <c:pt idx="1721">
                  <c:v>37169</c:v>
                </c:pt>
                <c:pt idx="1722">
                  <c:v>37172</c:v>
                </c:pt>
                <c:pt idx="1723">
                  <c:v>37173</c:v>
                </c:pt>
                <c:pt idx="1724">
                  <c:v>37174</c:v>
                </c:pt>
                <c:pt idx="1725">
                  <c:v>37175</c:v>
                </c:pt>
                <c:pt idx="1726">
                  <c:v>37176</c:v>
                </c:pt>
                <c:pt idx="1727">
                  <c:v>37179</c:v>
                </c:pt>
                <c:pt idx="1728">
                  <c:v>37180</c:v>
                </c:pt>
                <c:pt idx="1729">
                  <c:v>37181</c:v>
                </c:pt>
                <c:pt idx="1730">
                  <c:v>37182</c:v>
                </c:pt>
                <c:pt idx="1731">
                  <c:v>37183</c:v>
                </c:pt>
                <c:pt idx="1732">
                  <c:v>37186</c:v>
                </c:pt>
                <c:pt idx="1733">
                  <c:v>37187</c:v>
                </c:pt>
                <c:pt idx="1734">
                  <c:v>37188</c:v>
                </c:pt>
                <c:pt idx="1735">
                  <c:v>37189</c:v>
                </c:pt>
                <c:pt idx="1736">
                  <c:v>37190</c:v>
                </c:pt>
                <c:pt idx="1737">
                  <c:v>37193</c:v>
                </c:pt>
                <c:pt idx="1738">
                  <c:v>37194</c:v>
                </c:pt>
                <c:pt idx="1739">
                  <c:v>37195</c:v>
                </c:pt>
                <c:pt idx="1740">
                  <c:v>37196</c:v>
                </c:pt>
                <c:pt idx="1741">
                  <c:v>37197</c:v>
                </c:pt>
                <c:pt idx="1742">
                  <c:v>37200</c:v>
                </c:pt>
                <c:pt idx="1743">
                  <c:v>37201</c:v>
                </c:pt>
                <c:pt idx="1744">
                  <c:v>37202</c:v>
                </c:pt>
                <c:pt idx="1745">
                  <c:v>37203</c:v>
                </c:pt>
                <c:pt idx="1746">
                  <c:v>37204</c:v>
                </c:pt>
                <c:pt idx="1747">
                  <c:v>37207</c:v>
                </c:pt>
                <c:pt idx="1748">
                  <c:v>37208</c:v>
                </c:pt>
                <c:pt idx="1749">
                  <c:v>37209</c:v>
                </c:pt>
                <c:pt idx="1750">
                  <c:v>37210</c:v>
                </c:pt>
                <c:pt idx="1751">
                  <c:v>37211</c:v>
                </c:pt>
                <c:pt idx="1752">
                  <c:v>37214</c:v>
                </c:pt>
                <c:pt idx="1753">
                  <c:v>37215</c:v>
                </c:pt>
                <c:pt idx="1754">
                  <c:v>37216</c:v>
                </c:pt>
                <c:pt idx="1755">
                  <c:v>37218</c:v>
                </c:pt>
                <c:pt idx="1756">
                  <c:v>37221</c:v>
                </c:pt>
                <c:pt idx="1757">
                  <c:v>37222</c:v>
                </c:pt>
                <c:pt idx="1758">
                  <c:v>37223</c:v>
                </c:pt>
                <c:pt idx="1759">
                  <c:v>37224</c:v>
                </c:pt>
                <c:pt idx="1760">
                  <c:v>37225</c:v>
                </c:pt>
                <c:pt idx="1761">
                  <c:v>37228</c:v>
                </c:pt>
                <c:pt idx="1762">
                  <c:v>37229</c:v>
                </c:pt>
                <c:pt idx="1763">
                  <c:v>37230</c:v>
                </c:pt>
                <c:pt idx="1764">
                  <c:v>37231</c:v>
                </c:pt>
                <c:pt idx="1765">
                  <c:v>37232</c:v>
                </c:pt>
                <c:pt idx="1766">
                  <c:v>37235</c:v>
                </c:pt>
                <c:pt idx="1767">
                  <c:v>37236</c:v>
                </c:pt>
                <c:pt idx="1768">
                  <c:v>37237</c:v>
                </c:pt>
                <c:pt idx="1769">
                  <c:v>37238</c:v>
                </c:pt>
                <c:pt idx="1770">
                  <c:v>37239</c:v>
                </c:pt>
                <c:pt idx="1771">
                  <c:v>37242</c:v>
                </c:pt>
                <c:pt idx="1772">
                  <c:v>37243</c:v>
                </c:pt>
                <c:pt idx="1773">
                  <c:v>37244</c:v>
                </c:pt>
                <c:pt idx="1774">
                  <c:v>37245</c:v>
                </c:pt>
                <c:pt idx="1775">
                  <c:v>37246</c:v>
                </c:pt>
                <c:pt idx="1776">
                  <c:v>37249</c:v>
                </c:pt>
                <c:pt idx="1777">
                  <c:v>37251</c:v>
                </c:pt>
                <c:pt idx="1778">
                  <c:v>37252</c:v>
                </c:pt>
                <c:pt idx="1779">
                  <c:v>37253</c:v>
                </c:pt>
                <c:pt idx="1780">
                  <c:v>37256</c:v>
                </c:pt>
                <c:pt idx="1781">
                  <c:v>37258</c:v>
                </c:pt>
                <c:pt idx="1782">
                  <c:v>37259</c:v>
                </c:pt>
                <c:pt idx="1783">
                  <c:v>37260</c:v>
                </c:pt>
                <c:pt idx="1784">
                  <c:v>37263</c:v>
                </c:pt>
                <c:pt idx="1785">
                  <c:v>37264</c:v>
                </c:pt>
                <c:pt idx="1786">
                  <c:v>37265</c:v>
                </c:pt>
                <c:pt idx="1787">
                  <c:v>37266</c:v>
                </c:pt>
                <c:pt idx="1788">
                  <c:v>37267</c:v>
                </c:pt>
                <c:pt idx="1789">
                  <c:v>37270</c:v>
                </c:pt>
                <c:pt idx="1790">
                  <c:v>37271</c:v>
                </c:pt>
                <c:pt idx="1791">
                  <c:v>37272</c:v>
                </c:pt>
                <c:pt idx="1792">
                  <c:v>37273</c:v>
                </c:pt>
                <c:pt idx="1793">
                  <c:v>37274</c:v>
                </c:pt>
                <c:pt idx="1794">
                  <c:v>37278</c:v>
                </c:pt>
                <c:pt idx="1795">
                  <c:v>37279</c:v>
                </c:pt>
                <c:pt idx="1796">
                  <c:v>37280</c:v>
                </c:pt>
                <c:pt idx="1797">
                  <c:v>37281</c:v>
                </c:pt>
                <c:pt idx="1798">
                  <c:v>37284</c:v>
                </c:pt>
                <c:pt idx="1799">
                  <c:v>37285</c:v>
                </c:pt>
                <c:pt idx="1800">
                  <c:v>37286</c:v>
                </c:pt>
                <c:pt idx="1801">
                  <c:v>37287</c:v>
                </c:pt>
                <c:pt idx="1802">
                  <c:v>37288</c:v>
                </c:pt>
                <c:pt idx="1803">
                  <c:v>37291</c:v>
                </c:pt>
                <c:pt idx="1804">
                  <c:v>37292</c:v>
                </c:pt>
                <c:pt idx="1805">
                  <c:v>37293</c:v>
                </c:pt>
                <c:pt idx="1806">
                  <c:v>37294</c:v>
                </c:pt>
                <c:pt idx="1807">
                  <c:v>37295</c:v>
                </c:pt>
                <c:pt idx="1808">
                  <c:v>37298</c:v>
                </c:pt>
                <c:pt idx="1809">
                  <c:v>37299</c:v>
                </c:pt>
                <c:pt idx="1810">
                  <c:v>37300</c:v>
                </c:pt>
                <c:pt idx="1811">
                  <c:v>37301</c:v>
                </c:pt>
                <c:pt idx="1812">
                  <c:v>37302</c:v>
                </c:pt>
                <c:pt idx="1813">
                  <c:v>37306</c:v>
                </c:pt>
                <c:pt idx="1814">
                  <c:v>37307</c:v>
                </c:pt>
                <c:pt idx="1815">
                  <c:v>37308</c:v>
                </c:pt>
                <c:pt idx="1816">
                  <c:v>37309</c:v>
                </c:pt>
                <c:pt idx="1817">
                  <c:v>37312</c:v>
                </c:pt>
                <c:pt idx="1818">
                  <c:v>37313</c:v>
                </c:pt>
                <c:pt idx="1819">
                  <c:v>37314</c:v>
                </c:pt>
                <c:pt idx="1820">
                  <c:v>37315</c:v>
                </c:pt>
                <c:pt idx="1821">
                  <c:v>37316</c:v>
                </c:pt>
                <c:pt idx="1822">
                  <c:v>37319</c:v>
                </c:pt>
                <c:pt idx="1823">
                  <c:v>37320</c:v>
                </c:pt>
                <c:pt idx="1824">
                  <c:v>37321</c:v>
                </c:pt>
                <c:pt idx="1825">
                  <c:v>37322</c:v>
                </c:pt>
                <c:pt idx="1826">
                  <c:v>37323</c:v>
                </c:pt>
                <c:pt idx="1827">
                  <c:v>37326</c:v>
                </c:pt>
                <c:pt idx="1828">
                  <c:v>37327</c:v>
                </c:pt>
                <c:pt idx="1829">
                  <c:v>37328</c:v>
                </c:pt>
                <c:pt idx="1830">
                  <c:v>37329</c:v>
                </c:pt>
                <c:pt idx="1831">
                  <c:v>37330</c:v>
                </c:pt>
                <c:pt idx="1832">
                  <c:v>37333</c:v>
                </c:pt>
                <c:pt idx="1833">
                  <c:v>37334</c:v>
                </c:pt>
                <c:pt idx="1834">
                  <c:v>37335</c:v>
                </c:pt>
                <c:pt idx="1835">
                  <c:v>37336</c:v>
                </c:pt>
                <c:pt idx="1836">
                  <c:v>37337</c:v>
                </c:pt>
                <c:pt idx="1837">
                  <c:v>37340</c:v>
                </c:pt>
                <c:pt idx="1838">
                  <c:v>37341</c:v>
                </c:pt>
                <c:pt idx="1839">
                  <c:v>37342</c:v>
                </c:pt>
                <c:pt idx="1840">
                  <c:v>37343</c:v>
                </c:pt>
                <c:pt idx="1841">
                  <c:v>37347</c:v>
                </c:pt>
                <c:pt idx="1842">
                  <c:v>37348</c:v>
                </c:pt>
                <c:pt idx="1843">
                  <c:v>37349</c:v>
                </c:pt>
                <c:pt idx="1844">
                  <c:v>37350</c:v>
                </c:pt>
                <c:pt idx="1845">
                  <c:v>37351</c:v>
                </c:pt>
                <c:pt idx="1846">
                  <c:v>37354</c:v>
                </c:pt>
                <c:pt idx="1847">
                  <c:v>37355</c:v>
                </c:pt>
                <c:pt idx="1848">
                  <c:v>37356</c:v>
                </c:pt>
                <c:pt idx="1849">
                  <c:v>37357</c:v>
                </c:pt>
                <c:pt idx="1850">
                  <c:v>37358</c:v>
                </c:pt>
                <c:pt idx="1851">
                  <c:v>37361</c:v>
                </c:pt>
                <c:pt idx="1852">
                  <c:v>37362</c:v>
                </c:pt>
                <c:pt idx="1853">
                  <c:v>37363</c:v>
                </c:pt>
                <c:pt idx="1854">
                  <c:v>37364</c:v>
                </c:pt>
                <c:pt idx="1855">
                  <c:v>37365</c:v>
                </c:pt>
                <c:pt idx="1856">
                  <c:v>37368</c:v>
                </c:pt>
                <c:pt idx="1857">
                  <c:v>37369</c:v>
                </c:pt>
                <c:pt idx="1858">
                  <c:v>37370</c:v>
                </c:pt>
                <c:pt idx="1859">
                  <c:v>37371</c:v>
                </c:pt>
                <c:pt idx="1860">
                  <c:v>37372</c:v>
                </c:pt>
                <c:pt idx="1861">
                  <c:v>37375</c:v>
                </c:pt>
                <c:pt idx="1862">
                  <c:v>37376</c:v>
                </c:pt>
                <c:pt idx="1863">
                  <c:v>37377</c:v>
                </c:pt>
                <c:pt idx="1864">
                  <c:v>37378</c:v>
                </c:pt>
                <c:pt idx="1865">
                  <c:v>37379</c:v>
                </c:pt>
                <c:pt idx="1866">
                  <c:v>37382</c:v>
                </c:pt>
                <c:pt idx="1867">
                  <c:v>37383</c:v>
                </c:pt>
                <c:pt idx="1868">
                  <c:v>37384</c:v>
                </c:pt>
                <c:pt idx="1869">
                  <c:v>37385</c:v>
                </c:pt>
                <c:pt idx="1870">
                  <c:v>37386</c:v>
                </c:pt>
                <c:pt idx="1871">
                  <c:v>37389</c:v>
                </c:pt>
                <c:pt idx="1872">
                  <c:v>37390</c:v>
                </c:pt>
                <c:pt idx="1873">
                  <c:v>37391</c:v>
                </c:pt>
                <c:pt idx="1874">
                  <c:v>37392</c:v>
                </c:pt>
                <c:pt idx="1875">
                  <c:v>37393</c:v>
                </c:pt>
                <c:pt idx="1876">
                  <c:v>37396</c:v>
                </c:pt>
                <c:pt idx="1877">
                  <c:v>37397</c:v>
                </c:pt>
                <c:pt idx="1878">
                  <c:v>37398</c:v>
                </c:pt>
                <c:pt idx="1879">
                  <c:v>37399</c:v>
                </c:pt>
                <c:pt idx="1880">
                  <c:v>37400</c:v>
                </c:pt>
                <c:pt idx="1881">
                  <c:v>37404</c:v>
                </c:pt>
                <c:pt idx="1882">
                  <c:v>37405</c:v>
                </c:pt>
                <c:pt idx="1883">
                  <c:v>37406</c:v>
                </c:pt>
                <c:pt idx="1884">
                  <c:v>37407</c:v>
                </c:pt>
                <c:pt idx="1885">
                  <c:v>37410</c:v>
                </c:pt>
                <c:pt idx="1886">
                  <c:v>37411</c:v>
                </c:pt>
                <c:pt idx="1887">
                  <c:v>37412</c:v>
                </c:pt>
                <c:pt idx="1888">
                  <c:v>37413</c:v>
                </c:pt>
                <c:pt idx="1889">
                  <c:v>37414</c:v>
                </c:pt>
                <c:pt idx="1890">
                  <c:v>37417</c:v>
                </c:pt>
                <c:pt idx="1891">
                  <c:v>37418</c:v>
                </c:pt>
                <c:pt idx="1892">
                  <c:v>37419</c:v>
                </c:pt>
                <c:pt idx="1893">
                  <c:v>37420</c:v>
                </c:pt>
                <c:pt idx="1894">
                  <c:v>37421</c:v>
                </c:pt>
                <c:pt idx="1895">
                  <c:v>37424</c:v>
                </c:pt>
                <c:pt idx="1896">
                  <c:v>37425</c:v>
                </c:pt>
                <c:pt idx="1897">
                  <c:v>37426</c:v>
                </c:pt>
                <c:pt idx="1898">
                  <c:v>37427</c:v>
                </c:pt>
                <c:pt idx="1899">
                  <c:v>37428</c:v>
                </c:pt>
                <c:pt idx="1900">
                  <c:v>37431</c:v>
                </c:pt>
                <c:pt idx="1901">
                  <c:v>37432</c:v>
                </c:pt>
                <c:pt idx="1902">
                  <c:v>37433</c:v>
                </c:pt>
                <c:pt idx="1903">
                  <c:v>37434</c:v>
                </c:pt>
                <c:pt idx="1904">
                  <c:v>37435</c:v>
                </c:pt>
                <c:pt idx="1905">
                  <c:v>37438</c:v>
                </c:pt>
                <c:pt idx="1906">
                  <c:v>37439</c:v>
                </c:pt>
                <c:pt idx="1907">
                  <c:v>37440</c:v>
                </c:pt>
                <c:pt idx="1908">
                  <c:v>37442</c:v>
                </c:pt>
                <c:pt idx="1909">
                  <c:v>37445</c:v>
                </c:pt>
                <c:pt idx="1910">
                  <c:v>37446</c:v>
                </c:pt>
                <c:pt idx="1911">
                  <c:v>37447</c:v>
                </c:pt>
                <c:pt idx="1912">
                  <c:v>37448</c:v>
                </c:pt>
                <c:pt idx="1913">
                  <c:v>37449</c:v>
                </c:pt>
                <c:pt idx="1914">
                  <c:v>37452</c:v>
                </c:pt>
                <c:pt idx="1915">
                  <c:v>37453</c:v>
                </c:pt>
                <c:pt idx="1916">
                  <c:v>37454</c:v>
                </c:pt>
                <c:pt idx="1917">
                  <c:v>37455</c:v>
                </c:pt>
                <c:pt idx="1918">
                  <c:v>37456</c:v>
                </c:pt>
                <c:pt idx="1919">
                  <c:v>37459</c:v>
                </c:pt>
                <c:pt idx="1920">
                  <c:v>37460</c:v>
                </c:pt>
                <c:pt idx="1921">
                  <c:v>37461</c:v>
                </c:pt>
                <c:pt idx="1922">
                  <c:v>37462</c:v>
                </c:pt>
                <c:pt idx="1923">
                  <c:v>37463</c:v>
                </c:pt>
                <c:pt idx="1924">
                  <c:v>37466</c:v>
                </c:pt>
                <c:pt idx="1925">
                  <c:v>37467</c:v>
                </c:pt>
                <c:pt idx="1926">
                  <c:v>37468</c:v>
                </c:pt>
                <c:pt idx="1927">
                  <c:v>37469</c:v>
                </c:pt>
                <c:pt idx="1928">
                  <c:v>37470</c:v>
                </c:pt>
                <c:pt idx="1929">
                  <c:v>37473</c:v>
                </c:pt>
                <c:pt idx="1930">
                  <c:v>37474</c:v>
                </c:pt>
                <c:pt idx="1931">
                  <c:v>37475</c:v>
                </c:pt>
                <c:pt idx="1932">
                  <c:v>37476</c:v>
                </c:pt>
                <c:pt idx="1933">
                  <c:v>37477</c:v>
                </c:pt>
                <c:pt idx="1934">
                  <c:v>37480</c:v>
                </c:pt>
                <c:pt idx="1935">
                  <c:v>37481</c:v>
                </c:pt>
                <c:pt idx="1936">
                  <c:v>37482</c:v>
                </c:pt>
                <c:pt idx="1937">
                  <c:v>37483</c:v>
                </c:pt>
                <c:pt idx="1938">
                  <c:v>37484</c:v>
                </c:pt>
                <c:pt idx="1939">
                  <c:v>37487</c:v>
                </c:pt>
                <c:pt idx="1940">
                  <c:v>37488</c:v>
                </c:pt>
                <c:pt idx="1941">
                  <c:v>37489</c:v>
                </c:pt>
                <c:pt idx="1942">
                  <c:v>37490</c:v>
                </c:pt>
                <c:pt idx="1943">
                  <c:v>37491</c:v>
                </c:pt>
                <c:pt idx="1944">
                  <c:v>37494</c:v>
                </c:pt>
                <c:pt idx="1945">
                  <c:v>37495</c:v>
                </c:pt>
                <c:pt idx="1946">
                  <c:v>37496</c:v>
                </c:pt>
                <c:pt idx="1947">
                  <c:v>37497</c:v>
                </c:pt>
                <c:pt idx="1948">
                  <c:v>37498</c:v>
                </c:pt>
                <c:pt idx="1949">
                  <c:v>37502</c:v>
                </c:pt>
                <c:pt idx="1950">
                  <c:v>37503</c:v>
                </c:pt>
                <c:pt idx="1951">
                  <c:v>37504</c:v>
                </c:pt>
                <c:pt idx="1952">
                  <c:v>37505</c:v>
                </c:pt>
                <c:pt idx="1953">
                  <c:v>37508</c:v>
                </c:pt>
                <c:pt idx="1954">
                  <c:v>37509</c:v>
                </c:pt>
                <c:pt idx="1955">
                  <c:v>37510</c:v>
                </c:pt>
                <c:pt idx="1956">
                  <c:v>37511</c:v>
                </c:pt>
                <c:pt idx="1957">
                  <c:v>37512</c:v>
                </c:pt>
                <c:pt idx="1958">
                  <c:v>37515</c:v>
                </c:pt>
                <c:pt idx="1959">
                  <c:v>37516</c:v>
                </c:pt>
                <c:pt idx="1960">
                  <c:v>37517</c:v>
                </c:pt>
                <c:pt idx="1961">
                  <c:v>37518</c:v>
                </c:pt>
                <c:pt idx="1962">
                  <c:v>37519</c:v>
                </c:pt>
                <c:pt idx="1963">
                  <c:v>37522</c:v>
                </c:pt>
                <c:pt idx="1964">
                  <c:v>37523</c:v>
                </c:pt>
                <c:pt idx="1965">
                  <c:v>37524</c:v>
                </c:pt>
                <c:pt idx="1966">
                  <c:v>37525</c:v>
                </c:pt>
                <c:pt idx="1967">
                  <c:v>37526</c:v>
                </c:pt>
                <c:pt idx="1968">
                  <c:v>37529</c:v>
                </c:pt>
                <c:pt idx="1969">
                  <c:v>37530</c:v>
                </c:pt>
                <c:pt idx="1970">
                  <c:v>37531</c:v>
                </c:pt>
                <c:pt idx="1971">
                  <c:v>37532</c:v>
                </c:pt>
                <c:pt idx="1972">
                  <c:v>37533</c:v>
                </c:pt>
                <c:pt idx="1973">
                  <c:v>37536</c:v>
                </c:pt>
                <c:pt idx="1974">
                  <c:v>37537</c:v>
                </c:pt>
                <c:pt idx="1975">
                  <c:v>37538</c:v>
                </c:pt>
                <c:pt idx="1976">
                  <c:v>37539</c:v>
                </c:pt>
                <c:pt idx="1977">
                  <c:v>37540</c:v>
                </c:pt>
                <c:pt idx="1978">
                  <c:v>37543</c:v>
                </c:pt>
                <c:pt idx="1979">
                  <c:v>37544</c:v>
                </c:pt>
                <c:pt idx="1980">
                  <c:v>37545</c:v>
                </c:pt>
                <c:pt idx="1981">
                  <c:v>37546</c:v>
                </c:pt>
                <c:pt idx="1982">
                  <c:v>37547</c:v>
                </c:pt>
                <c:pt idx="1983">
                  <c:v>37550</c:v>
                </c:pt>
                <c:pt idx="1984">
                  <c:v>37551</c:v>
                </c:pt>
                <c:pt idx="1985">
                  <c:v>37552</c:v>
                </c:pt>
                <c:pt idx="1986">
                  <c:v>37553</c:v>
                </c:pt>
                <c:pt idx="1987">
                  <c:v>37554</c:v>
                </c:pt>
                <c:pt idx="1988">
                  <c:v>37557</c:v>
                </c:pt>
                <c:pt idx="1989">
                  <c:v>37558</c:v>
                </c:pt>
                <c:pt idx="1990">
                  <c:v>37559</c:v>
                </c:pt>
                <c:pt idx="1991">
                  <c:v>37560</c:v>
                </c:pt>
                <c:pt idx="1992">
                  <c:v>37561</c:v>
                </c:pt>
                <c:pt idx="1993">
                  <c:v>37564</c:v>
                </c:pt>
                <c:pt idx="1994">
                  <c:v>37565</c:v>
                </c:pt>
                <c:pt idx="1995">
                  <c:v>37566</c:v>
                </c:pt>
                <c:pt idx="1996">
                  <c:v>37567</c:v>
                </c:pt>
                <c:pt idx="1997">
                  <c:v>37568</c:v>
                </c:pt>
                <c:pt idx="1998">
                  <c:v>37571</c:v>
                </c:pt>
                <c:pt idx="1999">
                  <c:v>37572</c:v>
                </c:pt>
                <c:pt idx="2000">
                  <c:v>37573</c:v>
                </c:pt>
                <c:pt idx="2001">
                  <c:v>37574</c:v>
                </c:pt>
                <c:pt idx="2002">
                  <c:v>37575</c:v>
                </c:pt>
                <c:pt idx="2003">
                  <c:v>37578</c:v>
                </c:pt>
                <c:pt idx="2004">
                  <c:v>37579</c:v>
                </c:pt>
                <c:pt idx="2005">
                  <c:v>37580</c:v>
                </c:pt>
                <c:pt idx="2006">
                  <c:v>37581</c:v>
                </c:pt>
                <c:pt idx="2007">
                  <c:v>37582</c:v>
                </c:pt>
                <c:pt idx="2008">
                  <c:v>37585</c:v>
                </c:pt>
                <c:pt idx="2009">
                  <c:v>37586</c:v>
                </c:pt>
                <c:pt idx="2010">
                  <c:v>37587</c:v>
                </c:pt>
                <c:pt idx="2011">
                  <c:v>37589</c:v>
                </c:pt>
                <c:pt idx="2012">
                  <c:v>37592</c:v>
                </c:pt>
                <c:pt idx="2013">
                  <c:v>37593</c:v>
                </c:pt>
                <c:pt idx="2014">
                  <c:v>37594</c:v>
                </c:pt>
                <c:pt idx="2015">
                  <c:v>37595</c:v>
                </c:pt>
                <c:pt idx="2016">
                  <c:v>37596</c:v>
                </c:pt>
                <c:pt idx="2017">
                  <c:v>37599</c:v>
                </c:pt>
                <c:pt idx="2018">
                  <c:v>37600</c:v>
                </c:pt>
                <c:pt idx="2019">
                  <c:v>37601</c:v>
                </c:pt>
                <c:pt idx="2020">
                  <c:v>37602</c:v>
                </c:pt>
                <c:pt idx="2021">
                  <c:v>37603</c:v>
                </c:pt>
                <c:pt idx="2022">
                  <c:v>37606</c:v>
                </c:pt>
                <c:pt idx="2023">
                  <c:v>37607</c:v>
                </c:pt>
                <c:pt idx="2024">
                  <c:v>37608</c:v>
                </c:pt>
                <c:pt idx="2025">
                  <c:v>37609</c:v>
                </c:pt>
                <c:pt idx="2026">
                  <c:v>37610</c:v>
                </c:pt>
                <c:pt idx="2027">
                  <c:v>37613</c:v>
                </c:pt>
                <c:pt idx="2028">
                  <c:v>37614</c:v>
                </c:pt>
                <c:pt idx="2029">
                  <c:v>37616</c:v>
                </c:pt>
                <c:pt idx="2030">
                  <c:v>37617</c:v>
                </c:pt>
                <c:pt idx="2031">
                  <c:v>37620</c:v>
                </c:pt>
                <c:pt idx="2032">
                  <c:v>37621</c:v>
                </c:pt>
                <c:pt idx="2033">
                  <c:v>37623</c:v>
                </c:pt>
                <c:pt idx="2034">
                  <c:v>37624</c:v>
                </c:pt>
                <c:pt idx="2035">
                  <c:v>37627</c:v>
                </c:pt>
                <c:pt idx="2036">
                  <c:v>37628</c:v>
                </c:pt>
                <c:pt idx="2037">
                  <c:v>37629</c:v>
                </c:pt>
                <c:pt idx="2038">
                  <c:v>37630</c:v>
                </c:pt>
                <c:pt idx="2039">
                  <c:v>37631</c:v>
                </c:pt>
                <c:pt idx="2040">
                  <c:v>37634</c:v>
                </c:pt>
                <c:pt idx="2041">
                  <c:v>37635</c:v>
                </c:pt>
                <c:pt idx="2042">
                  <c:v>37636</c:v>
                </c:pt>
                <c:pt idx="2043">
                  <c:v>37637</c:v>
                </c:pt>
                <c:pt idx="2044">
                  <c:v>37638</c:v>
                </c:pt>
                <c:pt idx="2045">
                  <c:v>37642</c:v>
                </c:pt>
                <c:pt idx="2046">
                  <c:v>37643</c:v>
                </c:pt>
                <c:pt idx="2047">
                  <c:v>37644</c:v>
                </c:pt>
                <c:pt idx="2048">
                  <c:v>37645</c:v>
                </c:pt>
                <c:pt idx="2049">
                  <c:v>37648</c:v>
                </c:pt>
                <c:pt idx="2050">
                  <c:v>37649</c:v>
                </c:pt>
                <c:pt idx="2051">
                  <c:v>37650</c:v>
                </c:pt>
                <c:pt idx="2052">
                  <c:v>37651</c:v>
                </c:pt>
                <c:pt idx="2053">
                  <c:v>37652</c:v>
                </c:pt>
                <c:pt idx="2054">
                  <c:v>37655</c:v>
                </c:pt>
                <c:pt idx="2055">
                  <c:v>37656</c:v>
                </c:pt>
                <c:pt idx="2056">
                  <c:v>37657</c:v>
                </c:pt>
                <c:pt idx="2057">
                  <c:v>37658</c:v>
                </c:pt>
                <c:pt idx="2058">
                  <c:v>37659</c:v>
                </c:pt>
                <c:pt idx="2059">
                  <c:v>37662</c:v>
                </c:pt>
                <c:pt idx="2060">
                  <c:v>37663</c:v>
                </c:pt>
                <c:pt idx="2061">
                  <c:v>37664</c:v>
                </c:pt>
                <c:pt idx="2062">
                  <c:v>37665</c:v>
                </c:pt>
                <c:pt idx="2063">
                  <c:v>37666</c:v>
                </c:pt>
                <c:pt idx="2064">
                  <c:v>37670</c:v>
                </c:pt>
                <c:pt idx="2065">
                  <c:v>37671</c:v>
                </c:pt>
                <c:pt idx="2066">
                  <c:v>37672</c:v>
                </c:pt>
                <c:pt idx="2067">
                  <c:v>37673</c:v>
                </c:pt>
                <c:pt idx="2068">
                  <c:v>37676</c:v>
                </c:pt>
                <c:pt idx="2069">
                  <c:v>37677</c:v>
                </c:pt>
                <c:pt idx="2070">
                  <c:v>37678</c:v>
                </c:pt>
                <c:pt idx="2071">
                  <c:v>37679</c:v>
                </c:pt>
                <c:pt idx="2072">
                  <c:v>37680</c:v>
                </c:pt>
                <c:pt idx="2073">
                  <c:v>37683</c:v>
                </c:pt>
                <c:pt idx="2074">
                  <c:v>37684</c:v>
                </c:pt>
                <c:pt idx="2075">
                  <c:v>37685</c:v>
                </c:pt>
                <c:pt idx="2076">
                  <c:v>37686</c:v>
                </c:pt>
                <c:pt idx="2077">
                  <c:v>37687</c:v>
                </c:pt>
                <c:pt idx="2078">
                  <c:v>37690</c:v>
                </c:pt>
                <c:pt idx="2079">
                  <c:v>37691</c:v>
                </c:pt>
                <c:pt idx="2080">
                  <c:v>37692</c:v>
                </c:pt>
                <c:pt idx="2081">
                  <c:v>37693</c:v>
                </c:pt>
                <c:pt idx="2082">
                  <c:v>37694</c:v>
                </c:pt>
                <c:pt idx="2083">
                  <c:v>37697</c:v>
                </c:pt>
                <c:pt idx="2084">
                  <c:v>37698</c:v>
                </c:pt>
                <c:pt idx="2085">
                  <c:v>37699</c:v>
                </c:pt>
                <c:pt idx="2086">
                  <c:v>37700</c:v>
                </c:pt>
                <c:pt idx="2087">
                  <c:v>37701</c:v>
                </c:pt>
                <c:pt idx="2088">
                  <c:v>37704</c:v>
                </c:pt>
                <c:pt idx="2089">
                  <c:v>37705</c:v>
                </c:pt>
                <c:pt idx="2090">
                  <c:v>37706</c:v>
                </c:pt>
                <c:pt idx="2091">
                  <c:v>37707</c:v>
                </c:pt>
                <c:pt idx="2092">
                  <c:v>37708</c:v>
                </c:pt>
                <c:pt idx="2093">
                  <c:v>37711</c:v>
                </c:pt>
                <c:pt idx="2094">
                  <c:v>37712</c:v>
                </c:pt>
                <c:pt idx="2095">
                  <c:v>37713</c:v>
                </c:pt>
                <c:pt idx="2096">
                  <c:v>37714</c:v>
                </c:pt>
                <c:pt idx="2097">
                  <c:v>37715</c:v>
                </c:pt>
                <c:pt idx="2098">
                  <c:v>37718</c:v>
                </c:pt>
                <c:pt idx="2099">
                  <c:v>37719</c:v>
                </c:pt>
                <c:pt idx="2100">
                  <c:v>37720</c:v>
                </c:pt>
                <c:pt idx="2101">
                  <c:v>37721</c:v>
                </c:pt>
                <c:pt idx="2102">
                  <c:v>37722</c:v>
                </c:pt>
                <c:pt idx="2103">
                  <c:v>37725</c:v>
                </c:pt>
                <c:pt idx="2104">
                  <c:v>37726</c:v>
                </c:pt>
                <c:pt idx="2105">
                  <c:v>37727</c:v>
                </c:pt>
                <c:pt idx="2106">
                  <c:v>37728</c:v>
                </c:pt>
                <c:pt idx="2107">
                  <c:v>37732</c:v>
                </c:pt>
                <c:pt idx="2108">
                  <c:v>37733</c:v>
                </c:pt>
                <c:pt idx="2109">
                  <c:v>37734</c:v>
                </c:pt>
                <c:pt idx="2110">
                  <c:v>37735</c:v>
                </c:pt>
                <c:pt idx="2111">
                  <c:v>37736</c:v>
                </c:pt>
                <c:pt idx="2112">
                  <c:v>37739</c:v>
                </c:pt>
                <c:pt idx="2113">
                  <c:v>37740</c:v>
                </c:pt>
                <c:pt idx="2114">
                  <c:v>37741</c:v>
                </c:pt>
                <c:pt idx="2115">
                  <c:v>37742</c:v>
                </c:pt>
                <c:pt idx="2116">
                  <c:v>37743</c:v>
                </c:pt>
                <c:pt idx="2117">
                  <c:v>37746</c:v>
                </c:pt>
                <c:pt idx="2118">
                  <c:v>37747</c:v>
                </c:pt>
                <c:pt idx="2119">
                  <c:v>37748</c:v>
                </c:pt>
                <c:pt idx="2120">
                  <c:v>37749</c:v>
                </c:pt>
                <c:pt idx="2121">
                  <c:v>37750</c:v>
                </c:pt>
                <c:pt idx="2122">
                  <c:v>37753</c:v>
                </c:pt>
                <c:pt idx="2123">
                  <c:v>37754</c:v>
                </c:pt>
                <c:pt idx="2124">
                  <c:v>37755</c:v>
                </c:pt>
                <c:pt idx="2125">
                  <c:v>37756</c:v>
                </c:pt>
                <c:pt idx="2126">
                  <c:v>37757</c:v>
                </c:pt>
                <c:pt idx="2127">
                  <c:v>37760</c:v>
                </c:pt>
                <c:pt idx="2128">
                  <c:v>37761</c:v>
                </c:pt>
                <c:pt idx="2129">
                  <c:v>37762</c:v>
                </c:pt>
                <c:pt idx="2130">
                  <c:v>37763</c:v>
                </c:pt>
                <c:pt idx="2131">
                  <c:v>37764</c:v>
                </c:pt>
                <c:pt idx="2132">
                  <c:v>37768</c:v>
                </c:pt>
                <c:pt idx="2133">
                  <c:v>37769</c:v>
                </c:pt>
                <c:pt idx="2134">
                  <c:v>37770</c:v>
                </c:pt>
                <c:pt idx="2135">
                  <c:v>37771</c:v>
                </c:pt>
                <c:pt idx="2136">
                  <c:v>37774</c:v>
                </c:pt>
                <c:pt idx="2137">
                  <c:v>37775</c:v>
                </c:pt>
                <c:pt idx="2138">
                  <c:v>37776</c:v>
                </c:pt>
                <c:pt idx="2139">
                  <c:v>37777</c:v>
                </c:pt>
                <c:pt idx="2140">
                  <c:v>37778</c:v>
                </c:pt>
                <c:pt idx="2141">
                  <c:v>37781</c:v>
                </c:pt>
                <c:pt idx="2142">
                  <c:v>37782</c:v>
                </c:pt>
                <c:pt idx="2143">
                  <c:v>37783</c:v>
                </c:pt>
                <c:pt idx="2144">
                  <c:v>37784</c:v>
                </c:pt>
                <c:pt idx="2145">
                  <c:v>37785</c:v>
                </c:pt>
                <c:pt idx="2146">
                  <c:v>37788</c:v>
                </c:pt>
                <c:pt idx="2147">
                  <c:v>37789</c:v>
                </c:pt>
                <c:pt idx="2148">
                  <c:v>37790</c:v>
                </c:pt>
                <c:pt idx="2149">
                  <c:v>37791</c:v>
                </c:pt>
                <c:pt idx="2150">
                  <c:v>37792</c:v>
                </c:pt>
                <c:pt idx="2151">
                  <c:v>37795</c:v>
                </c:pt>
                <c:pt idx="2152">
                  <c:v>37796</c:v>
                </c:pt>
                <c:pt idx="2153">
                  <c:v>37797</c:v>
                </c:pt>
                <c:pt idx="2154">
                  <c:v>37798</c:v>
                </c:pt>
                <c:pt idx="2155">
                  <c:v>37799</c:v>
                </c:pt>
                <c:pt idx="2156">
                  <c:v>37802</c:v>
                </c:pt>
                <c:pt idx="2157">
                  <c:v>37803</c:v>
                </c:pt>
                <c:pt idx="2158">
                  <c:v>37804</c:v>
                </c:pt>
                <c:pt idx="2159">
                  <c:v>37805</c:v>
                </c:pt>
                <c:pt idx="2160">
                  <c:v>37809</c:v>
                </c:pt>
                <c:pt idx="2161">
                  <c:v>37810</c:v>
                </c:pt>
                <c:pt idx="2162">
                  <c:v>37811</c:v>
                </c:pt>
                <c:pt idx="2163">
                  <c:v>37812</c:v>
                </c:pt>
                <c:pt idx="2164">
                  <c:v>37813</c:v>
                </c:pt>
                <c:pt idx="2165">
                  <c:v>37816</c:v>
                </c:pt>
                <c:pt idx="2166">
                  <c:v>37817</c:v>
                </c:pt>
                <c:pt idx="2167">
                  <c:v>37818</c:v>
                </c:pt>
                <c:pt idx="2168">
                  <c:v>37819</c:v>
                </c:pt>
                <c:pt idx="2169">
                  <c:v>37820</c:v>
                </c:pt>
                <c:pt idx="2170">
                  <c:v>37823</c:v>
                </c:pt>
                <c:pt idx="2171">
                  <c:v>37824</c:v>
                </c:pt>
                <c:pt idx="2172">
                  <c:v>37825</c:v>
                </c:pt>
                <c:pt idx="2173">
                  <c:v>37826</c:v>
                </c:pt>
                <c:pt idx="2174">
                  <c:v>37827</c:v>
                </c:pt>
                <c:pt idx="2175">
                  <c:v>37830</c:v>
                </c:pt>
                <c:pt idx="2176">
                  <c:v>37831</c:v>
                </c:pt>
                <c:pt idx="2177">
                  <c:v>37832</c:v>
                </c:pt>
                <c:pt idx="2178">
                  <c:v>37833</c:v>
                </c:pt>
                <c:pt idx="2179">
                  <c:v>37834</c:v>
                </c:pt>
                <c:pt idx="2180">
                  <c:v>37837</c:v>
                </c:pt>
                <c:pt idx="2181">
                  <c:v>37838</c:v>
                </c:pt>
                <c:pt idx="2182">
                  <c:v>37839</c:v>
                </c:pt>
                <c:pt idx="2183">
                  <c:v>37840</c:v>
                </c:pt>
                <c:pt idx="2184">
                  <c:v>37841</c:v>
                </c:pt>
                <c:pt idx="2185">
                  <c:v>37844</c:v>
                </c:pt>
                <c:pt idx="2186">
                  <c:v>37845</c:v>
                </c:pt>
                <c:pt idx="2187">
                  <c:v>37846</c:v>
                </c:pt>
                <c:pt idx="2188">
                  <c:v>37847</c:v>
                </c:pt>
                <c:pt idx="2189">
                  <c:v>37848</c:v>
                </c:pt>
                <c:pt idx="2190">
                  <c:v>37851</c:v>
                </c:pt>
                <c:pt idx="2191">
                  <c:v>37852</c:v>
                </c:pt>
                <c:pt idx="2192">
                  <c:v>37853</c:v>
                </c:pt>
                <c:pt idx="2193">
                  <c:v>37854</c:v>
                </c:pt>
                <c:pt idx="2194">
                  <c:v>37855</c:v>
                </c:pt>
                <c:pt idx="2195">
                  <c:v>37858</c:v>
                </c:pt>
                <c:pt idx="2196">
                  <c:v>37859</c:v>
                </c:pt>
                <c:pt idx="2197">
                  <c:v>37860</c:v>
                </c:pt>
                <c:pt idx="2198">
                  <c:v>37861</c:v>
                </c:pt>
                <c:pt idx="2199">
                  <c:v>37862</c:v>
                </c:pt>
                <c:pt idx="2200">
                  <c:v>37866</c:v>
                </c:pt>
                <c:pt idx="2201">
                  <c:v>37867</c:v>
                </c:pt>
                <c:pt idx="2202">
                  <c:v>37868</c:v>
                </c:pt>
                <c:pt idx="2203">
                  <c:v>37869</c:v>
                </c:pt>
                <c:pt idx="2204">
                  <c:v>37872</c:v>
                </c:pt>
                <c:pt idx="2205">
                  <c:v>37873</c:v>
                </c:pt>
                <c:pt idx="2206">
                  <c:v>37874</c:v>
                </c:pt>
                <c:pt idx="2207">
                  <c:v>37875</c:v>
                </c:pt>
                <c:pt idx="2208">
                  <c:v>37876</c:v>
                </c:pt>
                <c:pt idx="2209">
                  <c:v>37879</c:v>
                </c:pt>
                <c:pt idx="2210">
                  <c:v>37880</c:v>
                </c:pt>
                <c:pt idx="2211">
                  <c:v>37881</c:v>
                </c:pt>
                <c:pt idx="2212">
                  <c:v>37882</c:v>
                </c:pt>
                <c:pt idx="2213">
                  <c:v>37883</c:v>
                </c:pt>
                <c:pt idx="2214">
                  <c:v>37886</c:v>
                </c:pt>
                <c:pt idx="2215">
                  <c:v>37887</c:v>
                </c:pt>
                <c:pt idx="2216">
                  <c:v>37888</c:v>
                </c:pt>
                <c:pt idx="2217">
                  <c:v>37889</c:v>
                </c:pt>
                <c:pt idx="2218">
                  <c:v>37890</c:v>
                </c:pt>
                <c:pt idx="2219">
                  <c:v>37893</c:v>
                </c:pt>
                <c:pt idx="2220">
                  <c:v>37894</c:v>
                </c:pt>
                <c:pt idx="2221">
                  <c:v>37895</c:v>
                </c:pt>
                <c:pt idx="2222">
                  <c:v>37896</c:v>
                </c:pt>
                <c:pt idx="2223">
                  <c:v>37897</c:v>
                </c:pt>
                <c:pt idx="2224">
                  <c:v>37900</c:v>
                </c:pt>
                <c:pt idx="2225">
                  <c:v>37901</c:v>
                </c:pt>
                <c:pt idx="2226">
                  <c:v>37902</c:v>
                </c:pt>
                <c:pt idx="2227">
                  <c:v>37903</c:v>
                </c:pt>
                <c:pt idx="2228">
                  <c:v>37904</c:v>
                </c:pt>
                <c:pt idx="2229">
                  <c:v>37907</c:v>
                </c:pt>
                <c:pt idx="2230">
                  <c:v>37908</c:v>
                </c:pt>
                <c:pt idx="2231">
                  <c:v>37909</c:v>
                </c:pt>
                <c:pt idx="2232">
                  <c:v>37910</c:v>
                </c:pt>
                <c:pt idx="2233">
                  <c:v>37911</c:v>
                </c:pt>
                <c:pt idx="2234">
                  <c:v>37914</c:v>
                </c:pt>
                <c:pt idx="2235">
                  <c:v>37915</c:v>
                </c:pt>
                <c:pt idx="2236">
                  <c:v>37916</c:v>
                </c:pt>
                <c:pt idx="2237">
                  <c:v>37917</c:v>
                </c:pt>
                <c:pt idx="2238">
                  <c:v>37918</c:v>
                </c:pt>
                <c:pt idx="2239">
                  <c:v>37921</c:v>
                </c:pt>
                <c:pt idx="2240">
                  <c:v>37922</c:v>
                </c:pt>
                <c:pt idx="2241">
                  <c:v>37923</c:v>
                </c:pt>
                <c:pt idx="2242">
                  <c:v>37924</c:v>
                </c:pt>
                <c:pt idx="2243">
                  <c:v>37925</c:v>
                </c:pt>
                <c:pt idx="2244">
                  <c:v>37928</c:v>
                </c:pt>
                <c:pt idx="2245">
                  <c:v>37929</c:v>
                </c:pt>
                <c:pt idx="2246">
                  <c:v>37930</c:v>
                </c:pt>
                <c:pt idx="2247">
                  <c:v>37931</c:v>
                </c:pt>
                <c:pt idx="2248">
                  <c:v>37932</c:v>
                </c:pt>
                <c:pt idx="2249">
                  <c:v>37935</c:v>
                </c:pt>
                <c:pt idx="2250">
                  <c:v>37936</c:v>
                </c:pt>
                <c:pt idx="2251">
                  <c:v>37937</c:v>
                </c:pt>
                <c:pt idx="2252">
                  <c:v>37938</c:v>
                </c:pt>
                <c:pt idx="2253">
                  <c:v>37939</c:v>
                </c:pt>
                <c:pt idx="2254">
                  <c:v>37942</c:v>
                </c:pt>
                <c:pt idx="2255">
                  <c:v>37943</c:v>
                </c:pt>
                <c:pt idx="2256">
                  <c:v>37944</c:v>
                </c:pt>
                <c:pt idx="2257">
                  <c:v>37945</c:v>
                </c:pt>
                <c:pt idx="2258">
                  <c:v>37946</c:v>
                </c:pt>
                <c:pt idx="2259">
                  <c:v>37949</c:v>
                </c:pt>
                <c:pt idx="2260">
                  <c:v>37950</c:v>
                </c:pt>
                <c:pt idx="2261">
                  <c:v>37951</c:v>
                </c:pt>
                <c:pt idx="2262">
                  <c:v>37953</c:v>
                </c:pt>
                <c:pt idx="2263">
                  <c:v>37956</c:v>
                </c:pt>
                <c:pt idx="2264">
                  <c:v>37957</c:v>
                </c:pt>
                <c:pt idx="2265">
                  <c:v>37958</c:v>
                </c:pt>
                <c:pt idx="2266">
                  <c:v>37959</c:v>
                </c:pt>
                <c:pt idx="2267">
                  <c:v>37960</c:v>
                </c:pt>
                <c:pt idx="2268">
                  <c:v>37963</c:v>
                </c:pt>
                <c:pt idx="2269">
                  <c:v>37964</c:v>
                </c:pt>
                <c:pt idx="2270">
                  <c:v>37965</c:v>
                </c:pt>
                <c:pt idx="2271">
                  <c:v>37966</c:v>
                </c:pt>
                <c:pt idx="2272">
                  <c:v>37967</c:v>
                </c:pt>
                <c:pt idx="2273">
                  <c:v>37970</c:v>
                </c:pt>
                <c:pt idx="2274">
                  <c:v>37971</c:v>
                </c:pt>
                <c:pt idx="2275">
                  <c:v>37972</c:v>
                </c:pt>
                <c:pt idx="2276">
                  <c:v>37973</c:v>
                </c:pt>
                <c:pt idx="2277">
                  <c:v>37974</c:v>
                </c:pt>
                <c:pt idx="2278">
                  <c:v>37977</c:v>
                </c:pt>
                <c:pt idx="2279">
                  <c:v>37978</c:v>
                </c:pt>
                <c:pt idx="2280">
                  <c:v>37979</c:v>
                </c:pt>
                <c:pt idx="2281">
                  <c:v>37981</c:v>
                </c:pt>
                <c:pt idx="2282">
                  <c:v>37984</c:v>
                </c:pt>
                <c:pt idx="2283">
                  <c:v>37985</c:v>
                </c:pt>
                <c:pt idx="2284">
                  <c:v>37986</c:v>
                </c:pt>
                <c:pt idx="2285">
                  <c:v>37988</c:v>
                </c:pt>
                <c:pt idx="2286">
                  <c:v>37991</c:v>
                </c:pt>
                <c:pt idx="2287">
                  <c:v>37992</c:v>
                </c:pt>
                <c:pt idx="2288">
                  <c:v>37993</c:v>
                </c:pt>
                <c:pt idx="2289">
                  <c:v>37994</c:v>
                </c:pt>
                <c:pt idx="2290">
                  <c:v>37995</c:v>
                </c:pt>
                <c:pt idx="2291">
                  <c:v>37998</c:v>
                </c:pt>
                <c:pt idx="2292">
                  <c:v>37999</c:v>
                </c:pt>
                <c:pt idx="2293">
                  <c:v>38000</c:v>
                </c:pt>
                <c:pt idx="2294">
                  <c:v>38001</c:v>
                </c:pt>
                <c:pt idx="2295">
                  <c:v>38002</c:v>
                </c:pt>
                <c:pt idx="2296">
                  <c:v>38006</c:v>
                </c:pt>
                <c:pt idx="2297">
                  <c:v>38007</c:v>
                </c:pt>
                <c:pt idx="2298">
                  <c:v>38008</c:v>
                </c:pt>
                <c:pt idx="2299">
                  <c:v>38009</c:v>
                </c:pt>
                <c:pt idx="2300">
                  <c:v>38012</c:v>
                </c:pt>
                <c:pt idx="2301">
                  <c:v>38013</c:v>
                </c:pt>
                <c:pt idx="2302">
                  <c:v>38014</c:v>
                </c:pt>
                <c:pt idx="2303">
                  <c:v>38015</c:v>
                </c:pt>
                <c:pt idx="2304">
                  <c:v>38016</c:v>
                </c:pt>
                <c:pt idx="2305">
                  <c:v>38019</c:v>
                </c:pt>
                <c:pt idx="2306">
                  <c:v>38020</c:v>
                </c:pt>
                <c:pt idx="2307">
                  <c:v>38021</c:v>
                </c:pt>
                <c:pt idx="2308">
                  <c:v>38022</c:v>
                </c:pt>
                <c:pt idx="2309">
                  <c:v>38023</c:v>
                </c:pt>
                <c:pt idx="2310">
                  <c:v>38026</c:v>
                </c:pt>
                <c:pt idx="2311">
                  <c:v>38027</c:v>
                </c:pt>
                <c:pt idx="2312">
                  <c:v>38028</c:v>
                </c:pt>
                <c:pt idx="2313">
                  <c:v>38029</c:v>
                </c:pt>
                <c:pt idx="2314">
                  <c:v>38030</c:v>
                </c:pt>
                <c:pt idx="2315">
                  <c:v>38034</c:v>
                </c:pt>
                <c:pt idx="2316">
                  <c:v>38035</c:v>
                </c:pt>
                <c:pt idx="2317">
                  <c:v>38036</c:v>
                </c:pt>
                <c:pt idx="2318">
                  <c:v>38037</c:v>
                </c:pt>
                <c:pt idx="2319">
                  <c:v>38040</c:v>
                </c:pt>
                <c:pt idx="2320">
                  <c:v>38041</c:v>
                </c:pt>
                <c:pt idx="2321">
                  <c:v>38042</c:v>
                </c:pt>
                <c:pt idx="2322">
                  <c:v>38043</c:v>
                </c:pt>
                <c:pt idx="2323">
                  <c:v>38044</c:v>
                </c:pt>
                <c:pt idx="2324">
                  <c:v>38047</c:v>
                </c:pt>
                <c:pt idx="2325">
                  <c:v>38048</c:v>
                </c:pt>
                <c:pt idx="2326">
                  <c:v>38049</c:v>
                </c:pt>
                <c:pt idx="2327">
                  <c:v>38050</c:v>
                </c:pt>
                <c:pt idx="2328">
                  <c:v>38051</c:v>
                </c:pt>
                <c:pt idx="2329">
                  <c:v>38054</c:v>
                </c:pt>
                <c:pt idx="2330">
                  <c:v>38055</c:v>
                </c:pt>
                <c:pt idx="2331">
                  <c:v>38056</c:v>
                </c:pt>
                <c:pt idx="2332">
                  <c:v>38057</c:v>
                </c:pt>
                <c:pt idx="2333">
                  <c:v>38058</c:v>
                </c:pt>
                <c:pt idx="2334">
                  <c:v>38061</c:v>
                </c:pt>
                <c:pt idx="2335">
                  <c:v>38062</c:v>
                </c:pt>
                <c:pt idx="2336">
                  <c:v>38063</c:v>
                </c:pt>
                <c:pt idx="2337">
                  <c:v>38064</c:v>
                </c:pt>
                <c:pt idx="2338">
                  <c:v>38065</c:v>
                </c:pt>
                <c:pt idx="2339">
                  <c:v>38068</c:v>
                </c:pt>
                <c:pt idx="2340">
                  <c:v>38069</c:v>
                </c:pt>
                <c:pt idx="2341">
                  <c:v>38070</c:v>
                </c:pt>
                <c:pt idx="2342">
                  <c:v>38071</c:v>
                </c:pt>
                <c:pt idx="2343">
                  <c:v>38072</c:v>
                </c:pt>
                <c:pt idx="2344">
                  <c:v>38075</c:v>
                </c:pt>
                <c:pt idx="2345">
                  <c:v>38076</c:v>
                </c:pt>
                <c:pt idx="2346">
                  <c:v>38077</c:v>
                </c:pt>
                <c:pt idx="2347">
                  <c:v>38078</c:v>
                </c:pt>
                <c:pt idx="2348">
                  <c:v>38079</c:v>
                </c:pt>
                <c:pt idx="2349">
                  <c:v>38082</c:v>
                </c:pt>
                <c:pt idx="2350">
                  <c:v>38083</c:v>
                </c:pt>
                <c:pt idx="2351">
                  <c:v>38084</c:v>
                </c:pt>
                <c:pt idx="2352">
                  <c:v>38085</c:v>
                </c:pt>
                <c:pt idx="2353">
                  <c:v>38089</c:v>
                </c:pt>
                <c:pt idx="2354">
                  <c:v>38090</c:v>
                </c:pt>
                <c:pt idx="2355">
                  <c:v>38091</c:v>
                </c:pt>
                <c:pt idx="2356">
                  <c:v>38092</c:v>
                </c:pt>
                <c:pt idx="2357">
                  <c:v>38093</c:v>
                </c:pt>
                <c:pt idx="2358">
                  <c:v>38096</c:v>
                </c:pt>
                <c:pt idx="2359">
                  <c:v>38097</c:v>
                </c:pt>
                <c:pt idx="2360">
                  <c:v>38098</c:v>
                </c:pt>
                <c:pt idx="2361">
                  <c:v>38099</c:v>
                </c:pt>
                <c:pt idx="2362">
                  <c:v>38100</c:v>
                </c:pt>
                <c:pt idx="2363">
                  <c:v>38103</c:v>
                </c:pt>
                <c:pt idx="2364">
                  <c:v>38104</c:v>
                </c:pt>
                <c:pt idx="2365">
                  <c:v>38105</c:v>
                </c:pt>
                <c:pt idx="2366">
                  <c:v>38106</c:v>
                </c:pt>
                <c:pt idx="2367">
                  <c:v>38107</c:v>
                </c:pt>
                <c:pt idx="2368">
                  <c:v>38110</c:v>
                </c:pt>
                <c:pt idx="2369">
                  <c:v>38111</c:v>
                </c:pt>
                <c:pt idx="2370">
                  <c:v>38112</c:v>
                </c:pt>
                <c:pt idx="2371">
                  <c:v>38113</c:v>
                </c:pt>
                <c:pt idx="2372">
                  <c:v>38114</c:v>
                </c:pt>
                <c:pt idx="2373">
                  <c:v>38117</c:v>
                </c:pt>
                <c:pt idx="2374">
                  <c:v>38118</c:v>
                </c:pt>
                <c:pt idx="2375">
                  <c:v>38119</c:v>
                </c:pt>
                <c:pt idx="2376">
                  <c:v>38120</c:v>
                </c:pt>
                <c:pt idx="2377">
                  <c:v>38121</c:v>
                </c:pt>
                <c:pt idx="2378">
                  <c:v>38124</c:v>
                </c:pt>
                <c:pt idx="2379">
                  <c:v>38125</c:v>
                </c:pt>
                <c:pt idx="2380">
                  <c:v>38126</c:v>
                </c:pt>
                <c:pt idx="2381">
                  <c:v>38127</c:v>
                </c:pt>
                <c:pt idx="2382">
                  <c:v>38128</c:v>
                </c:pt>
                <c:pt idx="2383">
                  <c:v>38131</c:v>
                </c:pt>
                <c:pt idx="2384">
                  <c:v>38132</c:v>
                </c:pt>
                <c:pt idx="2385">
                  <c:v>38133</c:v>
                </c:pt>
                <c:pt idx="2386">
                  <c:v>38134</c:v>
                </c:pt>
                <c:pt idx="2387">
                  <c:v>38135</c:v>
                </c:pt>
                <c:pt idx="2388">
                  <c:v>38139</c:v>
                </c:pt>
                <c:pt idx="2389">
                  <c:v>38140</c:v>
                </c:pt>
                <c:pt idx="2390">
                  <c:v>38141</c:v>
                </c:pt>
                <c:pt idx="2391">
                  <c:v>38142</c:v>
                </c:pt>
                <c:pt idx="2392">
                  <c:v>38145</c:v>
                </c:pt>
                <c:pt idx="2393">
                  <c:v>38146</c:v>
                </c:pt>
                <c:pt idx="2394">
                  <c:v>38147</c:v>
                </c:pt>
                <c:pt idx="2395">
                  <c:v>38148</c:v>
                </c:pt>
                <c:pt idx="2396">
                  <c:v>38152</c:v>
                </c:pt>
                <c:pt idx="2397">
                  <c:v>38153</c:v>
                </c:pt>
                <c:pt idx="2398">
                  <c:v>38154</c:v>
                </c:pt>
                <c:pt idx="2399">
                  <c:v>38155</c:v>
                </c:pt>
                <c:pt idx="2400">
                  <c:v>38156</c:v>
                </c:pt>
                <c:pt idx="2401">
                  <c:v>38159</c:v>
                </c:pt>
                <c:pt idx="2402">
                  <c:v>38160</c:v>
                </c:pt>
                <c:pt idx="2403">
                  <c:v>38161</c:v>
                </c:pt>
                <c:pt idx="2404">
                  <c:v>38162</c:v>
                </c:pt>
                <c:pt idx="2405">
                  <c:v>38163</c:v>
                </c:pt>
                <c:pt idx="2406">
                  <c:v>38166</c:v>
                </c:pt>
                <c:pt idx="2407">
                  <c:v>38167</c:v>
                </c:pt>
                <c:pt idx="2408">
                  <c:v>38168</c:v>
                </c:pt>
                <c:pt idx="2409">
                  <c:v>38169</c:v>
                </c:pt>
                <c:pt idx="2410">
                  <c:v>38170</c:v>
                </c:pt>
                <c:pt idx="2411">
                  <c:v>38174</c:v>
                </c:pt>
                <c:pt idx="2412">
                  <c:v>38175</c:v>
                </c:pt>
                <c:pt idx="2413">
                  <c:v>38176</c:v>
                </c:pt>
                <c:pt idx="2414">
                  <c:v>38177</c:v>
                </c:pt>
                <c:pt idx="2415">
                  <c:v>38180</c:v>
                </c:pt>
                <c:pt idx="2416">
                  <c:v>38181</c:v>
                </c:pt>
                <c:pt idx="2417">
                  <c:v>38182</c:v>
                </c:pt>
                <c:pt idx="2418">
                  <c:v>38183</c:v>
                </c:pt>
                <c:pt idx="2419">
                  <c:v>38184</c:v>
                </c:pt>
                <c:pt idx="2420">
                  <c:v>38187</c:v>
                </c:pt>
                <c:pt idx="2421">
                  <c:v>38188</c:v>
                </c:pt>
                <c:pt idx="2422">
                  <c:v>38189</c:v>
                </c:pt>
                <c:pt idx="2423">
                  <c:v>38190</c:v>
                </c:pt>
                <c:pt idx="2424">
                  <c:v>38191</c:v>
                </c:pt>
                <c:pt idx="2425">
                  <c:v>38194</c:v>
                </c:pt>
                <c:pt idx="2426">
                  <c:v>38195</c:v>
                </c:pt>
                <c:pt idx="2427">
                  <c:v>38196</c:v>
                </c:pt>
                <c:pt idx="2428">
                  <c:v>38197</c:v>
                </c:pt>
                <c:pt idx="2429">
                  <c:v>38198</c:v>
                </c:pt>
                <c:pt idx="2430">
                  <c:v>38201</c:v>
                </c:pt>
                <c:pt idx="2431">
                  <c:v>38202</c:v>
                </c:pt>
                <c:pt idx="2432">
                  <c:v>38203</c:v>
                </c:pt>
                <c:pt idx="2433">
                  <c:v>38204</c:v>
                </c:pt>
                <c:pt idx="2434">
                  <c:v>38205</c:v>
                </c:pt>
                <c:pt idx="2435">
                  <c:v>38208</c:v>
                </c:pt>
                <c:pt idx="2436">
                  <c:v>38209</c:v>
                </c:pt>
                <c:pt idx="2437">
                  <c:v>38210</c:v>
                </c:pt>
                <c:pt idx="2438">
                  <c:v>38211</c:v>
                </c:pt>
                <c:pt idx="2439">
                  <c:v>38212</c:v>
                </c:pt>
                <c:pt idx="2440">
                  <c:v>38215</c:v>
                </c:pt>
                <c:pt idx="2441">
                  <c:v>38216</c:v>
                </c:pt>
                <c:pt idx="2442">
                  <c:v>38217</c:v>
                </c:pt>
                <c:pt idx="2443">
                  <c:v>38218</c:v>
                </c:pt>
                <c:pt idx="2444">
                  <c:v>38219</c:v>
                </c:pt>
                <c:pt idx="2445">
                  <c:v>38222</c:v>
                </c:pt>
                <c:pt idx="2446">
                  <c:v>38223</c:v>
                </c:pt>
                <c:pt idx="2447">
                  <c:v>38224</c:v>
                </c:pt>
                <c:pt idx="2448">
                  <c:v>38225</c:v>
                </c:pt>
                <c:pt idx="2449">
                  <c:v>38226</c:v>
                </c:pt>
                <c:pt idx="2450">
                  <c:v>38229</c:v>
                </c:pt>
                <c:pt idx="2451">
                  <c:v>38230</c:v>
                </c:pt>
                <c:pt idx="2452">
                  <c:v>38231</c:v>
                </c:pt>
                <c:pt idx="2453">
                  <c:v>38232</c:v>
                </c:pt>
                <c:pt idx="2454">
                  <c:v>38233</c:v>
                </c:pt>
                <c:pt idx="2455">
                  <c:v>38237</c:v>
                </c:pt>
                <c:pt idx="2456">
                  <c:v>38238</c:v>
                </c:pt>
                <c:pt idx="2457">
                  <c:v>38239</c:v>
                </c:pt>
                <c:pt idx="2458">
                  <c:v>38240</c:v>
                </c:pt>
                <c:pt idx="2459">
                  <c:v>38243</c:v>
                </c:pt>
                <c:pt idx="2460">
                  <c:v>38244</c:v>
                </c:pt>
                <c:pt idx="2461">
                  <c:v>38245</c:v>
                </c:pt>
                <c:pt idx="2462">
                  <c:v>38246</c:v>
                </c:pt>
                <c:pt idx="2463">
                  <c:v>38247</c:v>
                </c:pt>
                <c:pt idx="2464">
                  <c:v>38250</c:v>
                </c:pt>
                <c:pt idx="2465">
                  <c:v>38251</c:v>
                </c:pt>
                <c:pt idx="2466">
                  <c:v>38252</c:v>
                </c:pt>
                <c:pt idx="2467">
                  <c:v>38253</c:v>
                </c:pt>
                <c:pt idx="2468">
                  <c:v>38254</c:v>
                </c:pt>
                <c:pt idx="2469">
                  <c:v>38257</c:v>
                </c:pt>
                <c:pt idx="2470">
                  <c:v>38258</c:v>
                </c:pt>
                <c:pt idx="2471">
                  <c:v>38259</c:v>
                </c:pt>
                <c:pt idx="2472">
                  <c:v>38260</c:v>
                </c:pt>
                <c:pt idx="2473">
                  <c:v>38261</c:v>
                </c:pt>
                <c:pt idx="2474">
                  <c:v>38264</c:v>
                </c:pt>
                <c:pt idx="2475">
                  <c:v>38265</c:v>
                </c:pt>
                <c:pt idx="2476">
                  <c:v>38266</c:v>
                </c:pt>
                <c:pt idx="2477">
                  <c:v>38267</c:v>
                </c:pt>
                <c:pt idx="2478">
                  <c:v>38268</c:v>
                </c:pt>
                <c:pt idx="2479">
                  <c:v>38271</c:v>
                </c:pt>
                <c:pt idx="2480">
                  <c:v>38272</c:v>
                </c:pt>
                <c:pt idx="2481">
                  <c:v>38273</c:v>
                </c:pt>
                <c:pt idx="2482">
                  <c:v>38274</c:v>
                </c:pt>
                <c:pt idx="2483">
                  <c:v>38275</c:v>
                </c:pt>
                <c:pt idx="2484">
                  <c:v>38278</c:v>
                </c:pt>
                <c:pt idx="2485">
                  <c:v>38279</c:v>
                </c:pt>
                <c:pt idx="2486">
                  <c:v>38280</c:v>
                </c:pt>
                <c:pt idx="2487">
                  <c:v>38281</c:v>
                </c:pt>
                <c:pt idx="2488">
                  <c:v>38282</c:v>
                </c:pt>
                <c:pt idx="2489">
                  <c:v>38285</c:v>
                </c:pt>
                <c:pt idx="2490">
                  <c:v>38286</c:v>
                </c:pt>
                <c:pt idx="2491">
                  <c:v>38287</c:v>
                </c:pt>
                <c:pt idx="2492">
                  <c:v>38288</c:v>
                </c:pt>
                <c:pt idx="2493">
                  <c:v>38289</c:v>
                </c:pt>
                <c:pt idx="2494">
                  <c:v>38292</c:v>
                </c:pt>
                <c:pt idx="2495">
                  <c:v>38293</c:v>
                </c:pt>
                <c:pt idx="2496">
                  <c:v>38294</c:v>
                </c:pt>
                <c:pt idx="2497">
                  <c:v>38295</c:v>
                </c:pt>
                <c:pt idx="2498">
                  <c:v>38296</c:v>
                </c:pt>
                <c:pt idx="2499">
                  <c:v>38299</c:v>
                </c:pt>
                <c:pt idx="2500">
                  <c:v>38300</c:v>
                </c:pt>
                <c:pt idx="2501">
                  <c:v>38301</c:v>
                </c:pt>
                <c:pt idx="2502">
                  <c:v>38302</c:v>
                </c:pt>
                <c:pt idx="2503">
                  <c:v>38303</c:v>
                </c:pt>
                <c:pt idx="2504">
                  <c:v>38306</c:v>
                </c:pt>
                <c:pt idx="2505">
                  <c:v>38307</c:v>
                </c:pt>
                <c:pt idx="2506">
                  <c:v>38308</c:v>
                </c:pt>
                <c:pt idx="2507">
                  <c:v>38309</c:v>
                </c:pt>
                <c:pt idx="2508">
                  <c:v>38310</c:v>
                </c:pt>
                <c:pt idx="2509">
                  <c:v>38313</c:v>
                </c:pt>
                <c:pt idx="2510">
                  <c:v>38314</c:v>
                </c:pt>
                <c:pt idx="2511">
                  <c:v>38315</c:v>
                </c:pt>
                <c:pt idx="2512">
                  <c:v>38317</c:v>
                </c:pt>
                <c:pt idx="2513">
                  <c:v>38320</c:v>
                </c:pt>
                <c:pt idx="2514">
                  <c:v>38321</c:v>
                </c:pt>
                <c:pt idx="2515">
                  <c:v>38322</c:v>
                </c:pt>
                <c:pt idx="2516">
                  <c:v>38323</c:v>
                </c:pt>
                <c:pt idx="2517">
                  <c:v>38324</c:v>
                </c:pt>
                <c:pt idx="2518">
                  <c:v>38327</c:v>
                </c:pt>
                <c:pt idx="2519">
                  <c:v>38328</c:v>
                </c:pt>
                <c:pt idx="2520">
                  <c:v>38329</c:v>
                </c:pt>
                <c:pt idx="2521">
                  <c:v>38330</c:v>
                </c:pt>
                <c:pt idx="2522">
                  <c:v>38331</c:v>
                </c:pt>
                <c:pt idx="2523">
                  <c:v>38334</c:v>
                </c:pt>
                <c:pt idx="2524">
                  <c:v>38335</c:v>
                </c:pt>
                <c:pt idx="2525">
                  <c:v>38336</c:v>
                </c:pt>
                <c:pt idx="2526">
                  <c:v>38337</c:v>
                </c:pt>
                <c:pt idx="2527">
                  <c:v>38338</c:v>
                </c:pt>
                <c:pt idx="2528">
                  <c:v>38341</c:v>
                </c:pt>
                <c:pt idx="2529">
                  <c:v>38342</c:v>
                </c:pt>
                <c:pt idx="2530">
                  <c:v>38343</c:v>
                </c:pt>
                <c:pt idx="2531">
                  <c:v>38344</c:v>
                </c:pt>
                <c:pt idx="2532">
                  <c:v>38348</c:v>
                </c:pt>
                <c:pt idx="2533">
                  <c:v>38349</c:v>
                </c:pt>
                <c:pt idx="2534">
                  <c:v>38350</c:v>
                </c:pt>
                <c:pt idx="2535">
                  <c:v>38351</c:v>
                </c:pt>
                <c:pt idx="2536">
                  <c:v>38352</c:v>
                </c:pt>
                <c:pt idx="2537">
                  <c:v>38355</c:v>
                </c:pt>
                <c:pt idx="2538">
                  <c:v>38356</c:v>
                </c:pt>
                <c:pt idx="2539">
                  <c:v>38357</c:v>
                </c:pt>
                <c:pt idx="2540">
                  <c:v>38358</c:v>
                </c:pt>
                <c:pt idx="2541">
                  <c:v>38359</c:v>
                </c:pt>
                <c:pt idx="2542">
                  <c:v>38362</c:v>
                </c:pt>
                <c:pt idx="2543">
                  <c:v>38363</c:v>
                </c:pt>
                <c:pt idx="2544">
                  <c:v>38364</c:v>
                </c:pt>
                <c:pt idx="2545">
                  <c:v>38365</c:v>
                </c:pt>
                <c:pt idx="2546">
                  <c:v>38366</c:v>
                </c:pt>
                <c:pt idx="2547">
                  <c:v>38370</c:v>
                </c:pt>
                <c:pt idx="2548">
                  <c:v>38371</c:v>
                </c:pt>
                <c:pt idx="2549">
                  <c:v>38372</c:v>
                </c:pt>
                <c:pt idx="2550">
                  <c:v>38373</c:v>
                </c:pt>
                <c:pt idx="2551">
                  <c:v>38376</c:v>
                </c:pt>
                <c:pt idx="2552">
                  <c:v>38377</c:v>
                </c:pt>
                <c:pt idx="2553">
                  <c:v>38378</c:v>
                </c:pt>
                <c:pt idx="2554">
                  <c:v>38379</c:v>
                </c:pt>
                <c:pt idx="2555">
                  <c:v>38380</c:v>
                </c:pt>
                <c:pt idx="2556">
                  <c:v>38383</c:v>
                </c:pt>
                <c:pt idx="2557">
                  <c:v>38384</c:v>
                </c:pt>
                <c:pt idx="2558">
                  <c:v>38385</c:v>
                </c:pt>
                <c:pt idx="2559">
                  <c:v>38386</c:v>
                </c:pt>
                <c:pt idx="2560">
                  <c:v>38387</c:v>
                </c:pt>
                <c:pt idx="2561">
                  <c:v>38390</c:v>
                </c:pt>
                <c:pt idx="2562">
                  <c:v>38391</c:v>
                </c:pt>
                <c:pt idx="2563">
                  <c:v>38392</c:v>
                </c:pt>
                <c:pt idx="2564">
                  <c:v>38393</c:v>
                </c:pt>
                <c:pt idx="2565">
                  <c:v>38394</c:v>
                </c:pt>
                <c:pt idx="2566">
                  <c:v>38397</c:v>
                </c:pt>
                <c:pt idx="2567">
                  <c:v>38398</c:v>
                </c:pt>
                <c:pt idx="2568">
                  <c:v>38399</c:v>
                </c:pt>
                <c:pt idx="2569">
                  <c:v>38400</c:v>
                </c:pt>
                <c:pt idx="2570">
                  <c:v>38401</c:v>
                </c:pt>
                <c:pt idx="2571">
                  <c:v>38405</c:v>
                </c:pt>
                <c:pt idx="2572">
                  <c:v>38406</c:v>
                </c:pt>
                <c:pt idx="2573">
                  <c:v>38407</c:v>
                </c:pt>
                <c:pt idx="2574">
                  <c:v>38408</c:v>
                </c:pt>
                <c:pt idx="2575">
                  <c:v>38411</c:v>
                </c:pt>
                <c:pt idx="2576">
                  <c:v>38412</c:v>
                </c:pt>
                <c:pt idx="2577">
                  <c:v>38413</c:v>
                </c:pt>
                <c:pt idx="2578">
                  <c:v>38414</c:v>
                </c:pt>
                <c:pt idx="2579">
                  <c:v>38415</c:v>
                </c:pt>
                <c:pt idx="2580">
                  <c:v>38418</c:v>
                </c:pt>
                <c:pt idx="2581">
                  <c:v>38419</c:v>
                </c:pt>
                <c:pt idx="2582">
                  <c:v>38420</c:v>
                </c:pt>
                <c:pt idx="2583">
                  <c:v>38421</c:v>
                </c:pt>
                <c:pt idx="2584">
                  <c:v>38422</c:v>
                </c:pt>
                <c:pt idx="2585">
                  <c:v>38425</c:v>
                </c:pt>
                <c:pt idx="2586">
                  <c:v>38426</c:v>
                </c:pt>
                <c:pt idx="2587">
                  <c:v>38427</c:v>
                </c:pt>
                <c:pt idx="2588">
                  <c:v>38428</c:v>
                </c:pt>
                <c:pt idx="2589">
                  <c:v>38429</c:v>
                </c:pt>
                <c:pt idx="2590">
                  <c:v>38432</c:v>
                </c:pt>
                <c:pt idx="2591">
                  <c:v>38433</c:v>
                </c:pt>
                <c:pt idx="2592">
                  <c:v>38434</c:v>
                </c:pt>
                <c:pt idx="2593">
                  <c:v>38435</c:v>
                </c:pt>
                <c:pt idx="2594">
                  <c:v>38439</c:v>
                </c:pt>
                <c:pt idx="2595">
                  <c:v>38440</c:v>
                </c:pt>
                <c:pt idx="2596">
                  <c:v>38441</c:v>
                </c:pt>
                <c:pt idx="2597">
                  <c:v>38442</c:v>
                </c:pt>
                <c:pt idx="2598">
                  <c:v>38443</c:v>
                </c:pt>
                <c:pt idx="2599">
                  <c:v>38446</c:v>
                </c:pt>
                <c:pt idx="2600">
                  <c:v>38447</c:v>
                </c:pt>
                <c:pt idx="2601">
                  <c:v>38448</c:v>
                </c:pt>
                <c:pt idx="2602">
                  <c:v>38449</c:v>
                </c:pt>
                <c:pt idx="2603">
                  <c:v>38450</c:v>
                </c:pt>
                <c:pt idx="2604">
                  <c:v>38453</c:v>
                </c:pt>
                <c:pt idx="2605">
                  <c:v>38454</c:v>
                </c:pt>
                <c:pt idx="2606">
                  <c:v>38455</c:v>
                </c:pt>
                <c:pt idx="2607">
                  <c:v>38456</c:v>
                </c:pt>
                <c:pt idx="2608">
                  <c:v>38457</c:v>
                </c:pt>
                <c:pt idx="2609">
                  <c:v>38460</c:v>
                </c:pt>
                <c:pt idx="2610">
                  <c:v>38461</c:v>
                </c:pt>
                <c:pt idx="2611">
                  <c:v>38462</c:v>
                </c:pt>
                <c:pt idx="2612">
                  <c:v>38463</c:v>
                </c:pt>
                <c:pt idx="2613">
                  <c:v>38464</c:v>
                </c:pt>
                <c:pt idx="2614">
                  <c:v>38467</c:v>
                </c:pt>
                <c:pt idx="2615">
                  <c:v>38468</c:v>
                </c:pt>
                <c:pt idx="2616">
                  <c:v>38469</c:v>
                </c:pt>
                <c:pt idx="2617">
                  <c:v>38470</c:v>
                </c:pt>
                <c:pt idx="2618">
                  <c:v>38471</c:v>
                </c:pt>
                <c:pt idx="2619">
                  <c:v>38474</c:v>
                </c:pt>
                <c:pt idx="2620">
                  <c:v>38475</c:v>
                </c:pt>
                <c:pt idx="2621">
                  <c:v>38476</c:v>
                </c:pt>
                <c:pt idx="2622">
                  <c:v>38477</c:v>
                </c:pt>
                <c:pt idx="2623">
                  <c:v>38478</c:v>
                </c:pt>
                <c:pt idx="2624">
                  <c:v>38481</c:v>
                </c:pt>
                <c:pt idx="2625">
                  <c:v>38482</c:v>
                </c:pt>
                <c:pt idx="2626">
                  <c:v>38483</c:v>
                </c:pt>
                <c:pt idx="2627">
                  <c:v>38484</c:v>
                </c:pt>
                <c:pt idx="2628">
                  <c:v>38485</c:v>
                </c:pt>
                <c:pt idx="2629">
                  <c:v>38488</c:v>
                </c:pt>
                <c:pt idx="2630">
                  <c:v>38489</c:v>
                </c:pt>
                <c:pt idx="2631">
                  <c:v>38490</c:v>
                </c:pt>
                <c:pt idx="2632">
                  <c:v>38491</c:v>
                </c:pt>
                <c:pt idx="2633">
                  <c:v>38492</c:v>
                </c:pt>
                <c:pt idx="2634">
                  <c:v>38495</c:v>
                </c:pt>
                <c:pt idx="2635">
                  <c:v>38496</c:v>
                </c:pt>
                <c:pt idx="2636">
                  <c:v>38497</c:v>
                </c:pt>
                <c:pt idx="2637">
                  <c:v>38498</c:v>
                </c:pt>
                <c:pt idx="2638">
                  <c:v>38499</c:v>
                </c:pt>
                <c:pt idx="2639">
                  <c:v>38503</c:v>
                </c:pt>
                <c:pt idx="2640">
                  <c:v>38504</c:v>
                </c:pt>
                <c:pt idx="2641">
                  <c:v>38505</c:v>
                </c:pt>
                <c:pt idx="2642">
                  <c:v>38506</c:v>
                </c:pt>
                <c:pt idx="2643">
                  <c:v>38509</c:v>
                </c:pt>
                <c:pt idx="2644">
                  <c:v>38510</c:v>
                </c:pt>
                <c:pt idx="2645">
                  <c:v>38511</c:v>
                </c:pt>
                <c:pt idx="2646">
                  <c:v>38512</c:v>
                </c:pt>
                <c:pt idx="2647">
                  <c:v>38513</c:v>
                </c:pt>
                <c:pt idx="2648">
                  <c:v>38516</c:v>
                </c:pt>
                <c:pt idx="2649">
                  <c:v>38517</c:v>
                </c:pt>
                <c:pt idx="2650">
                  <c:v>38518</c:v>
                </c:pt>
                <c:pt idx="2651">
                  <c:v>38519</c:v>
                </c:pt>
                <c:pt idx="2652">
                  <c:v>38520</c:v>
                </c:pt>
                <c:pt idx="2653">
                  <c:v>38523</c:v>
                </c:pt>
                <c:pt idx="2654">
                  <c:v>38524</c:v>
                </c:pt>
                <c:pt idx="2655">
                  <c:v>38525</c:v>
                </c:pt>
                <c:pt idx="2656">
                  <c:v>38526</c:v>
                </c:pt>
                <c:pt idx="2657">
                  <c:v>38527</c:v>
                </c:pt>
                <c:pt idx="2658">
                  <c:v>38530</c:v>
                </c:pt>
                <c:pt idx="2659">
                  <c:v>38531</c:v>
                </c:pt>
                <c:pt idx="2660">
                  <c:v>38532</c:v>
                </c:pt>
                <c:pt idx="2661">
                  <c:v>38533</c:v>
                </c:pt>
                <c:pt idx="2662">
                  <c:v>38534</c:v>
                </c:pt>
                <c:pt idx="2663">
                  <c:v>38538</c:v>
                </c:pt>
                <c:pt idx="2664">
                  <c:v>38539</c:v>
                </c:pt>
                <c:pt idx="2665">
                  <c:v>38540</c:v>
                </c:pt>
                <c:pt idx="2666">
                  <c:v>38541</c:v>
                </c:pt>
                <c:pt idx="2667">
                  <c:v>38544</c:v>
                </c:pt>
                <c:pt idx="2668">
                  <c:v>38545</c:v>
                </c:pt>
                <c:pt idx="2669">
                  <c:v>38546</c:v>
                </c:pt>
                <c:pt idx="2670">
                  <c:v>38547</c:v>
                </c:pt>
                <c:pt idx="2671">
                  <c:v>38548</c:v>
                </c:pt>
                <c:pt idx="2672">
                  <c:v>38551</c:v>
                </c:pt>
                <c:pt idx="2673">
                  <c:v>38552</c:v>
                </c:pt>
                <c:pt idx="2674">
                  <c:v>38553</c:v>
                </c:pt>
                <c:pt idx="2675">
                  <c:v>38554</c:v>
                </c:pt>
                <c:pt idx="2676">
                  <c:v>38555</c:v>
                </c:pt>
                <c:pt idx="2677">
                  <c:v>38558</c:v>
                </c:pt>
                <c:pt idx="2678">
                  <c:v>38559</c:v>
                </c:pt>
                <c:pt idx="2679">
                  <c:v>38560</c:v>
                </c:pt>
                <c:pt idx="2680">
                  <c:v>38561</c:v>
                </c:pt>
                <c:pt idx="2681">
                  <c:v>38562</c:v>
                </c:pt>
                <c:pt idx="2682">
                  <c:v>38565</c:v>
                </c:pt>
                <c:pt idx="2683">
                  <c:v>38566</c:v>
                </c:pt>
                <c:pt idx="2684">
                  <c:v>38567</c:v>
                </c:pt>
                <c:pt idx="2685">
                  <c:v>38568</c:v>
                </c:pt>
                <c:pt idx="2686">
                  <c:v>38569</c:v>
                </c:pt>
                <c:pt idx="2687">
                  <c:v>38572</c:v>
                </c:pt>
                <c:pt idx="2688">
                  <c:v>38573</c:v>
                </c:pt>
                <c:pt idx="2689">
                  <c:v>38574</c:v>
                </c:pt>
                <c:pt idx="2690">
                  <c:v>38575</c:v>
                </c:pt>
                <c:pt idx="2691">
                  <c:v>38576</c:v>
                </c:pt>
                <c:pt idx="2692">
                  <c:v>38579</c:v>
                </c:pt>
                <c:pt idx="2693">
                  <c:v>38580</c:v>
                </c:pt>
                <c:pt idx="2694">
                  <c:v>38581</c:v>
                </c:pt>
                <c:pt idx="2695">
                  <c:v>38582</c:v>
                </c:pt>
                <c:pt idx="2696">
                  <c:v>38583</c:v>
                </c:pt>
                <c:pt idx="2697">
                  <c:v>38586</c:v>
                </c:pt>
                <c:pt idx="2698">
                  <c:v>38587</c:v>
                </c:pt>
                <c:pt idx="2699">
                  <c:v>38588</c:v>
                </c:pt>
                <c:pt idx="2700">
                  <c:v>38589</c:v>
                </c:pt>
                <c:pt idx="2701">
                  <c:v>38590</c:v>
                </c:pt>
                <c:pt idx="2702">
                  <c:v>38593</c:v>
                </c:pt>
                <c:pt idx="2703">
                  <c:v>38594</c:v>
                </c:pt>
                <c:pt idx="2704">
                  <c:v>38595</c:v>
                </c:pt>
                <c:pt idx="2705">
                  <c:v>38596</c:v>
                </c:pt>
                <c:pt idx="2706">
                  <c:v>38597</c:v>
                </c:pt>
                <c:pt idx="2707">
                  <c:v>38601</c:v>
                </c:pt>
                <c:pt idx="2708">
                  <c:v>38602</c:v>
                </c:pt>
                <c:pt idx="2709">
                  <c:v>38603</c:v>
                </c:pt>
                <c:pt idx="2710">
                  <c:v>38604</c:v>
                </c:pt>
                <c:pt idx="2711">
                  <c:v>38607</c:v>
                </c:pt>
                <c:pt idx="2712">
                  <c:v>38608</c:v>
                </c:pt>
                <c:pt idx="2713">
                  <c:v>38609</c:v>
                </c:pt>
                <c:pt idx="2714">
                  <c:v>38610</c:v>
                </c:pt>
                <c:pt idx="2715">
                  <c:v>38611</c:v>
                </c:pt>
                <c:pt idx="2716">
                  <c:v>38614</c:v>
                </c:pt>
                <c:pt idx="2717">
                  <c:v>38615</c:v>
                </c:pt>
                <c:pt idx="2718">
                  <c:v>38616</c:v>
                </c:pt>
                <c:pt idx="2719">
                  <c:v>38617</c:v>
                </c:pt>
                <c:pt idx="2720">
                  <c:v>38618</c:v>
                </c:pt>
                <c:pt idx="2721">
                  <c:v>38621</c:v>
                </c:pt>
                <c:pt idx="2722">
                  <c:v>38622</c:v>
                </c:pt>
                <c:pt idx="2723">
                  <c:v>38623</c:v>
                </c:pt>
                <c:pt idx="2724">
                  <c:v>38624</c:v>
                </c:pt>
                <c:pt idx="2725">
                  <c:v>38625</c:v>
                </c:pt>
                <c:pt idx="2726">
                  <c:v>38628</c:v>
                </c:pt>
                <c:pt idx="2727">
                  <c:v>38629</c:v>
                </c:pt>
                <c:pt idx="2728">
                  <c:v>38630</c:v>
                </c:pt>
                <c:pt idx="2729">
                  <c:v>38631</c:v>
                </c:pt>
                <c:pt idx="2730">
                  <c:v>38632</c:v>
                </c:pt>
                <c:pt idx="2731">
                  <c:v>38635</c:v>
                </c:pt>
                <c:pt idx="2732">
                  <c:v>38636</c:v>
                </c:pt>
                <c:pt idx="2733">
                  <c:v>38637</c:v>
                </c:pt>
                <c:pt idx="2734">
                  <c:v>38638</c:v>
                </c:pt>
                <c:pt idx="2735">
                  <c:v>38639</c:v>
                </c:pt>
                <c:pt idx="2736">
                  <c:v>38642</c:v>
                </c:pt>
                <c:pt idx="2737">
                  <c:v>38643</c:v>
                </c:pt>
                <c:pt idx="2738">
                  <c:v>38644</c:v>
                </c:pt>
                <c:pt idx="2739">
                  <c:v>38645</c:v>
                </c:pt>
                <c:pt idx="2740">
                  <c:v>38646</c:v>
                </c:pt>
                <c:pt idx="2741">
                  <c:v>38649</c:v>
                </c:pt>
                <c:pt idx="2742">
                  <c:v>38650</c:v>
                </c:pt>
                <c:pt idx="2743">
                  <c:v>38651</c:v>
                </c:pt>
                <c:pt idx="2744">
                  <c:v>38652</c:v>
                </c:pt>
                <c:pt idx="2745">
                  <c:v>38653</c:v>
                </c:pt>
                <c:pt idx="2746">
                  <c:v>38656</c:v>
                </c:pt>
                <c:pt idx="2747">
                  <c:v>38657</c:v>
                </c:pt>
                <c:pt idx="2748">
                  <c:v>38658</c:v>
                </c:pt>
                <c:pt idx="2749">
                  <c:v>38659</c:v>
                </c:pt>
                <c:pt idx="2750">
                  <c:v>38660</c:v>
                </c:pt>
                <c:pt idx="2751">
                  <c:v>38663</c:v>
                </c:pt>
                <c:pt idx="2752">
                  <c:v>38664</c:v>
                </c:pt>
                <c:pt idx="2753">
                  <c:v>38665</c:v>
                </c:pt>
                <c:pt idx="2754">
                  <c:v>38666</c:v>
                </c:pt>
                <c:pt idx="2755">
                  <c:v>38667</c:v>
                </c:pt>
                <c:pt idx="2756">
                  <c:v>38670</c:v>
                </c:pt>
                <c:pt idx="2757">
                  <c:v>38671</c:v>
                </c:pt>
                <c:pt idx="2758">
                  <c:v>38672</c:v>
                </c:pt>
                <c:pt idx="2759">
                  <c:v>38673</c:v>
                </c:pt>
                <c:pt idx="2760">
                  <c:v>38674</c:v>
                </c:pt>
                <c:pt idx="2761">
                  <c:v>38677</c:v>
                </c:pt>
                <c:pt idx="2762">
                  <c:v>38678</c:v>
                </c:pt>
                <c:pt idx="2763">
                  <c:v>38679</c:v>
                </c:pt>
                <c:pt idx="2764">
                  <c:v>38681</c:v>
                </c:pt>
                <c:pt idx="2765">
                  <c:v>38684</c:v>
                </c:pt>
                <c:pt idx="2766">
                  <c:v>38685</c:v>
                </c:pt>
                <c:pt idx="2767">
                  <c:v>38686</c:v>
                </c:pt>
                <c:pt idx="2768">
                  <c:v>38687</c:v>
                </c:pt>
                <c:pt idx="2769">
                  <c:v>38688</c:v>
                </c:pt>
                <c:pt idx="2770">
                  <c:v>38691</c:v>
                </c:pt>
                <c:pt idx="2771">
                  <c:v>38692</c:v>
                </c:pt>
                <c:pt idx="2772">
                  <c:v>38693</c:v>
                </c:pt>
                <c:pt idx="2773">
                  <c:v>38694</c:v>
                </c:pt>
                <c:pt idx="2774">
                  <c:v>38695</c:v>
                </c:pt>
                <c:pt idx="2775">
                  <c:v>38698</c:v>
                </c:pt>
                <c:pt idx="2776">
                  <c:v>38699</c:v>
                </c:pt>
                <c:pt idx="2777">
                  <c:v>38700</c:v>
                </c:pt>
                <c:pt idx="2778">
                  <c:v>38701</c:v>
                </c:pt>
                <c:pt idx="2779">
                  <c:v>38702</c:v>
                </c:pt>
                <c:pt idx="2780">
                  <c:v>38705</c:v>
                </c:pt>
                <c:pt idx="2781">
                  <c:v>38706</c:v>
                </c:pt>
                <c:pt idx="2782">
                  <c:v>38707</c:v>
                </c:pt>
                <c:pt idx="2783">
                  <c:v>38708</c:v>
                </c:pt>
                <c:pt idx="2784">
                  <c:v>38709</c:v>
                </c:pt>
                <c:pt idx="2785">
                  <c:v>38713</c:v>
                </c:pt>
                <c:pt idx="2786">
                  <c:v>38714</c:v>
                </c:pt>
                <c:pt idx="2787">
                  <c:v>38715</c:v>
                </c:pt>
                <c:pt idx="2788">
                  <c:v>38716</c:v>
                </c:pt>
                <c:pt idx="2789">
                  <c:v>38720</c:v>
                </c:pt>
                <c:pt idx="2790">
                  <c:v>38721</c:v>
                </c:pt>
                <c:pt idx="2791">
                  <c:v>38722</c:v>
                </c:pt>
                <c:pt idx="2792">
                  <c:v>38723</c:v>
                </c:pt>
                <c:pt idx="2793">
                  <c:v>38726</c:v>
                </c:pt>
                <c:pt idx="2794">
                  <c:v>38727</c:v>
                </c:pt>
                <c:pt idx="2795">
                  <c:v>38728</c:v>
                </c:pt>
                <c:pt idx="2796">
                  <c:v>38729</c:v>
                </c:pt>
                <c:pt idx="2797">
                  <c:v>38730</c:v>
                </c:pt>
                <c:pt idx="2798">
                  <c:v>38734</c:v>
                </c:pt>
                <c:pt idx="2799">
                  <c:v>38735</c:v>
                </c:pt>
                <c:pt idx="2800">
                  <c:v>38736</c:v>
                </c:pt>
                <c:pt idx="2801">
                  <c:v>38737</c:v>
                </c:pt>
                <c:pt idx="2802">
                  <c:v>38740</c:v>
                </c:pt>
                <c:pt idx="2803">
                  <c:v>38741</c:v>
                </c:pt>
                <c:pt idx="2804">
                  <c:v>38742</c:v>
                </c:pt>
                <c:pt idx="2805">
                  <c:v>38743</c:v>
                </c:pt>
                <c:pt idx="2806">
                  <c:v>38744</c:v>
                </c:pt>
                <c:pt idx="2807">
                  <c:v>38747</c:v>
                </c:pt>
                <c:pt idx="2808">
                  <c:v>38748</c:v>
                </c:pt>
                <c:pt idx="2809">
                  <c:v>38749</c:v>
                </c:pt>
                <c:pt idx="2810">
                  <c:v>38750</c:v>
                </c:pt>
                <c:pt idx="2811">
                  <c:v>38751</c:v>
                </c:pt>
                <c:pt idx="2812">
                  <c:v>38754</c:v>
                </c:pt>
                <c:pt idx="2813">
                  <c:v>38755</c:v>
                </c:pt>
                <c:pt idx="2814">
                  <c:v>38756</c:v>
                </c:pt>
                <c:pt idx="2815">
                  <c:v>38757</c:v>
                </c:pt>
                <c:pt idx="2816">
                  <c:v>38758</c:v>
                </c:pt>
                <c:pt idx="2817">
                  <c:v>38761</c:v>
                </c:pt>
                <c:pt idx="2818">
                  <c:v>38762</c:v>
                </c:pt>
                <c:pt idx="2819">
                  <c:v>38763</c:v>
                </c:pt>
                <c:pt idx="2820">
                  <c:v>38764</c:v>
                </c:pt>
                <c:pt idx="2821">
                  <c:v>38765</c:v>
                </c:pt>
                <c:pt idx="2822">
                  <c:v>38769</c:v>
                </c:pt>
                <c:pt idx="2823">
                  <c:v>38770</c:v>
                </c:pt>
                <c:pt idx="2824">
                  <c:v>38771</c:v>
                </c:pt>
                <c:pt idx="2825">
                  <c:v>38772</c:v>
                </c:pt>
                <c:pt idx="2826">
                  <c:v>38775</c:v>
                </c:pt>
                <c:pt idx="2827">
                  <c:v>38776</c:v>
                </c:pt>
                <c:pt idx="2828">
                  <c:v>38777</c:v>
                </c:pt>
                <c:pt idx="2829">
                  <c:v>38778</c:v>
                </c:pt>
                <c:pt idx="2830">
                  <c:v>38779</c:v>
                </c:pt>
                <c:pt idx="2831">
                  <c:v>38782</c:v>
                </c:pt>
                <c:pt idx="2832">
                  <c:v>38783</c:v>
                </c:pt>
                <c:pt idx="2833">
                  <c:v>38784</c:v>
                </c:pt>
                <c:pt idx="2834">
                  <c:v>38785</c:v>
                </c:pt>
                <c:pt idx="2835">
                  <c:v>38786</c:v>
                </c:pt>
                <c:pt idx="2836">
                  <c:v>38789</c:v>
                </c:pt>
                <c:pt idx="2837">
                  <c:v>38790</c:v>
                </c:pt>
                <c:pt idx="2838">
                  <c:v>38791</c:v>
                </c:pt>
                <c:pt idx="2839">
                  <c:v>38792</c:v>
                </c:pt>
                <c:pt idx="2840">
                  <c:v>38793</c:v>
                </c:pt>
                <c:pt idx="2841">
                  <c:v>38796</c:v>
                </c:pt>
                <c:pt idx="2842">
                  <c:v>38797</c:v>
                </c:pt>
                <c:pt idx="2843">
                  <c:v>38798</c:v>
                </c:pt>
                <c:pt idx="2844">
                  <c:v>38799</c:v>
                </c:pt>
                <c:pt idx="2845">
                  <c:v>38800</c:v>
                </c:pt>
                <c:pt idx="2846">
                  <c:v>38803</c:v>
                </c:pt>
                <c:pt idx="2847">
                  <c:v>38804</c:v>
                </c:pt>
                <c:pt idx="2848">
                  <c:v>38805</c:v>
                </c:pt>
                <c:pt idx="2849">
                  <c:v>38806</c:v>
                </c:pt>
                <c:pt idx="2850">
                  <c:v>38807</c:v>
                </c:pt>
                <c:pt idx="2851">
                  <c:v>38810</c:v>
                </c:pt>
                <c:pt idx="2852">
                  <c:v>38811</c:v>
                </c:pt>
                <c:pt idx="2853">
                  <c:v>38812</c:v>
                </c:pt>
                <c:pt idx="2854">
                  <c:v>38813</c:v>
                </c:pt>
                <c:pt idx="2855">
                  <c:v>38814</c:v>
                </c:pt>
                <c:pt idx="2856">
                  <c:v>38817</c:v>
                </c:pt>
                <c:pt idx="2857">
                  <c:v>38818</c:v>
                </c:pt>
                <c:pt idx="2858">
                  <c:v>38819</c:v>
                </c:pt>
                <c:pt idx="2859">
                  <c:v>38820</c:v>
                </c:pt>
                <c:pt idx="2860">
                  <c:v>38824</c:v>
                </c:pt>
                <c:pt idx="2861">
                  <c:v>38825</c:v>
                </c:pt>
                <c:pt idx="2862">
                  <c:v>38826</c:v>
                </c:pt>
                <c:pt idx="2863">
                  <c:v>38827</c:v>
                </c:pt>
                <c:pt idx="2864">
                  <c:v>38828</c:v>
                </c:pt>
                <c:pt idx="2865">
                  <c:v>38831</c:v>
                </c:pt>
                <c:pt idx="2866">
                  <c:v>38832</c:v>
                </c:pt>
                <c:pt idx="2867">
                  <c:v>38833</c:v>
                </c:pt>
                <c:pt idx="2868">
                  <c:v>38834</c:v>
                </c:pt>
                <c:pt idx="2869">
                  <c:v>38835</c:v>
                </c:pt>
                <c:pt idx="2870">
                  <c:v>38838</c:v>
                </c:pt>
                <c:pt idx="2871">
                  <c:v>38839</c:v>
                </c:pt>
                <c:pt idx="2872">
                  <c:v>38840</c:v>
                </c:pt>
                <c:pt idx="2873">
                  <c:v>38841</c:v>
                </c:pt>
                <c:pt idx="2874">
                  <c:v>38842</c:v>
                </c:pt>
                <c:pt idx="2875">
                  <c:v>38845</c:v>
                </c:pt>
                <c:pt idx="2876">
                  <c:v>38846</c:v>
                </c:pt>
                <c:pt idx="2877">
                  <c:v>38847</c:v>
                </c:pt>
                <c:pt idx="2878">
                  <c:v>38848</c:v>
                </c:pt>
                <c:pt idx="2879">
                  <c:v>38849</c:v>
                </c:pt>
                <c:pt idx="2880">
                  <c:v>38852</c:v>
                </c:pt>
                <c:pt idx="2881">
                  <c:v>38853</c:v>
                </c:pt>
                <c:pt idx="2882">
                  <c:v>38854</c:v>
                </c:pt>
                <c:pt idx="2883">
                  <c:v>38855</c:v>
                </c:pt>
                <c:pt idx="2884">
                  <c:v>38856</c:v>
                </c:pt>
                <c:pt idx="2885">
                  <c:v>38859</c:v>
                </c:pt>
                <c:pt idx="2886">
                  <c:v>38860</c:v>
                </c:pt>
                <c:pt idx="2887">
                  <c:v>38861</c:v>
                </c:pt>
                <c:pt idx="2888">
                  <c:v>38862</c:v>
                </c:pt>
                <c:pt idx="2889">
                  <c:v>38863</c:v>
                </c:pt>
                <c:pt idx="2890">
                  <c:v>38867</c:v>
                </c:pt>
                <c:pt idx="2891">
                  <c:v>38868</c:v>
                </c:pt>
                <c:pt idx="2892">
                  <c:v>38869</c:v>
                </c:pt>
                <c:pt idx="2893">
                  <c:v>38870</c:v>
                </c:pt>
                <c:pt idx="2894">
                  <c:v>38873</c:v>
                </c:pt>
                <c:pt idx="2895">
                  <c:v>38874</c:v>
                </c:pt>
                <c:pt idx="2896">
                  <c:v>38875</c:v>
                </c:pt>
                <c:pt idx="2897">
                  <c:v>38876</c:v>
                </c:pt>
                <c:pt idx="2898">
                  <c:v>38877</c:v>
                </c:pt>
                <c:pt idx="2899">
                  <c:v>38880</c:v>
                </c:pt>
                <c:pt idx="2900">
                  <c:v>38881</c:v>
                </c:pt>
                <c:pt idx="2901">
                  <c:v>38882</c:v>
                </c:pt>
                <c:pt idx="2902">
                  <c:v>38883</c:v>
                </c:pt>
                <c:pt idx="2903">
                  <c:v>38884</c:v>
                </c:pt>
                <c:pt idx="2904">
                  <c:v>38887</c:v>
                </c:pt>
                <c:pt idx="2905">
                  <c:v>38888</c:v>
                </c:pt>
                <c:pt idx="2906">
                  <c:v>38889</c:v>
                </c:pt>
                <c:pt idx="2907">
                  <c:v>38890</c:v>
                </c:pt>
                <c:pt idx="2908">
                  <c:v>38891</c:v>
                </c:pt>
                <c:pt idx="2909">
                  <c:v>38894</c:v>
                </c:pt>
                <c:pt idx="2910">
                  <c:v>38895</c:v>
                </c:pt>
                <c:pt idx="2911">
                  <c:v>38896</c:v>
                </c:pt>
                <c:pt idx="2912">
                  <c:v>38897</c:v>
                </c:pt>
                <c:pt idx="2913">
                  <c:v>38898</c:v>
                </c:pt>
                <c:pt idx="2914">
                  <c:v>38901</c:v>
                </c:pt>
                <c:pt idx="2915">
                  <c:v>38903</c:v>
                </c:pt>
                <c:pt idx="2916">
                  <c:v>38904</c:v>
                </c:pt>
                <c:pt idx="2917">
                  <c:v>38905</c:v>
                </c:pt>
                <c:pt idx="2918">
                  <c:v>38908</c:v>
                </c:pt>
                <c:pt idx="2919">
                  <c:v>38909</c:v>
                </c:pt>
                <c:pt idx="2920">
                  <c:v>38910</c:v>
                </c:pt>
                <c:pt idx="2921">
                  <c:v>38911</c:v>
                </c:pt>
                <c:pt idx="2922">
                  <c:v>38912</c:v>
                </c:pt>
                <c:pt idx="2923">
                  <c:v>38915</c:v>
                </c:pt>
                <c:pt idx="2924">
                  <c:v>38916</c:v>
                </c:pt>
                <c:pt idx="2925">
                  <c:v>38917</c:v>
                </c:pt>
                <c:pt idx="2926">
                  <c:v>38918</c:v>
                </c:pt>
                <c:pt idx="2927">
                  <c:v>38919</c:v>
                </c:pt>
                <c:pt idx="2928">
                  <c:v>38922</c:v>
                </c:pt>
                <c:pt idx="2929">
                  <c:v>38923</c:v>
                </c:pt>
                <c:pt idx="2930">
                  <c:v>38924</c:v>
                </c:pt>
                <c:pt idx="2931">
                  <c:v>38925</c:v>
                </c:pt>
                <c:pt idx="2932">
                  <c:v>38926</c:v>
                </c:pt>
                <c:pt idx="2933">
                  <c:v>38929</c:v>
                </c:pt>
                <c:pt idx="2934">
                  <c:v>38930</c:v>
                </c:pt>
                <c:pt idx="2935">
                  <c:v>38931</c:v>
                </c:pt>
                <c:pt idx="2936">
                  <c:v>38932</c:v>
                </c:pt>
                <c:pt idx="2937">
                  <c:v>38933</c:v>
                </c:pt>
                <c:pt idx="2938">
                  <c:v>38936</c:v>
                </c:pt>
                <c:pt idx="2939">
                  <c:v>38937</c:v>
                </c:pt>
                <c:pt idx="2940">
                  <c:v>38938</c:v>
                </c:pt>
                <c:pt idx="2941">
                  <c:v>38939</c:v>
                </c:pt>
                <c:pt idx="2942">
                  <c:v>38940</c:v>
                </c:pt>
                <c:pt idx="2943">
                  <c:v>38943</c:v>
                </c:pt>
                <c:pt idx="2944">
                  <c:v>38944</c:v>
                </c:pt>
                <c:pt idx="2945">
                  <c:v>38945</c:v>
                </c:pt>
                <c:pt idx="2946">
                  <c:v>38946</c:v>
                </c:pt>
                <c:pt idx="2947">
                  <c:v>38947</c:v>
                </c:pt>
                <c:pt idx="2948">
                  <c:v>38950</c:v>
                </c:pt>
                <c:pt idx="2949">
                  <c:v>38951</c:v>
                </c:pt>
                <c:pt idx="2950">
                  <c:v>38952</c:v>
                </c:pt>
                <c:pt idx="2951">
                  <c:v>38953</c:v>
                </c:pt>
                <c:pt idx="2952">
                  <c:v>38954</c:v>
                </c:pt>
                <c:pt idx="2953">
                  <c:v>38957</c:v>
                </c:pt>
                <c:pt idx="2954">
                  <c:v>38958</c:v>
                </c:pt>
                <c:pt idx="2955">
                  <c:v>38959</c:v>
                </c:pt>
                <c:pt idx="2956">
                  <c:v>38960</c:v>
                </c:pt>
                <c:pt idx="2957">
                  <c:v>38961</c:v>
                </c:pt>
                <c:pt idx="2958">
                  <c:v>38965</c:v>
                </c:pt>
                <c:pt idx="2959">
                  <c:v>38966</c:v>
                </c:pt>
                <c:pt idx="2960">
                  <c:v>38967</c:v>
                </c:pt>
                <c:pt idx="2961">
                  <c:v>38968</c:v>
                </c:pt>
                <c:pt idx="2962">
                  <c:v>38971</c:v>
                </c:pt>
                <c:pt idx="2963">
                  <c:v>38972</c:v>
                </c:pt>
                <c:pt idx="2964">
                  <c:v>38973</c:v>
                </c:pt>
                <c:pt idx="2965">
                  <c:v>38974</c:v>
                </c:pt>
                <c:pt idx="2966">
                  <c:v>38975</c:v>
                </c:pt>
                <c:pt idx="2967">
                  <c:v>38978</c:v>
                </c:pt>
                <c:pt idx="2968">
                  <c:v>38979</c:v>
                </c:pt>
                <c:pt idx="2969">
                  <c:v>38980</c:v>
                </c:pt>
                <c:pt idx="2970">
                  <c:v>38981</c:v>
                </c:pt>
                <c:pt idx="2971">
                  <c:v>38982</c:v>
                </c:pt>
                <c:pt idx="2972">
                  <c:v>38985</c:v>
                </c:pt>
                <c:pt idx="2973">
                  <c:v>38986</c:v>
                </c:pt>
                <c:pt idx="2974">
                  <c:v>38987</c:v>
                </c:pt>
                <c:pt idx="2975">
                  <c:v>38988</c:v>
                </c:pt>
                <c:pt idx="2976">
                  <c:v>38989</c:v>
                </c:pt>
                <c:pt idx="2977">
                  <c:v>38992</c:v>
                </c:pt>
                <c:pt idx="2978">
                  <c:v>38993</c:v>
                </c:pt>
                <c:pt idx="2979">
                  <c:v>38994</c:v>
                </c:pt>
                <c:pt idx="2980">
                  <c:v>38995</c:v>
                </c:pt>
                <c:pt idx="2981">
                  <c:v>38996</c:v>
                </c:pt>
                <c:pt idx="2982">
                  <c:v>38999</c:v>
                </c:pt>
                <c:pt idx="2983">
                  <c:v>39000</c:v>
                </c:pt>
                <c:pt idx="2984">
                  <c:v>39001</c:v>
                </c:pt>
                <c:pt idx="2985">
                  <c:v>39002</c:v>
                </c:pt>
                <c:pt idx="2986">
                  <c:v>39003</c:v>
                </c:pt>
                <c:pt idx="2987">
                  <c:v>39006</c:v>
                </c:pt>
                <c:pt idx="2988">
                  <c:v>39007</c:v>
                </c:pt>
                <c:pt idx="2989">
                  <c:v>39008</c:v>
                </c:pt>
                <c:pt idx="2990">
                  <c:v>39009</c:v>
                </c:pt>
                <c:pt idx="2991">
                  <c:v>39010</c:v>
                </c:pt>
                <c:pt idx="2992">
                  <c:v>39013</c:v>
                </c:pt>
                <c:pt idx="2993">
                  <c:v>39014</c:v>
                </c:pt>
                <c:pt idx="2994">
                  <c:v>39015</c:v>
                </c:pt>
                <c:pt idx="2995">
                  <c:v>39016</c:v>
                </c:pt>
                <c:pt idx="2996">
                  <c:v>39017</c:v>
                </c:pt>
                <c:pt idx="2997">
                  <c:v>39020</c:v>
                </c:pt>
                <c:pt idx="2998">
                  <c:v>39021</c:v>
                </c:pt>
                <c:pt idx="2999">
                  <c:v>39022</c:v>
                </c:pt>
                <c:pt idx="3000">
                  <c:v>39023</c:v>
                </c:pt>
                <c:pt idx="3001">
                  <c:v>39024</c:v>
                </c:pt>
                <c:pt idx="3002">
                  <c:v>39027</c:v>
                </c:pt>
                <c:pt idx="3003">
                  <c:v>39028</c:v>
                </c:pt>
                <c:pt idx="3004">
                  <c:v>39029</c:v>
                </c:pt>
                <c:pt idx="3005">
                  <c:v>39030</c:v>
                </c:pt>
                <c:pt idx="3006">
                  <c:v>39031</c:v>
                </c:pt>
                <c:pt idx="3007">
                  <c:v>39034</c:v>
                </c:pt>
                <c:pt idx="3008">
                  <c:v>39035</c:v>
                </c:pt>
                <c:pt idx="3009">
                  <c:v>39036</c:v>
                </c:pt>
                <c:pt idx="3010">
                  <c:v>39037</c:v>
                </c:pt>
                <c:pt idx="3011">
                  <c:v>39038</c:v>
                </c:pt>
                <c:pt idx="3012">
                  <c:v>39041</c:v>
                </c:pt>
                <c:pt idx="3013">
                  <c:v>39042</c:v>
                </c:pt>
                <c:pt idx="3014">
                  <c:v>39043</c:v>
                </c:pt>
                <c:pt idx="3015">
                  <c:v>39045</c:v>
                </c:pt>
                <c:pt idx="3016">
                  <c:v>39048</c:v>
                </c:pt>
                <c:pt idx="3017">
                  <c:v>39049</c:v>
                </c:pt>
                <c:pt idx="3018">
                  <c:v>39050</c:v>
                </c:pt>
                <c:pt idx="3019">
                  <c:v>39051</c:v>
                </c:pt>
                <c:pt idx="3020">
                  <c:v>39052</c:v>
                </c:pt>
                <c:pt idx="3021">
                  <c:v>39055</c:v>
                </c:pt>
                <c:pt idx="3022">
                  <c:v>39056</c:v>
                </c:pt>
                <c:pt idx="3023">
                  <c:v>39057</c:v>
                </c:pt>
                <c:pt idx="3024">
                  <c:v>39058</c:v>
                </c:pt>
                <c:pt idx="3025">
                  <c:v>39059</c:v>
                </c:pt>
                <c:pt idx="3026">
                  <c:v>39062</c:v>
                </c:pt>
                <c:pt idx="3027">
                  <c:v>39063</c:v>
                </c:pt>
                <c:pt idx="3028">
                  <c:v>39064</c:v>
                </c:pt>
                <c:pt idx="3029">
                  <c:v>39065</c:v>
                </c:pt>
                <c:pt idx="3030">
                  <c:v>39066</c:v>
                </c:pt>
                <c:pt idx="3031">
                  <c:v>39069</c:v>
                </c:pt>
                <c:pt idx="3032">
                  <c:v>39070</c:v>
                </c:pt>
                <c:pt idx="3033">
                  <c:v>39071</c:v>
                </c:pt>
                <c:pt idx="3034">
                  <c:v>39072</c:v>
                </c:pt>
                <c:pt idx="3035">
                  <c:v>39073</c:v>
                </c:pt>
                <c:pt idx="3036">
                  <c:v>39077</c:v>
                </c:pt>
                <c:pt idx="3037">
                  <c:v>39078</c:v>
                </c:pt>
                <c:pt idx="3038">
                  <c:v>39079</c:v>
                </c:pt>
                <c:pt idx="3039">
                  <c:v>39080</c:v>
                </c:pt>
                <c:pt idx="3040">
                  <c:v>39085</c:v>
                </c:pt>
                <c:pt idx="3041">
                  <c:v>39086</c:v>
                </c:pt>
                <c:pt idx="3042">
                  <c:v>39087</c:v>
                </c:pt>
                <c:pt idx="3043">
                  <c:v>39090</c:v>
                </c:pt>
                <c:pt idx="3044">
                  <c:v>39091</c:v>
                </c:pt>
                <c:pt idx="3045">
                  <c:v>39092</c:v>
                </c:pt>
                <c:pt idx="3046">
                  <c:v>39093</c:v>
                </c:pt>
                <c:pt idx="3047">
                  <c:v>39094</c:v>
                </c:pt>
                <c:pt idx="3048">
                  <c:v>39098</c:v>
                </c:pt>
                <c:pt idx="3049">
                  <c:v>39099</c:v>
                </c:pt>
                <c:pt idx="3050">
                  <c:v>39100</c:v>
                </c:pt>
                <c:pt idx="3051">
                  <c:v>39101</c:v>
                </c:pt>
                <c:pt idx="3052">
                  <c:v>39104</c:v>
                </c:pt>
                <c:pt idx="3053">
                  <c:v>39105</c:v>
                </c:pt>
                <c:pt idx="3054">
                  <c:v>39106</c:v>
                </c:pt>
                <c:pt idx="3055">
                  <c:v>39107</c:v>
                </c:pt>
                <c:pt idx="3056">
                  <c:v>39108</c:v>
                </c:pt>
                <c:pt idx="3057">
                  <c:v>39111</c:v>
                </c:pt>
                <c:pt idx="3058">
                  <c:v>39112</c:v>
                </c:pt>
                <c:pt idx="3059">
                  <c:v>39113</c:v>
                </c:pt>
                <c:pt idx="3060">
                  <c:v>39114</c:v>
                </c:pt>
                <c:pt idx="3061">
                  <c:v>39115</c:v>
                </c:pt>
                <c:pt idx="3062">
                  <c:v>39118</c:v>
                </c:pt>
                <c:pt idx="3063">
                  <c:v>39119</c:v>
                </c:pt>
                <c:pt idx="3064">
                  <c:v>39120</c:v>
                </c:pt>
                <c:pt idx="3065">
                  <c:v>39121</c:v>
                </c:pt>
                <c:pt idx="3066">
                  <c:v>39122</c:v>
                </c:pt>
                <c:pt idx="3067">
                  <c:v>39125</c:v>
                </c:pt>
                <c:pt idx="3068">
                  <c:v>39126</c:v>
                </c:pt>
                <c:pt idx="3069">
                  <c:v>39127</c:v>
                </c:pt>
                <c:pt idx="3070">
                  <c:v>39128</c:v>
                </c:pt>
                <c:pt idx="3071">
                  <c:v>39129</c:v>
                </c:pt>
                <c:pt idx="3072">
                  <c:v>39133</c:v>
                </c:pt>
                <c:pt idx="3073">
                  <c:v>39134</c:v>
                </c:pt>
                <c:pt idx="3074">
                  <c:v>39135</c:v>
                </c:pt>
                <c:pt idx="3075">
                  <c:v>39136</c:v>
                </c:pt>
                <c:pt idx="3076">
                  <c:v>39139</c:v>
                </c:pt>
                <c:pt idx="3077">
                  <c:v>39140</c:v>
                </c:pt>
                <c:pt idx="3078">
                  <c:v>39141</c:v>
                </c:pt>
                <c:pt idx="3079">
                  <c:v>39142</c:v>
                </c:pt>
                <c:pt idx="3080">
                  <c:v>39143</c:v>
                </c:pt>
                <c:pt idx="3081">
                  <c:v>39146</c:v>
                </c:pt>
                <c:pt idx="3082">
                  <c:v>39147</c:v>
                </c:pt>
                <c:pt idx="3083">
                  <c:v>39148</c:v>
                </c:pt>
                <c:pt idx="3084">
                  <c:v>39149</c:v>
                </c:pt>
                <c:pt idx="3085">
                  <c:v>39150</c:v>
                </c:pt>
                <c:pt idx="3086">
                  <c:v>39153</c:v>
                </c:pt>
                <c:pt idx="3087">
                  <c:v>39154</c:v>
                </c:pt>
                <c:pt idx="3088">
                  <c:v>39155</c:v>
                </c:pt>
                <c:pt idx="3089">
                  <c:v>39156</c:v>
                </c:pt>
                <c:pt idx="3090">
                  <c:v>39157</c:v>
                </c:pt>
                <c:pt idx="3091">
                  <c:v>39160</c:v>
                </c:pt>
                <c:pt idx="3092">
                  <c:v>39161</c:v>
                </c:pt>
                <c:pt idx="3093">
                  <c:v>39162</c:v>
                </c:pt>
                <c:pt idx="3094">
                  <c:v>39163</c:v>
                </c:pt>
                <c:pt idx="3095">
                  <c:v>39164</c:v>
                </c:pt>
                <c:pt idx="3096">
                  <c:v>39167</c:v>
                </c:pt>
                <c:pt idx="3097">
                  <c:v>39168</c:v>
                </c:pt>
                <c:pt idx="3098">
                  <c:v>39169</c:v>
                </c:pt>
                <c:pt idx="3099">
                  <c:v>39170</c:v>
                </c:pt>
                <c:pt idx="3100">
                  <c:v>39171</c:v>
                </c:pt>
                <c:pt idx="3101">
                  <c:v>39174</c:v>
                </c:pt>
                <c:pt idx="3102">
                  <c:v>39175</c:v>
                </c:pt>
                <c:pt idx="3103">
                  <c:v>39176</c:v>
                </c:pt>
                <c:pt idx="3104">
                  <c:v>39177</c:v>
                </c:pt>
                <c:pt idx="3105">
                  <c:v>39181</c:v>
                </c:pt>
                <c:pt idx="3106">
                  <c:v>39182</c:v>
                </c:pt>
                <c:pt idx="3107">
                  <c:v>39183</c:v>
                </c:pt>
                <c:pt idx="3108">
                  <c:v>39184</c:v>
                </c:pt>
                <c:pt idx="3109">
                  <c:v>39185</c:v>
                </c:pt>
                <c:pt idx="3110">
                  <c:v>39188</c:v>
                </c:pt>
                <c:pt idx="3111">
                  <c:v>39189</c:v>
                </c:pt>
                <c:pt idx="3112">
                  <c:v>39190</c:v>
                </c:pt>
                <c:pt idx="3113">
                  <c:v>39191</c:v>
                </c:pt>
                <c:pt idx="3114">
                  <c:v>39192</c:v>
                </c:pt>
                <c:pt idx="3115">
                  <c:v>39195</c:v>
                </c:pt>
                <c:pt idx="3116">
                  <c:v>39196</c:v>
                </c:pt>
                <c:pt idx="3117">
                  <c:v>39197</c:v>
                </c:pt>
                <c:pt idx="3118">
                  <c:v>39198</c:v>
                </c:pt>
                <c:pt idx="3119">
                  <c:v>39199</c:v>
                </c:pt>
                <c:pt idx="3120">
                  <c:v>39202</c:v>
                </c:pt>
                <c:pt idx="3121">
                  <c:v>39203</c:v>
                </c:pt>
                <c:pt idx="3122">
                  <c:v>39204</c:v>
                </c:pt>
                <c:pt idx="3123">
                  <c:v>39205</c:v>
                </c:pt>
                <c:pt idx="3124">
                  <c:v>39206</c:v>
                </c:pt>
                <c:pt idx="3125">
                  <c:v>39209</c:v>
                </c:pt>
                <c:pt idx="3126">
                  <c:v>39210</c:v>
                </c:pt>
                <c:pt idx="3127">
                  <c:v>39211</c:v>
                </c:pt>
                <c:pt idx="3128">
                  <c:v>39212</c:v>
                </c:pt>
                <c:pt idx="3129">
                  <c:v>39213</c:v>
                </c:pt>
                <c:pt idx="3130">
                  <c:v>39216</c:v>
                </c:pt>
                <c:pt idx="3131">
                  <c:v>39217</c:v>
                </c:pt>
                <c:pt idx="3132">
                  <c:v>39218</c:v>
                </c:pt>
                <c:pt idx="3133">
                  <c:v>39219</c:v>
                </c:pt>
                <c:pt idx="3134">
                  <c:v>39220</c:v>
                </c:pt>
                <c:pt idx="3135">
                  <c:v>39223</c:v>
                </c:pt>
                <c:pt idx="3136">
                  <c:v>39224</c:v>
                </c:pt>
                <c:pt idx="3137">
                  <c:v>39225</c:v>
                </c:pt>
                <c:pt idx="3138">
                  <c:v>39226</c:v>
                </c:pt>
                <c:pt idx="3139">
                  <c:v>39227</c:v>
                </c:pt>
                <c:pt idx="3140">
                  <c:v>39231</c:v>
                </c:pt>
                <c:pt idx="3141">
                  <c:v>39232</c:v>
                </c:pt>
                <c:pt idx="3142">
                  <c:v>39233</c:v>
                </c:pt>
                <c:pt idx="3143">
                  <c:v>39234</c:v>
                </c:pt>
                <c:pt idx="3144">
                  <c:v>39237</c:v>
                </c:pt>
                <c:pt idx="3145">
                  <c:v>39238</c:v>
                </c:pt>
                <c:pt idx="3146">
                  <c:v>39239</c:v>
                </c:pt>
                <c:pt idx="3147">
                  <c:v>39240</c:v>
                </c:pt>
                <c:pt idx="3148">
                  <c:v>39241</c:v>
                </c:pt>
                <c:pt idx="3149">
                  <c:v>39244</c:v>
                </c:pt>
                <c:pt idx="3150">
                  <c:v>39245</c:v>
                </c:pt>
                <c:pt idx="3151">
                  <c:v>39246</c:v>
                </c:pt>
                <c:pt idx="3152">
                  <c:v>39247</c:v>
                </c:pt>
                <c:pt idx="3153">
                  <c:v>39248</c:v>
                </c:pt>
                <c:pt idx="3154">
                  <c:v>39251</c:v>
                </c:pt>
                <c:pt idx="3155">
                  <c:v>39252</c:v>
                </c:pt>
                <c:pt idx="3156">
                  <c:v>39253</c:v>
                </c:pt>
                <c:pt idx="3157">
                  <c:v>39254</c:v>
                </c:pt>
                <c:pt idx="3158">
                  <c:v>39255</c:v>
                </c:pt>
                <c:pt idx="3159">
                  <c:v>39258</c:v>
                </c:pt>
                <c:pt idx="3160">
                  <c:v>39259</c:v>
                </c:pt>
                <c:pt idx="3161">
                  <c:v>39260</c:v>
                </c:pt>
                <c:pt idx="3162">
                  <c:v>39261</c:v>
                </c:pt>
                <c:pt idx="3163">
                  <c:v>39262</c:v>
                </c:pt>
                <c:pt idx="3164">
                  <c:v>39265</c:v>
                </c:pt>
                <c:pt idx="3165">
                  <c:v>39266</c:v>
                </c:pt>
                <c:pt idx="3166">
                  <c:v>39268</c:v>
                </c:pt>
                <c:pt idx="3167">
                  <c:v>39269</c:v>
                </c:pt>
                <c:pt idx="3168">
                  <c:v>39272</c:v>
                </c:pt>
                <c:pt idx="3169">
                  <c:v>39273</c:v>
                </c:pt>
                <c:pt idx="3170">
                  <c:v>39274</c:v>
                </c:pt>
                <c:pt idx="3171">
                  <c:v>39275</c:v>
                </c:pt>
                <c:pt idx="3172">
                  <c:v>39276</c:v>
                </c:pt>
                <c:pt idx="3173">
                  <c:v>39279</c:v>
                </c:pt>
                <c:pt idx="3174">
                  <c:v>39280</c:v>
                </c:pt>
                <c:pt idx="3175">
                  <c:v>39281</c:v>
                </c:pt>
                <c:pt idx="3176">
                  <c:v>39282</c:v>
                </c:pt>
                <c:pt idx="3177">
                  <c:v>39283</c:v>
                </c:pt>
                <c:pt idx="3178">
                  <c:v>39286</c:v>
                </c:pt>
                <c:pt idx="3179">
                  <c:v>39287</c:v>
                </c:pt>
                <c:pt idx="3180">
                  <c:v>39288</c:v>
                </c:pt>
                <c:pt idx="3181">
                  <c:v>39289</c:v>
                </c:pt>
                <c:pt idx="3182">
                  <c:v>39290</c:v>
                </c:pt>
                <c:pt idx="3183">
                  <c:v>39293</c:v>
                </c:pt>
                <c:pt idx="3184">
                  <c:v>39294</c:v>
                </c:pt>
                <c:pt idx="3185">
                  <c:v>39295</c:v>
                </c:pt>
                <c:pt idx="3186">
                  <c:v>39296</c:v>
                </c:pt>
                <c:pt idx="3187">
                  <c:v>39297</c:v>
                </c:pt>
                <c:pt idx="3188">
                  <c:v>39300</c:v>
                </c:pt>
                <c:pt idx="3189">
                  <c:v>39301</c:v>
                </c:pt>
                <c:pt idx="3190">
                  <c:v>39302</c:v>
                </c:pt>
                <c:pt idx="3191">
                  <c:v>39303</c:v>
                </c:pt>
                <c:pt idx="3192">
                  <c:v>39304</c:v>
                </c:pt>
                <c:pt idx="3193">
                  <c:v>39307</c:v>
                </c:pt>
                <c:pt idx="3194">
                  <c:v>39308</c:v>
                </c:pt>
                <c:pt idx="3195">
                  <c:v>39309</c:v>
                </c:pt>
                <c:pt idx="3196">
                  <c:v>39310</c:v>
                </c:pt>
                <c:pt idx="3197">
                  <c:v>39311</c:v>
                </c:pt>
                <c:pt idx="3198">
                  <c:v>39314</c:v>
                </c:pt>
                <c:pt idx="3199">
                  <c:v>39315</c:v>
                </c:pt>
                <c:pt idx="3200">
                  <c:v>39316</c:v>
                </c:pt>
                <c:pt idx="3201">
                  <c:v>39317</c:v>
                </c:pt>
                <c:pt idx="3202">
                  <c:v>39318</c:v>
                </c:pt>
                <c:pt idx="3203">
                  <c:v>39321</c:v>
                </c:pt>
                <c:pt idx="3204">
                  <c:v>39322</c:v>
                </c:pt>
                <c:pt idx="3205">
                  <c:v>39323</c:v>
                </c:pt>
                <c:pt idx="3206">
                  <c:v>39324</c:v>
                </c:pt>
                <c:pt idx="3207">
                  <c:v>39325</c:v>
                </c:pt>
                <c:pt idx="3208">
                  <c:v>39329</c:v>
                </c:pt>
                <c:pt idx="3209">
                  <c:v>39330</c:v>
                </c:pt>
                <c:pt idx="3210">
                  <c:v>39331</c:v>
                </c:pt>
                <c:pt idx="3211">
                  <c:v>39332</c:v>
                </c:pt>
                <c:pt idx="3212">
                  <c:v>39335</c:v>
                </c:pt>
                <c:pt idx="3213">
                  <c:v>39336</c:v>
                </c:pt>
                <c:pt idx="3214">
                  <c:v>39337</c:v>
                </c:pt>
                <c:pt idx="3215">
                  <c:v>39338</c:v>
                </c:pt>
                <c:pt idx="3216">
                  <c:v>39339</c:v>
                </c:pt>
                <c:pt idx="3217">
                  <c:v>39342</c:v>
                </c:pt>
                <c:pt idx="3218">
                  <c:v>39343</c:v>
                </c:pt>
                <c:pt idx="3219">
                  <c:v>39344</c:v>
                </c:pt>
                <c:pt idx="3220">
                  <c:v>39345</c:v>
                </c:pt>
                <c:pt idx="3221">
                  <c:v>39346</c:v>
                </c:pt>
                <c:pt idx="3222">
                  <c:v>39349</c:v>
                </c:pt>
                <c:pt idx="3223">
                  <c:v>39350</c:v>
                </c:pt>
                <c:pt idx="3224">
                  <c:v>39351</c:v>
                </c:pt>
                <c:pt idx="3225">
                  <c:v>39352</c:v>
                </c:pt>
                <c:pt idx="3226">
                  <c:v>39353</c:v>
                </c:pt>
                <c:pt idx="3227">
                  <c:v>39356</c:v>
                </c:pt>
                <c:pt idx="3228">
                  <c:v>39357</c:v>
                </c:pt>
                <c:pt idx="3229">
                  <c:v>39358</c:v>
                </c:pt>
                <c:pt idx="3230">
                  <c:v>39359</c:v>
                </c:pt>
                <c:pt idx="3231">
                  <c:v>39360</c:v>
                </c:pt>
                <c:pt idx="3232">
                  <c:v>39363</c:v>
                </c:pt>
                <c:pt idx="3233">
                  <c:v>39364</c:v>
                </c:pt>
                <c:pt idx="3234">
                  <c:v>39365</c:v>
                </c:pt>
                <c:pt idx="3235">
                  <c:v>39366</c:v>
                </c:pt>
                <c:pt idx="3236">
                  <c:v>39367</c:v>
                </c:pt>
                <c:pt idx="3237">
                  <c:v>39370</c:v>
                </c:pt>
                <c:pt idx="3238">
                  <c:v>39371</c:v>
                </c:pt>
                <c:pt idx="3239">
                  <c:v>39372</c:v>
                </c:pt>
                <c:pt idx="3240">
                  <c:v>39373</c:v>
                </c:pt>
                <c:pt idx="3241">
                  <c:v>39374</c:v>
                </c:pt>
                <c:pt idx="3242">
                  <c:v>39377</c:v>
                </c:pt>
                <c:pt idx="3243">
                  <c:v>39378</c:v>
                </c:pt>
                <c:pt idx="3244">
                  <c:v>39379</c:v>
                </c:pt>
                <c:pt idx="3245">
                  <c:v>39380</c:v>
                </c:pt>
                <c:pt idx="3246">
                  <c:v>39381</c:v>
                </c:pt>
                <c:pt idx="3247">
                  <c:v>39384</c:v>
                </c:pt>
                <c:pt idx="3248">
                  <c:v>39385</c:v>
                </c:pt>
                <c:pt idx="3249">
                  <c:v>39386</c:v>
                </c:pt>
                <c:pt idx="3250">
                  <c:v>39387</c:v>
                </c:pt>
                <c:pt idx="3251">
                  <c:v>39388</c:v>
                </c:pt>
                <c:pt idx="3252">
                  <c:v>39391</c:v>
                </c:pt>
                <c:pt idx="3253">
                  <c:v>39392</c:v>
                </c:pt>
                <c:pt idx="3254">
                  <c:v>39393</c:v>
                </c:pt>
                <c:pt idx="3255">
                  <c:v>39394</c:v>
                </c:pt>
                <c:pt idx="3256">
                  <c:v>39395</c:v>
                </c:pt>
                <c:pt idx="3257">
                  <c:v>39398</c:v>
                </c:pt>
                <c:pt idx="3258">
                  <c:v>39399</c:v>
                </c:pt>
                <c:pt idx="3259">
                  <c:v>39400</c:v>
                </c:pt>
                <c:pt idx="3260">
                  <c:v>39401</c:v>
                </c:pt>
                <c:pt idx="3261">
                  <c:v>39402</c:v>
                </c:pt>
                <c:pt idx="3262">
                  <c:v>39405</c:v>
                </c:pt>
                <c:pt idx="3263">
                  <c:v>39406</c:v>
                </c:pt>
                <c:pt idx="3264">
                  <c:v>39407</c:v>
                </c:pt>
                <c:pt idx="3265">
                  <c:v>39409</c:v>
                </c:pt>
                <c:pt idx="3266">
                  <c:v>39412</c:v>
                </c:pt>
                <c:pt idx="3267">
                  <c:v>39413</c:v>
                </c:pt>
                <c:pt idx="3268">
                  <c:v>39414</c:v>
                </c:pt>
                <c:pt idx="3269">
                  <c:v>39415</c:v>
                </c:pt>
                <c:pt idx="3270">
                  <c:v>39416</c:v>
                </c:pt>
                <c:pt idx="3271">
                  <c:v>39419</c:v>
                </c:pt>
                <c:pt idx="3272">
                  <c:v>39420</c:v>
                </c:pt>
                <c:pt idx="3273">
                  <c:v>39421</c:v>
                </c:pt>
                <c:pt idx="3274">
                  <c:v>39422</c:v>
                </c:pt>
                <c:pt idx="3275">
                  <c:v>39423</c:v>
                </c:pt>
                <c:pt idx="3276">
                  <c:v>39426</c:v>
                </c:pt>
                <c:pt idx="3277">
                  <c:v>39427</c:v>
                </c:pt>
                <c:pt idx="3278">
                  <c:v>39428</c:v>
                </c:pt>
                <c:pt idx="3279">
                  <c:v>39429</c:v>
                </c:pt>
                <c:pt idx="3280">
                  <c:v>39430</c:v>
                </c:pt>
                <c:pt idx="3281">
                  <c:v>39433</c:v>
                </c:pt>
                <c:pt idx="3282">
                  <c:v>39434</c:v>
                </c:pt>
                <c:pt idx="3283">
                  <c:v>39435</c:v>
                </c:pt>
                <c:pt idx="3284">
                  <c:v>39436</c:v>
                </c:pt>
                <c:pt idx="3285">
                  <c:v>39437</c:v>
                </c:pt>
                <c:pt idx="3286">
                  <c:v>39440</c:v>
                </c:pt>
                <c:pt idx="3287">
                  <c:v>39442</c:v>
                </c:pt>
                <c:pt idx="3288">
                  <c:v>39443</c:v>
                </c:pt>
                <c:pt idx="3289">
                  <c:v>39444</c:v>
                </c:pt>
                <c:pt idx="3290">
                  <c:v>39447</c:v>
                </c:pt>
                <c:pt idx="3291">
                  <c:v>39449</c:v>
                </c:pt>
                <c:pt idx="3292">
                  <c:v>39450</c:v>
                </c:pt>
                <c:pt idx="3293">
                  <c:v>39451</c:v>
                </c:pt>
                <c:pt idx="3294">
                  <c:v>39454</c:v>
                </c:pt>
                <c:pt idx="3295">
                  <c:v>39455</c:v>
                </c:pt>
                <c:pt idx="3296">
                  <c:v>39456</c:v>
                </c:pt>
                <c:pt idx="3297">
                  <c:v>39457</c:v>
                </c:pt>
                <c:pt idx="3298">
                  <c:v>39458</c:v>
                </c:pt>
                <c:pt idx="3299">
                  <c:v>39461</c:v>
                </c:pt>
                <c:pt idx="3300">
                  <c:v>39462</c:v>
                </c:pt>
                <c:pt idx="3301">
                  <c:v>39463</c:v>
                </c:pt>
                <c:pt idx="3302">
                  <c:v>39464</c:v>
                </c:pt>
                <c:pt idx="3303">
                  <c:v>39465</c:v>
                </c:pt>
                <c:pt idx="3304">
                  <c:v>39469</c:v>
                </c:pt>
                <c:pt idx="3305">
                  <c:v>39470</c:v>
                </c:pt>
                <c:pt idx="3306">
                  <c:v>39471</c:v>
                </c:pt>
                <c:pt idx="3307">
                  <c:v>39472</c:v>
                </c:pt>
                <c:pt idx="3308">
                  <c:v>39475</c:v>
                </c:pt>
                <c:pt idx="3309">
                  <c:v>39476</c:v>
                </c:pt>
                <c:pt idx="3310">
                  <c:v>39477</c:v>
                </c:pt>
                <c:pt idx="3311">
                  <c:v>39478</c:v>
                </c:pt>
                <c:pt idx="3312">
                  <c:v>39479</c:v>
                </c:pt>
                <c:pt idx="3313">
                  <c:v>39482</c:v>
                </c:pt>
                <c:pt idx="3314">
                  <c:v>39483</c:v>
                </c:pt>
                <c:pt idx="3315">
                  <c:v>39484</c:v>
                </c:pt>
                <c:pt idx="3316">
                  <c:v>39485</c:v>
                </c:pt>
                <c:pt idx="3317">
                  <c:v>39486</c:v>
                </c:pt>
                <c:pt idx="3318">
                  <c:v>39489</c:v>
                </c:pt>
                <c:pt idx="3319">
                  <c:v>39490</c:v>
                </c:pt>
                <c:pt idx="3320">
                  <c:v>39491</c:v>
                </c:pt>
                <c:pt idx="3321">
                  <c:v>39492</c:v>
                </c:pt>
                <c:pt idx="3322">
                  <c:v>39493</c:v>
                </c:pt>
                <c:pt idx="3323">
                  <c:v>39497</c:v>
                </c:pt>
                <c:pt idx="3324">
                  <c:v>39498</c:v>
                </c:pt>
                <c:pt idx="3325">
                  <c:v>39499</c:v>
                </c:pt>
                <c:pt idx="3326">
                  <c:v>39500</c:v>
                </c:pt>
                <c:pt idx="3327">
                  <c:v>39503</c:v>
                </c:pt>
                <c:pt idx="3328">
                  <c:v>39504</c:v>
                </c:pt>
                <c:pt idx="3329">
                  <c:v>39505</c:v>
                </c:pt>
                <c:pt idx="3330">
                  <c:v>39506</c:v>
                </c:pt>
                <c:pt idx="3331">
                  <c:v>39507</c:v>
                </c:pt>
                <c:pt idx="3332">
                  <c:v>39510</c:v>
                </c:pt>
                <c:pt idx="3333">
                  <c:v>39511</c:v>
                </c:pt>
                <c:pt idx="3334">
                  <c:v>39512</c:v>
                </c:pt>
                <c:pt idx="3335">
                  <c:v>39513</c:v>
                </c:pt>
                <c:pt idx="3336">
                  <c:v>39514</c:v>
                </c:pt>
                <c:pt idx="3337">
                  <c:v>39517</c:v>
                </c:pt>
                <c:pt idx="3338">
                  <c:v>39518</c:v>
                </c:pt>
                <c:pt idx="3339">
                  <c:v>39519</c:v>
                </c:pt>
                <c:pt idx="3340">
                  <c:v>39520</c:v>
                </c:pt>
                <c:pt idx="3341">
                  <c:v>39521</c:v>
                </c:pt>
                <c:pt idx="3342">
                  <c:v>39524</c:v>
                </c:pt>
                <c:pt idx="3343">
                  <c:v>39525</c:v>
                </c:pt>
                <c:pt idx="3344">
                  <c:v>39526</c:v>
                </c:pt>
                <c:pt idx="3345">
                  <c:v>39527</c:v>
                </c:pt>
                <c:pt idx="3346">
                  <c:v>39531</c:v>
                </c:pt>
                <c:pt idx="3347">
                  <c:v>39532</c:v>
                </c:pt>
                <c:pt idx="3348">
                  <c:v>39533</c:v>
                </c:pt>
                <c:pt idx="3349">
                  <c:v>39534</c:v>
                </c:pt>
                <c:pt idx="3350">
                  <c:v>39535</c:v>
                </c:pt>
                <c:pt idx="3351">
                  <c:v>39538</c:v>
                </c:pt>
                <c:pt idx="3352">
                  <c:v>39539</c:v>
                </c:pt>
                <c:pt idx="3353">
                  <c:v>39540</c:v>
                </c:pt>
                <c:pt idx="3354">
                  <c:v>39541</c:v>
                </c:pt>
                <c:pt idx="3355">
                  <c:v>39542</c:v>
                </c:pt>
                <c:pt idx="3356">
                  <c:v>39545</c:v>
                </c:pt>
                <c:pt idx="3357">
                  <c:v>39546</c:v>
                </c:pt>
                <c:pt idx="3358">
                  <c:v>39547</c:v>
                </c:pt>
                <c:pt idx="3359">
                  <c:v>39548</c:v>
                </c:pt>
                <c:pt idx="3360">
                  <c:v>39549</c:v>
                </c:pt>
                <c:pt idx="3361">
                  <c:v>39552</c:v>
                </c:pt>
                <c:pt idx="3362">
                  <c:v>39553</c:v>
                </c:pt>
                <c:pt idx="3363">
                  <c:v>39554</c:v>
                </c:pt>
                <c:pt idx="3364">
                  <c:v>39555</c:v>
                </c:pt>
                <c:pt idx="3365">
                  <c:v>39556</c:v>
                </c:pt>
                <c:pt idx="3366">
                  <c:v>39559</c:v>
                </c:pt>
                <c:pt idx="3367">
                  <c:v>39560</c:v>
                </c:pt>
                <c:pt idx="3368">
                  <c:v>39561</c:v>
                </c:pt>
                <c:pt idx="3369">
                  <c:v>39562</c:v>
                </c:pt>
                <c:pt idx="3370">
                  <c:v>39563</c:v>
                </c:pt>
                <c:pt idx="3371">
                  <c:v>39566</c:v>
                </c:pt>
                <c:pt idx="3372">
                  <c:v>39567</c:v>
                </c:pt>
                <c:pt idx="3373">
                  <c:v>39568</c:v>
                </c:pt>
                <c:pt idx="3374">
                  <c:v>39569</c:v>
                </c:pt>
                <c:pt idx="3375">
                  <c:v>39570</c:v>
                </c:pt>
                <c:pt idx="3376">
                  <c:v>39573</c:v>
                </c:pt>
                <c:pt idx="3377">
                  <c:v>39574</c:v>
                </c:pt>
                <c:pt idx="3378">
                  <c:v>39575</c:v>
                </c:pt>
                <c:pt idx="3379">
                  <c:v>39576</c:v>
                </c:pt>
                <c:pt idx="3380">
                  <c:v>39577</c:v>
                </c:pt>
                <c:pt idx="3381">
                  <c:v>39580</c:v>
                </c:pt>
                <c:pt idx="3382">
                  <c:v>39581</c:v>
                </c:pt>
                <c:pt idx="3383">
                  <c:v>39582</c:v>
                </c:pt>
                <c:pt idx="3384">
                  <c:v>39583</c:v>
                </c:pt>
                <c:pt idx="3385">
                  <c:v>39584</c:v>
                </c:pt>
                <c:pt idx="3386">
                  <c:v>39587</c:v>
                </c:pt>
                <c:pt idx="3387">
                  <c:v>39588</c:v>
                </c:pt>
                <c:pt idx="3388">
                  <c:v>39589</c:v>
                </c:pt>
                <c:pt idx="3389">
                  <c:v>39590</c:v>
                </c:pt>
                <c:pt idx="3390">
                  <c:v>39591</c:v>
                </c:pt>
                <c:pt idx="3391">
                  <c:v>39595</c:v>
                </c:pt>
                <c:pt idx="3392">
                  <c:v>39596</c:v>
                </c:pt>
                <c:pt idx="3393">
                  <c:v>39597</c:v>
                </c:pt>
                <c:pt idx="3394">
                  <c:v>39598</c:v>
                </c:pt>
                <c:pt idx="3395">
                  <c:v>39601</c:v>
                </c:pt>
                <c:pt idx="3396">
                  <c:v>39602</c:v>
                </c:pt>
                <c:pt idx="3397">
                  <c:v>39603</c:v>
                </c:pt>
                <c:pt idx="3398">
                  <c:v>39604</c:v>
                </c:pt>
                <c:pt idx="3399">
                  <c:v>39605</c:v>
                </c:pt>
                <c:pt idx="3400">
                  <c:v>39608</c:v>
                </c:pt>
                <c:pt idx="3401">
                  <c:v>39609</c:v>
                </c:pt>
                <c:pt idx="3402">
                  <c:v>39610</c:v>
                </c:pt>
                <c:pt idx="3403">
                  <c:v>39611</c:v>
                </c:pt>
                <c:pt idx="3404">
                  <c:v>39612</c:v>
                </c:pt>
                <c:pt idx="3405">
                  <c:v>39615</c:v>
                </c:pt>
                <c:pt idx="3406">
                  <c:v>39616</c:v>
                </c:pt>
                <c:pt idx="3407">
                  <c:v>39617</c:v>
                </c:pt>
                <c:pt idx="3408">
                  <c:v>39618</c:v>
                </c:pt>
                <c:pt idx="3409">
                  <c:v>39619</c:v>
                </c:pt>
                <c:pt idx="3410">
                  <c:v>39622</c:v>
                </c:pt>
                <c:pt idx="3411">
                  <c:v>39623</c:v>
                </c:pt>
                <c:pt idx="3412">
                  <c:v>39624</c:v>
                </c:pt>
                <c:pt idx="3413">
                  <c:v>39625</c:v>
                </c:pt>
                <c:pt idx="3414">
                  <c:v>39626</c:v>
                </c:pt>
                <c:pt idx="3415">
                  <c:v>39629</c:v>
                </c:pt>
                <c:pt idx="3416">
                  <c:v>39630</c:v>
                </c:pt>
                <c:pt idx="3417">
                  <c:v>39631</c:v>
                </c:pt>
                <c:pt idx="3418">
                  <c:v>39632</c:v>
                </c:pt>
                <c:pt idx="3419">
                  <c:v>39636</c:v>
                </c:pt>
                <c:pt idx="3420">
                  <c:v>39637</c:v>
                </c:pt>
                <c:pt idx="3421">
                  <c:v>39638</c:v>
                </c:pt>
                <c:pt idx="3422">
                  <c:v>39639</c:v>
                </c:pt>
                <c:pt idx="3423">
                  <c:v>39640</c:v>
                </c:pt>
                <c:pt idx="3424">
                  <c:v>39643</c:v>
                </c:pt>
                <c:pt idx="3425">
                  <c:v>39644</c:v>
                </c:pt>
                <c:pt idx="3426">
                  <c:v>39645</c:v>
                </c:pt>
                <c:pt idx="3427">
                  <c:v>39646</c:v>
                </c:pt>
                <c:pt idx="3428">
                  <c:v>39647</c:v>
                </c:pt>
                <c:pt idx="3429">
                  <c:v>39650</c:v>
                </c:pt>
                <c:pt idx="3430">
                  <c:v>39651</c:v>
                </c:pt>
                <c:pt idx="3431">
                  <c:v>39652</c:v>
                </c:pt>
                <c:pt idx="3432">
                  <c:v>39653</c:v>
                </c:pt>
                <c:pt idx="3433">
                  <c:v>39654</c:v>
                </c:pt>
                <c:pt idx="3434">
                  <c:v>39657</c:v>
                </c:pt>
                <c:pt idx="3435">
                  <c:v>39658</c:v>
                </c:pt>
                <c:pt idx="3436">
                  <c:v>39659</c:v>
                </c:pt>
                <c:pt idx="3437">
                  <c:v>39660</c:v>
                </c:pt>
                <c:pt idx="3438">
                  <c:v>39661</c:v>
                </c:pt>
                <c:pt idx="3439">
                  <c:v>39664</c:v>
                </c:pt>
                <c:pt idx="3440">
                  <c:v>39665</c:v>
                </c:pt>
                <c:pt idx="3441">
                  <c:v>39666</c:v>
                </c:pt>
                <c:pt idx="3442">
                  <c:v>39667</c:v>
                </c:pt>
                <c:pt idx="3443">
                  <c:v>39668</c:v>
                </c:pt>
                <c:pt idx="3444">
                  <c:v>39671</c:v>
                </c:pt>
                <c:pt idx="3445">
                  <c:v>39672</c:v>
                </c:pt>
                <c:pt idx="3446">
                  <c:v>39673</c:v>
                </c:pt>
                <c:pt idx="3447">
                  <c:v>39674</c:v>
                </c:pt>
                <c:pt idx="3448">
                  <c:v>39675</c:v>
                </c:pt>
                <c:pt idx="3449">
                  <c:v>39678</c:v>
                </c:pt>
                <c:pt idx="3450">
                  <c:v>39679</c:v>
                </c:pt>
                <c:pt idx="3451">
                  <c:v>39680</c:v>
                </c:pt>
                <c:pt idx="3452">
                  <c:v>39681</c:v>
                </c:pt>
                <c:pt idx="3453">
                  <c:v>39682</c:v>
                </c:pt>
                <c:pt idx="3454">
                  <c:v>39685</c:v>
                </c:pt>
                <c:pt idx="3455">
                  <c:v>39686</c:v>
                </c:pt>
                <c:pt idx="3456">
                  <c:v>39687</c:v>
                </c:pt>
                <c:pt idx="3457">
                  <c:v>39688</c:v>
                </c:pt>
                <c:pt idx="3458">
                  <c:v>39689</c:v>
                </c:pt>
                <c:pt idx="3459">
                  <c:v>39693</c:v>
                </c:pt>
                <c:pt idx="3460">
                  <c:v>39694</c:v>
                </c:pt>
                <c:pt idx="3461">
                  <c:v>39695</c:v>
                </c:pt>
                <c:pt idx="3462">
                  <c:v>39696</c:v>
                </c:pt>
                <c:pt idx="3463">
                  <c:v>39699</c:v>
                </c:pt>
                <c:pt idx="3464">
                  <c:v>39700</c:v>
                </c:pt>
                <c:pt idx="3465">
                  <c:v>39701</c:v>
                </c:pt>
                <c:pt idx="3466">
                  <c:v>39702</c:v>
                </c:pt>
                <c:pt idx="3467">
                  <c:v>39703</c:v>
                </c:pt>
                <c:pt idx="3468">
                  <c:v>39706</c:v>
                </c:pt>
                <c:pt idx="3469">
                  <c:v>39707</c:v>
                </c:pt>
                <c:pt idx="3470">
                  <c:v>39708</c:v>
                </c:pt>
                <c:pt idx="3471">
                  <c:v>39709</c:v>
                </c:pt>
                <c:pt idx="3472">
                  <c:v>39710</c:v>
                </c:pt>
                <c:pt idx="3473">
                  <c:v>39713</c:v>
                </c:pt>
                <c:pt idx="3474">
                  <c:v>39714</c:v>
                </c:pt>
                <c:pt idx="3475">
                  <c:v>39715</c:v>
                </c:pt>
                <c:pt idx="3476">
                  <c:v>39716</c:v>
                </c:pt>
                <c:pt idx="3477">
                  <c:v>39717</c:v>
                </c:pt>
                <c:pt idx="3478">
                  <c:v>39720</c:v>
                </c:pt>
                <c:pt idx="3479">
                  <c:v>39721</c:v>
                </c:pt>
                <c:pt idx="3480">
                  <c:v>39722</c:v>
                </c:pt>
                <c:pt idx="3481">
                  <c:v>39723</c:v>
                </c:pt>
                <c:pt idx="3482">
                  <c:v>39724</c:v>
                </c:pt>
                <c:pt idx="3483">
                  <c:v>39727</c:v>
                </c:pt>
                <c:pt idx="3484">
                  <c:v>39728</c:v>
                </c:pt>
                <c:pt idx="3485">
                  <c:v>39729</c:v>
                </c:pt>
                <c:pt idx="3486">
                  <c:v>39730</c:v>
                </c:pt>
                <c:pt idx="3487">
                  <c:v>39731</c:v>
                </c:pt>
                <c:pt idx="3488">
                  <c:v>39734</c:v>
                </c:pt>
                <c:pt idx="3489">
                  <c:v>39735</c:v>
                </c:pt>
                <c:pt idx="3490">
                  <c:v>39736</c:v>
                </c:pt>
                <c:pt idx="3491">
                  <c:v>39737</c:v>
                </c:pt>
                <c:pt idx="3492">
                  <c:v>39738</c:v>
                </c:pt>
                <c:pt idx="3493">
                  <c:v>39741</c:v>
                </c:pt>
                <c:pt idx="3494">
                  <c:v>39742</c:v>
                </c:pt>
                <c:pt idx="3495">
                  <c:v>39743</c:v>
                </c:pt>
                <c:pt idx="3496">
                  <c:v>39744</c:v>
                </c:pt>
                <c:pt idx="3497">
                  <c:v>39745</c:v>
                </c:pt>
                <c:pt idx="3498">
                  <c:v>39748</c:v>
                </c:pt>
                <c:pt idx="3499">
                  <c:v>39749</c:v>
                </c:pt>
                <c:pt idx="3500">
                  <c:v>39750</c:v>
                </c:pt>
                <c:pt idx="3501">
                  <c:v>39751</c:v>
                </c:pt>
                <c:pt idx="3502">
                  <c:v>39752</c:v>
                </c:pt>
                <c:pt idx="3503">
                  <c:v>39755</c:v>
                </c:pt>
                <c:pt idx="3504">
                  <c:v>39756</c:v>
                </c:pt>
                <c:pt idx="3505">
                  <c:v>39757</c:v>
                </c:pt>
                <c:pt idx="3506">
                  <c:v>39758</c:v>
                </c:pt>
                <c:pt idx="3507">
                  <c:v>39759</c:v>
                </c:pt>
                <c:pt idx="3508">
                  <c:v>39762</c:v>
                </c:pt>
                <c:pt idx="3509">
                  <c:v>39763</c:v>
                </c:pt>
                <c:pt idx="3510">
                  <c:v>39764</c:v>
                </c:pt>
                <c:pt idx="3511">
                  <c:v>39765</c:v>
                </c:pt>
                <c:pt idx="3512">
                  <c:v>39766</c:v>
                </c:pt>
                <c:pt idx="3513">
                  <c:v>39769</c:v>
                </c:pt>
                <c:pt idx="3514">
                  <c:v>39770</c:v>
                </c:pt>
                <c:pt idx="3515">
                  <c:v>39771</c:v>
                </c:pt>
                <c:pt idx="3516">
                  <c:v>39772</c:v>
                </c:pt>
                <c:pt idx="3517">
                  <c:v>39773</c:v>
                </c:pt>
                <c:pt idx="3518">
                  <c:v>39776</c:v>
                </c:pt>
                <c:pt idx="3519">
                  <c:v>39777</c:v>
                </c:pt>
                <c:pt idx="3520">
                  <c:v>39778</c:v>
                </c:pt>
                <c:pt idx="3521">
                  <c:v>39780</c:v>
                </c:pt>
                <c:pt idx="3522">
                  <c:v>39783</c:v>
                </c:pt>
                <c:pt idx="3523">
                  <c:v>39784</c:v>
                </c:pt>
                <c:pt idx="3524">
                  <c:v>39785</c:v>
                </c:pt>
                <c:pt idx="3525">
                  <c:v>39786</c:v>
                </c:pt>
                <c:pt idx="3526">
                  <c:v>39787</c:v>
                </c:pt>
                <c:pt idx="3527">
                  <c:v>39790</c:v>
                </c:pt>
                <c:pt idx="3528">
                  <c:v>39791</c:v>
                </c:pt>
                <c:pt idx="3529">
                  <c:v>39792</c:v>
                </c:pt>
                <c:pt idx="3530">
                  <c:v>39793</c:v>
                </c:pt>
                <c:pt idx="3531">
                  <c:v>39794</c:v>
                </c:pt>
                <c:pt idx="3532">
                  <c:v>39797</c:v>
                </c:pt>
                <c:pt idx="3533">
                  <c:v>39798</c:v>
                </c:pt>
                <c:pt idx="3534">
                  <c:v>39799</c:v>
                </c:pt>
                <c:pt idx="3535">
                  <c:v>39800</c:v>
                </c:pt>
                <c:pt idx="3536">
                  <c:v>39801</c:v>
                </c:pt>
                <c:pt idx="3537">
                  <c:v>39804</c:v>
                </c:pt>
                <c:pt idx="3538">
                  <c:v>39805</c:v>
                </c:pt>
                <c:pt idx="3539">
                  <c:v>39806</c:v>
                </c:pt>
                <c:pt idx="3540">
                  <c:v>39808</c:v>
                </c:pt>
                <c:pt idx="3541">
                  <c:v>39811</c:v>
                </c:pt>
                <c:pt idx="3542">
                  <c:v>39812</c:v>
                </c:pt>
                <c:pt idx="3543">
                  <c:v>39813</c:v>
                </c:pt>
                <c:pt idx="3544">
                  <c:v>39815</c:v>
                </c:pt>
                <c:pt idx="3545">
                  <c:v>39818</c:v>
                </c:pt>
                <c:pt idx="3546">
                  <c:v>39819</c:v>
                </c:pt>
                <c:pt idx="3547">
                  <c:v>39820</c:v>
                </c:pt>
                <c:pt idx="3548">
                  <c:v>39821</c:v>
                </c:pt>
                <c:pt idx="3549">
                  <c:v>39822</c:v>
                </c:pt>
                <c:pt idx="3550">
                  <c:v>39825</c:v>
                </c:pt>
                <c:pt idx="3551">
                  <c:v>39826</c:v>
                </c:pt>
                <c:pt idx="3552">
                  <c:v>39827</c:v>
                </c:pt>
                <c:pt idx="3553">
                  <c:v>39828</c:v>
                </c:pt>
                <c:pt idx="3554">
                  <c:v>39829</c:v>
                </c:pt>
                <c:pt idx="3555">
                  <c:v>39833</c:v>
                </c:pt>
                <c:pt idx="3556">
                  <c:v>39834</c:v>
                </c:pt>
                <c:pt idx="3557">
                  <c:v>39835</c:v>
                </c:pt>
                <c:pt idx="3558">
                  <c:v>39836</c:v>
                </c:pt>
                <c:pt idx="3559">
                  <c:v>39839</c:v>
                </c:pt>
                <c:pt idx="3560">
                  <c:v>39840</c:v>
                </c:pt>
                <c:pt idx="3561">
                  <c:v>39841</c:v>
                </c:pt>
                <c:pt idx="3562">
                  <c:v>39842</c:v>
                </c:pt>
                <c:pt idx="3563">
                  <c:v>39843</c:v>
                </c:pt>
                <c:pt idx="3564">
                  <c:v>39846</c:v>
                </c:pt>
                <c:pt idx="3565">
                  <c:v>39847</c:v>
                </c:pt>
                <c:pt idx="3566">
                  <c:v>39848</c:v>
                </c:pt>
                <c:pt idx="3567">
                  <c:v>39849</c:v>
                </c:pt>
                <c:pt idx="3568">
                  <c:v>39850</c:v>
                </c:pt>
                <c:pt idx="3569">
                  <c:v>39853</c:v>
                </c:pt>
                <c:pt idx="3570">
                  <c:v>39854</c:v>
                </c:pt>
                <c:pt idx="3571">
                  <c:v>39855</c:v>
                </c:pt>
                <c:pt idx="3572">
                  <c:v>39856</c:v>
                </c:pt>
                <c:pt idx="3573">
                  <c:v>39857</c:v>
                </c:pt>
                <c:pt idx="3574">
                  <c:v>39861</c:v>
                </c:pt>
                <c:pt idx="3575">
                  <c:v>39862</c:v>
                </c:pt>
                <c:pt idx="3576">
                  <c:v>39863</c:v>
                </c:pt>
                <c:pt idx="3577">
                  <c:v>39864</c:v>
                </c:pt>
                <c:pt idx="3578">
                  <c:v>39867</c:v>
                </c:pt>
                <c:pt idx="3579">
                  <c:v>39868</c:v>
                </c:pt>
                <c:pt idx="3580">
                  <c:v>39869</c:v>
                </c:pt>
                <c:pt idx="3581">
                  <c:v>39870</c:v>
                </c:pt>
                <c:pt idx="3582">
                  <c:v>39871</c:v>
                </c:pt>
                <c:pt idx="3583">
                  <c:v>39874</c:v>
                </c:pt>
                <c:pt idx="3584">
                  <c:v>39875</c:v>
                </c:pt>
                <c:pt idx="3585">
                  <c:v>39876</c:v>
                </c:pt>
                <c:pt idx="3586">
                  <c:v>39877</c:v>
                </c:pt>
                <c:pt idx="3587">
                  <c:v>39878</c:v>
                </c:pt>
                <c:pt idx="3588">
                  <c:v>39881</c:v>
                </c:pt>
                <c:pt idx="3589">
                  <c:v>39882</c:v>
                </c:pt>
                <c:pt idx="3590">
                  <c:v>39883</c:v>
                </c:pt>
                <c:pt idx="3591">
                  <c:v>39884</c:v>
                </c:pt>
                <c:pt idx="3592">
                  <c:v>39885</c:v>
                </c:pt>
                <c:pt idx="3593">
                  <c:v>39888</c:v>
                </c:pt>
                <c:pt idx="3594">
                  <c:v>39889</c:v>
                </c:pt>
                <c:pt idx="3595">
                  <c:v>39890</c:v>
                </c:pt>
                <c:pt idx="3596">
                  <c:v>39891</c:v>
                </c:pt>
                <c:pt idx="3597">
                  <c:v>39892</c:v>
                </c:pt>
                <c:pt idx="3598">
                  <c:v>39895</c:v>
                </c:pt>
                <c:pt idx="3599">
                  <c:v>39896</c:v>
                </c:pt>
                <c:pt idx="3600">
                  <c:v>39897</c:v>
                </c:pt>
                <c:pt idx="3601">
                  <c:v>39898</c:v>
                </c:pt>
                <c:pt idx="3602">
                  <c:v>39899</c:v>
                </c:pt>
                <c:pt idx="3603">
                  <c:v>39902</c:v>
                </c:pt>
                <c:pt idx="3604">
                  <c:v>39903</c:v>
                </c:pt>
                <c:pt idx="3605">
                  <c:v>39904</c:v>
                </c:pt>
                <c:pt idx="3606">
                  <c:v>39905</c:v>
                </c:pt>
                <c:pt idx="3607">
                  <c:v>39906</c:v>
                </c:pt>
                <c:pt idx="3608">
                  <c:v>39909</c:v>
                </c:pt>
                <c:pt idx="3609">
                  <c:v>39910</c:v>
                </c:pt>
                <c:pt idx="3610">
                  <c:v>39911</c:v>
                </c:pt>
                <c:pt idx="3611">
                  <c:v>39912</c:v>
                </c:pt>
                <c:pt idx="3612">
                  <c:v>39916</c:v>
                </c:pt>
                <c:pt idx="3613">
                  <c:v>39917</c:v>
                </c:pt>
                <c:pt idx="3614">
                  <c:v>39918</c:v>
                </c:pt>
                <c:pt idx="3615">
                  <c:v>39919</c:v>
                </c:pt>
                <c:pt idx="3616">
                  <c:v>39920</c:v>
                </c:pt>
                <c:pt idx="3617">
                  <c:v>39923</c:v>
                </c:pt>
                <c:pt idx="3618">
                  <c:v>39924</c:v>
                </c:pt>
                <c:pt idx="3619">
                  <c:v>39925</c:v>
                </c:pt>
                <c:pt idx="3620">
                  <c:v>39926</c:v>
                </c:pt>
                <c:pt idx="3621">
                  <c:v>39927</c:v>
                </c:pt>
                <c:pt idx="3622">
                  <c:v>39930</c:v>
                </c:pt>
                <c:pt idx="3623">
                  <c:v>39931</c:v>
                </c:pt>
                <c:pt idx="3624">
                  <c:v>39932</c:v>
                </c:pt>
                <c:pt idx="3625">
                  <c:v>39933</c:v>
                </c:pt>
                <c:pt idx="3626">
                  <c:v>39934</c:v>
                </c:pt>
                <c:pt idx="3627">
                  <c:v>39937</c:v>
                </c:pt>
                <c:pt idx="3628">
                  <c:v>39938</c:v>
                </c:pt>
                <c:pt idx="3629">
                  <c:v>39939</c:v>
                </c:pt>
                <c:pt idx="3630">
                  <c:v>39940</c:v>
                </c:pt>
                <c:pt idx="3631">
                  <c:v>39941</c:v>
                </c:pt>
                <c:pt idx="3632">
                  <c:v>39944</c:v>
                </c:pt>
                <c:pt idx="3633">
                  <c:v>39945</c:v>
                </c:pt>
                <c:pt idx="3634">
                  <c:v>39946</c:v>
                </c:pt>
                <c:pt idx="3635">
                  <c:v>39947</c:v>
                </c:pt>
                <c:pt idx="3636">
                  <c:v>39948</c:v>
                </c:pt>
                <c:pt idx="3637">
                  <c:v>39951</c:v>
                </c:pt>
                <c:pt idx="3638">
                  <c:v>39952</c:v>
                </c:pt>
                <c:pt idx="3639">
                  <c:v>39953</c:v>
                </c:pt>
                <c:pt idx="3640">
                  <c:v>39954</c:v>
                </c:pt>
                <c:pt idx="3641">
                  <c:v>39955</c:v>
                </c:pt>
                <c:pt idx="3642">
                  <c:v>39959</c:v>
                </c:pt>
                <c:pt idx="3643">
                  <c:v>39960</c:v>
                </c:pt>
                <c:pt idx="3644">
                  <c:v>39961</c:v>
                </c:pt>
                <c:pt idx="3645">
                  <c:v>39962</c:v>
                </c:pt>
                <c:pt idx="3646">
                  <c:v>39965</c:v>
                </c:pt>
                <c:pt idx="3647">
                  <c:v>39966</c:v>
                </c:pt>
                <c:pt idx="3648">
                  <c:v>39967</c:v>
                </c:pt>
                <c:pt idx="3649">
                  <c:v>39968</c:v>
                </c:pt>
                <c:pt idx="3650">
                  <c:v>39969</c:v>
                </c:pt>
                <c:pt idx="3651">
                  <c:v>39972</c:v>
                </c:pt>
                <c:pt idx="3652">
                  <c:v>39973</c:v>
                </c:pt>
                <c:pt idx="3653">
                  <c:v>39974</c:v>
                </c:pt>
                <c:pt idx="3654">
                  <c:v>39975</c:v>
                </c:pt>
                <c:pt idx="3655">
                  <c:v>39976</c:v>
                </c:pt>
                <c:pt idx="3656">
                  <c:v>39979</c:v>
                </c:pt>
                <c:pt idx="3657">
                  <c:v>39980</c:v>
                </c:pt>
                <c:pt idx="3658">
                  <c:v>39981</c:v>
                </c:pt>
                <c:pt idx="3659">
                  <c:v>39982</c:v>
                </c:pt>
                <c:pt idx="3660">
                  <c:v>39983</c:v>
                </c:pt>
                <c:pt idx="3661">
                  <c:v>39986</c:v>
                </c:pt>
                <c:pt idx="3662">
                  <c:v>39987</c:v>
                </c:pt>
                <c:pt idx="3663">
                  <c:v>39988</c:v>
                </c:pt>
                <c:pt idx="3664">
                  <c:v>39989</c:v>
                </c:pt>
                <c:pt idx="3665">
                  <c:v>39990</c:v>
                </c:pt>
                <c:pt idx="3666">
                  <c:v>39993</c:v>
                </c:pt>
                <c:pt idx="3667">
                  <c:v>39994</c:v>
                </c:pt>
                <c:pt idx="3668">
                  <c:v>39995</c:v>
                </c:pt>
                <c:pt idx="3669">
                  <c:v>39996</c:v>
                </c:pt>
                <c:pt idx="3670">
                  <c:v>40000</c:v>
                </c:pt>
                <c:pt idx="3671">
                  <c:v>40001</c:v>
                </c:pt>
                <c:pt idx="3672">
                  <c:v>40002</c:v>
                </c:pt>
                <c:pt idx="3673">
                  <c:v>40003</c:v>
                </c:pt>
                <c:pt idx="3674">
                  <c:v>40004</c:v>
                </c:pt>
                <c:pt idx="3675">
                  <c:v>40007</c:v>
                </c:pt>
                <c:pt idx="3676">
                  <c:v>40008</c:v>
                </c:pt>
                <c:pt idx="3677">
                  <c:v>40009</c:v>
                </c:pt>
                <c:pt idx="3678">
                  <c:v>40010</c:v>
                </c:pt>
                <c:pt idx="3679">
                  <c:v>40011</c:v>
                </c:pt>
                <c:pt idx="3680">
                  <c:v>40014</c:v>
                </c:pt>
                <c:pt idx="3681">
                  <c:v>40015</c:v>
                </c:pt>
                <c:pt idx="3682">
                  <c:v>40016</c:v>
                </c:pt>
                <c:pt idx="3683">
                  <c:v>40017</c:v>
                </c:pt>
                <c:pt idx="3684">
                  <c:v>40018</c:v>
                </c:pt>
                <c:pt idx="3685">
                  <c:v>40021</c:v>
                </c:pt>
                <c:pt idx="3686">
                  <c:v>40022</c:v>
                </c:pt>
                <c:pt idx="3687">
                  <c:v>40023</c:v>
                </c:pt>
                <c:pt idx="3688">
                  <c:v>40024</c:v>
                </c:pt>
                <c:pt idx="3689">
                  <c:v>40025</c:v>
                </c:pt>
                <c:pt idx="3690">
                  <c:v>40028</c:v>
                </c:pt>
                <c:pt idx="3691">
                  <c:v>40029</c:v>
                </c:pt>
                <c:pt idx="3692">
                  <c:v>40030</c:v>
                </c:pt>
                <c:pt idx="3693">
                  <c:v>40031</c:v>
                </c:pt>
                <c:pt idx="3694">
                  <c:v>40032</c:v>
                </c:pt>
                <c:pt idx="3695">
                  <c:v>40035</c:v>
                </c:pt>
                <c:pt idx="3696">
                  <c:v>40036</c:v>
                </c:pt>
                <c:pt idx="3697">
                  <c:v>40037</c:v>
                </c:pt>
                <c:pt idx="3698">
                  <c:v>40038</c:v>
                </c:pt>
                <c:pt idx="3699">
                  <c:v>40039</c:v>
                </c:pt>
                <c:pt idx="3700">
                  <c:v>40042</c:v>
                </c:pt>
                <c:pt idx="3701">
                  <c:v>40043</c:v>
                </c:pt>
                <c:pt idx="3702">
                  <c:v>40044</c:v>
                </c:pt>
                <c:pt idx="3703">
                  <c:v>40045</c:v>
                </c:pt>
                <c:pt idx="3704">
                  <c:v>40046</c:v>
                </c:pt>
                <c:pt idx="3705">
                  <c:v>40049</c:v>
                </c:pt>
                <c:pt idx="3706">
                  <c:v>40050</c:v>
                </c:pt>
                <c:pt idx="3707">
                  <c:v>40051</c:v>
                </c:pt>
                <c:pt idx="3708">
                  <c:v>40052</c:v>
                </c:pt>
                <c:pt idx="3709">
                  <c:v>40053</c:v>
                </c:pt>
                <c:pt idx="3710">
                  <c:v>40056</c:v>
                </c:pt>
                <c:pt idx="3711">
                  <c:v>40057</c:v>
                </c:pt>
                <c:pt idx="3712">
                  <c:v>40058</c:v>
                </c:pt>
                <c:pt idx="3713">
                  <c:v>40059</c:v>
                </c:pt>
                <c:pt idx="3714">
                  <c:v>40060</c:v>
                </c:pt>
                <c:pt idx="3715">
                  <c:v>40064</c:v>
                </c:pt>
                <c:pt idx="3716">
                  <c:v>40065</c:v>
                </c:pt>
                <c:pt idx="3717">
                  <c:v>40066</c:v>
                </c:pt>
                <c:pt idx="3718">
                  <c:v>40067</c:v>
                </c:pt>
                <c:pt idx="3719">
                  <c:v>40070</c:v>
                </c:pt>
                <c:pt idx="3720">
                  <c:v>40071</c:v>
                </c:pt>
                <c:pt idx="3721">
                  <c:v>40072</c:v>
                </c:pt>
                <c:pt idx="3722">
                  <c:v>40073</c:v>
                </c:pt>
                <c:pt idx="3723">
                  <c:v>40074</c:v>
                </c:pt>
                <c:pt idx="3724">
                  <c:v>40077</c:v>
                </c:pt>
                <c:pt idx="3725">
                  <c:v>40078</c:v>
                </c:pt>
                <c:pt idx="3726">
                  <c:v>40079</c:v>
                </c:pt>
                <c:pt idx="3727">
                  <c:v>40080</c:v>
                </c:pt>
                <c:pt idx="3728">
                  <c:v>40081</c:v>
                </c:pt>
                <c:pt idx="3729">
                  <c:v>40084</c:v>
                </c:pt>
                <c:pt idx="3730">
                  <c:v>40085</c:v>
                </c:pt>
                <c:pt idx="3731">
                  <c:v>40086</c:v>
                </c:pt>
                <c:pt idx="3732">
                  <c:v>40087</c:v>
                </c:pt>
                <c:pt idx="3733">
                  <c:v>40088</c:v>
                </c:pt>
                <c:pt idx="3734">
                  <c:v>40091</c:v>
                </c:pt>
                <c:pt idx="3735">
                  <c:v>40092</c:v>
                </c:pt>
                <c:pt idx="3736">
                  <c:v>40093</c:v>
                </c:pt>
                <c:pt idx="3737">
                  <c:v>40094</c:v>
                </c:pt>
                <c:pt idx="3738">
                  <c:v>40095</c:v>
                </c:pt>
                <c:pt idx="3739">
                  <c:v>40098</c:v>
                </c:pt>
                <c:pt idx="3740">
                  <c:v>40099</c:v>
                </c:pt>
                <c:pt idx="3741">
                  <c:v>40100</c:v>
                </c:pt>
                <c:pt idx="3742">
                  <c:v>40101</c:v>
                </c:pt>
                <c:pt idx="3743">
                  <c:v>40102</c:v>
                </c:pt>
                <c:pt idx="3744">
                  <c:v>40105</c:v>
                </c:pt>
                <c:pt idx="3745">
                  <c:v>40106</c:v>
                </c:pt>
                <c:pt idx="3746">
                  <c:v>40107</c:v>
                </c:pt>
                <c:pt idx="3747">
                  <c:v>40108</c:v>
                </c:pt>
                <c:pt idx="3748">
                  <c:v>40109</c:v>
                </c:pt>
                <c:pt idx="3749">
                  <c:v>40112</c:v>
                </c:pt>
                <c:pt idx="3750">
                  <c:v>40113</c:v>
                </c:pt>
                <c:pt idx="3751">
                  <c:v>40114</c:v>
                </c:pt>
                <c:pt idx="3752">
                  <c:v>40115</c:v>
                </c:pt>
                <c:pt idx="3753">
                  <c:v>40116</c:v>
                </c:pt>
                <c:pt idx="3754">
                  <c:v>40119</c:v>
                </c:pt>
                <c:pt idx="3755">
                  <c:v>40120</c:v>
                </c:pt>
                <c:pt idx="3756">
                  <c:v>40121</c:v>
                </c:pt>
                <c:pt idx="3757">
                  <c:v>40122</c:v>
                </c:pt>
                <c:pt idx="3758">
                  <c:v>40123</c:v>
                </c:pt>
                <c:pt idx="3759">
                  <c:v>40126</c:v>
                </c:pt>
                <c:pt idx="3760">
                  <c:v>40127</c:v>
                </c:pt>
                <c:pt idx="3761">
                  <c:v>40128</c:v>
                </c:pt>
                <c:pt idx="3762">
                  <c:v>40129</c:v>
                </c:pt>
                <c:pt idx="3763">
                  <c:v>40130</c:v>
                </c:pt>
                <c:pt idx="3764">
                  <c:v>40133</c:v>
                </c:pt>
                <c:pt idx="3765">
                  <c:v>40134</c:v>
                </c:pt>
                <c:pt idx="3766">
                  <c:v>40135</c:v>
                </c:pt>
                <c:pt idx="3767">
                  <c:v>40136</c:v>
                </c:pt>
                <c:pt idx="3768">
                  <c:v>40137</c:v>
                </c:pt>
                <c:pt idx="3769">
                  <c:v>40140</c:v>
                </c:pt>
                <c:pt idx="3770">
                  <c:v>40141</c:v>
                </c:pt>
                <c:pt idx="3771">
                  <c:v>40142</c:v>
                </c:pt>
                <c:pt idx="3772">
                  <c:v>40144</c:v>
                </c:pt>
                <c:pt idx="3773">
                  <c:v>40147</c:v>
                </c:pt>
                <c:pt idx="3774">
                  <c:v>40148</c:v>
                </c:pt>
                <c:pt idx="3775">
                  <c:v>40149</c:v>
                </c:pt>
                <c:pt idx="3776">
                  <c:v>40150</c:v>
                </c:pt>
                <c:pt idx="3777">
                  <c:v>40151</c:v>
                </c:pt>
                <c:pt idx="3778">
                  <c:v>40154</c:v>
                </c:pt>
                <c:pt idx="3779">
                  <c:v>40155</c:v>
                </c:pt>
                <c:pt idx="3780">
                  <c:v>40156</c:v>
                </c:pt>
                <c:pt idx="3781">
                  <c:v>40157</c:v>
                </c:pt>
                <c:pt idx="3782">
                  <c:v>40158</c:v>
                </c:pt>
                <c:pt idx="3783">
                  <c:v>40161</c:v>
                </c:pt>
                <c:pt idx="3784">
                  <c:v>40162</c:v>
                </c:pt>
                <c:pt idx="3785">
                  <c:v>40163</c:v>
                </c:pt>
                <c:pt idx="3786">
                  <c:v>40164</c:v>
                </c:pt>
                <c:pt idx="3787">
                  <c:v>40165</c:v>
                </c:pt>
                <c:pt idx="3788">
                  <c:v>40168</c:v>
                </c:pt>
                <c:pt idx="3789">
                  <c:v>40169</c:v>
                </c:pt>
                <c:pt idx="3790">
                  <c:v>40170</c:v>
                </c:pt>
                <c:pt idx="3791">
                  <c:v>40171</c:v>
                </c:pt>
                <c:pt idx="3792">
                  <c:v>40175</c:v>
                </c:pt>
                <c:pt idx="3793">
                  <c:v>40176</c:v>
                </c:pt>
                <c:pt idx="3794">
                  <c:v>40177</c:v>
                </c:pt>
                <c:pt idx="3795">
                  <c:v>40178</c:v>
                </c:pt>
                <c:pt idx="3796">
                  <c:v>40182</c:v>
                </c:pt>
                <c:pt idx="3797">
                  <c:v>40183</c:v>
                </c:pt>
                <c:pt idx="3798">
                  <c:v>40184</c:v>
                </c:pt>
                <c:pt idx="3799">
                  <c:v>40185</c:v>
                </c:pt>
                <c:pt idx="3800">
                  <c:v>40186</c:v>
                </c:pt>
                <c:pt idx="3801">
                  <c:v>40189</c:v>
                </c:pt>
                <c:pt idx="3802">
                  <c:v>40190</c:v>
                </c:pt>
                <c:pt idx="3803">
                  <c:v>40191</c:v>
                </c:pt>
                <c:pt idx="3804">
                  <c:v>40192</c:v>
                </c:pt>
                <c:pt idx="3805">
                  <c:v>40193</c:v>
                </c:pt>
                <c:pt idx="3806">
                  <c:v>40197</c:v>
                </c:pt>
                <c:pt idx="3807">
                  <c:v>40198</c:v>
                </c:pt>
                <c:pt idx="3808">
                  <c:v>40199</c:v>
                </c:pt>
                <c:pt idx="3809">
                  <c:v>40200</c:v>
                </c:pt>
                <c:pt idx="3810">
                  <c:v>40203</c:v>
                </c:pt>
                <c:pt idx="3811">
                  <c:v>40204</c:v>
                </c:pt>
                <c:pt idx="3812">
                  <c:v>40205</c:v>
                </c:pt>
                <c:pt idx="3813">
                  <c:v>40206</c:v>
                </c:pt>
                <c:pt idx="3814">
                  <c:v>40207</c:v>
                </c:pt>
                <c:pt idx="3815">
                  <c:v>40210</c:v>
                </c:pt>
                <c:pt idx="3816">
                  <c:v>40211</c:v>
                </c:pt>
                <c:pt idx="3817">
                  <c:v>40212</c:v>
                </c:pt>
                <c:pt idx="3818">
                  <c:v>40213</c:v>
                </c:pt>
                <c:pt idx="3819">
                  <c:v>40214</c:v>
                </c:pt>
                <c:pt idx="3820">
                  <c:v>40217</c:v>
                </c:pt>
                <c:pt idx="3821">
                  <c:v>40218</c:v>
                </c:pt>
                <c:pt idx="3822">
                  <c:v>40219</c:v>
                </c:pt>
                <c:pt idx="3823">
                  <c:v>40220</c:v>
                </c:pt>
                <c:pt idx="3824">
                  <c:v>40221</c:v>
                </c:pt>
                <c:pt idx="3825">
                  <c:v>40225</c:v>
                </c:pt>
                <c:pt idx="3826">
                  <c:v>40226</c:v>
                </c:pt>
                <c:pt idx="3827">
                  <c:v>40227</c:v>
                </c:pt>
                <c:pt idx="3828">
                  <c:v>40228</c:v>
                </c:pt>
                <c:pt idx="3829">
                  <c:v>40231</c:v>
                </c:pt>
                <c:pt idx="3830">
                  <c:v>40232</c:v>
                </c:pt>
                <c:pt idx="3831">
                  <c:v>40233</c:v>
                </c:pt>
                <c:pt idx="3832">
                  <c:v>40234</c:v>
                </c:pt>
                <c:pt idx="3833">
                  <c:v>40235</c:v>
                </c:pt>
                <c:pt idx="3834">
                  <c:v>40238</c:v>
                </c:pt>
                <c:pt idx="3835">
                  <c:v>40239</c:v>
                </c:pt>
                <c:pt idx="3836">
                  <c:v>40240</c:v>
                </c:pt>
                <c:pt idx="3837">
                  <c:v>40241</c:v>
                </c:pt>
                <c:pt idx="3838">
                  <c:v>40242</c:v>
                </c:pt>
                <c:pt idx="3839">
                  <c:v>40245</c:v>
                </c:pt>
                <c:pt idx="3840">
                  <c:v>40246</c:v>
                </c:pt>
                <c:pt idx="3841">
                  <c:v>40247</c:v>
                </c:pt>
                <c:pt idx="3842">
                  <c:v>40248</c:v>
                </c:pt>
                <c:pt idx="3843">
                  <c:v>40249</c:v>
                </c:pt>
                <c:pt idx="3844">
                  <c:v>40252</c:v>
                </c:pt>
                <c:pt idx="3845">
                  <c:v>40253</c:v>
                </c:pt>
                <c:pt idx="3846">
                  <c:v>40254</c:v>
                </c:pt>
                <c:pt idx="3847">
                  <c:v>40255</c:v>
                </c:pt>
                <c:pt idx="3848">
                  <c:v>40256</c:v>
                </c:pt>
                <c:pt idx="3849">
                  <c:v>40259</c:v>
                </c:pt>
                <c:pt idx="3850">
                  <c:v>40260</c:v>
                </c:pt>
                <c:pt idx="3851">
                  <c:v>40261</c:v>
                </c:pt>
                <c:pt idx="3852">
                  <c:v>40262</c:v>
                </c:pt>
                <c:pt idx="3853">
                  <c:v>40263</c:v>
                </c:pt>
                <c:pt idx="3854">
                  <c:v>40266</c:v>
                </c:pt>
                <c:pt idx="3855">
                  <c:v>40267</c:v>
                </c:pt>
                <c:pt idx="3856">
                  <c:v>40268</c:v>
                </c:pt>
                <c:pt idx="3857">
                  <c:v>40269</c:v>
                </c:pt>
                <c:pt idx="3858">
                  <c:v>40273</c:v>
                </c:pt>
                <c:pt idx="3859">
                  <c:v>40274</c:v>
                </c:pt>
                <c:pt idx="3860">
                  <c:v>40275</c:v>
                </c:pt>
                <c:pt idx="3861">
                  <c:v>40276</c:v>
                </c:pt>
                <c:pt idx="3862">
                  <c:v>40277</c:v>
                </c:pt>
                <c:pt idx="3863">
                  <c:v>40280</c:v>
                </c:pt>
                <c:pt idx="3864">
                  <c:v>40281</c:v>
                </c:pt>
                <c:pt idx="3865">
                  <c:v>40282</c:v>
                </c:pt>
                <c:pt idx="3866">
                  <c:v>40283</c:v>
                </c:pt>
                <c:pt idx="3867">
                  <c:v>40284</c:v>
                </c:pt>
                <c:pt idx="3868">
                  <c:v>40287</c:v>
                </c:pt>
                <c:pt idx="3869">
                  <c:v>40288</c:v>
                </c:pt>
                <c:pt idx="3870">
                  <c:v>40289</c:v>
                </c:pt>
                <c:pt idx="3871">
                  <c:v>40290</c:v>
                </c:pt>
                <c:pt idx="3872">
                  <c:v>40291</c:v>
                </c:pt>
                <c:pt idx="3873">
                  <c:v>40294</c:v>
                </c:pt>
                <c:pt idx="3874">
                  <c:v>40295</c:v>
                </c:pt>
                <c:pt idx="3875">
                  <c:v>40296</c:v>
                </c:pt>
                <c:pt idx="3876">
                  <c:v>40297</c:v>
                </c:pt>
                <c:pt idx="3877">
                  <c:v>40298</c:v>
                </c:pt>
                <c:pt idx="3878">
                  <c:v>40301</c:v>
                </c:pt>
                <c:pt idx="3879">
                  <c:v>40302</c:v>
                </c:pt>
                <c:pt idx="3880">
                  <c:v>40303</c:v>
                </c:pt>
                <c:pt idx="3881">
                  <c:v>40304</c:v>
                </c:pt>
                <c:pt idx="3882">
                  <c:v>40305</c:v>
                </c:pt>
                <c:pt idx="3883">
                  <c:v>40308</c:v>
                </c:pt>
                <c:pt idx="3884">
                  <c:v>40309</c:v>
                </c:pt>
                <c:pt idx="3885">
                  <c:v>40310</c:v>
                </c:pt>
                <c:pt idx="3886">
                  <c:v>40311</c:v>
                </c:pt>
                <c:pt idx="3887">
                  <c:v>40312</c:v>
                </c:pt>
                <c:pt idx="3888">
                  <c:v>40315</c:v>
                </c:pt>
                <c:pt idx="3889">
                  <c:v>40316</c:v>
                </c:pt>
                <c:pt idx="3890">
                  <c:v>40317</c:v>
                </c:pt>
                <c:pt idx="3891">
                  <c:v>40318</c:v>
                </c:pt>
                <c:pt idx="3892">
                  <c:v>40319</c:v>
                </c:pt>
                <c:pt idx="3893">
                  <c:v>40322</c:v>
                </c:pt>
                <c:pt idx="3894">
                  <c:v>40323</c:v>
                </c:pt>
                <c:pt idx="3895">
                  <c:v>40324</c:v>
                </c:pt>
                <c:pt idx="3896">
                  <c:v>40325</c:v>
                </c:pt>
                <c:pt idx="3897">
                  <c:v>40326</c:v>
                </c:pt>
                <c:pt idx="3898">
                  <c:v>40330</c:v>
                </c:pt>
                <c:pt idx="3899">
                  <c:v>40331</c:v>
                </c:pt>
                <c:pt idx="3900">
                  <c:v>40332</c:v>
                </c:pt>
                <c:pt idx="3901">
                  <c:v>40333</c:v>
                </c:pt>
                <c:pt idx="3902">
                  <c:v>40336</c:v>
                </c:pt>
                <c:pt idx="3903">
                  <c:v>40337</c:v>
                </c:pt>
                <c:pt idx="3904">
                  <c:v>40338</c:v>
                </c:pt>
                <c:pt idx="3905">
                  <c:v>40339</c:v>
                </c:pt>
                <c:pt idx="3906">
                  <c:v>40340</c:v>
                </c:pt>
                <c:pt idx="3907">
                  <c:v>40343</c:v>
                </c:pt>
                <c:pt idx="3908">
                  <c:v>40344</c:v>
                </c:pt>
                <c:pt idx="3909">
                  <c:v>40345</c:v>
                </c:pt>
                <c:pt idx="3910">
                  <c:v>40346</c:v>
                </c:pt>
                <c:pt idx="3911">
                  <c:v>40347</c:v>
                </c:pt>
                <c:pt idx="3912">
                  <c:v>40350</c:v>
                </c:pt>
                <c:pt idx="3913">
                  <c:v>40351</c:v>
                </c:pt>
                <c:pt idx="3914">
                  <c:v>40352</c:v>
                </c:pt>
                <c:pt idx="3915">
                  <c:v>40353</c:v>
                </c:pt>
                <c:pt idx="3916">
                  <c:v>40354</c:v>
                </c:pt>
                <c:pt idx="3917">
                  <c:v>40357</c:v>
                </c:pt>
                <c:pt idx="3918">
                  <c:v>40358</c:v>
                </c:pt>
                <c:pt idx="3919">
                  <c:v>40359</c:v>
                </c:pt>
                <c:pt idx="3920">
                  <c:v>40360</c:v>
                </c:pt>
                <c:pt idx="3921">
                  <c:v>40361</c:v>
                </c:pt>
                <c:pt idx="3922">
                  <c:v>40365</c:v>
                </c:pt>
                <c:pt idx="3923">
                  <c:v>40366</c:v>
                </c:pt>
                <c:pt idx="3924">
                  <c:v>40367</c:v>
                </c:pt>
                <c:pt idx="3925">
                  <c:v>40368</c:v>
                </c:pt>
                <c:pt idx="3926">
                  <c:v>40371</c:v>
                </c:pt>
                <c:pt idx="3927">
                  <c:v>40372</c:v>
                </c:pt>
                <c:pt idx="3928">
                  <c:v>40373</c:v>
                </c:pt>
                <c:pt idx="3929">
                  <c:v>40374</c:v>
                </c:pt>
                <c:pt idx="3930">
                  <c:v>40375</c:v>
                </c:pt>
                <c:pt idx="3931">
                  <c:v>40378</c:v>
                </c:pt>
                <c:pt idx="3932">
                  <c:v>40379</c:v>
                </c:pt>
                <c:pt idx="3933">
                  <c:v>40380</c:v>
                </c:pt>
                <c:pt idx="3934">
                  <c:v>40381</c:v>
                </c:pt>
                <c:pt idx="3935">
                  <c:v>40382</c:v>
                </c:pt>
                <c:pt idx="3936">
                  <c:v>40385</c:v>
                </c:pt>
                <c:pt idx="3937">
                  <c:v>40386</c:v>
                </c:pt>
                <c:pt idx="3938">
                  <c:v>40387</c:v>
                </c:pt>
                <c:pt idx="3939">
                  <c:v>40388</c:v>
                </c:pt>
                <c:pt idx="3940">
                  <c:v>40389</c:v>
                </c:pt>
                <c:pt idx="3941">
                  <c:v>40392</c:v>
                </c:pt>
                <c:pt idx="3942">
                  <c:v>40393</c:v>
                </c:pt>
                <c:pt idx="3943">
                  <c:v>40394</c:v>
                </c:pt>
                <c:pt idx="3944">
                  <c:v>40395</c:v>
                </c:pt>
                <c:pt idx="3945">
                  <c:v>40396</c:v>
                </c:pt>
                <c:pt idx="3946">
                  <c:v>40399</c:v>
                </c:pt>
                <c:pt idx="3947">
                  <c:v>40400</c:v>
                </c:pt>
                <c:pt idx="3948">
                  <c:v>40401</c:v>
                </c:pt>
                <c:pt idx="3949">
                  <c:v>40402</c:v>
                </c:pt>
                <c:pt idx="3950">
                  <c:v>40403</c:v>
                </c:pt>
                <c:pt idx="3951">
                  <c:v>40406</c:v>
                </c:pt>
                <c:pt idx="3952">
                  <c:v>40407</c:v>
                </c:pt>
                <c:pt idx="3953">
                  <c:v>40408</c:v>
                </c:pt>
                <c:pt idx="3954">
                  <c:v>40409</c:v>
                </c:pt>
                <c:pt idx="3955">
                  <c:v>40410</c:v>
                </c:pt>
                <c:pt idx="3956">
                  <c:v>40413</c:v>
                </c:pt>
                <c:pt idx="3957">
                  <c:v>40414</c:v>
                </c:pt>
                <c:pt idx="3958">
                  <c:v>40415</c:v>
                </c:pt>
                <c:pt idx="3959">
                  <c:v>40416</c:v>
                </c:pt>
                <c:pt idx="3960">
                  <c:v>40417</c:v>
                </c:pt>
                <c:pt idx="3961">
                  <c:v>40420</c:v>
                </c:pt>
                <c:pt idx="3962">
                  <c:v>40421</c:v>
                </c:pt>
                <c:pt idx="3963">
                  <c:v>40422</c:v>
                </c:pt>
                <c:pt idx="3964">
                  <c:v>40423</c:v>
                </c:pt>
                <c:pt idx="3965">
                  <c:v>40424</c:v>
                </c:pt>
                <c:pt idx="3966">
                  <c:v>40428</c:v>
                </c:pt>
                <c:pt idx="3967">
                  <c:v>40429</c:v>
                </c:pt>
                <c:pt idx="3968">
                  <c:v>40430</c:v>
                </c:pt>
                <c:pt idx="3969">
                  <c:v>40431</c:v>
                </c:pt>
                <c:pt idx="3970">
                  <c:v>40434</c:v>
                </c:pt>
                <c:pt idx="3971">
                  <c:v>40435</c:v>
                </c:pt>
                <c:pt idx="3972">
                  <c:v>40436</c:v>
                </c:pt>
                <c:pt idx="3973">
                  <c:v>40437</c:v>
                </c:pt>
                <c:pt idx="3974">
                  <c:v>40438</c:v>
                </c:pt>
                <c:pt idx="3975">
                  <c:v>40441</c:v>
                </c:pt>
                <c:pt idx="3976">
                  <c:v>40442</c:v>
                </c:pt>
                <c:pt idx="3977">
                  <c:v>40443</c:v>
                </c:pt>
                <c:pt idx="3978">
                  <c:v>40444</c:v>
                </c:pt>
                <c:pt idx="3979">
                  <c:v>40445</c:v>
                </c:pt>
                <c:pt idx="3980">
                  <c:v>40448</c:v>
                </c:pt>
                <c:pt idx="3981">
                  <c:v>40449</c:v>
                </c:pt>
                <c:pt idx="3982">
                  <c:v>40450</c:v>
                </c:pt>
                <c:pt idx="3983">
                  <c:v>40451</c:v>
                </c:pt>
                <c:pt idx="3984">
                  <c:v>40452</c:v>
                </c:pt>
                <c:pt idx="3985">
                  <c:v>40455</c:v>
                </c:pt>
                <c:pt idx="3986">
                  <c:v>40456</c:v>
                </c:pt>
                <c:pt idx="3987">
                  <c:v>40457</c:v>
                </c:pt>
                <c:pt idx="3988">
                  <c:v>40458</c:v>
                </c:pt>
                <c:pt idx="3989">
                  <c:v>40459</c:v>
                </c:pt>
                <c:pt idx="3990">
                  <c:v>40462</c:v>
                </c:pt>
                <c:pt idx="3991">
                  <c:v>40463</c:v>
                </c:pt>
                <c:pt idx="3992">
                  <c:v>40464</c:v>
                </c:pt>
                <c:pt idx="3993">
                  <c:v>40465</c:v>
                </c:pt>
                <c:pt idx="3994">
                  <c:v>40466</c:v>
                </c:pt>
                <c:pt idx="3995">
                  <c:v>40469</c:v>
                </c:pt>
                <c:pt idx="3996">
                  <c:v>40470</c:v>
                </c:pt>
                <c:pt idx="3997">
                  <c:v>40471</c:v>
                </c:pt>
                <c:pt idx="3998">
                  <c:v>40472</c:v>
                </c:pt>
                <c:pt idx="3999">
                  <c:v>40473</c:v>
                </c:pt>
                <c:pt idx="4000">
                  <c:v>40476</c:v>
                </c:pt>
                <c:pt idx="4001">
                  <c:v>40477</c:v>
                </c:pt>
                <c:pt idx="4002">
                  <c:v>40478</c:v>
                </c:pt>
                <c:pt idx="4003">
                  <c:v>40479</c:v>
                </c:pt>
                <c:pt idx="4004">
                  <c:v>40480</c:v>
                </c:pt>
                <c:pt idx="4005">
                  <c:v>40483</c:v>
                </c:pt>
                <c:pt idx="4006">
                  <c:v>40484</c:v>
                </c:pt>
                <c:pt idx="4007">
                  <c:v>40485</c:v>
                </c:pt>
                <c:pt idx="4008">
                  <c:v>40486</c:v>
                </c:pt>
                <c:pt idx="4009">
                  <c:v>40487</c:v>
                </c:pt>
                <c:pt idx="4010">
                  <c:v>40490</c:v>
                </c:pt>
                <c:pt idx="4011">
                  <c:v>40491</c:v>
                </c:pt>
                <c:pt idx="4012">
                  <c:v>40492</c:v>
                </c:pt>
                <c:pt idx="4013">
                  <c:v>40493</c:v>
                </c:pt>
                <c:pt idx="4014">
                  <c:v>40494</c:v>
                </c:pt>
                <c:pt idx="4015">
                  <c:v>40497</c:v>
                </c:pt>
                <c:pt idx="4016">
                  <c:v>40498</c:v>
                </c:pt>
                <c:pt idx="4017">
                  <c:v>40499</c:v>
                </c:pt>
                <c:pt idx="4018">
                  <c:v>40500</c:v>
                </c:pt>
                <c:pt idx="4019">
                  <c:v>40501</c:v>
                </c:pt>
                <c:pt idx="4020">
                  <c:v>40504</c:v>
                </c:pt>
                <c:pt idx="4021">
                  <c:v>40505</c:v>
                </c:pt>
                <c:pt idx="4022">
                  <c:v>40506</c:v>
                </c:pt>
                <c:pt idx="4023">
                  <c:v>40508</c:v>
                </c:pt>
                <c:pt idx="4024">
                  <c:v>40511</c:v>
                </c:pt>
                <c:pt idx="4025">
                  <c:v>40512</c:v>
                </c:pt>
                <c:pt idx="4026">
                  <c:v>40513</c:v>
                </c:pt>
                <c:pt idx="4027">
                  <c:v>40514</c:v>
                </c:pt>
                <c:pt idx="4028">
                  <c:v>40515</c:v>
                </c:pt>
                <c:pt idx="4029">
                  <c:v>40518</c:v>
                </c:pt>
                <c:pt idx="4030">
                  <c:v>40519</c:v>
                </c:pt>
                <c:pt idx="4031">
                  <c:v>40520</c:v>
                </c:pt>
                <c:pt idx="4032">
                  <c:v>40521</c:v>
                </c:pt>
                <c:pt idx="4033">
                  <c:v>40522</c:v>
                </c:pt>
                <c:pt idx="4034">
                  <c:v>40525</c:v>
                </c:pt>
                <c:pt idx="4035">
                  <c:v>40526</c:v>
                </c:pt>
                <c:pt idx="4036">
                  <c:v>40527</c:v>
                </c:pt>
                <c:pt idx="4037">
                  <c:v>40528</c:v>
                </c:pt>
                <c:pt idx="4038">
                  <c:v>40529</c:v>
                </c:pt>
                <c:pt idx="4039">
                  <c:v>40532</c:v>
                </c:pt>
                <c:pt idx="4040">
                  <c:v>40533</c:v>
                </c:pt>
                <c:pt idx="4041">
                  <c:v>40534</c:v>
                </c:pt>
                <c:pt idx="4042">
                  <c:v>40535</c:v>
                </c:pt>
                <c:pt idx="4043">
                  <c:v>40539</c:v>
                </c:pt>
                <c:pt idx="4044">
                  <c:v>40540</c:v>
                </c:pt>
                <c:pt idx="4045">
                  <c:v>40541</c:v>
                </c:pt>
                <c:pt idx="4046">
                  <c:v>40542</c:v>
                </c:pt>
                <c:pt idx="4047">
                  <c:v>40543</c:v>
                </c:pt>
                <c:pt idx="4048">
                  <c:v>40546</c:v>
                </c:pt>
                <c:pt idx="4049">
                  <c:v>40547</c:v>
                </c:pt>
                <c:pt idx="4050">
                  <c:v>40548</c:v>
                </c:pt>
                <c:pt idx="4051">
                  <c:v>40549</c:v>
                </c:pt>
                <c:pt idx="4052">
                  <c:v>40550</c:v>
                </c:pt>
                <c:pt idx="4053">
                  <c:v>40553</c:v>
                </c:pt>
                <c:pt idx="4054">
                  <c:v>40554</c:v>
                </c:pt>
                <c:pt idx="4055">
                  <c:v>40555</c:v>
                </c:pt>
                <c:pt idx="4056">
                  <c:v>40556</c:v>
                </c:pt>
                <c:pt idx="4057">
                  <c:v>40557</c:v>
                </c:pt>
                <c:pt idx="4058">
                  <c:v>40561</c:v>
                </c:pt>
                <c:pt idx="4059">
                  <c:v>40562</c:v>
                </c:pt>
                <c:pt idx="4060">
                  <c:v>40563</c:v>
                </c:pt>
                <c:pt idx="4061">
                  <c:v>40564</c:v>
                </c:pt>
                <c:pt idx="4062">
                  <c:v>40567</c:v>
                </c:pt>
                <c:pt idx="4063">
                  <c:v>40568</c:v>
                </c:pt>
                <c:pt idx="4064">
                  <c:v>40569</c:v>
                </c:pt>
                <c:pt idx="4065">
                  <c:v>40570</c:v>
                </c:pt>
                <c:pt idx="4066">
                  <c:v>40571</c:v>
                </c:pt>
                <c:pt idx="4067">
                  <c:v>40574</c:v>
                </c:pt>
                <c:pt idx="4068">
                  <c:v>40575</c:v>
                </c:pt>
                <c:pt idx="4069">
                  <c:v>40576</c:v>
                </c:pt>
                <c:pt idx="4070">
                  <c:v>40577</c:v>
                </c:pt>
                <c:pt idx="4071">
                  <c:v>40578</c:v>
                </c:pt>
                <c:pt idx="4072">
                  <c:v>40581</c:v>
                </c:pt>
                <c:pt idx="4073">
                  <c:v>40582</c:v>
                </c:pt>
                <c:pt idx="4074">
                  <c:v>40583</c:v>
                </c:pt>
                <c:pt idx="4075">
                  <c:v>40584</c:v>
                </c:pt>
                <c:pt idx="4076">
                  <c:v>40585</c:v>
                </c:pt>
                <c:pt idx="4077">
                  <c:v>40588</c:v>
                </c:pt>
                <c:pt idx="4078">
                  <c:v>40589</c:v>
                </c:pt>
                <c:pt idx="4079">
                  <c:v>40590</c:v>
                </c:pt>
                <c:pt idx="4080">
                  <c:v>40591</c:v>
                </c:pt>
                <c:pt idx="4081">
                  <c:v>40592</c:v>
                </c:pt>
                <c:pt idx="4082">
                  <c:v>40596</c:v>
                </c:pt>
                <c:pt idx="4083">
                  <c:v>40597</c:v>
                </c:pt>
                <c:pt idx="4084">
                  <c:v>40598</c:v>
                </c:pt>
                <c:pt idx="4085">
                  <c:v>40599</c:v>
                </c:pt>
                <c:pt idx="4086">
                  <c:v>40602</c:v>
                </c:pt>
                <c:pt idx="4087">
                  <c:v>40603</c:v>
                </c:pt>
                <c:pt idx="4088">
                  <c:v>40604</c:v>
                </c:pt>
                <c:pt idx="4089">
                  <c:v>40605</c:v>
                </c:pt>
                <c:pt idx="4090">
                  <c:v>40606</c:v>
                </c:pt>
                <c:pt idx="4091">
                  <c:v>40609</c:v>
                </c:pt>
                <c:pt idx="4092">
                  <c:v>40610</c:v>
                </c:pt>
                <c:pt idx="4093">
                  <c:v>40611</c:v>
                </c:pt>
                <c:pt idx="4094">
                  <c:v>40612</c:v>
                </c:pt>
                <c:pt idx="4095">
                  <c:v>40613</c:v>
                </c:pt>
                <c:pt idx="4096">
                  <c:v>40616</c:v>
                </c:pt>
                <c:pt idx="4097">
                  <c:v>40617</c:v>
                </c:pt>
                <c:pt idx="4098">
                  <c:v>40618</c:v>
                </c:pt>
                <c:pt idx="4099">
                  <c:v>40619</c:v>
                </c:pt>
                <c:pt idx="4100">
                  <c:v>40620</c:v>
                </c:pt>
                <c:pt idx="4101">
                  <c:v>40623</c:v>
                </c:pt>
                <c:pt idx="4102">
                  <c:v>40624</c:v>
                </c:pt>
                <c:pt idx="4103">
                  <c:v>40625</c:v>
                </c:pt>
                <c:pt idx="4104">
                  <c:v>40626</c:v>
                </c:pt>
                <c:pt idx="4105">
                  <c:v>40627</c:v>
                </c:pt>
                <c:pt idx="4106">
                  <c:v>40630</c:v>
                </c:pt>
                <c:pt idx="4107">
                  <c:v>40631</c:v>
                </c:pt>
                <c:pt idx="4108">
                  <c:v>40632</c:v>
                </c:pt>
                <c:pt idx="4109">
                  <c:v>40633</c:v>
                </c:pt>
                <c:pt idx="4110">
                  <c:v>40634</c:v>
                </c:pt>
                <c:pt idx="4111">
                  <c:v>40637</c:v>
                </c:pt>
                <c:pt idx="4112">
                  <c:v>40638</c:v>
                </c:pt>
                <c:pt idx="4113">
                  <c:v>40639</c:v>
                </c:pt>
                <c:pt idx="4114">
                  <c:v>40640</c:v>
                </c:pt>
                <c:pt idx="4115">
                  <c:v>40641</c:v>
                </c:pt>
                <c:pt idx="4116">
                  <c:v>40644</c:v>
                </c:pt>
                <c:pt idx="4117">
                  <c:v>40645</c:v>
                </c:pt>
                <c:pt idx="4118">
                  <c:v>40646</c:v>
                </c:pt>
                <c:pt idx="4119">
                  <c:v>40647</c:v>
                </c:pt>
                <c:pt idx="4120">
                  <c:v>40648</c:v>
                </c:pt>
                <c:pt idx="4121">
                  <c:v>40651</c:v>
                </c:pt>
                <c:pt idx="4122">
                  <c:v>40652</c:v>
                </c:pt>
                <c:pt idx="4123">
                  <c:v>40653</c:v>
                </c:pt>
                <c:pt idx="4124">
                  <c:v>40654</c:v>
                </c:pt>
                <c:pt idx="4125">
                  <c:v>40658</c:v>
                </c:pt>
                <c:pt idx="4126">
                  <c:v>40659</c:v>
                </c:pt>
                <c:pt idx="4127">
                  <c:v>40660</c:v>
                </c:pt>
                <c:pt idx="4128">
                  <c:v>40661</c:v>
                </c:pt>
                <c:pt idx="4129">
                  <c:v>40662</c:v>
                </c:pt>
                <c:pt idx="4130">
                  <c:v>40665</c:v>
                </c:pt>
                <c:pt idx="4131">
                  <c:v>40666</c:v>
                </c:pt>
                <c:pt idx="4132">
                  <c:v>40667</c:v>
                </c:pt>
                <c:pt idx="4133">
                  <c:v>40668</c:v>
                </c:pt>
                <c:pt idx="4134">
                  <c:v>40669</c:v>
                </c:pt>
                <c:pt idx="4135">
                  <c:v>40672</c:v>
                </c:pt>
                <c:pt idx="4136">
                  <c:v>40673</c:v>
                </c:pt>
                <c:pt idx="4137">
                  <c:v>40674</c:v>
                </c:pt>
                <c:pt idx="4138">
                  <c:v>40675</c:v>
                </c:pt>
                <c:pt idx="4139">
                  <c:v>40676</c:v>
                </c:pt>
                <c:pt idx="4140">
                  <c:v>40679</c:v>
                </c:pt>
                <c:pt idx="4141">
                  <c:v>40680</c:v>
                </c:pt>
                <c:pt idx="4142">
                  <c:v>40681</c:v>
                </c:pt>
                <c:pt idx="4143">
                  <c:v>40682</c:v>
                </c:pt>
                <c:pt idx="4144">
                  <c:v>40683</c:v>
                </c:pt>
                <c:pt idx="4145">
                  <c:v>40686</c:v>
                </c:pt>
                <c:pt idx="4146">
                  <c:v>40687</c:v>
                </c:pt>
                <c:pt idx="4147">
                  <c:v>40688</c:v>
                </c:pt>
                <c:pt idx="4148">
                  <c:v>40689</c:v>
                </c:pt>
                <c:pt idx="4149">
                  <c:v>40690</c:v>
                </c:pt>
                <c:pt idx="4150">
                  <c:v>40694</c:v>
                </c:pt>
                <c:pt idx="4151">
                  <c:v>40695</c:v>
                </c:pt>
                <c:pt idx="4152">
                  <c:v>40696</c:v>
                </c:pt>
                <c:pt idx="4153">
                  <c:v>40697</c:v>
                </c:pt>
                <c:pt idx="4154">
                  <c:v>40700</c:v>
                </c:pt>
                <c:pt idx="4155">
                  <c:v>40701</c:v>
                </c:pt>
                <c:pt idx="4156">
                  <c:v>40702</c:v>
                </c:pt>
                <c:pt idx="4157">
                  <c:v>40703</c:v>
                </c:pt>
                <c:pt idx="4158">
                  <c:v>40704</c:v>
                </c:pt>
                <c:pt idx="4159">
                  <c:v>40707</c:v>
                </c:pt>
                <c:pt idx="4160">
                  <c:v>40708</c:v>
                </c:pt>
                <c:pt idx="4161">
                  <c:v>40709</c:v>
                </c:pt>
                <c:pt idx="4162">
                  <c:v>40710</c:v>
                </c:pt>
                <c:pt idx="4163">
                  <c:v>40711</c:v>
                </c:pt>
                <c:pt idx="4164">
                  <c:v>40714</c:v>
                </c:pt>
                <c:pt idx="4165">
                  <c:v>40715</c:v>
                </c:pt>
                <c:pt idx="4166">
                  <c:v>40716</c:v>
                </c:pt>
                <c:pt idx="4167">
                  <c:v>40717</c:v>
                </c:pt>
                <c:pt idx="4168">
                  <c:v>40718</c:v>
                </c:pt>
                <c:pt idx="4169">
                  <c:v>40721</c:v>
                </c:pt>
                <c:pt idx="4170">
                  <c:v>40722</c:v>
                </c:pt>
                <c:pt idx="4171">
                  <c:v>40723</c:v>
                </c:pt>
                <c:pt idx="4172">
                  <c:v>40724</c:v>
                </c:pt>
                <c:pt idx="4173">
                  <c:v>40725</c:v>
                </c:pt>
                <c:pt idx="4174">
                  <c:v>40729</c:v>
                </c:pt>
                <c:pt idx="4175">
                  <c:v>40730</c:v>
                </c:pt>
                <c:pt idx="4176">
                  <c:v>40731</c:v>
                </c:pt>
                <c:pt idx="4177">
                  <c:v>40732</c:v>
                </c:pt>
                <c:pt idx="4178">
                  <c:v>40735</c:v>
                </c:pt>
                <c:pt idx="4179">
                  <c:v>40736</c:v>
                </c:pt>
                <c:pt idx="4180">
                  <c:v>40737</c:v>
                </c:pt>
                <c:pt idx="4181">
                  <c:v>40738</c:v>
                </c:pt>
                <c:pt idx="4182">
                  <c:v>40739</c:v>
                </c:pt>
                <c:pt idx="4183">
                  <c:v>40742</c:v>
                </c:pt>
                <c:pt idx="4184">
                  <c:v>40743</c:v>
                </c:pt>
                <c:pt idx="4185">
                  <c:v>40744</c:v>
                </c:pt>
                <c:pt idx="4186">
                  <c:v>40745</c:v>
                </c:pt>
                <c:pt idx="4187">
                  <c:v>40746</c:v>
                </c:pt>
                <c:pt idx="4188">
                  <c:v>40749</c:v>
                </c:pt>
                <c:pt idx="4189">
                  <c:v>40750</c:v>
                </c:pt>
                <c:pt idx="4190">
                  <c:v>40751</c:v>
                </c:pt>
                <c:pt idx="4191">
                  <c:v>40752</c:v>
                </c:pt>
                <c:pt idx="4192">
                  <c:v>40753</c:v>
                </c:pt>
                <c:pt idx="4193">
                  <c:v>40756</c:v>
                </c:pt>
                <c:pt idx="4194">
                  <c:v>40757</c:v>
                </c:pt>
                <c:pt idx="4195">
                  <c:v>40758</c:v>
                </c:pt>
                <c:pt idx="4196">
                  <c:v>40759</c:v>
                </c:pt>
                <c:pt idx="4197">
                  <c:v>40760</c:v>
                </c:pt>
                <c:pt idx="4198">
                  <c:v>40763</c:v>
                </c:pt>
                <c:pt idx="4199">
                  <c:v>40764</c:v>
                </c:pt>
                <c:pt idx="4200">
                  <c:v>40765</c:v>
                </c:pt>
                <c:pt idx="4201">
                  <c:v>40766</c:v>
                </c:pt>
                <c:pt idx="4202">
                  <c:v>40767</c:v>
                </c:pt>
                <c:pt idx="4203">
                  <c:v>40770</c:v>
                </c:pt>
                <c:pt idx="4204">
                  <c:v>40771</c:v>
                </c:pt>
                <c:pt idx="4205">
                  <c:v>40772</c:v>
                </c:pt>
                <c:pt idx="4206">
                  <c:v>40773</c:v>
                </c:pt>
                <c:pt idx="4207">
                  <c:v>40774</c:v>
                </c:pt>
                <c:pt idx="4208">
                  <c:v>40777</c:v>
                </c:pt>
                <c:pt idx="4209">
                  <c:v>40778</c:v>
                </c:pt>
                <c:pt idx="4210">
                  <c:v>40779</c:v>
                </c:pt>
                <c:pt idx="4211">
                  <c:v>40780</c:v>
                </c:pt>
                <c:pt idx="4212">
                  <c:v>40781</c:v>
                </c:pt>
                <c:pt idx="4213">
                  <c:v>40784</c:v>
                </c:pt>
                <c:pt idx="4214">
                  <c:v>40785</c:v>
                </c:pt>
                <c:pt idx="4215">
                  <c:v>40786</c:v>
                </c:pt>
                <c:pt idx="4216">
                  <c:v>40787</c:v>
                </c:pt>
                <c:pt idx="4217">
                  <c:v>40788</c:v>
                </c:pt>
                <c:pt idx="4218">
                  <c:v>40792</c:v>
                </c:pt>
                <c:pt idx="4219">
                  <c:v>40793</c:v>
                </c:pt>
                <c:pt idx="4220">
                  <c:v>40794</c:v>
                </c:pt>
                <c:pt idx="4221">
                  <c:v>40795</c:v>
                </c:pt>
                <c:pt idx="4222">
                  <c:v>40798</c:v>
                </c:pt>
                <c:pt idx="4223">
                  <c:v>40799</c:v>
                </c:pt>
                <c:pt idx="4224">
                  <c:v>40800</c:v>
                </c:pt>
                <c:pt idx="4225">
                  <c:v>40801</c:v>
                </c:pt>
                <c:pt idx="4226">
                  <c:v>40802</c:v>
                </c:pt>
                <c:pt idx="4227">
                  <c:v>40805</c:v>
                </c:pt>
                <c:pt idx="4228">
                  <c:v>40806</c:v>
                </c:pt>
                <c:pt idx="4229">
                  <c:v>40807</c:v>
                </c:pt>
                <c:pt idx="4230">
                  <c:v>40808</c:v>
                </c:pt>
                <c:pt idx="4231">
                  <c:v>40809</c:v>
                </c:pt>
                <c:pt idx="4232">
                  <c:v>40812</c:v>
                </c:pt>
                <c:pt idx="4233">
                  <c:v>40813</c:v>
                </c:pt>
                <c:pt idx="4234">
                  <c:v>40814</c:v>
                </c:pt>
                <c:pt idx="4235">
                  <c:v>40815</c:v>
                </c:pt>
                <c:pt idx="4236">
                  <c:v>40816</c:v>
                </c:pt>
                <c:pt idx="4237">
                  <c:v>40819</c:v>
                </c:pt>
                <c:pt idx="4238">
                  <c:v>40820</c:v>
                </c:pt>
                <c:pt idx="4239">
                  <c:v>40821</c:v>
                </c:pt>
                <c:pt idx="4240">
                  <c:v>40822</c:v>
                </c:pt>
                <c:pt idx="4241">
                  <c:v>40823</c:v>
                </c:pt>
                <c:pt idx="4242">
                  <c:v>40826</c:v>
                </c:pt>
                <c:pt idx="4243">
                  <c:v>40827</c:v>
                </c:pt>
                <c:pt idx="4244">
                  <c:v>40828</c:v>
                </c:pt>
                <c:pt idx="4245">
                  <c:v>40829</c:v>
                </c:pt>
                <c:pt idx="4246">
                  <c:v>40830</c:v>
                </c:pt>
                <c:pt idx="4247">
                  <c:v>40833</c:v>
                </c:pt>
                <c:pt idx="4248">
                  <c:v>40834</c:v>
                </c:pt>
                <c:pt idx="4249">
                  <c:v>40835</c:v>
                </c:pt>
                <c:pt idx="4250">
                  <c:v>40836</c:v>
                </c:pt>
                <c:pt idx="4251">
                  <c:v>40837</c:v>
                </c:pt>
                <c:pt idx="4252">
                  <c:v>40840</c:v>
                </c:pt>
                <c:pt idx="4253">
                  <c:v>40841</c:v>
                </c:pt>
                <c:pt idx="4254">
                  <c:v>40842</c:v>
                </c:pt>
                <c:pt idx="4255">
                  <c:v>40843</c:v>
                </c:pt>
                <c:pt idx="4256">
                  <c:v>40844</c:v>
                </c:pt>
                <c:pt idx="4257">
                  <c:v>40847</c:v>
                </c:pt>
                <c:pt idx="4258">
                  <c:v>40848</c:v>
                </c:pt>
                <c:pt idx="4259">
                  <c:v>40849</c:v>
                </c:pt>
                <c:pt idx="4260">
                  <c:v>40850</c:v>
                </c:pt>
                <c:pt idx="4261">
                  <c:v>40851</c:v>
                </c:pt>
                <c:pt idx="4262">
                  <c:v>40854</c:v>
                </c:pt>
                <c:pt idx="4263">
                  <c:v>40855</c:v>
                </c:pt>
                <c:pt idx="4264">
                  <c:v>40856</c:v>
                </c:pt>
                <c:pt idx="4265">
                  <c:v>40857</c:v>
                </c:pt>
                <c:pt idx="4266">
                  <c:v>40858</c:v>
                </c:pt>
                <c:pt idx="4267">
                  <c:v>40861</c:v>
                </c:pt>
                <c:pt idx="4268">
                  <c:v>40862</c:v>
                </c:pt>
                <c:pt idx="4269">
                  <c:v>40863</c:v>
                </c:pt>
                <c:pt idx="4270">
                  <c:v>40864</c:v>
                </c:pt>
                <c:pt idx="4271">
                  <c:v>40865</c:v>
                </c:pt>
                <c:pt idx="4272">
                  <c:v>40868</c:v>
                </c:pt>
                <c:pt idx="4273">
                  <c:v>40869</c:v>
                </c:pt>
                <c:pt idx="4274">
                  <c:v>40870</c:v>
                </c:pt>
                <c:pt idx="4275">
                  <c:v>40872</c:v>
                </c:pt>
                <c:pt idx="4276">
                  <c:v>40875</c:v>
                </c:pt>
                <c:pt idx="4277">
                  <c:v>40876</c:v>
                </c:pt>
                <c:pt idx="4278">
                  <c:v>40877</c:v>
                </c:pt>
                <c:pt idx="4279">
                  <c:v>40878</c:v>
                </c:pt>
                <c:pt idx="4280">
                  <c:v>40879</c:v>
                </c:pt>
                <c:pt idx="4281">
                  <c:v>40882</c:v>
                </c:pt>
                <c:pt idx="4282">
                  <c:v>40883</c:v>
                </c:pt>
                <c:pt idx="4283">
                  <c:v>40884</c:v>
                </c:pt>
                <c:pt idx="4284">
                  <c:v>40885</c:v>
                </c:pt>
                <c:pt idx="4285">
                  <c:v>40886</c:v>
                </c:pt>
                <c:pt idx="4286">
                  <c:v>40889</c:v>
                </c:pt>
                <c:pt idx="4287">
                  <c:v>40890</c:v>
                </c:pt>
                <c:pt idx="4288">
                  <c:v>40891</c:v>
                </c:pt>
                <c:pt idx="4289">
                  <c:v>40892</c:v>
                </c:pt>
                <c:pt idx="4290">
                  <c:v>40893</c:v>
                </c:pt>
                <c:pt idx="4291">
                  <c:v>40896</c:v>
                </c:pt>
                <c:pt idx="4292">
                  <c:v>40897</c:v>
                </c:pt>
                <c:pt idx="4293">
                  <c:v>40898</c:v>
                </c:pt>
                <c:pt idx="4294">
                  <c:v>40899</c:v>
                </c:pt>
                <c:pt idx="4295">
                  <c:v>40900</c:v>
                </c:pt>
                <c:pt idx="4296">
                  <c:v>40904</c:v>
                </c:pt>
                <c:pt idx="4297">
                  <c:v>40905</c:v>
                </c:pt>
                <c:pt idx="4298">
                  <c:v>40906</c:v>
                </c:pt>
                <c:pt idx="4299">
                  <c:v>40907</c:v>
                </c:pt>
                <c:pt idx="4300">
                  <c:v>40911</c:v>
                </c:pt>
                <c:pt idx="4301">
                  <c:v>40912</c:v>
                </c:pt>
                <c:pt idx="4302">
                  <c:v>40913</c:v>
                </c:pt>
                <c:pt idx="4303">
                  <c:v>40914</c:v>
                </c:pt>
                <c:pt idx="4304">
                  <c:v>40917</c:v>
                </c:pt>
                <c:pt idx="4305">
                  <c:v>40918</c:v>
                </c:pt>
                <c:pt idx="4306">
                  <c:v>40919</c:v>
                </c:pt>
                <c:pt idx="4307">
                  <c:v>40920</c:v>
                </c:pt>
                <c:pt idx="4308">
                  <c:v>40921</c:v>
                </c:pt>
                <c:pt idx="4309">
                  <c:v>40925</c:v>
                </c:pt>
                <c:pt idx="4310">
                  <c:v>40926</c:v>
                </c:pt>
                <c:pt idx="4311">
                  <c:v>40927</c:v>
                </c:pt>
                <c:pt idx="4312">
                  <c:v>40928</c:v>
                </c:pt>
                <c:pt idx="4313">
                  <c:v>40931</c:v>
                </c:pt>
                <c:pt idx="4314">
                  <c:v>40932</c:v>
                </c:pt>
                <c:pt idx="4315">
                  <c:v>40933</c:v>
                </c:pt>
                <c:pt idx="4316">
                  <c:v>40934</c:v>
                </c:pt>
                <c:pt idx="4317">
                  <c:v>40935</c:v>
                </c:pt>
                <c:pt idx="4318">
                  <c:v>40938</c:v>
                </c:pt>
                <c:pt idx="4319">
                  <c:v>40939</c:v>
                </c:pt>
                <c:pt idx="4320">
                  <c:v>40940</c:v>
                </c:pt>
                <c:pt idx="4321">
                  <c:v>40941</c:v>
                </c:pt>
                <c:pt idx="4322">
                  <c:v>40942</c:v>
                </c:pt>
                <c:pt idx="4323">
                  <c:v>40945</c:v>
                </c:pt>
                <c:pt idx="4324">
                  <c:v>40946</c:v>
                </c:pt>
                <c:pt idx="4325">
                  <c:v>40947</c:v>
                </c:pt>
                <c:pt idx="4326">
                  <c:v>40948</c:v>
                </c:pt>
                <c:pt idx="4327">
                  <c:v>40949</c:v>
                </c:pt>
                <c:pt idx="4328">
                  <c:v>40952</c:v>
                </c:pt>
                <c:pt idx="4329">
                  <c:v>40953</c:v>
                </c:pt>
                <c:pt idx="4330">
                  <c:v>40954</c:v>
                </c:pt>
                <c:pt idx="4331">
                  <c:v>40955</c:v>
                </c:pt>
                <c:pt idx="4332">
                  <c:v>40956</c:v>
                </c:pt>
                <c:pt idx="4333">
                  <c:v>40960</c:v>
                </c:pt>
                <c:pt idx="4334">
                  <c:v>40961</c:v>
                </c:pt>
                <c:pt idx="4335">
                  <c:v>40962</c:v>
                </c:pt>
                <c:pt idx="4336">
                  <c:v>40963</c:v>
                </c:pt>
                <c:pt idx="4337">
                  <c:v>40966</c:v>
                </c:pt>
                <c:pt idx="4338">
                  <c:v>40967</c:v>
                </c:pt>
                <c:pt idx="4339">
                  <c:v>40968</c:v>
                </c:pt>
                <c:pt idx="4340">
                  <c:v>40969</c:v>
                </c:pt>
                <c:pt idx="4341">
                  <c:v>40970</c:v>
                </c:pt>
                <c:pt idx="4342">
                  <c:v>40973</c:v>
                </c:pt>
                <c:pt idx="4343">
                  <c:v>40974</c:v>
                </c:pt>
                <c:pt idx="4344">
                  <c:v>40975</c:v>
                </c:pt>
                <c:pt idx="4345">
                  <c:v>40976</c:v>
                </c:pt>
                <c:pt idx="4346">
                  <c:v>40977</c:v>
                </c:pt>
                <c:pt idx="4347">
                  <c:v>40980</c:v>
                </c:pt>
                <c:pt idx="4348">
                  <c:v>40981</c:v>
                </c:pt>
                <c:pt idx="4349">
                  <c:v>40982</c:v>
                </c:pt>
                <c:pt idx="4350">
                  <c:v>40983</c:v>
                </c:pt>
                <c:pt idx="4351">
                  <c:v>40984</c:v>
                </c:pt>
                <c:pt idx="4352">
                  <c:v>40987</c:v>
                </c:pt>
                <c:pt idx="4353">
                  <c:v>40988</c:v>
                </c:pt>
                <c:pt idx="4354">
                  <c:v>40989</c:v>
                </c:pt>
                <c:pt idx="4355">
                  <c:v>40990</c:v>
                </c:pt>
                <c:pt idx="4356">
                  <c:v>40991</c:v>
                </c:pt>
                <c:pt idx="4357">
                  <c:v>40994</c:v>
                </c:pt>
                <c:pt idx="4358">
                  <c:v>40995</c:v>
                </c:pt>
                <c:pt idx="4359">
                  <c:v>40996</c:v>
                </c:pt>
                <c:pt idx="4360">
                  <c:v>40997</c:v>
                </c:pt>
                <c:pt idx="4361">
                  <c:v>40998</c:v>
                </c:pt>
                <c:pt idx="4362">
                  <c:v>41001</c:v>
                </c:pt>
                <c:pt idx="4363">
                  <c:v>41002</c:v>
                </c:pt>
                <c:pt idx="4364">
                  <c:v>41003</c:v>
                </c:pt>
                <c:pt idx="4365">
                  <c:v>41004</c:v>
                </c:pt>
                <c:pt idx="4366">
                  <c:v>41008</c:v>
                </c:pt>
                <c:pt idx="4367">
                  <c:v>41009</c:v>
                </c:pt>
                <c:pt idx="4368">
                  <c:v>41010</c:v>
                </c:pt>
                <c:pt idx="4369">
                  <c:v>41011</c:v>
                </c:pt>
                <c:pt idx="4370">
                  <c:v>41012</c:v>
                </c:pt>
                <c:pt idx="4371">
                  <c:v>41015</c:v>
                </c:pt>
                <c:pt idx="4372">
                  <c:v>41016</c:v>
                </c:pt>
                <c:pt idx="4373">
                  <c:v>41017</c:v>
                </c:pt>
                <c:pt idx="4374">
                  <c:v>41018</c:v>
                </c:pt>
                <c:pt idx="4375">
                  <c:v>41019</c:v>
                </c:pt>
                <c:pt idx="4376">
                  <c:v>41022</c:v>
                </c:pt>
                <c:pt idx="4377">
                  <c:v>41023</c:v>
                </c:pt>
                <c:pt idx="4378">
                  <c:v>41024</c:v>
                </c:pt>
                <c:pt idx="4379">
                  <c:v>41025</c:v>
                </c:pt>
                <c:pt idx="4380">
                  <c:v>41026</c:v>
                </c:pt>
                <c:pt idx="4381">
                  <c:v>41029</c:v>
                </c:pt>
                <c:pt idx="4382">
                  <c:v>41030</c:v>
                </c:pt>
                <c:pt idx="4383">
                  <c:v>41031</c:v>
                </c:pt>
                <c:pt idx="4384">
                  <c:v>41032</c:v>
                </c:pt>
                <c:pt idx="4385">
                  <c:v>41033</c:v>
                </c:pt>
                <c:pt idx="4386">
                  <c:v>41036</c:v>
                </c:pt>
                <c:pt idx="4387">
                  <c:v>41037</c:v>
                </c:pt>
                <c:pt idx="4388">
                  <c:v>41038</c:v>
                </c:pt>
                <c:pt idx="4389">
                  <c:v>41039</c:v>
                </c:pt>
                <c:pt idx="4390">
                  <c:v>41040</c:v>
                </c:pt>
                <c:pt idx="4391">
                  <c:v>41043</c:v>
                </c:pt>
                <c:pt idx="4392">
                  <c:v>41044</c:v>
                </c:pt>
                <c:pt idx="4393">
                  <c:v>41045</c:v>
                </c:pt>
                <c:pt idx="4394">
                  <c:v>41046</c:v>
                </c:pt>
                <c:pt idx="4395">
                  <c:v>41047</c:v>
                </c:pt>
                <c:pt idx="4396">
                  <c:v>41050</c:v>
                </c:pt>
                <c:pt idx="4397">
                  <c:v>41051</c:v>
                </c:pt>
                <c:pt idx="4398">
                  <c:v>41052</c:v>
                </c:pt>
                <c:pt idx="4399">
                  <c:v>41053</c:v>
                </c:pt>
                <c:pt idx="4400">
                  <c:v>41054</c:v>
                </c:pt>
                <c:pt idx="4401">
                  <c:v>41058</c:v>
                </c:pt>
                <c:pt idx="4402">
                  <c:v>41059</c:v>
                </c:pt>
                <c:pt idx="4403">
                  <c:v>41060</c:v>
                </c:pt>
                <c:pt idx="4404">
                  <c:v>41061</c:v>
                </c:pt>
                <c:pt idx="4405">
                  <c:v>41064</c:v>
                </c:pt>
                <c:pt idx="4406">
                  <c:v>41065</c:v>
                </c:pt>
                <c:pt idx="4407">
                  <c:v>41066</c:v>
                </c:pt>
                <c:pt idx="4408">
                  <c:v>41067</c:v>
                </c:pt>
                <c:pt idx="4409">
                  <c:v>41068</c:v>
                </c:pt>
                <c:pt idx="4410">
                  <c:v>41071</c:v>
                </c:pt>
                <c:pt idx="4411">
                  <c:v>41072</c:v>
                </c:pt>
                <c:pt idx="4412">
                  <c:v>41073</c:v>
                </c:pt>
                <c:pt idx="4413">
                  <c:v>41074</c:v>
                </c:pt>
                <c:pt idx="4414">
                  <c:v>41075</c:v>
                </c:pt>
                <c:pt idx="4415">
                  <c:v>41078</c:v>
                </c:pt>
                <c:pt idx="4416">
                  <c:v>41079</c:v>
                </c:pt>
                <c:pt idx="4417">
                  <c:v>41080</c:v>
                </c:pt>
                <c:pt idx="4418">
                  <c:v>41081</c:v>
                </c:pt>
                <c:pt idx="4419">
                  <c:v>41082</c:v>
                </c:pt>
                <c:pt idx="4420">
                  <c:v>41085</c:v>
                </c:pt>
                <c:pt idx="4421">
                  <c:v>41086</c:v>
                </c:pt>
                <c:pt idx="4422">
                  <c:v>41087</c:v>
                </c:pt>
                <c:pt idx="4423">
                  <c:v>41088</c:v>
                </c:pt>
                <c:pt idx="4424">
                  <c:v>41089</c:v>
                </c:pt>
                <c:pt idx="4425">
                  <c:v>41092</c:v>
                </c:pt>
                <c:pt idx="4426">
                  <c:v>41093</c:v>
                </c:pt>
                <c:pt idx="4427">
                  <c:v>41095</c:v>
                </c:pt>
                <c:pt idx="4428">
                  <c:v>41096</c:v>
                </c:pt>
                <c:pt idx="4429">
                  <c:v>41099</c:v>
                </c:pt>
                <c:pt idx="4430">
                  <c:v>41100</c:v>
                </c:pt>
                <c:pt idx="4431">
                  <c:v>41101</c:v>
                </c:pt>
                <c:pt idx="4432">
                  <c:v>41102</c:v>
                </c:pt>
                <c:pt idx="4433">
                  <c:v>41103</c:v>
                </c:pt>
                <c:pt idx="4434">
                  <c:v>41106</c:v>
                </c:pt>
                <c:pt idx="4435">
                  <c:v>41107</c:v>
                </c:pt>
                <c:pt idx="4436">
                  <c:v>41108</c:v>
                </c:pt>
                <c:pt idx="4437">
                  <c:v>41109</c:v>
                </c:pt>
                <c:pt idx="4438">
                  <c:v>41110</c:v>
                </c:pt>
                <c:pt idx="4439">
                  <c:v>41113</c:v>
                </c:pt>
                <c:pt idx="4440">
                  <c:v>41114</c:v>
                </c:pt>
                <c:pt idx="4441">
                  <c:v>41115</c:v>
                </c:pt>
                <c:pt idx="4442">
                  <c:v>41116</c:v>
                </c:pt>
                <c:pt idx="4443">
                  <c:v>41117</c:v>
                </c:pt>
                <c:pt idx="4444">
                  <c:v>41120</c:v>
                </c:pt>
                <c:pt idx="4445">
                  <c:v>41121</c:v>
                </c:pt>
                <c:pt idx="4446">
                  <c:v>41122</c:v>
                </c:pt>
                <c:pt idx="4447">
                  <c:v>41123</c:v>
                </c:pt>
                <c:pt idx="4448">
                  <c:v>41124</c:v>
                </c:pt>
                <c:pt idx="4449">
                  <c:v>41127</c:v>
                </c:pt>
                <c:pt idx="4450">
                  <c:v>41128</c:v>
                </c:pt>
                <c:pt idx="4451">
                  <c:v>41129</c:v>
                </c:pt>
                <c:pt idx="4452">
                  <c:v>41130</c:v>
                </c:pt>
                <c:pt idx="4453">
                  <c:v>41131</c:v>
                </c:pt>
                <c:pt idx="4454">
                  <c:v>41134</c:v>
                </c:pt>
                <c:pt idx="4455">
                  <c:v>41135</c:v>
                </c:pt>
                <c:pt idx="4456">
                  <c:v>41136</c:v>
                </c:pt>
                <c:pt idx="4457">
                  <c:v>41137</c:v>
                </c:pt>
                <c:pt idx="4458">
                  <c:v>41138</c:v>
                </c:pt>
                <c:pt idx="4459">
                  <c:v>41141</c:v>
                </c:pt>
                <c:pt idx="4460">
                  <c:v>41142</c:v>
                </c:pt>
                <c:pt idx="4461">
                  <c:v>41143</c:v>
                </c:pt>
                <c:pt idx="4462">
                  <c:v>41144</c:v>
                </c:pt>
                <c:pt idx="4463">
                  <c:v>41145</c:v>
                </c:pt>
                <c:pt idx="4464">
                  <c:v>41148</c:v>
                </c:pt>
                <c:pt idx="4465">
                  <c:v>41149</c:v>
                </c:pt>
                <c:pt idx="4466">
                  <c:v>41150</c:v>
                </c:pt>
                <c:pt idx="4467">
                  <c:v>41151</c:v>
                </c:pt>
                <c:pt idx="4468">
                  <c:v>41152</c:v>
                </c:pt>
                <c:pt idx="4469">
                  <c:v>41156</c:v>
                </c:pt>
                <c:pt idx="4470">
                  <c:v>41157</c:v>
                </c:pt>
                <c:pt idx="4471">
                  <c:v>41158</c:v>
                </c:pt>
                <c:pt idx="4472">
                  <c:v>41159</c:v>
                </c:pt>
                <c:pt idx="4473">
                  <c:v>41162</c:v>
                </c:pt>
                <c:pt idx="4474">
                  <c:v>41163</c:v>
                </c:pt>
                <c:pt idx="4475">
                  <c:v>41164</c:v>
                </c:pt>
                <c:pt idx="4476">
                  <c:v>41165</c:v>
                </c:pt>
                <c:pt idx="4477">
                  <c:v>41166</c:v>
                </c:pt>
                <c:pt idx="4478">
                  <c:v>41169</c:v>
                </c:pt>
                <c:pt idx="4479">
                  <c:v>41170</c:v>
                </c:pt>
                <c:pt idx="4480">
                  <c:v>41171</c:v>
                </c:pt>
                <c:pt idx="4481">
                  <c:v>41172</c:v>
                </c:pt>
                <c:pt idx="4482">
                  <c:v>41173</c:v>
                </c:pt>
                <c:pt idx="4483">
                  <c:v>41176</c:v>
                </c:pt>
                <c:pt idx="4484">
                  <c:v>41177</c:v>
                </c:pt>
                <c:pt idx="4485">
                  <c:v>41178</c:v>
                </c:pt>
                <c:pt idx="4486">
                  <c:v>41179</c:v>
                </c:pt>
                <c:pt idx="4487">
                  <c:v>41180</c:v>
                </c:pt>
                <c:pt idx="4488">
                  <c:v>41183</c:v>
                </c:pt>
                <c:pt idx="4489">
                  <c:v>41184</c:v>
                </c:pt>
                <c:pt idx="4490">
                  <c:v>41185</c:v>
                </c:pt>
                <c:pt idx="4491">
                  <c:v>41186</c:v>
                </c:pt>
                <c:pt idx="4492">
                  <c:v>41187</c:v>
                </c:pt>
                <c:pt idx="4493">
                  <c:v>41190</c:v>
                </c:pt>
                <c:pt idx="4494">
                  <c:v>41191</c:v>
                </c:pt>
                <c:pt idx="4495">
                  <c:v>41192</c:v>
                </c:pt>
                <c:pt idx="4496">
                  <c:v>41193</c:v>
                </c:pt>
                <c:pt idx="4497">
                  <c:v>41194</c:v>
                </c:pt>
                <c:pt idx="4498">
                  <c:v>41197</c:v>
                </c:pt>
                <c:pt idx="4499">
                  <c:v>41198</c:v>
                </c:pt>
                <c:pt idx="4500">
                  <c:v>41199</c:v>
                </c:pt>
                <c:pt idx="4501">
                  <c:v>41200</c:v>
                </c:pt>
                <c:pt idx="4502">
                  <c:v>41201</c:v>
                </c:pt>
                <c:pt idx="4503">
                  <c:v>41204</c:v>
                </c:pt>
                <c:pt idx="4504">
                  <c:v>41205</c:v>
                </c:pt>
                <c:pt idx="4505">
                  <c:v>41206</c:v>
                </c:pt>
                <c:pt idx="4506">
                  <c:v>41207</c:v>
                </c:pt>
                <c:pt idx="4507">
                  <c:v>41208</c:v>
                </c:pt>
                <c:pt idx="4508">
                  <c:v>41213</c:v>
                </c:pt>
                <c:pt idx="4509">
                  <c:v>41214</c:v>
                </c:pt>
                <c:pt idx="4510">
                  <c:v>41215</c:v>
                </c:pt>
                <c:pt idx="4511">
                  <c:v>41218</c:v>
                </c:pt>
                <c:pt idx="4512">
                  <c:v>41219</c:v>
                </c:pt>
                <c:pt idx="4513">
                  <c:v>41220</c:v>
                </c:pt>
                <c:pt idx="4514">
                  <c:v>41221</c:v>
                </c:pt>
                <c:pt idx="4515">
                  <c:v>41222</c:v>
                </c:pt>
                <c:pt idx="4516">
                  <c:v>41225</c:v>
                </c:pt>
                <c:pt idx="4517">
                  <c:v>41226</c:v>
                </c:pt>
                <c:pt idx="4518">
                  <c:v>41227</c:v>
                </c:pt>
                <c:pt idx="4519">
                  <c:v>41228</c:v>
                </c:pt>
                <c:pt idx="4520">
                  <c:v>41229</c:v>
                </c:pt>
                <c:pt idx="4521">
                  <c:v>41232</c:v>
                </c:pt>
                <c:pt idx="4522">
                  <c:v>41233</c:v>
                </c:pt>
                <c:pt idx="4523">
                  <c:v>41234</c:v>
                </c:pt>
                <c:pt idx="4524">
                  <c:v>41236</c:v>
                </c:pt>
                <c:pt idx="4525">
                  <c:v>41239</c:v>
                </c:pt>
                <c:pt idx="4526">
                  <c:v>41240</c:v>
                </c:pt>
                <c:pt idx="4527">
                  <c:v>41241</c:v>
                </c:pt>
                <c:pt idx="4528">
                  <c:v>41242</c:v>
                </c:pt>
                <c:pt idx="4529">
                  <c:v>41243</c:v>
                </c:pt>
                <c:pt idx="4530">
                  <c:v>41246</c:v>
                </c:pt>
                <c:pt idx="4531">
                  <c:v>41247</c:v>
                </c:pt>
                <c:pt idx="4532">
                  <c:v>41248</c:v>
                </c:pt>
                <c:pt idx="4533">
                  <c:v>41249</c:v>
                </c:pt>
                <c:pt idx="4534">
                  <c:v>41250</c:v>
                </c:pt>
                <c:pt idx="4535">
                  <c:v>41253</c:v>
                </c:pt>
                <c:pt idx="4536">
                  <c:v>41254</c:v>
                </c:pt>
                <c:pt idx="4537">
                  <c:v>41255</c:v>
                </c:pt>
                <c:pt idx="4538">
                  <c:v>41256</c:v>
                </c:pt>
                <c:pt idx="4539">
                  <c:v>41257</c:v>
                </c:pt>
                <c:pt idx="4540">
                  <c:v>41260</c:v>
                </c:pt>
                <c:pt idx="4541">
                  <c:v>41261</c:v>
                </c:pt>
                <c:pt idx="4542">
                  <c:v>41262</c:v>
                </c:pt>
                <c:pt idx="4543">
                  <c:v>41263</c:v>
                </c:pt>
                <c:pt idx="4544">
                  <c:v>41264</c:v>
                </c:pt>
                <c:pt idx="4545">
                  <c:v>41267</c:v>
                </c:pt>
                <c:pt idx="4546">
                  <c:v>41269</c:v>
                </c:pt>
                <c:pt idx="4547">
                  <c:v>41270</c:v>
                </c:pt>
                <c:pt idx="4548">
                  <c:v>41271</c:v>
                </c:pt>
                <c:pt idx="4549">
                  <c:v>41274</c:v>
                </c:pt>
                <c:pt idx="4550">
                  <c:v>41276</c:v>
                </c:pt>
                <c:pt idx="4551">
                  <c:v>41277</c:v>
                </c:pt>
                <c:pt idx="4552">
                  <c:v>41278</c:v>
                </c:pt>
                <c:pt idx="4553">
                  <c:v>41281</c:v>
                </c:pt>
                <c:pt idx="4554">
                  <c:v>41282</c:v>
                </c:pt>
                <c:pt idx="4555">
                  <c:v>41283</c:v>
                </c:pt>
                <c:pt idx="4556">
                  <c:v>41284</c:v>
                </c:pt>
                <c:pt idx="4557">
                  <c:v>41285</c:v>
                </c:pt>
                <c:pt idx="4558">
                  <c:v>41288</c:v>
                </c:pt>
                <c:pt idx="4559">
                  <c:v>41289</c:v>
                </c:pt>
                <c:pt idx="4560">
                  <c:v>41290</c:v>
                </c:pt>
                <c:pt idx="4561">
                  <c:v>41291</c:v>
                </c:pt>
                <c:pt idx="4562">
                  <c:v>41292</c:v>
                </c:pt>
                <c:pt idx="4563">
                  <c:v>41296</c:v>
                </c:pt>
                <c:pt idx="4564">
                  <c:v>41297</c:v>
                </c:pt>
                <c:pt idx="4565">
                  <c:v>41298</c:v>
                </c:pt>
                <c:pt idx="4566">
                  <c:v>41299</c:v>
                </c:pt>
                <c:pt idx="4567">
                  <c:v>41302</c:v>
                </c:pt>
                <c:pt idx="4568">
                  <c:v>41303</c:v>
                </c:pt>
                <c:pt idx="4569">
                  <c:v>41304</c:v>
                </c:pt>
                <c:pt idx="4570">
                  <c:v>41305</c:v>
                </c:pt>
                <c:pt idx="4571">
                  <c:v>41306</c:v>
                </c:pt>
                <c:pt idx="4572">
                  <c:v>41309</c:v>
                </c:pt>
                <c:pt idx="4573">
                  <c:v>41310</c:v>
                </c:pt>
                <c:pt idx="4574">
                  <c:v>41311</c:v>
                </c:pt>
                <c:pt idx="4575">
                  <c:v>41312</c:v>
                </c:pt>
                <c:pt idx="4576">
                  <c:v>41313</c:v>
                </c:pt>
                <c:pt idx="4577">
                  <c:v>41316</c:v>
                </c:pt>
                <c:pt idx="4578">
                  <c:v>41317</c:v>
                </c:pt>
                <c:pt idx="4579">
                  <c:v>41318</c:v>
                </c:pt>
                <c:pt idx="4580">
                  <c:v>41319</c:v>
                </c:pt>
                <c:pt idx="4581">
                  <c:v>41320</c:v>
                </c:pt>
                <c:pt idx="4582">
                  <c:v>41324</c:v>
                </c:pt>
                <c:pt idx="4583">
                  <c:v>41325</c:v>
                </c:pt>
                <c:pt idx="4584">
                  <c:v>41326</c:v>
                </c:pt>
                <c:pt idx="4585">
                  <c:v>41327</c:v>
                </c:pt>
                <c:pt idx="4586">
                  <c:v>41330</c:v>
                </c:pt>
                <c:pt idx="4587">
                  <c:v>41331</c:v>
                </c:pt>
                <c:pt idx="4588">
                  <c:v>41332</c:v>
                </c:pt>
                <c:pt idx="4589">
                  <c:v>41333</c:v>
                </c:pt>
                <c:pt idx="4590">
                  <c:v>41334</c:v>
                </c:pt>
                <c:pt idx="4591">
                  <c:v>41337</c:v>
                </c:pt>
                <c:pt idx="4592">
                  <c:v>41338</c:v>
                </c:pt>
                <c:pt idx="4593">
                  <c:v>41339</c:v>
                </c:pt>
                <c:pt idx="4594">
                  <c:v>41340</c:v>
                </c:pt>
                <c:pt idx="4595">
                  <c:v>41341</c:v>
                </c:pt>
                <c:pt idx="4596">
                  <c:v>41344</c:v>
                </c:pt>
                <c:pt idx="4597">
                  <c:v>41345</c:v>
                </c:pt>
                <c:pt idx="4598">
                  <c:v>41346</c:v>
                </c:pt>
                <c:pt idx="4599">
                  <c:v>41347</c:v>
                </c:pt>
                <c:pt idx="4600">
                  <c:v>41348</c:v>
                </c:pt>
                <c:pt idx="4601">
                  <c:v>41351</c:v>
                </c:pt>
                <c:pt idx="4602">
                  <c:v>41352</c:v>
                </c:pt>
                <c:pt idx="4603">
                  <c:v>41353</c:v>
                </c:pt>
                <c:pt idx="4604">
                  <c:v>41354</c:v>
                </c:pt>
                <c:pt idx="4605">
                  <c:v>41355</c:v>
                </c:pt>
                <c:pt idx="4606">
                  <c:v>41358</c:v>
                </c:pt>
                <c:pt idx="4607">
                  <c:v>41359</c:v>
                </c:pt>
                <c:pt idx="4608">
                  <c:v>41360</c:v>
                </c:pt>
                <c:pt idx="4609">
                  <c:v>41361</c:v>
                </c:pt>
                <c:pt idx="4610">
                  <c:v>41365</c:v>
                </c:pt>
                <c:pt idx="4611">
                  <c:v>41366</c:v>
                </c:pt>
                <c:pt idx="4612">
                  <c:v>41367</c:v>
                </c:pt>
                <c:pt idx="4613">
                  <c:v>41368</c:v>
                </c:pt>
                <c:pt idx="4614">
                  <c:v>41369</c:v>
                </c:pt>
                <c:pt idx="4615">
                  <c:v>41372</c:v>
                </c:pt>
                <c:pt idx="4616">
                  <c:v>41373</c:v>
                </c:pt>
                <c:pt idx="4617">
                  <c:v>41374</c:v>
                </c:pt>
                <c:pt idx="4618">
                  <c:v>41375</c:v>
                </c:pt>
                <c:pt idx="4619">
                  <c:v>41376</c:v>
                </c:pt>
                <c:pt idx="4620">
                  <c:v>41379</c:v>
                </c:pt>
                <c:pt idx="4621">
                  <c:v>41380</c:v>
                </c:pt>
                <c:pt idx="4622">
                  <c:v>41381</c:v>
                </c:pt>
                <c:pt idx="4623">
                  <c:v>41382</c:v>
                </c:pt>
                <c:pt idx="4624">
                  <c:v>41383</c:v>
                </c:pt>
                <c:pt idx="4625">
                  <c:v>41386</c:v>
                </c:pt>
                <c:pt idx="4626">
                  <c:v>41387</c:v>
                </c:pt>
                <c:pt idx="4627">
                  <c:v>41388</c:v>
                </c:pt>
                <c:pt idx="4628">
                  <c:v>41389</c:v>
                </c:pt>
                <c:pt idx="4629">
                  <c:v>41390</c:v>
                </c:pt>
                <c:pt idx="4630">
                  <c:v>41393</c:v>
                </c:pt>
                <c:pt idx="4631">
                  <c:v>41394</c:v>
                </c:pt>
                <c:pt idx="4632">
                  <c:v>41395</c:v>
                </c:pt>
                <c:pt idx="4633">
                  <c:v>41396</c:v>
                </c:pt>
                <c:pt idx="4634">
                  <c:v>41397</c:v>
                </c:pt>
                <c:pt idx="4635">
                  <c:v>41400</c:v>
                </c:pt>
                <c:pt idx="4636">
                  <c:v>41401</c:v>
                </c:pt>
                <c:pt idx="4637">
                  <c:v>41402</c:v>
                </c:pt>
                <c:pt idx="4638">
                  <c:v>41403</c:v>
                </c:pt>
                <c:pt idx="4639">
                  <c:v>41404</c:v>
                </c:pt>
                <c:pt idx="4640">
                  <c:v>41407</c:v>
                </c:pt>
                <c:pt idx="4641">
                  <c:v>41408</c:v>
                </c:pt>
                <c:pt idx="4642">
                  <c:v>41409</c:v>
                </c:pt>
                <c:pt idx="4643">
                  <c:v>41410</c:v>
                </c:pt>
                <c:pt idx="4644">
                  <c:v>41411</c:v>
                </c:pt>
                <c:pt idx="4645">
                  <c:v>41414</c:v>
                </c:pt>
                <c:pt idx="4646">
                  <c:v>41415</c:v>
                </c:pt>
                <c:pt idx="4647">
                  <c:v>41416</c:v>
                </c:pt>
                <c:pt idx="4648">
                  <c:v>41417</c:v>
                </c:pt>
                <c:pt idx="4649">
                  <c:v>41418</c:v>
                </c:pt>
                <c:pt idx="4650">
                  <c:v>41422</c:v>
                </c:pt>
                <c:pt idx="4651">
                  <c:v>41423</c:v>
                </c:pt>
                <c:pt idx="4652">
                  <c:v>41424</c:v>
                </c:pt>
                <c:pt idx="4653">
                  <c:v>41425</c:v>
                </c:pt>
                <c:pt idx="4654">
                  <c:v>41428</c:v>
                </c:pt>
                <c:pt idx="4655">
                  <c:v>41429</c:v>
                </c:pt>
                <c:pt idx="4656">
                  <c:v>41430</c:v>
                </c:pt>
                <c:pt idx="4657">
                  <c:v>41431</c:v>
                </c:pt>
                <c:pt idx="4658">
                  <c:v>41432</c:v>
                </c:pt>
                <c:pt idx="4659">
                  <c:v>41435</c:v>
                </c:pt>
                <c:pt idx="4660">
                  <c:v>41436</c:v>
                </c:pt>
                <c:pt idx="4661">
                  <c:v>41437</c:v>
                </c:pt>
                <c:pt idx="4662">
                  <c:v>41438</c:v>
                </c:pt>
                <c:pt idx="4663">
                  <c:v>41439</c:v>
                </c:pt>
                <c:pt idx="4664">
                  <c:v>41442</c:v>
                </c:pt>
                <c:pt idx="4665">
                  <c:v>41443</c:v>
                </c:pt>
                <c:pt idx="4666">
                  <c:v>41444</c:v>
                </c:pt>
                <c:pt idx="4667">
                  <c:v>41445</c:v>
                </c:pt>
                <c:pt idx="4668">
                  <c:v>41446</c:v>
                </c:pt>
                <c:pt idx="4669">
                  <c:v>41449</c:v>
                </c:pt>
                <c:pt idx="4670">
                  <c:v>41450</c:v>
                </c:pt>
                <c:pt idx="4671">
                  <c:v>41451</c:v>
                </c:pt>
                <c:pt idx="4672">
                  <c:v>41452</c:v>
                </c:pt>
                <c:pt idx="4673">
                  <c:v>41453</c:v>
                </c:pt>
                <c:pt idx="4674">
                  <c:v>41456</c:v>
                </c:pt>
                <c:pt idx="4675">
                  <c:v>41457</c:v>
                </c:pt>
                <c:pt idx="4676">
                  <c:v>41458</c:v>
                </c:pt>
                <c:pt idx="4677">
                  <c:v>41460</c:v>
                </c:pt>
                <c:pt idx="4678">
                  <c:v>41463</c:v>
                </c:pt>
                <c:pt idx="4679">
                  <c:v>41464</c:v>
                </c:pt>
                <c:pt idx="4680">
                  <c:v>41465</c:v>
                </c:pt>
                <c:pt idx="4681">
                  <c:v>41466</c:v>
                </c:pt>
                <c:pt idx="4682">
                  <c:v>41467</c:v>
                </c:pt>
                <c:pt idx="4683">
                  <c:v>41470</c:v>
                </c:pt>
                <c:pt idx="4684">
                  <c:v>41471</c:v>
                </c:pt>
                <c:pt idx="4685">
                  <c:v>41472</c:v>
                </c:pt>
                <c:pt idx="4686">
                  <c:v>41473</c:v>
                </c:pt>
                <c:pt idx="4687">
                  <c:v>41474</c:v>
                </c:pt>
                <c:pt idx="4688">
                  <c:v>41477</c:v>
                </c:pt>
                <c:pt idx="4689">
                  <c:v>41478</c:v>
                </c:pt>
                <c:pt idx="4690">
                  <c:v>41479</c:v>
                </c:pt>
                <c:pt idx="4691">
                  <c:v>41480</c:v>
                </c:pt>
                <c:pt idx="4692">
                  <c:v>41481</c:v>
                </c:pt>
                <c:pt idx="4693">
                  <c:v>41484</c:v>
                </c:pt>
                <c:pt idx="4694">
                  <c:v>41485</c:v>
                </c:pt>
                <c:pt idx="4695">
                  <c:v>41486</c:v>
                </c:pt>
                <c:pt idx="4696">
                  <c:v>41487</c:v>
                </c:pt>
                <c:pt idx="4697">
                  <c:v>41488</c:v>
                </c:pt>
                <c:pt idx="4698">
                  <c:v>41491</c:v>
                </c:pt>
                <c:pt idx="4699">
                  <c:v>41492</c:v>
                </c:pt>
                <c:pt idx="4700">
                  <c:v>41493</c:v>
                </c:pt>
                <c:pt idx="4701">
                  <c:v>41494</c:v>
                </c:pt>
                <c:pt idx="4702">
                  <c:v>41495</c:v>
                </c:pt>
                <c:pt idx="4703">
                  <c:v>41498</c:v>
                </c:pt>
                <c:pt idx="4704">
                  <c:v>41499</c:v>
                </c:pt>
                <c:pt idx="4705">
                  <c:v>41500</c:v>
                </c:pt>
                <c:pt idx="4706">
                  <c:v>41501</c:v>
                </c:pt>
                <c:pt idx="4707">
                  <c:v>41502</c:v>
                </c:pt>
                <c:pt idx="4708">
                  <c:v>41505</c:v>
                </c:pt>
                <c:pt idx="4709">
                  <c:v>41506</c:v>
                </c:pt>
                <c:pt idx="4710">
                  <c:v>41507</c:v>
                </c:pt>
                <c:pt idx="4711">
                  <c:v>41508</c:v>
                </c:pt>
                <c:pt idx="4712">
                  <c:v>41509</c:v>
                </c:pt>
                <c:pt idx="4713">
                  <c:v>41512</c:v>
                </c:pt>
                <c:pt idx="4714">
                  <c:v>41513</c:v>
                </c:pt>
                <c:pt idx="4715">
                  <c:v>41514</c:v>
                </c:pt>
                <c:pt idx="4716">
                  <c:v>41515</c:v>
                </c:pt>
                <c:pt idx="4717">
                  <c:v>41516</c:v>
                </c:pt>
                <c:pt idx="4718">
                  <c:v>41520</c:v>
                </c:pt>
                <c:pt idx="4719">
                  <c:v>41521</c:v>
                </c:pt>
                <c:pt idx="4720">
                  <c:v>41522</c:v>
                </c:pt>
                <c:pt idx="4721">
                  <c:v>41523</c:v>
                </c:pt>
                <c:pt idx="4722">
                  <c:v>41526</c:v>
                </c:pt>
                <c:pt idx="4723">
                  <c:v>41527</c:v>
                </c:pt>
                <c:pt idx="4724">
                  <c:v>41528</c:v>
                </c:pt>
                <c:pt idx="4725">
                  <c:v>41529</c:v>
                </c:pt>
                <c:pt idx="4726">
                  <c:v>41530</c:v>
                </c:pt>
                <c:pt idx="4727">
                  <c:v>41533</c:v>
                </c:pt>
                <c:pt idx="4728">
                  <c:v>41534</c:v>
                </c:pt>
                <c:pt idx="4729">
                  <c:v>41535</c:v>
                </c:pt>
                <c:pt idx="4730">
                  <c:v>41536</c:v>
                </c:pt>
                <c:pt idx="4731">
                  <c:v>41537</c:v>
                </c:pt>
                <c:pt idx="4732">
                  <c:v>41540</c:v>
                </c:pt>
                <c:pt idx="4733">
                  <c:v>41541</c:v>
                </c:pt>
                <c:pt idx="4734">
                  <c:v>41542</c:v>
                </c:pt>
                <c:pt idx="4735">
                  <c:v>41543</c:v>
                </c:pt>
                <c:pt idx="4736">
                  <c:v>41544</c:v>
                </c:pt>
                <c:pt idx="4737">
                  <c:v>41547</c:v>
                </c:pt>
                <c:pt idx="4738">
                  <c:v>41548</c:v>
                </c:pt>
                <c:pt idx="4739">
                  <c:v>41549</c:v>
                </c:pt>
                <c:pt idx="4740">
                  <c:v>41550</c:v>
                </c:pt>
                <c:pt idx="4741">
                  <c:v>41551</c:v>
                </c:pt>
                <c:pt idx="4742">
                  <c:v>41554</c:v>
                </c:pt>
                <c:pt idx="4743">
                  <c:v>41555</c:v>
                </c:pt>
                <c:pt idx="4744">
                  <c:v>41556</c:v>
                </c:pt>
                <c:pt idx="4745">
                  <c:v>41557</c:v>
                </c:pt>
                <c:pt idx="4746">
                  <c:v>41558</c:v>
                </c:pt>
                <c:pt idx="4747">
                  <c:v>41561</c:v>
                </c:pt>
                <c:pt idx="4748">
                  <c:v>41562</c:v>
                </c:pt>
                <c:pt idx="4749">
                  <c:v>41563</c:v>
                </c:pt>
                <c:pt idx="4750">
                  <c:v>41564</c:v>
                </c:pt>
                <c:pt idx="4751">
                  <c:v>41565</c:v>
                </c:pt>
                <c:pt idx="4752">
                  <c:v>41568</c:v>
                </c:pt>
                <c:pt idx="4753">
                  <c:v>41569</c:v>
                </c:pt>
                <c:pt idx="4754">
                  <c:v>41570</c:v>
                </c:pt>
                <c:pt idx="4755">
                  <c:v>41571</c:v>
                </c:pt>
                <c:pt idx="4756">
                  <c:v>41572</c:v>
                </c:pt>
                <c:pt idx="4757">
                  <c:v>41575</c:v>
                </c:pt>
                <c:pt idx="4758">
                  <c:v>41576</c:v>
                </c:pt>
                <c:pt idx="4759">
                  <c:v>41577</c:v>
                </c:pt>
                <c:pt idx="4760">
                  <c:v>41578</c:v>
                </c:pt>
                <c:pt idx="4761">
                  <c:v>41579</c:v>
                </c:pt>
                <c:pt idx="4762">
                  <c:v>41582</c:v>
                </c:pt>
                <c:pt idx="4763">
                  <c:v>41583</c:v>
                </c:pt>
                <c:pt idx="4764">
                  <c:v>41584</c:v>
                </c:pt>
                <c:pt idx="4765">
                  <c:v>41585</c:v>
                </c:pt>
                <c:pt idx="4766">
                  <c:v>41586</c:v>
                </c:pt>
                <c:pt idx="4767">
                  <c:v>41589</c:v>
                </c:pt>
                <c:pt idx="4768">
                  <c:v>41590</c:v>
                </c:pt>
                <c:pt idx="4769">
                  <c:v>41591</c:v>
                </c:pt>
                <c:pt idx="4770">
                  <c:v>41592</c:v>
                </c:pt>
                <c:pt idx="4771">
                  <c:v>41593</c:v>
                </c:pt>
                <c:pt idx="4772">
                  <c:v>41596</c:v>
                </c:pt>
                <c:pt idx="4773">
                  <c:v>41597</c:v>
                </c:pt>
                <c:pt idx="4774">
                  <c:v>41598</c:v>
                </c:pt>
                <c:pt idx="4775">
                  <c:v>41599</c:v>
                </c:pt>
                <c:pt idx="4776">
                  <c:v>41600</c:v>
                </c:pt>
                <c:pt idx="4777">
                  <c:v>41603</c:v>
                </c:pt>
                <c:pt idx="4778">
                  <c:v>41604</c:v>
                </c:pt>
                <c:pt idx="4779">
                  <c:v>41605</c:v>
                </c:pt>
                <c:pt idx="4780">
                  <c:v>41607</c:v>
                </c:pt>
                <c:pt idx="4781">
                  <c:v>41610</c:v>
                </c:pt>
                <c:pt idx="4782">
                  <c:v>41611</c:v>
                </c:pt>
                <c:pt idx="4783">
                  <c:v>41612</c:v>
                </c:pt>
                <c:pt idx="4784">
                  <c:v>41613</c:v>
                </c:pt>
                <c:pt idx="4785">
                  <c:v>41614</c:v>
                </c:pt>
                <c:pt idx="4786">
                  <c:v>41617</c:v>
                </c:pt>
                <c:pt idx="4787">
                  <c:v>41618</c:v>
                </c:pt>
                <c:pt idx="4788">
                  <c:v>41619</c:v>
                </c:pt>
                <c:pt idx="4789">
                  <c:v>41620</c:v>
                </c:pt>
                <c:pt idx="4790">
                  <c:v>41621</c:v>
                </c:pt>
                <c:pt idx="4791">
                  <c:v>41624</c:v>
                </c:pt>
                <c:pt idx="4792">
                  <c:v>41625</c:v>
                </c:pt>
                <c:pt idx="4793">
                  <c:v>41626</c:v>
                </c:pt>
                <c:pt idx="4794">
                  <c:v>41627</c:v>
                </c:pt>
                <c:pt idx="4795">
                  <c:v>41628</c:v>
                </c:pt>
                <c:pt idx="4796">
                  <c:v>41631</c:v>
                </c:pt>
                <c:pt idx="4797">
                  <c:v>41632</c:v>
                </c:pt>
                <c:pt idx="4798">
                  <c:v>41634</c:v>
                </c:pt>
                <c:pt idx="4799">
                  <c:v>41635</c:v>
                </c:pt>
                <c:pt idx="4800">
                  <c:v>41638</c:v>
                </c:pt>
                <c:pt idx="4801">
                  <c:v>41639</c:v>
                </c:pt>
                <c:pt idx="4802">
                  <c:v>41641</c:v>
                </c:pt>
                <c:pt idx="4803">
                  <c:v>41642</c:v>
                </c:pt>
                <c:pt idx="4804">
                  <c:v>41645</c:v>
                </c:pt>
                <c:pt idx="4805">
                  <c:v>41646</c:v>
                </c:pt>
                <c:pt idx="4806">
                  <c:v>41647</c:v>
                </c:pt>
                <c:pt idx="4807">
                  <c:v>41648</c:v>
                </c:pt>
                <c:pt idx="4808">
                  <c:v>41649</c:v>
                </c:pt>
                <c:pt idx="4809">
                  <c:v>41652</c:v>
                </c:pt>
                <c:pt idx="4810">
                  <c:v>41653</c:v>
                </c:pt>
                <c:pt idx="4811">
                  <c:v>41654</c:v>
                </c:pt>
                <c:pt idx="4812">
                  <c:v>41655</c:v>
                </c:pt>
                <c:pt idx="4813">
                  <c:v>41656</c:v>
                </c:pt>
                <c:pt idx="4814">
                  <c:v>41660</c:v>
                </c:pt>
                <c:pt idx="4815">
                  <c:v>41661</c:v>
                </c:pt>
                <c:pt idx="4816">
                  <c:v>41662</c:v>
                </c:pt>
                <c:pt idx="4817">
                  <c:v>41663</c:v>
                </c:pt>
                <c:pt idx="4818">
                  <c:v>41666</c:v>
                </c:pt>
                <c:pt idx="4819">
                  <c:v>41667</c:v>
                </c:pt>
                <c:pt idx="4820">
                  <c:v>41668</c:v>
                </c:pt>
                <c:pt idx="4821">
                  <c:v>41669</c:v>
                </c:pt>
                <c:pt idx="4822">
                  <c:v>41670</c:v>
                </c:pt>
                <c:pt idx="4823">
                  <c:v>41673</c:v>
                </c:pt>
                <c:pt idx="4824">
                  <c:v>41674</c:v>
                </c:pt>
                <c:pt idx="4825">
                  <c:v>41675</c:v>
                </c:pt>
                <c:pt idx="4826">
                  <c:v>41676</c:v>
                </c:pt>
                <c:pt idx="4827">
                  <c:v>41677</c:v>
                </c:pt>
                <c:pt idx="4828">
                  <c:v>41680</c:v>
                </c:pt>
                <c:pt idx="4829">
                  <c:v>41681</c:v>
                </c:pt>
                <c:pt idx="4830">
                  <c:v>41682</c:v>
                </c:pt>
                <c:pt idx="4831">
                  <c:v>41683</c:v>
                </c:pt>
                <c:pt idx="4832">
                  <c:v>41684</c:v>
                </c:pt>
                <c:pt idx="4833">
                  <c:v>41688</c:v>
                </c:pt>
                <c:pt idx="4834">
                  <c:v>41689</c:v>
                </c:pt>
                <c:pt idx="4835">
                  <c:v>41690</c:v>
                </c:pt>
                <c:pt idx="4836">
                  <c:v>41691</c:v>
                </c:pt>
                <c:pt idx="4837">
                  <c:v>41694</c:v>
                </c:pt>
                <c:pt idx="4838">
                  <c:v>41695</c:v>
                </c:pt>
                <c:pt idx="4839">
                  <c:v>41696</c:v>
                </c:pt>
                <c:pt idx="4840">
                  <c:v>41697</c:v>
                </c:pt>
                <c:pt idx="4841">
                  <c:v>41698</c:v>
                </c:pt>
                <c:pt idx="4842">
                  <c:v>41701</c:v>
                </c:pt>
                <c:pt idx="4843">
                  <c:v>41702</c:v>
                </c:pt>
                <c:pt idx="4844">
                  <c:v>41703</c:v>
                </c:pt>
                <c:pt idx="4845">
                  <c:v>41704</c:v>
                </c:pt>
                <c:pt idx="4846">
                  <c:v>41705</c:v>
                </c:pt>
                <c:pt idx="4847">
                  <c:v>41708</c:v>
                </c:pt>
                <c:pt idx="4848">
                  <c:v>41709</c:v>
                </c:pt>
                <c:pt idx="4849">
                  <c:v>41710</c:v>
                </c:pt>
                <c:pt idx="4850">
                  <c:v>41711</c:v>
                </c:pt>
                <c:pt idx="4851">
                  <c:v>41712</c:v>
                </c:pt>
                <c:pt idx="4852">
                  <c:v>41715</c:v>
                </c:pt>
                <c:pt idx="4853">
                  <c:v>41716</c:v>
                </c:pt>
                <c:pt idx="4854">
                  <c:v>41717</c:v>
                </c:pt>
                <c:pt idx="4855">
                  <c:v>41718</c:v>
                </c:pt>
                <c:pt idx="4856">
                  <c:v>41719</c:v>
                </c:pt>
                <c:pt idx="4857">
                  <c:v>41722</c:v>
                </c:pt>
                <c:pt idx="4858">
                  <c:v>41723</c:v>
                </c:pt>
                <c:pt idx="4859">
                  <c:v>41724</c:v>
                </c:pt>
                <c:pt idx="4860">
                  <c:v>41725</c:v>
                </c:pt>
                <c:pt idx="4861">
                  <c:v>41726</c:v>
                </c:pt>
                <c:pt idx="4862">
                  <c:v>41729</c:v>
                </c:pt>
                <c:pt idx="4863">
                  <c:v>41730</c:v>
                </c:pt>
                <c:pt idx="4864">
                  <c:v>41731</c:v>
                </c:pt>
                <c:pt idx="4865">
                  <c:v>41732</c:v>
                </c:pt>
                <c:pt idx="4866">
                  <c:v>41733</c:v>
                </c:pt>
                <c:pt idx="4867">
                  <c:v>41736</c:v>
                </c:pt>
                <c:pt idx="4868">
                  <c:v>41737</c:v>
                </c:pt>
                <c:pt idx="4869">
                  <c:v>41738</c:v>
                </c:pt>
                <c:pt idx="4870">
                  <c:v>41739</c:v>
                </c:pt>
                <c:pt idx="4871">
                  <c:v>41740</c:v>
                </c:pt>
                <c:pt idx="4872">
                  <c:v>41743</c:v>
                </c:pt>
                <c:pt idx="4873">
                  <c:v>41744</c:v>
                </c:pt>
                <c:pt idx="4874">
                  <c:v>41745</c:v>
                </c:pt>
                <c:pt idx="4875">
                  <c:v>41746</c:v>
                </c:pt>
                <c:pt idx="4876">
                  <c:v>41750</c:v>
                </c:pt>
                <c:pt idx="4877">
                  <c:v>41751</c:v>
                </c:pt>
                <c:pt idx="4878">
                  <c:v>41752</c:v>
                </c:pt>
                <c:pt idx="4879">
                  <c:v>41753</c:v>
                </c:pt>
                <c:pt idx="4880">
                  <c:v>41754</c:v>
                </c:pt>
                <c:pt idx="4881">
                  <c:v>41757</c:v>
                </c:pt>
                <c:pt idx="4882">
                  <c:v>41758</c:v>
                </c:pt>
                <c:pt idx="4883">
                  <c:v>41759</c:v>
                </c:pt>
                <c:pt idx="4884">
                  <c:v>41760</c:v>
                </c:pt>
                <c:pt idx="4885">
                  <c:v>41761</c:v>
                </c:pt>
                <c:pt idx="4886">
                  <c:v>41764</c:v>
                </c:pt>
                <c:pt idx="4887">
                  <c:v>41765</c:v>
                </c:pt>
                <c:pt idx="4888">
                  <c:v>41766</c:v>
                </c:pt>
                <c:pt idx="4889">
                  <c:v>41767</c:v>
                </c:pt>
                <c:pt idx="4890">
                  <c:v>41768</c:v>
                </c:pt>
                <c:pt idx="4891">
                  <c:v>41771</c:v>
                </c:pt>
                <c:pt idx="4892">
                  <c:v>41772</c:v>
                </c:pt>
                <c:pt idx="4893">
                  <c:v>41773</c:v>
                </c:pt>
                <c:pt idx="4894">
                  <c:v>41774</c:v>
                </c:pt>
                <c:pt idx="4895">
                  <c:v>41775</c:v>
                </c:pt>
                <c:pt idx="4896">
                  <c:v>41778</c:v>
                </c:pt>
                <c:pt idx="4897">
                  <c:v>41779</c:v>
                </c:pt>
                <c:pt idx="4898">
                  <c:v>41780</c:v>
                </c:pt>
                <c:pt idx="4899">
                  <c:v>41781</c:v>
                </c:pt>
                <c:pt idx="4900">
                  <c:v>41782</c:v>
                </c:pt>
                <c:pt idx="4901">
                  <c:v>41786</c:v>
                </c:pt>
                <c:pt idx="4902">
                  <c:v>41787</c:v>
                </c:pt>
                <c:pt idx="4903">
                  <c:v>41788</c:v>
                </c:pt>
                <c:pt idx="4904">
                  <c:v>41789</c:v>
                </c:pt>
                <c:pt idx="4905">
                  <c:v>41792</c:v>
                </c:pt>
                <c:pt idx="4906">
                  <c:v>41793</c:v>
                </c:pt>
                <c:pt idx="4907">
                  <c:v>41794</c:v>
                </c:pt>
                <c:pt idx="4908">
                  <c:v>41795</c:v>
                </c:pt>
                <c:pt idx="4909">
                  <c:v>41796</c:v>
                </c:pt>
                <c:pt idx="4910">
                  <c:v>41799</c:v>
                </c:pt>
                <c:pt idx="4911">
                  <c:v>41800</c:v>
                </c:pt>
                <c:pt idx="4912">
                  <c:v>41801</c:v>
                </c:pt>
                <c:pt idx="4913">
                  <c:v>41802</c:v>
                </c:pt>
                <c:pt idx="4914">
                  <c:v>41803</c:v>
                </c:pt>
                <c:pt idx="4915">
                  <c:v>41806</c:v>
                </c:pt>
                <c:pt idx="4916">
                  <c:v>41807</c:v>
                </c:pt>
                <c:pt idx="4917">
                  <c:v>41808</c:v>
                </c:pt>
                <c:pt idx="4918">
                  <c:v>41809</c:v>
                </c:pt>
                <c:pt idx="4919">
                  <c:v>41810</c:v>
                </c:pt>
                <c:pt idx="4920">
                  <c:v>41813</c:v>
                </c:pt>
                <c:pt idx="4921">
                  <c:v>41814</c:v>
                </c:pt>
                <c:pt idx="4922">
                  <c:v>41815</c:v>
                </c:pt>
                <c:pt idx="4923">
                  <c:v>41816</c:v>
                </c:pt>
                <c:pt idx="4924">
                  <c:v>41817</c:v>
                </c:pt>
                <c:pt idx="4925">
                  <c:v>41820</c:v>
                </c:pt>
                <c:pt idx="4926">
                  <c:v>41821</c:v>
                </c:pt>
                <c:pt idx="4927">
                  <c:v>41822</c:v>
                </c:pt>
                <c:pt idx="4928">
                  <c:v>41823</c:v>
                </c:pt>
                <c:pt idx="4929">
                  <c:v>41827</c:v>
                </c:pt>
                <c:pt idx="4930">
                  <c:v>41828</c:v>
                </c:pt>
                <c:pt idx="4931">
                  <c:v>41829</c:v>
                </c:pt>
                <c:pt idx="4932">
                  <c:v>41830</c:v>
                </c:pt>
                <c:pt idx="4933">
                  <c:v>41831</c:v>
                </c:pt>
                <c:pt idx="4934">
                  <c:v>41834</c:v>
                </c:pt>
                <c:pt idx="4935">
                  <c:v>41835</c:v>
                </c:pt>
                <c:pt idx="4936">
                  <c:v>41836</c:v>
                </c:pt>
                <c:pt idx="4937">
                  <c:v>41837</c:v>
                </c:pt>
                <c:pt idx="4938">
                  <c:v>41838</c:v>
                </c:pt>
                <c:pt idx="4939">
                  <c:v>41841</c:v>
                </c:pt>
                <c:pt idx="4940">
                  <c:v>41842</c:v>
                </c:pt>
                <c:pt idx="4941">
                  <c:v>41843</c:v>
                </c:pt>
                <c:pt idx="4942">
                  <c:v>41844</c:v>
                </c:pt>
                <c:pt idx="4943">
                  <c:v>41845</c:v>
                </c:pt>
                <c:pt idx="4944">
                  <c:v>41848</c:v>
                </c:pt>
                <c:pt idx="4945">
                  <c:v>41849</c:v>
                </c:pt>
                <c:pt idx="4946">
                  <c:v>41850</c:v>
                </c:pt>
                <c:pt idx="4947">
                  <c:v>41851</c:v>
                </c:pt>
                <c:pt idx="4948">
                  <c:v>41852</c:v>
                </c:pt>
                <c:pt idx="4949">
                  <c:v>41855</c:v>
                </c:pt>
                <c:pt idx="4950">
                  <c:v>41856</c:v>
                </c:pt>
                <c:pt idx="4951">
                  <c:v>41857</c:v>
                </c:pt>
                <c:pt idx="4952">
                  <c:v>41858</c:v>
                </c:pt>
                <c:pt idx="4953">
                  <c:v>41859</c:v>
                </c:pt>
                <c:pt idx="4954">
                  <c:v>41862</c:v>
                </c:pt>
                <c:pt idx="4955">
                  <c:v>41863</c:v>
                </c:pt>
                <c:pt idx="4956">
                  <c:v>41864</c:v>
                </c:pt>
                <c:pt idx="4957">
                  <c:v>41865</c:v>
                </c:pt>
                <c:pt idx="4958">
                  <c:v>41866</c:v>
                </c:pt>
                <c:pt idx="4959">
                  <c:v>41869</c:v>
                </c:pt>
                <c:pt idx="4960">
                  <c:v>41870</c:v>
                </c:pt>
                <c:pt idx="4961">
                  <c:v>41871</c:v>
                </c:pt>
                <c:pt idx="4962">
                  <c:v>41872</c:v>
                </c:pt>
                <c:pt idx="4963">
                  <c:v>41873</c:v>
                </c:pt>
                <c:pt idx="4964">
                  <c:v>41876</c:v>
                </c:pt>
                <c:pt idx="4965">
                  <c:v>41877</c:v>
                </c:pt>
                <c:pt idx="4966">
                  <c:v>41878</c:v>
                </c:pt>
                <c:pt idx="4967">
                  <c:v>41879</c:v>
                </c:pt>
                <c:pt idx="4968">
                  <c:v>41880</c:v>
                </c:pt>
                <c:pt idx="4969">
                  <c:v>41884</c:v>
                </c:pt>
                <c:pt idx="4970">
                  <c:v>41885</c:v>
                </c:pt>
                <c:pt idx="4971">
                  <c:v>41886</c:v>
                </c:pt>
                <c:pt idx="4972">
                  <c:v>41887</c:v>
                </c:pt>
                <c:pt idx="4973">
                  <c:v>41890</c:v>
                </c:pt>
                <c:pt idx="4974">
                  <c:v>41891</c:v>
                </c:pt>
                <c:pt idx="4975">
                  <c:v>41892</c:v>
                </c:pt>
                <c:pt idx="4976">
                  <c:v>41893</c:v>
                </c:pt>
                <c:pt idx="4977">
                  <c:v>41894</c:v>
                </c:pt>
                <c:pt idx="4978">
                  <c:v>41897</c:v>
                </c:pt>
                <c:pt idx="4979">
                  <c:v>41898</c:v>
                </c:pt>
                <c:pt idx="4980">
                  <c:v>41899</c:v>
                </c:pt>
                <c:pt idx="4981">
                  <c:v>41900</c:v>
                </c:pt>
                <c:pt idx="4982">
                  <c:v>41901</c:v>
                </c:pt>
                <c:pt idx="4983">
                  <c:v>41904</c:v>
                </c:pt>
                <c:pt idx="4984">
                  <c:v>41905</c:v>
                </c:pt>
                <c:pt idx="4985">
                  <c:v>41906</c:v>
                </c:pt>
                <c:pt idx="4986">
                  <c:v>41907</c:v>
                </c:pt>
                <c:pt idx="4987">
                  <c:v>41908</c:v>
                </c:pt>
                <c:pt idx="4988">
                  <c:v>41911</c:v>
                </c:pt>
                <c:pt idx="4989">
                  <c:v>41912</c:v>
                </c:pt>
                <c:pt idx="4990">
                  <c:v>41913</c:v>
                </c:pt>
                <c:pt idx="4991">
                  <c:v>41914</c:v>
                </c:pt>
                <c:pt idx="4992">
                  <c:v>41915</c:v>
                </c:pt>
                <c:pt idx="4993">
                  <c:v>41918</c:v>
                </c:pt>
                <c:pt idx="4994">
                  <c:v>41919</c:v>
                </c:pt>
                <c:pt idx="4995">
                  <c:v>41920</c:v>
                </c:pt>
                <c:pt idx="4996">
                  <c:v>41921</c:v>
                </c:pt>
                <c:pt idx="4997">
                  <c:v>41922</c:v>
                </c:pt>
                <c:pt idx="4998">
                  <c:v>41925</c:v>
                </c:pt>
                <c:pt idx="4999">
                  <c:v>41926</c:v>
                </c:pt>
                <c:pt idx="5000">
                  <c:v>41927</c:v>
                </c:pt>
                <c:pt idx="5001">
                  <c:v>41928</c:v>
                </c:pt>
                <c:pt idx="5002">
                  <c:v>41929</c:v>
                </c:pt>
                <c:pt idx="5003">
                  <c:v>41932</c:v>
                </c:pt>
                <c:pt idx="5004">
                  <c:v>41933</c:v>
                </c:pt>
                <c:pt idx="5005">
                  <c:v>41934</c:v>
                </c:pt>
                <c:pt idx="5006">
                  <c:v>41935</c:v>
                </c:pt>
                <c:pt idx="5007">
                  <c:v>41936</c:v>
                </c:pt>
                <c:pt idx="5008">
                  <c:v>41939</c:v>
                </c:pt>
                <c:pt idx="5009">
                  <c:v>41940</c:v>
                </c:pt>
                <c:pt idx="5010">
                  <c:v>41941</c:v>
                </c:pt>
                <c:pt idx="5011">
                  <c:v>41942</c:v>
                </c:pt>
                <c:pt idx="5012">
                  <c:v>41943</c:v>
                </c:pt>
                <c:pt idx="5013">
                  <c:v>41946</c:v>
                </c:pt>
                <c:pt idx="5014">
                  <c:v>41947</c:v>
                </c:pt>
                <c:pt idx="5015">
                  <c:v>41948</c:v>
                </c:pt>
                <c:pt idx="5016">
                  <c:v>41949</c:v>
                </c:pt>
                <c:pt idx="5017">
                  <c:v>41950</c:v>
                </c:pt>
                <c:pt idx="5018">
                  <c:v>41953</c:v>
                </c:pt>
                <c:pt idx="5019">
                  <c:v>41954</c:v>
                </c:pt>
                <c:pt idx="5020">
                  <c:v>41955</c:v>
                </c:pt>
                <c:pt idx="5021">
                  <c:v>41956</c:v>
                </c:pt>
                <c:pt idx="5022">
                  <c:v>41957</c:v>
                </c:pt>
                <c:pt idx="5023">
                  <c:v>41960</c:v>
                </c:pt>
                <c:pt idx="5024">
                  <c:v>41961</c:v>
                </c:pt>
                <c:pt idx="5025">
                  <c:v>41962</c:v>
                </c:pt>
                <c:pt idx="5026">
                  <c:v>41963</c:v>
                </c:pt>
                <c:pt idx="5027">
                  <c:v>41964</c:v>
                </c:pt>
                <c:pt idx="5028">
                  <c:v>41967</c:v>
                </c:pt>
                <c:pt idx="5029">
                  <c:v>41968</c:v>
                </c:pt>
                <c:pt idx="5030">
                  <c:v>41969</c:v>
                </c:pt>
                <c:pt idx="5031">
                  <c:v>41971</c:v>
                </c:pt>
                <c:pt idx="5032">
                  <c:v>41974</c:v>
                </c:pt>
                <c:pt idx="5033">
                  <c:v>41975</c:v>
                </c:pt>
                <c:pt idx="5034">
                  <c:v>41976</c:v>
                </c:pt>
                <c:pt idx="5035">
                  <c:v>41977</c:v>
                </c:pt>
                <c:pt idx="5036">
                  <c:v>41978</c:v>
                </c:pt>
                <c:pt idx="5037">
                  <c:v>41981</c:v>
                </c:pt>
                <c:pt idx="5038">
                  <c:v>41982</c:v>
                </c:pt>
                <c:pt idx="5039">
                  <c:v>41983</c:v>
                </c:pt>
                <c:pt idx="5040">
                  <c:v>41984</c:v>
                </c:pt>
                <c:pt idx="5041">
                  <c:v>41985</c:v>
                </c:pt>
                <c:pt idx="5042">
                  <c:v>41988</c:v>
                </c:pt>
                <c:pt idx="5043">
                  <c:v>41989</c:v>
                </c:pt>
                <c:pt idx="5044">
                  <c:v>41990</c:v>
                </c:pt>
                <c:pt idx="5045">
                  <c:v>41991</c:v>
                </c:pt>
                <c:pt idx="5046">
                  <c:v>41992</c:v>
                </c:pt>
                <c:pt idx="5047">
                  <c:v>41995</c:v>
                </c:pt>
                <c:pt idx="5048">
                  <c:v>41996</c:v>
                </c:pt>
                <c:pt idx="5049">
                  <c:v>41997</c:v>
                </c:pt>
                <c:pt idx="5050">
                  <c:v>41999</c:v>
                </c:pt>
                <c:pt idx="5051">
                  <c:v>42002</c:v>
                </c:pt>
                <c:pt idx="5052">
                  <c:v>42003</c:v>
                </c:pt>
                <c:pt idx="5053">
                  <c:v>42004</c:v>
                </c:pt>
                <c:pt idx="5054">
                  <c:v>42006</c:v>
                </c:pt>
                <c:pt idx="5055">
                  <c:v>42009</c:v>
                </c:pt>
                <c:pt idx="5056">
                  <c:v>42010</c:v>
                </c:pt>
                <c:pt idx="5057">
                  <c:v>42011</c:v>
                </c:pt>
                <c:pt idx="5058">
                  <c:v>42012</c:v>
                </c:pt>
                <c:pt idx="5059">
                  <c:v>42013</c:v>
                </c:pt>
                <c:pt idx="5060">
                  <c:v>42016</c:v>
                </c:pt>
                <c:pt idx="5061">
                  <c:v>42017</c:v>
                </c:pt>
                <c:pt idx="5062">
                  <c:v>42018</c:v>
                </c:pt>
                <c:pt idx="5063">
                  <c:v>42019</c:v>
                </c:pt>
                <c:pt idx="5064">
                  <c:v>42020</c:v>
                </c:pt>
                <c:pt idx="5065">
                  <c:v>42024</c:v>
                </c:pt>
                <c:pt idx="5066">
                  <c:v>42025</c:v>
                </c:pt>
                <c:pt idx="5067">
                  <c:v>42026</c:v>
                </c:pt>
                <c:pt idx="5068">
                  <c:v>42027</c:v>
                </c:pt>
                <c:pt idx="5069">
                  <c:v>42030</c:v>
                </c:pt>
                <c:pt idx="5070">
                  <c:v>42031</c:v>
                </c:pt>
                <c:pt idx="5071">
                  <c:v>42032</c:v>
                </c:pt>
                <c:pt idx="5072">
                  <c:v>42033</c:v>
                </c:pt>
                <c:pt idx="5073">
                  <c:v>42034</c:v>
                </c:pt>
                <c:pt idx="5074">
                  <c:v>42037</c:v>
                </c:pt>
                <c:pt idx="5075">
                  <c:v>42038</c:v>
                </c:pt>
                <c:pt idx="5076">
                  <c:v>42039</c:v>
                </c:pt>
                <c:pt idx="5077">
                  <c:v>42040</c:v>
                </c:pt>
                <c:pt idx="5078">
                  <c:v>42041</c:v>
                </c:pt>
                <c:pt idx="5079">
                  <c:v>42044</c:v>
                </c:pt>
                <c:pt idx="5080">
                  <c:v>42045</c:v>
                </c:pt>
                <c:pt idx="5081">
                  <c:v>42046</c:v>
                </c:pt>
                <c:pt idx="5082">
                  <c:v>42047</c:v>
                </c:pt>
                <c:pt idx="5083">
                  <c:v>42048</c:v>
                </c:pt>
                <c:pt idx="5084">
                  <c:v>42052</c:v>
                </c:pt>
                <c:pt idx="5085">
                  <c:v>42053</c:v>
                </c:pt>
                <c:pt idx="5086">
                  <c:v>42054</c:v>
                </c:pt>
                <c:pt idx="5087">
                  <c:v>42055</c:v>
                </c:pt>
                <c:pt idx="5088">
                  <c:v>42058</c:v>
                </c:pt>
                <c:pt idx="5089">
                  <c:v>42059</c:v>
                </c:pt>
                <c:pt idx="5090">
                  <c:v>42060</c:v>
                </c:pt>
                <c:pt idx="5091">
                  <c:v>42061</c:v>
                </c:pt>
                <c:pt idx="5092">
                  <c:v>42062</c:v>
                </c:pt>
                <c:pt idx="5093">
                  <c:v>42065</c:v>
                </c:pt>
                <c:pt idx="5094">
                  <c:v>42066</c:v>
                </c:pt>
                <c:pt idx="5095">
                  <c:v>42067</c:v>
                </c:pt>
                <c:pt idx="5096">
                  <c:v>42068</c:v>
                </c:pt>
                <c:pt idx="5097">
                  <c:v>42069</c:v>
                </c:pt>
                <c:pt idx="5098">
                  <c:v>42072</c:v>
                </c:pt>
                <c:pt idx="5099">
                  <c:v>42073</c:v>
                </c:pt>
                <c:pt idx="5100">
                  <c:v>42074</c:v>
                </c:pt>
                <c:pt idx="5101">
                  <c:v>42075</c:v>
                </c:pt>
                <c:pt idx="5102">
                  <c:v>42076</c:v>
                </c:pt>
                <c:pt idx="5103">
                  <c:v>42079</c:v>
                </c:pt>
                <c:pt idx="5104">
                  <c:v>42080</c:v>
                </c:pt>
                <c:pt idx="5105">
                  <c:v>42081</c:v>
                </c:pt>
                <c:pt idx="5106">
                  <c:v>42082</c:v>
                </c:pt>
                <c:pt idx="5107">
                  <c:v>42083</c:v>
                </c:pt>
                <c:pt idx="5108">
                  <c:v>42086</c:v>
                </c:pt>
                <c:pt idx="5109">
                  <c:v>42087</c:v>
                </c:pt>
                <c:pt idx="5110">
                  <c:v>42088</c:v>
                </c:pt>
                <c:pt idx="5111">
                  <c:v>42089</c:v>
                </c:pt>
                <c:pt idx="5112">
                  <c:v>42090</c:v>
                </c:pt>
                <c:pt idx="5113">
                  <c:v>42093</c:v>
                </c:pt>
                <c:pt idx="5114">
                  <c:v>42094</c:v>
                </c:pt>
                <c:pt idx="5115">
                  <c:v>42095</c:v>
                </c:pt>
                <c:pt idx="5116">
                  <c:v>42096</c:v>
                </c:pt>
                <c:pt idx="5117">
                  <c:v>42100</c:v>
                </c:pt>
                <c:pt idx="5118">
                  <c:v>42101</c:v>
                </c:pt>
                <c:pt idx="5119">
                  <c:v>42102</c:v>
                </c:pt>
                <c:pt idx="5120">
                  <c:v>42103</c:v>
                </c:pt>
                <c:pt idx="5121">
                  <c:v>42104</c:v>
                </c:pt>
                <c:pt idx="5122">
                  <c:v>42107</c:v>
                </c:pt>
                <c:pt idx="5123">
                  <c:v>42108</c:v>
                </c:pt>
                <c:pt idx="5124">
                  <c:v>42109</c:v>
                </c:pt>
                <c:pt idx="5125">
                  <c:v>42110</c:v>
                </c:pt>
                <c:pt idx="5126">
                  <c:v>42111</c:v>
                </c:pt>
                <c:pt idx="5127">
                  <c:v>42114</c:v>
                </c:pt>
                <c:pt idx="5128">
                  <c:v>42115</c:v>
                </c:pt>
                <c:pt idx="5129">
                  <c:v>42116</c:v>
                </c:pt>
                <c:pt idx="5130">
                  <c:v>42117</c:v>
                </c:pt>
                <c:pt idx="5131">
                  <c:v>42118</c:v>
                </c:pt>
                <c:pt idx="5132">
                  <c:v>42121</c:v>
                </c:pt>
                <c:pt idx="5133">
                  <c:v>42122</c:v>
                </c:pt>
                <c:pt idx="5134">
                  <c:v>42123</c:v>
                </c:pt>
                <c:pt idx="5135">
                  <c:v>42124</c:v>
                </c:pt>
                <c:pt idx="5136">
                  <c:v>42125</c:v>
                </c:pt>
                <c:pt idx="5137">
                  <c:v>42128</c:v>
                </c:pt>
                <c:pt idx="5138">
                  <c:v>42129</c:v>
                </c:pt>
                <c:pt idx="5139">
                  <c:v>42130</c:v>
                </c:pt>
                <c:pt idx="5140">
                  <c:v>42131</c:v>
                </c:pt>
                <c:pt idx="5141">
                  <c:v>42132</c:v>
                </c:pt>
                <c:pt idx="5142">
                  <c:v>42135</c:v>
                </c:pt>
                <c:pt idx="5143">
                  <c:v>42136</c:v>
                </c:pt>
                <c:pt idx="5144">
                  <c:v>42137</c:v>
                </c:pt>
                <c:pt idx="5145">
                  <c:v>42138</c:v>
                </c:pt>
                <c:pt idx="5146">
                  <c:v>42139</c:v>
                </c:pt>
                <c:pt idx="5147">
                  <c:v>42142</c:v>
                </c:pt>
                <c:pt idx="5148">
                  <c:v>42143</c:v>
                </c:pt>
                <c:pt idx="5149">
                  <c:v>42144</c:v>
                </c:pt>
                <c:pt idx="5150">
                  <c:v>42145</c:v>
                </c:pt>
                <c:pt idx="5151">
                  <c:v>42146</c:v>
                </c:pt>
                <c:pt idx="5152">
                  <c:v>42150</c:v>
                </c:pt>
                <c:pt idx="5153">
                  <c:v>42151</c:v>
                </c:pt>
                <c:pt idx="5154">
                  <c:v>42152</c:v>
                </c:pt>
                <c:pt idx="5155">
                  <c:v>42153</c:v>
                </c:pt>
                <c:pt idx="5156">
                  <c:v>42156</c:v>
                </c:pt>
                <c:pt idx="5157">
                  <c:v>42157</c:v>
                </c:pt>
                <c:pt idx="5158">
                  <c:v>42158</c:v>
                </c:pt>
                <c:pt idx="5159">
                  <c:v>42159</c:v>
                </c:pt>
                <c:pt idx="5160">
                  <c:v>42160</c:v>
                </c:pt>
                <c:pt idx="5161">
                  <c:v>42163</c:v>
                </c:pt>
                <c:pt idx="5162">
                  <c:v>42164</c:v>
                </c:pt>
                <c:pt idx="5163">
                  <c:v>42165</c:v>
                </c:pt>
                <c:pt idx="5164">
                  <c:v>42166</c:v>
                </c:pt>
                <c:pt idx="5165">
                  <c:v>42167</c:v>
                </c:pt>
                <c:pt idx="5166">
                  <c:v>42170</c:v>
                </c:pt>
                <c:pt idx="5167">
                  <c:v>42171</c:v>
                </c:pt>
                <c:pt idx="5168">
                  <c:v>42172</c:v>
                </c:pt>
                <c:pt idx="5169">
                  <c:v>42173</c:v>
                </c:pt>
                <c:pt idx="5170">
                  <c:v>42174</c:v>
                </c:pt>
                <c:pt idx="5171">
                  <c:v>42177</c:v>
                </c:pt>
                <c:pt idx="5172">
                  <c:v>42178</c:v>
                </c:pt>
                <c:pt idx="5173">
                  <c:v>42179</c:v>
                </c:pt>
                <c:pt idx="5174">
                  <c:v>42180</c:v>
                </c:pt>
                <c:pt idx="5175">
                  <c:v>42181</c:v>
                </c:pt>
                <c:pt idx="5176">
                  <c:v>42184</c:v>
                </c:pt>
                <c:pt idx="5177">
                  <c:v>42185</c:v>
                </c:pt>
                <c:pt idx="5178">
                  <c:v>42186</c:v>
                </c:pt>
                <c:pt idx="5179">
                  <c:v>42187</c:v>
                </c:pt>
                <c:pt idx="5180">
                  <c:v>42191</c:v>
                </c:pt>
                <c:pt idx="5181">
                  <c:v>42192</c:v>
                </c:pt>
                <c:pt idx="5182">
                  <c:v>42193</c:v>
                </c:pt>
                <c:pt idx="5183">
                  <c:v>42194</c:v>
                </c:pt>
                <c:pt idx="5184">
                  <c:v>42195</c:v>
                </c:pt>
                <c:pt idx="5185">
                  <c:v>42198</c:v>
                </c:pt>
                <c:pt idx="5186">
                  <c:v>42199</c:v>
                </c:pt>
                <c:pt idx="5187">
                  <c:v>42200</c:v>
                </c:pt>
                <c:pt idx="5188">
                  <c:v>42201</c:v>
                </c:pt>
                <c:pt idx="5189">
                  <c:v>42202</c:v>
                </c:pt>
                <c:pt idx="5190">
                  <c:v>42205</c:v>
                </c:pt>
                <c:pt idx="5191">
                  <c:v>42206</c:v>
                </c:pt>
                <c:pt idx="5192">
                  <c:v>42207</c:v>
                </c:pt>
                <c:pt idx="5193">
                  <c:v>42208</c:v>
                </c:pt>
                <c:pt idx="5194">
                  <c:v>42209</c:v>
                </c:pt>
                <c:pt idx="5195">
                  <c:v>42212</c:v>
                </c:pt>
                <c:pt idx="5196">
                  <c:v>42213</c:v>
                </c:pt>
                <c:pt idx="5197">
                  <c:v>42214</c:v>
                </c:pt>
                <c:pt idx="5198">
                  <c:v>42215</c:v>
                </c:pt>
                <c:pt idx="5199">
                  <c:v>42216</c:v>
                </c:pt>
                <c:pt idx="5200">
                  <c:v>42219</c:v>
                </c:pt>
                <c:pt idx="5201">
                  <c:v>42220</c:v>
                </c:pt>
                <c:pt idx="5202">
                  <c:v>42221</c:v>
                </c:pt>
                <c:pt idx="5203">
                  <c:v>42222</c:v>
                </c:pt>
                <c:pt idx="5204">
                  <c:v>42223</c:v>
                </c:pt>
                <c:pt idx="5205">
                  <c:v>42226</c:v>
                </c:pt>
                <c:pt idx="5206">
                  <c:v>42227</c:v>
                </c:pt>
                <c:pt idx="5207">
                  <c:v>42228</c:v>
                </c:pt>
                <c:pt idx="5208">
                  <c:v>42229</c:v>
                </c:pt>
                <c:pt idx="5209">
                  <c:v>42230</c:v>
                </c:pt>
                <c:pt idx="5210">
                  <c:v>42233</c:v>
                </c:pt>
                <c:pt idx="5211">
                  <c:v>42234</c:v>
                </c:pt>
                <c:pt idx="5212">
                  <c:v>42235</c:v>
                </c:pt>
                <c:pt idx="5213">
                  <c:v>42236</c:v>
                </c:pt>
                <c:pt idx="5214">
                  <c:v>42237</c:v>
                </c:pt>
                <c:pt idx="5215">
                  <c:v>42240</c:v>
                </c:pt>
                <c:pt idx="5216">
                  <c:v>42241</c:v>
                </c:pt>
                <c:pt idx="5217">
                  <c:v>42242</c:v>
                </c:pt>
                <c:pt idx="5218">
                  <c:v>42243</c:v>
                </c:pt>
                <c:pt idx="5219">
                  <c:v>42244</c:v>
                </c:pt>
                <c:pt idx="5220">
                  <c:v>42247</c:v>
                </c:pt>
                <c:pt idx="5221">
                  <c:v>42248</c:v>
                </c:pt>
                <c:pt idx="5222">
                  <c:v>42249</c:v>
                </c:pt>
                <c:pt idx="5223">
                  <c:v>42250</c:v>
                </c:pt>
                <c:pt idx="5224">
                  <c:v>42251</c:v>
                </c:pt>
                <c:pt idx="5225">
                  <c:v>42255</c:v>
                </c:pt>
                <c:pt idx="5226">
                  <c:v>42256</c:v>
                </c:pt>
                <c:pt idx="5227">
                  <c:v>42257</c:v>
                </c:pt>
                <c:pt idx="5228">
                  <c:v>42258</c:v>
                </c:pt>
                <c:pt idx="5229">
                  <c:v>42261</c:v>
                </c:pt>
                <c:pt idx="5230">
                  <c:v>42262</c:v>
                </c:pt>
                <c:pt idx="5231">
                  <c:v>42263</c:v>
                </c:pt>
                <c:pt idx="5232">
                  <c:v>42264</c:v>
                </c:pt>
                <c:pt idx="5233">
                  <c:v>42265</c:v>
                </c:pt>
                <c:pt idx="5234">
                  <c:v>42268</c:v>
                </c:pt>
                <c:pt idx="5235">
                  <c:v>42269</c:v>
                </c:pt>
                <c:pt idx="5236">
                  <c:v>42270</c:v>
                </c:pt>
                <c:pt idx="5237">
                  <c:v>42271</c:v>
                </c:pt>
                <c:pt idx="5238">
                  <c:v>42272</c:v>
                </c:pt>
                <c:pt idx="5239">
                  <c:v>42275</c:v>
                </c:pt>
                <c:pt idx="5240">
                  <c:v>42276</c:v>
                </c:pt>
                <c:pt idx="5241">
                  <c:v>42277</c:v>
                </c:pt>
                <c:pt idx="5242">
                  <c:v>42278</c:v>
                </c:pt>
                <c:pt idx="5243">
                  <c:v>42279</c:v>
                </c:pt>
                <c:pt idx="5244">
                  <c:v>42282</c:v>
                </c:pt>
                <c:pt idx="5245">
                  <c:v>42283</c:v>
                </c:pt>
                <c:pt idx="5246">
                  <c:v>42284</c:v>
                </c:pt>
                <c:pt idx="5247">
                  <c:v>42285</c:v>
                </c:pt>
                <c:pt idx="5248">
                  <c:v>42286</c:v>
                </c:pt>
                <c:pt idx="5249">
                  <c:v>42289</c:v>
                </c:pt>
                <c:pt idx="5250">
                  <c:v>42290</c:v>
                </c:pt>
                <c:pt idx="5251">
                  <c:v>42291</c:v>
                </c:pt>
                <c:pt idx="5252">
                  <c:v>42292</c:v>
                </c:pt>
                <c:pt idx="5253">
                  <c:v>42293</c:v>
                </c:pt>
                <c:pt idx="5254">
                  <c:v>42296</c:v>
                </c:pt>
                <c:pt idx="5255">
                  <c:v>42297</c:v>
                </c:pt>
                <c:pt idx="5256">
                  <c:v>42298</c:v>
                </c:pt>
                <c:pt idx="5257">
                  <c:v>42299</c:v>
                </c:pt>
                <c:pt idx="5258">
                  <c:v>42300</c:v>
                </c:pt>
                <c:pt idx="5259">
                  <c:v>42303</c:v>
                </c:pt>
                <c:pt idx="5260">
                  <c:v>42304</c:v>
                </c:pt>
                <c:pt idx="5261">
                  <c:v>42305</c:v>
                </c:pt>
                <c:pt idx="5262">
                  <c:v>42306</c:v>
                </c:pt>
                <c:pt idx="5263">
                  <c:v>42307</c:v>
                </c:pt>
                <c:pt idx="5264">
                  <c:v>42310</c:v>
                </c:pt>
                <c:pt idx="5265">
                  <c:v>42311</c:v>
                </c:pt>
                <c:pt idx="5266">
                  <c:v>42312</c:v>
                </c:pt>
                <c:pt idx="5267">
                  <c:v>42313</c:v>
                </c:pt>
                <c:pt idx="5268">
                  <c:v>42314</c:v>
                </c:pt>
                <c:pt idx="5269">
                  <c:v>42317</c:v>
                </c:pt>
                <c:pt idx="5270">
                  <c:v>42318</c:v>
                </c:pt>
                <c:pt idx="5271">
                  <c:v>42319</c:v>
                </c:pt>
                <c:pt idx="5272">
                  <c:v>42320</c:v>
                </c:pt>
                <c:pt idx="5273">
                  <c:v>42321</c:v>
                </c:pt>
                <c:pt idx="5274">
                  <c:v>42324</c:v>
                </c:pt>
                <c:pt idx="5275">
                  <c:v>42325</c:v>
                </c:pt>
                <c:pt idx="5276">
                  <c:v>42326</c:v>
                </c:pt>
                <c:pt idx="5277">
                  <c:v>42327</c:v>
                </c:pt>
                <c:pt idx="5278">
                  <c:v>42328</c:v>
                </c:pt>
                <c:pt idx="5279">
                  <c:v>42331</c:v>
                </c:pt>
                <c:pt idx="5280">
                  <c:v>42332</c:v>
                </c:pt>
                <c:pt idx="5281">
                  <c:v>42333</c:v>
                </c:pt>
                <c:pt idx="5282">
                  <c:v>42335</c:v>
                </c:pt>
                <c:pt idx="5283">
                  <c:v>42338</c:v>
                </c:pt>
                <c:pt idx="5284">
                  <c:v>42339</c:v>
                </c:pt>
                <c:pt idx="5285">
                  <c:v>42340</c:v>
                </c:pt>
                <c:pt idx="5286">
                  <c:v>42341</c:v>
                </c:pt>
                <c:pt idx="5287">
                  <c:v>42342</c:v>
                </c:pt>
                <c:pt idx="5288">
                  <c:v>42345</c:v>
                </c:pt>
                <c:pt idx="5289">
                  <c:v>42346</c:v>
                </c:pt>
                <c:pt idx="5290">
                  <c:v>42347</c:v>
                </c:pt>
                <c:pt idx="5291">
                  <c:v>42348</c:v>
                </c:pt>
                <c:pt idx="5292">
                  <c:v>42349</c:v>
                </c:pt>
                <c:pt idx="5293">
                  <c:v>42352</c:v>
                </c:pt>
                <c:pt idx="5294">
                  <c:v>42353</c:v>
                </c:pt>
                <c:pt idx="5295">
                  <c:v>42354</c:v>
                </c:pt>
                <c:pt idx="5296">
                  <c:v>42355</c:v>
                </c:pt>
                <c:pt idx="5297">
                  <c:v>42356</c:v>
                </c:pt>
                <c:pt idx="5298">
                  <c:v>42359</c:v>
                </c:pt>
                <c:pt idx="5299">
                  <c:v>42360</c:v>
                </c:pt>
                <c:pt idx="5300">
                  <c:v>42361</c:v>
                </c:pt>
                <c:pt idx="5301">
                  <c:v>42362</c:v>
                </c:pt>
                <c:pt idx="5302">
                  <c:v>42366</c:v>
                </c:pt>
                <c:pt idx="5303">
                  <c:v>42367</c:v>
                </c:pt>
                <c:pt idx="5304">
                  <c:v>42368</c:v>
                </c:pt>
                <c:pt idx="5305">
                  <c:v>42369</c:v>
                </c:pt>
                <c:pt idx="5306">
                  <c:v>42373</c:v>
                </c:pt>
                <c:pt idx="5307">
                  <c:v>42374</c:v>
                </c:pt>
                <c:pt idx="5308">
                  <c:v>42375</c:v>
                </c:pt>
                <c:pt idx="5309">
                  <c:v>42376</c:v>
                </c:pt>
                <c:pt idx="5310">
                  <c:v>42377</c:v>
                </c:pt>
                <c:pt idx="5311">
                  <c:v>42380</c:v>
                </c:pt>
                <c:pt idx="5312">
                  <c:v>42381</c:v>
                </c:pt>
                <c:pt idx="5313">
                  <c:v>42382</c:v>
                </c:pt>
                <c:pt idx="5314">
                  <c:v>42383</c:v>
                </c:pt>
                <c:pt idx="5315">
                  <c:v>42384</c:v>
                </c:pt>
                <c:pt idx="5316">
                  <c:v>42388</c:v>
                </c:pt>
                <c:pt idx="5317">
                  <c:v>42389</c:v>
                </c:pt>
                <c:pt idx="5318">
                  <c:v>42390</c:v>
                </c:pt>
                <c:pt idx="5319">
                  <c:v>42391</c:v>
                </c:pt>
                <c:pt idx="5320">
                  <c:v>42394</c:v>
                </c:pt>
                <c:pt idx="5321">
                  <c:v>42395</c:v>
                </c:pt>
                <c:pt idx="5322">
                  <c:v>42396</c:v>
                </c:pt>
                <c:pt idx="5323">
                  <c:v>42397</c:v>
                </c:pt>
                <c:pt idx="5324">
                  <c:v>42398</c:v>
                </c:pt>
                <c:pt idx="5325">
                  <c:v>42401</c:v>
                </c:pt>
                <c:pt idx="5326">
                  <c:v>42402</c:v>
                </c:pt>
                <c:pt idx="5327">
                  <c:v>42403</c:v>
                </c:pt>
                <c:pt idx="5328">
                  <c:v>42404</c:v>
                </c:pt>
                <c:pt idx="5329">
                  <c:v>42405</c:v>
                </c:pt>
                <c:pt idx="5330">
                  <c:v>42408</c:v>
                </c:pt>
                <c:pt idx="5331">
                  <c:v>42409</c:v>
                </c:pt>
                <c:pt idx="5332">
                  <c:v>42410</c:v>
                </c:pt>
                <c:pt idx="5333">
                  <c:v>42411</c:v>
                </c:pt>
                <c:pt idx="5334">
                  <c:v>42412</c:v>
                </c:pt>
                <c:pt idx="5335">
                  <c:v>42416</c:v>
                </c:pt>
                <c:pt idx="5336">
                  <c:v>42417</c:v>
                </c:pt>
                <c:pt idx="5337">
                  <c:v>42418</c:v>
                </c:pt>
                <c:pt idx="5338">
                  <c:v>42419</c:v>
                </c:pt>
                <c:pt idx="5339">
                  <c:v>42422</c:v>
                </c:pt>
                <c:pt idx="5340">
                  <c:v>42423</c:v>
                </c:pt>
                <c:pt idx="5341">
                  <c:v>42424</c:v>
                </c:pt>
                <c:pt idx="5342">
                  <c:v>42425</c:v>
                </c:pt>
                <c:pt idx="5343">
                  <c:v>42426</c:v>
                </c:pt>
                <c:pt idx="5344">
                  <c:v>42429</c:v>
                </c:pt>
                <c:pt idx="5345">
                  <c:v>42430</c:v>
                </c:pt>
                <c:pt idx="5346">
                  <c:v>42431</c:v>
                </c:pt>
                <c:pt idx="5347">
                  <c:v>42432</c:v>
                </c:pt>
                <c:pt idx="5348">
                  <c:v>42433</c:v>
                </c:pt>
                <c:pt idx="5349">
                  <c:v>42436</c:v>
                </c:pt>
                <c:pt idx="5350">
                  <c:v>42437</c:v>
                </c:pt>
                <c:pt idx="5351">
                  <c:v>42438</c:v>
                </c:pt>
                <c:pt idx="5352">
                  <c:v>42439</c:v>
                </c:pt>
                <c:pt idx="5353">
                  <c:v>42440</c:v>
                </c:pt>
                <c:pt idx="5354">
                  <c:v>42443</c:v>
                </c:pt>
                <c:pt idx="5355">
                  <c:v>42444</c:v>
                </c:pt>
                <c:pt idx="5356">
                  <c:v>42445</c:v>
                </c:pt>
                <c:pt idx="5357">
                  <c:v>42446</c:v>
                </c:pt>
                <c:pt idx="5358">
                  <c:v>42447</c:v>
                </c:pt>
                <c:pt idx="5359">
                  <c:v>42450</c:v>
                </c:pt>
                <c:pt idx="5360">
                  <c:v>42451</c:v>
                </c:pt>
                <c:pt idx="5361">
                  <c:v>42452</c:v>
                </c:pt>
                <c:pt idx="5362">
                  <c:v>42453</c:v>
                </c:pt>
                <c:pt idx="5363">
                  <c:v>42457</c:v>
                </c:pt>
                <c:pt idx="5364">
                  <c:v>42458</c:v>
                </c:pt>
                <c:pt idx="5365">
                  <c:v>42459</c:v>
                </c:pt>
                <c:pt idx="5366">
                  <c:v>42460</c:v>
                </c:pt>
                <c:pt idx="5367">
                  <c:v>42461</c:v>
                </c:pt>
                <c:pt idx="5368">
                  <c:v>42464</c:v>
                </c:pt>
                <c:pt idx="5369">
                  <c:v>42465</c:v>
                </c:pt>
                <c:pt idx="5370">
                  <c:v>42466</c:v>
                </c:pt>
                <c:pt idx="5371">
                  <c:v>42467</c:v>
                </c:pt>
                <c:pt idx="5372">
                  <c:v>42468</c:v>
                </c:pt>
                <c:pt idx="5373">
                  <c:v>42471</c:v>
                </c:pt>
                <c:pt idx="5374">
                  <c:v>42472</c:v>
                </c:pt>
                <c:pt idx="5375">
                  <c:v>42473</c:v>
                </c:pt>
                <c:pt idx="5376">
                  <c:v>42474</c:v>
                </c:pt>
                <c:pt idx="5377">
                  <c:v>42475</c:v>
                </c:pt>
                <c:pt idx="5378">
                  <c:v>42478</c:v>
                </c:pt>
                <c:pt idx="5379">
                  <c:v>42479</c:v>
                </c:pt>
                <c:pt idx="5380">
                  <c:v>42480</c:v>
                </c:pt>
                <c:pt idx="5381">
                  <c:v>42481</c:v>
                </c:pt>
                <c:pt idx="5382">
                  <c:v>42482</c:v>
                </c:pt>
                <c:pt idx="5383">
                  <c:v>42485</c:v>
                </c:pt>
                <c:pt idx="5384">
                  <c:v>42486</c:v>
                </c:pt>
                <c:pt idx="5385">
                  <c:v>42487</c:v>
                </c:pt>
                <c:pt idx="5386">
                  <c:v>42488</c:v>
                </c:pt>
                <c:pt idx="5387">
                  <c:v>42489</c:v>
                </c:pt>
                <c:pt idx="5388">
                  <c:v>42492</c:v>
                </c:pt>
                <c:pt idx="5389">
                  <c:v>42493</c:v>
                </c:pt>
                <c:pt idx="5390">
                  <c:v>42494</c:v>
                </c:pt>
                <c:pt idx="5391">
                  <c:v>42495</c:v>
                </c:pt>
                <c:pt idx="5392">
                  <c:v>42496</c:v>
                </c:pt>
                <c:pt idx="5393">
                  <c:v>42499</c:v>
                </c:pt>
                <c:pt idx="5394">
                  <c:v>42500</c:v>
                </c:pt>
                <c:pt idx="5395">
                  <c:v>42501</c:v>
                </c:pt>
                <c:pt idx="5396">
                  <c:v>42502</c:v>
                </c:pt>
                <c:pt idx="5397">
                  <c:v>42503</c:v>
                </c:pt>
                <c:pt idx="5398">
                  <c:v>42506</c:v>
                </c:pt>
                <c:pt idx="5399">
                  <c:v>42507</c:v>
                </c:pt>
                <c:pt idx="5400">
                  <c:v>42508</c:v>
                </c:pt>
                <c:pt idx="5401">
                  <c:v>42509</c:v>
                </c:pt>
                <c:pt idx="5402">
                  <c:v>42510</c:v>
                </c:pt>
                <c:pt idx="5403">
                  <c:v>42513</c:v>
                </c:pt>
                <c:pt idx="5404">
                  <c:v>42514</c:v>
                </c:pt>
                <c:pt idx="5405">
                  <c:v>42515</c:v>
                </c:pt>
                <c:pt idx="5406">
                  <c:v>42516</c:v>
                </c:pt>
                <c:pt idx="5407">
                  <c:v>42517</c:v>
                </c:pt>
                <c:pt idx="5408">
                  <c:v>42521</c:v>
                </c:pt>
                <c:pt idx="5409">
                  <c:v>42522</c:v>
                </c:pt>
                <c:pt idx="5410">
                  <c:v>42523</c:v>
                </c:pt>
                <c:pt idx="5411">
                  <c:v>42524</c:v>
                </c:pt>
                <c:pt idx="5412">
                  <c:v>42527</c:v>
                </c:pt>
                <c:pt idx="5413">
                  <c:v>42528</c:v>
                </c:pt>
                <c:pt idx="5414">
                  <c:v>42529</c:v>
                </c:pt>
                <c:pt idx="5415">
                  <c:v>42530</c:v>
                </c:pt>
                <c:pt idx="5416">
                  <c:v>42531</c:v>
                </c:pt>
                <c:pt idx="5417">
                  <c:v>42534</c:v>
                </c:pt>
                <c:pt idx="5418">
                  <c:v>42535</c:v>
                </c:pt>
                <c:pt idx="5419">
                  <c:v>42536</c:v>
                </c:pt>
                <c:pt idx="5420">
                  <c:v>42537</c:v>
                </c:pt>
                <c:pt idx="5421">
                  <c:v>42538</c:v>
                </c:pt>
                <c:pt idx="5422">
                  <c:v>42541</c:v>
                </c:pt>
                <c:pt idx="5423">
                  <c:v>42542</c:v>
                </c:pt>
                <c:pt idx="5424">
                  <c:v>42543</c:v>
                </c:pt>
                <c:pt idx="5425">
                  <c:v>42544</c:v>
                </c:pt>
                <c:pt idx="5426">
                  <c:v>42545</c:v>
                </c:pt>
                <c:pt idx="5427">
                  <c:v>42548</c:v>
                </c:pt>
                <c:pt idx="5428">
                  <c:v>42549</c:v>
                </c:pt>
                <c:pt idx="5429">
                  <c:v>42550</c:v>
                </c:pt>
                <c:pt idx="5430">
                  <c:v>42551</c:v>
                </c:pt>
                <c:pt idx="5431">
                  <c:v>42552</c:v>
                </c:pt>
                <c:pt idx="5432">
                  <c:v>42556</c:v>
                </c:pt>
                <c:pt idx="5433">
                  <c:v>42557</c:v>
                </c:pt>
                <c:pt idx="5434">
                  <c:v>42558</c:v>
                </c:pt>
                <c:pt idx="5435">
                  <c:v>42559</c:v>
                </c:pt>
                <c:pt idx="5436">
                  <c:v>42562</c:v>
                </c:pt>
                <c:pt idx="5437">
                  <c:v>42563</c:v>
                </c:pt>
                <c:pt idx="5438">
                  <c:v>42564</c:v>
                </c:pt>
                <c:pt idx="5439">
                  <c:v>42565</c:v>
                </c:pt>
                <c:pt idx="5440">
                  <c:v>42566</c:v>
                </c:pt>
                <c:pt idx="5441">
                  <c:v>42569</c:v>
                </c:pt>
                <c:pt idx="5442">
                  <c:v>42570</c:v>
                </c:pt>
                <c:pt idx="5443">
                  <c:v>42571</c:v>
                </c:pt>
                <c:pt idx="5444">
                  <c:v>42572</c:v>
                </c:pt>
                <c:pt idx="5445">
                  <c:v>42573</c:v>
                </c:pt>
                <c:pt idx="5446">
                  <c:v>42576</c:v>
                </c:pt>
                <c:pt idx="5447">
                  <c:v>42577</c:v>
                </c:pt>
                <c:pt idx="5448">
                  <c:v>42578</c:v>
                </c:pt>
                <c:pt idx="5449">
                  <c:v>42579</c:v>
                </c:pt>
                <c:pt idx="5450">
                  <c:v>42580</c:v>
                </c:pt>
                <c:pt idx="5451">
                  <c:v>42583</c:v>
                </c:pt>
                <c:pt idx="5452">
                  <c:v>42584</c:v>
                </c:pt>
                <c:pt idx="5453">
                  <c:v>42585</c:v>
                </c:pt>
                <c:pt idx="5454">
                  <c:v>42586</c:v>
                </c:pt>
                <c:pt idx="5455">
                  <c:v>42587</c:v>
                </c:pt>
                <c:pt idx="5456">
                  <c:v>42590</c:v>
                </c:pt>
                <c:pt idx="5457">
                  <c:v>42591</c:v>
                </c:pt>
                <c:pt idx="5458">
                  <c:v>42592</c:v>
                </c:pt>
                <c:pt idx="5459">
                  <c:v>42593</c:v>
                </c:pt>
                <c:pt idx="5460">
                  <c:v>42594</c:v>
                </c:pt>
                <c:pt idx="5461">
                  <c:v>42597</c:v>
                </c:pt>
                <c:pt idx="5462">
                  <c:v>42598</c:v>
                </c:pt>
                <c:pt idx="5463">
                  <c:v>42599</c:v>
                </c:pt>
                <c:pt idx="5464">
                  <c:v>42600</c:v>
                </c:pt>
                <c:pt idx="5465">
                  <c:v>42601</c:v>
                </c:pt>
                <c:pt idx="5466">
                  <c:v>42604</c:v>
                </c:pt>
                <c:pt idx="5467">
                  <c:v>42605</c:v>
                </c:pt>
                <c:pt idx="5468">
                  <c:v>42606</c:v>
                </c:pt>
                <c:pt idx="5469">
                  <c:v>42607</c:v>
                </c:pt>
                <c:pt idx="5470">
                  <c:v>42608</c:v>
                </c:pt>
                <c:pt idx="5471">
                  <c:v>42611</c:v>
                </c:pt>
                <c:pt idx="5472">
                  <c:v>42612</c:v>
                </c:pt>
                <c:pt idx="5473">
                  <c:v>42613</c:v>
                </c:pt>
                <c:pt idx="5474">
                  <c:v>42614</c:v>
                </c:pt>
                <c:pt idx="5475">
                  <c:v>42615</c:v>
                </c:pt>
                <c:pt idx="5476">
                  <c:v>42619</c:v>
                </c:pt>
                <c:pt idx="5477">
                  <c:v>42620</c:v>
                </c:pt>
                <c:pt idx="5478">
                  <c:v>42621</c:v>
                </c:pt>
                <c:pt idx="5479">
                  <c:v>42622</c:v>
                </c:pt>
                <c:pt idx="5480">
                  <c:v>42625</c:v>
                </c:pt>
                <c:pt idx="5481">
                  <c:v>42626</c:v>
                </c:pt>
                <c:pt idx="5482">
                  <c:v>42627</c:v>
                </c:pt>
                <c:pt idx="5483">
                  <c:v>42628</c:v>
                </c:pt>
                <c:pt idx="5484">
                  <c:v>42629</c:v>
                </c:pt>
                <c:pt idx="5485">
                  <c:v>42632</c:v>
                </c:pt>
                <c:pt idx="5486">
                  <c:v>42633</c:v>
                </c:pt>
                <c:pt idx="5487">
                  <c:v>42634</c:v>
                </c:pt>
                <c:pt idx="5488">
                  <c:v>42635</c:v>
                </c:pt>
                <c:pt idx="5489">
                  <c:v>42636</c:v>
                </c:pt>
                <c:pt idx="5490">
                  <c:v>42639</c:v>
                </c:pt>
                <c:pt idx="5491">
                  <c:v>42640</c:v>
                </c:pt>
                <c:pt idx="5492">
                  <c:v>42641</c:v>
                </c:pt>
                <c:pt idx="5493">
                  <c:v>42642</c:v>
                </c:pt>
                <c:pt idx="5494">
                  <c:v>42643</c:v>
                </c:pt>
                <c:pt idx="5495">
                  <c:v>42646</c:v>
                </c:pt>
                <c:pt idx="5496">
                  <c:v>42647</c:v>
                </c:pt>
                <c:pt idx="5497">
                  <c:v>42648</c:v>
                </c:pt>
                <c:pt idx="5498">
                  <c:v>42649</c:v>
                </c:pt>
                <c:pt idx="5499">
                  <c:v>42650</c:v>
                </c:pt>
                <c:pt idx="5500">
                  <c:v>42653</c:v>
                </c:pt>
                <c:pt idx="5501">
                  <c:v>42654</c:v>
                </c:pt>
                <c:pt idx="5502">
                  <c:v>42655</c:v>
                </c:pt>
                <c:pt idx="5503">
                  <c:v>42656</c:v>
                </c:pt>
                <c:pt idx="5504">
                  <c:v>42657</c:v>
                </c:pt>
                <c:pt idx="5505">
                  <c:v>42660</c:v>
                </c:pt>
                <c:pt idx="5506">
                  <c:v>42661</c:v>
                </c:pt>
                <c:pt idx="5507">
                  <c:v>42662</c:v>
                </c:pt>
                <c:pt idx="5508">
                  <c:v>42663</c:v>
                </c:pt>
                <c:pt idx="5509">
                  <c:v>42664</c:v>
                </c:pt>
                <c:pt idx="5510">
                  <c:v>42667</c:v>
                </c:pt>
                <c:pt idx="5511">
                  <c:v>42668</c:v>
                </c:pt>
                <c:pt idx="5512">
                  <c:v>42669</c:v>
                </c:pt>
                <c:pt idx="5513">
                  <c:v>42670</c:v>
                </c:pt>
                <c:pt idx="5514">
                  <c:v>42671</c:v>
                </c:pt>
                <c:pt idx="5515">
                  <c:v>42674</c:v>
                </c:pt>
                <c:pt idx="5516">
                  <c:v>42675</c:v>
                </c:pt>
                <c:pt idx="5517">
                  <c:v>42676</c:v>
                </c:pt>
                <c:pt idx="5518">
                  <c:v>42677</c:v>
                </c:pt>
                <c:pt idx="5519">
                  <c:v>42678</c:v>
                </c:pt>
                <c:pt idx="5520">
                  <c:v>42681</c:v>
                </c:pt>
                <c:pt idx="5521">
                  <c:v>42682</c:v>
                </c:pt>
                <c:pt idx="5522">
                  <c:v>42683</c:v>
                </c:pt>
                <c:pt idx="5523">
                  <c:v>42684</c:v>
                </c:pt>
                <c:pt idx="5524">
                  <c:v>42685</c:v>
                </c:pt>
                <c:pt idx="5525">
                  <c:v>42688</c:v>
                </c:pt>
                <c:pt idx="5526">
                  <c:v>42689</c:v>
                </c:pt>
                <c:pt idx="5527">
                  <c:v>42690</c:v>
                </c:pt>
                <c:pt idx="5528">
                  <c:v>42691</c:v>
                </c:pt>
                <c:pt idx="5529">
                  <c:v>42692</c:v>
                </c:pt>
                <c:pt idx="5530">
                  <c:v>42695</c:v>
                </c:pt>
                <c:pt idx="5531">
                  <c:v>42696</c:v>
                </c:pt>
                <c:pt idx="5532">
                  <c:v>42697</c:v>
                </c:pt>
                <c:pt idx="5533">
                  <c:v>42699</c:v>
                </c:pt>
                <c:pt idx="5534">
                  <c:v>42702</c:v>
                </c:pt>
                <c:pt idx="5535">
                  <c:v>42703</c:v>
                </c:pt>
                <c:pt idx="5536">
                  <c:v>42704</c:v>
                </c:pt>
                <c:pt idx="5537">
                  <c:v>42705</c:v>
                </c:pt>
                <c:pt idx="5538">
                  <c:v>42706</c:v>
                </c:pt>
                <c:pt idx="5539">
                  <c:v>42709</c:v>
                </c:pt>
                <c:pt idx="5540">
                  <c:v>42710</c:v>
                </c:pt>
                <c:pt idx="5541">
                  <c:v>42711</c:v>
                </c:pt>
                <c:pt idx="5542">
                  <c:v>42712</c:v>
                </c:pt>
                <c:pt idx="5543">
                  <c:v>42713</c:v>
                </c:pt>
                <c:pt idx="5544">
                  <c:v>42716</c:v>
                </c:pt>
                <c:pt idx="5545">
                  <c:v>42717</c:v>
                </c:pt>
                <c:pt idx="5546">
                  <c:v>42718</c:v>
                </c:pt>
                <c:pt idx="5547">
                  <c:v>42719</c:v>
                </c:pt>
                <c:pt idx="5548">
                  <c:v>42720</c:v>
                </c:pt>
                <c:pt idx="5549">
                  <c:v>42723</c:v>
                </c:pt>
                <c:pt idx="5550">
                  <c:v>42724</c:v>
                </c:pt>
                <c:pt idx="5551">
                  <c:v>42725</c:v>
                </c:pt>
                <c:pt idx="5552">
                  <c:v>42726</c:v>
                </c:pt>
                <c:pt idx="5553">
                  <c:v>42727</c:v>
                </c:pt>
                <c:pt idx="5554">
                  <c:v>42731</c:v>
                </c:pt>
                <c:pt idx="5555">
                  <c:v>42732</c:v>
                </c:pt>
                <c:pt idx="5556">
                  <c:v>42733</c:v>
                </c:pt>
                <c:pt idx="5557">
                  <c:v>42734</c:v>
                </c:pt>
                <c:pt idx="5558">
                  <c:v>42738</c:v>
                </c:pt>
                <c:pt idx="5559">
                  <c:v>42739</c:v>
                </c:pt>
                <c:pt idx="5560">
                  <c:v>42740</c:v>
                </c:pt>
                <c:pt idx="5561">
                  <c:v>42741</c:v>
                </c:pt>
                <c:pt idx="5562">
                  <c:v>42744</c:v>
                </c:pt>
                <c:pt idx="5563">
                  <c:v>42745</c:v>
                </c:pt>
                <c:pt idx="5564">
                  <c:v>42746</c:v>
                </c:pt>
                <c:pt idx="5565">
                  <c:v>42747</c:v>
                </c:pt>
                <c:pt idx="5566">
                  <c:v>42748</c:v>
                </c:pt>
                <c:pt idx="5567">
                  <c:v>42752</c:v>
                </c:pt>
                <c:pt idx="5568">
                  <c:v>42753</c:v>
                </c:pt>
                <c:pt idx="5569">
                  <c:v>42754</c:v>
                </c:pt>
                <c:pt idx="5570">
                  <c:v>42755</c:v>
                </c:pt>
                <c:pt idx="5571">
                  <c:v>42758</c:v>
                </c:pt>
                <c:pt idx="5572">
                  <c:v>42759</c:v>
                </c:pt>
                <c:pt idx="5573">
                  <c:v>42760</c:v>
                </c:pt>
                <c:pt idx="5574">
                  <c:v>42761</c:v>
                </c:pt>
                <c:pt idx="5575">
                  <c:v>42762</c:v>
                </c:pt>
                <c:pt idx="5576">
                  <c:v>42765</c:v>
                </c:pt>
                <c:pt idx="5577">
                  <c:v>42766</c:v>
                </c:pt>
                <c:pt idx="5578">
                  <c:v>42767</c:v>
                </c:pt>
              </c:numCache>
            </c:numRef>
          </c:cat>
          <c:val>
            <c:numRef>
              <c:f>'APOL stock chart'!$B$44:$B$5622</c:f>
              <c:numCache>
                <c:formatCode>0.00</c:formatCode>
                <c:ptCount val="5579"/>
                <c:pt idx="0">
                  <c:v>0.78188999999999997</c:v>
                </c:pt>
                <c:pt idx="1">
                  <c:v>0.77366000000000001</c:v>
                </c:pt>
                <c:pt idx="2">
                  <c:v>0.74897000000000002</c:v>
                </c:pt>
                <c:pt idx="3">
                  <c:v>0.74897000000000002</c:v>
                </c:pt>
                <c:pt idx="4">
                  <c:v>0.73250999999999999</c:v>
                </c:pt>
                <c:pt idx="5">
                  <c:v>0.72428000000000003</c:v>
                </c:pt>
                <c:pt idx="6">
                  <c:v>0.72428000000000003</c:v>
                </c:pt>
                <c:pt idx="7">
                  <c:v>0.72428000000000003</c:v>
                </c:pt>
                <c:pt idx="8">
                  <c:v>0.72428000000000003</c:v>
                </c:pt>
                <c:pt idx="9">
                  <c:v>0.73250999999999999</c:v>
                </c:pt>
                <c:pt idx="10">
                  <c:v>0.73250999999999999</c:v>
                </c:pt>
                <c:pt idx="11">
                  <c:v>0.74897000000000002</c:v>
                </c:pt>
                <c:pt idx="12">
                  <c:v>0.74073999999999995</c:v>
                </c:pt>
                <c:pt idx="13">
                  <c:v>0.74897000000000002</c:v>
                </c:pt>
                <c:pt idx="14">
                  <c:v>0.74897000000000002</c:v>
                </c:pt>
                <c:pt idx="15">
                  <c:v>0.76543000000000005</c:v>
                </c:pt>
                <c:pt idx="16">
                  <c:v>0.80659000000000003</c:v>
                </c:pt>
                <c:pt idx="17">
                  <c:v>0.78188999999999997</c:v>
                </c:pt>
                <c:pt idx="18">
                  <c:v>0.86419999999999997</c:v>
                </c:pt>
                <c:pt idx="19">
                  <c:v>0.86419999999999997</c:v>
                </c:pt>
                <c:pt idx="20">
                  <c:v>0.86419999999999997</c:v>
                </c:pt>
                <c:pt idx="21">
                  <c:v>0.98765999999999998</c:v>
                </c:pt>
                <c:pt idx="22">
                  <c:v>1.16873</c:v>
                </c:pt>
                <c:pt idx="23">
                  <c:v>1.11934</c:v>
                </c:pt>
                <c:pt idx="24">
                  <c:v>1.1028800000000001</c:v>
                </c:pt>
                <c:pt idx="25">
                  <c:v>1.1028800000000001</c:v>
                </c:pt>
                <c:pt idx="26">
                  <c:v>1.13581</c:v>
                </c:pt>
                <c:pt idx="27">
                  <c:v>1.2427999999999999</c:v>
                </c:pt>
                <c:pt idx="28">
                  <c:v>1.2510300000000001</c:v>
                </c:pt>
                <c:pt idx="29">
                  <c:v>1.22634</c:v>
                </c:pt>
                <c:pt idx="30">
                  <c:v>1.18519</c:v>
                </c:pt>
                <c:pt idx="31">
                  <c:v>1.18519</c:v>
                </c:pt>
                <c:pt idx="32">
                  <c:v>1.1605000000000001</c:v>
                </c:pt>
                <c:pt idx="33">
                  <c:v>1.22634</c:v>
                </c:pt>
                <c:pt idx="34">
                  <c:v>1.2345699999999999</c:v>
                </c:pt>
                <c:pt idx="35">
                  <c:v>1.2427999999999999</c:v>
                </c:pt>
                <c:pt idx="36">
                  <c:v>1.27572</c:v>
                </c:pt>
                <c:pt idx="37">
                  <c:v>1.2427999999999999</c:v>
                </c:pt>
                <c:pt idx="38">
                  <c:v>1.36626</c:v>
                </c:pt>
                <c:pt idx="39">
                  <c:v>1.3168800000000001</c:v>
                </c:pt>
                <c:pt idx="40">
                  <c:v>1.32511</c:v>
                </c:pt>
                <c:pt idx="41">
                  <c:v>1.41564</c:v>
                </c:pt>
                <c:pt idx="42">
                  <c:v>1.4403300000000001</c:v>
                </c:pt>
                <c:pt idx="43">
                  <c:v>1.45679</c:v>
                </c:pt>
                <c:pt idx="44">
                  <c:v>1.4320999999999999</c:v>
                </c:pt>
                <c:pt idx="45">
                  <c:v>1.3991800000000001</c:v>
                </c:pt>
                <c:pt idx="46">
                  <c:v>1.3827199999999999</c:v>
                </c:pt>
                <c:pt idx="47">
                  <c:v>1.30864</c:v>
                </c:pt>
                <c:pt idx="48">
                  <c:v>1.21811</c:v>
                </c:pt>
                <c:pt idx="49">
                  <c:v>1.2427999999999999</c:v>
                </c:pt>
                <c:pt idx="50">
                  <c:v>1.3580300000000001</c:v>
                </c:pt>
                <c:pt idx="51">
                  <c:v>1.4403300000000001</c:v>
                </c:pt>
                <c:pt idx="52">
                  <c:v>1.4814799999999999</c:v>
                </c:pt>
                <c:pt idx="53">
                  <c:v>1.4814799999999999</c:v>
                </c:pt>
                <c:pt idx="54">
                  <c:v>1.4485600000000001</c:v>
                </c:pt>
                <c:pt idx="55">
                  <c:v>1.42387</c:v>
                </c:pt>
                <c:pt idx="56">
                  <c:v>1.36626</c:v>
                </c:pt>
                <c:pt idx="57">
                  <c:v>1.37449</c:v>
                </c:pt>
                <c:pt idx="58">
                  <c:v>1.32511</c:v>
                </c:pt>
                <c:pt idx="59">
                  <c:v>1.26749</c:v>
                </c:pt>
                <c:pt idx="60">
                  <c:v>1.3168800000000001</c:v>
                </c:pt>
                <c:pt idx="61">
                  <c:v>1.2921800000000001</c:v>
                </c:pt>
                <c:pt idx="62">
                  <c:v>1.2839499999999999</c:v>
                </c:pt>
                <c:pt idx="63">
                  <c:v>1.30864</c:v>
                </c:pt>
                <c:pt idx="64">
                  <c:v>1.3415699999999999</c:v>
                </c:pt>
                <c:pt idx="65">
                  <c:v>1.33334</c:v>
                </c:pt>
                <c:pt idx="66">
                  <c:v>1.3415699999999999</c:v>
                </c:pt>
                <c:pt idx="67">
                  <c:v>1.32511</c:v>
                </c:pt>
                <c:pt idx="68">
                  <c:v>1.3415699999999999</c:v>
                </c:pt>
                <c:pt idx="69">
                  <c:v>1.3498000000000001</c:v>
                </c:pt>
                <c:pt idx="70">
                  <c:v>1.42387</c:v>
                </c:pt>
                <c:pt idx="71">
                  <c:v>1.56379</c:v>
                </c:pt>
                <c:pt idx="72">
                  <c:v>1.5967100000000001</c:v>
                </c:pt>
                <c:pt idx="73">
                  <c:v>1.5967100000000001</c:v>
                </c:pt>
                <c:pt idx="74">
                  <c:v>1.5967100000000001</c:v>
                </c:pt>
                <c:pt idx="75">
                  <c:v>1.60494</c:v>
                </c:pt>
                <c:pt idx="76">
                  <c:v>1.5802499999999999</c:v>
                </c:pt>
                <c:pt idx="77">
                  <c:v>1.5802499999999999</c:v>
                </c:pt>
                <c:pt idx="78">
                  <c:v>1.6460900000000001</c:v>
                </c:pt>
                <c:pt idx="79">
                  <c:v>1.71194</c:v>
                </c:pt>
                <c:pt idx="80">
                  <c:v>1.75309</c:v>
                </c:pt>
                <c:pt idx="81">
                  <c:v>1.75309</c:v>
                </c:pt>
                <c:pt idx="82">
                  <c:v>1.75309</c:v>
                </c:pt>
                <c:pt idx="83">
                  <c:v>1.80247</c:v>
                </c:pt>
                <c:pt idx="84">
                  <c:v>1.8518600000000001</c:v>
                </c:pt>
                <c:pt idx="85">
                  <c:v>1.8765499999999999</c:v>
                </c:pt>
                <c:pt idx="86">
                  <c:v>1.8765499999999999</c:v>
                </c:pt>
                <c:pt idx="87">
                  <c:v>1.8436300000000001</c:v>
                </c:pt>
                <c:pt idx="88">
                  <c:v>1.8107</c:v>
                </c:pt>
                <c:pt idx="89">
                  <c:v>1.8189299999999999</c:v>
                </c:pt>
                <c:pt idx="90">
                  <c:v>1.8107</c:v>
                </c:pt>
                <c:pt idx="91">
                  <c:v>1.7448600000000001</c:v>
                </c:pt>
                <c:pt idx="92">
                  <c:v>1.66255</c:v>
                </c:pt>
                <c:pt idx="93">
                  <c:v>1.66255</c:v>
                </c:pt>
                <c:pt idx="94">
                  <c:v>1.6954800000000001</c:v>
                </c:pt>
                <c:pt idx="95">
                  <c:v>1.76132</c:v>
                </c:pt>
                <c:pt idx="96">
                  <c:v>1.7777799999999999</c:v>
                </c:pt>
                <c:pt idx="97">
                  <c:v>1.76955</c:v>
                </c:pt>
                <c:pt idx="98">
                  <c:v>1.80247</c:v>
                </c:pt>
                <c:pt idx="99">
                  <c:v>1.80247</c:v>
                </c:pt>
                <c:pt idx="100">
                  <c:v>1.8107</c:v>
                </c:pt>
                <c:pt idx="101">
                  <c:v>1.7887500000000001</c:v>
                </c:pt>
                <c:pt idx="102">
                  <c:v>1.7887500000000001</c:v>
                </c:pt>
                <c:pt idx="103">
                  <c:v>1.7887500000000001</c:v>
                </c:pt>
                <c:pt idx="104">
                  <c:v>1.7338800000000001</c:v>
                </c:pt>
                <c:pt idx="105">
                  <c:v>1.71193</c:v>
                </c:pt>
                <c:pt idx="106">
                  <c:v>1.7229099999999999</c:v>
                </c:pt>
                <c:pt idx="107">
                  <c:v>1.71193</c:v>
                </c:pt>
                <c:pt idx="108">
                  <c:v>1.6899900000000001</c:v>
                </c:pt>
                <c:pt idx="109">
                  <c:v>1.6899900000000001</c:v>
                </c:pt>
                <c:pt idx="110">
                  <c:v>1.7229099999999999</c:v>
                </c:pt>
                <c:pt idx="111">
                  <c:v>1.7229099999999999</c:v>
                </c:pt>
                <c:pt idx="112">
                  <c:v>1.8216699999999999</c:v>
                </c:pt>
                <c:pt idx="113">
                  <c:v>1.8765400000000001</c:v>
                </c:pt>
                <c:pt idx="114">
                  <c:v>1.95336</c:v>
                </c:pt>
                <c:pt idx="115">
                  <c:v>2.04115</c:v>
                </c:pt>
                <c:pt idx="116">
                  <c:v>2.1618599999999999</c:v>
                </c:pt>
                <c:pt idx="117">
                  <c:v>2.13992</c:v>
                </c:pt>
                <c:pt idx="118">
                  <c:v>2.1947899999999998</c:v>
                </c:pt>
                <c:pt idx="119">
                  <c:v>2.24966</c:v>
                </c:pt>
                <c:pt idx="120">
                  <c:v>2.3813399999999998</c:v>
                </c:pt>
                <c:pt idx="121">
                  <c:v>2.4581599999999999</c:v>
                </c:pt>
                <c:pt idx="122">
                  <c:v>2.3923199999999998</c:v>
                </c:pt>
                <c:pt idx="123">
                  <c:v>2.3593999999999999</c:v>
                </c:pt>
                <c:pt idx="124">
                  <c:v>2.3045300000000002</c:v>
                </c:pt>
                <c:pt idx="125">
                  <c:v>2.2935500000000002</c:v>
                </c:pt>
                <c:pt idx="126">
                  <c:v>2.4032900000000001</c:v>
                </c:pt>
                <c:pt idx="127">
                  <c:v>2.5130300000000001</c:v>
                </c:pt>
                <c:pt idx="128">
                  <c:v>2.4801099999999998</c:v>
                </c:pt>
                <c:pt idx="129">
                  <c:v>2.4581599999999999</c:v>
                </c:pt>
                <c:pt idx="130">
                  <c:v>2.53498</c:v>
                </c:pt>
                <c:pt idx="131">
                  <c:v>2.4691299999999998</c:v>
                </c:pt>
                <c:pt idx="132">
                  <c:v>2.4691299999999998</c:v>
                </c:pt>
                <c:pt idx="133">
                  <c:v>2.3813399999999998</c:v>
                </c:pt>
                <c:pt idx="134">
                  <c:v>2.3593999999999999</c:v>
                </c:pt>
                <c:pt idx="135">
                  <c:v>2.3813399999999998</c:v>
                </c:pt>
                <c:pt idx="136">
                  <c:v>2.34842</c:v>
                </c:pt>
                <c:pt idx="137">
                  <c:v>2.3593999999999999</c:v>
                </c:pt>
                <c:pt idx="138">
                  <c:v>2.3703699999999999</c:v>
                </c:pt>
                <c:pt idx="139">
                  <c:v>2.3923199999999998</c:v>
                </c:pt>
                <c:pt idx="140">
                  <c:v>2.44719</c:v>
                </c:pt>
                <c:pt idx="141">
                  <c:v>2.4581599999999999</c:v>
                </c:pt>
                <c:pt idx="142">
                  <c:v>2.3923199999999998</c:v>
                </c:pt>
                <c:pt idx="143">
                  <c:v>2.32647</c:v>
                </c:pt>
                <c:pt idx="144">
                  <c:v>2.33745</c:v>
                </c:pt>
                <c:pt idx="145">
                  <c:v>2.2825799999999998</c:v>
                </c:pt>
                <c:pt idx="146">
                  <c:v>2.2715999999999998</c:v>
                </c:pt>
                <c:pt idx="147">
                  <c:v>2.3045300000000002</c:v>
                </c:pt>
                <c:pt idx="148">
                  <c:v>2.24966</c:v>
                </c:pt>
                <c:pt idx="149">
                  <c:v>2.1728399999999999</c:v>
                </c:pt>
                <c:pt idx="150">
                  <c:v>2.1289400000000001</c:v>
                </c:pt>
                <c:pt idx="151">
                  <c:v>2.3045300000000002</c:v>
                </c:pt>
                <c:pt idx="152">
                  <c:v>2.2771300000000001</c:v>
                </c:pt>
                <c:pt idx="153">
                  <c:v>2.2825799999999998</c:v>
                </c:pt>
                <c:pt idx="154">
                  <c:v>2.2715999999999998</c:v>
                </c:pt>
                <c:pt idx="155">
                  <c:v>2.2606299999999999</c:v>
                </c:pt>
                <c:pt idx="156">
                  <c:v>2.2606299999999999</c:v>
                </c:pt>
                <c:pt idx="157">
                  <c:v>2.2606299999999999</c:v>
                </c:pt>
                <c:pt idx="158">
                  <c:v>2.3813399999999998</c:v>
                </c:pt>
                <c:pt idx="159">
                  <c:v>2.5459499999999999</c:v>
                </c:pt>
                <c:pt idx="160">
                  <c:v>2.6556899999999999</c:v>
                </c:pt>
                <c:pt idx="161">
                  <c:v>2.6008200000000001</c:v>
                </c:pt>
                <c:pt idx="162">
                  <c:v>2.6008200000000001</c:v>
                </c:pt>
                <c:pt idx="163">
                  <c:v>2.4801099999999998</c:v>
                </c:pt>
                <c:pt idx="164">
                  <c:v>2.4252400000000001</c:v>
                </c:pt>
                <c:pt idx="165">
                  <c:v>2.4910800000000002</c:v>
                </c:pt>
                <c:pt idx="166">
                  <c:v>2.43621</c:v>
                </c:pt>
                <c:pt idx="167">
                  <c:v>2.5459499999999999</c:v>
                </c:pt>
                <c:pt idx="168">
                  <c:v>2.4801099999999998</c:v>
                </c:pt>
                <c:pt idx="169">
                  <c:v>2.43621</c:v>
                </c:pt>
                <c:pt idx="170">
                  <c:v>2.43621</c:v>
                </c:pt>
                <c:pt idx="171">
                  <c:v>2.5020600000000002</c:v>
                </c:pt>
                <c:pt idx="172">
                  <c:v>2.5020600000000002</c:v>
                </c:pt>
                <c:pt idx="173">
                  <c:v>2.5678999999999998</c:v>
                </c:pt>
                <c:pt idx="174">
                  <c:v>2.5020600000000002</c:v>
                </c:pt>
                <c:pt idx="175">
                  <c:v>2.5788700000000002</c:v>
                </c:pt>
                <c:pt idx="176">
                  <c:v>2.6118000000000001</c:v>
                </c:pt>
                <c:pt idx="177">
                  <c:v>3.0068600000000001</c:v>
                </c:pt>
                <c:pt idx="178">
                  <c:v>2.9849100000000002</c:v>
                </c:pt>
                <c:pt idx="179">
                  <c:v>2.9904000000000002</c:v>
                </c:pt>
                <c:pt idx="180">
                  <c:v>2.9629599999999998</c:v>
                </c:pt>
                <c:pt idx="181">
                  <c:v>3.0068600000000001</c:v>
                </c:pt>
                <c:pt idx="182">
                  <c:v>2.8093300000000001</c:v>
                </c:pt>
                <c:pt idx="183">
                  <c:v>2.72153</c:v>
                </c:pt>
                <c:pt idx="184">
                  <c:v>2.5678999999999998</c:v>
                </c:pt>
                <c:pt idx="185">
                  <c:v>2.5898500000000002</c:v>
                </c:pt>
                <c:pt idx="186">
                  <c:v>2.63374</c:v>
                </c:pt>
                <c:pt idx="187">
                  <c:v>2.6556899999999999</c:v>
                </c:pt>
                <c:pt idx="188">
                  <c:v>2.6995900000000002</c:v>
                </c:pt>
                <c:pt idx="189">
                  <c:v>2.6995900000000002</c:v>
                </c:pt>
                <c:pt idx="190">
                  <c:v>2.8532199999999999</c:v>
                </c:pt>
                <c:pt idx="191">
                  <c:v>2.9629599999999998</c:v>
                </c:pt>
                <c:pt idx="192">
                  <c:v>2.9849100000000002</c:v>
                </c:pt>
                <c:pt idx="193">
                  <c:v>3.0287999999999999</c:v>
                </c:pt>
                <c:pt idx="194">
                  <c:v>3.0287999999999999</c:v>
                </c:pt>
                <c:pt idx="195">
                  <c:v>3.0287999999999999</c:v>
                </c:pt>
                <c:pt idx="196">
                  <c:v>3.22634</c:v>
                </c:pt>
                <c:pt idx="197">
                  <c:v>3.3799700000000001</c:v>
                </c:pt>
                <c:pt idx="198">
                  <c:v>3.3580199999999998</c:v>
                </c:pt>
                <c:pt idx="199">
                  <c:v>3.2921800000000001</c:v>
                </c:pt>
                <c:pt idx="200">
                  <c:v>3.3470499999999999</c:v>
                </c:pt>
                <c:pt idx="201">
                  <c:v>3.3360699999999999</c:v>
                </c:pt>
                <c:pt idx="202">
                  <c:v>3.5226299999999999</c:v>
                </c:pt>
                <c:pt idx="203">
                  <c:v>3.7860100000000001</c:v>
                </c:pt>
                <c:pt idx="204">
                  <c:v>3.4567899999999998</c:v>
                </c:pt>
                <c:pt idx="205">
                  <c:v>3.3580199999999998</c:v>
                </c:pt>
                <c:pt idx="206">
                  <c:v>3.4567899999999998</c:v>
                </c:pt>
                <c:pt idx="207">
                  <c:v>2.93004</c:v>
                </c:pt>
                <c:pt idx="208">
                  <c:v>2.9629599999999998</c:v>
                </c:pt>
                <c:pt idx="209">
                  <c:v>2.93004</c:v>
                </c:pt>
                <c:pt idx="210">
                  <c:v>3.0946500000000001</c:v>
                </c:pt>
                <c:pt idx="211">
                  <c:v>3.2427999999999999</c:v>
                </c:pt>
                <c:pt idx="212">
                  <c:v>3.2427999999999999</c:v>
                </c:pt>
                <c:pt idx="213">
                  <c:v>3.5555599999999998</c:v>
                </c:pt>
                <c:pt idx="214">
                  <c:v>3.5555599999999998</c:v>
                </c:pt>
                <c:pt idx="215">
                  <c:v>3.5226299999999999</c:v>
                </c:pt>
                <c:pt idx="216">
                  <c:v>3.5555599999999998</c:v>
                </c:pt>
                <c:pt idx="217">
                  <c:v>3.6707800000000002</c:v>
                </c:pt>
                <c:pt idx="218">
                  <c:v>3.7201599999999999</c:v>
                </c:pt>
                <c:pt idx="219">
                  <c:v>3.6707800000000002</c:v>
                </c:pt>
                <c:pt idx="220">
                  <c:v>3.4567899999999998</c:v>
                </c:pt>
                <c:pt idx="221">
                  <c:v>3.4732500000000002</c:v>
                </c:pt>
                <c:pt idx="222">
                  <c:v>3.3909500000000001</c:v>
                </c:pt>
                <c:pt idx="223">
                  <c:v>3.12757</c:v>
                </c:pt>
                <c:pt idx="224">
                  <c:v>3.2921800000000001</c:v>
                </c:pt>
                <c:pt idx="225">
                  <c:v>3.2757200000000002</c:v>
                </c:pt>
                <c:pt idx="226">
                  <c:v>3.2757200000000002</c:v>
                </c:pt>
                <c:pt idx="227">
                  <c:v>3.40741</c:v>
                </c:pt>
                <c:pt idx="228">
                  <c:v>3.4567899999999998</c:v>
                </c:pt>
                <c:pt idx="229">
                  <c:v>3.4403299999999999</c:v>
                </c:pt>
                <c:pt idx="230">
                  <c:v>3.4567899999999998</c:v>
                </c:pt>
                <c:pt idx="231">
                  <c:v>3.4897100000000001</c:v>
                </c:pt>
                <c:pt idx="232">
                  <c:v>3.50617</c:v>
                </c:pt>
                <c:pt idx="233">
                  <c:v>3.3580199999999998</c:v>
                </c:pt>
                <c:pt idx="234">
                  <c:v>3.3250999999999999</c:v>
                </c:pt>
                <c:pt idx="235">
                  <c:v>3.2592599999999998</c:v>
                </c:pt>
                <c:pt idx="236">
                  <c:v>3.3580199999999998</c:v>
                </c:pt>
                <c:pt idx="237">
                  <c:v>3.3580199999999998</c:v>
                </c:pt>
                <c:pt idx="238">
                  <c:v>3.2427999999999999</c:v>
                </c:pt>
                <c:pt idx="239">
                  <c:v>3.1604899999999998</c:v>
                </c:pt>
                <c:pt idx="240">
                  <c:v>3.2592599999999998</c:v>
                </c:pt>
                <c:pt idx="241">
                  <c:v>3.3250999999999999</c:v>
                </c:pt>
                <c:pt idx="242">
                  <c:v>3.42387</c:v>
                </c:pt>
                <c:pt idx="243">
                  <c:v>3.42387</c:v>
                </c:pt>
                <c:pt idx="244">
                  <c:v>3.5884800000000001</c:v>
                </c:pt>
                <c:pt idx="245">
                  <c:v>3.5884800000000001</c:v>
                </c:pt>
                <c:pt idx="246">
                  <c:v>3.5555599999999998</c:v>
                </c:pt>
                <c:pt idx="247">
                  <c:v>3.7530899999999998</c:v>
                </c:pt>
                <c:pt idx="248">
                  <c:v>3.8847700000000001</c:v>
                </c:pt>
                <c:pt idx="249">
                  <c:v>4.0493800000000002</c:v>
                </c:pt>
                <c:pt idx="250">
                  <c:v>4.1810700000000001</c:v>
                </c:pt>
                <c:pt idx="251">
                  <c:v>4.3456799999999998</c:v>
                </c:pt>
                <c:pt idx="252">
                  <c:v>4.2798299999999996</c:v>
                </c:pt>
                <c:pt idx="253">
                  <c:v>4.2469099999999997</c:v>
                </c:pt>
                <c:pt idx="254">
                  <c:v>4.3127599999999999</c:v>
                </c:pt>
                <c:pt idx="255">
                  <c:v>4.2139899999999999</c:v>
                </c:pt>
                <c:pt idx="256">
                  <c:v>4.4115200000000003</c:v>
                </c:pt>
                <c:pt idx="257">
                  <c:v>4.3292200000000003</c:v>
                </c:pt>
                <c:pt idx="258">
                  <c:v>4.6749000000000001</c:v>
                </c:pt>
                <c:pt idx="259">
                  <c:v>4.4773699999999996</c:v>
                </c:pt>
                <c:pt idx="260">
                  <c:v>4.39506</c:v>
                </c:pt>
                <c:pt idx="261">
                  <c:v>4.4609100000000002</c:v>
                </c:pt>
                <c:pt idx="262">
                  <c:v>4.4773699999999996</c:v>
                </c:pt>
                <c:pt idx="263">
                  <c:v>4.5596699999999997</c:v>
                </c:pt>
                <c:pt idx="264">
                  <c:v>4.6419699999999997</c:v>
                </c:pt>
                <c:pt idx="265">
                  <c:v>4.9382700000000002</c:v>
                </c:pt>
                <c:pt idx="266">
                  <c:v>4.9876500000000004</c:v>
                </c:pt>
                <c:pt idx="267">
                  <c:v>4.8395099999999998</c:v>
                </c:pt>
                <c:pt idx="268">
                  <c:v>5.3333300000000001</c:v>
                </c:pt>
                <c:pt idx="269">
                  <c:v>5.1522600000000001</c:v>
                </c:pt>
                <c:pt idx="270">
                  <c:v>4.8395099999999998</c:v>
                </c:pt>
                <c:pt idx="271">
                  <c:v>4.5432100000000002</c:v>
                </c:pt>
                <c:pt idx="272">
                  <c:v>4.8065800000000003</c:v>
                </c:pt>
                <c:pt idx="273">
                  <c:v>5.0370400000000002</c:v>
                </c:pt>
                <c:pt idx="274">
                  <c:v>5.0041099999999998</c:v>
                </c:pt>
                <c:pt idx="275">
                  <c:v>4.9053500000000003</c:v>
                </c:pt>
                <c:pt idx="276">
                  <c:v>4.2798299999999996</c:v>
                </c:pt>
                <c:pt idx="277">
                  <c:v>4.6749000000000001</c:v>
                </c:pt>
                <c:pt idx="278">
                  <c:v>4.4444400000000002</c:v>
                </c:pt>
                <c:pt idx="279">
                  <c:v>4.3785999999999996</c:v>
                </c:pt>
                <c:pt idx="280">
                  <c:v>4.4444400000000002</c:v>
                </c:pt>
                <c:pt idx="281">
                  <c:v>4.1481500000000002</c:v>
                </c:pt>
                <c:pt idx="282">
                  <c:v>4.1481500000000002</c:v>
                </c:pt>
                <c:pt idx="283">
                  <c:v>4.3456799999999998</c:v>
                </c:pt>
                <c:pt idx="284">
                  <c:v>4.4115200000000003</c:v>
                </c:pt>
                <c:pt idx="285">
                  <c:v>4.3785999999999996</c:v>
                </c:pt>
                <c:pt idx="286">
                  <c:v>4.3456799999999998</c:v>
                </c:pt>
                <c:pt idx="287">
                  <c:v>4.5432100000000002</c:v>
                </c:pt>
                <c:pt idx="288">
                  <c:v>4.6255100000000002</c:v>
                </c:pt>
                <c:pt idx="289">
                  <c:v>4.6749000000000001</c:v>
                </c:pt>
                <c:pt idx="290">
                  <c:v>4.6749000000000001</c:v>
                </c:pt>
                <c:pt idx="291">
                  <c:v>4.9053500000000003</c:v>
                </c:pt>
                <c:pt idx="292">
                  <c:v>4.8065800000000003</c:v>
                </c:pt>
                <c:pt idx="293">
                  <c:v>5.06996</c:v>
                </c:pt>
                <c:pt idx="294">
                  <c:v>5.2016400000000003</c:v>
                </c:pt>
                <c:pt idx="295">
                  <c:v>5.46502</c:v>
                </c:pt>
                <c:pt idx="296">
                  <c:v>5.3004100000000003</c:v>
                </c:pt>
                <c:pt idx="297">
                  <c:v>5.4321000000000002</c:v>
                </c:pt>
                <c:pt idx="298">
                  <c:v>5.7613200000000004</c:v>
                </c:pt>
                <c:pt idx="299">
                  <c:v>5.4979399999999998</c:v>
                </c:pt>
                <c:pt idx="300">
                  <c:v>5.1357999999999997</c:v>
                </c:pt>
                <c:pt idx="301">
                  <c:v>5.1357999999999997</c:v>
                </c:pt>
                <c:pt idx="302">
                  <c:v>5.1687200000000004</c:v>
                </c:pt>
                <c:pt idx="303">
                  <c:v>5.1687200000000004</c:v>
                </c:pt>
                <c:pt idx="304">
                  <c:v>5.06996</c:v>
                </c:pt>
                <c:pt idx="305">
                  <c:v>4.9382700000000002</c:v>
                </c:pt>
                <c:pt idx="306">
                  <c:v>5.1357999999999997</c:v>
                </c:pt>
                <c:pt idx="307">
                  <c:v>5.0534999999999997</c:v>
                </c:pt>
                <c:pt idx="308">
                  <c:v>5.1357999999999997</c:v>
                </c:pt>
                <c:pt idx="309">
                  <c:v>5.3004100000000003</c:v>
                </c:pt>
                <c:pt idx="310">
                  <c:v>5.3004100000000003</c:v>
                </c:pt>
                <c:pt idx="311">
                  <c:v>5.2674899999999996</c:v>
                </c:pt>
                <c:pt idx="312">
                  <c:v>5.5802500000000004</c:v>
                </c:pt>
                <c:pt idx="313">
                  <c:v>5.6296299999999997</c:v>
                </c:pt>
                <c:pt idx="314">
                  <c:v>5.7530900000000003</c:v>
                </c:pt>
                <c:pt idx="315">
                  <c:v>5.7407399999999997</c:v>
                </c:pt>
                <c:pt idx="316">
                  <c:v>5.4567899999999998</c:v>
                </c:pt>
                <c:pt idx="317">
                  <c:v>5.1604900000000002</c:v>
                </c:pt>
                <c:pt idx="318">
                  <c:v>5.5802500000000004</c:v>
                </c:pt>
                <c:pt idx="319">
                  <c:v>5.2839499999999999</c:v>
                </c:pt>
                <c:pt idx="320">
                  <c:v>5.1851799999999999</c:v>
                </c:pt>
                <c:pt idx="321">
                  <c:v>5.6543200000000002</c:v>
                </c:pt>
                <c:pt idx="322">
                  <c:v>6.1728399999999999</c:v>
                </c:pt>
                <c:pt idx="323">
                  <c:v>7.1357999999999997</c:v>
                </c:pt>
                <c:pt idx="324">
                  <c:v>7.9259199999999996</c:v>
                </c:pt>
                <c:pt idx="325">
                  <c:v>7.4814800000000004</c:v>
                </c:pt>
                <c:pt idx="326">
                  <c:v>7.2592600000000003</c:v>
                </c:pt>
                <c:pt idx="327">
                  <c:v>7.2716000000000003</c:v>
                </c:pt>
                <c:pt idx="328">
                  <c:v>6.7901199999999999</c:v>
                </c:pt>
                <c:pt idx="329">
                  <c:v>6.9629599999999998</c:v>
                </c:pt>
                <c:pt idx="330">
                  <c:v>7.1357999999999997</c:v>
                </c:pt>
                <c:pt idx="331">
                  <c:v>7.4567899999999998</c:v>
                </c:pt>
                <c:pt idx="332">
                  <c:v>7.7037000000000004</c:v>
                </c:pt>
                <c:pt idx="333">
                  <c:v>7.5678999999999998</c:v>
                </c:pt>
                <c:pt idx="334">
                  <c:v>7.50617</c:v>
                </c:pt>
                <c:pt idx="335">
                  <c:v>7.3086399999999996</c:v>
                </c:pt>
                <c:pt idx="336">
                  <c:v>7.6543200000000002</c:v>
                </c:pt>
                <c:pt idx="337">
                  <c:v>7.5802500000000004</c:v>
                </c:pt>
                <c:pt idx="338">
                  <c:v>8</c:v>
                </c:pt>
                <c:pt idx="339">
                  <c:v>7.8518499999999998</c:v>
                </c:pt>
                <c:pt idx="340">
                  <c:v>7.9506100000000002</c:v>
                </c:pt>
                <c:pt idx="341">
                  <c:v>8</c:v>
                </c:pt>
                <c:pt idx="342">
                  <c:v>8.2222200000000001</c:v>
                </c:pt>
                <c:pt idx="343">
                  <c:v>8.1975300000000004</c:v>
                </c:pt>
                <c:pt idx="344">
                  <c:v>8.0740700000000007</c:v>
                </c:pt>
                <c:pt idx="345">
                  <c:v>8.0246899999999997</c:v>
                </c:pt>
                <c:pt idx="346">
                  <c:v>7.8024699999999996</c:v>
                </c:pt>
                <c:pt idx="347">
                  <c:v>8.1975300000000004</c:v>
                </c:pt>
                <c:pt idx="348">
                  <c:v>8.4938199999999995</c:v>
                </c:pt>
                <c:pt idx="349">
                  <c:v>8.2962900000000008</c:v>
                </c:pt>
                <c:pt idx="350">
                  <c:v>8.2469099999999997</c:v>
                </c:pt>
                <c:pt idx="351">
                  <c:v>8.2962900000000008</c:v>
                </c:pt>
                <c:pt idx="352">
                  <c:v>8.5432100000000002</c:v>
                </c:pt>
                <c:pt idx="353">
                  <c:v>8.6913599999999995</c:v>
                </c:pt>
                <c:pt idx="354">
                  <c:v>8.3456799999999998</c:v>
                </c:pt>
                <c:pt idx="355">
                  <c:v>7.5555500000000002</c:v>
                </c:pt>
                <c:pt idx="356">
                  <c:v>7.8024699999999996</c:v>
                </c:pt>
                <c:pt idx="357">
                  <c:v>7.8765400000000003</c:v>
                </c:pt>
                <c:pt idx="358">
                  <c:v>8.2469099999999997</c:v>
                </c:pt>
                <c:pt idx="359">
                  <c:v>8.1975300000000004</c:v>
                </c:pt>
                <c:pt idx="360">
                  <c:v>8.2715999999999994</c:v>
                </c:pt>
                <c:pt idx="361">
                  <c:v>8.4444400000000002</c:v>
                </c:pt>
                <c:pt idx="362">
                  <c:v>8.6913599999999995</c:v>
                </c:pt>
                <c:pt idx="363">
                  <c:v>8.4938199999999995</c:v>
                </c:pt>
                <c:pt idx="364">
                  <c:v>8.7654300000000003</c:v>
                </c:pt>
                <c:pt idx="365">
                  <c:v>9.3333300000000001</c:v>
                </c:pt>
                <c:pt idx="366">
                  <c:v>8.88889</c:v>
                </c:pt>
                <c:pt idx="367">
                  <c:v>8.9876500000000004</c:v>
                </c:pt>
                <c:pt idx="368">
                  <c:v>8.7901199999999999</c:v>
                </c:pt>
                <c:pt idx="369">
                  <c:v>8.5925899999999995</c:v>
                </c:pt>
                <c:pt idx="370">
                  <c:v>8.3456799999999998</c:v>
                </c:pt>
                <c:pt idx="371">
                  <c:v>8.4938199999999995</c:v>
                </c:pt>
                <c:pt idx="372">
                  <c:v>8.7901199999999999</c:v>
                </c:pt>
                <c:pt idx="373">
                  <c:v>9.2345600000000001</c:v>
                </c:pt>
                <c:pt idx="374">
                  <c:v>9.1357999999999997</c:v>
                </c:pt>
                <c:pt idx="375">
                  <c:v>9.3827099999999994</c:v>
                </c:pt>
                <c:pt idx="376">
                  <c:v>9.1851800000000008</c:v>
                </c:pt>
                <c:pt idx="377">
                  <c:v>9.11111</c:v>
                </c:pt>
                <c:pt idx="378">
                  <c:v>9.11111</c:v>
                </c:pt>
                <c:pt idx="379">
                  <c:v>8.9629600000000007</c:v>
                </c:pt>
                <c:pt idx="380">
                  <c:v>9.3333300000000001</c:v>
                </c:pt>
                <c:pt idx="381">
                  <c:v>9.5185200000000005</c:v>
                </c:pt>
                <c:pt idx="382">
                  <c:v>9.2222200000000001</c:v>
                </c:pt>
                <c:pt idx="383">
                  <c:v>9.3333300000000001</c:v>
                </c:pt>
                <c:pt idx="384">
                  <c:v>9.2592599999999994</c:v>
                </c:pt>
                <c:pt idx="385">
                  <c:v>9.1481499999999993</c:v>
                </c:pt>
                <c:pt idx="386">
                  <c:v>7.8518499999999998</c:v>
                </c:pt>
                <c:pt idx="387">
                  <c:v>8.7407400000000006</c:v>
                </c:pt>
                <c:pt idx="388">
                  <c:v>8.6666699999999999</c:v>
                </c:pt>
                <c:pt idx="389">
                  <c:v>8.3703699999999994</c:v>
                </c:pt>
                <c:pt idx="390">
                  <c:v>9.0370299999999997</c:v>
                </c:pt>
                <c:pt idx="391">
                  <c:v>9.0370299999999997</c:v>
                </c:pt>
                <c:pt idx="392">
                  <c:v>8.4444400000000002</c:v>
                </c:pt>
                <c:pt idx="393">
                  <c:v>7.7037000000000004</c:v>
                </c:pt>
                <c:pt idx="394">
                  <c:v>7.9259199999999996</c:v>
                </c:pt>
                <c:pt idx="395">
                  <c:v>8.2963000000000005</c:v>
                </c:pt>
                <c:pt idx="396">
                  <c:v>8.7407400000000006</c:v>
                </c:pt>
                <c:pt idx="397">
                  <c:v>7.8518499999999998</c:v>
                </c:pt>
                <c:pt idx="398">
                  <c:v>8.5185200000000005</c:v>
                </c:pt>
                <c:pt idx="399">
                  <c:v>8</c:v>
                </c:pt>
                <c:pt idx="400">
                  <c:v>7.9259199999999996</c:v>
                </c:pt>
                <c:pt idx="401">
                  <c:v>8.4444400000000002</c:v>
                </c:pt>
                <c:pt idx="402">
                  <c:v>8.4074100000000005</c:v>
                </c:pt>
                <c:pt idx="403">
                  <c:v>7.9259199999999996</c:v>
                </c:pt>
                <c:pt idx="404">
                  <c:v>8.2963000000000005</c:v>
                </c:pt>
                <c:pt idx="405">
                  <c:v>7.6296299999999997</c:v>
                </c:pt>
                <c:pt idx="406">
                  <c:v>7.9259199999999996</c:v>
                </c:pt>
                <c:pt idx="407">
                  <c:v>7.3333300000000001</c:v>
                </c:pt>
                <c:pt idx="408">
                  <c:v>7.6296299999999997</c:v>
                </c:pt>
                <c:pt idx="409">
                  <c:v>7.7407399999999997</c:v>
                </c:pt>
                <c:pt idx="410">
                  <c:v>7.4814800000000004</c:v>
                </c:pt>
                <c:pt idx="411">
                  <c:v>7.4814800000000004</c:v>
                </c:pt>
                <c:pt idx="412">
                  <c:v>7.6666699999999999</c:v>
                </c:pt>
                <c:pt idx="413">
                  <c:v>8</c:v>
                </c:pt>
                <c:pt idx="414">
                  <c:v>8.1481499999999993</c:v>
                </c:pt>
                <c:pt idx="415">
                  <c:v>8.1481499999999993</c:v>
                </c:pt>
                <c:pt idx="416">
                  <c:v>8.11111</c:v>
                </c:pt>
                <c:pt idx="417">
                  <c:v>8.1481499999999993</c:v>
                </c:pt>
                <c:pt idx="418">
                  <c:v>8.2222200000000001</c:v>
                </c:pt>
                <c:pt idx="419">
                  <c:v>8.1481499999999993</c:v>
                </c:pt>
                <c:pt idx="420">
                  <c:v>7.8518499999999998</c:v>
                </c:pt>
                <c:pt idx="421">
                  <c:v>8.1481499999999993</c:v>
                </c:pt>
                <c:pt idx="422">
                  <c:v>8.2963000000000005</c:v>
                </c:pt>
                <c:pt idx="423">
                  <c:v>8.2222200000000001</c:v>
                </c:pt>
                <c:pt idx="424">
                  <c:v>7.7407399999999997</c:v>
                </c:pt>
                <c:pt idx="425">
                  <c:v>7.5925900000000004</c:v>
                </c:pt>
                <c:pt idx="426">
                  <c:v>7.5925900000000004</c:v>
                </c:pt>
                <c:pt idx="427">
                  <c:v>7.9259199999999996</c:v>
                </c:pt>
                <c:pt idx="428">
                  <c:v>7.6666699999999999</c:v>
                </c:pt>
                <c:pt idx="429">
                  <c:v>7.7407399999999997</c:v>
                </c:pt>
                <c:pt idx="430">
                  <c:v>7.6296299999999997</c:v>
                </c:pt>
                <c:pt idx="431">
                  <c:v>7.6296299999999997</c:v>
                </c:pt>
                <c:pt idx="432">
                  <c:v>7.3333300000000001</c:v>
                </c:pt>
                <c:pt idx="433">
                  <c:v>7.11111</c:v>
                </c:pt>
                <c:pt idx="434">
                  <c:v>7.1481500000000002</c:v>
                </c:pt>
                <c:pt idx="435">
                  <c:v>7.2222200000000001</c:v>
                </c:pt>
                <c:pt idx="436">
                  <c:v>6.88889</c:v>
                </c:pt>
                <c:pt idx="437">
                  <c:v>7.4074099999999996</c:v>
                </c:pt>
                <c:pt idx="438">
                  <c:v>7.4444400000000002</c:v>
                </c:pt>
                <c:pt idx="439">
                  <c:v>7.5555500000000002</c:v>
                </c:pt>
                <c:pt idx="440">
                  <c:v>7.4814800000000004</c:v>
                </c:pt>
                <c:pt idx="441">
                  <c:v>7.2407399999999997</c:v>
                </c:pt>
                <c:pt idx="442">
                  <c:v>6.6666699999999999</c:v>
                </c:pt>
                <c:pt idx="443">
                  <c:v>6.7777799999999999</c:v>
                </c:pt>
                <c:pt idx="444">
                  <c:v>6.88889</c:v>
                </c:pt>
                <c:pt idx="445">
                  <c:v>7.3703700000000003</c:v>
                </c:pt>
                <c:pt idx="446">
                  <c:v>8.0740700000000007</c:v>
                </c:pt>
                <c:pt idx="447">
                  <c:v>9.11111</c:v>
                </c:pt>
                <c:pt idx="448">
                  <c:v>8.6666699999999999</c:v>
                </c:pt>
                <c:pt idx="449">
                  <c:v>8.6666699999999999</c:v>
                </c:pt>
                <c:pt idx="450">
                  <c:v>8.5925899999999995</c:v>
                </c:pt>
                <c:pt idx="451">
                  <c:v>9.2592599999999994</c:v>
                </c:pt>
                <c:pt idx="452">
                  <c:v>9.3703699999999994</c:v>
                </c:pt>
                <c:pt idx="453">
                  <c:v>9.4074100000000005</c:v>
                </c:pt>
                <c:pt idx="454">
                  <c:v>8.88889</c:v>
                </c:pt>
                <c:pt idx="455">
                  <c:v>8.8148099999999996</c:v>
                </c:pt>
                <c:pt idx="456">
                  <c:v>8.8518500000000007</c:v>
                </c:pt>
                <c:pt idx="457">
                  <c:v>8.7777799999999999</c:v>
                </c:pt>
                <c:pt idx="458">
                  <c:v>8.4444400000000002</c:v>
                </c:pt>
                <c:pt idx="459">
                  <c:v>7.9259199999999996</c:v>
                </c:pt>
                <c:pt idx="460">
                  <c:v>8.2963000000000005</c:v>
                </c:pt>
                <c:pt idx="461">
                  <c:v>8.4444400000000002</c:v>
                </c:pt>
                <c:pt idx="462">
                  <c:v>8.3703699999999994</c:v>
                </c:pt>
                <c:pt idx="463">
                  <c:v>8.4444400000000002</c:v>
                </c:pt>
                <c:pt idx="464">
                  <c:v>7.9259199999999996</c:v>
                </c:pt>
                <c:pt idx="465">
                  <c:v>8</c:v>
                </c:pt>
                <c:pt idx="466">
                  <c:v>7.9259199999999996</c:v>
                </c:pt>
                <c:pt idx="467">
                  <c:v>8.0740700000000007</c:v>
                </c:pt>
                <c:pt idx="468">
                  <c:v>7.7407399999999997</c:v>
                </c:pt>
                <c:pt idx="469">
                  <c:v>7.8148099999999996</c:v>
                </c:pt>
                <c:pt idx="470">
                  <c:v>7.7777799999999999</c:v>
                </c:pt>
                <c:pt idx="471">
                  <c:v>8.3703699999999994</c:v>
                </c:pt>
                <c:pt idx="472">
                  <c:v>8</c:v>
                </c:pt>
                <c:pt idx="473">
                  <c:v>7.9259199999999996</c:v>
                </c:pt>
                <c:pt idx="474">
                  <c:v>8.4629600000000007</c:v>
                </c:pt>
                <c:pt idx="475">
                  <c:v>8.9074100000000005</c:v>
                </c:pt>
                <c:pt idx="476">
                  <c:v>8.9259199999999996</c:v>
                </c:pt>
                <c:pt idx="477">
                  <c:v>8.0740700000000007</c:v>
                </c:pt>
                <c:pt idx="478">
                  <c:v>8</c:v>
                </c:pt>
                <c:pt idx="479">
                  <c:v>8.2222200000000001</c:v>
                </c:pt>
                <c:pt idx="480">
                  <c:v>8.11111</c:v>
                </c:pt>
                <c:pt idx="481">
                  <c:v>8.2592599999999994</c:v>
                </c:pt>
                <c:pt idx="482">
                  <c:v>8.1481499999999993</c:v>
                </c:pt>
                <c:pt idx="483">
                  <c:v>8.1481499999999993</c:v>
                </c:pt>
                <c:pt idx="484">
                  <c:v>7.9629599999999998</c:v>
                </c:pt>
                <c:pt idx="485">
                  <c:v>7.8518499999999998</c:v>
                </c:pt>
                <c:pt idx="486">
                  <c:v>8.3333300000000001</c:v>
                </c:pt>
                <c:pt idx="487">
                  <c:v>8.3703699999999994</c:v>
                </c:pt>
                <c:pt idx="488">
                  <c:v>8.5185200000000005</c:v>
                </c:pt>
                <c:pt idx="489">
                  <c:v>8.3703699999999994</c:v>
                </c:pt>
                <c:pt idx="490">
                  <c:v>8.0740700000000007</c:v>
                </c:pt>
                <c:pt idx="491">
                  <c:v>8.0370399999999993</c:v>
                </c:pt>
                <c:pt idx="492">
                  <c:v>8.1851800000000008</c:v>
                </c:pt>
                <c:pt idx="493">
                  <c:v>8.1481499999999993</c:v>
                </c:pt>
                <c:pt idx="494">
                  <c:v>7.88889</c:v>
                </c:pt>
                <c:pt idx="495">
                  <c:v>7.8518499999999998</c:v>
                </c:pt>
                <c:pt idx="496">
                  <c:v>8.0740700000000007</c:v>
                </c:pt>
                <c:pt idx="497">
                  <c:v>7.6666699999999999</c:v>
                </c:pt>
                <c:pt idx="498">
                  <c:v>7.7037000000000004</c:v>
                </c:pt>
                <c:pt idx="499">
                  <c:v>7.5185199999999996</c:v>
                </c:pt>
                <c:pt idx="500">
                  <c:v>7.3333300000000001</c:v>
                </c:pt>
                <c:pt idx="501">
                  <c:v>7.4814800000000004</c:v>
                </c:pt>
                <c:pt idx="502">
                  <c:v>7.6666699999999999</c:v>
                </c:pt>
                <c:pt idx="503">
                  <c:v>7.5555500000000002</c:v>
                </c:pt>
                <c:pt idx="504">
                  <c:v>7.7777799999999999</c:v>
                </c:pt>
                <c:pt idx="505">
                  <c:v>7.7407399999999997</c:v>
                </c:pt>
                <c:pt idx="506">
                  <c:v>7.7037000000000004</c:v>
                </c:pt>
                <c:pt idx="507">
                  <c:v>7.7037000000000004</c:v>
                </c:pt>
                <c:pt idx="508">
                  <c:v>8.1851800000000008</c:v>
                </c:pt>
                <c:pt idx="509">
                  <c:v>8.3333300000000001</c:v>
                </c:pt>
                <c:pt idx="510">
                  <c:v>8.1481499999999993</c:v>
                </c:pt>
                <c:pt idx="511">
                  <c:v>8.0370399999999993</c:v>
                </c:pt>
                <c:pt idx="512">
                  <c:v>8.0370399999999993</c:v>
                </c:pt>
                <c:pt idx="513">
                  <c:v>7.6666699999999999</c:v>
                </c:pt>
                <c:pt idx="514">
                  <c:v>8.2963000000000005</c:v>
                </c:pt>
                <c:pt idx="515">
                  <c:v>8.7407400000000006</c:v>
                </c:pt>
                <c:pt idx="516">
                  <c:v>8.9074100000000005</c:v>
                </c:pt>
                <c:pt idx="517">
                  <c:v>8.6296300000000006</c:v>
                </c:pt>
                <c:pt idx="518">
                  <c:v>8.5185200000000005</c:v>
                </c:pt>
                <c:pt idx="519">
                  <c:v>8.4444400000000002</c:v>
                </c:pt>
                <c:pt idx="520">
                  <c:v>8.8148099999999996</c:v>
                </c:pt>
                <c:pt idx="521">
                  <c:v>9.3333300000000001</c:v>
                </c:pt>
                <c:pt idx="522">
                  <c:v>10.148149999999999</c:v>
                </c:pt>
                <c:pt idx="523">
                  <c:v>9.9074100000000005</c:v>
                </c:pt>
                <c:pt idx="524">
                  <c:v>9.5555500000000002</c:v>
                </c:pt>
                <c:pt idx="525">
                  <c:v>10.370369999999999</c:v>
                </c:pt>
                <c:pt idx="526">
                  <c:v>10.851850000000001</c:v>
                </c:pt>
                <c:pt idx="527">
                  <c:v>10.518520000000001</c:v>
                </c:pt>
                <c:pt idx="528">
                  <c:v>10.481479999999999</c:v>
                </c:pt>
                <c:pt idx="529">
                  <c:v>10.66667</c:v>
                </c:pt>
                <c:pt idx="530">
                  <c:v>10.518520000000001</c:v>
                </c:pt>
                <c:pt idx="531">
                  <c:v>10.148149999999999</c:v>
                </c:pt>
                <c:pt idx="532">
                  <c:v>10.03703</c:v>
                </c:pt>
                <c:pt idx="533">
                  <c:v>9.9259199999999996</c:v>
                </c:pt>
                <c:pt idx="534">
                  <c:v>10.11111</c:v>
                </c:pt>
                <c:pt idx="535">
                  <c:v>10.66667</c:v>
                </c:pt>
                <c:pt idx="536">
                  <c:v>10.81481</c:v>
                </c:pt>
                <c:pt idx="537">
                  <c:v>10.962960000000001</c:v>
                </c:pt>
                <c:pt idx="538">
                  <c:v>10.740740000000001</c:v>
                </c:pt>
                <c:pt idx="539">
                  <c:v>10.66667</c:v>
                </c:pt>
                <c:pt idx="540">
                  <c:v>10.55555</c:v>
                </c:pt>
                <c:pt idx="541">
                  <c:v>10.33333</c:v>
                </c:pt>
                <c:pt idx="542">
                  <c:v>9.8148099999999996</c:v>
                </c:pt>
                <c:pt idx="543">
                  <c:v>9.2222200000000001</c:v>
                </c:pt>
                <c:pt idx="544">
                  <c:v>9.7777799999999999</c:v>
                </c:pt>
                <c:pt idx="545">
                  <c:v>9.8518500000000007</c:v>
                </c:pt>
                <c:pt idx="546">
                  <c:v>9.2592599999999994</c:v>
                </c:pt>
                <c:pt idx="547">
                  <c:v>9.11111</c:v>
                </c:pt>
                <c:pt idx="548">
                  <c:v>8.7407400000000006</c:v>
                </c:pt>
                <c:pt idx="549">
                  <c:v>8.7407400000000006</c:v>
                </c:pt>
                <c:pt idx="550">
                  <c:v>8.9629600000000007</c:v>
                </c:pt>
                <c:pt idx="551">
                  <c:v>8.9259199999999996</c:v>
                </c:pt>
                <c:pt idx="552">
                  <c:v>8.8518500000000007</c:v>
                </c:pt>
                <c:pt idx="553">
                  <c:v>8.8518500000000007</c:v>
                </c:pt>
                <c:pt idx="554">
                  <c:v>8.7777799999999999</c:v>
                </c:pt>
                <c:pt idx="555">
                  <c:v>8.9259199999999996</c:v>
                </c:pt>
                <c:pt idx="556">
                  <c:v>8.88889</c:v>
                </c:pt>
                <c:pt idx="557">
                  <c:v>8.8518500000000007</c:v>
                </c:pt>
                <c:pt idx="558">
                  <c:v>8.4074100000000005</c:v>
                </c:pt>
                <c:pt idx="559">
                  <c:v>7.8518499999999998</c:v>
                </c:pt>
                <c:pt idx="560">
                  <c:v>7.8518499999999998</c:v>
                </c:pt>
                <c:pt idx="561">
                  <c:v>8.2592599999999994</c:v>
                </c:pt>
                <c:pt idx="562">
                  <c:v>8.4444400000000002</c:v>
                </c:pt>
                <c:pt idx="563">
                  <c:v>8.2592599999999994</c:v>
                </c:pt>
                <c:pt idx="564">
                  <c:v>8</c:v>
                </c:pt>
                <c:pt idx="565">
                  <c:v>7.9259199999999996</c:v>
                </c:pt>
                <c:pt idx="566">
                  <c:v>7.8518499999999998</c:v>
                </c:pt>
                <c:pt idx="567">
                  <c:v>8.2222200000000001</c:v>
                </c:pt>
                <c:pt idx="568">
                  <c:v>7.88889</c:v>
                </c:pt>
                <c:pt idx="569">
                  <c:v>8.0370399999999993</c:v>
                </c:pt>
                <c:pt idx="570">
                  <c:v>7.2592600000000003</c:v>
                </c:pt>
                <c:pt idx="571">
                  <c:v>7.1481500000000002</c:v>
                </c:pt>
                <c:pt idx="572">
                  <c:v>7.2962999999999996</c:v>
                </c:pt>
                <c:pt idx="573">
                  <c:v>6.8518499999999998</c:v>
                </c:pt>
                <c:pt idx="574">
                  <c:v>7.0370400000000002</c:v>
                </c:pt>
                <c:pt idx="575">
                  <c:v>7.5185199999999996</c:v>
                </c:pt>
                <c:pt idx="576">
                  <c:v>8.1666699999999999</c:v>
                </c:pt>
                <c:pt idx="577">
                  <c:v>7.6666699999999999</c:v>
                </c:pt>
                <c:pt idx="578">
                  <c:v>8.1481499999999993</c:v>
                </c:pt>
                <c:pt idx="579">
                  <c:v>8.0740700000000007</c:v>
                </c:pt>
                <c:pt idx="580">
                  <c:v>7.4444400000000002</c:v>
                </c:pt>
                <c:pt idx="581">
                  <c:v>7.6296299999999997</c:v>
                </c:pt>
                <c:pt idx="582">
                  <c:v>7.4444400000000002</c:v>
                </c:pt>
                <c:pt idx="583">
                  <c:v>7.3703700000000003</c:v>
                </c:pt>
                <c:pt idx="584">
                  <c:v>7.2592600000000003</c:v>
                </c:pt>
                <c:pt idx="585">
                  <c:v>7.2222200000000001</c:v>
                </c:pt>
                <c:pt idx="586">
                  <c:v>7.4444400000000002</c:v>
                </c:pt>
                <c:pt idx="587">
                  <c:v>7.4444400000000002</c:v>
                </c:pt>
                <c:pt idx="588">
                  <c:v>7.9259199999999996</c:v>
                </c:pt>
                <c:pt idx="589">
                  <c:v>8.8518500000000007</c:v>
                </c:pt>
                <c:pt idx="590">
                  <c:v>8.8518500000000007</c:v>
                </c:pt>
                <c:pt idx="591">
                  <c:v>8.6296300000000006</c:v>
                </c:pt>
                <c:pt idx="592">
                  <c:v>8.5185200000000005</c:v>
                </c:pt>
                <c:pt idx="593">
                  <c:v>8.0185200000000005</c:v>
                </c:pt>
                <c:pt idx="594">
                  <c:v>8.2592599999999994</c:v>
                </c:pt>
                <c:pt idx="595">
                  <c:v>8.4444400000000002</c:v>
                </c:pt>
                <c:pt idx="596">
                  <c:v>8.4444400000000002</c:v>
                </c:pt>
                <c:pt idx="597">
                  <c:v>8.2592599999999994</c:v>
                </c:pt>
                <c:pt idx="598">
                  <c:v>8.11111</c:v>
                </c:pt>
                <c:pt idx="599">
                  <c:v>7.7407399999999997</c:v>
                </c:pt>
                <c:pt idx="600">
                  <c:v>7.6296299999999997</c:v>
                </c:pt>
                <c:pt idx="601">
                  <c:v>7.5555500000000002</c:v>
                </c:pt>
                <c:pt idx="602">
                  <c:v>7.5555500000000002</c:v>
                </c:pt>
                <c:pt idx="603">
                  <c:v>7.2592600000000003</c:v>
                </c:pt>
                <c:pt idx="604">
                  <c:v>7.2777799999999999</c:v>
                </c:pt>
                <c:pt idx="605">
                  <c:v>7.5185199999999996</c:v>
                </c:pt>
                <c:pt idx="606">
                  <c:v>7.9629599999999998</c:v>
                </c:pt>
                <c:pt idx="607">
                  <c:v>7.7777799999999999</c:v>
                </c:pt>
                <c:pt idx="608">
                  <c:v>8.6666699999999999</c:v>
                </c:pt>
                <c:pt idx="609">
                  <c:v>9.4814799999999995</c:v>
                </c:pt>
                <c:pt idx="610">
                  <c:v>8.88889</c:v>
                </c:pt>
                <c:pt idx="611">
                  <c:v>8.88889</c:v>
                </c:pt>
                <c:pt idx="612">
                  <c:v>9.3703699999999994</c:v>
                </c:pt>
                <c:pt idx="613">
                  <c:v>9.5925899999999995</c:v>
                </c:pt>
                <c:pt idx="614">
                  <c:v>9.5925899999999995</c:v>
                </c:pt>
                <c:pt idx="615">
                  <c:v>9.4074100000000005</c:v>
                </c:pt>
                <c:pt idx="616">
                  <c:v>9.7777799999999999</c:v>
                </c:pt>
                <c:pt idx="617">
                  <c:v>9.7777799999999999</c:v>
                </c:pt>
                <c:pt idx="618">
                  <c:v>9.38889</c:v>
                </c:pt>
                <c:pt idx="619">
                  <c:v>9.2592599999999994</c:v>
                </c:pt>
                <c:pt idx="620">
                  <c:v>9.8148099999999996</c:v>
                </c:pt>
                <c:pt idx="621">
                  <c:v>10.370369999999999</c:v>
                </c:pt>
                <c:pt idx="622">
                  <c:v>10.259259999999999</c:v>
                </c:pt>
                <c:pt idx="623">
                  <c:v>10.481479999999999</c:v>
                </c:pt>
                <c:pt idx="624">
                  <c:v>10.518520000000001</c:v>
                </c:pt>
                <c:pt idx="625">
                  <c:v>10.40741</c:v>
                </c:pt>
                <c:pt idx="626">
                  <c:v>10.33333</c:v>
                </c:pt>
                <c:pt idx="627">
                  <c:v>10.481479999999999</c:v>
                </c:pt>
                <c:pt idx="628">
                  <c:v>10.81481</c:v>
                </c:pt>
                <c:pt idx="629">
                  <c:v>11</c:v>
                </c:pt>
                <c:pt idx="630">
                  <c:v>11</c:v>
                </c:pt>
                <c:pt idx="631">
                  <c:v>10.851850000000001</c:v>
                </c:pt>
                <c:pt idx="632">
                  <c:v>10.740740000000001</c:v>
                </c:pt>
                <c:pt idx="633">
                  <c:v>10.55555</c:v>
                </c:pt>
                <c:pt idx="634">
                  <c:v>10.518520000000001</c:v>
                </c:pt>
                <c:pt idx="635">
                  <c:v>10.59259</c:v>
                </c:pt>
                <c:pt idx="636">
                  <c:v>11.03703</c:v>
                </c:pt>
                <c:pt idx="637">
                  <c:v>11.185180000000001</c:v>
                </c:pt>
                <c:pt idx="638">
                  <c:v>11.740740000000001</c:v>
                </c:pt>
                <c:pt idx="639">
                  <c:v>11.574070000000001</c:v>
                </c:pt>
                <c:pt idx="640">
                  <c:v>11.16666</c:v>
                </c:pt>
                <c:pt idx="641">
                  <c:v>10.962960000000001</c:v>
                </c:pt>
                <c:pt idx="642">
                  <c:v>10.370369999999999</c:v>
                </c:pt>
                <c:pt idx="643">
                  <c:v>10.370369999999999</c:v>
                </c:pt>
                <c:pt idx="644">
                  <c:v>10.740740000000001</c:v>
                </c:pt>
                <c:pt idx="645">
                  <c:v>10.92592</c:v>
                </c:pt>
                <c:pt idx="646">
                  <c:v>11.11111</c:v>
                </c:pt>
                <c:pt idx="647">
                  <c:v>11.44444</c:v>
                </c:pt>
                <c:pt idx="648">
                  <c:v>10.44444</c:v>
                </c:pt>
                <c:pt idx="649">
                  <c:v>10.962960000000001</c:v>
                </c:pt>
                <c:pt idx="650">
                  <c:v>11.259259999999999</c:v>
                </c:pt>
                <c:pt idx="651">
                  <c:v>10.962960000000001</c:v>
                </c:pt>
                <c:pt idx="652">
                  <c:v>10.7037</c:v>
                </c:pt>
                <c:pt idx="653">
                  <c:v>10.88889</c:v>
                </c:pt>
                <c:pt idx="654">
                  <c:v>11.259259999999999</c:v>
                </c:pt>
                <c:pt idx="655">
                  <c:v>11.629630000000001</c:v>
                </c:pt>
                <c:pt idx="656">
                  <c:v>11.185180000000001</c:v>
                </c:pt>
                <c:pt idx="657">
                  <c:v>11</c:v>
                </c:pt>
                <c:pt idx="658">
                  <c:v>10.962960000000001</c:v>
                </c:pt>
                <c:pt idx="659">
                  <c:v>10.81481</c:v>
                </c:pt>
                <c:pt idx="660">
                  <c:v>10.462960000000001</c:v>
                </c:pt>
                <c:pt idx="661">
                  <c:v>10.40741</c:v>
                </c:pt>
                <c:pt idx="662">
                  <c:v>10.44444</c:v>
                </c:pt>
                <c:pt idx="663">
                  <c:v>11.03703</c:v>
                </c:pt>
                <c:pt idx="664">
                  <c:v>10.66667</c:v>
                </c:pt>
                <c:pt idx="665">
                  <c:v>10.370369999999999</c:v>
                </c:pt>
                <c:pt idx="666">
                  <c:v>10.22222</c:v>
                </c:pt>
                <c:pt idx="667">
                  <c:v>10.03703</c:v>
                </c:pt>
                <c:pt idx="668">
                  <c:v>9.9814799999999995</c:v>
                </c:pt>
                <c:pt idx="669">
                  <c:v>10.88889</c:v>
                </c:pt>
                <c:pt idx="670">
                  <c:v>11</c:v>
                </c:pt>
                <c:pt idx="671">
                  <c:v>10.629630000000001</c:v>
                </c:pt>
                <c:pt idx="672">
                  <c:v>10.92592</c:v>
                </c:pt>
                <c:pt idx="673">
                  <c:v>10.92592</c:v>
                </c:pt>
                <c:pt idx="674">
                  <c:v>11</c:v>
                </c:pt>
                <c:pt idx="675">
                  <c:v>11.518520000000001</c:v>
                </c:pt>
                <c:pt idx="676">
                  <c:v>11.03703</c:v>
                </c:pt>
                <c:pt idx="677">
                  <c:v>10.66667</c:v>
                </c:pt>
                <c:pt idx="678">
                  <c:v>10.481479999999999</c:v>
                </c:pt>
                <c:pt idx="679">
                  <c:v>10.518520000000001</c:v>
                </c:pt>
                <c:pt idx="680">
                  <c:v>10.259259999999999</c:v>
                </c:pt>
                <c:pt idx="681">
                  <c:v>10.22222</c:v>
                </c:pt>
                <c:pt idx="682">
                  <c:v>10.27778</c:v>
                </c:pt>
                <c:pt idx="683">
                  <c:v>10.7037</c:v>
                </c:pt>
                <c:pt idx="684">
                  <c:v>11.185180000000001</c:v>
                </c:pt>
                <c:pt idx="685">
                  <c:v>11.31481</c:v>
                </c:pt>
                <c:pt idx="686">
                  <c:v>11.259259999999999</c:v>
                </c:pt>
                <c:pt idx="687">
                  <c:v>11</c:v>
                </c:pt>
                <c:pt idx="688">
                  <c:v>10.92592</c:v>
                </c:pt>
                <c:pt idx="689">
                  <c:v>10.629630000000001</c:v>
                </c:pt>
                <c:pt idx="690">
                  <c:v>10.574070000000001</c:v>
                </c:pt>
                <c:pt idx="691">
                  <c:v>10.574070000000001</c:v>
                </c:pt>
                <c:pt idx="692">
                  <c:v>10.740740000000001</c:v>
                </c:pt>
                <c:pt idx="693">
                  <c:v>10.740740000000001</c:v>
                </c:pt>
                <c:pt idx="694">
                  <c:v>10.518520000000001</c:v>
                </c:pt>
                <c:pt idx="695">
                  <c:v>10.148149999999999</c:v>
                </c:pt>
                <c:pt idx="696">
                  <c:v>10.259259999999999</c:v>
                </c:pt>
                <c:pt idx="697">
                  <c:v>10.66667</c:v>
                </c:pt>
                <c:pt idx="698">
                  <c:v>10.44444</c:v>
                </c:pt>
                <c:pt idx="699">
                  <c:v>10.55555</c:v>
                </c:pt>
                <c:pt idx="700">
                  <c:v>11.518520000000001</c:v>
                </c:pt>
                <c:pt idx="701">
                  <c:v>11.81481</c:v>
                </c:pt>
                <c:pt idx="702">
                  <c:v>11.7037</c:v>
                </c:pt>
                <c:pt idx="703">
                  <c:v>11.77778</c:v>
                </c:pt>
                <c:pt idx="704">
                  <c:v>11.66666</c:v>
                </c:pt>
                <c:pt idx="705">
                  <c:v>11.629630000000001</c:v>
                </c:pt>
                <c:pt idx="706">
                  <c:v>11.518520000000001</c:v>
                </c:pt>
                <c:pt idx="707">
                  <c:v>10.81481</c:v>
                </c:pt>
                <c:pt idx="708">
                  <c:v>11.185180000000001</c:v>
                </c:pt>
                <c:pt idx="709">
                  <c:v>11.407400000000001</c:v>
                </c:pt>
                <c:pt idx="710">
                  <c:v>11.92592</c:v>
                </c:pt>
                <c:pt idx="711">
                  <c:v>12.259259999999999</c:v>
                </c:pt>
                <c:pt idx="712">
                  <c:v>12.55555</c:v>
                </c:pt>
                <c:pt idx="713">
                  <c:v>12.740740000000001</c:v>
                </c:pt>
                <c:pt idx="714">
                  <c:v>13.185180000000001</c:v>
                </c:pt>
                <c:pt idx="715">
                  <c:v>12.851850000000001</c:v>
                </c:pt>
                <c:pt idx="716">
                  <c:v>12.518520000000001</c:v>
                </c:pt>
                <c:pt idx="717">
                  <c:v>12.88889</c:v>
                </c:pt>
                <c:pt idx="718">
                  <c:v>12.740740000000001</c:v>
                </c:pt>
                <c:pt idx="719">
                  <c:v>13.38889</c:v>
                </c:pt>
                <c:pt idx="720">
                  <c:v>13.481479999999999</c:v>
                </c:pt>
                <c:pt idx="721">
                  <c:v>13.185180000000001</c:v>
                </c:pt>
                <c:pt idx="722">
                  <c:v>13.481479999999999</c:v>
                </c:pt>
                <c:pt idx="723">
                  <c:v>13.92592</c:v>
                </c:pt>
                <c:pt idx="724">
                  <c:v>13.59259</c:v>
                </c:pt>
                <c:pt idx="725">
                  <c:v>12.81481</c:v>
                </c:pt>
                <c:pt idx="726">
                  <c:v>13.481479999999999</c:v>
                </c:pt>
                <c:pt idx="727">
                  <c:v>13.92592</c:v>
                </c:pt>
                <c:pt idx="728">
                  <c:v>13.88889</c:v>
                </c:pt>
                <c:pt idx="729">
                  <c:v>13.148149999999999</c:v>
                </c:pt>
                <c:pt idx="730">
                  <c:v>12.518520000000001</c:v>
                </c:pt>
                <c:pt idx="731">
                  <c:v>11.481479999999999</c:v>
                </c:pt>
                <c:pt idx="732">
                  <c:v>12.44444</c:v>
                </c:pt>
                <c:pt idx="733">
                  <c:v>12.629630000000001</c:v>
                </c:pt>
                <c:pt idx="734">
                  <c:v>12.22222</c:v>
                </c:pt>
                <c:pt idx="735">
                  <c:v>12.518520000000001</c:v>
                </c:pt>
                <c:pt idx="736">
                  <c:v>12.44444</c:v>
                </c:pt>
                <c:pt idx="737">
                  <c:v>12.518520000000001</c:v>
                </c:pt>
                <c:pt idx="738">
                  <c:v>12.481479999999999</c:v>
                </c:pt>
                <c:pt idx="739">
                  <c:v>11.962960000000001</c:v>
                </c:pt>
                <c:pt idx="740">
                  <c:v>11.851850000000001</c:v>
                </c:pt>
                <c:pt idx="741">
                  <c:v>11.55555</c:v>
                </c:pt>
                <c:pt idx="742">
                  <c:v>11.81481</c:v>
                </c:pt>
                <c:pt idx="743">
                  <c:v>11.81481</c:v>
                </c:pt>
                <c:pt idx="744">
                  <c:v>12.296290000000001</c:v>
                </c:pt>
                <c:pt idx="745">
                  <c:v>12.44444</c:v>
                </c:pt>
                <c:pt idx="746">
                  <c:v>12.81481</c:v>
                </c:pt>
                <c:pt idx="747">
                  <c:v>12.7037</c:v>
                </c:pt>
                <c:pt idx="748">
                  <c:v>12.77778</c:v>
                </c:pt>
                <c:pt idx="749">
                  <c:v>12.629630000000001</c:v>
                </c:pt>
                <c:pt idx="750">
                  <c:v>13</c:v>
                </c:pt>
                <c:pt idx="751">
                  <c:v>12.42592</c:v>
                </c:pt>
                <c:pt idx="752">
                  <c:v>12.851850000000001</c:v>
                </c:pt>
                <c:pt idx="753">
                  <c:v>12.851850000000001</c:v>
                </c:pt>
                <c:pt idx="754">
                  <c:v>12.629630000000001</c:v>
                </c:pt>
                <c:pt idx="755">
                  <c:v>13</c:v>
                </c:pt>
                <c:pt idx="756">
                  <c:v>12.407400000000001</c:v>
                </c:pt>
                <c:pt idx="757">
                  <c:v>12.55555</c:v>
                </c:pt>
                <c:pt idx="758">
                  <c:v>12.962960000000001</c:v>
                </c:pt>
                <c:pt idx="759">
                  <c:v>13.33333</c:v>
                </c:pt>
                <c:pt idx="760">
                  <c:v>13.574070000000001</c:v>
                </c:pt>
                <c:pt idx="761">
                  <c:v>13.59259</c:v>
                </c:pt>
                <c:pt idx="762">
                  <c:v>13.77777</c:v>
                </c:pt>
                <c:pt idx="763">
                  <c:v>13.59259</c:v>
                </c:pt>
                <c:pt idx="764">
                  <c:v>12.851850000000001</c:v>
                </c:pt>
                <c:pt idx="765">
                  <c:v>13.03703</c:v>
                </c:pt>
                <c:pt idx="766">
                  <c:v>13.31481</c:v>
                </c:pt>
                <c:pt idx="767">
                  <c:v>13.33333</c:v>
                </c:pt>
                <c:pt idx="768">
                  <c:v>12.81481</c:v>
                </c:pt>
                <c:pt idx="769">
                  <c:v>12.962960000000001</c:v>
                </c:pt>
                <c:pt idx="770">
                  <c:v>12.92592</c:v>
                </c:pt>
                <c:pt idx="771">
                  <c:v>13.03703</c:v>
                </c:pt>
                <c:pt idx="772">
                  <c:v>13.11111</c:v>
                </c:pt>
                <c:pt idx="773">
                  <c:v>13.03703</c:v>
                </c:pt>
                <c:pt idx="774">
                  <c:v>13.481479999999999</c:v>
                </c:pt>
                <c:pt idx="775">
                  <c:v>14.22222</c:v>
                </c:pt>
                <c:pt idx="776">
                  <c:v>14</c:v>
                </c:pt>
                <c:pt idx="777">
                  <c:v>13.59259</c:v>
                </c:pt>
                <c:pt idx="778">
                  <c:v>13.55555</c:v>
                </c:pt>
                <c:pt idx="779">
                  <c:v>13.77777</c:v>
                </c:pt>
                <c:pt idx="780">
                  <c:v>13.11111</c:v>
                </c:pt>
                <c:pt idx="781">
                  <c:v>13.074070000000001</c:v>
                </c:pt>
                <c:pt idx="782">
                  <c:v>12</c:v>
                </c:pt>
                <c:pt idx="783">
                  <c:v>12</c:v>
                </c:pt>
                <c:pt idx="784">
                  <c:v>12.259259999999999</c:v>
                </c:pt>
                <c:pt idx="785">
                  <c:v>12.518520000000001</c:v>
                </c:pt>
                <c:pt idx="786">
                  <c:v>12.7037</c:v>
                </c:pt>
                <c:pt idx="787">
                  <c:v>12.81481</c:v>
                </c:pt>
                <c:pt idx="788">
                  <c:v>12.77778</c:v>
                </c:pt>
                <c:pt idx="789">
                  <c:v>12.7037</c:v>
                </c:pt>
                <c:pt idx="790">
                  <c:v>12.7037</c:v>
                </c:pt>
                <c:pt idx="791">
                  <c:v>12.77778</c:v>
                </c:pt>
                <c:pt idx="792">
                  <c:v>12.481479999999999</c:v>
                </c:pt>
                <c:pt idx="793">
                  <c:v>12.7037</c:v>
                </c:pt>
                <c:pt idx="794">
                  <c:v>13.16666</c:v>
                </c:pt>
                <c:pt idx="795">
                  <c:v>13.407400000000001</c:v>
                </c:pt>
                <c:pt idx="796">
                  <c:v>13.407400000000001</c:v>
                </c:pt>
                <c:pt idx="797">
                  <c:v>13.81481</c:v>
                </c:pt>
                <c:pt idx="798">
                  <c:v>13.759259999999999</c:v>
                </c:pt>
                <c:pt idx="799">
                  <c:v>12.88889</c:v>
                </c:pt>
                <c:pt idx="800">
                  <c:v>13.259259999999999</c:v>
                </c:pt>
                <c:pt idx="801">
                  <c:v>13.27777</c:v>
                </c:pt>
                <c:pt idx="802">
                  <c:v>13.648149999999999</c:v>
                </c:pt>
                <c:pt idx="803">
                  <c:v>13.7037</c:v>
                </c:pt>
                <c:pt idx="804">
                  <c:v>13.59259</c:v>
                </c:pt>
                <c:pt idx="805">
                  <c:v>13.11111</c:v>
                </c:pt>
                <c:pt idx="806">
                  <c:v>12.851850000000001</c:v>
                </c:pt>
                <c:pt idx="807">
                  <c:v>12.44444</c:v>
                </c:pt>
                <c:pt idx="808">
                  <c:v>11.61111</c:v>
                </c:pt>
                <c:pt idx="809">
                  <c:v>12.61111</c:v>
                </c:pt>
                <c:pt idx="810">
                  <c:v>12.61111</c:v>
                </c:pt>
                <c:pt idx="811">
                  <c:v>12.44444</c:v>
                </c:pt>
                <c:pt idx="812">
                  <c:v>12.38889</c:v>
                </c:pt>
                <c:pt idx="813">
                  <c:v>12.59259</c:v>
                </c:pt>
                <c:pt idx="814">
                  <c:v>12.740740000000001</c:v>
                </c:pt>
                <c:pt idx="815">
                  <c:v>12.55555</c:v>
                </c:pt>
                <c:pt idx="816">
                  <c:v>12.740740000000001</c:v>
                </c:pt>
                <c:pt idx="817">
                  <c:v>12.851850000000001</c:v>
                </c:pt>
                <c:pt idx="818">
                  <c:v>12.92592</c:v>
                </c:pt>
                <c:pt idx="819">
                  <c:v>13.22222</c:v>
                </c:pt>
                <c:pt idx="820">
                  <c:v>13.518520000000001</c:v>
                </c:pt>
                <c:pt idx="821">
                  <c:v>13.88889</c:v>
                </c:pt>
                <c:pt idx="822">
                  <c:v>14</c:v>
                </c:pt>
                <c:pt idx="823">
                  <c:v>13.629630000000001</c:v>
                </c:pt>
                <c:pt idx="824">
                  <c:v>13.42592</c:v>
                </c:pt>
                <c:pt idx="825">
                  <c:v>13.296290000000001</c:v>
                </c:pt>
                <c:pt idx="826">
                  <c:v>13.7037</c:v>
                </c:pt>
                <c:pt idx="827">
                  <c:v>13.518520000000001</c:v>
                </c:pt>
                <c:pt idx="828">
                  <c:v>13.481479999999999</c:v>
                </c:pt>
                <c:pt idx="829">
                  <c:v>13.851850000000001</c:v>
                </c:pt>
                <c:pt idx="830">
                  <c:v>13.851850000000001</c:v>
                </c:pt>
                <c:pt idx="831">
                  <c:v>13.907400000000001</c:v>
                </c:pt>
                <c:pt idx="832">
                  <c:v>14.129630000000001</c:v>
                </c:pt>
                <c:pt idx="833">
                  <c:v>14.370369999999999</c:v>
                </c:pt>
                <c:pt idx="834">
                  <c:v>14.259259999999999</c:v>
                </c:pt>
                <c:pt idx="835">
                  <c:v>14.2037</c:v>
                </c:pt>
                <c:pt idx="836">
                  <c:v>14.22222</c:v>
                </c:pt>
                <c:pt idx="837">
                  <c:v>14.259259999999999</c:v>
                </c:pt>
                <c:pt idx="838">
                  <c:v>14.22222</c:v>
                </c:pt>
                <c:pt idx="839">
                  <c:v>14.870369999999999</c:v>
                </c:pt>
                <c:pt idx="840">
                  <c:v>15.481479999999999</c:v>
                </c:pt>
                <c:pt idx="841">
                  <c:v>15.370369999999999</c:v>
                </c:pt>
                <c:pt idx="842">
                  <c:v>15.05555</c:v>
                </c:pt>
                <c:pt idx="843">
                  <c:v>14.981479999999999</c:v>
                </c:pt>
                <c:pt idx="844">
                  <c:v>14.981479999999999</c:v>
                </c:pt>
                <c:pt idx="845">
                  <c:v>14.55555</c:v>
                </c:pt>
                <c:pt idx="846">
                  <c:v>14.77777</c:v>
                </c:pt>
                <c:pt idx="847">
                  <c:v>14.629630000000001</c:v>
                </c:pt>
                <c:pt idx="848">
                  <c:v>14.740740000000001</c:v>
                </c:pt>
                <c:pt idx="849">
                  <c:v>14.83333</c:v>
                </c:pt>
                <c:pt idx="850">
                  <c:v>14.962960000000001</c:v>
                </c:pt>
                <c:pt idx="851">
                  <c:v>15.851850000000001</c:v>
                </c:pt>
                <c:pt idx="852">
                  <c:v>15.629630000000001</c:v>
                </c:pt>
                <c:pt idx="853">
                  <c:v>15.11111</c:v>
                </c:pt>
                <c:pt idx="854">
                  <c:v>15.370369999999999</c:v>
                </c:pt>
                <c:pt idx="855">
                  <c:v>14.55555</c:v>
                </c:pt>
                <c:pt idx="856">
                  <c:v>14.66667</c:v>
                </c:pt>
                <c:pt idx="857">
                  <c:v>15.33333</c:v>
                </c:pt>
                <c:pt idx="858">
                  <c:v>15.22222</c:v>
                </c:pt>
                <c:pt idx="859">
                  <c:v>15.38889</c:v>
                </c:pt>
                <c:pt idx="860">
                  <c:v>15.27778</c:v>
                </c:pt>
                <c:pt idx="861">
                  <c:v>14.88889</c:v>
                </c:pt>
                <c:pt idx="862">
                  <c:v>14.16667</c:v>
                </c:pt>
                <c:pt idx="863">
                  <c:v>14.38889</c:v>
                </c:pt>
                <c:pt idx="864">
                  <c:v>14.66667</c:v>
                </c:pt>
                <c:pt idx="865">
                  <c:v>14.61111</c:v>
                </c:pt>
                <c:pt idx="866">
                  <c:v>14.72222</c:v>
                </c:pt>
                <c:pt idx="867">
                  <c:v>14.61111</c:v>
                </c:pt>
                <c:pt idx="868">
                  <c:v>14.63889</c:v>
                </c:pt>
                <c:pt idx="869">
                  <c:v>14.63889</c:v>
                </c:pt>
                <c:pt idx="870">
                  <c:v>14.22222</c:v>
                </c:pt>
                <c:pt idx="871">
                  <c:v>14.22222</c:v>
                </c:pt>
                <c:pt idx="872">
                  <c:v>14.11111</c:v>
                </c:pt>
                <c:pt idx="873">
                  <c:v>14.30555</c:v>
                </c:pt>
                <c:pt idx="874">
                  <c:v>13.83333</c:v>
                </c:pt>
                <c:pt idx="875">
                  <c:v>13.72222</c:v>
                </c:pt>
                <c:pt idx="876">
                  <c:v>14.77778</c:v>
                </c:pt>
                <c:pt idx="877">
                  <c:v>13.88889</c:v>
                </c:pt>
                <c:pt idx="878">
                  <c:v>14.19444</c:v>
                </c:pt>
                <c:pt idx="879">
                  <c:v>13.75</c:v>
                </c:pt>
                <c:pt idx="880">
                  <c:v>13.72222</c:v>
                </c:pt>
                <c:pt idx="881">
                  <c:v>13.27778</c:v>
                </c:pt>
                <c:pt idx="882">
                  <c:v>13.16667</c:v>
                </c:pt>
                <c:pt idx="883">
                  <c:v>13.33333</c:v>
                </c:pt>
                <c:pt idx="884">
                  <c:v>13.66667</c:v>
                </c:pt>
                <c:pt idx="885">
                  <c:v>14.38889</c:v>
                </c:pt>
                <c:pt idx="886">
                  <c:v>13.77778</c:v>
                </c:pt>
                <c:pt idx="887">
                  <c:v>13.77778</c:v>
                </c:pt>
                <c:pt idx="888">
                  <c:v>13.77778</c:v>
                </c:pt>
                <c:pt idx="889">
                  <c:v>13.55555</c:v>
                </c:pt>
                <c:pt idx="890">
                  <c:v>14.13889</c:v>
                </c:pt>
                <c:pt idx="891">
                  <c:v>14.61111</c:v>
                </c:pt>
                <c:pt idx="892">
                  <c:v>14.44444</c:v>
                </c:pt>
                <c:pt idx="893">
                  <c:v>14.38889</c:v>
                </c:pt>
                <c:pt idx="894">
                  <c:v>14.83333</c:v>
                </c:pt>
                <c:pt idx="895">
                  <c:v>14.736000000000001</c:v>
                </c:pt>
                <c:pt idx="896">
                  <c:v>14.25</c:v>
                </c:pt>
                <c:pt idx="897">
                  <c:v>14.33333</c:v>
                </c:pt>
                <c:pt idx="898">
                  <c:v>14.44444</c:v>
                </c:pt>
                <c:pt idx="899">
                  <c:v>14.48611</c:v>
                </c:pt>
                <c:pt idx="900">
                  <c:v>14.69444</c:v>
                </c:pt>
                <c:pt idx="901">
                  <c:v>14.55555</c:v>
                </c:pt>
                <c:pt idx="902">
                  <c:v>15.05555</c:v>
                </c:pt>
                <c:pt idx="903">
                  <c:v>14.91667</c:v>
                </c:pt>
                <c:pt idx="904">
                  <c:v>15.27778</c:v>
                </c:pt>
                <c:pt idx="905">
                  <c:v>15.80555</c:v>
                </c:pt>
                <c:pt idx="906">
                  <c:v>16.08333</c:v>
                </c:pt>
                <c:pt idx="907">
                  <c:v>16</c:v>
                </c:pt>
                <c:pt idx="908">
                  <c:v>17.25</c:v>
                </c:pt>
                <c:pt idx="909">
                  <c:v>17.44444</c:v>
                </c:pt>
                <c:pt idx="910">
                  <c:v>17.19444</c:v>
                </c:pt>
                <c:pt idx="911">
                  <c:v>17.22221</c:v>
                </c:pt>
                <c:pt idx="912">
                  <c:v>17.5</c:v>
                </c:pt>
                <c:pt idx="913">
                  <c:v>17.77777</c:v>
                </c:pt>
                <c:pt idx="914">
                  <c:v>16.66667</c:v>
                </c:pt>
                <c:pt idx="915">
                  <c:v>16.66667</c:v>
                </c:pt>
                <c:pt idx="916">
                  <c:v>15.94444</c:v>
                </c:pt>
                <c:pt idx="917">
                  <c:v>16.22221</c:v>
                </c:pt>
                <c:pt idx="918">
                  <c:v>16.11111</c:v>
                </c:pt>
                <c:pt idx="919">
                  <c:v>16.38889</c:v>
                </c:pt>
                <c:pt idx="920">
                  <c:v>16.27777</c:v>
                </c:pt>
                <c:pt idx="921">
                  <c:v>16.25</c:v>
                </c:pt>
                <c:pt idx="922">
                  <c:v>15.94444</c:v>
                </c:pt>
                <c:pt idx="923">
                  <c:v>15.22222</c:v>
                </c:pt>
                <c:pt idx="924">
                  <c:v>15.38889</c:v>
                </c:pt>
                <c:pt idx="925">
                  <c:v>14.66667</c:v>
                </c:pt>
                <c:pt idx="926">
                  <c:v>15.27778</c:v>
                </c:pt>
                <c:pt idx="927">
                  <c:v>15.75</c:v>
                </c:pt>
                <c:pt idx="928">
                  <c:v>16.05556</c:v>
                </c:pt>
                <c:pt idx="929">
                  <c:v>16.02777</c:v>
                </c:pt>
                <c:pt idx="930">
                  <c:v>17</c:v>
                </c:pt>
                <c:pt idx="931">
                  <c:v>15.33333</c:v>
                </c:pt>
                <c:pt idx="932">
                  <c:v>15.55555</c:v>
                </c:pt>
                <c:pt idx="933">
                  <c:v>16.33333</c:v>
                </c:pt>
                <c:pt idx="934">
                  <c:v>18.52777</c:v>
                </c:pt>
                <c:pt idx="935">
                  <c:v>17.72221</c:v>
                </c:pt>
                <c:pt idx="936">
                  <c:v>17.88889</c:v>
                </c:pt>
                <c:pt idx="937">
                  <c:v>17.58333</c:v>
                </c:pt>
                <c:pt idx="938">
                  <c:v>17.61111</c:v>
                </c:pt>
                <c:pt idx="939">
                  <c:v>18.44444</c:v>
                </c:pt>
                <c:pt idx="940">
                  <c:v>17</c:v>
                </c:pt>
                <c:pt idx="941">
                  <c:v>14.86111</c:v>
                </c:pt>
                <c:pt idx="942">
                  <c:v>15.52778</c:v>
                </c:pt>
                <c:pt idx="943">
                  <c:v>13.5</c:v>
                </c:pt>
                <c:pt idx="944">
                  <c:v>14.80555</c:v>
                </c:pt>
                <c:pt idx="945">
                  <c:v>15.5</c:v>
                </c:pt>
                <c:pt idx="946">
                  <c:v>15.30555</c:v>
                </c:pt>
                <c:pt idx="947">
                  <c:v>16.02777</c:v>
                </c:pt>
                <c:pt idx="948">
                  <c:v>17.44444</c:v>
                </c:pt>
                <c:pt idx="949">
                  <c:v>16.72221</c:v>
                </c:pt>
                <c:pt idx="950">
                  <c:v>16.11111</c:v>
                </c:pt>
                <c:pt idx="951">
                  <c:v>16.11111</c:v>
                </c:pt>
                <c:pt idx="952">
                  <c:v>16.52777</c:v>
                </c:pt>
                <c:pt idx="953">
                  <c:v>16.88889</c:v>
                </c:pt>
                <c:pt idx="954">
                  <c:v>16.33333</c:v>
                </c:pt>
                <c:pt idx="955">
                  <c:v>12.91667</c:v>
                </c:pt>
                <c:pt idx="956">
                  <c:v>13.22222</c:v>
                </c:pt>
                <c:pt idx="957">
                  <c:v>13.5</c:v>
                </c:pt>
                <c:pt idx="958">
                  <c:v>14.22222</c:v>
                </c:pt>
                <c:pt idx="959">
                  <c:v>15.11111</c:v>
                </c:pt>
                <c:pt idx="960">
                  <c:v>13.61111</c:v>
                </c:pt>
                <c:pt idx="961">
                  <c:v>14.33333</c:v>
                </c:pt>
                <c:pt idx="962">
                  <c:v>13.83333</c:v>
                </c:pt>
                <c:pt idx="963">
                  <c:v>12.25</c:v>
                </c:pt>
                <c:pt idx="964">
                  <c:v>12.38889</c:v>
                </c:pt>
                <c:pt idx="965">
                  <c:v>11.22222</c:v>
                </c:pt>
                <c:pt idx="966">
                  <c:v>10.66667</c:v>
                </c:pt>
                <c:pt idx="967">
                  <c:v>9.2777799999999999</c:v>
                </c:pt>
                <c:pt idx="968">
                  <c:v>10.16667</c:v>
                </c:pt>
                <c:pt idx="969">
                  <c:v>10.44444</c:v>
                </c:pt>
                <c:pt idx="970">
                  <c:v>10.33333</c:v>
                </c:pt>
                <c:pt idx="971">
                  <c:v>10.63889</c:v>
                </c:pt>
                <c:pt idx="972">
                  <c:v>11.11111</c:v>
                </c:pt>
                <c:pt idx="973">
                  <c:v>10.83333</c:v>
                </c:pt>
                <c:pt idx="974">
                  <c:v>10.83333</c:v>
                </c:pt>
                <c:pt idx="975">
                  <c:v>10.94444</c:v>
                </c:pt>
                <c:pt idx="976">
                  <c:v>11.33333</c:v>
                </c:pt>
                <c:pt idx="977">
                  <c:v>12.38889</c:v>
                </c:pt>
                <c:pt idx="978">
                  <c:v>12.44444</c:v>
                </c:pt>
                <c:pt idx="979">
                  <c:v>13.30555</c:v>
                </c:pt>
                <c:pt idx="980">
                  <c:v>14.22222</c:v>
                </c:pt>
                <c:pt idx="981">
                  <c:v>14.22222</c:v>
                </c:pt>
                <c:pt idx="982">
                  <c:v>13.88889</c:v>
                </c:pt>
                <c:pt idx="983">
                  <c:v>13.22222</c:v>
                </c:pt>
                <c:pt idx="984">
                  <c:v>12.61111</c:v>
                </c:pt>
                <c:pt idx="985">
                  <c:v>13.27778</c:v>
                </c:pt>
                <c:pt idx="986">
                  <c:v>14.27778</c:v>
                </c:pt>
                <c:pt idx="987">
                  <c:v>14.11111</c:v>
                </c:pt>
                <c:pt idx="988">
                  <c:v>13.66667</c:v>
                </c:pt>
                <c:pt idx="989">
                  <c:v>14.19444</c:v>
                </c:pt>
                <c:pt idx="990">
                  <c:v>15.11111</c:v>
                </c:pt>
                <c:pt idx="991">
                  <c:v>14.83333</c:v>
                </c:pt>
                <c:pt idx="992">
                  <c:v>15.16667</c:v>
                </c:pt>
                <c:pt idx="993">
                  <c:v>14.91667</c:v>
                </c:pt>
                <c:pt idx="994">
                  <c:v>15</c:v>
                </c:pt>
                <c:pt idx="995">
                  <c:v>14.86111</c:v>
                </c:pt>
                <c:pt idx="996">
                  <c:v>14.83333</c:v>
                </c:pt>
                <c:pt idx="997">
                  <c:v>14.88889</c:v>
                </c:pt>
                <c:pt idx="998">
                  <c:v>13.80555</c:v>
                </c:pt>
                <c:pt idx="999">
                  <c:v>13.47222</c:v>
                </c:pt>
                <c:pt idx="1000">
                  <c:v>13.97222</c:v>
                </c:pt>
                <c:pt idx="1001">
                  <c:v>14.27778</c:v>
                </c:pt>
                <c:pt idx="1002">
                  <c:v>14.33333</c:v>
                </c:pt>
                <c:pt idx="1003">
                  <c:v>14.88889</c:v>
                </c:pt>
                <c:pt idx="1004">
                  <c:v>14.66667</c:v>
                </c:pt>
                <c:pt idx="1005">
                  <c:v>14.27778</c:v>
                </c:pt>
                <c:pt idx="1006">
                  <c:v>14.33333</c:v>
                </c:pt>
                <c:pt idx="1007">
                  <c:v>14.11111</c:v>
                </c:pt>
                <c:pt idx="1008">
                  <c:v>13.19444</c:v>
                </c:pt>
                <c:pt idx="1009">
                  <c:v>12.5</c:v>
                </c:pt>
                <c:pt idx="1010">
                  <c:v>12.94444</c:v>
                </c:pt>
                <c:pt idx="1011">
                  <c:v>13.05555</c:v>
                </c:pt>
                <c:pt idx="1012">
                  <c:v>13.66667</c:v>
                </c:pt>
                <c:pt idx="1013">
                  <c:v>14.5</c:v>
                </c:pt>
                <c:pt idx="1014">
                  <c:v>14.44444</c:v>
                </c:pt>
                <c:pt idx="1015">
                  <c:v>14.33333</c:v>
                </c:pt>
                <c:pt idx="1016">
                  <c:v>13.05555</c:v>
                </c:pt>
                <c:pt idx="1017">
                  <c:v>13</c:v>
                </c:pt>
                <c:pt idx="1018">
                  <c:v>13.27778</c:v>
                </c:pt>
                <c:pt idx="1019">
                  <c:v>11.16667</c:v>
                </c:pt>
                <c:pt idx="1020">
                  <c:v>11.38889</c:v>
                </c:pt>
                <c:pt idx="1021">
                  <c:v>10.22222</c:v>
                </c:pt>
                <c:pt idx="1022">
                  <c:v>10.41667</c:v>
                </c:pt>
                <c:pt idx="1023">
                  <c:v>11.27778</c:v>
                </c:pt>
                <c:pt idx="1024">
                  <c:v>10.88889</c:v>
                </c:pt>
                <c:pt idx="1025">
                  <c:v>11.38889</c:v>
                </c:pt>
                <c:pt idx="1026">
                  <c:v>12.88889</c:v>
                </c:pt>
                <c:pt idx="1027">
                  <c:v>13.44444</c:v>
                </c:pt>
                <c:pt idx="1028">
                  <c:v>15.05555</c:v>
                </c:pt>
                <c:pt idx="1029">
                  <c:v>14.97222</c:v>
                </c:pt>
                <c:pt idx="1030">
                  <c:v>14.75</c:v>
                </c:pt>
                <c:pt idx="1031">
                  <c:v>13.77778</c:v>
                </c:pt>
                <c:pt idx="1032">
                  <c:v>13.77778</c:v>
                </c:pt>
                <c:pt idx="1033">
                  <c:v>14.05555</c:v>
                </c:pt>
                <c:pt idx="1034">
                  <c:v>13.61111</c:v>
                </c:pt>
                <c:pt idx="1035">
                  <c:v>13.27778</c:v>
                </c:pt>
                <c:pt idx="1036">
                  <c:v>12.94444</c:v>
                </c:pt>
                <c:pt idx="1037">
                  <c:v>13.11111</c:v>
                </c:pt>
                <c:pt idx="1038">
                  <c:v>13.38889</c:v>
                </c:pt>
                <c:pt idx="1039">
                  <c:v>13.19444</c:v>
                </c:pt>
                <c:pt idx="1040">
                  <c:v>13.77778</c:v>
                </c:pt>
                <c:pt idx="1041">
                  <c:v>13.77778</c:v>
                </c:pt>
                <c:pt idx="1042">
                  <c:v>13.05555</c:v>
                </c:pt>
                <c:pt idx="1043">
                  <c:v>12.77778</c:v>
                </c:pt>
                <c:pt idx="1044">
                  <c:v>12.47222</c:v>
                </c:pt>
                <c:pt idx="1045">
                  <c:v>12.19444</c:v>
                </c:pt>
                <c:pt idx="1046">
                  <c:v>12.25</c:v>
                </c:pt>
                <c:pt idx="1047">
                  <c:v>12.16667</c:v>
                </c:pt>
                <c:pt idx="1048">
                  <c:v>12</c:v>
                </c:pt>
                <c:pt idx="1049">
                  <c:v>11.11111</c:v>
                </c:pt>
                <c:pt idx="1050">
                  <c:v>11.88889</c:v>
                </c:pt>
                <c:pt idx="1051">
                  <c:v>11.41667</c:v>
                </c:pt>
                <c:pt idx="1052">
                  <c:v>11.05556</c:v>
                </c:pt>
                <c:pt idx="1053">
                  <c:v>11.27778</c:v>
                </c:pt>
                <c:pt idx="1054">
                  <c:v>11</c:v>
                </c:pt>
                <c:pt idx="1055">
                  <c:v>11.05556</c:v>
                </c:pt>
                <c:pt idx="1056">
                  <c:v>12.5</c:v>
                </c:pt>
                <c:pt idx="1057">
                  <c:v>12.08333</c:v>
                </c:pt>
                <c:pt idx="1058">
                  <c:v>11.69444</c:v>
                </c:pt>
                <c:pt idx="1059">
                  <c:v>11.94444</c:v>
                </c:pt>
                <c:pt idx="1060">
                  <c:v>12.16667</c:v>
                </c:pt>
                <c:pt idx="1061">
                  <c:v>12.63889</c:v>
                </c:pt>
                <c:pt idx="1062">
                  <c:v>13.22222</c:v>
                </c:pt>
                <c:pt idx="1063">
                  <c:v>13.33333</c:v>
                </c:pt>
                <c:pt idx="1064">
                  <c:v>13.44444</c:v>
                </c:pt>
                <c:pt idx="1065">
                  <c:v>13.27778</c:v>
                </c:pt>
                <c:pt idx="1066">
                  <c:v>13.36111</c:v>
                </c:pt>
                <c:pt idx="1067">
                  <c:v>13.33333</c:v>
                </c:pt>
                <c:pt idx="1068">
                  <c:v>13.30555</c:v>
                </c:pt>
                <c:pt idx="1069">
                  <c:v>13.33333</c:v>
                </c:pt>
                <c:pt idx="1070">
                  <c:v>13.52778</c:v>
                </c:pt>
                <c:pt idx="1071">
                  <c:v>13.61111</c:v>
                </c:pt>
                <c:pt idx="1072">
                  <c:v>13.83333</c:v>
                </c:pt>
                <c:pt idx="1073">
                  <c:v>13.58333</c:v>
                </c:pt>
                <c:pt idx="1074">
                  <c:v>13.94444</c:v>
                </c:pt>
                <c:pt idx="1075">
                  <c:v>13.47222</c:v>
                </c:pt>
                <c:pt idx="1076">
                  <c:v>14.33333</c:v>
                </c:pt>
                <c:pt idx="1077">
                  <c:v>15.22222</c:v>
                </c:pt>
                <c:pt idx="1078">
                  <c:v>14.69444</c:v>
                </c:pt>
                <c:pt idx="1079">
                  <c:v>14.02778</c:v>
                </c:pt>
                <c:pt idx="1080">
                  <c:v>13.33333</c:v>
                </c:pt>
                <c:pt idx="1081">
                  <c:v>12.88889</c:v>
                </c:pt>
                <c:pt idx="1082">
                  <c:v>12.16667</c:v>
                </c:pt>
                <c:pt idx="1083">
                  <c:v>11.91667</c:v>
                </c:pt>
                <c:pt idx="1084">
                  <c:v>12.75</c:v>
                </c:pt>
                <c:pt idx="1085">
                  <c:v>13.27778</c:v>
                </c:pt>
                <c:pt idx="1086">
                  <c:v>12.94444</c:v>
                </c:pt>
                <c:pt idx="1087">
                  <c:v>13.19444</c:v>
                </c:pt>
                <c:pt idx="1088">
                  <c:v>13.22222</c:v>
                </c:pt>
                <c:pt idx="1089">
                  <c:v>13.27778</c:v>
                </c:pt>
                <c:pt idx="1090">
                  <c:v>12.80555</c:v>
                </c:pt>
                <c:pt idx="1091">
                  <c:v>12.91667</c:v>
                </c:pt>
                <c:pt idx="1092">
                  <c:v>12.25</c:v>
                </c:pt>
                <c:pt idx="1093">
                  <c:v>11.63889</c:v>
                </c:pt>
                <c:pt idx="1094">
                  <c:v>10.77778</c:v>
                </c:pt>
                <c:pt idx="1095">
                  <c:v>11.16667</c:v>
                </c:pt>
                <c:pt idx="1096">
                  <c:v>10.75</c:v>
                </c:pt>
                <c:pt idx="1097">
                  <c:v>10.22222</c:v>
                </c:pt>
                <c:pt idx="1098">
                  <c:v>10.61111</c:v>
                </c:pt>
                <c:pt idx="1099">
                  <c:v>10.41667</c:v>
                </c:pt>
                <c:pt idx="1100">
                  <c:v>10.33333</c:v>
                </c:pt>
                <c:pt idx="1101">
                  <c:v>10.22222</c:v>
                </c:pt>
                <c:pt idx="1102">
                  <c:v>10.22222</c:v>
                </c:pt>
                <c:pt idx="1103">
                  <c:v>10.94444</c:v>
                </c:pt>
                <c:pt idx="1104">
                  <c:v>11.44444</c:v>
                </c:pt>
                <c:pt idx="1105">
                  <c:v>11.55556</c:v>
                </c:pt>
                <c:pt idx="1106">
                  <c:v>11</c:v>
                </c:pt>
                <c:pt idx="1107">
                  <c:v>11.22222</c:v>
                </c:pt>
                <c:pt idx="1108">
                  <c:v>10.97222</c:v>
                </c:pt>
                <c:pt idx="1109">
                  <c:v>10.5</c:v>
                </c:pt>
                <c:pt idx="1110">
                  <c:v>11</c:v>
                </c:pt>
                <c:pt idx="1111">
                  <c:v>10.63889</c:v>
                </c:pt>
                <c:pt idx="1112">
                  <c:v>10</c:v>
                </c:pt>
                <c:pt idx="1113">
                  <c:v>10.66667</c:v>
                </c:pt>
                <c:pt idx="1114">
                  <c:v>10.41667</c:v>
                </c:pt>
                <c:pt idx="1115">
                  <c:v>9.9444400000000002</c:v>
                </c:pt>
                <c:pt idx="1116">
                  <c:v>10.36111</c:v>
                </c:pt>
                <c:pt idx="1117">
                  <c:v>10.88889</c:v>
                </c:pt>
                <c:pt idx="1118">
                  <c:v>11.44444</c:v>
                </c:pt>
                <c:pt idx="1119">
                  <c:v>11.27778</c:v>
                </c:pt>
                <c:pt idx="1120">
                  <c:v>10.88889</c:v>
                </c:pt>
                <c:pt idx="1121">
                  <c:v>11.52778</c:v>
                </c:pt>
                <c:pt idx="1122">
                  <c:v>11.72222</c:v>
                </c:pt>
                <c:pt idx="1123">
                  <c:v>12.91667</c:v>
                </c:pt>
                <c:pt idx="1124">
                  <c:v>13.22222</c:v>
                </c:pt>
                <c:pt idx="1125">
                  <c:v>13.33333</c:v>
                </c:pt>
                <c:pt idx="1126">
                  <c:v>12.66667</c:v>
                </c:pt>
                <c:pt idx="1127">
                  <c:v>12.27778</c:v>
                </c:pt>
                <c:pt idx="1128">
                  <c:v>12.27778</c:v>
                </c:pt>
                <c:pt idx="1129">
                  <c:v>12.55555</c:v>
                </c:pt>
                <c:pt idx="1130">
                  <c:v>12.41667</c:v>
                </c:pt>
                <c:pt idx="1131">
                  <c:v>11.80555</c:v>
                </c:pt>
                <c:pt idx="1132">
                  <c:v>12.83333</c:v>
                </c:pt>
                <c:pt idx="1133">
                  <c:v>12.88889</c:v>
                </c:pt>
                <c:pt idx="1134">
                  <c:v>12.97222</c:v>
                </c:pt>
                <c:pt idx="1135">
                  <c:v>13.75</c:v>
                </c:pt>
                <c:pt idx="1136">
                  <c:v>13.16667</c:v>
                </c:pt>
                <c:pt idx="1137">
                  <c:v>12.88889</c:v>
                </c:pt>
                <c:pt idx="1138">
                  <c:v>13.30555</c:v>
                </c:pt>
                <c:pt idx="1139">
                  <c:v>12.80555</c:v>
                </c:pt>
                <c:pt idx="1140">
                  <c:v>13</c:v>
                </c:pt>
                <c:pt idx="1141">
                  <c:v>12.47222</c:v>
                </c:pt>
                <c:pt idx="1142">
                  <c:v>12.05555</c:v>
                </c:pt>
                <c:pt idx="1143">
                  <c:v>12.61111</c:v>
                </c:pt>
                <c:pt idx="1144">
                  <c:v>12.16667</c:v>
                </c:pt>
                <c:pt idx="1145">
                  <c:v>12.58333</c:v>
                </c:pt>
                <c:pt idx="1146">
                  <c:v>11.61111</c:v>
                </c:pt>
                <c:pt idx="1147">
                  <c:v>10.55556</c:v>
                </c:pt>
                <c:pt idx="1148">
                  <c:v>10.75</c:v>
                </c:pt>
                <c:pt idx="1149">
                  <c:v>11.16667</c:v>
                </c:pt>
                <c:pt idx="1150">
                  <c:v>11.25</c:v>
                </c:pt>
                <c:pt idx="1151">
                  <c:v>11.22222</c:v>
                </c:pt>
                <c:pt idx="1152">
                  <c:v>11.80555</c:v>
                </c:pt>
                <c:pt idx="1153">
                  <c:v>11.55556</c:v>
                </c:pt>
                <c:pt idx="1154">
                  <c:v>11.25</c:v>
                </c:pt>
                <c:pt idx="1155">
                  <c:v>11.16667</c:v>
                </c:pt>
                <c:pt idx="1156">
                  <c:v>10.75</c:v>
                </c:pt>
                <c:pt idx="1157">
                  <c:v>11.19444</c:v>
                </c:pt>
                <c:pt idx="1158">
                  <c:v>11.27778</c:v>
                </c:pt>
                <c:pt idx="1159">
                  <c:v>11.08333</c:v>
                </c:pt>
                <c:pt idx="1160">
                  <c:v>11.13889</c:v>
                </c:pt>
                <c:pt idx="1161">
                  <c:v>11.13889</c:v>
                </c:pt>
                <c:pt idx="1162">
                  <c:v>11.11111</c:v>
                </c:pt>
                <c:pt idx="1163">
                  <c:v>10.75</c:v>
                </c:pt>
                <c:pt idx="1164">
                  <c:v>10.63889</c:v>
                </c:pt>
                <c:pt idx="1165">
                  <c:v>10.94444</c:v>
                </c:pt>
                <c:pt idx="1166">
                  <c:v>10.86111</c:v>
                </c:pt>
                <c:pt idx="1167">
                  <c:v>10.91667</c:v>
                </c:pt>
                <c:pt idx="1168">
                  <c:v>10.72222</c:v>
                </c:pt>
                <c:pt idx="1169">
                  <c:v>10.61111</c:v>
                </c:pt>
                <c:pt idx="1170">
                  <c:v>11.13889</c:v>
                </c:pt>
                <c:pt idx="1171">
                  <c:v>10.88889</c:v>
                </c:pt>
                <c:pt idx="1172">
                  <c:v>10.86111</c:v>
                </c:pt>
                <c:pt idx="1173">
                  <c:v>11.44444</c:v>
                </c:pt>
                <c:pt idx="1174">
                  <c:v>11.55556</c:v>
                </c:pt>
                <c:pt idx="1175">
                  <c:v>11.44444</c:v>
                </c:pt>
                <c:pt idx="1176">
                  <c:v>11.19444</c:v>
                </c:pt>
                <c:pt idx="1177">
                  <c:v>11.22222</c:v>
                </c:pt>
                <c:pt idx="1178">
                  <c:v>10.63889</c:v>
                </c:pt>
                <c:pt idx="1179">
                  <c:v>10.66667</c:v>
                </c:pt>
                <c:pt idx="1180">
                  <c:v>10.44444</c:v>
                </c:pt>
                <c:pt idx="1181">
                  <c:v>10.69444</c:v>
                </c:pt>
                <c:pt idx="1182">
                  <c:v>10.52778</c:v>
                </c:pt>
                <c:pt idx="1183">
                  <c:v>10.77778</c:v>
                </c:pt>
                <c:pt idx="1184">
                  <c:v>10.69444</c:v>
                </c:pt>
                <c:pt idx="1185">
                  <c:v>10.5625</c:v>
                </c:pt>
                <c:pt idx="1186">
                  <c:v>10.66667</c:v>
                </c:pt>
                <c:pt idx="1187">
                  <c:v>10.72222</c:v>
                </c:pt>
                <c:pt idx="1188">
                  <c:v>10.83333</c:v>
                </c:pt>
                <c:pt idx="1189">
                  <c:v>10.97222</c:v>
                </c:pt>
                <c:pt idx="1190">
                  <c:v>11</c:v>
                </c:pt>
                <c:pt idx="1191">
                  <c:v>10.94444</c:v>
                </c:pt>
                <c:pt idx="1192">
                  <c:v>10.77778</c:v>
                </c:pt>
                <c:pt idx="1193">
                  <c:v>10.36111</c:v>
                </c:pt>
                <c:pt idx="1194">
                  <c:v>9.9444400000000002</c:v>
                </c:pt>
                <c:pt idx="1195">
                  <c:v>9.75</c:v>
                </c:pt>
                <c:pt idx="1196">
                  <c:v>9.8055599999999998</c:v>
                </c:pt>
                <c:pt idx="1197">
                  <c:v>9.5833300000000001</c:v>
                </c:pt>
                <c:pt idx="1198">
                  <c:v>9.8055599999999998</c:v>
                </c:pt>
                <c:pt idx="1199">
                  <c:v>10.20833</c:v>
                </c:pt>
                <c:pt idx="1200">
                  <c:v>9.88889</c:v>
                </c:pt>
                <c:pt idx="1201">
                  <c:v>9.9722200000000001</c:v>
                </c:pt>
                <c:pt idx="1202">
                  <c:v>9.7777799999999999</c:v>
                </c:pt>
                <c:pt idx="1203">
                  <c:v>9.7222200000000001</c:v>
                </c:pt>
                <c:pt idx="1204">
                  <c:v>10.02778</c:v>
                </c:pt>
                <c:pt idx="1205">
                  <c:v>9.7222200000000001</c:v>
                </c:pt>
                <c:pt idx="1206">
                  <c:v>9.4722200000000001</c:v>
                </c:pt>
                <c:pt idx="1207">
                  <c:v>9.8333300000000001</c:v>
                </c:pt>
                <c:pt idx="1208">
                  <c:v>9.88889</c:v>
                </c:pt>
                <c:pt idx="1209">
                  <c:v>9.63889</c:v>
                </c:pt>
                <c:pt idx="1210">
                  <c:v>9.4444400000000002</c:v>
                </c:pt>
                <c:pt idx="1211">
                  <c:v>8.6666699999999999</c:v>
                </c:pt>
                <c:pt idx="1212">
                  <c:v>9.0833300000000001</c:v>
                </c:pt>
                <c:pt idx="1213">
                  <c:v>9.1944400000000002</c:v>
                </c:pt>
                <c:pt idx="1214">
                  <c:v>9.2222200000000001</c:v>
                </c:pt>
                <c:pt idx="1215">
                  <c:v>9.3333300000000001</c:v>
                </c:pt>
                <c:pt idx="1216">
                  <c:v>9.38889</c:v>
                </c:pt>
                <c:pt idx="1217">
                  <c:v>9.4722200000000001</c:v>
                </c:pt>
                <c:pt idx="1218">
                  <c:v>9.38889</c:v>
                </c:pt>
                <c:pt idx="1219">
                  <c:v>9.4722200000000001</c:v>
                </c:pt>
                <c:pt idx="1220">
                  <c:v>9.1666699999999999</c:v>
                </c:pt>
                <c:pt idx="1221">
                  <c:v>9.2222200000000001</c:v>
                </c:pt>
                <c:pt idx="1222">
                  <c:v>8.7777799999999999</c:v>
                </c:pt>
                <c:pt idx="1223">
                  <c:v>8.36111</c:v>
                </c:pt>
                <c:pt idx="1224">
                  <c:v>8.4444400000000002</c:v>
                </c:pt>
                <c:pt idx="1225">
                  <c:v>8.5555599999999998</c:v>
                </c:pt>
                <c:pt idx="1226">
                  <c:v>9.2222200000000001</c:v>
                </c:pt>
                <c:pt idx="1227">
                  <c:v>10.25</c:v>
                </c:pt>
                <c:pt idx="1228">
                  <c:v>10.41667</c:v>
                </c:pt>
                <c:pt idx="1229">
                  <c:v>10.66667</c:v>
                </c:pt>
                <c:pt idx="1230">
                  <c:v>11.16667</c:v>
                </c:pt>
                <c:pt idx="1231">
                  <c:v>11.19444</c:v>
                </c:pt>
                <c:pt idx="1232">
                  <c:v>10.72222</c:v>
                </c:pt>
                <c:pt idx="1233">
                  <c:v>10.55556</c:v>
                </c:pt>
                <c:pt idx="1234">
                  <c:v>10.30556</c:v>
                </c:pt>
                <c:pt idx="1235">
                  <c:v>10.30556</c:v>
                </c:pt>
                <c:pt idx="1236">
                  <c:v>10.72222</c:v>
                </c:pt>
                <c:pt idx="1237">
                  <c:v>11.69444</c:v>
                </c:pt>
                <c:pt idx="1238">
                  <c:v>11.22222</c:v>
                </c:pt>
                <c:pt idx="1239">
                  <c:v>10.16667</c:v>
                </c:pt>
                <c:pt idx="1240">
                  <c:v>10.66667</c:v>
                </c:pt>
                <c:pt idx="1241">
                  <c:v>10.75</c:v>
                </c:pt>
                <c:pt idx="1242">
                  <c:v>11</c:v>
                </c:pt>
                <c:pt idx="1243">
                  <c:v>11.5</c:v>
                </c:pt>
                <c:pt idx="1244">
                  <c:v>11.36111</c:v>
                </c:pt>
                <c:pt idx="1245">
                  <c:v>10.80556</c:v>
                </c:pt>
                <c:pt idx="1246">
                  <c:v>10.63889</c:v>
                </c:pt>
                <c:pt idx="1247">
                  <c:v>10.72222</c:v>
                </c:pt>
                <c:pt idx="1248">
                  <c:v>10.47222</c:v>
                </c:pt>
                <c:pt idx="1249">
                  <c:v>10.05556</c:v>
                </c:pt>
                <c:pt idx="1250">
                  <c:v>10.52778</c:v>
                </c:pt>
                <c:pt idx="1251">
                  <c:v>11.13889</c:v>
                </c:pt>
                <c:pt idx="1252">
                  <c:v>11.13889</c:v>
                </c:pt>
                <c:pt idx="1253">
                  <c:v>10.80556</c:v>
                </c:pt>
                <c:pt idx="1254">
                  <c:v>10.33333</c:v>
                </c:pt>
                <c:pt idx="1255">
                  <c:v>10.66667</c:v>
                </c:pt>
                <c:pt idx="1256">
                  <c:v>11.83333</c:v>
                </c:pt>
                <c:pt idx="1257">
                  <c:v>12.19444</c:v>
                </c:pt>
                <c:pt idx="1258">
                  <c:v>11.94444</c:v>
                </c:pt>
                <c:pt idx="1259">
                  <c:v>12.11111</c:v>
                </c:pt>
                <c:pt idx="1260">
                  <c:v>12.69444</c:v>
                </c:pt>
                <c:pt idx="1261">
                  <c:v>12.58333</c:v>
                </c:pt>
                <c:pt idx="1262">
                  <c:v>12.44444</c:v>
                </c:pt>
                <c:pt idx="1263">
                  <c:v>12.13889</c:v>
                </c:pt>
                <c:pt idx="1264">
                  <c:v>11.80555</c:v>
                </c:pt>
                <c:pt idx="1265">
                  <c:v>11.55556</c:v>
                </c:pt>
                <c:pt idx="1266">
                  <c:v>11.47222</c:v>
                </c:pt>
                <c:pt idx="1267">
                  <c:v>11.61111</c:v>
                </c:pt>
                <c:pt idx="1268">
                  <c:v>11.36111</c:v>
                </c:pt>
                <c:pt idx="1269">
                  <c:v>11.27778</c:v>
                </c:pt>
                <c:pt idx="1270">
                  <c:v>11.27778</c:v>
                </c:pt>
                <c:pt idx="1271">
                  <c:v>9.1666699999999999</c:v>
                </c:pt>
                <c:pt idx="1272">
                  <c:v>9.3333300000000001</c:v>
                </c:pt>
                <c:pt idx="1273">
                  <c:v>9.7222200000000001</c:v>
                </c:pt>
                <c:pt idx="1274">
                  <c:v>9.25</c:v>
                </c:pt>
                <c:pt idx="1275">
                  <c:v>9.3333300000000001</c:v>
                </c:pt>
                <c:pt idx="1276">
                  <c:v>9.25</c:v>
                </c:pt>
                <c:pt idx="1277">
                  <c:v>9.3055599999999998</c:v>
                </c:pt>
                <c:pt idx="1278">
                  <c:v>9.0555599999999998</c:v>
                </c:pt>
                <c:pt idx="1279">
                  <c:v>8.9444400000000002</c:v>
                </c:pt>
                <c:pt idx="1280">
                  <c:v>8.9166699999999999</c:v>
                </c:pt>
                <c:pt idx="1281">
                  <c:v>8.9166699999999999</c:v>
                </c:pt>
                <c:pt idx="1282">
                  <c:v>8.4722200000000001</c:v>
                </c:pt>
                <c:pt idx="1283">
                  <c:v>8.9166699999999999</c:v>
                </c:pt>
                <c:pt idx="1284">
                  <c:v>9.0833300000000001</c:v>
                </c:pt>
                <c:pt idx="1285">
                  <c:v>8.88889</c:v>
                </c:pt>
                <c:pt idx="1286">
                  <c:v>9.0833300000000001</c:v>
                </c:pt>
                <c:pt idx="1287">
                  <c:v>8.4444400000000002</c:v>
                </c:pt>
                <c:pt idx="1288">
                  <c:v>8.38889</c:v>
                </c:pt>
                <c:pt idx="1289">
                  <c:v>8.9722200000000001</c:v>
                </c:pt>
                <c:pt idx="1290">
                  <c:v>9.0833300000000001</c:v>
                </c:pt>
                <c:pt idx="1291">
                  <c:v>9.9444400000000002</c:v>
                </c:pt>
                <c:pt idx="1292">
                  <c:v>11.33333</c:v>
                </c:pt>
                <c:pt idx="1293">
                  <c:v>10.61111</c:v>
                </c:pt>
                <c:pt idx="1294">
                  <c:v>10.33333</c:v>
                </c:pt>
                <c:pt idx="1295">
                  <c:v>9.7777799999999999</c:v>
                </c:pt>
                <c:pt idx="1296">
                  <c:v>9.0277799999999999</c:v>
                </c:pt>
                <c:pt idx="1297">
                  <c:v>9.625</c:v>
                </c:pt>
                <c:pt idx="1298">
                  <c:v>9.5277799999999999</c:v>
                </c:pt>
                <c:pt idx="1299">
                  <c:v>9.4722200000000001</c:v>
                </c:pt>
                <c:pt idx="1300">
                  <c:v>9.61111</c:v>
                </c:pt>
                <c:pt idx="1301">
                  <c:v>10.75</c:v>
                </c:pt>
                <c:pt idx="1302">
                  <c:v>10.55556</c:v>
                </c:pt>
                <c:pt idx="1303">
                  <c:v>10.61111</c:v>
                </c:pt>
                <c:pt idx="1304">
                  <c:v>10.77778</c:v>
                </c:pt>
                <c:pt idx="1305">
                  <c:v>11.11111</c:v>
                </c:pt>
                <c:pt idx="1306">
                  <c:v>10.66667</c:v>
                </c:pt>
                <c:pt idx="1307">
                  <c:v>10.19444</c:v>
                </c:pt>
                <c:pt idx="1308">
                  <c:v>10.59722</c:v>
                </c:pt>
                <c:pt idx="1309">
                  <c:v>10.11111</c:v>
                </c:pt>
                <c:pt idx="1310">
                  <c:v>10.34722</c:v>
                </c:pt>
                <c:pt idx="1311">
                  <c:v>10.69444</c:v>
                </c:pt>
                <c:pt idx="1312">
                  <c:v>10.36111</c:v>
                </c:pt>
                <c:pt idx="1313">
                  <c:v>10.72222</c:v>
                </c:pt>
                <c:pt idx="1314">
                  <c:v>10.55556</c:v>
                </c:pt>
                <c:pt idx="1315">
                  <c:v>9.9444400000000002</c:v>
                </c:pt>
                <c:pt idx="1316">
                  <c:v>10</c:v>
                </c:pt>
                <c:pt idx="1317">
                  <c:v>10.55556</c:v>
                </c:pt>
                <c:pt idx="1318">
                  <c:v>9.8333300000000001</c:v>
                </c:pt>
                <c:pt idx="1319">
                  <c:v>10.16667</c:v>
                </c:pt>
                <c:pt idx="1320">
                  <c:v>10.13889</c:v>
                </c:pt>
                <c:pt idx="1321">
                  <c:v>10.11111</c:v>
                </c:pt>
                <c:pt idx="1322">
                  <c:v>10.41667</c:v>
                </c:pt>
                <c:pt idx="1323">
                  <c:v>10.52778</c:v>
                </c:pt>
                <c:pt idx="1324">
                  <c:v>10.41667</c:v>
                </c:pt>
                <c:pt idx="1325">
                  <c:v>9.9166699999999999</c:v>
                </c:pt>
                <c:pt idx="1326">
                  <c:v>9.5</c:v>
                </c:pt>
                <c:pt idx="1327">
                  <c:v>9.7222200000000001</c:v>
                </c:pt>
                <c:pt idx="1328">
                  <c:v>9.9166699999999999</c:v>
                </c:pt>
                <c:pt idx="1329">
                  <c:v>9</c:v>
                </c:pt>
                <c:pt idx="1330">
                  <c:v>8.8333300000000001</c:v>
                </c:pt>
                <c:pt idx="1331">
                  <c:v>10.75</c:v>
                </c:pt>
                <c:pt idx="1332">
                  <c:v>11.19444</c:v>
                </c:pt>
                <c:pt idx="1333">
                  <c:v>11.05556</c:v>
                </c:pt>
                <c:pt idx="1334">
                  <c:v>10.02778</c:v>
                </c:pt>
                <c:pt idx="1335">
                  <c:v>10.91667</c:v>
                </c:pt>
                <c:pt idx="1336">
                  <c:v>10.97222</c:v>
                </c:pt>
                <c:pt idx="1337">
                  <c:v>11.08333</c:v>
                </c:pt>
                <c:pt idx="1338">
                  <c:v>10.5</c:v>
                </c:pt>
                <c:pt idx="1339">
                  <c:v>10.88889</c:v>
                </c:pt>
                <c:pt idx="1340">
                  <c:v>11.69444</c:v>
                </c:pt>
                <c:pt idx="1341">
                  <c:v>12.61111</c:v>
                </c:pt>
                <c:pt idx="1342">
                  <c:v>11.86111</c:v>
                </c:pt>
                <c:pt idx="1343">
                  <c:v>12.52778</c:v>
                </c:pt>
                <c:pt idx="1344">
                  <c:v>12.53472</c:v>
                </c:pt>
                <c:pt idx="1345">
                  <c:v>11.86111</c:v>
                </c:pt>
                <c:pt idx="1346">
                  <c:v>11.83333</c:v>
                </c:pt>
                <c:pt idx="1347">
                  <c:v>11.97222</c:v>
                </c:pt>
                <c:pt idx="1348">
                  <c:v>12.02778</c:v>
                </c:pt>
                <c:pt idx="1349">
                  <c:v>11.83333</c:v>
                </c:pt>
                <c:pt idx="1350">
                  <c:v>11.94444</c:v>
                </c:pt>
                <c:pt idx="1351">
                  <c:v>11.94444</c:v>
                </c:pt>
                <c:pt idx="1352">
                  <c:v>11.83333</c:v>
                </c:pt>
                <c:pt idx="1353">
                  <c:v>10.33333</c:v>
                </c:pt>
                <c:pt idx="1354">
                  <c:v>11.33333</c:v>
                </c:pt>
                <c:pt idx="1355">
                  <c:v>11.33333</c:v>
                </c:pt>
                <c:pt idx="1356">
                  <c:v>11.16667</c:v>
                </c:pt>
                <c:pt idx="1357">
                  <c:v>10.91667</c:v>
                </c:pt>
                <c:pt idx="1358">
                  <c:v>10.97222</c:v>
                </c:pt>
                <c:pt idx="1359">
                  <c:v>12.22222</c:v>
                </c:pt>
                <c:pt idx="1360">
                  <c:v>11.86111</c:v>
                </c:pt>
                <c:pt idx="1361">
                  <c:v>12.5</c:v>
                </c:pt>
                <c:pt idx="1362">
                  <c:v>12.88889</c:v>
                </c:pt>
                <c:pt idx="1363">
                  <c:v>13.11111</c:v>
                </c:pt>
                <c:pt idx="1364">
                  <c:v>12.47222</c:v>
                </c:pt>
                <c:pt idx="1365">
                  <c:v>12.16667</c:v>
                </c:pt>
                <c:pt idx="1366">
                  <c:v>12.47222</c:v>
                </c:pt>
                <c:pt idx="1367">
                  <c:v>12.38889</c:v>
                </c:pt>
                <c:pt idx="1368">
                  <c:v>12.16667</c:v>
                </c:pt>
                <c:pt idx="1369">
                  <c:v>12.33333</c:v>
                </c:pt>
                <c:pt idx="1370">
                  <c:v>12.02778</c:v>
                </c:pt>
                <c:pt idx="1371">
                  <c:v>11.77778</c:v>
                </c:pt>
                <c:pt idx="1372">
                  <c:v>11.86111</c:v>
                </c:pt>
                <c:pt idx="1373">
                  <c:v>12.25</c:v>
                </c:pt>
                <c:pt idx="1374">
                  <c:v>13.33333</c:v>
                </c:pt>
                <c:pt idx="1375">
                  <c:v>12.89583</c:v>
                </c:pt>
                <c:pt idx="1376">
                  <c:v>12.75</c:v>
                </c:pt>
                <c:pt idx="1377">
                  <c:v>12.61111</c:v>
                </c:pt>
                <c:pt idx="1378">
                  <c:v>12.44444</c:v>
                </c:pt>
                <c:pt idx="1379">
                  <c:v>11.94444</c:v>
                </c:pt>
                <c:pt idx="1380">
                  <c:v>12.36111</c:v>
                </c:pt>
                <c:pt idx="1381">
                  <c:v>12.25</c:v>
                </c:pt>
                <c:pt idx="1382">
                  <c:v>11.97222</c:v>
                </c:pt>
                <c:pt idx="1383">
                  <c:v>13.30555</c:v>
                </c:pt>
                <c:pt idx="1384">
                  <c:v>12.91667</c:v>
                </c:pt>
                <c:pt idx="1385">
                  <c:v>13.91667</c:v>
                </c:pt>
                <c:pt idx="1386">
                  <c:v>14.25</c:v>
                </c:pt>
                <c:pt idx="1387">
                  <c:v>14.19444</c:v>
                </c:pt>
                <c:pt idx="1388">
                  <c:v>13.55555</c:v>
                </c:pt>
                <c:pt idx="1389">
                  <c:v>13.38889</c:v>
                </c:pt>
                <c:pt idx="1390">
                  <c:v>13.36111</c:v>
                </c:pt>
                <c:pt idx="1391">
                  <c:v>13.52778</c:v>
                </c:pt>
                <c:pt idx="1392">
                  <c:v>13.11111</c:v>
                </c:pt>
                <c:pt idx="1393">
                  <c:v>13.44444</c:v>
                </c:pt>
                <c:pt idx="1394">
                  <c:v>13.33333</c:v>
                </c:pt>
                <c:pt idx="1395">
                  <c:v>13.27778</c:v>
                </c:pt>
                <c:pt idx="1396">
                  <c:v>13.13889</c:v>
                </c:pt>
                <c:pt idx="1397">
                  <c:v>13.25</c:v>
                </c:pt>
                <c:pt idx="1398">
                  <c:v>13.16667</c:v>
                </c:pt>
                <c:pt idx="1399">
                  <c:v>12.88889</c:v>
                </c:pt>
                <c:pt idx="1400">
                  <c:v>12.19444</c:v>
                </c:pt>
                <c:pt idx="1401">
                  <c:v>12.30555</c:v>
                </c:pt>
                <c:pt idx="1402">
                  <c:v>12.97222</c:v>
                </c:pt>
                <c:pt idx="1403">
                  <c:v>12.16667</c:v>
                </c:pt>
                <c:pt idx="1404">
                  <c:v>12.69444</c:v>
                </c:pt>
                <c:pt idx="1405">
                  <c:v>12.72222</c:v>
                </c:pt>
                <c:pt idx="1406">
                  <c:v>12.44444</c:v>
                </c:pt>
                <c:pt idx="1407">
                  <c:v>12.97222</c:v>
                </c:pt>
                <c:pt idx="1408">
                  <c:v>13.41667</c:v>
                </c:pt>
                <c:pt idx="1409">
                  <c:v>13.97222</c:v>
                </c:pt>
                <c:pt idx="1410">
                  <c:v>14.27778</c:v>
                </c:pt>
                <c:pt idx="1411">
                  <c:v>14.41667</c:v>
                </c:pt>
                <c:pt idx="1412">
                  <c:v>14.27778</c:v>
                </c:pt>
                <c:pt idx="1413">
                  <c:v>13.72222</c:v>
                </c:pt>
                <c:pt idx="1414">
                  <c:v>14.11111</c:v>
                </c:pt>
                <c:pt idx="1415">
                  <c:v>14.33333</c:v>
                </c:pt>
                <c:pt idx="1416">
                  <c:v>14.36111</c:v>
                </c:pt>
                <c:pt idx="1417">
                  <c:v>14</c:v>
                </c:pt>
                <c:pt idx="1418">
                  <c:v>14.38889</c:v>
                </c:pt>
                <c:pt idx="1419">
                  <c:v>15.11111</c:v>
                </c:pt>
                <c:pt idx="1420">
                  <c:v>14.08333</c:v>
                </c:pt>
                <c:pt idx="1421">
                  <c:v>14.08333</c:v>
                </c:pt>
                <c:pt idx="1422">
                  <c:v>14.5</c:v>
                </c:pt>
                <c:pt idx="1423">
                  <c:v>14.88889</c:v>
                </c:pt>
                <c:pt idx="1424">
                  <c:v>16.57639</c:v>
                </c:pt>
                <c:pt idx="1425">
                  <c:v>14.72222</c:v>
                </c:pt>
                <c:pt idx="1426">
                  <c:v>16.30556</c:v>
                </c:pt>
                <c:pt idx="1427">
                  <c:v>15.27778</c:v>
                </c:pt>
                <c:pt idx="1428">
                  <c:v>16.83333</c:v>
                </c:pt>
                <c:pt idx="1429">
                  <c:v>16.55556</c:v>
                </c:pt>
                <c:pt idx="1430">
                  <c:v>17.75</c:v>
                </c:pt>
                <c:pt idx="1431">
                  <c:v>18.22221</c:v>
                </c:pt>
                <c:pt idx="1432">
                  <c:v>17.77777</c:v>
                </c:pt>
                <c:pt idx="1433">
                  <c:v>16.61111</c:v>
                </c:pt>
                <c:pt idx="1434">
                  <c:v>16.30556</c:v>
                </c:pt>
                <c:pt idx="1435">
                  <c:v>16</c:v>
                </c:pt>
                <c:pt idx="1436">
                  <c:v>16.86111</c:v>
                </c:pt>
                <c:pt idx="1437">
                  <c:v>16.88889</c:v>
                </c:pt>
                <c:pt idx="1438">
                  <c:v>16.41667</c:v>
                </c:pt>
                <c:pt idx="1439">
                  <c:v>16.94444</c:v>
                </c:pt>
                <c:pt idx="1440">
                  <c:v>17.27777</c:v>
                </c:pt>
                <c:pt idx="1441">
                  <c:v>17.86111</c:v>
                </c:pt>
                <c:pt idx="1442">
                  <c:v>18.08333</c:v>
                </c:pt>
                <c:pt idx="1443">
                  <c:v>17.75</c:v>
                </c:pt>
                <c:pt idx="1444">
                  <c:v>17.80556</c:v>
                </c:pt>
                <c:pt idx="1445">
                  <c:v>17.44444</c:v>
                </c:pt>
                <c:pt idx="1446">
                  <c:v>17.65971</c:v>
                </c:pt>
                <c:pt idx="1447">
                  <c:v>17.88889</c:v>
                </c:pt>
                <c:pt idx="1448">
                  <c:v>18.47221</c:v>
                </c:pt>
                <c:pt idx="1449">
                  <c:v>18.13889</c:v>
                </c:pt>
                <c:pt idx="1450">
                  <c:v>18.80556</c:v>
                </c:pt>
                <c:pt idx="1451">
                  <c:v>19.05556</c:v>
                </c:pt>
                <c:pt idx="1452">
                  <c:v>18.86806</c:v>
                </c:pt>
                <c:pt idx="1453">
                  <c:v>18.61111</c:v>
                </c:pt>
                <c:pt idx="1454">
                  <c:v>18.41667</c:v>
                </c:pt>
                <c:pt idx="1455">
                  <c:v>18.83333</c:v>
                </c:pt>
                <c:pt idx="1456">
                  <c:v>19.33333</c:v>
                </c:pt>
                <c:pt idx="1457">
                  <c:v>20.44444</c:v>
                </c:pt>
                <c:pt idx="1458">
                  <c:v>19.16667</c:v>
                </c:pt>
                <c:pt idx="1459">
                  <c:v>16.77777</c:v>
                </c:pt>
                <c:pt idx="1460">
                  <c:v>15.83333</c:v>
                </c:pt>
                <c:pt idx="1461">
                  <c:v>15.13889</c:v>
                </c:pt>
                <c:pt idx="1462">
                  <c:v>15.66667</c:v>
                </c:pt>
                <c:pt idx="1463">
                  <c:v>16.22221</c:v>
                </c:pt>
                <c:pt idx="1464">
                  <c:v>16.4375</c:v>
                </c:pt>
                <c:pt idx="1465">
                  <c:v>15.97222</c:v>
                </c:pt>
                <c:pt idx="1466">
                  <c:v>17.30556</c:v>
                </c:pt>
                <c:pt idx="1467">
                  <c:v>17.5</c:v>
                </c:pt>
                <c:pt idx="1468">
                  <c:v>16.52777</c:v>
                </c:pt>
                <c:pt idx="1469">
                  <c:v>17.72221</c:v>
                </c:pt>
                <c:pt idx="1470">
                  <c:v>17.69444</c:v>
                </c:pt>
                <c:pt idx="1471">
                  <c:v>17.58333</c:v>
                </c:pt>
                <c:pt idx="1472">
                  <c:v>19.13889</c:v>
                </c:pt>
                <c:pt idx="1473">
                  <c:v>20.05556</c:v>
                </c:pt>
                <c:pt idx="1474">
                  <c:v>19.22221</c:v>
                </c:pt>
                <c:pt idx="1475">
                  <c:v>18.38889</c:v>
                </c:pt>
                <c:pt idx="1476">
                  <c:v>16.77777</c:v>
                </c:pt>
                <c:pt idx="1477">
                  <c:v>16.02777</c:v>
                </c:pt>
                <c:pt idx="1478">
                  <c:v>16.13889</c:v>
                </c:pt>
                <c:pt idx="1479">
                  <c:v>16.05556</c:v>
                </c:pt>
                <c:pt idx="1480">
                  <c:v>16.16667</c:v>
                </c:pt>
                <c:pt idx="1481">
                  <c:v>15.72222</c:v>
                </c:pt>
                <c:pt idx="1482">
                  <c:v>16.13889</c:v>
                </c:pt>
                <c:pt idx="1483">
                  <c:v>16.38889</c:v>
                </c:pt>
                <c:pt idx="1484">
                  <c:v>16.61111</c:v>
                </c:pt>
                <c:pt idx="1485">
                  <c:v>16.55556</c:v>
                </c:pt>
                <c:pt idx="1486">
                  <c:v>16.80556</c:v>
                </c:pt>
                <c:pt idx="1487">
                  <c:v>16.75</c:v>
                </c:pt>
                <c:pt idx="1488">
                  <c:v>17</c:v>
                </c:pt>
                <c:pt idx="1489">
                  <c:v>17.27777</c:v>
                </c:pt>
                <c:pt idx="1490">
                  <c:v>16.78471</c:v>
                </c:pt>
                <c:pt idx="1491">
                  <c:v>17.38889</c:v>
                </c:pt>
                <c:pt idx="1492">
                  <c:v>17.19444</c:v>
                </c:pt>
                <c:pt idx="1493">
                  <c:v>17.77777</c:v>
                </c:pt>
                <c:pt idx="1494">
                  <c:v>17.38889</c:v>
                </c:pt>
                <c:pt idx="1495">
                  <c:v>17.41667</c:v>
                </c:pt>
                <c:pt idx="1496">
                  <c:v>17.30556</c:v>
                </c:pt>
                <c:pt idx="1497">
                  <c:v>17.33333</c:v>
                </c:pt>
                <c:pt idx="1498">
                  <c:v>16.86111</c:v>
                </c:pt>
                <c:pt idx="1499">
                  <c:v>16.80556</c:v>
                </c:pt>
                <c:pt idx="1500">
                  <c:v>16.88889</c:v>
                </c:pt>
                <c:pt idx="1501">
                  <c:v>16.77777</c:v>
                </c:pt>
                <c:pt idx="1502">
                  <c:v>17.44444</c:v>
                </c:pt>
                <c:pt idx="1503">
                  <c:v>16.69444</c:v>
                </c:pt>
                <c:pt idx="1504">
                  <c:v>17.52777</c:v>
                </c:pt>
                <c:pt idx="1505">
                  <c:v>17.77777</c:v>
                </c:pt>
                <c:pt idx="1506">
                  <c:v>18.58333</c:v>
                </c:pt>
                <c:pt idx="1507">
                  <c:v>17.88889</c:v>
                </c:pt>
                <c:pt idx="1508">
                  <c:v>18.72221</c:v>
                </c:pt>
                <c:pt idx="1509">
                  <c:v>17.97221</c:v>
                </c:pt>
                <c:pt idx="1510">
                  <c:v>15.09722</c:v>
                </c:pt>
                <c:pt idx="1511">
                  <c:v>15.77083</c:v>
                </c:pt>
                <c:pt idx="1512">
                  <c:v>15.55555</c:v>
                </c:pt>
                <c:pt idx="1513">
                  <c:v>15.55555</c:v>
                </c:pt>
                <c:pt idx="1514">
                  <c:v>15.66667</c:v>
                </c:pt>
                <c:pt idx="1515">
                  <c:v>15.94444</c:v>
                </c:pt>
                <c:pt idx="1516">
                  <c:v>15.30555</c:v>
                </c:pt>
                <c:pt idx="1517">
                  <c:v>15.27778</c:v>
                </c:pt>
                <c:pt idx="1518">
                  <c:v>16.27777</c:v>
                </c:pt>
                <c:pt idx="1519">
                  <c:v>16.16667</c:v>
                </c:pt>
                <c:pt idx="1520">
                  <c:v>15.38889</c:v>
                </c:pt>
                <c:pt idx="1521">
                  <c:v>15.44444</c:v>
                </c:pt>
                <c:pt idx="1522">
                  <c:v>15.30555</c:v>
                </c:pt>
                <c:pt idx="1523">
                  <c:v>14.84028</c:v>
                </c:pt>
                <c:pt idx="1524">
                  <c:v>15.72222</c:v>
                </c:pt>
                <c:pt idx="1525">
                  <c:v>19.75</c:v>
                </c:pt>
                <c:pt idx="1526">
                  <c:v>20.88889</c:v>
                </c:pt>
                <c:pt idx="1527">
                  <c:v>21.11111</c:v>
                </c:pt>
                <c:pt idx="1528">
                  <c:v>21.22221</c:v>
                </c:pt>
                <c:pt idx="1529">
                  <c:v>22.11111</c:v>
                </c:pt>
                <c:pt idx="1530">
                  <c:v>22.02777</c:v>
                </c:pt>
                <c:pt idx="1531">
                  <c:v>22.13889</c:v>
                </c:pt>
                <c:pt idx="1532">
                  <c:v>21.86111</c:v>
                </c:pt>
                <c:pt idx="1533">
                  <c:v>20.44444</c:v>
                </c:pt>
                <c:pt idx="1534">
                  <c:v>20.86111</c:v>
                </c:pt>
                <c:pt idx="1535">
                  <c:v>21.30556</c:v>
                </c:pt>
                <c:pt idx="1536">
                  <c:v>21.38889</c:v>
                </c:pt>
                <c:pt idx="1537">
                  <c:v>22.02777</c:v>
                </c:pt>
                <c:pt idx="1538">
                  <c:v>23.27777</c:v>
                </c:pt>
                <c:pt idx="1539">
                  <c:v>22.41667</c:v>
                </c:pt>
                <c:pt idx="1540">
                  <c:v>21.80556</c:v>
                </c:pt>
                <c:pt idx="1541">
                  <c:v>21.77777</c:v>
                </c:pt>
                <c:pt idx="1542">
                  <c:v>22.88889</c:v>
                </c:pt>
                <c:pt idx="1543">
                  <c:v>22.86111</c:v>
                </c:pt>
                <c:pt idx="1544">
                  <c:v>21.77777</c:v>
                </c:pt>
                <c:pt idx="1545">
                  <c:v>22.22221</c:v>
                </c:pt>
                <c:pt idx="1546">
                  <c:v>21.5</c:v>
                </c:pt>
                <c:pt idx="1547">
                  <c:v>23.02777</c:v>
                </c:pt>
                <c:pt idx="1548">
                  <c:v>22.75</c:v>
                </c:pt>
                <c:pt idx="1549">
                  <c:v>22.88889</c:v>
                </c:pt>
                <c:pt idx="1550">
                  <c:v>23.94444</c:v>
                </c:pt>
                <c:pt idx="1551">
                  <c:v>24.38889</c:v>
                </c:pt>
                <c:pt idx="1552">
                  <c:v>24.25</c:v>
                </c:pt>
                <c:pt idx="1553">
                  <c:v>24.30556</c:v>
                </c:pt>
                <c:pt idx="1554">
                  <c:v>24.41667</c:v>
                </c:pt>
                <c:pt idx="1555">
                  <c:v>24.33333</c:v>
                </c:pt>
                <c:pt idx="1556">
                  <c:v>23.88889</c:v>
                </c:pt>
                <c:pt idx="1557">
                  <c:v>24.58333</c:v>
                </c:pt>
                <c:pt idx="1558">
                  <c:v>25.625</c:v>
                </c:pt>
                <c:pt idx="1559">
                  <c:v>25.95833</c:v>
                </c:pt>
                <c:pt idx="1560">
                  <c:v>25.25</c:v>
                </c:pt>
                <c:pt idx="1561">
                  <c:v>24.08333</c:v>
                </c:pt>
                <c:pt idx="1562">
                  <c:v>24.58333</c:v>
                </c:pt>
                <c:pt idx="1563">
                  <c:v>24.375</c:v>
                </c:pt>
                <c:pt idx="1564">
                  <c:v>24.58333</c:v>
                </c:pt>
                <c:pt idx="1565">
                  <c:v>24.40625</c:v>
                </c:pt>
                <c:pt idx="1566">
                  <c:v>23.75</c:v>
                </c:pt>
                <c:pt idx="1567">
                  <c:v>23.875</c:v>
                </c:pt>
                <c:pt idx="1568">
                  <c:v>23.20833</c:v>
                </c:pt>
                <c:pt idx="1569">
                  <c:v>23.46875</c:v>
                </c:pt>
                <c:pt idx="1570">
                  <c:v>23.54167</c:v>
                </c:pt>
                <c:pt idx="1571">
                  <c:v>24.70833</c:v>
                </c:pt>
                <c:pt idx="1572">
                  <c:v>23.41667</c:v>
                </c:pt>
                <c:pt idx="1573">
                  <c:v>22.58333</c:v>
                </c:pt>
                <c:pt idx="1574">
                  <c:v>23.25</c:v>
                </c:pt>
                <c:pt idx="1575">
                  <c:v>23.54167</c:v>
                </c:pt>
                <c:pt idx="1576">
                  <c:v>24.25</c:v>
                </c:pt>
                <c:pt idx="1577">
                  <c:v>25.125</c:v>
                </c:pt>
                <c:pt idx="1578">
                  <c:v>24.40625</c:v>
                </c:pt>
                <c:pt idx="1579">
                  <c:v>25.45833</c:v>
                </c:pt>
                <c:pt idx="1580">
                  <c:v>24.83333</c:v>
                </c:pt>
                <c:pt idx="1581">
                  <c:v>22.54167</c:v>
                </c:pt>
                <c:pt idx="1582">
                  <c:v>23</c:v>
                </c:pt>
                <c:pt idx="1583">
                  <c:v>23.4375</c:v>
                </c:pt>
                <c:pt idx="1584">
                  <c:v>22.66667</c:v>
                </c:pt>
                <c:pt idx="1585">
                  <c:v>23.20833</c:v>
                </c:pt>
                <c:pt idx="1586">
                  <c:v>21.41667</c:v>
                </c:pt>
                <c:pt idx="1587">
                  <c:v>21.91667</c:v>
                </c:pt>
                <c:pt idx="1588">
                  <c:v>22.66667</c:v>
                </c:pt>
                <c:pt idx="1589">
                  <c:v>22.58333</c:v>
                </c:pt>
                <c:pt idx="1590">
                  <c:v>23.75</c:v>
                </c:pt>
                <c:pt idx="1591">
                  <c:v>23.66667</c:v>
                </c:pt>
                <c:pt idx="1592">
                  <c:v>22.5</c:v>
                </c:pt>
                <c:pt idx="1593">
                  <c:v>22.20833</c:v>
                </c:pt>
                <c:pt idx="1594">
                  <c:v>21.875</c:v>
                </c:pt>
                <c:pt idx="1595">
                  <c:v>21.16667</c:v>
                </c:pt>
                <c:pt idx="1596">
                  <c:v>20.42708</c:v>
                </c:pt>
                <c:pt idx="1597">
                  <c:v>20.66667</c:v>
                </c:pt>
                <c:pt idx="1598">
                  <c:v>21.33333</c:v>
                </c:pt>
                <c:pt idx="1599">
                  <c:v>21.33333</c:v>
                </c:pt>
                <c:pt idx="1600">
                  <c:v>20.959990000000001</c:v>
                </c:pt>
                <c:pt idx="1601">
                  <c:v>20.7</c:v>
                </c:pt>
                <c:pt idx="1602">
                  <c:v>20.8</c:v>
                </c:pt>
                <c:pt idx="1603">
                  <c:v>22.073329999999999</c:v>
                </c:pt>
                <c:pt idx="1604">
                  <c:v>21.34666</c:v>
                </c:pt>
                <c:pt idx="1605">
                  <c:v>21.733339999999998</c:v>
                </c:pt>
                <c:pt idx="1606">
                  <c:v>22.3</c:v>
                </c:pt>
                <c:pt idx="1607">
                  <c:v>22.600010000000001</c:v>
                </c:pt>
                <c:pt idx="1608">
                  <c:v>21.393329999999999</c:v>
                </c:pt>
                <c:pt idx="1609">
                  <c:v>21.766660000000002</c:v>
                </c:pt>
                <c:pt idx="1610">
                  <c:v>21.94</c:v>
                </c:pt>
                <c:pt idx="1611">
                  <c:v>22.16667</c:v>
                </c:pt>
                <c:pt idx="1612">
                  <c:v>21.866669999999999</c:v>
                </c:pt>
                <c:pt idx="1613">
                  <c:v>22.033329999999999</c:v>
                </c:pt>
                <c:pt idx="1614">
                  <c:v>20.733339999999998</c:v>
                </c:pt>
                <c:pt idx="1615">
                  <c:v>21.273330000000001</c:v>
                </c:pt>
                <c:pt idx="1616">
                  <c:v>23.44</c:v>
                </c:pt>
                <c:pt idx="1617">
                  <c:v>23.553329999999999</c:v>
                </c:pt>
                <c:pt idx="1618">
                  <c:v>24.413329999999998</c:v>
                </c:pt>
                <c:pt idx="1619">
                  <c:v>25</c:v>
                </c:pt>
                <c:pt idx="1620">
                  <c:v>24.64</c:v>
                </c:pt>
                <c:pt idx="1621">
                  <c:v>24.773330000000001</c:v>
                </c:pt>
                <c:pt idx="1622">
                  <c:v>24.593340000000001</c:v>
                </c:pt>
                <c:pt idx="1623">
                  <c:v>24.68666</c:v>
                </c:pt>
                <c:pt idx="1624">
                  <c:v>24.759989999999998</c:v>
                </c:pt>
                <c:pt idx="1625">
                  <c:v>24.413329999999998</c:v>
                </c:pt>
                <c:pt idx="1626">
                  <c:v>26.066669999999998</c:v>
                </c:pt>
                <c:pt idx="1627">
                  <c:v>24.14</c:v>
                </c:pt>
                <c:pt idx="1628">
                  <c:v>23.66667</c:v>
                </c:pt>
                <c:pt idx="1629">
                  <c:v>22.319990000000001</c:v>
                </c:pt>
                <c:pt idx="1630">
                  <c:v>22.733339999999998</c:v>
                </c:pt>
                <c:pt idx="1631">
                  <c:v>21.84</c:v>
                </c:pt>
                <c:pt idx="1632">
                  <c:v>22.68666</c:v>
                </c:pt>
                <c:pt idx="1633">
                  <c:v>22.633330000000001</c:v>
                </c:pt>
                <c:pt idx="1634">
                  <c:v>21.83333</c:v>
                </c:pt>
                <c:pt idx="1635">
                  <c:v>21.973330000000001</c:v>
                </c:pt>
                <c:pt idx="1636">
                  <c:v>22.66</c:v>
                </c:pt>
                <c:pt idx="1637">
                  <c:v>22.533329999999999</c:v>
                </c:pt>
                <c:pt idx="1638">
                  <c:v>23.17999</c:v>
                </c:pt>
                <c:pt idx="1639">
                  <c:v>23.3</c:v>
                </c:pt>
                <c:pt idx="1640">
                  <c:v>23.16667</c:v>
                </c:pt>
                <c:pt idx="1641">
                  <c:v>23.5</c:v>
                </c:pt>
                <c:pt idx="1642">
                  <c:v>23.786670000000001</c:v>
                </c:pt>
                <c:pt idx="1643">
                  <c:v>23.433330000000002</c:v>
                </c:pt>
                <c:pt idx="1644">
                  <c:v>23.3</c:v>
                </c:pt>
                <c:pt idx="1645">
                  <c:v>23.713329999999999</c:v>
                </c:pt>
                <c:pt idx="1646">
                  <c:v>24.273330000000001</c:v>
                </c:pt>
                <c:pt idx="1647">
                  <c:v>24.899989999999999</c:v>
                </c:pt>
                <c:pt idx="1648">
                  <c:v>25</c:v>
                </c:pt>
                <c:pt idx="1649">
                  <c:v>24.5</c:v>
                </c:pt>
                <c:pt idx="1650">
                  <c:v>25.373339999999999</c:v>
                </c:pt>
                <c:pt idx="1651">
                  <c:v>26.17999</c:v>
                </c:pt>
                <c:pt idx="1652">
                  <c:v>25.740010000000002</c:v>
                </c:pt>
                <c:pt idx="1653">
                  <c:v>27.373339999999999</c:v>
                </c:pt>
                <c:pt idx="1654">
                  <c:v>28.033329999999999</c:v>
                </c:pt>
                <c:pt idx="1655">
                  <c:v>27.866669999999999</c:v>
                </c:pt>
                <c:pt idx="1656">
                  <c:v>26.7</c:v>
                </c:pt>
                <c:pt idx="1657">
                  <c:v>28.3</c:v>
                </c:pt>
                <c:pt idx="1658">
                  <c:v>28.126660000000001</c:v>
                </c:pt>
                <c:pt idx="1659">
                  <c:v>28.966660000000001</c:v>
                </c:pt>
                <c:pt idx="1660">
                  <c:v>28.66667</c:v>
                </c:pt>
                <c:pt idx="1661">
                  <c:v>27.94</c:v>
                </c:pt>
                <c:pt idx="1662">
                  <c:v>28.52</c:v>
                </c:pt>
                <c:pt idx="1663">
                  <c:v>29.399989999999999</c:v>
                </c:pt>
                <c:pt idx="1664">
                  <c:v>28.266660000000002</c:v>
                </c:pt>
                <c:pt idx="1665">
                  <c:v>28.553329999999999</c:v>
                </c:pt>
                <c:pt idx="1666">
                  <c:v>28.33333</c:v>
                </c:pt>
                <c:pt idx="1667">
                  <c:v>28.573329999999999</c:v>
                </c:pt>
                <c:pt idx="1668">
                  <c:v>28.06</c:v>
                </c:pt>
                <c:pt idx="1669">
                  <c:v>28.613330000000001</c:v>
                </c:pt>
                <c:pt idx="1670">
                  <c:v>28.473330000000001</c:v>
                </c:pt>
                <c:pt idx="1671">
                  <c:v>29.066669999999998</c:v>
                </c:pt>
                <c:pt idx="1672">
                  <c:v>28.7</c:v>
                </c:pt>
                <c:pt idx="1673">
                  <c:v>28.66667</c:v>
                </c:pt>
                <c:pt idx="1674">
                  <c:v>28.113330000000001</c:v>
                </c:pt>
                <c:pt idx="1675">
                  <c:v>29.2</c:v>
                </c:pt>
                <c:pt idx="1676">
                  <c:v>29.959990000000001</c:v>
                </c:pt>
                <c:pt idx="1677">
                  <c:v>29.08</c:v>
                </c:pt>
                <c:pt idx="1678">
                  <c:v>29.026669999999999</c:v>
                </c:pt>
                <c:pt idx="1679">
                  <c:v>29.373339999999999</c:v>
                </c:pt>
                <c:pt idx="1680">
                  <c:v>29.906659999999999</c:v>
                </c:pt>
                <c:pt idx="1681">
                  <c:v>30.16</c:v>
                </c:pt>
                <c:pt idx="1682">
                  <c:v>29.253329999999998</c:v>
                </c:pt>
                <c:pt idx="1683">
                  <c:v>29.226669999999999</c:v>
                </c:pt>
                <c:pt idx="1684">
                  <c:v>28.033329999999999</c:v>
                </c:pt>
                <c:pt idx="1685">
                  <c:v>27.240010000000002</c:v>
                </c:pt>
                <c:pt idx="1686">
                  <c:v>27.34</c:v>
                </c:pt>
                <c:pt idx="1687">
                  <c:v>25.766660000000002</c:v>
                </c:pt>
                <c:pt idx="1688">
                  <c:v>26.78</c:v>
                </c:pt>
                <c:pt idx="1689">
                  <c:v>26.733339999999998</c:v>
                </c:pt>
                <c:pt idx="1690">
                  <c:v>27.086670000000002</c:v>
                </c:pt>
                <c:pt idx="1691">
                  <c:v>25.78</c:v>
                </c:pt>
                <c:pt idx="1692">
                  <c:v>26.953340000000001</c:v>
                </c:pt>
                <c:pt idx="1693">
                  <c:v>26.82666</c:v>
                </c:pt>
                <c:pt idx="1694">
                  <c:v>27.67999</c:v>
                </c:pt>
                <c:pt idx="1695">
                  <c:v>28.00667</c:v>
                </c:pt>
                <c:pt idx="1696">
                  <c:v>26.726669999999999</c:v>
                </c:pt>
                <c:pt idx="1697">
                  <c:v>27.19333</c:v>
                </c:pt>
                <c:pt idx="1698">
                  <c:v>27.16</c:v>
                </c:pt>
                <c:pt idx="1699">
                  <c:v>27.473330000000001</c:v>
                </c:pt>
                <c:pt idx="1700">
                  <c:v>28.33333</c:v>
                </c:pt>
                <c:pt idx="1701">
                  <c:v>26.246659999999999</c:v>
                </c:pt>
                <c:pt idx="1702">
                  <c:v>26.373339999999999</c:v>
                </c:pt>
                <c:pt idx="1703">
                  <c:v>23.98</c:v>
                </c:pt>
                <c:pt idx="1704">
                  <c:v>24.86</c:v>
                </c:pt>
                <c:pt idx="1705">
                  <c:v>24.88</c:v>
                </c:pt>
                <c:pt idx="1706">
                  <c:v>24.086670000000002</c:v>
                </c:pt>
                <c:pt idx="1707">
                  <c:v>24.766660000000002</c:v>
                </c:pt>
                <c:pt idx="1708">
                  <c:v>25.00667</c:v>
                </c:pt>
                <c:pt idx="1709">
                  <c:v>25.066669999999998</c:v>
                </c:pt>
                <c:pt idx="1710">
                  <c:v>24.100010000000001</c:v>
                </c:pt>
                <c:pt idx="1711">
                  <c:v>23.33333</c:v>
                </c:pt>
                <c:pt idx="1712">
                  <c:v>25.233339999999998</c:v>
                </c:pt>
                <c:pt idx="1713">
                  <c:v>25.82666</c:v>
                </c:pt>
                <c:pt idx="1714">
                  <c:v>25.65334</c:v>
                </c:pt>
                <c:pt idx="1715">
                  <c:v>26.599989999999998</c:v>
                </c:pt>
                <c:pt idx="1716">
                  <c:v>28.02</c:v>
                </c:pt>
                <c:pt idx="1717">
                  <c:v>28.293330000000001</c:v>
                </c:pt>
                <c:pt idx="1718">
                  <c:v>28.206669999999999</c:v>
                </c:pt>
                <c:pt idx="1719">
                  <c:v>29.473330000000001</c:v>
                </c:pt>
                <c:pt idx="1720">
                  <c:v>30.413329999999998</c:v>
                </c:pt>
                <c:pt idx="1721">
                  <c:v>29.753329999999998</c:v>
                </c:pt>
                <c:pt idx="1722">
                  <c:v>29.5</c:v>
                </c:pt>
                <c:pt idx="1723">
                  <c:v>28.593340000000001</c:v>
                </c:pt>
                <c:pt idx="1724">
                  <c:v>28.746659999999999</c:v>
                </c:pt>
                <c:pt idx="1725">
                  <c:v>28.34</c:v>
                </c:pt>
                <c:pt idx="1726">
                  <c:v>27.84666</c:v>
                </c:pt>
                <c:pt idx="1727">
                  <c:v>27.893329999999999</c:v>
                </c:pt>
                <c:pt idx="1728">
                  <c:v>27.986660000000001</c:v>
                </c:pt>
                <c:pt idx="1729">
                  <c:v>26.459990000000001</c:v>
                </c:pt>
                <c:pt idx="1730">
                  <c:v>27.126660000000001</c:v>
                </c:pt>
                <c:pt idx="1731">
                  <c:v>26.81334</c:v>
                </c:pt>
                <c:pt idx="1732">
                  <c:v>26.473330000000001</c:v>
                </c:pt>
                <c:pt idx="1733">
                  <c:v>26.81334</c:v>
                </c:pt>
                <c:pt idx="1734">
                  <c:v>26.586670000000002</c:v>
                </c:pt>
                <c:pt idx="1735">
                  <c:v>27.399989999999999</c:v>
                </c:pt>
                <c:pt idx="1736">
                  <c:v>27.33333</c:v>
                </c:pt>
                <c:pt idx="1737">
                  <c:v>27.33333</c:v>
                </c:pt>
                <c:pt idx="1738">
                  <c:v>27.073329999999999</c:v>
                </c:pt>
                <c:pt idx="1739">
                  <c:v>27.099989999999998</c:v>
                </c:pt>
                <c:pt idx="1740">
                  <c:v>27.786670000000001</c:v>
                </c:pt>
                <c:pt idx="1741">
                  <c:v>27.726669999999999</c:v>
                </c:pt>
                <c:pt idx="1742">
                  <c:v>28.18666</c:v>
                </c:pt>
                <c:pt idx="1743">
                  <c:v>28.599989999999998</c:v>
                </c:pt>
                <c:pt idx="1744">
                  <c:v>28.526669999999999</c:v>
                </c:pt>
                <c:pt idx="1745">
                  <c:v>28.3</c:v>
                </c:pt>
                <c:pt idx="1746">
                  <c:v>28.013339999999999</c:v>
                </c:pt>
                <c:pt idx="1747">
                  <c:v>28.459990000000001</c:v>
                </c:pt>
                <c:pt idx="1748">
                  <c:v>27.34666</c:v>
                </c:pt>
                <c:pt idx="1749">
                  <c:v>26.413329999999998</c:v>
                </c:pt>
                <c:pt idx="1750">
                  <c:v>27.22</c:v>
                </c:pt>
                <c:pt idx="1751">
                  <c:v>27.38</c:v>
                </c:pt>
                <c:pt idx="1752">
                  <c:v>27.273330000000001</c:v>
                </c:pt>
                <c:pt idx="1753">
                  <c:v>27.273330000000001</c:v>
                </c:pt>
                <c:pt idx="1754">
                  <c:v>27.33333</c:v>
                </c:pt>
                <c:pt idx="1755">
                  <c:v>27.56</c:v>
                </c:pt>
                <c:pt idx="1756">
                  <c:v>27.213329999999999</c:v>
                </c:pt>
                <c:pt idx="1757">
                  <c:v>27.80667</c:v>
                </c:pt>
                <c:pt idx="1758">
                  <c:v>28.866669999999999</c:v>
                </c:pt>
                <c:pt idx="1759">
                  <c:v>29.50667</c:v>
                </c:pt>
                <c:pt idx="1760">
                  <c:v>29.92</c:v>
                </c:pt>
                <c:pt idx="1761">
                  <c:v>29.713329999999999</c:v>
                </c:pt>
                <c:pt idx="1762">
                  <c:v>30</c:v>
                </c:pt>
                <c:pt idx="1763">
                  <c:v>30.766660000000002</c:v>
                </c:pt>
                <c:pt idx="1764">
                  <c:v>30.553329999999999</c:v>
                </c:pt>
                <c:pt idx="1765">
                  <c:v>30.69333</c:v>
                </c:pt>
                <c:pt idx="1766">
                  <c:v>31.42</c:v>
                </c:pt>
                <c:pt idx="1767">
                  <c:v>30.49333</c:v>
                </c:pt>
                <c:pt idx="1768">
                  <c:v>30.99333</c:v>
                </c:pt>
                <c:pt idx="1769">
                  <c:v>31.52</c:v>
                </c:pt>
                <c:pt idx="1770">
                  <c:v>32.026670000000003</c:v>
                </c:pt>
                <c:pt idx="1771">
                  <c:v>31.82666</c:v>
                </c:pt>
                <c:pt idx="1772">
                  <c:v>30.83333</c:v>
                </c:pt>
                <c:pt idx="1773">
                  <c:v>30.65334</c:v>
                </c:pt>
                <c:pt idx="1774">
                  <c:v>30.773330000000001</c:v>
                </c:pt>
                <c:pt idx="1775">
                  <c:v>29.899989999999999</c:v>
                </c:pt>
                <c:pt idx="1776">
                  <c:v>30</c:v>
                </c:pt>
                <c:pt idx="1777">
                  <c:v>30.226669999999999</c:v>
                </c:pt>
                <c:pt idx="1778">
                  <c:v>30.3</c:v>
                </c:pt>
                <c:pt idx="1779">
                  <c:v>30.03999</c:v>
                </c:pt>
                <c:pt idx="1780">
                  <c:v>30.00667</c:v>
                </c:pt>
                <c:pt idx="1781">
                  <c:v>29.32666</c:v>
                </c:pt>
                <c:pt idx="1782">
                  <c:v>29.5</c:v>
                </c:pt>
                <c:pt idx="1783">
                  <c:v>30.086670000000002</c:v>
                </c:pt>
                <c:pt idx="1784">
                  <c:v>29.50667</c:v>
                </c:pt>
                <c:pt idx="1785">
                  <c:v>30.213329999999999</c:v>
                </c:pt>
                <c:pt idx="1786">
                  <c:v>29.933330000000002</c:v>
                </c:pt>
                <c:pt idx="1787">
                  <c:v>30.446670000000001</c:v>
                </c:pt>
                <c:pt idx="1788">
                  <c:v>30.34</c:v>
                </c:pt>
                <c:pt idx="1789">
                  <c:v>29.973330000000001</c:v>
                </c:pt>
                <c:pt idx="1790">
                  <c:v>29.886659999999999</c:v>
                </c:pt>
                <c:pt idx="1791">
                  <c:v>29.293330000000001</c:v>
                </c:pt>
                <c:pt idx="1792">
                  <c:v>29.133330000000001</c:v>
                </c:pt>
                <c:pt idx="1793">
                  <c:v>28.926670000000001</c:v>
                </c:pt>
                <c:pt idx="1794">
                  <c:v>28.573329999999999</c:v>
                </c:pt>
                <c:pt idx="1795">
                  <c:v>29.413329999999998</c:v>
                </c:pt>
                <c:pt idx="1796">
                  <c:v>29.433330000000002</c:v>
                </c:pt>
                <c:pt idx="1797">
                  <c:v>29.56</c:v>
                </c:pt>
                <c:pt idx="1798">
                  <c:v>29.88</c:v>
                </c:pt>
                <c:pt idx="1799">
                  <c:v>29.28</c:v>
                </c:pt>
                <c:pt idx="1800">
                  <c:v>30.406659999999999</c:v>
                </c:pt>
                <c:pt idx="1801">
                  <c:v>31.099989999999998</c:v>
                </c:pt>
                <c:pt idx="1802">
                  <c:v>29.959990000000001</c:v>
                </c:pt>
                <c:pt idx="1803">
                  <c:v>29.99333</c:v>
                </c:pt>
                <c:pt idx="1804">
                  <c:v>30.273330000000001</c:v>
                </c:pt>
                <c:pt idx="1805">
                  <c:v>30.28</c:v>
                </c:pt>
                <c:pt idx="1806">
                  <c:v>30.83333</c:v>
                </c:pt>
                <c:pt idx="1807">
                  <c:v>31.3</c:v>
                </c:pt>
                <c:pt idx="1808">
                  <c:v>31.086670000000002</c:v>
                </c:pt>
                <c:pt idx="1809">
                  <c:v>30.35333</c:v>
                </c:pt>
                <c:pt idx="1810">
                  <c:v>30.446670000000001</c:v>
                </c:pt>
                <c:pt idx="1811">
                  <c:v>30.64</c:v>
                </c:pt>
                <c:pt idx="1812">
                  <c:v>29.899989999999999</c:v>
                </c:pt>
                <c:pt idx="1813">
                  <c:v>29.16</c:v>
                </c:pt>
                <c:pt idx="1814">
                  <c:v>30.94</c:v>
                </c:pt>
                <c:pt idx="1815">
                  <c:v>30.213329999999999</c:v>
                </c:pt>
                <c:pt idx="1816">
                  <c:v>31.586670000000002</c:v>
                </c:pt>
                <c:pt idx="1817">
                  <c:v>32.52666</c:v>
                </c:pt>
                <c:pt idx="1818">
                  <c:v>33.046660000000003</c:v>
                </c:pt>
                <c:pt idx="1819">
                  <c:v>32.020000000000003</c:v>
                </c:pt>
                <c:pt idx="1820">
                  <c:v>32.366669999999999</c:v>
                </c:pt>
                <c:pt idx="1821">
                  <c:v>33.159999999999997</c:v>
                </c:pt>
                <c:pt idx="1822">
                  <c:v>34.34666</c:v>
                </c:pt>
                <c:pt idx="1823">
                  <c:v>33.866669999999999</c:v>
                </c:pt>
                <c:pt idx="1824">
                  <c:v>32.866669999999999</c:v>
                </c:pt>
                <c:pt idx="1825">
                  <c:v>31.466660000000001</c:v>
                </c:pt>
                <c:pt idx="1826">
                  <c:v>31.84666</c:v>
                </c:pt>
                <c:pt idx="1827">
                  <c:v>30.7</c:v>
                </c:pt>
                <c:pt idx="1828">
                  <c:v>31.19333</c:v>
                </c:pt>
                <c:pt idx="1829">
                  <c:v>30.52</c:v>
                </c:pt>
                <c:pt idx="1830">
                  <c:v>32.406660000000002</c:v>
                </c:pt>
                <c:pt idx="1831">
                  <c:v>32.593339999999998</c:v>
                </c:pt>
                <c:pt idx="1832">
                  <c:v>32.599989999999998</c:v>
                </c:pt>
                <c:pt idx="1833">
                  <c:v>33.14</c:v>
                </c:pt>
                <c:pt idx="1834">
                  <c:v>32.086669999999998</c:v>
                </c:pt>
                <c:pt idx="1835">
                  <c:v>32.486660000000001</c:v>
                </c:pt>
                <c:pt idx="1836">
                  <c:v>33.046660000000003</c:v>
                </c:pt>
                <c:pt idx="1837">
                  <c:v>31.8</c:v>
                </c:pt>
                <c:pt idx="1838">
                  <c:v>34.413330000000002</c:v>
                </c:pt>
                <c:pt idx="1839">
                  <c:v>35.533329999999999</c:v>
                </c:pt>
                <c:pt idx="1840">
                  <c:v>35.700000000000003</c:v>
                </c:pt>
                <c:pt idx="1841">
                  <c:v>35.093339999999998</c:v>
                </c:pt>
                <c:pt idx="1842">
                  <c:v>35.119999999999997</c:v>
                </c:pt>
                <c:pt idx="1843">
                  <c:v>34.200000000000003</c:v>
                </c:pt>
                <c:pt idx="1844">
                  <c:v>34.726669999999999</c:v>
                </c:pt>
                <c:pt idx="1845">
                  <c:v>34.106659999999998</c:v>
                </c:pt>
                <c:pt idx="1846">
                  <c:v>36.319989999999997</c:v>
                </c:pt>
                <c:pt idx="1847">
                  <c:v>35.700000000000003</c:v>
                </c:pt>
                <c:pt idx="1848">
                  <c:v>37.446669999999997</c:v>
                </c:pt>
                <c:pt idx="1849">
                  <c:v>36.753329999999998</c:v>
                </c:pt>
                <c:pt idx="1850">
                  <c:v>37.36</c:v>
                </c:pt>
                <c:pt idx="1851">
                  <c:v>37.513339999999999</c:v>
                </c:pt>
                <c:pt idx="1852">
                  <c:v>37.56</c:v>
                </c:pt>
                <c:pt idx="1853">
                  <c:v>38.386659999999999</c:v>
                </c:pt>
                <c:pt idx="1854">
                  <c:v>38.213329999999999</c:v>
                </c:pt>
                <c:pt idx="1855">
                  <c:v>37.746659999999999</c:v>
                </c:pt>
                <c:pt idx="1856">
                  <c:v>37.633330000000001</c:v>
                </c:pt>
                <c:pt idx="1857">
                  <c:v>38.485990000000001</c:v>
                </c:pt>
                <c:pt idx="1858">
                  <c:v>38.726669999999999</c:v>
                </c:pt>
                <c:pt idx="1859">
                  <c:v>38.513339999999999</c:v>
                </c:pt>
                <c:pt idx="1860">
                  <c:v>37.58</c:v>
                </c:pt>
                <c:pt idx="1861">
                  <c:v>37.33</c:v>
                </c:pt>
                <c:pt idx="1862">
                  <c:v>38.340000000000003</c:v>
                </c:pt>
                <c:pt idx="1863">
                  <c:v>37.770000000000003</c:v>
                </c:pt>
                <c:pt idx="1864">
                  <c:v>37.289990000000003</c:v>
                </c:pt>
                <c:pt idx="1865">
                  <c:v>36.899990000000003</c:v>
                </c:pt>
                <c:pt idx="1866">
                  <c:v>36.320010000000003</c:v>
                </c:pt>
                <c:pt idx="1867">
                  <c:v>37.47</c:v>
                </c:pt>
                <c:pt idx="1868">
                  <c:v>37.869999999999997</c:v>
                </c:pt>
                <c:pt idx="1869">
                  <c:v>36.47</c:v>
                </c:pt>
                <c:pt idx="1870">
                  <c:v>35.369999999999997</c:v>
                </c:pt>
                <c:pt idx="1871">
                  <c:v>36.649990000000003</c:v>
                </c:pt>
                <c:pt idx="1872">
                  <c:v>37.56</c:v>
                </c:pt>
                <c:pt idx="1873">
                  <c:v>37.950000000000003</c:v>
                </c:pt>
                <c:pt idx="1874">
                  <c:v>37.549999999999997</c:v>
                </c:pt>
                <c:pt idx="1875">
                  <c:v>37.67</c:v>
                </c:pt>
                <c:pt idx="1876">
                  <c:v>36.75</c:v>
                </c:pt>
                <c:pt idx="1877">
                  <c:v>36.649990000000003</c:v>
                </c:pt>
                <c:pt idx="1878">
                  <c:v>35.490009999999998</c:v>
                </c:pt>
                <c:pt idx="1879">
                  <c:v>35.740009999999998</c:v>
                </c:pt>
                <c:pt idx="1880">
                  <c:v>35.350009999999997</c:v>
                </c:pt>
                <c:pt idx="1881">
                  <c:v>35.570010000000003</c:v>
                </c:pt>
                <c:pt idx="1882">
                  <c:v>35.509990000000002</c:v>
                </c:pt>
                <c:pt idx="1883">
                  <c:v>34.630000000000003</c:v>
                </c:pt>
                <c:pt idx="1884">
                  <c:v>34.479999999999997</c:v>
                </c:pt>
                <c:pt idx="1885">
                  <c:v>34.100009999999997</c:v>
                </c:pt>
                <c:pt idx="1886">
                  <c:v>34.240009999999998</c:v>
                </c:pt>
                <c:pt idx="1887">
                  <c:v>34.450000000000003</c:v>
                </c:pt>
                <c:pt idx="1888">
                  <c:v>34.399990000000003</c:v>
                </c:pt>
                <c:pt idx="1889">
                  <c:v>34.81</c:v>
                </c:pt>
                <c:pt idx="1890">
                  <c:v>34.820010000000003</c:v>
                </c:pt>
                <c:pt idx="1891">
                  <c:v>36</c:v>
                </c:pt>
                <c:pt idx="1892">
                  <c:v>35.520000000000003</c:v>
                </c:pt>
                <c:pt idx="1893">
                  <c:v>35.210009999999997</c:v>
                </c:pt>
                <c:pt idx="1894">
                  <c:v>35.22</c:v>
                </c:pt>
                <c:pt idx="1895">
                  <c:v>36.17</c:v>
                </c:pt>
                <c:pt idx="1896">
                  <c:v>35.950000000000003</c:v>
                </c:pt>
                <c:pt idx="1897">
                  <c:v>35.799999999999997</c:v>
                </c:pt>
                <c:pt idx="1898">
                  <c:v>36.240009999999998</c:v>
                </c:pt>
                <c:pt idx="1899">
                  <c:v>37.100009999999997</c:v>
                </c:pt>
                <c:pt idx="1900">
                  <c:v>36.960009999999997</c:v>
                </c:pt>
                <c:pt idx="1901">
                  <c:v>37.950000000000003</c:v>
                </c:pt>
                <c:pt idx="1902">
                  <c:v>38.619999999999997</c:v>
                </c:pt>
                <c:pt idx="1903">
                  <c:v>39.64</c:v>
                </c:pt>
                <c:pt idx="1904">
                  <c:v>39.42</c:v>
                </c:pt>
                <c:pt idx="1905">
                  <c:v>39.049999999999997</c:v>
                </c:pt>
                <c:pt idx="1906">
                  <c:v>38.19</c:v>
                </c:pt>
                <c:pt idx="1907">
                  <c:v>38.380000000000003</c:v>
                </c:pt>
                <c:pt idx="1908">
                  <c:v>39.11</c:v>
                </c:pt>
                <c:pt idx="1909">
                  <c:v>38.450000000000003</c:v>
                </c:pt>
                <c:pt idx="1910">
                  <c:v>38.24</c:v>
                </c:pt>
                <c:pt idx="1911">
                  <c:v>38.31</c:v>
                </c:pt>
                <c:pt idx="1912">
                  <c:v>37.89</c:v>
                </c:pt>
                <c:pt idx="1913">
                  <c:v>37.49</c:v>
                </c:pt>
                <c:pt idx="1914">
                  <c:v>37.4</c:v>
                </c:pt>
                <c:pt idx="1915">
                  <c:v>35.47</c:v>
                </c:pt>
                <c:pt idx="1916">
                  <c:v>35.07</c:v>
                </c:pt>
                <c:pt idx="1917">
                  <c:v>34.549999999999997</c:v>
                </c:pt>
                <c:pt idx="1918">
                  <c:v>32.799999999999997</c:v>
                </c:pt>
                <c:pt idx="1919">
                  <c:v>32</c:v>
                </c:pt>
                <c:pt idx="1920">
                  <c:v>33.68</c:v>
                </c:pt>
                <c:pt idx="1921">
                  <c:v>36.71</c:v>
                </c:pt>
                <c:pt idx="1922">
                  <c:v>35.75</c:v>
                </c:pt>
                <c:pt idx="1923">
                  <c:v>36.68</c:v>
                </c:pt>
                <c:pt idx="1924">
                  <c:v>39.14</c:v>
                </c:pt>
                <c:pt idx="1925">
                  <c:v>39.299999999999997</c:v>
                </c:pt>
                <c:pt idx="1926">
                  <c:v>39.25</c:v>
                </c:pt>
                <c:pt idx="1927">
                  <c:v>38.24</c:v>
                </c:pt>
                <c:pt idx="1928">
                  <c:v>36.450000000000003</c:v>
                </c:pt>
                <c:pt idx="1929">
                  <c:v>35.159999999999997</c:v>
                </c:pt>
                <c:pt idx="1930">
                  <c:v>37.130000000000003</c:v>
                </c:pt>
                <c:pt idx="1931">
                  <c:v>38.380000000000003</c:v>
                </c:pt>
                <c:pt idx="1932">
                  <c:v>38.82</c:v>
                </c:pt>
                <c:pt idx="1933">
                  <c:v>38.4</c:v>
                </c:pt>
                <c:pt idx="1934">
                  <c:v>38.85</c:v>
                </c:pt>
                <c:pt idx="1935">
                  <c:v>36.909999999999997</c:v>
                </c:pt>
                <c:pt idx="1936">
                  <c:v>39.07</c:v>
                </c:pt>
                <c:pt idx="1937">
                  <c:v>41.19</c:v>
                </c:pt>
                <c:pt idx="1938">
                  <c:v>42.17</c:v>
                </c:pt>
                <c:pt idx="1939">
                  <c:v>42.04</c:v>
                </c:pt>
                <c:pt idx="1940">
                  <c:v>41.13</c:v>
                </c:pt>
                <c:pt idx="1941">
                  <c:v>41.08</c:v>
                </c:pt>
                <c:pt idx="1942">
                  <c:v>41</c:v>
                </c:pt>
                <c:pt idx="1943">
                  <c:v>40.340000000000003</c:v>
                </c:pt>
                <c:pt idx="1944">
                  <c:v>40.49</c:v>
                </c:pt>
                <c:pt idx="1945">
                  <c:v>38.729999999999997</c:v>
                </c:pt>
                <c:pt idx="1946">
                  <c:v>38.42</c:v>
                </c:pt>
                <c:pt idx="1947">
                  <c:v>42.18</c:v>
                </c:pt>
                <c:pt idx="1948">
                  <c:v>41.83</c:v>
                </c:pt>
                <c:pt idx="1949">
                  <c:v>40.43</c:v>
                </c:pt>
                <c:pt idx="1950">
                  <c:v>41.85</c:v>
                </c:pt>
                <c:pt idx="1951">
                  <c:v>40.590000000000003</c:v>
                </c:pt>
                <c:pt idx="1952">
                  <c:v>41.7</c:v>
                </c:pt>
                <c:pt idx="1953">
                  <c:v>42.78</c:v>
                </c:pt>
                <c:pt idx="1954">
                  <c:v>43.4</c:v>
                </c:pt>
                <c:pt idx="1955">
                  <c:v>42.78</c:v>
                </c:pt>
                <c:pt idx="1956">
                  <c:v>41.81</c:v>
                </c:pt>
                <c:pt idx="1957">
                  <c:v>42.7</c:v>
                </c:pt>
                <c:pt idx="1958">
                  <c:v>42.11</c:v>
                </c:pt>
                <c:pt idx="1959">
                  <c:v>42.05</c:v>
                </c:pt>
                <c:pt idx="1960">
                  <c:v>42.8</c:v>
                </c:pt>
                <c:pt idx="1961">
                  <c:v>42.5</c:v>
                </c:pt>
                <c:pt idx="1962">
                  <c:v>42.49</c:v>
                </c:pt>
                <c:pt idx="1963">
                  <c:v>42.87</c:v>
                </c:pt>
                <c:pt idx="1964">
                  <c:v>42.23</c:v>
                </c:pt>
                <c:pt idx="1965">
                  <c:v>43.48</c:v>
                </c:pt>
                <c:pt idx="1966">
                  <c:v>43.991999999999997</c:v>
                </c:pt>
                <c:pt idx="1967">
                  <c:v>43.63</c:v>
                </c:pt>
                <c:pt idx="1968">
                  <c:v>43.43</c:v>
                </c:pt>
                <c:pt idx="1969">
                  <c:v>45.25</c:v>
                </c:pt>
                <c:pt idx="1970">
                  <c:v>43.29</c:v>
                </c:pt>
                <c:pt idx="1971">
                  <c:v>42.78</c:v>
                </c:pt>
                <c:pt idx="1972">
                  <c:v>40.549999999999997</c:v>
                </c:pt>
                <c:pt idx="1973">
                  <c:v>40.18</c:v>
                </c:pt>
                <c:pt idx="1974">
                  <c:v>43.94</c:v>
                </c:pt>
                <c:pt idx="1975">
                  <c:v>43.31</c:v>
                </c:pt>
                <c:pt idx="1976">
                  <c:v>43.32</c:v>
                </c:pt>
                <c:pt idx="1977">
                  <c:v>43.03</c:v>
                </c:pt>
                <c:pt idx="1978">
                  <c:v>44.430999999999997</c:v>
                </c:pt>
                <c:pt idx="1979">
                  <c:v>45.05</c:v>
                </c:pt>
                <c:pt idx="1980">
                  <c:v>45.25</c:v>
                </c:pt>
                <c:pt idx="1981">
                  <c:v>44.13</c:v>
                </c:pt>
                <c:pt idx="1982">
                  <c:v>43.41</c:v>
                </c:pt>
                <c:pt idx="1983">
                  <c:v>45.65</c:v>
                </c:pt>
                <c:pt idx="1984">
                  <c:v>41.92</c:v>
                </c:pt>
                <c:pt idx="1985">
                  <c:v>42.73</c:v>
                </c:pt>
                <c:pt idx="1986">
                  <c:v>40.94</c:v>
                </c:pt>
                <c:pt idx="1987">
                  <c:v>43.09</c:v>
                </c:pt>
                <c:pt idx="1988">
                  <c:v>41.12</c:v>
                </c:pt>
                <c:pt idx="1989">
                  <c:v>41.86</c:v>
                </c:pt>
                <c:pt idx="1990">
                  <c:v>43.02</c:v>
                </c:pt>
                <c:pt idx="1991">
                  <c:v>41.5</c:v>
                </c:pt>
                <c:pt idx="1992">
                  <c:v>42.22</c:v>
                </c:pt>
                <c:pt idx="1993">
                  <c:v>38.11</c:v>
                </c:pt>
                <c:pt idx="1994">
                  <c:v>40.82</c:v>
                </c:pt>
                <c:pt idx="1995">
                  <c:v>41.44</c:v>
                </c:pt>
                <c:pt idx="1996">
                  <c:v>41.51</c:v>
                </c:pt>
                <c:pt idx="1997">
                  <c:v>41.78</c:v>
                </c:pt>
                <c:pt idx="1998">
                  <c:v>40.58</c:v>
                </c:pt>
                <c:pt idx="1999">
                  <c:v>40.92</c:v>
                </c:pt>
                <c:pt idx="2000">
                  <c:v>41.01</c:v>
                </c:pt>
                <c:pt idx="2001">
                  <c:v>42.43</c:v>
                </c:pt>
                <c:pt idx="2002">
                  <c:v>42.4</c:v>
                </c:pt>
                <c:pt idx="2003">
                  <c:v>41.43</c:v>
                </c:pt>
                <c:pt idx="2004">
                  <c:v>41.61</c:v>
                </c:pt>
                <c:pt idx="2005">
                  <c:v>42.63</c:v>
                </c:pt>
                <c:pt idx="2006">
                  <c:v>43.53</c:v>
                </c:pt>
                <c:pt idx="2007">
                  <c:v>43.8</c:v>
                </c:pt>
                <c:pt idx="2008">
                  <c:v>43.69</c:v>
                </c:pt>
                <c:pt idx="2009">
                  <c:v>41.39</c:v>
                </c:pt>
                <c:pt idx="2010">
                  <c:v>42.35</c:v>
                </c:pt>
                <c:pt idx="2011">
                  <c:v>41.25</c:v>
                </c:pt>
                <c:pt idx="2012">
                  <c:v>41.3</c:v>
                </c:pt>
                <c:pt idx="2013">
                  <c:v>40.5</c:v>
                </c:pt>
                <c:pt idx="2014">
                  <c:v>41.83</c:v>
                </c:pt>
                <c:pt idx="2015">
                  <c:v>41.53</c:v>
                </c:pt>
                <c:pt idx="2016">
                  <c:v>42.08</c:v>
                </c:pt>
                <c:pt idx="2017">
                  <c:v>41.26</c:v>
                </c:pt>
                <c:pt idx="2018">
                  <c:v>41.21</c:v>
                </c:pt>
                <c:pt idx="2019">
                  <c:v>40.83</c:v>
                </c:pt>
                <c:pt idx="2020">
                  <c:v>41.04</c:v>
                </c:pt>
                <c:pt idx="2021">
                  <c:v>40.1</c:v>
                </c:pt>
                <c:pt idx="2022">
                  <c:v>41.89</c:v>
                </c:pt>
                <c:pt idx="2023">
                  <c:v>40.840000000000003</c:v>
                </c:pt>
                <c:pt idx="2024">
                  <c:v>43.58</c:v>
                </c:pt>
                <c:pt idx="2025">
                  <c:v>44.5</c:v>
                </c:pt>
                <c:pt idx="2026">
                  <c:v>45.25</c:v>
                </c:pt>
                <c:pt idx="2027">
                  <c:v>44.5</c:v>
                </c:pt>
                <c:pt idx="2028">
                  <c:v>44.27</c:v>
                </c:pt>
                <c:pt idx="2029">
                  <c:v>44.68</c:v>
                </c:pt>
                <c:pt idx="2030">
                  <c:v>44.25</c:v>
                </c:pt>
                <c:pt idx="2031">
                  <c:v>44.74</c:v>
                </c:pt>
                <c:pt idx="2032">
                  <c:v>44</c:v>
                </c:pt>
                <c:pt idx="2033">
                  <c:v>45.26</c:v>
                </c:pt>
                <c:pt idx="2034">
                  <c:v>45.77</c:v>
                </c:pt>
                <c:pt idx="2035">
                  <c:v>45.9</c:v>
                </c:pt>
                <c:pt idx="2036">
                  <c:v>44.68</c:v>
                </c:pt>
                <c:pt idx="2037">
                  <c:v>43.63</c:v>
                </c:pt>
                <c:pt idx="2038">
                  <c:v>43.9</c:v>
                </c:pt>
                <c:pt idx="2039">
                  <c:v>44.43</c:v>
                </c:pt>
                <c:pt idx="2040">
                  <c:v>43.54</c:v>
                </c:pt>
                <c:pt idx="2041">
                  <c:v>43.23</c:v>
                </c:pt>
                <c:pt idx="2042">
                  <c:v>43.24</c:v>
                </c:pt>
                <c:pt idx="2043">
                  <c:v>43.56</c:v>
                </c:pt>
                <c:pt idx="2044">
                  <c:v>42.87</c:v>
                </c:pt>
                <c:pt idx="2045">
                  <c:v>41.64</c:v>
                </c:pt>
                <c:pt idx="2046">
                  <c:v>41.52</c:v>
                </c:pt>
                <c:pt idx="2047">
                  <c:v>42.26</c:v>
                </c:pt>
                <c:pt idx="2048">
                  <c:v>41.25</c:v>
                </c:pt>
                <c:pt idx="2049">
                  <c:v>41.64</c:v>
                </c:pt>
                <c:pt idx="2050">
                  <c:v>41.97</c:v>
                </c:pt>
                <c:pt idx="2051">
                  <c:v>44.08</c:v>
                </c:pt>
                <c:pt idx="2052">
                  <c:v>44.09</c:v>
                </c:pt>
                <c:pt idx="2053">
                  <c:v>44.46</c:v>
                </c:pt>
                <c:pt idx="2054">
                  <c:v>44.9</c:v>
                </c:pt>
                <c:pt idx="2055">
                  <c:v>45.29</c:v>
                </c:pt>
                <c:pt idx="2056">
                  <c:v>44.05</c:v>
                </c:pt>
                <c:pt idx="2057">
                  <c:v>44.21</c:v>
                </c:pt>
                <c:pt idx="2058">
                  <c:v>43.48</c:v>
                </c:pt>
                <c:pt idx="2059">
                  <c:v>44.24</c:v>
                </c:pt>
                <c:pt idx="2060">
                  <c:v>44.66</c:v>
                </c:pt>
                <c:pt idx="2061">
                  <c:v>44.12</c:v>
                </c:pt>
                <c:pt idx="2062">
                  <c:v>44.29</c:v>
                </c:pt>
                <c:pt idx="2063">
                  <c:v>44.73</c:v>
                </c:pt>
                <c:pt idx="2064">
                  <c:v>45.69</c:v>
                </c:pt>
                <c:pt idx="2065">
                  <c:v>44.51</c:v>
                </c:pt>
                <c:pt idx="2066">
                  <c:v>44.37</c:v>
                </c:pt>
                <c:pt idx="2067">
                  <c:v>45.24</c:v>
                </c:pt>
                <c:pt idx="2068">
                  <c:v>44.67</c:v>
                </c:pt>
                <c:pt idx="2069">
                  <c:v>44.88</c:v>
                </c:pt>
                <c:pt idx="2070">
                  <c:v>44.08</c:v>
                </c:pt>
                <c:pt idx="2071">
                  <c:v>45.47</c:v>
                </c:pt>
                <c:pt idx="2072">
                  <c:v>46.34</c:v>
                </c:pt>
                <c:pt idx="2073">
                  <c:v>45.45</c:v>
                </c:pt>
                <c:pt idx="2074">
                  <c:v>45.29</c:v>
                </c:pt>
                <c:pt idx="2075">
                  <c:v>45.68</c:v>
                </c:pt>
                <c:pt idx="2076">
                  <c:v>45.78</c:v>
                </c:pt>
                <c:pt idx="2077">
                  <c:v>46.39</c:v>
                </c:pt>
                <c:pt idx="2078">
                  <c:v>45.92</c:v>
                </c:pt>
                <c:pt idx="2079">
                  <c:v>46.13</c:v>
                </c:pt>
                <c:pt idx="2080">
                  <c:v>46.34</c:v>
                </c:pt>
                <c:pt idx="2081">
                  <c:v>48.01</c:v>
                </c:pt>
                <c:pt idx="2082">
                  <c:v>47.84</c:v>
                </c:pt>
                <c:pt idx="2083">
                  <c:v>48.890999999999998</c:v>
                </c:pt>
                <c:pt idx="2084">
                  <c:v>48.34</c:v>
                </c:pt>
                <c:pt idx="2085">
                  <c:v>49.45</c:v>
                </c:pt>
                <c:pt idx="2086">
                  <c:v>50.05</c:v>
                </c:pt>
                <c:pt idx="2087">
                  <c:v>50.78</c:v>
                </c:pt>
                <c:pt idx="2088">
                  <c:v>48.26</c:v>
                </c:pt>
                <c:pt idx="2089">
                  <c:v>49.93</c:v>
                </c:pt>
                <c:pt idx="2090">
                  <c:v>50.978999999999999</c:v>
                </c:pt>
                <c:pt idx="2091">
                  <c:v>51.97</c:v>
                </c:pt>
                <c:pt idx="2092">
                  <c:v>50.01</c:v>
                </c:pt>
                <c:pt idx="2093">
                  <c:v>49.9</c:v>
                </c:pt>
                <c:pt idx="2094">
                  <c:v>51.32</c:v>
                </c:pt>
                <c:pt idx="2095">
                  <c:v>51.4</c:v>
                </c:pt>
                <c:pt idx="2096">
                  <c:v>50.521000000000001</c:v>
                </c:pt>
                <c:pt idx="2097">
                  <c:v>49.8</c:v>
                </c:pt>
                <c:pt idx="2098">
                  <c:v>50.18</c:v>
                </c:pt>
                <c:pt idx="2099">
                  <c:v>50.72</c:v>
                </c:pt>
                <c:pt idx="2100">
                  <c:v>50.98</c:v>
                </c:pt>
                <c:pt idx="2101">
                  <c:v>51.62</c:v>
                </c:pt>
                <c:pt idx="2102">
                  <c:v>51.52</c:v>
                </c:pt>
                <c:pt idx="2103">
                  <c:v>53.04</c:v>
                </c:pt>
                <c:pt idx="2104">
                  <c:v>53.35</c:v>
                </c:pt>
                <c:pt idx="2105">
                  <c:v>51.44</c:v>
                </c:pt>
                <c:pt idx="2106">
                  <c:v>53.75</c:v>
                </c:pt>
                <c:pt idx="2107">
                  <c:v>52.97</c:v>
                </c:pt>
                <c:pt idx="2108">
                  <c:v>53.7</c:v>
                </c:pt>
                <c:pt idx="2109">
                  <c:v>55.65</c:v>
                </c:pt>
                <c:pt idx="2110">
                  <c:v>53.74</c:v>
                </c:pt>
                <c:pt idx="2111">
                  <c:v>52.39</c:v>
                </c:pt>
                <c:pt idx="2112">
                  <c:v>54.7</c:v>
                </c:pt>
                <c:pt idx="2113">
                  <c:v>54.88</c:v>
                </c:pt>
                <c:pt idx="2114">
                  <c:v>54.14</c:v>
                </c:pt>
                <c:pt idx="2115">
                  <c:v>54.6</c:v>
                </c:pt>
                <c:pt idx="2116">
                  <c:v>56.48</c:v>
                </c:pt>
                <c:pt idx="2117">
                  <c:v>55.86</c:v>
                </c:pt>
                <c:pt idx="2118">
                  <c:v>56.66</c:v>
                </c:pt>
                <c:pt idx="2119">
                  <c:v>56.01</c:v>
                </c:pt>
                <c:pt idx="2120">
                  <c:v>55.43</c:v>
                </c:pt>
                <c:pt idx="2121">
                  <c:v>56.46</c:v>
                </c:pt>
                <c:pt idx="2122">
                  <c:v>57.17</c:v>
                </c:pt>
                <c:pt idx="2123">
                  <c:v>56.11</c:v>
                </c:pt>
                <c:pt idx="2124">
                  <c:v>55.97</c:v>
                </c:pt>
                <c:pt idx="2125">
                  <c:v>57.08</c:v>
                </c:pt>
                <c:pt idx="2126">
                  <c:v>55.32</c:v>
                </c:pt>
                <c:pt idx="2127">
                  <c:v>53.35</c:v>
                </c:pt>
                <c:pt idx="2128">
                  <c:v>53.24</c:v>
                </c:pt>
                <c:pt idx="2129">
                  <c:v>54.12</c:v>
                </c:pt>
                <c:pt idx="2130">
                  <c:v>53.29</c:v>
                </c:pt>
                <c:pt idx="2131">
                  <c:v>52.4</c:v>
                </c:pt>
                <c:pt idx="2132">
                  <c:v>54.95</c:v>
                </c:pt>
                <c:pt idx="2133">
                  <c:v>55.54</c:v>
                </c:pt>
                <c:pt idx="2134">
                  <c:v>56.09</c:v>
                </c:pt>
                <c:pt idx="2135">
                  <c:v>57.84</c:v>
                </c:pt>
                <c:pt idx="2136">
                  <c:v>58</c:v>
                </c:pt>
                <c:pt idx="2137">
                  <c:v>58.76</c:v>
                </c:pt>
                <c:pt idx="2138">
                  <c:v>60</c:v>
                </c:pt>
                <c:pt idx="2139">
                  <c:v>59.88</c:v>
                </c:pt>
                <c:pt idx="2140">
                  <c:v>58.79</c:v>
                </c:pt>
                <c:pt idx="2141">
                  <c:v>58.29</c:v>
                </c:pt>
                <c:pt idx="2142">
                  <c:v>59.09</c:v>
                </c:pt>
                <c:pt idx="2143">
                  <c:v>60.46</c:v>
                </c:pt>
                <c:pt idx="2144">
                  <c:v>59.78</c:v>
                </c:pt>
                <c:pt idx="2145">
                  <c:v>60.34</c:v>
                </c:pt>
                <c:pt idx="2146">
                  <c:v>63.25</c:v>
                </c:pt>
                <c:pt idx="2147">
                  <c:v>62.05</c:v>
                </c:pt>
                <c:pt idx="2148">
                  <c:v>62.92</c:v>
                </c:pt>
                <c:pt idx="2149">
                  <c:v>60.96</c:v>
                </c:pt>
                <c:pt idx="2150">
                  <c:v>61.06</c:v>
                </c:pt>
                <c:pt idx="2151">
                  <c:v>60.42</c:v>
                </c:pt>
                <c:pt idx="2152">
                  <c:v>63.19</c:v>
                </c:pt>
                <c:pt idx="2153">
                  <c:v>63.06</c:v>
                </c:pt>
                <c:pt idx="2154">
                  <c:v>62.46</c:v>
                </c:pt>
                <c:pt idx="2155">
                  <c:v>61.74</c:v>
                </c:pt>
                <c:pt idx="2156">
                  <c:v>61.8</c:v>
                </c:pt>
                <c:pt idx="2157">
                  <c:v>63.45</c:v>
                </c:pt>
                <c:pt idx="2158">
                  <c:v>65.239999999999995</c:v>
                </c:pt>
                <c:pt idx="2159">
                  <c:v>64.75</c:v>
                </c:pt>
                <c:pt idx="2160">
                  <c:v>64.680000000000007</c:v>
                </c:pt>
                <c:pt idx="2161">
                  <c:v>65.67</c:v>
                </c:pt>
                <c:pt idx="2162">
                  <c:v>65</c:v>
                </c:pt>
                <c:pt idx="2163">
                  <c:v>65</c:v>
                </c:pt>
                <c:pt idx="2164">
                  <c:v>65.56</c:v>
                </c:pt>
                <c:pt idx="2165">
                  <c:v>65.16</c:v>
                </c:pt>
                <c:pt idx="2166">
                  <c:v>65.36</c:v>
                </c:pt>
                <c:pt idx="2167">
                  <c:v>64.17</c:v>
                </c:pt>
                <c:pt idx="2168">
                  <c:v>62.67</c:v>
                </c:pt>
                <c:pt idx="2169">
                  <c:v>64.150000000000006</c:v>
                </c:pt>
                <c:pt idx="2170">
                  <c:v>61.98</c:v>
                </c:pt>
                <c:pt idx="2171">
                  <c:v>60.66</c:v>
                </c:pt>
                <c:pt idx="2172">
                  <c:v>64.069999999999993</c:v>
                </c:pt>
                <c:pt idx="2173">
                  <c:v>64.05</c:v>
                </c:pt>
                <c:pt idx="2174">
                  <c:v>63.99</c:v>
                </c:pt>
                <c:pt idx="2175">
                  <c:v>64.790000000000006</c:v>
                </c:pt>
                <c:pt idx="2176">
                  <c:v>65.69</c:v>
                </c:pt>
                <c:pt idx="2177">
                  <c:v>64.95</c:v>
                </c:pt>
                <c:pt idx="2178">
                  <c:v>64.97</c:v>
                </c:pt>
                <c:pt idx="2179">
                  <c:v>64.61</c:v>
                </c:pt>
                <c:pt idx="2180">
                  <c:v>64.13</c:v>
                </c:pt>
                <c:pt idx="2181">
                  <c:v>63.02</c:v>
                </c:pt>
                <c:pt idx="2182">
                  <c:v>61.94</c:v>
                </c:pt>
                <c:pt idx="2183">
                  <c:v>62.35</c:v>
                </c:pt>
                <c:pt idx="2184">
                  <c:v>62.08</c:v>
                </c:pt>
                <c:pt idx="2185">
                  <c:v>62.41</c:v>
                </c:pt>
                <c:pt idx="2186">
                  <c:v>62.45</c:v>
                </c:pt>
                <c:pt idx="2187">
                  <c:v>61.79</c:v>
                </c:pt>
                <c:pt idx="2188">
                  <c:v>63.19</c:v>
                </c:pt>
                <c:pt idx="2189">
                  <c:v>62.84</c:v>
                </c:pt>
                <c:pt idx="2190">
                  <c:v>65.53</c:v>
                </c:pt>
                <c:pt idx="2191">
                  <c:v>66.09</c:v>
                </c:pt>
                <c:pt idx="2192">
                  <c:v>65.489999999999995</c:v>
                </c:pt>
                <c:pt idx="2193">
                  <c:v>65.739999999999995</c:v>
                </c:pt>
                <c:pt idx="2194">
                  <c:v>63.81</c:v>
                </c:pt>
                <c:pt idx="2195">
                  <c:v>62.33</c:v>
                </c:pt>
                <c:pt idx="2196">
                  <c:v>61.83</c:v>
                </c:pt>
                <c:pt idx="2197">
                  <c:v>60.52</c:v>
                </c:pt>
                <c:pt idx="2198">
                  <c:v>63.64</c:v>
                </c:pt>
                <c:pt idx="2199">
                  <c:v>64.069999999999993</c:v>
                </c:pt>
                <c:pt idx="2200">
                  <c:v>64.44</c:v>
                </c:pt>
                <c:pt idx="2201">
                  <c:v>63.74</c:v>
                </c:pt>
                <c:pt idx="2202">
                  <c:v>64.19</c:v>
                </c:pt>
                <c:pt idx="2203">
                  <c:v>62.37</c:v>
                </c:pt>
                <c:pt idx="2204">
                  <c:v>63.16</c:v>
                </c:pt>
                <c:pt idx="2205">
                  <c:v>62.67</c:v>
                </c:pt>
                <c:pt idx="2206">
                  <c:v>62.49</c:v>
                </c:pt>
                <c:pt idx="2207">
                  <c:v>63.11</c:v>
                </c:pt>
                <c:pt idx="2208">
                  <c:v>66.39</c:v>
                </c:pt>
                <c:pt idx="2209">
                  <c:v>65.900000000000006</c:v>
                </c:pt>
                <c:pt idx="2210">
                  <c:v>68.45</c:v>
                </c:pt>
                <c:pt idx="2211">
                  <c:v>68.48</c:v>
                </c:pt>
                <c:pt idx="2212">
                  <c:v>69</c:v>
                </c:pt>
                <c:pt idx="2213">
                  <c:v>68.03</c:v>
                </c:pt>
                <c:pt idx="2214">
                  <c:v>68.400000000000006</c:v>
                </c:pt>
                <c:pt idx="2215">
                  <c:v>67.34</c:v>
                </c:pt>
                <c:pt idx="2216">
                  <c:v>66.69</c:v>
                </c:pt>
                <c:pt idx="2217">
                  <c:v>65.59</c:v>
                </c:pt>
                <c:pt idx="2218">
                  <c:v>65.900000000000006</c:v>
                </c:pt>
                <c:pt idx="2219">
                  <c:v>66.84</c:v>
                </c:pt>
                <c:pt idx="2220">
                  <c:v>66.03</c:v>
                </c:pt>
                <c:pt idx="2221">
                  <c:v>68.17</c:v>
                </c:pt>
                <c:pt idx="2222">
                  <c:v>67.95</c:v>
                </c:pt>
                <c:pt idx="2223">
                  <c:v>67.64</c:v>
                </c:pt>
                <c:pt idx="2224">
                  <c:v>68.510000000000005</c:v>
                </c:pt>
                <c:pt idx="2225">
                  <c:v>67.59</c:v>
                </c:pt>
                <c:pt idx="2226">
                  <c:v>66.33</c:v>
                </c:pt>
                <c:pt idx="2227">
                  <c:v>65.69</c:v>
                </c:pt>
                <c:pt idx="2228">
                  <c:v>65.72</c:v>
                </c:pt>
                <c:pt idx="2229">
                  <c:v>66.400000000000006</c:v>
                </c:pt>
                <c:pt idx="2230">
                  <c:v>65.3</c:v>
                </c:pt>
                <c:pt idx="2231">
                  <c:v>62.5</c:v>
                </c:pt>
                <c:pt idx="2232">
                  <c:v>61.83</c:v>
                </c:pt>
                <c:pt idx="2233">
                  <c:v>61.08</c:v>
                </c:pt>
                <c:pt idx="2234">
                  <c:v>60.9</c:v>
                </c:pt>
                <c:pt idx="2235">
                  <c:v>63.31</c:v>
                </c:pt>
                <c:pt idx="2236">
                  <c:v>63.95</c:v>
                </c:pt>
                <c:pt idx="2237">
                  <c:v>63.74</c:v>
                </c:pt>
                <c:pt idx="2238">
                  <c:v>63.63</c:v>
                </c:pt>
                <c:pt idx="2239">
                  <c:v>62.92</c:v>
                </c:pt>
                <c:pt idx="2240">
                  <c:v>63.87</c:v>
                </c:pt>
                <c:pt idx="2241">
                  <c:v>64.400000000000006</c:v>
                </c:pt>
                <c:pt idx="2242">
                  <c:v>63.94</c:v>
                </c:pt>
                <c:pt idx="2243">
                  <c:v>63.5</c:v>
                </c:pt>
                <c:pt idx="2244">
                  <c:v>66.11</c:v>
                </c:pt>
                <c:pt idx="2245">
                  <c:v>65.39</c:v>
                </c:pt>
                <c:pt idx="2246">
                  <c:v>64.819999999999993</c:v>
                </c:pt>
                <c:pt idx="2247">
                  <c:v>63.79</c:v>
                </c:pt>
                <c:pt idx="2248">
                  <c:v>63.37</c:v>
                </c:pt>
                <c:pt idx="2249">
                  <c:v>62.51</c:v>
                </c:pt>
                <c:pt idx="2250">
                  <c:v>62.41</c:v>
                </c:pt>
                <c:pt idx="2251">
                  <c:v>64.290000000000006</c:v>
                </c:pt>
                <c:pt idx="2252">
                  <c:v>65.319999999999993</c:v>
                </c:pt>
                <c:pt idx="2253">
                  <c:v>66.540000000000006</c:v>
                </c:pt>
                <c:pt idx="2254">
                  <c:v>65.39</c:v>
                </c:pt>
                <c:pt idx="2255">
                  <c:v>65.040000000000006</c:v>
                </c:pt>
                <c:pt idx="2256">
                  <c:v>65.44</c:v>
                </c:pt>
                <c:pt idx="2257">
                  <c:v>64.86</c:v>
                </c:pt>
                <c:pt idx="2258">
                  <c:v>65.89</c:v>
                </c:pt>
                <c:pt idx="2259">
                  <c:v>69.569999999999993</c:v>
                </c:pt>
                <c:pt idx="2260">
                  <c:v>69.05</c:v>
                </c:pt>
                <c:pt idx="2261">
                  <c:v>69.23</c:v>
                </c:pt>
                <c:pt idx="2262">
                  <c:v>69.36</c:v>
                </c:pt>
                <c:pt idx="2263">
                  <c:v>71.599999999999994</c:v>
                </c:pt>
                <c:pt idx="2264">
                  <c:v>72.72</c:v>
                </c:pt>
                <c:pt idx="2265">
                  <c:v>69.3</c:v>
                </c:pt>
                <c:pt idx="2266">
                  <c:v>69.099999999999994</c:v>
                </c:pt>
                <c:pt idx="2267">
                  <c:v>66.489999999999995</c:v>
                </c:pt>
                <c:pt idx="2268">
                  <c:v>67.569999999999993</c:v>
                </c:pt>
                <c:pt idx="2269">
                  <c:v>66.91</c:v>
                </c:pt>
                <c:pt idx="2270">
                  <c:v>66.73</c:v>
                </c:pt>
                <c:pt idx="2271">
                  <c:v>68</c:v>
                </c:pt>
                <c:pt idx="2272">
                  <c:v>68</c:v>
                </c:pt>
                <c:pt idx="2273">
                  <c:v>67.61</c:v>
                </c:pt>
                <c:pt idx="2274">
                  <c:v>67.39</c:v>
                </c:pt>
                <c:pt idx="2275">
                  <c:v>67.44</c:v>
                </c:pt>
                <c:pt idx="2276">
                  <c:v>67.66</c:v>
                </c:pt>
                <c:pt idx="2277">
                  <c:v>68.3</c:v>
                </c:pt>
                <c:pt idx="2278">
                  <c:v>68.459999999999994</c:v>
                </c:pt>
                <c:pt idx="2279">
                  <c:v>68.900000000000006</c:v>
                </c:pt>
                <c:pt idx="2280">
                  <c:v>68.83</c:v>
                </c:pt>
                <c:pt idx="2281">
                  <c:v>68.17</c:v>
                </c:pt>
                <c:pt idx="2282">
                  <c:v>68.87</c:v>
                </c:pt>
                <c:pt idx="2283">
                  <c:v>68</c:v>
                </c:pt>
                <c:pt idx="2284">
                  <c:v>67.81</c:v>
                </c:pt>
                <c:pt idx="2285">
                  <c:v>69.400000000000006</c:v>
                </c:pt>
                <c:pt idx="2286">
                  <c:v>70.55</c:v>
                </c:pt>
                <c:pt idx="2287">
                  <c:v>72.040000000000006</c:v>
                </c:pt>
                <c:pt idx="2288">
                  <c:v>71.77</c:v>
                </c:pt>
                <c:pt idx="2289">
                  <c:v>70.84</c:v>
                </c:pt>
                <c:pt idx="2290">
                  <c:v>70.84</c:v>
                </c:pt>
                <c:pt idx="2291">
                  <c:v>72.14</c:v>
                </c:pt>
                <c:pt idx="2292">
                  <c:v>72.63</c:v>
                </c:pt>
                <c:pt idx="2293">
                  <c:v>73.010000000000005</c:v>
                </c:pt>
                <c:pt idx="2294">
                  <c:v>73.97</c:v>
                </c:pt>
                <c:pt idx="2295">
                  <c:v>74.14</c:v>
                </c:pt>
                <c:pt idx="2296">
                  <c:v>75.099999999999994</c:v>
                </c:pt>
                <c:pt idx="2297">
                  <c:v>74.599999999999994</c:v>
                </c:pt>
                <c:pt idx="2298">
                  <c:v>72.78</c:v>
                </c:pt>
                <c:pt idx="2299">
                  <c:v>72.56</c:v>
                </c:pt>
                <c:pt idx="2300">
                  <c:v>73.44</c:v>
                </c:pt>
                <c:pt idx="2301">
                  <c:v>72.569999999999993</c:v>
                </c:pt>
                <c:pt idx="2302">
                  <c:v>71.3</c:v>
                </c:pt>
                <c:pt idx="2303">
                  <c:v>72.41</c:v>
                </c:pt>
                <c:pt idx="2304">
                  <c:v>74.510000000000005</c:v>
                </c:pt>
                <c:pt idx="2305">
                  <c:v>74.959999999999994</c:v>
                </c:pt>
                <c:pt idx="2306">
                  <c:v>74.92</c:v>
                </c:pt>
                <c:pt idx="2307">
                  <c:v>76.44</c:v>
                </c:pt>
                <c:pt idx="2308">
                  <c:v>76.03</c:v>
                </c:pt>
                <c:pt idx="2309">
                  <c:v>77.44</c:v>
                </c:pt>
                <c:pt idx="2310">
                  <c:v>76.5</c:v>
                </c:pt>
                <c:pt idx="2311">
                  <c:v>77.180000000000007</c:v>
                </c:pt>
                <c:pt idx="2312">
                  <c:v>78.760000000000005</c:v>
                </c:pt>
                <c:pt idx="2313">
                  <c:v>78.459999999999994</c:v>
                </c:pt>
                <c:pt idx="2314">
                  <c:v>77.37</c:v>
                </c:pt>
                <c:pt idx="2315">
                  <c:v>77.25</c:v>
                </c:pt>
                <c:pt idx="2316">
                  <c:v>77.14</c:v>
                </c:pt>
                <c:pt idx="2317">
                  <c:v>77.61</c:v>
                </c:pt>
                <c:pt idx="2318">
                  <c:v>77.63</c:v>
                </c:pt>
                <c:pt idx="2319">
                  <c:v>76.58</c:v>
                </c:pt>
                <c:pt idx="2320">
                  <c:v>76.150000000000006</c:v>
                </c:pt>
                <c:pt idx="2321">
                  <c:v>75.739999999999995</c:v>
                </c:pt>
                <c:pt idx="2322">
                  <c:v>75.819999999999993</c:v>
                </c:pt>
                <c:pt idx="2323">
                  <c:v>76.23</c:v>
                </c:pt>
                <c:pt idx="2324">
                  <c:v>79.67</c:v>
                </c:pt>
                <c:pt idx="2325">
                  <c:v>77.709999999999994</c:v>
                </c:pt>
                <c:pt idx="2326">
                  <c:v>77.819999999999993</c:v>
                </c:pt>
                <c:pt idx="2327">
                  <c:v>80.085800000000006</c:v>
                </c:pt>
                <c:pt idx="2328">
                  <c:v>80.540000000000006</c:v>
                </c:pt>
                <c:pt idx="2329">
                  <c:v>80.41</c:v>
                </c:pt>
                <c:pt idx="2330">
                  <c:v>80.77</c:v>
                </c:pt>
                <c:pt idx="2331">
                  <c:v>80.099999999999994</c:v>
                </c:pt>
                <c:pt idx="2332">
                  <c:v>77.75</c:v>
                </c:pt>
                <c:pt idx="2333">
                  <c:v>80.77</c:v>
                </c:pt>
                <c:pt idx="2334">
                  <c:v>81.569999999999993</c:v>
                </c:pt>
                <c:pt idx="2335">
                  <c:v>81.78</c:v>
                </c:pt>
                <c:pt idx="2336">
                  <c:v>83.76</c:v>
                </c:pt>
                <c:pt idx="2337">
                  <c:v>83.93</c:v>
                </c:pt>
                <c:pt idx="2338">
                  <c:v>84.11</c:v>
                </c:pt>
                <c:pt idx="2339">
                  <c:v>83.57</c:v>
                </c:pt>
                <c:pt idx="2340">
                  <c:v>83.99</c:v>
                </c:pt>
                <c:pt idx="2341">
                  <c:v>84.83</c:v>
                </c:pt>
                <c:pt idx="2342">
                  <c:v>85.65</c:v>
                </c:pt>
                <c:pt idx="2343">
                  <c:v>85.94</c:v>
                </c:pt>
                <c:pt idx="2344">
                  <c:v>85.45</c:v>
                </c:pt>
                <c:pt idx="2345">
                  <c:v>86.19</c:v>
                </c:pt>
                <c:pt idx="2346">
                  <c:v>86.16</c:v>
                </c:pt>
                <c:pt idx="2347">
                  <c:v>89.14</c:v>
                </c:pt>
                <c:pt idx="2348">
                  <c:v>90.97</c:v>
                </c:pt>
                <c:pt idx="2349">
                  <c:v>90</c:v>
                </c:pt>
                <c:pt idx="2350">
                  <c:v>89.91</c:v>
                </c:pt>
                <c:pt idx="2351">
                  <c:v>90.45</c:v>
                </c:pt>
                <c:pt idx="2352">
                  <c:v>91.77</c:v>
                </c:pt>
                <c:pt idx="2353">
                  <c:v>92.61</c:v>
                </c:pt>
                <c:pt idx="2354">
                  <c:v>91.87</c:v>
                </c:pt>
                <c:pt idx="2355">
                  <c:v>92.1</c:v>
                </c:pt>
                <c:pt idx="2356">
                  <c:v>92.07</c:v>
                </c:pt>
                <c:pt idx="2357">
                  <c:v>91.86</c:v>
                </c:pt>
                <c:pt idx="2358">
                  <c:v>92.22</c:v>
                </c:pt>
                <c:pt idx="2359">
                  <c:v>91.33</c:v>
                </c:pt>
                <c:pt idx="2360">
                  <c:v>94.5</c:v>
                </c:pt>
                <c:pt idx="2361">
                  <c:v>95.95</c:v>
                </c:pt>
                <c:pt idx="2362">
                  <c:v>95.91</c:v>
                </c:pt>
                <c:pt idx="2363">
                  <c:v>95.1</c:v>
                </c:pt>
                <c:pt idx="2364">
                  <c:v>93.25</c:v>
                </c:pt>
                <c:pt idx="2365">
                  <c:v>92.38</c:v>
                </c:pt>
                <c:pt idx="2366">
                  <c:v>93.15</c:v>
                </c:pt>
                <c:pt idx="2367">
                  <c:v>91</c:v>
                </c:pt>
                <c:pt idx="2368">
                  <c:v>92.55</c:v>
                </c:pt>
                <c:pt idx="2369">
                  <c:v>91.71</c:v>
                </c:pt>
                <c:pt idx="2370">
                  <c:v>92.39</c:v>
                </c:pt>
                <c:pt idx="2371">
                  <c:v>93.55</c:v>
                </c:pt>
                <c:pt idx="2372">
                  <c:v>91.97</c:v>
                </c:pt>
                <c:pt idx="2373">
                  <c:v>88.45</c:v>
                </c:pt>
                <c:pt idx="2374">
                  <c:v>90.32</c:v>
                </c:pt>
                <c:pt idx="2375">
                  <c:v>89.6</c:v>
                </c:pt>
                <c:pt idx="2376">
                  <c:v>90.78</c:v>
                </c:pt>
                <c:pt idx="2377">
                  <c:v>90.46</c:v>
                </c:pt>
                <c:pt idx="2378">
                  <c:v>88.92</c:v>
                </c:pt>
                <c:pt idx="2379">
                  <c:v>89.6</c:v>
                </c:pt>
                <c:pt idx="2380">
                  <c:v>89.25</c:v>
                </c:pt>
                <c:pt idx="2381">
                  <c:v>88.25</c:v>
                </c:pt>
                <c:pt idx="2382">
                  <c:v>89.67</c:v>
                </c:pt>
                <c:pt idx="2383">
                  <c:v>89.25</c:v>
                </c:pt>
                <c:pt idx="2384">
                  <c:v>91.87</c:v>
                </c:pt>
                <c:pt idx="2385">
                  <c:v>93.19</c:v>
                </c:pt>
                <c:pt idx="2386">
                  <c:v>93.7</c:v>
                </c:pt>
                <c:pt idx="2387">
                  <c:v>93.49</c:v>
                </c:pt>
                <c:pt idx="2388">
                  <c:v>94.73</c:v>
                </c:pt>
                <c:pt idx="2389">
                  <c:v>95.38</c:v>
                </c:pt>
                <c:pt idx="2390">
                  <c:v>94.01</c:v>
                </c:pt>
                <c:pt idx="2391">
                  <c:v>94.36</c:v>
                </c:pt>
                <c:pt idx="2392">
                  <c:v>95.68</c:v>
                </c:pt>
                <c:pt idx="2393">
                  <c:v>97.93</c:v>
                </c:pt>
                <c:pt idx="2394">
                  <c:v>93.57</c:v>
                </c:pt>
                <c:pt idx="2395">
                  <c:v>93.84</c:v>
                </c:pt>
                <c:pt idx="2396">
                  <c:v>94.165000000000006</c:v>
                </c:pt>
                <c:pt idx="2397">
                  <c:v>95.11</c:v>
                </c:pt>
                <c:pt idx="2398">
                  <c:v>95.84</c:v>
                </c:pt>
                <c:pt idx="2399">
                  <c:v>95.21</c:v>
                </c:pt>
                <c:pt idx="2400">
                  <c:v>94.44</c:v>
                </c:pt>
                <c:pt idx="2401">
                  <c:v>91.85</c:v>
                </c:pt>
                <c:pt idx="2402">
                  <c:v>94.17</c:v>
                </c:pt>
                <c:pt idx="2403">
                  <c:v>90.62</c:v>
                </c:pt>
                <c:pt idx="2404">
                  <c:v>85.85</c:v>
                </c:pt>
                <c:pt idx="2405">
                  <c:v>87.42</c:v>
                </c:pt>
                <c:pt idx="2406">
                  <c:v>88.5</c:v>
                </c:pt>
                <c:pt idx="2407">
                  <c:v>86.99</c:v>
                </c:pt>
                <c:pt idx="2408">
                  <c:v>88.29</c:v>
                </c:pt>
                <c:pt idx="2409">
                  <c:v>88.91</c:v>
                </c:pt>
                <c:pt idx="2410">
                  <c:v>87.4</c:v>
                </c:pt>
                <c:pt idx="2411">
                  <c:v>87.12</c:v>
                </c:pt>
                <c:pt idx="2412">
                  <c:v>88.41</c:v>
                </c:pt>
                <c:pt idx="2413">
                  <c:v>89.42</c:v>
                </c:pt>
                <c:pt idx="2414">
                  <c:v>89.37</c:v>
                </c:pt>
                <c:pt idx="2415">
                  <c:v>90.03</c:v>
                </c:pt>
                <c:pt idx="2416">
                  <c:v>91</c:v>
                </c:pt>
                <c:pt idx="2417">
                  <c:v>93.17</c:v>
                </c:pt>
                <c:pt idx="2418">
                  <c:v>93.86</c:v>
                </c:pt>
                <c:pt idx="2419">
                  <c:v>91.39</c:v>
                </c:pt>
                <c:pt idx="2420">
                  <c:v>91.6</c:v>
                </c:pt>
                <c:pt idx="2421">
                  <c:v>92.49</c:v>
                </c:pt>
                <c:pt idx="2422">
                  <c:v>92.37</c:v>
                </c:pt>
                <c:pt idx="2423">
                  <c:v>90.26</c:v>
                </c:pt>
                <c:pt idx="2424">
                  <c:v>88.74</c:v>
                </c:pt>
                <c:pt idx="2425">
                  <c:v>87.66</c:v>
                </c:pt>
                <c:pt idx="2426">
                  <c:v>89.8</c:v>
                </c:pt>
                <c:pt idx="2427">
                  <c:v>85.58</c:v>
                </c:pt>
                <c:pt idx="2428">
                  <c:v>84.79</c:v>
                </c:pt>
                <c:pt idx="2429">
                  <c:v>83.55</c:v>
                </c:pt>
                <c:pt idx="2430">
                  <c:v>77.33</c:v>
                </c:pt>
                <c:pt idx="2431">
                  <c:v>77.02</c:v>
                </c:pt>
                <c:pt idx="2432">
                  <c:v>74.28</c:v>
                </c:pt>
                <c:pt idx="2433">
                  <c:v>71.959999999999994</c:v>
                </c:pt>
                <c:pt idx="2434">
                  <c:v>71.23</c:v>
                </c:pt>
                <c:pt idx="2435">
                  <c:v>71.81</c:v>
                </c:pt>
                <c:pt idx="2436">
                  <c:v>73.28</c:v>
                </c:pt>
                <c:pt idx="2437">
                  <c:v>72.540000000000006</c:v>
                </c:pt>
                <c:pt idx="2438">
                  <c:v>71.319999999999993</c:v>
                </c:pt>
                <c:pt idx="2439">
                  <c:v>70.31</c:v>
                </c:pt>
                <c:pt idx="2440">
                  <c:v>72.010000000000005</c:v>
                </c:pt>
                <c:pt idx="2441">
                  <c:v>71.88</c:v>
                </c:pt>
                <c:pt idx="2442">
                  <c:v>72</c:v>
                </c:pt>
                <c:pt idx="2443">
                  <c:v>70.510000000000005</c:v>
                </c:pt>
                <c:pt idx="2444">
                  <c:v>72.569999999999993</c:v>
                </c:pt>
                <c:pt idx="2445">
                  <c:v>72.53</c:v>
                </c:pt>
                <c:pt idx="2446">
                  <c:v>72.05</c:v>
                </c:pt>
                <c:pt idx="2447">
                  <c:v>73.34</c:v>
                </c:pt>
                <c:pt idx="2448">
                  <c:v>79.42</c:v>
                </c:pt>
                <c:pt idx="2449">
                  <c:v>78.63</c:v>
                </c:pt>
                <c:pt idx="2450">
                  <c:v>78.09</c:v>
                </c:pt>
                <c:pt idx="2451">
                  <c:v>78</c:v>
                </c:pt>
                <c:pt idx="2452">
                  <c:v>81.180000000000007</c:v>
                </c:pt>
                <c:pt idx="2453">
                  <c:v>82.77</c:v>
                </c:pt>
                <c:pt idx="2454">
                  <c:v>83.74</c:v>
                </c:pt>
                <c:pt idx="2455">
                  <c:v>82.72</c:v>
                </c:pt>
                <c:pt idx="2456">
                  <c:v>82.07</c:v>
                </c:pt>
                <c:pt idx="2457">
                  <c:v>80.5</c:v>
                </c:pt>
                <c:pt idx="2458">
                  <c:v>80.430000000000007</c:v>
                </c:pt>
                <c:pt idx="2459">
                  <c:v>80.63</c:v>
                </c:pt>
                <c:pt idx="2460">
                  <c:v>80.09</c:v>
                </c:pt>
                <c:pt idx="2461">
                  <c:v>78.680000000000007</c:v>
                </c:pt>
                <c:pt idx="2462">
                  <c:v>78.819999999999993</c:v>
                </c:pt>
                <c:pt idx="2463">
                  <c:v>78.349999999999994</c:v>
                </c:pt>
                <c:pt idx="2464">
                  <c:v>75.819999999999993</c:v>
                </c:pt>
                <c:pt idx="2465">
                  <c:v>72</c:v>
                </c:pt>
                <c:pt idx="2466">
                  <c:v>73.11</c:v>
                </c:pt>
                <c:pt idx="2467">
                  <c:v>72.48</c:v>
                </c:pt>
                <c:pt idx="2468">
                  <c:v>72.819999999999993</c:v>
                </c:pt>
                <c:pt idx="2469">
                  <c:v>73.11</c:v>
                </c:pt>
                <c:pt idx="2470">
                  <c:v>73.17</c:v>
                </c:pt>
                <c:pt idx="2471">
                  <c:v>73.959999999999994</c:v>
                </c:pt>
                <c:pt idx="2472">
                  <c:v>73.37</c:v>
                </c:pt>
                <c:pt idx="2473">
                  <c:v>76.33</c:v>
                </c:pt>
                <c:pt idx="2474">
                  <c:v>74.430000000000007</c:v>
                </c:pt>
                <c:pt idx="2475">
                  <c:v>76.209999999999994</c:v>
                </c:pt>
                <c:pt idx="2476">
                  <c:v>73.95</c:v>
                </c:pt>
                <c:pt idx="2477">
                  <c:v>71.900000000000006</c:v>
                </c:pt>
                <c:pt idx="2478">
                  <c:v>69.81</c:v>
                </c:pt>
                <c:pt idx="2479">
                  <c:v>69.28</c:v>
                </c:pt>
                <c:pt idx="2480">
                  <c:v>68.06</c:v>
                </c:pt>
                <c:pt idx="2481">
                  <c:v>68.03</c:v>
                </c:pt>
                <c:pt idx="2482">
                  <c:v>68.010000000000005</c:v>
                </c:pt>
                <c:pt idx="2483">
                  <c:v>68.209999999999994</c:v>
                </c:pt>
                <c:pt idx="2484">
                  <c:v>71.319999999999993</c:v>
                </c:pt>
                <c:pt idx="2485">
                  <c:v>70.099999999999994</c:v>
                </c:pt>
                <c:pt idx="2486">
                  <c:v>70.540000000000006</c:v>
                </c:pt>
                <c:pt idx="2487">
                  <c:v>69.989999999999995</c:v>
                </c:pt>
                <c:pt idx="2488">
                  <c:v>70.16</c:v>
                </c:pt>
                <c:pt idx="2489">
                  <c:v>70.95</c:v>
                </c:pt>
                <c:pt idx="2490">
                  <c:v>66.75</c:v>
                </c:pt>
                <c:pt idx="2491">
                  <c:v>68.290000000000006</c:v>
                </c:pt>
                <c:pt idx="2492">
                  <c:v>67.17</c:v>
                </c:pt>
                <c:pt idx="2493">
                  <c:v>66</c:v>
                </c:pt>
                <c:pt idx="2494">
                  <c:v>64.38</c:v>
                </c:pt>
                <c:pt idx="2495">
                  <c:v>64.27</c:v>
                </c:pt>
                <c:pt idx="2496">
                  <c:v>63.87</c:v>
                </c:pt>
                <c:pt idx="2497">
                  <c:v>62.96</c:v>
                </c:pt>
                <c:pt idx="2498">
                  <c:v>65.13</c:v>
                </c:pt>
                <c:pt idx="2499">
                  <c:v>67.14</c:v>
                </c:pt>
                <c:pt idx="2500">
                  <c:v>66.510000000000005</c:v>
                </c:pt>
                <c:pt idx="2501">
                  <c:v>68.599999999999994</c:v>
                </c:pt>
                <c:pt idx="2502">
                  <c:v>73.2</c:v>
                </c:pt>
                <c:pt idx="2503">
                  <c:v>74.2</c:v>
                </c:pt>
                <c:pt idx="2504">
                  <c:v>73.97</c:v>
                </c:pt>
                <c:pt idx="2505">
                  <c:v>74.77</c:v>
                </c:pt>
                <c:pt idx="2506">
                  <c:v>75.45</c:v>
                </c:pt>
                <c:pt idx="2507">
                  <c:v>76.209999999999994</c:v>
                </c:pt>
                <c:pt idx="2508">
                  <c:v>75</c:v>
                </c:pt>
                <c:pt idx="2509">
                  <c:v>75.39</c:v>
                </c:pt>
                <c:pt idx="2510">
                  <c:v>75.53</c:v>
                </c:pt>
                <c:pt idx="2511">
                  <c:v>79.33</c:v>
                </c:pt>
                <c:pt idx="2512">
                  <c:v>78.05</c:v>
                </c:pt>
                <c:pt idx="2513">
                  <c:v>80.180000000000007</c:v>
                </c:pt>
                <c:pt idx="2514">
                  <c:v>79.7</c:v>
                </c:pt>
                <c:pt idx="2515">
                  <c:v>81.41</c:v>
                </c:pt>
                <c:pt idx="2516">
                  <c:v>82.84</c:v>
                </c:pt>
                <c:pt idx="2517">
                  <c:v>83.1</c:v>
                </c:pt>
                <c:pt idx="2518">
                  <c:v>84.83</c:v>
                </c:pt>
                <c:pt idx="2519">
                  <c:v>83.12</c:v>
                </c:pt>
                <c:pt idx="2520">
                  <c:v>83.26</c:v>
                </c:pt>
                <c:pt idx="2521">
                  <c:v>83.86</c:v>
                </c:pt>
                <c:pt idx="2522">
                  <c:v>83.23</c:v>
                </c:pt>
                <c:pt idx="2523">
                  <c:v>83.09</c:v>
                </c:pt>
                <c:pt idx="2524">
                  <c:v>84.84</c:v>
                </c:pt>
                <c:pt idx="2525">
                  <c:v>85.33</c:v>
                </c:pt>
                <c:pt idx="2526">
                  <c:v>79.63</c:v>
                </c:pt>
                <c:pt idx="2527">
                  <c:v>79.510000000000005</c:v>
                </c:pt>
                <c:pt idx="2528">
                  <c:v>79.86</c:v>
                </c:pt>
                <c:pt idx="2529">
                  <c:v>80.25</c:v>
                </c:pt>
                <c:pt idx="2530">
                  <c:v>80.17</c:v>
                </c:pt>
                <c:pt idx="2531">
                  <c:v>80.08</c:v>
                </c:pt>
                <c:pt idx="2532">
                  <c:v>78.849999999999994</c:v>
                </c:pt>
                <c:pt idx="2533">
                  <c:v>80.94</c:v>
                </c:pt>
                <c:pt idx="2534">
                  <c:v>81.599999999999994</c:v>
                </c:pt>
                <c:pt idx="2535">
                  <c:v>80.83</c:v>
                </c:pt>
                <c:pt idx="2536">
                  <c:v>80.709999999999994</c:v>
                </c:pt>
                <c:pt idx="2537">
                  <c:v>81.010000000000005</c:v>
                </c:pt>
                <c:pt idx="2538">
                  <c:v>82.21</c:v>
                </c:pt>
                <c:pt idx="2539">
                  <c:v>81.180000000000007</c:v>
                </c:pt>
                <c:pt idx="2540">
                  <c:v>81.510000000000005</c:v>
                </c:pt>
                <c:pt idx="2541">
                  <c:v>81.55</c:v>
                </c:pt>
                <c:pt idx="2542">
                  <c:v>81.290000000000006</c:v>
                </c:pt>
                <c:pt idx="2543">
                  <c:v>82.08</c:v>
                </c:pt>
                <c:pt idx="2544">
                  <c:v>83.02</c:v>
                </c:pt>
                <c:pt idx="2545">
                  <c:v>79.989999999999995</c:v>
                </c:pt>
                <c:pt idx="2546">
                  <c:v>81.34</c:v>
                </c:pt>
                <c:pt idx="2547">
                  <c:v>81.92</c:v>
                </c:pt>
                <c:pt idx="2548">
                  <c:v>80.38</c:v>
                </c:pt>
                <c:pt idx="2549">
                  <c:v>79.53</c:v>
                </c:pt>
                <c:pt idx="2550">
                  <c:v>77.61</c:v>
                </c:pt>
                <c:pt idx="2551">
                  <c:v>77.150000000000006</c:v>
                </c:pt>
                <c:pt idx="2552">
                  <c:v>77.400000000000006</c:v>
                </c:pt>
                <c:pt idx="2553">
                  <c:v>77.12</c:v>
                </c:pt>
                <c:pt idx="2554">
                  <c:v>77.02</c:v>
                </c:pt>
                <c:pt idx="2555">
                  <c:v>76.98</c:v>
                </c:pt>
                <c:pt idx="2556">
                  <c:v>78.180000000000007</c:v>
                </c:pt>
                <c:pt idx="2557">
                  <c:v>79.739999999999995</c:v>
                </c:pt>
                <c:pt idx="2558">
                  <c:v>78.430000000000007</c:v>
                </c:pt>
                <c:pt idx="2559">
                  <c:v>78.17</c:v>
                </c:pt>
                <c:pt idx="2560">
                  <c:v>78.66</c:v>
                </c:pt>
                <c:pt idx="2561">
                  <c:v>78</c:v>
                </c:pt>
                <c:pt idx="2562">
                  <c:v>78.760000000000005</c:v>
                </c:pt>
                <c:pt idx="2563">
                  <c:v>76.44</c:v>
                </c:pt>
                <c:pt idx="2564">
                  <c:v>74.02</c:v>
                </c:pt>
                <c:pt idx="2565">
                  <c:v>76.430000000000007</c:v>
                </c:pt>
                <c:pt idx="2566">
                  <c:v>76.319999999999993</c:v>
                </c:pt>
                <c:pt idx="2567">
                  <c:v>77.3</c:v>
                </c:pt>
                <c:pt idx="2568">
                  <c:v>76.42</c:v>
                </c:pt>
                <c:pt idx="2569">
                  <c:v>75.8</c:v>
                </c:pt>
                <c:pt idx="2570">
                  <c:v>75.53</c:v>
                </c:pt>
                <c:pt idx="2571">
                  <c:v>74.239999999999995</c:v>
                </c:pt>
                <c:pt idx="2572">
                  <c:v>74.489999999999995</c:v>
                </c:pt>
                <c:pt idx="2573">
                  <c:v>75.22</c:v>
                </c:pt>
                <c:pt idx="2574">
                  <c:v>75</c:v>
                </c:pt>
                <c:pt idx="2575">
                  <c:v>73.64</c:v>
                </c:pt>
                <c:pt idx="2576">
                  <c:v>73.64</c:v>
                </c:pt>
                <c:pt idx="2577">
                  <c:v>74.23</c:v>
                </c:pt>
                <c:pt idx="2578">
                  <c:v>75.03</c:v>
                </c:pt>
                <c:pt idx="2579">
                  <c:v>74.69</c:v>
                </c:pt>
                <c:pt idx="2580">
                  <c:v>77.5</c:v>
                </c:pt>
                <c:pt idx="2581">
                  <c:v>76.44</c:v>
                </c:pt>
                <c:pt idx="2582">
                  <c:v>75.91</c:v>
                </c:pt>
                <c:pt idx="2583">
                  <c:v>75.95</c:v>
                </c:pt>
                <c:pt idx="2584">
                  <c:v>74</c:v>
                </c:pt>
                <c:pt idx="2585">
                  <c:v>74.400000000000006</c:v>
                </c:pt>
                <c:pt idx="2586">
                  <c:v>73.09</c:v>
                </c:pt>
                <c:pt idx="2587">
                  <c:v>74.33</c:v>
                </c:pt>
                <c:pt idx="2588">
                  <c:v>74.84</c:v>
                </c:pt>
                <c:pt idx="2589">
                  <c:v>74.59</c:v>
                </c:pt>
                <c:pt idx="2590">
                  <c:v>75.069999999999993</c:v>
                </c:pt>
                <c:pt idx="2591">
                  <c:v>74.260000000000005</c:v>
                </c:pt>
                <c:pt idx="2592">
                  <c:v>73.13</c:v>
                </c:pt>
                <c:pt idx="2593">
                  <c:v>72.010000000000005</c:v>
                </c:pt>
                <c:pt idx="2594">
                  <c:v>72.91</c:v>
                </c:pt>
                <c:pt idx="2595">
                  <c:v>71.17</c:v>
                </c:pt>
                <c:pt idx="2596">
                  <c:v>74.290000000000006</c:v>
                </c:pt>
                <c:pt idx="2597">
                  <c:v>74.06</c:v>
                </c:pt>
                <c:pt idx="2598">
                  <c:v>73.64</c:v>
                </c:pt>
                <c:pt idx="2599">
                  <c:v>74.099999999999994</c:v>
                </c:pt>
                <c:pt idx="2600">
                  <c:v>75.55</c:v>
                </c:pt>
                <c:pt idx="2601">
                  <c:v>74.97</c:v>
                </c:pt>
                <c:pt idx="2602">
                  <c:v>75.209999999999994</c:v>
                </c:pt>
                <c:pt idx="2603">
                  <c:v>73.78</c:v>
                </c:pt>
                <c:pt idx="2604">
                  <c:v>74.180000000000007</c:v>
                </c:pt>
                <c:pt idx="2605">
                  <c:v>76.02</c:v>
                </c:pt>
                <c:pt idx="2606">
                  <c:v>74.89</c:v>
                </c:pt>
                <c:pt idx="2607">
                  <c:v>74.5</c:v>
                </c:pt>
                <c:pt idx="2608">
                  <c:v>73.34</c:v>
                </c:pt>
                <c:pt idx="2609">
                  <c:v>73.97</c:v>
                </c:pt>
                <c:pt idx="2610">
                  <c:v>74.23</c:v>
                </c:pt>
                <c:pt idx="2611">
                  <c:v>72.680000000000007</c:v>
                </c:pt>
                <c:pt idx="2612">
                  <c:v>74.25</c:v>
                </c:pt>
                <c:pt idx="2613">
                  <c:v>73.12</c:v>
                </c:pt>
                <c:pt idx="2614">
                  <c:v>74.2</c:v>
                </c:pt>
                <c:pt idx="2615">
                  <c:v>73.180000000000007</c:v>
                </c:pt>
                <c:pt idx="2616">
                  <c:v>73.599999999999994</c:v>
                </c:pt>
                <c:pt idx="2617">
                  <c:v>73.39</c:v>
                </c:pt>
                <c:pt idx="2618">
                  <c:v>72.12</c:v>
                </c:pt>
                <c:pt idx="2619">
                  <c:v>73.16</c:v>
                </c:pt>
                <c:pt idx="2620">
                  <c:v>72.2</c:v>
                </c:pt>
                <c:pt idx="2621">
                  <c:v>68.64</c:v>
                </c:pt>
                <c:pt idx="2622">
                  <c:v>69.42</c:v>
                </c:pt>
                <c:pt idx="2623">
                  <c:v>69.47</c:v>
                </c:pt>
                <c:pt idx="2624">
                  <c:v>70.31</c:v>
                </c:pt>
                <c:pt idx="2625">
                  <c:v>70.459999999999994</c:v>
                </c:pt>
                <c:pt idx="2626">
                  <c:v>71.48</c:v>
                </c:pt>
                <c:pt idx="2627">
                  <c:v>70.930000000000007</c:v>
                </c:pt>
                <c:pt idx="2628">
                  <c:v>71.069999999999993</c:v>
                </c:pt>
                <c:pt idx="2629">
                  <c:v>71.430000000000007</c:v>
                </c:pt>
                <c:pt idx="2630">
                  <c:v>71.58</c:v>
                </c:pt>
                <c:pt idx="2631">
                  <c:v>73.95</c:v>
                </c:pt>
                <c:pt idx="2632">
                  <c:v>73.75</c:v>
                </c:pt>
                <c:pt idx="2633">
                  <c:v>75.36</c:v>
                </c:pt>
                <c:pt idx="2634">
                  <c:v>75.87</c:v>
                </c:pt>
                <c:pt idx="2635">
                  <c:v>76.7</c:v>
                </c:pt>
                <c:pt idx="2636">
                  <c:v>76.040000000000006</c:v>
                </c:pt>
                <c:pt idx="2637">
                  <c:v>77.8</c:v>
                </c:pt>
                <c:pt idx="2638">
                  <c:v>78.36</c:v>
                </c:pt>
                <c:pt idx="2639">
                  <c:v>78.430000000000007</c:v>
                </c:pt>
                <c:pt idx="2640">
                  <c:v>78.69</c:v>
                </c:pt>
                <c:pt idx="2641">
                  <c:v>78.95</c:v>
                </c:pt>
                <c:pt idx="2642">
                  <c:v>78.19</c:v>
                </c:pt>
                <c:pt idx="2643">
                  <c:v>78.39</c:v>
                </c:pt>
                <c:pt idx="2644">
                  <c:v>78.599999999999994</c:v>
                </c:pt>
                <c:pt idx="2645">
                  <c:v>77.56</c:v>
                </c:pt>
                <c:pt idx="2646">
                  <c:v>81.209999999999994</c:v>
                </c:pt>
                <c:pt idx="2647">
                  <c:v>80.459999999999994</c:v>
                </c:pt>
                <c:pt idx="2648">
                  <c:v>81.09</c:v>
                </c:pt>
                <c:pt idx="2649">
                  <c:v>79.84</c:v>
                </c:pt>
                <c:pt idx="2650">
                  <c:v>78.88</c:v>
                </c:pt>
                <c:pt idx="2651">
                  <c:v>79.459999999999994</c:v>
                </c:pt>
                <c:pt idx="2652">
                  <c:v>78.540000000000006</c:v>
                </c:pt>
                <c:pt idx="2653">
                  <c:v>78</c:v>
                </c:pt>
                <c:pt idx="2654">
                  <c:v>78.2</c:v>
                </c:pt>
                <c:pt idx="2655">
                  <c:v>78.19</c:v>
                </c:pt>
                <c:pt idx="2656">
                  <c:v>77.14</c:v>
                </c:pt>
                <c:pt idx="2657">
                  <c:v>77.209999999999994</c:v>
                </c:pt>
                <c:pt idx="2658">
                  <c:v>80.23</c:v>
                </c:pt>
                <c:pt idx="2659">
                  <c:v>79.13</c:v>
                </c:pt>
                <c:pt idx="2660">
                  <c:v>78.92</c:v>
                </c:pt>
                <c:pt idx="2661">
                  <c:v>78.22</c:v>
                </c:pt>
                <c:pt idx="2662">
                  <c:v>78</c:v>
                </c:pt>
                <c:pt idx="2663">
                  <c:v>77.66</c:v>
                </c:pt>
                <c:pt idx="2664">
                  <c:v>75.87</c:v>
                </c:pt>
                <c:pt idx="2665">
                  <c:v>74.430000000000007</c:v>
                </c:pt>
                <c:pt idx="2666">
                  <c:v>73.989999999999995</c:v>
                </c:pt>
                <c:pt idx="2667">
                  <c:v>74.319999999999993</c:v>
                </c:pt>
                <c:pt idx="2668">
                  <c:v>73.72</c:v>
                </c:pt>
                <c:pt idx="2669">
                  <c:v>73.650000000000006</c:v>
                </c:pt>
                <c:pt idx="2670">
                  <c:v>73.930000000000007</c:v>
                </c:pt>
                <c:pt idx="2671">
                  <c:v>73.89</c:v>
                </c:pt>
                <c:pt idx="2672">
                  <c:v>72.86</c:v>
                </c:pt>
                <c:pt idx="2673">
                  <c:v>72.540000000000006</c:v>
                </c:pt>
                <c:pt idx="2674">
                  <c:v>73.17</c:v>
                </c:pt>
                <c:pt idx="2675">
                  <c:v>71.83</c:v>
                </c:pt>
                <c:pt idx="2676">
                  <c:v>71.58</c:v>
                </c:pt>
                <c:pt idx="2677">
                  <c:v>72.05</c:v>
                </c:pt>
                <c:pt idx="2678">
                  <c:v>72.8</c:v>
                </c:pt>
                <c:pt idx="2679">
                  <c:v>74.02</c:v>
                </c:pt>
                <c:pt idx="2680">
                  <c:v>75.94</c:v>
                </c:pt>
                <c:pt idx="2681">
                  <c:v>75.150000000000006</c:v>
                </c:pt>
                <c:pt idx="2682">
                  <c:v>75.069999999999993</c:v>
                </c:pt>
                <c:pt idx="2683">
                  <c:v>74.8</c:v>
                </c:pt>
                <c:pt idx="2684">
                  <c:v>74.510000000000005</c:v>
                </c:pt>
                <c:pt idx="2685">
                  <c:v>73.03</c:v>
                </c:pt>
                <c:pt idx="2686">
                  <c:v>72.78</c:v>
                </c:pt>
                <c:pt idx="2687">
                  <c:v>72.72</c:v>
                </c:pt>
                <c:pt idx="2688">
                  <c:v>73.239999999999995</c:v>
                </c:pt>
                <c:pt idx="2689">
                  <c:v>71.989999999999995</c:v>
                </c:pt>
                <c:pt idx="2690">
                  <c:v>73.5</c:v>
                </c:pt>
                <c:pt idx="2691">
                  <c:v>73.12</c:v>
                </c:pt>
                <c:pt idx="2692">
                  <c:v>74.39</c:v>
                </c:pt>
                <c:pt idx="2693">
                  <c:v>73.56</c:v>
                </c:pt>
                <c:pt idx="2694">
                  <c:v>74.540000000000006</c:v>
                </c:pt>
                <c:pt idx="2695">
                  <c:v>75.66</c:v>
                </c:pt>
                <c:pt idx="2696">
                  <c:v>75.89</c:v>
                </c:pt>
                <c:pt idx="2697">
                  <c:v>75.77</c:v>
                </c:pt>
                <c:pt idx="2698">
                  <c:v>75.680000000000007</c:v>
                </c:pt>
                <c:pt idx="2699">
                  <c:v>76.5</c:v>
                </c:pt>
                <c:pt idx="2700">
                  <c:v>77</c:v>
                </c:pt>
                <c:pt idx="2701">
                  <c:v>76.94</c:v>
                </c:pt>
                <c:pt idx="2702">
                  <c:v>77.010000000000005</c:v>
                </c:pt>
                <c:pt idx="2703">
                  <c:v>77.010000000000005</c:v>
                </c:pt>
                <c:pt idx="2704">
                  <c:v>78.66</c:v>
                </c:pt>
                <c:pt idx="2705">
                  <c:v>78.17</c:v>
                </c:pt>
                <c:pt idx="2706">
                  <c:v>77.900000000000006</c:v>
                </c:pt>
                <c:pt idx="2707">
                  <c:v>78.19</c:v>
                </c:pt>
                <c:pt idx="2708">
                  <c:v>77.680000000000007</c:v>
                </c:pt>
                <c:pt idx="2709">
                  <c:v>77.02</c:v>
                </c:pt>
                <c:pt idx="2710">
                  <c:v>76.760000000000005</c:v>
                </c:pt>
                <c:pt idx="2711">
                  <c:v>77.38</c:v>
                </c:pt>
                <c:pt idx="2712">
                  <c:v>75.69</c:v>
                </c:pt>
                <c:pt idx="2713">
                  <c:v>75.27</c:v>
                </c:pt>
                <c:pt idx="2714">
                  <c:v>74.98</c:v>
                </c:pt>
                <c:pt idx="2715">
                  <c:v>73.77</c:v>
                </c:pt>
                <c:pt idx="2716">
                  <c:v>69.930000000000007</c:v>
                </c:pt>
                <c:pt idx="2717">
                  <c:v>67.19</c:v>
                </c:pt>
                <c:pt idx="2718">
                  <c:v>65.459999999999994</c:v>
                </c:pt>
                <c:pt idx="2719">
                  <c:v>65.400000000000006</c:v>
                </c:pt>
                <c:pt idx="2720">
                  <c:v>66.09</c:v>
                </c:pt>
                <c:pt idx="2721">
                  <c:v>66.33</c:v>
                </c:pt>
                <c:pt idx="2722">
                  <c:v>66.81</c:v>
                </c:pt>
                <c:pt idx="2723">
                  <c:v>66.64</c:v>
                </c:pt>
                <c:pt idx="2724">
                  <c:v>66.709999999999994</c:v>
                </c:pt>
                <c:pt idx="2725">
                  <c:v>66.39</c:v>
                </c:pt>
                <c:pt idx="2726">
                  <c:v>65.900000000000006</c:v>
                </c:pt>
                <c:pt idx="2727">
                  <c:v>64.59</c:v>
                </c:pt>
                <c:pt idx="2728">
                  <c:v>62.9</c:v>
                </c:pt>
                <c:pt idx="2729">
                  <c:v>63.03</c:v>
                </c:pt>
                <c:pt idx="2730">
                  <c:v>62.78</c:v>
                </c:pt>
                <c:pt idx="2731">
                  <c:v>62.51</c:v>
                </c:pt>
                <c:pt idx="2732">
                  <c:v>62.63</c:v>
                </c:pt>
                <c:pt idx="2733">
                  <c:v>61.89</c:v>
                </c:pt>
                <c:pt idx="2734">
                  <c:v>61.91</c:v>
                </c:pt>
                <c:pt idx="2735">
                  <c:v>61.26</c:v>
                </c:pt>
                <c:pt idx="2736">
                  <c:v>61.02</c:v>
                </c:pt>
                <c:pt idx="2737">
                  <c:v>59.53</c:v>
                </c:pt>
                <c:pt idx="2738">
                  <c:v>60.7</c:v>
                </c:pt>
                <c:pt idx="2739">
                  <c:v>58.87</c:v>
                </c:pt>
                <c:pt idx="2740">
                  <c:v>59.73</c:v>
                </c:pt>
                <c:pt idx="2741">
                  <c:v>60.55</c:v>
                </c:pt>
                <c:pt idx="2742">
                  <c:v>60.99</c:v>
                </c:pt>
                <c:pt idx="2743">
                  <c:v>61.13</c:v>
                </c:pt>
                <c:pt idx="2744">
                  <c:v>60.86</c:v>
                </c:pt>
                <c:pt idx="2745">
                  <c:v>62.54</c:v>
                </c:pt>
                <c:pt idx="2746">
                  <c:v>62.98</c:v>
                </c:pt>
                <c:pt idx="2747">
                  <c:v>63.79</c:v>
                </c:pt>
                <c:pt idx="2748">
                  <c:v>65.650000000000006</c:v>
                </c:pt>
                <c:pt idx="2749">
                  <c:v>66.819999999999993</c:v>
                </c:pt>
                <c:pt idx="2750">
                  <c:v>66.19</c:v>
                </c:pt>
                <c:pt idx="2751">
                  <c:v>67.03</c:v>
                </c:pt>
                <c:pt idx="2752">
                  <c:v>67.040000000000006</c:v>
                </c:pt>
                <c:pt idx="2753">
                  <c:v>68.44</c:v>
                </c:pt>
                <c:pt idx="2754">
                  <c:v>70.11</c:v>
                </c:pt>
                <c:pt idx="2755">
                  <c:v>70.489999999999995</c:v>
                </c:pt>
                <c:pt idx="2756">
                  <c:v>69.650000000000006</c:v>
                </c:pt>
                <c:pt idx="2757">
                  <c:v>69.27</c:v>
                </c:pt>
                <c:pt idx="2758">
                  <c:v>69.56</c:v>
                </c:pt>
                <c:pt idx="2759">
                  <c:v>71.010000000000005</c:v>
                </c:pt>
                <c:pt idx="2760">
                  <c:v>71.569999999999993</c:v>
                </c:pt>
                <c:pt idx="2761">
                  <c:v>72.040000000000006</c:v>
                </c:pt>
                <c:pt idx="2762">
                  <c:v>71.11</c:v>
                </c:pt>
                <c:pt idx="2763">
                  <c:v>71.66</c:v>
                </c:pt>
                <c:pt idx="2764">
                  <c:v>71.97</c:v>
                </c:pt>
                <c:pt idx="2765">
                  <c:v>71.16</c:v>
                </c:pt>
                <c:pt idx="2766">
                  <c:v>71.650000000000006</c:v>
                </c:pt>
                <c:pt idx="2767">
                  <c:v>71.2</c:v>
                </c:pt>
                <c:pt idx="2768">
                  <c:v>72.61</c:v>
                </c:pt>
                <c:pt idx="2769">
                  <c:v>71.209999999999994</c:v>
                </c:pt>
                <c:pt idx="2770">
                  <c:v>71.58</c:v>
                </c:pt>
                <c:pt idx="2771">
                  <c:v>70.22</c:v>
                </c:pt>
                <c:pt idx="2772">
                  <c:v>70.66</c:v>
                </c:pt>
                <c:pt idx="2773">
                  <c:v>68.5</c:v>
                </c:pt>
                <c:pt idx="2774">
                  <c:v>68.44</c:v>
                </c:pt>
                <c:pt idx="2775">
                  <c:v>67.53</c:v>
                </c:pt>
                <c:pt idx="2776">
                  <c:v>68.150000000000006</c:v>
                </c:pt>
                <c:pt idx="2777">
                  <c:v>67.87</c:v>
                </c:pt>
                <c:pt idx="2778">
                  <c:v>65.92</c:v>
                </c:pt>
                <c:pt idx="2779">
                  <c:v>63.61</c:v>
                </c:pt>
                <c:pt idx="2780">
                  <c:v>62.5</c:v>
                </c:pt>
                <c:pt idx="2781">
                  <c:v>62.3</c:v>
                </c:pt>
                <c:pt idx="2782">
                  <c:v>62.28</c:v>
                </c:pt>
                <c:pt idx="2783">
                  <c:v>61.89</c:v>
                </c:pt>
                <c:pt idx="2784">
                  <c:v>61.66</c:v>
                </c:pt>
                <c:pt idx="2785">
                  <c:v>60.8</c:v>
                </c:pt>
                <c:pt idx="2786">
                  <c:v>60.44</c:v>
                </c:pt>
                <c:pt idx="2787">
                  <c:v>60.29</c:v>
                </c:pt>
                <c:pt idx="2788">
                  <c:v>60.46</c:v>
                </c:pt>
                <c:pt idx="2789">
                  <c:v>60.65</c:v>
                </c:pt>
                <c:pt idx="2790">
                  <c:v>61.27</c:v>
                </c:pt>
                <c:pt idx="2791">
                  <c:v>60.8</c:v>
                </c:pt>
                <c:pt idx="2792">
                  <c:v>62.4</c:v>
                </c:pt>
                <c:pt idx="2793">
                  <c:v>62.81</c:v>
                </c:pt>
                <c:pt idx="2794">
                  <c:v>62.7</c:v>
                </c:pt>
                <c:pt idx="2795">
                  <c:v>62.15</c:v>
                </c:pt>
                <c:pt idx="2796">
                  <c:v>57.54</c:v>
                </c:pt>
                <c:pt idx="2797">
                  <c:v>56.7</c:v>
                </c:pt>
                <c:pt idx="2798">
                  <c:v>55.899000000000001</c:v>
                </c:pt>
                <c:pt idx="2799">
                  <c:v>54.84</c:v>
                </c:pt>
                <c:pt idx="2800">
                  <c:v>55.33</c:v>
                </c:pt>
                <c:pt idx="2801">
                  <c:v>54.51</c:v>
                </c:pt>
                <c:pt idx="2802">
                  <c:v>54.24</c:v>
                </c:pt>
                <c:pt idx="2803">
                  <c:v>54.4</c:v>
                </c:pt>
                <c:pt idx="2804">
                  <c:v>54.12</c:v>
                </c:pt>
                <c:pt idx="2805">
                  <c:v>55.86</c:v>
                </c:pt>
                <c:pt idx="2806">
                  <c:v>55.9</c:v>
                </c:pt>
                <c:pt idx="2807">
                  <c:v>55.52</c:v>
                </c:pt>
                <c:pt idx="2808">
                  <c:v>55.68</c:v>
                </c:pt>
                <c:pt idx="2809">
                  <c:v>55.95</c:v>
                </c:pt>
                <c:pt idx="2810">
                  <c:v>56.87</c:v>
                </c:pt>
                <c:pt idx="2811">
                  <c:v>56.3</c:v>
                </c:pt>
                <c:pt idx="2812">
                  <c:v>56.2</c:v>
                </c:pt>
                <c:pt idx="2813">
                  <c:v>55.45</c:v>
                </c:pt>
                <c:pt idx="2814">
                  <c:v>56.51</c:v>
                </c:pt>
                <c:pt idx="2815">
                  <c:v>56.7</c:v>
                </c:pt>
                <c:pt idx="2816">
                  <c:v>58.89</c:v>
                </c:pt>
                <c:pt idx="2817">
                  <c:v>58.68</c:v>
                </c:pt>
                <c:pt idx="2818">
                  <c:v>59.33</c:v>
                </c:pt>
                <c:pt idx="2819">
                  <c:v>58.67</c:v>
                </c:pt>
                <c:pt idx="2820">
                  <c:v>58.86</c:v>
                </c:pt>
                <c:pt idx="2821">
                  <c:v>58.06</c:v>
                </c:pt>
                <c:pt idx="2822">
                  <c:v>56.96</c:v>
                </c:pt>
                <c:pt idx="2823">
                  <c:v>57.74</c:v>
                </c:pt>
                <c:pt idx="2824">
                  <c:v>57.18</c:v>
                </c:pt>
                <c:pt idx="2825">
                  <c:v>58.09</c:v>
                </c:pt>
                <c:pt idx="2826">
                  <c:v>58.47</c:v>
                </c:pt>
                <c:pt idx="2827">
                  <c:v>49.38</c:v>
                </c:pt>
                <c:pt idx="2828">
                  <c:v>48.88</c:v>
                </c:pt>
                <c:pt idx="2829">
                  <c:v>47.94</c:v>
                </c:pt>
                <c:pt idx="2830">
                  <c:v>48.29</c:v>
                </c:pt>
                <c:pt idx="2831">
                  <c:v>50.59</c:v>
                </c:pt>
                <c:pt idx="2832">
                  <c:v>50.47</c:v>
                </c:pt>
                <c:pt idx="2833">
                  <c:v>49.8</c:v>
                </c:pt>
                <c:pt idx="2834">
                  <c:v>50.97</c:v>
                </c:pt>
                <c:pt idx="2835">
                  <c:v>51.98</c:v>
                </c:pt>
                <c:pt idx="2836">
                  <c:v>52.1</c:v>
                </c:pt>
                <c:pt idx="2837">
                  <c:v>52.49</c:v>
                </c:pt>
                <c:pt idx="2838">
                  <c:v>53.3</c:v>
                </c:pt>
                <c:pt idx="2839">
                  <c:v>51.86</c:v>
                </c:pt>
                <c:pt idx="2840">
                  <c:v>52</c:v>
                </c:pt>
                <c:pt idx="2841">
                  <c:v>52.66</c:v>
                </c:pt>
                <c:pt idx="2842">
                  <c:v>51.53</c:v>
                </c:pt>
                <c:pt idx="2843">
                  <c:v>52.05</c:v>
                </c:pt>
                <c:pt idx="2844">
                  <c:v>53.72</c:v>
                </c:pt>
                <c:pt idx="2845">
                  <c:v>51.6</c:v>
                </c:pt>
                <c:pt idx="2846">
                  <c:v>51.77</c:v>
                </c:pt>
                <c:pt idx="2847">
                  <c:v>51.71</c:v>
                </c:pt>
                <c:pt idx="2848">
                  <c:v>52.64</c:v>
                </c:pt>
                <c:pt idx="2849">
                  <c:v>52.43</c:v>
                </c:pt>
                <c:pt idx="2850">
                  <c:v>52.51</c:v>
                </c:pt>
                <c:pt idx="2851">
                  <c:v>51.55</c:v>
                </c:pt>
                <c:pt idx="2852">
                  <c:v>50.87</c:v>
                </c:pt>
                <c:pt idx="2853">
                  <c:v>51.18</c:v>
                </c:pt>
                <c:pt idx="2854">
                  <c:v>52.9</c:v>
                </c:pt>
                <c:pt idx="2855">
                  <c:v>52.52</c:v>
                </c:pt>
                <c:pt idx="2856">
                  <c:v>52.85</c:v>
                </c:pt>
                <c:pt idx="2857">
                  <c:v>52.78</c:v>
                </c:pt>
                <c:pt idx="2858">
                  <c:v>52.56</c:v>
                </c:pt>
                <c:pt idx="2859">
                  <c:v>52.8</c:v>
                </c:pt>
                <c:pt idx="2860">
                  <c:v>52.64</c:v>
                </c:pt>
                <c:pt idx="2861">
                  <c:v>54.26</c:v>
                </c:pt>
                <c:pt idx="2862">
                  <c:v>54.31</c:v>
                </c:pt>
                <c:pt idx="2863">
                  <c:v>54.29</c:v>
                </c:pt>
                <c:pt idx="2864">
                  <c:v>52.82</c:v>
                </c:pt>
                <c:pt idx="2865">
                  <c:v>53.29</c:v>
                </c:pt>
                <c:pt idx="2866">
                  <c:v>52.86</c:v>
                </c:pt>
                <c:pt idx="2867">
                  <c:v>52.95</c:v>
                </c:pt>
                <c:pt idx="2868">
                  <c:v>56.02</c:v>
                </c:pt>
                <c:pt idx="2869">
                  <c:v>54.64</c:v>
                </c:pt>
                <c:pt idx="2870">
                  <c:v>53.31</c:v>
                </c:pt>
                <c:pt idx="2871">
                  <c:v>52.47</c:v>
                </c:pt>
                <c:pt idx="2872">
                  <c:v>52.7</c:v>
                </c:pt>
                <c:pt idx="2873">
                  <c:v>52.35</c:v>
                </c:pt>
                <c:pt idx="2874">
                  <c:v>52.96</c:v>
                </c:pt>
                <c:pt idx="2875">
                  <c:v>54.23</c:v>
                </c:pt>
                <c:pt idx="2876">
                  <c:v>54.82</c:v>
                </c:pt>
                <c:pt idx="2877">
                  <c:v>54.42</c:v>
                </c:pt>
                <c:pt idx="2878">
                  <c:v>52.58</c:v>
                </c:pt>
                <c:pt idx="2879">
                  <c:v>52.26</c:v>
                </c:pt>
                <c:pt idx="2880">
                  <c:v>52.78</c:v>
                </c:pt>
                <c:pt idx="2881">
                  <c:v>52.69</c:v>
                </c:pt>
                <c:pt idx="2882">
                  <c:v>51.97</c:v>
                </c:pt>
                <c:pt idx="2883">
                  <c:v>51.39</c:v>
                </c:pt>
                <c:pt idx="2884">
                  <c:v>51.26</c:v>
                </c:pt>
                <c:pt idx="2885">
                  <c:v>51.77</c:v>
                </c:pt>
                <c:pt idx="2886">
                  <c:v>51.03</c:v>
                </c:pt>
                <c:pt idx="2887">
                  <c:v>50.92</c:v>
                </c:pt>
                <c:pt idx="2888">
                  <c:v>51.27</c:v>
                </c:pt>
                <c:pt idx="2889">
                  <c:v>51.38</c:v>
                </c:pt>
                <c:pt idx="2890">
                  <c:v>51.86</c:v>
                </c:pt>
                <c:pt idx="2891">
                  <c:v>52.31</c:v>
                </c:pt>
                <c:pt idx="2892">
                  <c:v>53.62</c:v>
                </c:pt>
                <c:pt idx="2893">
                  <c:v>52.64</c:v>
                </c:pt>
                <c:pt idx="2894">
                  <c:v>52.39</c:v>
                </c:pt>
                <c:pt idx="2895">
                  <c:v>52.92</c:v>
                </c:pt>
                <c:pt idx="2896">
                  <c:v>55.47</c:v>
                </c:pt>
                <c:pt idx="2897">
                  <c:v>53.88</c:v>
                </c:pt>
                <c:pt idx="2898">
                  <c:v>53.76</c:v>
                </c:pt>
                <c:pt idx="2899">
                  <c:v>54.62</c:v>
                </c:pt>
                <c:pt idx="2900">
                  <c:v>54.34</c:v>
                </c:pt>
                <c:pt idx="2901">
                  <c:v>52.61</c:v>
                </c:pt>
                <c:pt idx="2902">
                  <c:v>54.55</c:v>
                </c:pt>
                <c:pt idx="2903">
                  <c:v>54.51</c:v>
                </c:pt>
                <c:pt idx="2904">
                  <c:v>54.82</c:v>
                </c:pt>
                <c:pt idx="2905">
                  <c:v>51.91</c:v>
                </c:pt>
                <c:pt idx="2906">
                  <c:v>52.73</c:v>
                </c:pt>
                <c:pt idx="2907">
                  <c:v>51.95</c:v>
                </c:pt>
                <c:pt idx="2908">
                  <c:v>51.33</c:v>
                </c:pt>
                <c:pt idx="2909">
                  <c:v>52.27</c:v>
                </c:pt>
                <c:pt idx="2910">
                  <c:v>51.84</c:v>
                </c:pt>
                <c:pt idx="2911">
                  <c:v>51.76</c:v>
                </c:pt>
                <c:pt idx="2912">
                  <c:v>52.5</c:v>
                </c:pt>
                <c:pt idx="2913">
                  <c:v>51.67</c:v>
                </c:pt>
                <c:pt idx="2914">
                  <c:v>51.78</c:v>
                </c:pt>
                <c:pt idx="2915">
                  <c:v>50.75</c:v>
                </c:pt>
                <c:pt idx="2916">
                  <c:v>50.89</c:v>
                </c:pt>
                <c:pt idx="2917">
                  <c:v>49.92</c:v>
                </c:pt>
                <c:pt idx="2918">
                  <c:v>50.12</c:v>
                </c:pt>
                <c:pt idx="2919">
                  <c:v>50.16</c:v>
                </c:pt>
                <c:pt idx="2920">
                  <c:v>49.47</c:v>
                </c:pt>
                <c:pt idx="2921">
                  <c:v>49.07</c:v>
                </c:pt>
                <c:pt idx="2922">
                  <c:v>48.3</c:v>
                </c:pt>
                <c:pt idx="2923">
                  <c:v>48.84</c:v>
                </c:pt>
                <c:pt idx="2924">
                  <c:v>48.49</c:v>
                </c:pt>
                <c:pt idx="2925">
                  <c:v>49.31</c:v>
                </c:pt>
                <c:pt idx="2926">
                  <c:v>46.63</c:v>
                </c:pt>
                <c:pt idx="2927">
                  <c:v>46.91</c:v>
                </c:pt>
                <c:pt idx="2928">
                  <c:v>47.74</c:v>
                </c:pt>
                <c:pt idx="2929">
                  <c:v>47.59</c:v>
                </c:pt>
                <c:pt idx="2930">
                  <c:v>46.63</c:v>
                </c:pt>
                <c:pt idx="2931">
                  <c:v>46.2</c:v>
                </c:pt>
                <c:pt idx="2932">
                  <c:v>47.25</c:v>
                </c:pt>
                <c:pt idx="2933">
                  <c:v>47.32</c:v>
                </c:pt>
                <c:pt idx="2934">
                  <c:v>45.95</c:v>
                </c:pt>
                <c:pt idx="2935">
                  <c:v>45.18</c:v>
                </c:pt>
                <c:pt idx="2936">
                  <c:v>45.35</c:v>
                </c:pt>
                <c:pt idx="2937">
                  <c:v>44.14</c:v>
                </c:pt>
                <c:pt idx="2938">
                  <c:v>43.12</c:v>
                </c:pt>
                <c:pt idx="2939">
                  <c:v>43.51</c:v>
                </c:pt>
                <c:pt idx="2940">
                  <c:v>43.5</c:v>
                </c:pt>
                <c:pt idx="2941">
                  <c:v>44</c:v>
                </c:pt>
                <c:pt idx="2942">
                  <c:v>43.81</c:v>
                </c:pt>
                <c:pt idx="2943">
                  <c:v>44.16</c:v>
                </c:pt>
                <c:pt idx="2944">
                  <c:v>45.01</c:v>
                </c:pt>
                <c:pt idx="2945">
                  <c:v>45.56</c:v>
                </c:pt>
                <c:pt idx="2946">
                  <c:v>47.79</c:v>
                </c:pt>
                <c:pt idx="2947">
                  <c:v>48.73</c:v>
                </c:pt>
                <c:pt idx="2948">
                  <c:v>49.12</c:v>
                </c:pt>
                <c:pt idx="2949">
                  <c:v>49.18</c:v>
                </c:pt>
                <c:pt idx="2950">
                  <c:v>49.9</c:v>
                </c:pt>
                <c:pt idx="2951">
                  <c:v>50.84</c:v>
                </c:pt>
                <c:pt idx="2952">
                  <c:v>49.86</c:v>
                </c:pt>
                <c:pt idx="2953">
                  <c:v>50.19</c:v>
                </c:pt>
                <c:pt idx="2954">
                  <c:v>50.47</c:v>
                </c:pt>
                <c:pt idx="2955">
                  <c:v>50.32</c:v>
                </c:pt>
                <c:pt idx="2956">
                  <c:v>50.21</c:v>
                </c:pt>
                <c:pt idx="2957">
                  <c:v>50.82</c:v>
                </c:pt>
                <c:pt idx="2958">
                  <c:v>51.12</c:v>
                </c:pt>
                <c:pt idx="2959">
                  <c:v>49.36</c:v>
                </c:pt>
                <c:pt idx="2960">
                  <c:v>48.26</c:v>
                </c:pt>
                <c:pt idx="2961">
                  <c:v>47.87</c:v>
                </c:pt>
                <c:pt idx="2962">
                  <c:v>47.93</c:v>
                </c:pt>
                <c:pt idx="2963">
                  <c:v>49.9</c:v>
                </c:pt>
                <c:pt idx="2964">
                  <c:v>50.62</c:v>
                </c:pt>
                <c:pt idx="2965">
                  <c:v>49.31</c:v>
                </c:pt>
                <c:pt idx="2966">
                  <c:v>49.47</c:v>
                </c:pt>
                <c:pt idx="2967">
                  <c:v>50.1</c:v>
                </c:pt>
                <c:pt idx="2968">
                  <c:v>49.34</c:v>
                </c:pt>
                <c:pt idx="2969">
                  <c:v>50.68</c:v>
                </c:pt>
                <c:pt idx="2970">
                  <c:v>50.3</c:v>
                </c:pt>
                <c:pt idx="2971">
                  <c:v>50.08</c:v>
                </c:pt>
                <c:pt idx="2972">
                  <c:v>50.27</c:v>
                </c:pt>
                <c:pt idx="2973">
                  <c:v>50.17</c:v>
                </c:pt>
                <c:pt idx="2974">
                  <c:v>49.92</c:v>
                </c:pt>
                <c:pt idx="2975">
                  <c:v>50.33</c:v>
                </c:pt>
                <c:pt idx="2976">
                  <c:v>49.24</c:v>
                </c:pt>
                <c:pt idx="2977">
                  <c:v>50.17</c:v>
                </c:pt>
                <c:pt idx="2978">
                  <c:v>50.45</c:v>
                </c:pt>
                <c:pt idx="2979">
                  <c:v>52.89</c:v>
                </c:pt>
                <c:pt idx="2980">
                  <c:v>52</c:v>
                </c:pt>
                <c:pt idx="2981">
                  <c:v>51.51</c:v>
                </c:pt>
                <c:pt idx="2982">
                  <c:v>51.85</c:v>
                </c:pt>
                <c:pt idx="2983">
                  <c:v>51.41</c:v>
                </c:pt>
                <c:pt idx="2984">
                  <c:v>51.12</c:v>
                </c:pt>
                <c:pt idx="2985">
                  <c:v>50.8</c:v>
                </c:pt>
                <c:pt idx="2986">
                  <c:v>49.67</c:v>
                </c:pt>
                <c:pt idx="2987">
                  <c:v>50.3</c:v>
                </c:pt>
                <c:pt idx="2988">
                  <c:v>48.68</c:v>
                </c:pt>
                <c:pt idx="2989">
                  <c:v>37.549999999999997</c:v>
                </c:pt>
                <c:pt idx="2990">
                  <c:v>36.799999999999997</c:v>
                </c:pt>
                <c:pt idx="2991">
                  <c:v>36.28</c:v>
                </c:pt>
                <c:pt idx="2992">
                  <c:v>36.36</c:v>
                </c:pt>
                <c:pt idx="2993">
                  <c:v>35.630000000000003</c:v>
                </c:pt>
                <c:pt idx="2994">
                  <c:v>35.65</c:v>
                </c:pt>
                <c:pt idx="2995">
                  <c:v>35.950000000000003</c:v>
                </c:pt>
                <c:pt idx="2996">
                  <c:v>35.76</c:v>
                </c:pt>
                <c:pt idx="2997">
                  <c:v>36.54</c:v>
                </c:pt>
                <c:pt idx="2998">
                  <c:v>36.96</c:v>
                </c:pt>
                <c:pt idx="2999">
                  <c:v>35.9</c:v>
                </c:pt>
                <c:pt idx="3000">
                  <c:v>36</c:v>
                </c:pt>
                <c:pt idx="3001">
                  <c:v>35.020000000000003</c:v>
                </c:pt>
                <c:pt idx="3002">
                  <c:v>35</c:v>
                </c:pt>
                <c:pt idx="3003">
                  <c:v>35.25</c:v>
                </c:pt>
                <c:pt idx="3004">
                  <c:v>35.65</c:v>
                </c:pt>
                <c:pt idx="3005">
                  <c:v>34.57</c:v>
                </c:pt>
                <c:pt idx="3006">
                  <c:v>33.700000000000003</c:v>
                </c:pt>
                <c:pt idx="3007">
                  <c:v>34.049999999999997</c:v>
                </c:pt>
                <c:pt idx="3008">
                  <c:v>33.799999999999997</c:v>
                </c:pt>
                <c:pt idx="3009">
                  <c:v>33.799999999999997</c:v>
                </c:pt>
                <c:pt idx="3010">
                  <c:v>34.880000000000003</c:v>
                </c:pt>
                <c:pt idx="3011">
                  <c:v>35.36</c:v>
                </c:pt>
                <c:pt idx="3012">
                  <c:v>35.229999999999997</c:v>
                </c:pt>
                <c:pt idx="3013">
                  <c:v>35.68</c:v>
                </c:pt>
                <c:pt idx="3014">
                  <c:v>36.5</c:v>
                </c:pt>
                <c:pt idx="3015">
                  <c:v>36.270000000000003</c:v>
                </c:pt>
                <c:pt idx="3016">
                  <c:v>36.25</c:v>
                </c:pt>
                <c:pt idx="3017">
                  <c:v>37.07</c:v>
                </c:pt>
                <c:pt idx="3018">
                  <c:v>37.65</c:v>
                </c:pt>
                <c:pt idx="3019">
                  <c:v>38.79</c:v>
                </c:pt>
                <c:pt idx="3020">
                  <c:v>39.200000000000003</c:v>
                </c:pt>
                <c:pt idx="3021">
                  <c:v>39.770000000000003</c:v>
                </c:pt>
                <c:pt idx="3022">
                  <c:v>39.6</c:v>
                </c:pt>
                <c:pt idx="3023">
                  <c:v>38.85</c:v>
                </c:pt>
                <c:pt idx="3024">
                  <c:v>38.75</c:v>
                </c:pt>
                <c:pt idx="3025">
                  <c:v>38.97</c:v>
                </c:pt>
                <c:pt idx="3026">
                  <c:v>39.32</c:v>
                </c:pt>
                <c:pt idx="3027">
                  <c:v>38.74</c:v>
                </c:pt>
                <c:pt idx="3028">
                  <c:v>39.08</c:v>
                </c:pt>
                <c:pt idx="3029">
                  <c:v>40.04</c:v>
                </c:pt>
                <c:pt idx="3030">
                  <c:v>39.049999999999997</c:v>
                </c:pt>
                <c:pt idx="3031">
                  <c:v>38.6</c:v>
                </c:pt>
                <c:pt idx="3032">
                  <c:v>38.26</c:v>
                </c:pt>
                <c:pt idx="3033">
                  <c:v>38.840000000000003</c:v>
                </c:pt>
                <c:pt idx="3034">
                  <c:v>38.520000000000003</c:v>
                </c:pt>
                <c:pt idx="3035">
                  <c:v>38.47</c:v>
                </c:pt>
                <c:pt idx="3036">
                  <c:v>38.69</c:v>
                </c:pt>
                <c:pt idx="3037">
                  <c:v>38.630000000000003</c:v>
                </c:pt>
                <c:pt idx="3038">
                  <c:v>38.65</c:v>
                </c:pt>
                <c:pt idx="3039">
                  <c:v>38.97</c:v>
                </c:pt>
                <c:pt idx="3040">
                  <c:v>40.630000000000003</c:v>
                </c:pt>
                <c:pt idx="3041">
                  <c:v>41.43</c:v>
                </c:pt>
                <c:pt idx="3042">
                  <c:v>40.76</c:v>
                </c:pt>
                <c:pt idx="3043">
                  <c:v>40.32</c:v>
                </c:pt>
                <c:pt idx="3044">
                  <c:v>40.159999999999997</c:v>
                </c:pt>
                <c:pt idx="3045">
                  <c:v>40.78</c:v>
                </c:pt>
                <c:pt idx="3046">
                  <c:v>40.64</c:v>
                </c:pt>
                <c:pt idx="3047">
                  <c:v>40.89</c:v>
                </c:pt>
                <c:pt idx="3048">
                  <c:v>41.18</c:v>
                </c:pt>
                <c:pt idx="3049">
                  <c:v>41.29</c:v>
                </c:pt>
                <c:pt idx="3050">
                  <c:v>41.28</c:v>
                </c:pt>
                <c:pt idx="3051">
                  <c:v>41.2</c:v>
                </c:pt>
                <c:pt idx="3052">
                  <c:v>42.32</c:v>
                </c:pt>
                <c:pt idx="3053">
                  <c:v>41.72</c:v>
                </c:pt>
                <c:pt idx="3054">
                  <c:v>41.93</c:v>
                </c:pt>
                <c:pt idx="3055">
                  <c:v>41.21</c:v>
                </c:pt>
                <c:pt idx="3056">
                  <c:v>41.05</c:v>
                </c:pt>
                <c:pt idx="3057">
                  <c:v>41.88</c:v>
                </c:pt>
                <c:pt idx="3058">
                  <c:v>42.99</c:v>
                </c:pt>
                <c:pt idx="3059">
                  <c:v>43.4</c:v>
                </c:pt>
                <c:pt idx="3060">
                  <c:v>42.96</c:v>
                </c:pt>
                <c:pt idx="3061">
                  <c:v>42.91</c:v>
                </c:pt>
                <c:pt idx="3062">
                  <c:v>42.77</c:v>
                </c:pt>
                <c:pt idx="3063">
                  <c:v>42.24</c:v>
                </c:pt>
                <c:pt idx="3064">
                  <c:v>46.27</c:v>
                </c:pt>
                <c:pt idx="3065">
                  <c:v>47.47</c:v>
                </c:pt>
                <c:pt idx="3066">
                  <c:v>46.76</c:v>
                </c:pt>
                <c:pt idx="3067">
                  <c:v>46.7</c:v>
                </c:pt>
                <c:pt idx="3068">
                  <c:v>46.27</c:v>
                </c:pt>
                <c:pt idx="3069">
                  <c:v>46.34</c:v>
                </c:pt>
                <c:pt idx="3070">
                  <c:v>46.29</c:v>
                </c:pt>
                <c:pt idx="3071">
                  <c:v>46.47</c:v>
                </c:pt>
                <c:pt idx="3072">
                  <c:v>46.93</c:v>
                </c:pt>
                <c:pt idx="3073">
                  <c:v>46.16</c:v>
                </c:pt>
                <c:pt idx="3074">
                  <c:v>47.2</c:v>
                </c:pt>
                <c:pt idx="3075">
                  <c:v>48.05</c:v>
                </c:pt>
                <c:pt idx="3076">
                  <c:v>48.56</c:v>
                </c:pt>
                <c:pt idx="3077">
                  <c:v>47.64</c:v>
                </c:pt>
                <c:pt idx="3078">
                  <c:v>47.29</c:v>
                </c:pt>
                <c:pt idx="3079">
                  <c:v>47.05</c:v>
                </c:pt>
                <c:pt idx="3080">
                  <c:v>46.25</c:v>
                </c:pt>
                <c:pt idx="3081">
                  <c:v>46.43</c:v>
                </c:pt>
                <c:pt idx="3082">
                  <c:v>47.07</c:v>
                </c:pt>
                <c:pt idx="3083">
                  <c:v>46.55</c:v>
                </c:pt>
                <c:pt idx="3084">
                  <c:v>46.84</c:v>
                </c:pt>
                <c:pt idx="3085">
                  <c:v>46.93</c:v>
                </c:pt>
                <c:pt idx="3086">
                  <c:v>46.24</c:v>
                </c:pt>
                <c:pt idx="3087">
                  <c:v>44.96</c:v>
                </c:pt>
                <c:pt idx="3088">
                  <c:v>45.26</c:v>
                </c:pt>
                <c:pt idx="3089">
                  <c:v>46.03</c:v>
                </c:pt>
                <c:pt idx="3090">
                  <c:v>44.94</c:v>
                </c:pt>
                <c:pt idx="3091">
                  <c:v>45.15</c:v>
                </c:pt>
                <c:pt idx="3092">
                  <c:v>45.55</c:v>
                </c:pt>
                <c:pt idx="3093">
                  <c:v>46</c:v>
                </c:pt>
                <c:pt idx="3094">
                  <c:v>45.79</c:v>
                </c:pt>
                <c:pt idx="3095">
                  <c:v>46.05</c:v>
                </c:pt>
                <c:pt idx="3096">
                  <c:v>45.88</c:v>
                </c:pt>
                <c:pt idx="3097">
                  <c:v>45.21</c:v>
                </c:pt>
                <c:pt idx="3098">
                  <c:v>44.41</c:v>
                </c:pt>
                <c:pt idx="3099">
                  <c:v>44.36</c:v>
                </c:pt>
                <c:pt idx="3100">
                  <c:v>43.9</c:v>
                </c:pt>
                <c:pt idx="3101">
                  <c:v>43.63</c:v>
                </c:pt>
                <c:pt idx="3102">
                  <c:v>44.32</c:v>
                </c:pt>
                <c:pt idx="3103">
                  <c:v>44.13</c:v>
                </c:pt>
                <c:pt idx="3104">
                  <c:v>44.39</c:v>
                </c:pt>
                <c:pt idx="3105">
                  <c:v>43.25</c:v>
                </c:pt>
                <c:pt idx="3106">
                  <c:v>42.92</c:v>
                </c:pt>
                <c:pt idx="3107">
                  <c:v>43.05</c:v>
                </c:pt>
                <c:pt idx="3108">
                  <c:v>43.51</c:v>
                </c:pt>
                <c:pt idx="3109">
                  <c:v>43.82</c:v>
                </c:pt>
                <c:pt idx="3110">
                  <c:v>47.51</c:v>
                </c:pt>
                <c:pt idx="3111">
                  <c:v>46.98</c:v>
                </c:pt>
                <c:pt idx="3112">
                  <c:v>46.65</c:v>
                </c:pt>
                <c:pt idx="3113">
                  <c:v>47.63</c:v>
                </c:pt>
                <c:pt idx="3114">
                  <c:v>48.66</c:v>
                </c:pt>
                <c:pt idx="3115">
                  <c:v>48.7</c:v>
                </c:pt>
                <c:pt idx="3116">
                  <c:v>48.59</c:v>
                </c:pt>
                <c:pt idx="3117">
                  <c:v>48.66</c:v>
                </c:pt>
                <c:pt idx="3118">
                  <c:v>48.78</c:v>
                </c:pt>
                <c:pt idx="3119">
                  <c:v>48.53</c:v>
                </c:pt>
                <c:pt idx="3120">
                  <c:v>47.3</c:v>
                </c:pt>
                <c:pt idx="3121">
                  <c:v>47.6875</c:v>
                </c:pt>
                <c:pt idx="3122">
                  <c:v>47.65</c:v>
                </c:pt>
                <c:pt idx="3123">
                  <c:v>46.9</c:v>
                </c:pt>
                <c:pt idx="3124">
                  <c:v>46.65</c:v>
                </c:pt>
                <c:pt idx="3125">
                  <c:v>46.83</c:v>
                </c:pt>
                <c:pt idx="3126">
                  <c:v>46.84</c:v>
                </c:pt>
                <c:pt idx="3127">
                  <c:v>48.25</c:v>
                </c:pt>
                <c:pt idx="3128">
                  <c:v>47.32</c:v>
                </c:pt>
                <c:pt idx="3129">
                  <c:v>47.41</c:v>
                </c:pt>
                <c:pt idx="3130">
                  <c:v>47.98</c:v>
                </c:pt>
                <c:pt idx="3131">
                  <c:v>48.28</c:v>
                </c:pt>
                <c:pt idx="3132">
                  <c:v>49.19</c:v>
                </c:pt>
                <c:pt idx="3133">
                  <c:v>49.06</c:v>
                </c:pt>
                <c:pt idx="3134">
                  <c:v>49.14</c:v>
                </c:pt>
                <c:pt idx="3135">
                  <c:v>48.99</c:v>
                </c:pt>
                <c:pt idx="3136">
                  <c:v>48.91</c:v>
                </c:pt>
                <c:pt idx="3137">
                  <c:v>49.22</c:v>
                </c:pt>
                <c:pt idx="3138">
                  <c:v>48.84</c:v>
                </c:pt>
                <c:pt idx="3139">
                  <c:v>48.47</c:v>
                </c:pt>
                <c:pt idx="3140">
                  <c:v>48.28</c:v>
                </c:pt>
                <c:pt idx="3141">
                  <c:v>48.2</c:v>
                </c:pt>
                <c:pt idx="3142">
                  <c:v>47.97</c:v>
                </c:pt>
                <c:pt idx="3143">
                  <c:v>48.08</c:v>
                </c:pt>
                <c:pt idx="3144">
                  <c:v>47.44</c:v>
                </c:pt>
                <c:pt idx="3145">
                  <c:v>47.6</c:v>
                </c:pt>
                <c:pt idx="3146">
                  <c:v>47.41</c:v>
                </c:pt>
                <c:pt idx="3147">
                  <c:v>47.23</c:v>
                </c:pt>
                <c:pt idx="3148">
                  <c:v>48.13</c:v>
                </c:pt>
                <c:pt idx="3149">
                  <c:v>48.68</c:v>
                </c:pt>
                <c:pt idx="3150">
                  <c:v>47.47</c:v>
                </c:pt>
                <c:pt idx="3151">
                  <c:v>48.48</c:v>
                </c:pt>
                <c:pt idx="3152">
                  <c:v>48.93</c:v>
                </c:pt>
                <c:pt idx="3153">
                  <c:v>49.1</c:v>
                </c:pt>
                <c:pt idx="3154">
                  <c:v>48.37</c:v>
                </c:pt>
                <c:pt idx="3155">
                  <c:v>48.03</c:v>
                </c:pt>
                <c:pt idx="3156">
                  <c:v>48.13</c:v>
                </c:pt>
                <c:pt idx="3157">
                  <c:v>49.54</c:v>
                </c:pt>
                <c:pt idx="3158">
                  <c:v>49.03</c:v>
                </c:pt>
                <c:pt idx="3159">
                  <c:v>49.975000000000001</c:v>
                </c:pt>
                <c:pt idx="3160">
                  <c:v>51.46</c:v>
                </c:pt>
                <c:pt idx="3161">
                  <c:v>50.47</c:v>
                </c:pt>
                <c:pt idx="3162">
                  <c:v>50.78</c:v>
                </c:pt>
                <c:pt idx="3163">
                  <c:v>58.43</c:v>
                </c:pt>
                <c:pt idx="3164">
                  <c:v>58.1</c:v>
                </c:pt>
                <c:pt idx="3165">
                  <c:v>58.03</c:v>
                </c:pt>
                <c:pt idx="3166">
                  <c:v>58.5</c:v>
                </c:pt>
                <c:pt idx="3167">
                  <c:v>60.6</c:v>
                </c:pt>
                <c:pt idx="3168">
                  <c:v>60.82</c:v>
                </c:pt>
                <c:pt idx="3169">
                  <c:v>60.82</c:v>
                </c:pt>
                <c:pt idx="3170">
                  <c:v>61.32</c:v>
                </c:pt>
                <c:pt idx="3171">
                  <c:v>62.67</c:v>
                </c:pt>
                <c:pt idx="3172">
                  <c:v>62.78</c:v>
                </c:pt>
                <c:pt idx="3173">
                  <c:v>62.5</c:v>
                </c:pt>
                <c:pt idx="3174">
                  <c:v>62.42</c:v>
                </c:pt>
                <c:pt idx="3175">
                  <c:v>63</c:v>
                </c:pt>
                <c:pt idx="3176">
                  <c:v>62.82</c:v>
                </c:pt>
                <c:pt idx="3177">
                  <c:v>63.58</c:v>
                </c:pt>
                <c:pt idx="3178">
                  <c:v>64.010000000000005</c:v>
                </c:pt>
                <c:pt idx="3179">
                  <c:v>63.63</c:v>
                </c:pt>
                <c:pt idx="3180">
                  <c:v>63.21</c:v>
                </c:pt>
                <c:pt idx="3181">
                  <c:v>63.37</c:v>
                </c:pt>
                <c:pt idx="3182">
                  <c:v>60.75</c:v>
                </c:pt>
                <c:pt idx="3183">
                  <c:v>60.97</c:v>
                </c:pt>
                <c:pt idx="3184">
                  <c:v>59.11</c:v>
                </c:pt>
                <c:pt idx="3185">
                  <c:v>58.23</c:v>
                </c:pt>
                <c:pt idx="3186">
                  <c:v>59.01</c:v>
                </c:pt>
                <c:pt idx="3187">
                  <c:v>58.5</c:v>
                </c:pt>
                <c:pt idx="3188">
                  <c:v>61.12</c:v>
                </c:pt>
                <c:pt idx="3189">
                  <c:v>62.88</c:v>
                </c:pt>
                <c:pt idx="3190">
                  <c:v>60.81</c:v>
                </c:pt>
                <c:pt idx="3191">
                  <c:v>58.25</c:v>
                </c:pt>
                <c:pt idx="3192">
                  <c:v>57.43</c:v>
                </c:pt>
                <c:pt idx="3193">
                  <c:v>57.96</c:v>
                </c:pt>
                <c:pt idx="3194">
                  <c:v>57.42</c:v>
                </c:pt>
                <c:pt idx="3195">
                  <c:v>56.35</c:v>
                </c:pt>
                <c:pt idx="3196">
                  <c:v>55.39</c:v>
                </c:pt>
                <c:pt idx="3197">
                  <c:v>55.78</c:v>
                </c:pt>
                <c:pt idx="3198">
                  <c:v>55.26</c:v>
                </c:pt>
                <c:pt idx="3199">
                  <c:v>55.65</c:v>
                </c:pt>
                <c:pt idx="3200">
                  <c:v>57.73</c:v>
                </c:pt>
                <c:pt idx="3201">
                  <c:v>57.75</c:v>
                </c:pt>
                <c:pt idx="3202">
                  <c:v>59.02</c:v>
                </c:pt>
                <c:pt idx="3203">
                  <c:v>58.28</c:v>
                </c:pt>
                <c:pt idx="3204">
                  <c:v>57.33</c:v>
                </c:pt>
                <c:pt idx="3205">
                  <c:v>58.87</c:v>
                </c:pt>
                <c:pt idx="3206">
                  <c:v>58.51</c:v>
                </c:pt>
                <c:pt idx="3207">
                  <c:v>58.67</c:v>
                </c:pt>
                <c:pt idx="3208">
                  <c:v>59</c:v>
                </c:pt>
                <c:pt idx="3209">
                  <c:v>58.92</c:v>
                </c:pt>
                <c:pt idx="3210">
                  <c:v>58.81</c:v>
                </c:pt>
                <c:pt idx="3211">
                  <c:v>58.88</c:v>
                </c:pt>
                <c:pt idx="3212">
                  <c:v>59.56</c:v>
                </c:pt>
                <c:pt idx="3213">
                  <c:v>59.1</c:v>
                </c:pt>
                <c:pt idx="3214">
                  <c:v>57.07</c:v>
                </c:pt>
                <c:pt idx="3215">
                  <c:v>55.87</c:v>
                </c:pt>
                <c:pt idx="3216">
                  <c:v>55.1</c:v>
                </c:pt>
                <c:pt idx="3217">
                  <c:v>53.82</c:v>
                </c:pt>
                <c:pt idx="3218">
                  <c:v>56.86</c:v>
                </c:pt>
                <c:pt idx="3219">
                  <c:v>57.54</c:v>
                </c:pt>
                <c:pt idx="3220">
                  <c:v>57.11</c:v>
                </c:pt>
                <c:pt idx="3221">
                  <c:v>58.72</c:v>
                </c:pt>
                <c:pt idx="3222">
                  <c:v>58.92</c:v>
                </c:pt>
                <c:pt idx="3223">
                  <c:v>60.38</c:v>
                </c:pt>
                <c:pt idx="3224">
                  <c:v>60.93</c:v>
                </c:pt>
                <c:pt idx="3225">
                  <c:v>60.81</c:v>
                </c:pt>
                <c:pt idx="3226">
                  <c:v>60.15</c:v>
                </c:pt>
                <c:pt idx="3227">
                  <c:v>60.84</c:v>
                </c:pt>
                <c:pt idx="3228">
                  <c:v>61.34</c:v>
                </c:pt>
                <c:pt idx="3229">
                  <c:v>60.73</c:v>
                </c:pt>
                <c:pt idx="3230">
                  <c:v>62.16</c:v>
                </c:pt>
                <c:pt idx="3231">
                  <c:v>63.67</c:v>
                </c:pt>
                <c:pt idx="3232">
                  <c:v>62.32</c:v>
                </c:pt>
                <c:pt idx="3233">
                  <c:v>63.25</c:v>
                </c:pt>
                <c:pt idx="3234">
                  <c:v>63.42</c:v>
                </c:pt>
                <c:pt idx="3235">
                  <c:v>64.38</c:v>
                </c:pt>
                <c:pt idx="3236">
                  <c:v>66.13</c:v>
                </c:pt>
                <c:pt idx="3237">
                  <c:v>65.7</c:v>
                </c:pt>
                <c:pt idx="3238">
                  <c:v>66.790000000000006</c:v>
                </c:pt>
                <c:pt idx="3239">
                  <c:v>65.48</c:v>
                </c:pt>
                <c:pt idx="3240">
                  <c:v>67.930000000000007</c:v>
                </c:pt>
                <c:pt idx="3241">
                  <c:v>65.2</c:v>
                </c:pt>
                <c:pt idx="3242">
                  <c:v>65.930000000000007</c:v>
                </c:pt>
                <c:pt idx="3243">
                  <c:v>72.45</c:v>
                </c:pt>
                <c:pt idx="3244">
                  <c:v>74</c:v>
                </c:pt>
                <c:pt idx="3245">
                  <c:v>76.38</c:v>
                </c:pt>
                <c:pt idx="3246">
                  <c:v>75.22</c:v>
                </c:pt>
                <c:pt idx="3247">
                  <c:v>74.650000000000006</c:v>
                </c:pt>
                <c:pt idx="3248">
                  <c:v>75.53</c:v>
                </c:pt>
                <c:pt idx="3249">
                  <c:v>79.260000000000005</c:v>
                </c:pt>
                <c:pt idx="3250">
                  <c:v>79.03</c:v>
                </c:pt>
                <c:pt idx="3251">
                  <c:v>80.25</c:v>
                </c:pt>
                <c:pt idx="3252">
                  <c:v>78</c:v>
                </c:pt>
                <c:pt idx="3253">
                  <c:v>80.38</c:v>
                </c:pt>
                <c:pt idx="3254">
                  <c:v>77.959999999999994</c:v>
                </c:pt>
                <c:pt idx="3255">
                  <c:v>80.33</c:v>
                </c:pt>
                <c:pt idx="3256">
                  <c:v>77.02</c:v>
                </c:pt>
                <c:pt idx="3257">
                  <c:v>71.23</c:v>
                </c:pt>
                <c:pt idx="3258">
                  <c:v>72.64</c:v>
                </c:pt>
                <c:pt idx="3259">
                  <c:v>72.459999999999994</c:v>
                </c:pt>
                <c:pt idx="3260">
                  <c:v>73.42</c:v>
                </c:pt>
                <c:pt idx="3261">
                  <c:v>76.58</c:v>
                </c:pt>
                <c:pt idx="3262">
                  <c:v>73.39</c:v>
                </c:pt>
                <c:pt idx="3263">
                  <c:v>72.39</c:v>
                </c:pt>
                <c:pt idx="3264">
                  <c:v>71.02</c:v>
                </c:pt>
                <c:pt idx="3265">
                  <c:v>71.099999999999994</c:v>
                </c:pt>
                <c:pt idx="3266">
                  <c:v>70.02</c:v>
                </c:pt>
                <c:pt idx="3267">
                  <c:v>75.55</c:v>
                </c:pt>
                <c:pt idx="3268">
                  <c:v>77.05</c:v>
                </c:pt>
                <c:pt idx="3269">
                  <c:v>76.760000000000005</c:v>
                </c:pt>
                <c:pt idx="3270">
                  <c:v>76.52</c:v>
                </c:pt>
                <c:pt idx="3271">
                  <c:v>75.739999999999995</c:v>
                </c:pt>
                <c:pt idx="3272">
                  <c:v>74.739999999999995</c:v>
                </c:pt>
                <c:pt idx="3273">
                  <c:v>77.27</c:v>
                </c:pt>
                <c:pt idx="3274">
                  <c:v>78.489999999999995</c:v>
                </c:pt>
                <c:pt idx="3275">
                  <c:v>76.650000000000006</c:v>
                </c:pt>
                <c:pt idx="3276">
                  <c:v>75.55</c:v>
                </c:pt>
                <c:pt idx="3277">
                  <c:v>72.92</c:v>
                </c:pt>
                <c:pt idx="3278">
                  <c:v>75.150000000000006</c:v>
                </c:pt>
                <c:pt idx="3279">
                  <c:v>76.319999999999993</c:v>
                </c:pt>
                <c:pt idx="3280">
                  <c:v>75.290000000000006</c:v>
                </c:pt>
                <c:pt idx="3281">
                  <c:v>74.37</c:v>
                </c:pt>
                <c:pt idx="3282">
                  <c:v>73.33</c:v>
                </c:pt>
                <c:pt idx="3283">
                  <c:v>71.989999999999995</c:v>
                </c:pt>
                <c:pt idx="3284">
                  <c:v>70.36</c:v>
                </c:pt>
                <c:pt idx="3285">
                  <c:v>73.650000000000006</c:v>
                </c:pt>
                <c:pt idx="3286">
                  <c:v>72.25</c:v>
                </c:pt>
                <c:pt idx="3287">
                  <c:v>72.53</c:v>
                </c:pt>
                <c:pt idx="3288">
                  <c:v>71.040000000000006</c:v>
                </c:pt>
                <c:pt idx="3289">
                  <c:v>70.31</c:v>
                </c:pt>
                <c:pt idx="3290">
                  <c:v>70.150000000000006</c:v>
                </c:pt>
                <c:pt idx="3291">
                  <c:v>67.790000000000006</c:v>
                </c:pt>
                <c:pt idx="3292">
                  <c:v>70.72</c:v>
                </c:pt>
                <c:pt idx="3293">
                  <c:v>69.069999999999993</c:v>
                </c:pt>
                <c:pt idx="3294">
                  <c:v>70.59</c:v>
                </c:pt>
                <c:pt idx="3295">
                  <c:v>68.11</c:v>
                </c:pt>
                <c:pt idx="3296">
                  <c:v>79.16</c:v>
                </c:pt>
                <c:pt idx="3297">
                  <c:v>77.260000000000005</c:v>
                </c:pt>
                <c:pt idx="3298">
                  <c:v>76.81</c:v>
                </c:pt>
                <c:pt idx="3299">
                  <c:v>79.92</c:v>
                </c:pt>
                <c:pt idx="3300">
                  <c:v>79.930000000000007</c:v>
                </c:pt>
                <c:pt idx="3301">
                  <c:v>78.569999999999993</c:v>
                </c:pt>
                <c:pt idx="3302">
                  <c:v>77.89</c:v>
                </c:pt>
                <c:pt idx="3303">
                  <c:v>77.12</c:v>
                </c:pt>
                <c:pt idx="3304">
                  <c:v>72.89</c:v>
                </c:pt>
                <c:pt idx="3305">
                  <c:v>75.67</c:v>
                </c:pt>
                <c:pt idx="3306">
                  <c:v>74.739999999999995</c:v>
                </c:pt>
                <c:pt idx="3307">
                  <c:v>71.849999999999994</c:v>
                </c:pt>
                <c:pt idx="3308">
                  <c:v>75.48</c:v>
                </c:pt>
                <c:pt idx="3309">
                  <c:v>74.650000000000006</c:v>
                </c:pt>
                <c:pt idx="3310">
                  <c:v>73.510000000000005</c:v>
                </c:pt>
                <c:pt idx="3311">
                  <c:v>79.739999999999995</c:v>
                </c:pt>
                <c:pt idx="3312">
                  <c:v>80.64</c:v>
                </c:pt>
                <c:pt idx="3313">
                  <c:v>78.739999999999995</c:v>
                </c:pt>
                <c:pt idx="3314">
                  <c:v>77.069999999999993</c:v>
                </c:pt>
                <c:pt idx="3315">
                  <c:v>72.819999999999993</c:v>
                </c:pt>
                <c:pt idx="3316">
                  <c:v>72.959999999999994</c:v>
                </c:pt>
                <c:pt idx="3317">
                  <c:v>73.94</c:v>
                </c:pt>
                <c:pt idx="3318">
                  <c:v>73.03</c:v>
                </c:pt>
                <c:pt idx="3319">
                  <c:v>72.930000000000007</c:v>
                </c:pt>
                <c:pt idx="3320">
                  <c:v>73.83</c:v>
                </c:pt>
                <c:pt idx="3321">
                  <c:v>68.3</c:v>
                </c:pt>
                <c:pt idx="3322">
                  <c:v>69.489999999999995</c:v>
                </c:pt>
                <c:pt idx="3323">
                  <c:v>65.11</c:v>
                </c:pt>
                <c:pt idx="3324">
                  <c:v>69.180000000000007</c:v>
                </c:pt>
                <c:pt idx="3325">
                  <c:v>63.21</c:v>
                </c:pt>
                <c:pt idx="3326">
                  <c:v>62.85</c:v>
                </c:pt>
                <c:pt idx="3327">
                  <c:v>62.12</c:v>
                </c:pt>
                <c:pt idx="3328">
                  <c:v>65.5</c:v>
                </c:pt>
                <c:pt idx="3329">
                  <c:v>66.66</c:v>
                </c:pt>
                <c:pt idx="3330">
                  <c:v>64.19</c:v>
                </c:pt>
                <c:pt idx="3331">
                  <c:v>61.38</c:v>
                </c:pt>
                <c:pt idx="3332">
                  <c:v>56.95</c:v>
                </c:pt>
                <c:pt idx="3333">
                  <c:v>57.32</c:v>
                </c:pt>
                <c:pt idx="3334">
                  <c:v>55.1355</c:v>
                </c:pt>
                <c:pt idx="3335">
                  <c:v>54.7</c:v>
                </c:pt>
                <c:pt idx="3336">
                  <c:v>53.5</c:v>
                </c:pt>
                <c:pt idx="3337">
                  <c:v>54.99</c:v>
                </c:pt>
                <c:pt idx="3338">
                  <c:v>60.11</c:v>
                </c:pt>
                <c:pt idx="3339">
                  <c:v>56.53</c:v>
                </c:pt>
                <c:pt idx="3340">
                  <c:v>58.67</c:v>
                </c:pt>
                <c:pt idx="3341">
                  <c:v>59.6</c:v>
                </c:pt>
                <c:pt idx="3342">
                  <c:v>53.77</c:v>
                </c:pt>
                <c:pt idx="3343">
                  <c:v>57.37</c:v>
                </c:pt>
                <c:pt idx="3344">
                  <c:v>54.16</c:v>
                </c:pt>
                <c:pt idx="3345">
                  <c:v>58.76</c:v>
                </c:pt>
                <c:pt idx="3346">
                  <c:v>60.54</c:v>
                </c:pt>
                <c:pt idx="3347">
                  <c:v>60.09</c:v>
                </c:pt>
                <c:pt idx="3348">
                  <c:v>60.93</c:v>
                </c:pt>
                <c:pt idx="3349">
                  <c:v>56.34</c:v>
                </c:pt>
                <c:pt idx="3350">
                  <c:v>41.21</c:v>
                </c:pt>
                <c:pt idx="3351">
                  <c:v>43.2</c:v>
                </c:pt>
                <c:pt idx="3352">
                  <c:v>43.94</c:v>
                </c:pt>
                <c:pt idx="3353">
                  <c:v>44</c:v>
                </c:pt>
                <c:pt idx="3354">
                  <c:v>46.49</c:v>
                </c:pt>
                <c:pt idx="3355">
                  <c:v>48.45</c:v>
                </c:pt>
                <c:pt idx="3356">
                  <c:v>47.89</c:v>
                </c:pt>
                <c:pt idx="3357">
                  <c:v>47.78</c:v>
                </c:pt>
                <c:pt idx="3358">
                  <c:v>47.52</c:v>
                </c:pt>
                <c:pt idx="3359">
                  <c:v>48.88</c:v>
                </c:pt>
                <c:pt idx="3360">
                  <c:v>46.76</c:v>
                </c:pt>
                <c:pt idx="3361">
                  <c:v>45.31</c:v>
                </c:pt>
                <c:pt idx="3362">
                  <c:v>44.36</c:v>
                </c:pt>
                <c:pt idx="3363">
                  <c:v>45.75</c:v>
                </c:pt>
                <c:pt idx="3364">
                  <c:v>46.4</c:v>
                </c:pt>
                <c:pt idx="3365">
                  <c:v>47.04</c:v>
                </c:pt>
                <c:pt idx="3366">
                  <c:v>45.5</c:v>
                </c:pt>
                <c:pt idx="3367">
                  <c:v>46.02</c:v>
                </c:pt>
                <c:pt idx="3368">
                  <c:v>46.81</c:v>
                </c:pt>
                <c:pt idx="3369">
                  <c:v>47.28</c:v>
                </c:pt>
                <c:pt idx="3370">
                  <c:v>47.95</c:v>
                </c:pt>
                <c:pt idx="3371">
                  <c:v>47.25</c:v>
                </c:pt>
                <c:pt idx="3372">
                  <c:v>48.49</c:v>
                </c:pt>
                <c:pt idx="3373">
                  <c:v>50.9</c:v>
                </c:pt>
                <c:pt idx="3374">
                  <c:v>54.37</c:v>
                </c:pt>
                <c:pt idx="3375">
                  <c:v>53.62</c:v>
                </c:pt>
                <c:pt idx="3376">
                  <c:v>50.28</c:v>
                </c:pt>
                <c:pt idx="3377">
                  <c:v>50.79</c:v>
                </c:pt>
                <c:pt idx="3378">
                  <c:v>48.95</c:v>
                </c:pt>
                <c:pt idx="3379">
                  <c:v>47.95</c:v>
                </c:pt>
                <c:pt idx="3380">
                  <c:v>48.01</c:v>
                </c:pt>
                <c:pt idx="3381">
                  <c:v>48.32</c:v>
                </c:pt>
                <c:pt idx="3382">
                  <c:v>47.26</c:v>
                </c:pt>
                <c:pt idx="3383">
                  <c:v>48.46</c:v>
                </c:pt>
                <c:pt idx="3384">
                  <c:v>48.73</c:v>
                </c:pt>
                <c:pt idx="3385">
                  <c:v>46.71</c:v>
                </c:pt>
                <c:pt idx="3386">
                  <c:v>45.49</c:v>
                </c:pt>
                <c:pt idx="3387">
                  <c:v>45.39</c:v>
                </c:pt>
                <c:pt idx="3388">
                  <c:v>43.88</c:v>
                </c:pt>
                <c:pt idx="3389">
                  <c:v>43.99</c:v>
                </c:pt>
                <c:pt idx="3390">
                  <c:v>43.43</c:v>
                </c:pt>
                <c:pt idx="3391">
                  <c:v>44.84</c:v>
                </c:pt>
                <c:pt idx="3392">
                  <c:v>45.57</c:v>
                </c:pt>
                <c:pt idx="3393">
                  <c:v>47.82</c:v>
                </c:pt>
                <c:pt idx="3394">
                  <c:v>47.79</c:v>
                </c:pt>
                <c:pt idx="3395">
                  <c:v>47.09</c:v>
                </c:pt>
                <c:pt idx="3396">
                  <c:v>46.59</c:v>
                </c:pt>
                <c:pt idx="3397">
                  <c:v>48.17</c:v>
                </c:pt>
                <c:pt idx="3398">
                  <c:v>48.95</c:v>
                </c:pt>
                <c:pt idx="3399">
                  <c:v>47.74</c:v>
                </c:pt>
                <c:pt idx="3400">
                  <c:v>46.46</c:v>
                </c:pt>
                <c:pt idx="3401">
                  <c:v>47.86</c:v>
                </c:pt>
                <c:pt idx="3402">
                  <c:v>47.6</c:v>
                </c:pt>
                <c:pt idx="3403">
                  <c:v>48.51</c:v>
                </c:pt>
                <c:pt idx="3404">
                  <c:v>52.24</c:v>
                </c:pt>
                <c:pt idx="3405">
                  <c:v>51.33</c:v>
                </c:pt>
                <c:pt idx="3406">
                  <c:v>50.3</c:v>
                </c:pt>
                <c:pt idx="3407">
                  <c:v>49.96</c:v>
                </c:pt>
                <c:pt idx="3408">
                  <c:v>51.19</c:v>
                </c:pt>
                <c:pt idx="3409">
                  <c:v>52.83</c:v>
                </c:pt>
                <c:pt idx="3410">
                  <c:v>54.34</c:v>
                </c:pt>
                <c:pt idx="3411">
                  <c:v>52.83</c:v>
                </c:pt>
                <c:pt idx="3412">
                  <c:v>49.05</c:v>
                </c:pt>
                <c:pt idx="3413">
                  <c:v>47.4</c:v>
                </c:pt>
                <c:pt idx="3414">
                  <c:v>47.95</c:v>
                </c:pt>
                <c:pt idx="3415">
                  <c:v>44.26</c:v>
                </c:pt>
                <c:pt idx="3416">
                  <c:v>46.26</c:v>
                </c:pt>
                <c:pt idx="3417">
                  <c:v>54.78</c:v>
                </c:pt>
                <c:pt idx="3418">
                  <c:v>55.18</c:v>
                </c:pt>
                <c:pt idx="3419">
                  <c:v>55.23</c:v>
                </c:pt>
                <c:pt idx="3420">
                  <c:v>55.37</c:v>
                </c:pt>
                <c:pt idx="3421">
                  <c:v>54.6</c:v>
                </c:pt>
                <c:pt idx="3422">
                  <c:v>55.46</c:v>
                </c:pt>
                <c:pt idx="3423">
                  <c:v>55.12</c:v>
                </c:pt>
                <c:pt idx="3424">
                  <c:v>52.86</c:v>
                </c:pt>
                <c:pt idx="3425">
                  <c:v>55.19</c:v>
                </c:pt>
                <c:pt idx="3426">
                  <c:v>55.52</c:v>
                </c:pt>
                <c:pt idx="3427">
                  <c:v>58.74</c:v>
                </c:pt>
                <c:pt idx="3428">
                  <c:v>59.02</c:v>
                </c:pt>
                <c:pt idx="3429">
                  <c:v>59</c:v>
                </c:pt>
                <c:pt idx="3430">
                  <c:v>60.34</c:v>
                </c:pt>
                <c:pt idx="3431">
                  <c:v>59.8</c:v>
                </c:pt>
                <c:pt idx="3432">
                  <c:v>59.43</c:v>
                </c:pt>
                <c:pt idx="3433">
                  <c:v>60.73</c:v>
                </c:pt>
                <c:pt idx="3434">
                  <c:v>59.08</c:v>
                </c:pt>
                <c:pt idx="3435">
                  <c:v>62</c:v>
                </c:pt>
                <c:pt idx="3436">
                  <c:v>62.31</c:v>
                </c:pt>
                <c:pt idx="3437">
                  <c:v>62.29</c:v>
                </c:pt>
                <c:pt idx="3438">
                  <c:v>63.7</c:v>
                </c:pt>
                <c:pt idx="3439">
                  <c:v>62.84</c:v>
                </c:pt>
                <c:pt idx="3440">
                  <c:v>62.44</c:v>
                </c:pt>
                <c:pt idx="3441">
                  <c:v>60.73</c:v>
                </c:pt>
                <c:pt idx="3442">
                  <c:v>62.16</c:v>
                </c:pt>
                <c:pt idx="3443">
                  <c:v>62.95</c:v>
                </c:pt>
                <c:pt idx="3444">
                  <c:v>63.2</c:v>
                </c:pt>
                <c:pt idx="3445">
                  <c:v>64.099999999999994</c:v>
                </c:pt>
                <c:pt idx="3446">
                  <c:v>62.67</c:v>
                </c:pt>
                <c:pt idx="3447">
                  <c:v>64.02</c:v>
                </c:pt>
                <c:pt idx="3448">
                  <c:v>64.680000000000007</c:v>
                </c:pt>
                <c:pt idx="3449">
                  <c:v>64.11</c:v>
                </c:pt>
                <c:pt idx="3450">
                  <c:v>61.89</c:v>
                </c:pt>
                <c:pt idx="3451">
                  <c:v>63.3</c:v>
                </c:pt>
                <c:pt idx="3452">
                  <c:v>62.71</c:v>
                </c:pt>
                <c:pt idx="3453">
                  <c:v>64.739999999999995</c:v>
                </c:pt>
                <c:pt idx="3454">
                  <c:v>63.13</c:v>
                </c:pt>
                <c:pt idx="3455">
                  <c:v>62.51</c:v>
                </c:pt>
                <c:pt idx="3456">
                  <c:v>63.65</c:v>
                </c:pt>
                <c:pt idx="3457">
                  <c:v>65.5</c:v>
                </c:pt>
                <c:pt idx="3458">
                  <c:v>63.68</c:v>
                </c:pt>
                <c:pt idx="3459">
                  <c:v>64.03</c:v>
                </c:pt>
                <c:pt idx="3460">
                  <c:v>62.58</c:v>
                </c:pt>
                <c:pt idx="3461">
                  <c:v>64.27</c:v>
                </c:pt>
                <c:pt idx="3462">
                  <c:v>64.87</c:v>
                </c:pt>
                <c:pt idx="3463">
                  <c:v>67.67</c:v>
                </c:pt>
                <c:pt idx="3464">
                  <c:v>63.35</c:v>
                </c:pt>
                <c:pt idx="3465">
                  <c:v>64.7</c:v>
                </c:pt>
                <c:pt idx="3466">
                  <c:v>66.81</c:v>
                </c:pt>
                <c:pt idx="3467">
                  <c:v>67.39</c:v>
                </c:pt>
                <c:pt idx="3468">
                  <c:v>66.180000000000007</c:v>
                </c:pt>
                <c:pt idx="3469">
                  <c:v>67.37</c:v>
                </c:pt>
                <c:pt idx="3470">
                  <c:v>62.73</c:v>
                </c:pt>
                <c:pt idx="3471">
                  <c:v>60.75</c:v>
                </c:pt>
                <c:pt idx="3472">
                  <c:v>60.07</c:v>
                </c:pt>
                <c:pt idx="3473">
                  <c:v>58.5</c:v>
                </c:pt>
                <c:pt idx="3474">
                  <c:v>59</c:v>
                </c:pt>
                <c:pt idx="3475">
                  <c:v>57.45</c:v>
                </c:pt>
                <c:pt idx="3476">
                  <c:v>57.06</c:v>
                </c:pt>
                <c:pt idx="3477">
                  <c:v>58.94</c:v>
                </c:pt>
                <c:pt idx="3478">
                  <c:v>55.37</c:v>
                </c:pt>
                <c:pt idx="3479">
                  <c:v>59.3</c:v>
                </c:pt>
                <c:pt idx="3480">
                  <c:v>59.02</c:v>
                </c:pt>
                <c:pt idx="3481">
                  <c:v>57.99</c:v>
                </c:pt>
                <c:pt idx="3482">
                  <c:v>57.62</c:v>
                </c:pt>
                <c:pt idx="3483">
                  <c:v>54.98</c:v>
                </c:pt>
                <c:pt idx="3484">
                  <c:v>53.21</c:v>
                </c:pt>
                <c:pt idx="3485">
                  <c:v>53.86</c:v>
                </c:pt>
                <c:pt idx="3486">
                  <c:v>51.62</c:v>
                </c:pt>
                <c:pt idx="3487">
                  <c:v>50.54</c:v>
                </c:pt>
                <c:pt idx="3488">
                  <c:v>56.19</c:v>
                </c:pt>
                <c:pt idx="3489">
                  <c:v>57.19</c:v>
                </c:pt>
                <c:pt idx="3490">
                  <c:v>51.54</c:v>
                </c:pt>
                <c:pt idx="3491">
                  <c:v>58.29</c:v>
                </c:pt>
                <c:pt idx="3492">
                  <c:v>57.9</c:v>
                </c:pt>
                <c:pt idx="3493">
                  <c:v>61.41</c:v>
                </c:pt>
                <c:pt idx="3494">
                  <c:v>59.72</c:v>
                </c:pt>
                <c:pt idx="3495">
                  <c:v>58.98</c:v>
                </c:pt>
                <c:pt idx="3496">
                  <c:v>55.55</c:v>
                </c:pt>
                <c:pt idx="3497">
                  <c:v>53.79</c:v>
                </c:pt>
                <c:pt idx="3498">
                  <c:v>53.6</c:v>
                </c:pt>
                <c:pt idx="3499">
                  <c:v>58.87</c:v>
                </c:pt>
                <c:pt idx="3500">
                  <c:v>65.010000000000005</c:v>
                </c:pt>
                <c:pt idx="3501">
                  <c:v>69.64</c:v>
                </c:pt>
                <c:pt idx="3502">
                  <c:v>69.510000000000005</c:v>
                </c:pt>
                <c:pt idx="3503">
                  <c:v>68.180000000000007</c:v>
                </c:pt>
                <c:pt idx="3504">
                  <c:v>70.23</c:v>
                </c:pt>
                <c:pt idx="3505">
                  <c:v>66.94</c:v>
                </c:pt>
                <c:pt idx="3506">
                  <c:v>66.900000000000006</c:v>
                </c:pt>
                <c:pt idx="3507">
                  <c:v>69.61</c:v>
                </c:pt>
                <c:pt idx="3508">
                  <c:v>69.760000000000005</c:v>
                </c:pt>
                <c:pt idx="3509">
                  <c:v>70.31</c:v>
                </c:pt>
                <c:pt idx="3510">
                  <c:v>68.05</c:v>
                </c:pt>
                <c:pt idx="3511">
                  <c:v>70.56</c:v>
                </c:pt>
                <c:pt idx="3512">
                  <c:v>68.11</c:v>
                </c:pt>
                <c:pt idx="3513">
                  <c:v>69.040000000000006</c:v>
                </c:pt>
                <c:pt idx="3514">
                  <c:v>68.989999999999995</c:v>
                </c:pt>
                <c:pt idx="3515">
                  <c:v>65.97</c:v>
                </c:pt>
                <c:pt idx="3516">
                  <c:v>65.739999999999995</c:v>
                </c:pt>
                <c:pt idx="3517">
                  <c:v>70.09</c:v>
                </c:pt>
                <c:pt idx="3518">
                  <c:v>72.58</c:v>
                </c:pt>
                <c:pt idx="3519">
                  <c:v>71.55</c:v>
                </c:pt>
                <c:pt idx="3520">
                  <c:v>76.849999999999994</c:v>
                </c:pt>
                <c:pt idx="3521">
                  <c:v>76.84</c:v>
                </c:pt>
                <c:pt idx="3522">
                  <c:v>71.06</c:v>
                </c:pt>
                <c:pt idx="3523">
                  <c:v>75.680000000000007</c:v>
                </c:pt>
                <c:pt idx="3524">
                  <c:v>75.34</c:v>
                </c:pt>
                <c:pt idx="3525">
                  <c:v>74.05</c:v>
                </c:pt>
                <c:pt idx="3526">
                  <c:v>75.87</c:v>
                </c:pt>
                <c:pt idx="3527">
                  <c:v>75.959999999999994</c:v>
                </c:pt>
                <c:pt idx="3528">
                  <c:v>72.92</c:v>
                </c:pt>
                <c:pt idx="3529">
                  <c:v>73.760000000000005</c:v>
                </c:pt>
                <c:pt idx="3530">
                  <c:v>73.53</c:v>
                </c:pt>
                <c:pt idx="3531">
                  <c:v>73.98</c:v>
                </c:pt>
                <c:pt idx="3532">
                  <c:v>72.06</c:v>
                </c:pt>
                <c:pt idx="3533">
                  <c:v>75.599999999999994</c:v>
                </c:pt>
                <c:pt idx="3534">
                  <c:v>75.510000000000005</c:v>
                </c:pt>
                <c:pt idx="3535">
                  <c:v>75.67</c:v>
                </c:pt>
                <c:pt idx="3536">
                  <c:v>75.62</c:v>
                </c:pt>
                <c:pt idx="3537">
                  <c:v>75.37</c:v>
                </c:pt>
                <c:pt idx="3538">
                  <c:v>74.930000000000007</c:v>
                </c:pt>
                <c:pt idx="3539">
                  <c:v>76.62</c:v>
                </c:pt>
                <c:pt idx="3540">
                  <c:v>76.5</c:v>
                </c:pt>
                <c:pt idx="3541">
                  <c:v>76.400000000000006</c:v>
                </c:pt>
                <c:pt idx="3542">
                  <c:v>77.459999999999994</c:v>
                </c:pt>
                <c:pt idx="3543">
                  <c:v>76.62</c:v>
                </c:pt>
                <c:pt idx="3544">
                  <c:v>78.37</c:v>
                </c:pt>
                <c:pt idx="3545">
                  <c:v>77.67</c:v>
                </c:pt>
                <c:pt idx="3546">
                  <c:v>77.62</c:v>
                </c:pt>
                <c:pt idx="3547">
                  <c:v>76.41</c:v>
                </c:pt>
                <c:pt idx="3548">
                  <c:v>77.22</c:v>
                </c:pt>
                <c:pt idx="3549">
                  <c:v>85.27</c:v>
                </c:pt>
                <c:pt idx="3550">
                  <c:v>86.52</c:v>
                </c:pt>
                <c:pt idx="3551">
                  <c:v>81.59</c:v>
                </c:pt>
                <c:pt idx="3552">
                  <c:v>80.650000000000006</c:v>
                </c:pt>
                <c:pt idx="3553">
                  <c:v>86.95</c:v>
                </c:pt>
                <c:pt idx="3554">
                  <c:v>89.22</c:v>
                </c:pt>
                <c:pt idx="3555">
                  <c:v>86.54</c:v>
                </c:pt>
                <c:pt idx="3556">
                  <c:v>85.54</c:v>
                </c:pt>
                <c:pt idx="3557">
                  <c:v>87.44</c:v>
                </c:pt>
                <c:pt idx="3558">
                  <c:v>84.01</c:v>
                </c:pt>
                <c:pt idx="3559">
                  <c:v>82.46</c:v>
                </c:pt>
                <c:pt idx="3560">
                  <c:v>79.87</c:v>
                </c:pt>
                <c:pt idx="3561">
                  <c:v>80.760000000000005</c:v>
                </c:pt>
                <c:pt idx="3562">
                  <c:v>82.83</c:v>
                </c:pt>
                <c:pt idx="3563">
                  <c:v>81.459999999999994</c:v>
                </c:pt>
                <c:pt idx="3564">
                  <c:v>86.11</c:v>
                </c:pt>
                <c:pt idx="3565">
                  <c:v>88.4</c:v>
                </c:pt>
                <c:pt idx="3566">
                  <c:v>85.7</c:v>
                </c:pt>
                <c:pt idx="3567">
                  <c:v>84.72</c:v>
                </c:pt>
                <c:pt idx="3568">
                  <c:v>83.48</c:v>
                </c:pt>
                <c:pt idx="3569">
                  <c:v>84.23</c:v>
                </c:pt>
                <c:pt idx="3570">
                  <c:v>81.569999999999993</c:v>
                </c:pt>
                <c:pt idx="3571">
                  <c:v>82.36</c:v>
                </c:pt>
                <c:pt idx="3572">
                  <c:v>82.26</c:v>
                </c:pt>
                <c:pt idx="3573">
                  <c:v>81.45</c:v>
                </c:pt>
                <c:pt idx="3574">
                  <c:v>80.959999999999994</c:v>
                </c:pt>
                <c:pt idx="3575">
                  <c:v>82.27</c:v>
                </c:pt>
                <c:pt idx="3576">
                  <c:v>76.25</c:v>
                </c:pt>
                <c:pt idx="3577">
                  <c:v>80.2</c:v>
                </c:pt>
                <c:pt idx="3578">
                  <c:v>78.569999999999993</c:v>
                </c:pt>
                <c:pt idx="3579">
                  <c:v>77.010000000000005</c:v>
                </c:pt>
                <c:pt idx="3580">
                  <c:v>75.77</c:v>
                </c:pt>
                <c:pt idx="3581">
                  <c:v>73.77</c:v>
                </c:pt>
                <c:pt idx="3582">
                  <c:v>72.5</c:v>
                </c:pt>
                <c:pt idx="3583">
                  <c:v>71.33</c:v>
                </c:pt>
                <c:pt idx="3584">
                  <c:v>72.11</c:v>
                </c:pt>
                <c:pt idx="3585">
                  <c:v>66.510000000000005</c:v>
                </c:pt>
                <c:pt idx="3586">
                  <c:v>66.790000000000006</c:v>
                </c:pt>
                <c:pt idx="3587">
                  <c:v>64.69</c:v>
                </c:pt>
                <c:pt idx="3588">
                  <c:v>66.38</c:v>
                </c:pt>
                <c:pt idx="3589">
                  <c:v>68.959999999999994</c:v>
                </c:pt>
                <c:pt idx="3590">
                  <c:v>68.47</c:v>
                </c:pt>
                <c:pt idx="3591">
                  <c:v>69.400000000000006</c:v>
                </c:pt>
                <c:pt idx="3592">
                  <c:v>68.8</c:v>
                </c:pt>
                <c:pt idx="3593">
                  <c:v>65.319999999999993</c:v>
                </c:pt>
                <c:pt idx="3594">
                  <c:v>69.5</c:v>
                </c:pt>
                <c:pt idx="3595">
                  <c:v>70.430000000000007</c:v>
                </c:pt>
                <c:pt idx="3596">
                  <c:v>71.09</c:v>
                </c:pt>
                <c:pt idx="3597">
                  <c:v>72.959999999999994</c:v>
                </c:pt>
                <c:pt idx="3598">
                  <c:v>76.12</c:v>
                </c:pt>
                <c:pt idx="3599">
                  <c:v>77.08</c:v>
                </c:pt>
                <c:pt idx="3600">
                  <c:v>76.52</c:v>
                </c:pt>
                <c:pt idx="3601">
                  <c:v>77.83</c:v>
                </c:pt>
                <c:pt idx="3602">
                  <c:v>76.650000000000006</c:v>
                </c:pt>
                <c:pt idx="3603">
                  <c:v>78.94</c:v>
                </c:pt>
                <c:pt idx="3604">
                  <c:v>78.33</c:v>
                </c:pt>
                <c:pt idx="3605">
                  <c:v>66.459999999999994</c:v>
                </c:pt>
                <c:pt idx="3606">
                  <c:v>67.709999999999994</c:v>
                </c:pt>
                <c:pt idx="3607">
                  <c:v>68.75</c:v>
                </c:pt>
                <c:pt idx="3608">
                  <c:v>69.44</c:v>
                </c:pt>
                <c:pt idx="3609">
                  <c:v>63.33</c:v>
                </c:pt>
                <c:pt idx="3610">
                  <c:v>62.92</c:v>
                </c:pt>
                <c:pt idx="3611">
                  <c:v>61.51</c:v>
                </c:pt>
                <c:pt idx="3612">
                  <c:v>60.56</c:v>
                </c:pt>
                <c:pt idx="3613">
                  <c:v>63.05</c:v>
                </c:pt>
                <c:pt idx="3614">
                  <c:v>63.81</c:v>
                </c:pt>
                <c:pt idx="3615">
                  <c:v>66.55</c:v>
                </c:pt>
                <c:pt idx="3616">
                  <c:v>66.33</c:v>
                </c:pt>
                <c:pt idx="3617">
                  <c:v>65.77</c:v>
                </c:pt>
                <c:pt idx="3618">
                  <c:v>61.15</c:v>
                </c:pt>
                <c:pt idx="3619">
                  <c:v>61.57</c:v>
                </c:pt>
                <c:pt idx="3620">
                  <c:v>59.46</c:v>
                </c:pt>
                <c:pt idx="3621">
                  <c:v>61.16</c:v>
                </c:pt>
                <c:pt idx="3622">
                  <c:v>62.08</c:v>
                </c:pt>
                <c:pt idx="3623">
                  <c:v>61.54</c:v>
                </c:pt>
                <c:pt idx="3624">
                  <c:v>62.48</c:v>
                </c:pt>
                <c:pt idx="3625">
                  <c:v>62.95</c:v>
                </c:pt>
                <c:pt idx="3626">
                  <c:v>59.45</c:v>
                </c:pt>
                <c:pt idx="3627">
                  <c:v>58.36</c:v>
                </c:pt>
                <c:pt idx="3628">
                  <c:v>59.05</c:v>
                </c:pt>
                <c:pt idx="3629">
                  <c:v>59</c:v>
                </c:pt>
                <c:pt idx="3630">
                  <c:v>56.74</c:v>
                </c:pt>
                <c:pt idx="3631">
                  <c:v>57.07</c:v>
                </c:pt>
                <c:pt idx="3632">
                  <c:v>59.91</c:v>
                </c:pt>
                <c:pt idx="3633">
                  <c:v>59.82</c:v>
                </c:pt>
                <c:pt idx="3634">
                  <c:v>61.01</c:v>
                </c:pt>
                <c:pt idx="3635">
                  <c:v>64.180000000000007</c:v>
                </c:pt>
                <c:pt idx="3636">
                  <c:v>63.7</c:v>
                </c:pt>
                <c:pt idx="3637">
                  <c:v>63.25</c:v>
                </c:pt>
                <c:pt idx="3638">
                  <c:v>62.91</c:v>
                </c:pt>
                <c:pt idx="3639">
                  <c:v>61.44</c:v>
                </c:pt>
                <c:pt idx="3640">
                  <c:v>61.97</c:v>
                </c:pt>
                <c:pt idx="3641">
                  <c:v>60.95</c:v>
                </c:pt>
                <c:pt idx="3642">
                  <c:v>61.12</c:v>
                </c:pt>
                <c:pt idx="3643">
                  <c:v>58.25</c:v>
                </c:pt>
                <c:pt idx="3644">
                  <c:v>56.43</c:v>
                </c:pt>
                <c:pt idx="3645">
                  <c:v>59.1</c:v>
                </c:pt>
                <c:pt idx="3646">
                  <c:v>60.86</c:v>
                </c:pt>
                <c:pt idx="3647">
                  <c:v>64.180000000000007</c:v>
                </c:pt>
                <c:pt idx="3648">
                  <c:v>64.73</c:v>
                </c:pt>
                <c:pt idx="3649">
                  <c:v>62.86</c:v>
                </c:pt>
                <c:pt idx="3650">
                  <c:v>62.98</c:v>
                </c:pt>
                <c:pt idx="3651">
                  <c:v>65.180000000000007</c:v>
                </c:pt>
                <c:pt idx="3652">
                  <c:v>64.75</c:v>
                </c:pt>
                <c:pt idx="3653">
                  <c:v>64.56</c:v>
                </c:pt>
                <c:pt idx="3654">
                  <c:v>64.099999999999994</c:v>
                </c:pt>
                <c:pt idx="3655">
                  <c:v>64.41</c:v>
                </c:pt>
                <c:pt idx="3656">
                  <c:v>63.62</c:v>
                </c:pt>
                <c:pt idx="3657">
                  <c:v>63.52</c:v>
                </c:pt>
                <c:pt idx="3658">
                  <c:v>66.400000000000006</c:v>
                </c:pt>
                <c:pt idx="3659">
                  <c:v>66.94</c:v>
                </c:pt>
                <c:pt idx="3660">
                  <c:v>66.19</c:v>
                </c:pt>
                <c:pt idx="3661">
                  <c:v>64.349999999999994</c:v>
                </c:pt>
                <c:pt idx="3662">
                  <c:v>64.41</c:v>
                </c:pt>
                <c:pt idx="3663">
                  <c:v>64.540000000000006</c:v>
                </c:pt>
                <c:pt idx="3664">
                  <c:v>67.319999999999993</c:v>
                </c:pt>
                <c:pt idx="3665">
                  <c:v>68.5</c:v>
                </c:pt>
                <c:pt idx="3666">
                  <c:v>65.989999999999995</c:v>
                </c:pt>
                <c:pt idx="3667">
                  <c:v>71.12</c:v>
                </c:pt>
                <c:pt idx="3668">
                  <c:v>69.599999999999994</c:v>
                </c:pt>
                <c:pt idx="3669">
                  <c:v>67.900000000000006</c:v>
                </c:pt>
                <c:pt idx="3670">
                  <c:v>66.59</c:v>
                </c:pt>
                <c:pt idx="3671">
                  <c:v>66.34</c:v>
                </c:pt>
                <c:pt idx="3672">
                  <c:v>66.13</c:v>
                </c:pt>
                <c:pt idx="3673">
                  <c:v>65.12</c:v>
                </c:pt>
                <c:pt idx="3674">
                  <c:v>65.05</c:v>
                </c:pt>
                <c:pt idx="3675">
                  <c:v>65.260000000000005</c:v>
                </c:pt>
                <c:pt idx="3676">
                  <c:v>66.89</c:v>
                </c:pt>
                <c:pt idx="3677">
                  <c:v>66.349999999999994</c:v>
                </c:pt>
                <c:pt idx="3678">
                  <c:v>66.260000000000005</c:v>
                </c:pt>
                <c:pt idx="3679">
                  <c:v>66.97</c:v>
                </c:pt>
                <c:pt idx="3680">
                  <c:v>67.349999999999994</c:v>
                </c:pt>
                <c:pt idx="3681">
                  <c:v>67.75</c:v>
                </c:pt>
                <c:pt idx="3682">
                  <c:v>68.47</c:v>
                </c:pt>
                <c:pt idx="3683">
                  <c:v>67.48</c:v>
                </c:pt>
                <c:pt idx="3684">
                  <c:v>66.97</c:v>
                </c:pt>
                <c:pt idx="3685">
                  <c:v>66.430000000000007</c:v>
                </c:pt>
                <c:pt idx="3686">
                  <c:v>67.150000000000006</c:v>
                </c:pt>
                <c:pt idx="3687">
                  <c:v>69.64</c:v>
                </c:pt>
                <c:pt idx="3688">
                  <c:v>69.400000000000006</c:v>
                </c:pt>
                <c:pt idx="3689">
                  <c:v>69.040000000000006</c:v>
                </c:pt>
                <c:pt idx="3690">
                  <c:v>69.97</c:v>
                </c:pt>
                <c:pt idx="3691">
                  <c:v>71.22</c:v>
                </c:pt>
                <c:pt idx="3692">
                  <c:v>70.239999999999995</c:v>
                </c:pt>
                <c:pt idx="3693">
                  <c:v>68.430000000000007</c:v>
                </c:pt>
                <c:pt idx="3694">
                  <c:v>67.58</c:v>
                </c:pt>
                <c:pt idx="3695">
                  <c:v>67.819999999999993</c:v>
                </c:pt>
                <c:pt idx="3696">
                  <c:v>66.92</c:v>
                </c:pt>
                <c:pt idx="3697">
                  <c:v>66.459999999999994</c:v>
                </c:pt>
                <c:pt idx="3698">
                  <c:v>66.13</c:v>
                </c:pt>
                <c:pt idx="3699">
                  <c:v>65.73</c:v>
                </c:pt>
                <c:pt idx="3700">
                  <c:v>64.8</c:v>
                </c:pt>
                <c:pt idx="3701">
                  <c:v>64.33</c:v>
                </c:pt>
                <c:pt idx="3702">
                  <c:v>63.85</c:v>
                </c:pt>
                <c:pt idx="3703">
                  <c:v>64.47</c:v>
                </c:pt>
                <c:pt idx="3704">
                  <c:v>64.84</c:v>
                </c:pt>
                <c:pt idx="3705">
                  <c:v>64.56</c:v>
                </c:pt>
                <c:pt idx="3706">
                  <c:v>65.69</c:v>
                </c:pt>
                <c:pt idx="3707">
                  <c:v>66.3</c:v>
                </c:pt>
                <c:pt idx="3708">
                  <c:v>67.2</c:v>
                </c:pt>
                <c:pt idx="3709">
                  <c:v>67.56</c:v>
                </c:pt>
                <c:pt idx="3710">
                  <c:v>64.84</c:v>
                </c:pt>
                <c:pt idx="3711">
                  <c:v>63.63</c:v>
                </c:pt>
                <c:pt idx="3712">
                  <c:v>64.3</c:v>
                </c:pt>
                <c:pt idx="3713">
                  <c:v>65.88</c:v>
                </c:pt>
                <c:pt idx="3714">
                  <c:v>65.569999999999993</c:v>
                </c:pt>
                <c:pt idx="3715">
                  <c:v>65.430000000000007</c:v>
                </c:pt>
                <c:pt idx="3716">
                  <c:v>66.63</c:v>
                </c:pt>
                <c:pt idx="3717">
                  <c:v>67.3</c:v>
                </c:pt>
                <c:pt idx="3718">
                  <c:v>65.87</c:v>
                </c:pt>
                <c:pt idx="3719">
                  <c:v>66.599999999999994</c:v>
                </c:pt>
                <c:pt idx="3720">
                  <c:v>67.7</c:v>
                </c:pt>
                <c:pt idx="3721">
                  <c:v>67.44</c:v>
                </c:pt>
                <c:pt idx="3722">
                  <c:v>69.27</c:v>
                </c:pt>
                <c:pt idx="3723">
                  <c:v>69.02</c:v>
                </c:pt>
                <c:pt idx="3724">
                  <c:v>74.739999999999995</c:v>
                </c:pt>
                <c:pt idx="3725">
                  <c:v>71.319999999999993</c:v>
                </c:pt>
                <c:pt idx="3726">
                  <c:v>70.510000000000005</c:v>
                </c:pt>
                <c:pt idx="3727">
                  <c:v>70.510000000000005</c:v>
                </c:pt>
                <c:pt idx="3728">
                  <c:v>70.650000000000006</c:v>
                </c:pt>
                <c:pt idx="3729">
                  <c:v>71.069999999999993</c:v>
                </c:pt>
                <c:pt idx="3730">
                  <c:v>72.61</c:v>
                </c:pt>
                <c:pt idx="3731">
                  <c:v>73.67</c:v>
                </c:pt>
                <c:pt idx="3732">
                  <c:v>72.37</c:v>
                </c:pt>
                <c:pt idx="3733">
                  <c:v>71</c:v>
                </c:pt>
                <c:pt idx="3734">
                  <c:v>70.97</c:v>
                </c:pt>
                <c:pt idx="3735">
                  <c:v>71.36</c:v>
                </c:pt>
                <c:pt idx="3736">
                  <c:v>73.099999999999994</c:v>
                </c:pt>
                <c:pt idx="3737">
                  <c:v>74.23</c:v>
                </c:pt>
                <c:pt idx="3738">
                  <c:v>73.95</c:v>
                </c:pt>
                <c:pt idx="3739">
                  <c:v>73.5</c:v>
                </c:pt>
                <c:pt idx="3740">
                  <c:v>73.47</c:v>
                </c:pt>
                <c:pt idx="3741">
                  <c:v>75.319999999999993</c:v>
                </c:pt>
                <c:pt idx="3742">
                  <c:v>74.599999999999994</c:v>
                </c:pt>
                <c:pt idx="3743">
                  <c:v>73.98</c:v>
                </c:pt>
                <c:pt idx="3744">
                  <c:v>73.91</c:v>
                </c:pt>
                <c:pt idx="3745">
                  <c:v>75.52</c:v>
                </c:pt>
                <c:pt idx="3746">
                  <c:v>75.39</c:v>
                </c:pt>
                <c:pt idx="3747">
                  <c:v>74.81</c:v>
                </c:pt>
                <c:pt idx="3748">
                  <c:v>74.03</c:v>
                </c:pt>
                <c:pt idx="3749">
                  <c:v>73.2</c:v>
                </c:pt>
                <c:pt idx="3750">
                  <c:v>72.97</c:v>
                </c:pt>
                <c:pt idx="3751">
                  <c:v>60.06</c:v>
                </c:pt>
                <c:pt idx="3752">
                  <c:v>58.15</c:v>
                </c:pt>
                <c:pt idx="3753">
                  <c:v>57.1</c:v>
                </c:pt>
                <c:pt idx="3754">
                  <c:v>57.36</c:v>
                </c:pt>
                <c:pt idx="3755">
                  <c:v>57.29</c:v>
                </c:pt>
                <c:pt idx="3756">
                  <c:v>56.8</c:v>
                </c:pt>
                <c:pt idx="3757">
                  <c:v>56.47</c:v>
                </c:pt>
                <c:pt idx="3758">
                  <c:v>55.99</c:v>
                </c:pt>
                <c:pt idx="3759">
                  <c:v>55.88</c:v>
                </c:pt>
                <c:pt idx="3760">
                  <c:v>54.51</c:v>
                </c:pt>
                <c:pt idx="3761">
                  <c:v>54.7</c:v>
                </c:pt>
                <c:pt idx="3762">
                  <c:v>54.54</c:v>
                </c:pt>
                <c:pt idx="3763">
                  <c:v>53.86</c:v>
                </c:pt>
                <c:pt idx="3764">
                  <c:v>57</c:v>
                </c:pt>
                <c:pt idx="3765">
                  <c:v>56.39</c:v>
                </c:pt>
                <c:pt idx="3766">
                  <c:v>56.23</c:v>
                </c:pt>
                <c:pt idx="3767">
                  <c:v>55.15</c:v>
                </c:pt>
                <c:pt idx="3768">
                  <c:v>55.1</c:v>
                </c:pt>
                <c:pt idx="3769">
                  <c:v>55.57</c:v>
                </c:pt>
                <c:pt idx="3770">
                  <c:v>55.81</c:v>
                </c:pt>
                <c:pt idx="3771">
                  <c:v>55.63</c:v>
                </c:pt>
                <c:pt idx="3772">
                  <c:v>55.76</c:v>
                </c:pt>
                <c:pt idx="3773">
                  <c:v>57.07</c:v>
                </c:pt>
                <c:pt idx="3774">
                  <c:v>55.81</c:v>
                </c:pt>
                <c:pt idx="3775">
                  <c:v>56.4</c:v>
                </c:pt>
                <c:pt idx="3776">
                  <c:v>54.65</c:v>
                </c:pt>
                <c:pt idx="3777">
                  <c:v>54.76</c:v>
                </c:pt>
                <c:pt idx="3778">
                  <c:v>54.31</c:v>
                </c:pt>
                <c:pt idx="3779">
                  <c:v>54.67</c:v>
                </c:pt>
                <c:pt idx="3780">
                  <c:v>55.34</c:v>
                </c:pt>
                <c:pt idx="3781">
                  <c:v>55.89</c:v>
                </c:pt>
                <c:pt idx="3782">
                  <c:v>56.58</c:v>
                </c:pt>
                <c:pt idx="3783">
                  <c:v>62.057000000000002</c:v>
                </c:pt>
                <c:pt idx="3784">
                  <c:v>60.93</c:v>
                </c:pt>
                <c:pt idx="3785">
                  <c:v>60.45</c:v>
                </c:pt>
                <c:pt idx="3786">
                  <c:v>57.38</c:v>
                </c:pt>
                <c:pt idx="3787">
                  <c:v>58.4</c:v>
                </c:pt>
                <c:pt idx="3788">
                  <c:v>57.83</c:v>
                </c:pt>
                <c:pt idx="3789">
                  <c:v>57.85</c:v>
                </c:pt>
                <c:pt idx="3790">
                  <c:v>58.44</c:v>
                </c:pt>
                <c:pt idx="3791">
                  <c:v>59.27</c:v>
                </c:pt>
                <c:pt idx="3792">
                  <c:v>61.63</c:v>
                </c:pt>
                <c:pt idx="3793">
                  <c:v>61.02</c:v>
                </c:pt>
                <c:pt idx="3794">
                  <c:v>61.22</c:v>
                </c:pt>
                <c:pt idx="3795">
                  <c:v>60.58</c:v>
                </c:pt>
                <c:pt idx="3796">
                  <c:v>61.65</c:v>
                </c:pt>
                <c:pt idx="3797">
                  <c:v>61.75</c:v>
                </c:pt>
                <c:pt idx="3798">
                  <c:v>63.7</c:v>
                </c:pt>
                <c:pt idx="3799">
                  <c:v>63.94</c:v>
                </c:pt>
                <c:pt idx="3800">
                  <c:v>60.5</c:v>
                </c:pt>
                <c:pt idx="3801">
                  <c:v>59.97</c:v>
                </c:pt>
                <c:pt idx="3802">
                  <c:v>59.65</c:v>
                </c:pt>
                <c:pt idx="3803">
                  <c:v>59.95</c:v>
                </c:pt>
                <c:pt idx="3804">
                  <c:v>60.24</c:v>
                </c:pt>
                <c:pt idx="3805">
                  <c:v>60.37</c:v>
                </c:pt>
                <c:pt idx="3806">
                  <c:v>60.26</c:v>
                </c:pt>
                <c:pt idx="3807">
                  <c:v>59.33</c:v>
                </c:pt>
                <c:pt idx="3808">
                  <c:v>60.9</c:v>
                </c:pt>
                <c:pt idx="3809">
                  <c:v>61.19</c:v>
                </c:pt>
                <c:pt idx="3810">
                  <c:v>60.9</c:v>
                </c:pt>
                <c:pt idx="3811">
                  <c:v>61.88</c:v>
                </c:pt>
                <c:pt idx="3812">
                  <c:v>64.150000000000006</c:v>
                </c:pt>
                <c:pt idx="3813">
                  <c:v>62.45</c:v>
                </c:pt>
                <c:pt idx="3814">
                  <c:v>60.59</c:v>
                </c:pt>
                <c:pt idx="3815">
                  <c:v>60.2</c:v>
                </c:pt>
                <c:pt idx="3816">
                  <c:v>60.39</c:v>
                </c:pt>
                <c:pt idx="3817">
                  <c:v>61.08</c:v>
                </c:pt>
                <c:pt idx="3818">
                  <c:v>60.41</c:v>
                </c:pt>
                <c:pt idx="3819">
                  <c:v>59.93</c:v>
                </c:pt>
                <c:pt idx="3820">
                  <c:v>59.28</c:v>
                </c:pt>
                <c:pt idx="3821">
                  <c:v>59.45</c:v>
                </c:pt>
                <c:pt idx="3822">
                  <c:v>59.46</c:v>
                </c:pt>
                <c:pt idx="3823">
                  <c:v>58.3</c:v>
                </c:pt>
                <c:pt idx="3824">
                  <c:v>59.22</c:v>
                </c:pt>
                <c:pt idx="3825">
                  <c:v>60.16</c:v>
                </c:pt>
                <c:pt idx="3826">
                  <c:v>60.47</c:v>
                </c:pt>
                <c:pt idx="3827">
                  <c:v>61.45</c:v>
                </c:pt>
                <c:pt idx="3828">
                  <c:v>56.92</c:v>
                </c:pt>
                <c:pt idx="3829">
                  <c:v>57.9</c:v>
                </c:pt>
                <c:pt idx="3830">
                  <c:v>58.8</c:v>
                </c:pt>
                <c:pt idx="3831">
                  <c:v>59.54</c:v>
                </c:pt>
                <c:pt idx="3832">
                  <c:v>59.685000000000002</c:v>
                </c:pt>
                <c:pt idx="3833">
                  <c:v>59.88</c:v>
                </c:pt>
                <c:pt idx="3834">
                  <c:v>60</c:v>
                </c:pt>
                <c:pt idx="3835">
                  <c:v>59.48</c:v>
                </c:pt>
                <c:pt idx="3836">
                  <c:v>60.93</c:v>
                </c:pt>
                <c:pt idx="3837">
                  <c:v>61.17</c:v>
                </c:pt>
                <c:pt idx="3838">
                  <c:v>62.39</c:v>
                </c:pt>
                <c:pt idx="3839">
                  <c:v>62.25</c:v>
                </c:pt>
                <c:pt idx="3840">
                  <c:v>62.13</c:v>
                </c:pt>
                <c:pt idx="3841">
                  <c:v>63.362000000000002</c:v>
                </c:pt>
                <c:pt idx="3842">
                  <c:v>63.44</c:v>
                </c:pt>
                <c:pt idx="3843">
                  <c:v>63.02</c:v>
                </c:pt>
                <c:pt idx="3844">
                  <c:v>63.21</c:v>
                </c:pt>
                <c:pt idx="3845">
                  <c:v>64.650000000000006</c:v>
                </c:pt>
                <c:pt idx="3846">
                  <c:v>64.010000000000005</c:v>
                </c:pt>
                <c:pt idx="3847">
                  <c:v>64.63</c:v>
                </c:pt>
                <c:pt idx="3848">
                  <c:v>64.37</c:v>
                </c:pt>
                <c:pt idx="3849">
                  <c:v>64.47</c:v>
                </c:pt>
                <c:pt idx="3850">
                  <c:v>63.97</c:v>
                </c:pt>
                <c:pt idx="3851">
                  <c:v>63.27</c:v>
                </c:pt>
                <c:pt idx="3852">
                  <c:v>62.43</c:v>
                </c:pt>
                <c:pt idx="3853">
                  <c:v>61.28</c:v>
                </c:pt>
                <c:pt idx="3854">
                  <c:v>63.16</c:v>
                </c:pt>
                <c:pt idx="3855">
                  <c:v>62.28</c:v>
                </c:pt>
                <c:pt idx="3856">
                  <c:v>61.29</c:v>
                </c:pt>
                <c:pt idx="3857">
                  <c:v>61.5</c:v>
                </c:pt>
                <c:pt idx="3858">
                  <c:v>62.56</c:v>
                </c:pt>
                <c:pt idx="3859">
                  <c:v>63.76</c:v>
                </c:pt>
                <c:pt idx="3860">
                  <c:v>64.47</c:v>
                </c:pt>
                <c:pt idx="3861">
                  <c:v>63</c:v>
                </c:pt>
                <c:pt idx="3862">
                  <c:v>63.14</c:v>
                </c:pt>
                <c:pt idx="3863">
                  <c:v>62.57</c:v>
                </c:pt>
                <c:pt idx="3864">
                  <c:v>64.88</c:v>
                </c:pt>
                <c:pt idx="3865">
                  <c:v>63.84</c:v>
                </c:pt>
                <c:pt idx="3866">
                  <c:v>64.02</c:v>
                </c:pt>
                <c:pt idx="3867">
                  <c:v>64.61</c:v>
                </c:pt>
                <c:pt idx="3868">
                  <c:v>65.12</c:v>
                </c:pt>
                <c:pt idx="3869">
                  <c:v>64.87</c:v>
                </c:pt>
                <c:pt idx="3870">
                  <c:v>65.739999999999995</c:v>
                </c:pt>
                <c:pt idx="3871">
                  <c:v>64.88</c:v>
                </c:pt>
                <c:pt idx="3872">
                  <c:v>63.53</c:v>
                </c:pt>
                <c:pt idx="3873">
                  <c:v>62.75</c:v>
                </c:pt>
                <c:pt idx="3874">
                  <c:v>61.91</c:v>
                </c:pt>
                <c:pt idx="3875">
                  <c:v>61.5</c:v>
                </c:pt>
                <c:pt idx="3876">
                  <c:v>57.73</c:v>
                </c:pt>
                <c:pt idx="3877">
                  <c:v>57.41</c:v>
                </c:pt>
                <c:pt idx="3878">
                  <c:v>58.32</c:v>
                </c:pt>
                <c:pt idx="3879">
                  <c:v>56.1</c:v>
                </c:pt>
                <c:pt idx="3880">
                  <c:v>56.99</c:v>
                </c:pt>
                <c:pt idx="3881">
                  <c:v>55.02</c:v>
                </c:pt>
                <c:pt idx="3882">
                  <c:v>54.41</c:v>
                </c:pt>
                <c:pt idx="3883">
                  <c:v>55.24</c:v>
                </c:pt>
                <c:pt idx="3884">
                  <c:v>54.16</c:v>
                </c:pt>
                <c:pt idx="3885">
                  <c:v>55.74</c:v>
                </c:pt>
                <c:pt idx="3886">
                  <c:v>54.61</c:v>
                </c:pt>
                <c:pt idx="3887">
                  <c:v>52.78</c:v>
                </c:pt>
                <c:pt idx="3888">
                  <c:v>57.85</c:v>
                </c:pt>
                <c:pt idx="3889">
                  <c:v>54.52</c:v>
                </c:pt>
                <c:pt idx="3890">
                  <c:v>56.18</c:v>
                </c:pt>
                <c:pt idx="3891">
                  <c:v>55.61</c:v>
                </c:pt>
                <c:pt idx="3892">
                  <c:v>55.5</c:v>
                </c:pt>
                <c:pt idx="3893">
                  <c:v>55.06</c:v>
                </c:pt>
                <c:pt idx="3894">
                  <c:v>55.06</c:v>
                </c:pt>
                <c:pt idx="3895">
                  <c:v>53.4</c:v>
                </c:pt>
                <c:pt idx="3896">
                  <c:v>53.18</c:v>
                </c:pt>
                <c:pt idx="3897">
                  <c:v>53.16</c:v>
                </c:pt>
                <c:pt idx="3898">
                  <c:v>51.4</c:v>
                </c:pt>
                <c:pt idx="3899">
                  <c:v>51.47</c:v>
                </c:pt>
                <c:pt idx="3900">
                  <c:v>52.85</c:v>
                </c:pt>
                <c:pt idx="3901">
                  <c:v>51.482500000000002</c:v>
                </c:pt>
                <c:pt idx="3902">
                  <c:v>49.76</c:v>
                </c:pt>
                <c:pt idx="3903">
                  <c:v>50.44</c:v>
                </c:pt>
                <c:pt idx="3904">
                  <c:v>50.03</c:v>
                </c:pt>
                <c:pt idx="3905">
                  <c:v>50.26</c:v>
                </c:pt>
                <c:pt idx="3906">
                  <c:v>51.1</c:v>
                </c:pt>
                <c:pt idx="3907">
                  <c:v>47.6</c:v>
                </c:pt>
                <c:pt idx="3908">
                  <c:v>48.3</c:v>
                </c:pt>
                <c:pt idx="3909">
                  <c:v>49.36</c:v>
                </c:pt>
                <c:pt idx="3910">
                  <c:v>48.58</c:v>
                </c:pt>
                <c:pt idx="3911">
                  <c:v>48.39</c:v>
                </c:pt>
                <c:pt idx="3912">
                  <c:v>48.01</c:v>
                </c:pt>
                <c:pt idx="3913">
                  <c:v>46.55</c:v>
                </c:pt>
                <c:pt idx="3914">
                  <c:v>46.33</c:v>
                </c:pt>
                <c:pt idx="3915">
                  <c:v>45.97</c:v>
                </c:pt>
                <c:pt idx="3916">
                  <c:v>43.75</c:v>
                </c:pt>
                <c:pt idx="3917">
                  <c:v>44.51</c:v>
                </c:pt>
                <c:pt idx="3918">
                  <c:v>43.13</c:v>
                </c:pt>
                <c:pt idx="3919">
                  <c:v>42.47</c:v>
                </c:pt>
                <c:pt idx="3920">
                  <c:v>43.34</c:v>
                </c:pt>
                <c:pt idx="3921">
                  <c:v>41.86</c:v>
                </c:pt>
                <c:pt idx="3922">
                  <c:v>42.27</c:v>
                </c:pt>
                <c:pt idx="3923">
                  <c:v>42.97</c:v>
                </c:pt>
                <c:pt idx="3924">
                  <c:v>44.06</c:v>
                </c:pt>
                <c:pt idx="3925">
                  <c:v>44.44</c:v>
                </c:pt>
                <c:pt idx="3926">
                  <c:v>43.87</c:v>
                </c:pt>
                <c:pt idx="3927">
                  <c:v>43.92</c:v>
                </c:pt>
                <c:pt idx="3928">
                  <c:v>44.69</c:v>
                </c:pt>
                <c:pt idx="3929">
                  <c:v>44.78</c:v>
                </c:pt>
                <c:pt idx="3930">
                  <c:v>45.57</c:v>
                </c:pt>
                <c:pt idx="3931">
                  <c:v>48.03</c:v>
                </c:pt>
                <c:pt idx="3932">
                  <c:v>48.08</c:v>
                </c:pt>
                <c:pt idx="3933">
                  <c:v>47.1</c:v>
                </c:pt>
                <c:pt idx="3934">
                  <c:v>46.32</c:v>
                </c:pt>
                <c:pt idx="3935">
                  <c:v>49.27</c:v>
                </c:pt>
                <c:pt idx="3936">
                  <c:v>48.32</c:v>
                </c:pt>
                <c:pt idx="3937">
                  <c:v>47.76</c:v>
                </c:pt>
                <c:pt idx="3938">
                  <c:v>47.81</c:v>
                </c:pt>
                <c:pt idx="3939">
                  <c:v>47.07</c:v>
                </c:pt>
                <c:pt idx="3940">
                  <c:v>46.13</c:v>
                </c:pt>
                <c:pt idx="3941">
                  <c:v>47.14</c:v>
                </c:pt>
                <c:pt idx="3942">
                  <c:v>44.81</c:v>
                </c:pt>
                <c:pt idx="3943">
                  <c:v>44.76</c:v>
                </c:pt>
                <c:pt idx="3944">
                  <c:v>42.83</c:v>
                </c:pt>
                <c:pt idx="3945">
                  <c:v>42.49</c:v>
                </c:pt>
                <c:pt idx="3946">
                  <c:v>42.57</c:v>
                </c:pt>
                <c:pt idx="3947">
                  <c:v>41.84</c:v>
                </c:pt>
                <c:pt idx="3948">
                  <c:v>41.3</c:v>
                </c:pt>
                <c:pt idx="3949">
                  <c:v>40.47</c:v>
                </c:pt>
                <c:pt idx="3950">
                  <c:v>38.94</c:v>
                </c:pt>
                <c:pt idx="3951">
                  <c:v>40.98</c:v>
                </c:pt>
                <c:pt idx="3952">
                  <c:v>40.36</c:v>
                </c:pt>
                <c:pt idx="3953">
                  <c:v>40.98</c:v>
                </c:pt>
                <c:pt idx="3954">
                  <c:v>40.590000000000003</c:v>
                </c:pt>
                <c:pt idx="3955">
                  <c:v>40.72</c:v>
                </c:pt>
                <c:pt idx="3956">
                  <c:v>41.36</c:v>
                </c:pt>
                <c:pt idx="3957">
                  <c:v>41.49</c:v>
                </c:pt>
                <c:pt idx="3958">
                  <c:v>42.94</c:v>
                </c:pt>
                <c:pt idx="3959">
                  <c:v>42.32</c:v>
                </c:pt>
                <c:pt idx="3960">
                  <c:v>42.77</c:v>
                </c:pt>
                <c:pt idx="3961">
                  <c:v>43.2</c:v>
                </c:pt>
                <c:pt idx="3962">
                  <c:v>42.49</c:v>
                </c:pt>
                <c:pt idx="3963">
                  <c:v>43.39</c:v>
                </c:pt>
                <c:pt idx="3964">
                  <c:v>44.67</c:v>
                </c:pt>
                <c:pt idx="3965">
                  <c:v>45.38</c:v>
                </c:pt>
                <c:pt idx="3966">
                  <c:v>45.17</c:v>
                </c:pt>
                <c:pt idx="3967">
                  <c:v>46.05</c:v>
                </c:pt>
                <c:pt idx="3968">
                  <c:v>46.89</c:v>
                </c:pt>
                <c:pt idx="3969">
                  <c:v>47.56</c:v>
                </c:pt>
                <c:pt idx="3970">
                  <c:v>47.88</c:v>
                </c:pt>
                <c:pt idx="3971">
                  <c:v>47.74</c:v>
                </c:pt>
                <c:pt idx="3972">
                  <c:v>48.66</c:v>
                </c:pt>
                <c:pt idx="3973">
                  <c:v>48.34</c:v>
                </c:pt>
                <c:pt idx="3974">
                  <c:v>49.1</c:v>
                </c:pt>
                <c:pt idx="3975">
                  <c:v>51.66</c:v>
                </c:pt>
                <c:pt idx="3976">
                  <c:v>50.37</c:v>
                </c:pt>
                <c:pt idx="3977">
                  <c:v>50.45</c:v>
                </c:pt>
                <c:pt idx="3978">
                  <c:v>50.79</c:v>
                </c:pt>
                <c:pt idx="3979">
                  <c:v>50.53</c:v>
                </c:pt>
                <c:pt idx="3980">
                  <c:v>49.32</c:v>
                </c:pt>
                <c:pt idx="3981">
                  <c:v>49.8</c:v>
                </c:pt>
                <c:pt idx="3982">
                  <c:v>50.29</c:v>
                </c:pt>
                <c:pt idx="3983">
                  <c:v>51.35</c:v>
                </c:pt>
                <c:pt idx="3984">
                  <c:v>51.93</c:v>
                </c:pt>
                <c:pt idx="3985">
                  <c:v>50.21</c:v>
                </c:pt>
                <c:pt idx="3986">
                  <c:v>50.49</c:v>
                </c:pt>
                <c:pt idx="3987">
                  <c:v>50.47</c:v>
                </c:pt>
                <c:pt idx="3988">
                  <c:v>49.85</c:v>
                </c:pt>
                <c:pt idx="3989">
                  <c:v>50.12</c:v>
                </c:pt>
                <c:pt idx="3990">
                  <c:v>50.15</c:v>
                </c:pt>
                <c:pt idx="3991">
                  <c:v>49.98</c:v>
                </c:pt>
                <c:pt idx="3992">
                  <c:v>49.5</c:v>
                </c:pt>
                <c:pt idx="3993">
                  <c:v>38</c:v>
                </c:pt>
                <c:pt idx="3994">
                  <c:v>36.58</c:v>
                </c:pt>
                <c:pt idx="3995">
                  <c:v>37.270000000000003</c:v>
                </c:pt>
                <c:pt idx="3996">
                  <c:v>37.36</c:v>
                </c:pt>
                <c:pt idx="3997">
                  <c:v>36.86</c:v>
                </c:pt>
                <c:pt idx="3998">
                  <c:v>36.270000000000003</c:v>
                </c:pt>
                <c:pt idx="3999">
                  <c:v>36</c:v>
                </c:pt>
                <c:pt idx="4000">
                  <c:v>36.44</c:v>
                </c:pt>
                <c:pt idx="4001">
                  <c:v>36.935000000000002</c:v>
                </c:pt>
                <c:pt idx="4002">
                  <c:v>37.549999999999997</c:v>
                </c:pt>
                <c:pt idx="4003">
                  <c:v>37.590000000000003</c:v>
                </c:pt>
                <c:pt idx="4004">
                  <c:v>37.479999999999997</c:v>
                </c:pt>
                <c:pt idx="4005">
                  <c:v>38.24</c:v>
                </c:pt>
                <c:pt idx="4006">
                  <c:v>38.79</c:v>
                </c:pt>
                <c:pt idx="4007">
                  <c:v>38.47</c:v>
                </c:pt>
                <c:pt idx="4008">
                  <c:v>35.380000000000003</c:v>
                </c:pt>
                <c:pt idx="4009">
                  <c:v>35.729999999999997</c:v>
                </c:pt>
                <c:pt idx="4010">
                  <c:v>36.765000000000001</c:v>
                </c:pt>
                <c:pt idx="4011">
                  <c:v>36.840000000000003</c:v>
                </c:pt>
                <c:pt idx="4012">
                  <c:v>36.630000000000003</c:v>
                </c:pt>
                <c:pt idx="4013">
                  <c:v>36.630000000000003</c:v>
                </c:pt>
                <c:pt idx="4014">
                  <c:v>35.85</c:v>
                </c:pt>
                <c:pt idx="4015">
                  <c:v>35.97</c:v>
                </c:pt>
                <c:pt idx="4016">
                  <c:v>35.71</c:v>
                </c:pt>
                <c:pt idx="4017">
                  <c:v>35.64</c:v>
                </c:pt>
                <c:pt idx="4018">
                  <c:v>35.479999999999997</c:v>
                </c:pt>
                <c:pt idx="4019">
                  <c:v>35.36</c:v>
                </c:pt>
                <c:pt idx="4020">
                  <c:v>35.36</c:v>
                </c:pt>
                <c:pt idx="4021">
                  <c:v>34.369999999999997</c:v>
                </c:pt>
                <c:pt idx="4022">
                  <c:v>34.46</c:v>
                </c:pt>
                <c:pt idx="4023">
                  <c:v>34.46</c:v>
                </c:pt>
                <c:pt idx="4024">
                  <c:v>34.299999999999997</c:v>
                </c:pt>
                <c:pt idx="4025">
                  <c:v>34</c:v>
                </c:pt>
                <c:pt idx="4026">
                  <c:v>34.450000000000003</c:v>
                </c:pt>
                <c:pt idx="4027">
                  <c:v>35.35</c:v>
                </c:pt>
                <c:pt idx="4028">
                  <c:v>36.380000000000003</c:v>
                </c:pt>
                <c:pt idx="4029">
                  <c:v>36.5</c:v>
                </c:pt>
                <c:pt idx="4030">
                  <c:v>36.97</c:v>
                </c:pt>
                <c:pt idx="4031">
                  <c:v>38.049999999999997</c:v>
                </c:pt>
                <c:pt idx="4032">
                  <c:v>36.93</c:v>
                </c:pt>
                <c:pt idx="4033">
                  <c:v>37.950000000000003</c:v>
                </c:pt>
                <c:pt idx="4034">
                  <c:v>38.65</c:v>
                </c:pt>
                <c:pt idx="4035">
                  <c:v>37.86</c:v>
                </c:pt>
                <c:pt idx="4036">
                  <c:v>37.950000000000003</c:v>
                </c:pt>
                <c:pt idx="4037">
                  <c:v>38.4</c:v>
                </c:pt>
                <c:pt idx="4038">
                  <c:v>38.479999999999997</c:v>
                </c:pt>
                <c:pt idx="4039">
                  <c:v>38.799999999999997</c:v>
                </c:pt>
                <c:pt idx="4040">
                  <c:v>38.520000000000003</c:v>
                </c:pt>
                <c:pt idx="4041">
                  <c:v>38.96</c:v>
                </c:pt>
                <c:pt idx="4042">
                  <c:v>39.11</c:v>
                </c:pt>
                <c:pt idx="4043">
                  <c:v>38.590000000000003</c:v>
                </c:pt>
                <c:pt idx="4044">
                  <c:v>38.380000000000003</c:v>
                </c:pt>
                <c:pt idx="4045">
                  <c:v>39.49</c:v>
                </c:pt>
                <c:pt idx="4046">
                  <c:v>39.700000000000003</c:v>
                </c:pt>
                <c:pt idx="4047">
                  <c:v>39.49</c:v>
                </c:pt>
                <c:pt idx="4048">
                  <c:v>39.979999999999997</c:v>
                </c:pt>
                <c:pt idx="4049">
                  <c:v>39.15</c:v>
                </c:pt>
                <c:pt idx="4050">
                  <c:v>39.82</c:v>
                </c:pt>
                <c:pt idx="4051">
                  <c:v>39.47</c:v>
                </c:pt>
                <c:pt idx="4052">
                  <c:v>37.982500000000002</c:v>
                </c:pt>
                <c:pt idx="4053">
                  <c:v>35.94</c:v>
                </c:pt>
                <c:pt idx="4054">
                  <c:v>40.74</c:v>
                </c:pt>
                <c:pt idx="4055">
                  <c:v>41.86</c:v>
                </c:pt>
                <c:pt idx="4056">
                  <c:v>42.39</c:v>
                </c:pt>
                <c:pt idx="4057">
                  <c:v>42.31</c:v>
                </c:pt>
                <c:pt idx="4058">
                  <c:v>43.3</c:v>
                </c:pt>
                <c:pt idx="4059">
                  <c:v>42.17</c:v>
                </c:pt>
                <c:pt idx="4060">
                  <c:v>43.23</c:v>
                </c:pt>
                <c:pt idx="4061">
                  <c:v>42.35</c:v>
                </c:pt>
                <c:pt idx="4062">
                  <c:v>41.87</c:v>
                </c:pt>
                <c:pt idx="4063">
                  <c:v>41.72</c:v>
                </c:pt>
                <c:pt idx="4064">
                  <c:v>42.07</c:v>
                </c:pt>
                <c:pt idx="4065">
                  <c:v>42.29</c:v>
                </c:pt>
                <c:pt idx="4066">
                  <c:v>41.02</c:v>
                </c:pt>
                <c:pt idx="4067">
                  <c:v>41.27</c:v>
                </c:pt>
                <c:pt idx="4068">
                  <c:v>42.16</c:v>
                </c:pt>
                <c:pt idx="4069">
                  <c:v>42.27</c:v>
                </c:pt>
                <c:pt idx="4070">
                  <c:v>42.4</c:v>
                </c:pt>
                <c:pt idx="4071">
                  <c:v>42.14</c:v>
                </c:pt>
                <c:pt idx="4072">
                  <c:v>42.5</c:v>
                </c:pt>
                <c:pt idx="4073">
                  <c:v>42.65</c:v>
                </c:pt>
                <c:pt idx="4074">
                  <c:v>42.31</c:v>
                </c:pt>
                <c:pt idx="4075">
                  <c:v>42.74</c:v>
                </c:pt>
                <c:pt idx="4076">
                  <c:v>42.99</c:v>
                </c:pt>
                <c:pt idx="4077">
                  <c:v>43.07</c:v>
                </c:pt>
                <c:pt idx="4078">
                  <c:v>43.18</c:v>
                </c:pt>
                <c:pt idx="4079">
                  <c:v>43.46</c:v>
                </c:pt>
                <c:pt idx="4080">
                  <c:v>43.64</c:v>
                </c:pt>
                <c:pt idx="4081">
                  <c:v>45.82</c:v>
                </c:pt>
                <c:pt idx="4082">
                  <c:v>45.73</c:v>
                </c:pt>
                <c:pt idx="4083">
                  <c:v>44.56</c:v>
                </c:pt>
                <c:pt idx="4084">
                  <c:v>45.16</c:v>
                </c:pt>
                <c:pt idx="4085">
                  <c:v>45.77</c:v>
                </c:pt>
                <c:pt idx="4086">
                  <c:v>45.26</c:v>
                </c:pt>
                <c:pt idx="4087">
                  <c:v>44.3</c:v>
                </c:pt>
                <c:pt idx="4088">
                  <c:v>44.79</c:v>
                </c:pt>
                <c:pt idx="4089">
                  <c:v>45.26</c:v>
                </c:pt>
                <c:pt idx="4090">
                  <c:v>44.29</c:v>
                </c:pt>
                <c:pt idx="4091">
                  <c:v>44.07</c:v>
                </c:pt>
                <c:pt idx="4092">
                  <c:v>43.21</c:v>
                </c:pt>
                <c:pt idx="4093">
                  <c:v>43.11</c:v>
                </c:pt>
                <c:pt idx="4094">
                  <c:v>42.06</c:v>
                </c:pt>
                <c:pt idx="4095">
                  <c:v>42.29</c:v>
                </c:pt>
                <c:pt idx="4096">
                  <c:v>41.76</c:v>
                </c:pt>
                <c:pt idx="4097">
                  <c:v>41.21</c:v>
                </c:pt>
                <c:pt idx="4098">
                  <c:v>40.369999999999997</c:v>
                </c:pt>
                <c:pt idx="4099">
                  <c:v>40.4</c:v>
                </c:pt>
                <c:pt idx="4100">
                  <c:v>40.32</c:v>
                </c:pt>
                <c:pt idx="4101">
                  <c:v>41.14</c:v>
                </c:pt>
                <c:pt idx="4102">
                  <c:v>42.38</c:v>
                </c:pt>
                <c:pt idx="4103">
                  <c:v>42.32</c:v>
                </c:pt>
                <c:pt idx="4104">
                  <c:v>43.36</c:v>
                </c:pt>
                <c:pt idx="4105">
                  <c:v>43.51</c:v>
                </c:pt>
                <c:pt idx="4106">
                  <c:v>42.35</c:v>
                </c:pt>
                <c:pt idx="4107">
                  <c:v>40.549999999999997</c:v>
                </c:pt>
                <c:pt idx="4108">
                  <c:v>41.4</c:v>
                </c:pt>
                <c:pt idx="4109">
                  <c:v>41.71</c:v>
                </c:pt>
                <c:pt idx="4110">
                  <c:v>41.41</c:v>
                </c:pt>
                <c:pt idx="4111">
                  <c:v>40.79</c:v>
                </c:pt>
                <c:pt idx="4112">
                  <c:v>40.93</c:v>
                </c:pt>
                <c:pt idx="4113">
                  <c:v>41.54</c:v>
                </c:pt>
                <c:pt idx="4114">
                  <c:v>42.43</c:v>
                </c:pt>
                <c:pt idx="4115">
                  <c:v>42.11</c:v>
                </c:pt>
                <c:pt idx="4116">
                  <c:v>42.01</c:v>
                </c:pt>
                <c:pt idx="4117">
                  <c:v>41.11</c:v>
                </c:pt>
                <c:pt idx="4118">
                  <c:v>39.880000000000003</c:v>
                </c:pt>
                <c:pt idx="4119">
                  <c:v>39.96</c:v>
                </c:pt>
                <c:pt idx="4120">
                  <c:v>40.1</c:v>
                </c:pt>
                <c:pt idx="4121">
                  <c:v>40.04</c:v>
                </c:pt>
                <c:pt idx="4122">
                  <c:v>39.43</c:v>
                </c:pt>
                <c:pt idx="4123">
                  <c:v>38.68</c:v>
                </c:pt>
                <c:pt idx="4124">
                  <c:v>39.799999999999997</c:v>
                </c:pt>
                <c:pt idx="4125">
                  <c:v>39.94</c:v>
                </c:pt>
                <c:pt idx="4126">
                  <c:v>40.28</c:v>
                </c:pt>
                <c:pt idx="4127">
                  <c:v>40.590000000000003</c:v>
                </c:pt>
                <c:pt idx="4128">
                  <c:v>40.28</c:v>
                </c:pt>
                <c:pt idx="4129">
                  <c:v>40.03</c:v>
                </c:pt>
                <c:pt idx="4130">
                  <c:v>40.76</c:v>
                </c:pt>
                <c:pt idx="4131">
                  <c:v>40.590000000000003</c:v>
                </c:pt>
                <c:pt idx="4132">
                  <c:v>40.200000000000003</c:v>
                </c:pt>
                <c:pt idx="4133">
                  <c:v>40.159999999999997</c:v>
                </c:pt>
                <c:pt idx="4134">
                  <c:v>40.01</c:v>
                </c:pt>
                <c:pt idx="4135">
                  <c:v>40.56</c:v>
                </c:pt>
                <c:pt idx="4136">
                  <c:v>41.61</c:v>
                </c:pt>
                <c:pt idx="4137">
                  <c:v>41.86</c:v>
                </c:pt>
                <c:pt idx="4138">
                  <c:v>42.79</c:v>
                </c:pt>
                <c:pt idx="4139">
                  <c:v>42.59</c:v>
                </c:pt>
                <c:pt idx="4140">
                  <c:v>41.71</c:v>
                </c:pt>
                <c:pt idx="4141">
                  <c:v>41.38</c:v>
                </c:pt>
                <c:pt idx="4142">
                  <c:v>41.26</c:v>
                </c:pt>
                <c:pt idx="4143">
                  <c:v>41.29</c:v>
                </c:pt>
                <c:pt idx="4144">
                  <c:v>40.97</c:v>
                </c:pt>
                <c:pt idx="4145">
                  <c:v>40.03</c:v>
                </c:pt>
                <c:pt idx="4146">
                  <c:v>40.97</c:v>
                </c:pt>
                <c:pt idx="4147">
                  <c:v>39.92</c:v>
                </c:pt>
                <c:pt idx="4148">
                  <c:v>39.840000000000003</c:v>
                </c:pt>
                <c:pt idx="4149">
                  <c:v>40.22</c:v>
                </c:pt>
                <c:pt idx="4150">
                  <c:v>41.11</c:v>
                </c:pt>
                <c:pt idx="4151">
                  <c:v>42.19</c:v>
                </c:pt>
                <c:pt idx="4152">
                  <c:v>46.9</c:v>
                </c:pt>
                <c:pt idx="4153">
                  <c:v>46.04</c:v>
                </c:pt>
                <c:pt idx="4154">
                  <c:v>44.71</c:v>
                </c:pt>
                <c:pt idx="4155">
                  <c:v>44.57</c:v>
                </c:pt>
                <c:pt idx="4156">
                  <c:v>44.21</c:v>
                </c:pt>
                <c:pt idx="4157">
                  <c:v>44.48</c:v>
                </c:pt>
                <c:pt idx="4158">
                  <c:v>43.59</c:v>
                </c:pt>
                <c:pt idx="4159">
                  <c:v>43.35</c:v>
                </c:pt>
                <c:pt idx="4160">
                  <c:v>44.09</c:v>
                </c:pt>
                <c:pt idx="4161">
                  <c:v>42.72</c:v>
                </c:pt>
                <c:pt idx="4162">
                  <c:v>42.36</c:v>
                </c:pt>
                <c:pt idx="4163">
                  <c:v>41.67</c:v>
                </c:pt>
                <c:pt idx="4164">
                  <c:v>42.07</c:v>
                </c:pt>
                <c:pt idx="4165">
                  <c:v>42.45</c:v>
                </c:pt>
                <c:pt idx="4166">
                  <c:v>42.585000000000001</c:v>
                </c:pt>
                <c:pt idx="4167">
                  <c:v>42.46</c:v>
                </c:pt>
                <c:pt idx="4168">
                  <c:v>41.94</c:v>
                </c:pt>
                <c:pt idx="4169">
                  <c:v>41.88</c:v>
                </c:pt>
                <c:pt idx="4170">
                  <c:v>43.05</c:v>
                </c:pt>
                <c:pt idx="4171">
                  <c:v>43.02</c:v>
                </c:pt>
                <c:pt idx="4172">
                  <c:v>43.68</c:v>
                </c:pt>
                <c:pt idx="4173">
                  <c:v>46.46</c:v>
                </c:pt>
                <c:pt idx="4174">
                  <c:v>47.03</c:v>
                </c:pt>
                <c:pt idx="4175">
                  <c:v>47.47</c:v>
                </c:pt>
                <c:pt idx="4176">
                  <c:v>48.89</c:v>
                </c:pt>
                <c:pt idx="4177">
                  <c:v>48.88</c:v>
                </c:pt>
                <c:pt idx="4178">
                  <c:v>47.77</c:v>
                </c:pt>
                <c:pt idx="4179">
                  <c:v>49.71</c:v>
                </c:pt>
                <c:pt idx="4180">
                  <c:v>49.82</c:v>
                </c:pt>
                <c:pt idx="4181">
                  <c:v>49.14</c:v>
                </c:pt>
                <c:pt idx="4182">
                  <c:v>49.62</c:v>
                </c:pt>
                <c:pt idx="4183">
                  <c:v>49.31</c:v>
                </c:pt>
                <c:pt idx="4184">
                  <c:v>50.3</c:v>
                </c:pt>
                <c:pt idx="4185">
                  <c:v>50.47</c:v>
                </c:pt>
                <c:pt idx="4186">
                  <c:v>51.284999999999997</c:v>
                </c:pt>
                <c:pt idx="4187">
                  <c:v>51.93</c:v>
                </c:pt>
                <c:pt idx="4188">
                  <c:v>52.1</c:v>
                </c:pt>
                <c:pt idx="4189">
                  <c:v>53.86</c:v>
                </c:pt>
                <c:pt idx="4190">
                  <c:v>52.52</c:v>
                </c:pt>
                <c:pt idx="4191">
                  <c:v>50.84</c:v>
                </c:pt>
                <c:pt idx="4192">
                  <c:v>50.83</c:v>
                </c:pt>
                <c:pt idx="4193">
                  <c:v>50.93</c:v>
                </c:pt>
                <c:pt idx="4194">
                  <c:v>50.02</c:v>
                </c:pt>
                <c:pt idx="4195">
                  <c:v>50.03</c:v>
                </c:pt>
                <c:pt idx="4196">
                  <c:v>47.865000000000002</c:v>
                </c:pt>
                <c:pt idx="4197">
                  <c:v>46.11</c:v>
                </c:pt>
                <c:pt idx="4198">
                  <c:v>43.48</c:v>
                </c:pt>
                <c:pt idx="4199">
                  <c:v>45.05</c:v>
                </c:pt>
                <c:pt idx="4200">
                  <c:v>43.41</c:v>
                </c:pt>
                <c:pt idx="4201">
                  <c:v>44.82</c:v>
                </c:pt>
                <c:pt idx="4202">
                  <c:v>44.94</c:v>
                </c:pt>
                <c:pt idx="4203">
                  <c:v>45.85</c:v>
                </c:pt>
                <c:pt idx="4204">
                  <c:v>46.99</c:v>
                </c:pt>
                <c:pt idx="4205">
                  <c:v>46.78</c:v>
                </c:pt>
                <c:pt idx="4206">
                  <c:v>45.31</c:v>
                </c:pt>
                <c:pt idx="4207">
                  <c:v>44.93</c:v>
                </c:pt>
                <c:pt idx="4208">
                  <c:v>44.92</c:v>
                </c:pt>
                <c:pt idx="4209">
                  <c:v>45.43</c:v>
                </c:pt>
                <c:pt idx="4210">
                  <c:v>46.27</c:v>
                </c:pt>
                <c:pt idx="4211">
                  <c:v>44.43</c:v>
                </c:pt>
                <c:pt idx="4212">
                  <c:v>44.86</c:v>
                </c:pt>
                <c:pt idx="4213">
                  <c:v>46.02</c:v>
                </c:pt>
                <c:pt idx="4214">
                  <c:v>47.04</c:v>
                </c:pt>
                <c:pt idx="4215">
                  <c:v>46.825000000000003</c:v>
                </c:pt>
                <c:pt idx="4216">
                  <c:v>46.07</c:v>
                </c:pt>
                <c:pt idx="4217">
                  <c:v>44.55</c:v>
                </c:pt>
                <c:pt idx="4218">
                  <c:v>45.12</c:v>
                </c:pt>
                <c:pt idx="4219">
                  <c:v>46.42</c:v>
                </c:pt>
                <c:pt idx="4220">
                  <c:v>46.25</c:v>
                </c:pt>
                <c:pt idx="4221">
                  <c:v>45.62</c:v>
                </c:pt>
                <c:pt idx="4222">
                  <c:v>45.34</c:v>
                </c:pt>
                <c:pt idx="4223">
                  <c:v>45.13</c:v>
                </c:pt>
                <c:pt idx="4224">
                  <c:v>46.1</c:v>
                </c:pt>
                <c:pt idx="4225">
                  <c:v>47.45</c:v>
                </c:pt>
                <c:pt idx="4226">
                  <c:v>47.26</c:v>
                </c:pt>
                <c:pt idx="4227">
                  <c:v>45.63</c:v>
                </c:pt>
                <c:pt idx="4228">
                  <c:v>45.18</c:v>
                </c:pt>
                <c:pt idx="4229">
                  <c:v>43.46</c:v>
                </c:pt>
                <c:pt idx="4230">
                  <c:v>40.42</c:v>
                </c:pt>
                <c:pt idx="4231">
                  <c:v>41.35</c:v>
                </c:pt>
                <c:pt idx="4232">
                  <c:v>42.18</c:v>
                </c:pt>
                <c:pt idx="4233">
                  <c:v>42.34</c:v>
                </c:pt>
                <c:pt idx="4234">
                  <c:v>41.95</c:v>
                </c:pt>
                <c:pt idx="4235">
                  <c:v>40.96</c:v>
                </c:pt>
                <c:pt idx="4236">
                  <c:v>39.61</c:v>
                </c:pt>
                <c:pt idx="4237">
                  <c:v>38.380000000000003</c:v>
                </c:pt>
                <c:pt idx="4238">
                  <c:v>38.909999999999997</c:v>
                </c:pt>
                <c:pt idx="4239">
                  <c:v>42.22</c:v>
                </c:pt>
                <c:pt idx="4240">
                  <c:v>43.06</c:v>
                </c:pt>
                <c:pt idx="4241">
                  <c:v>42.72</c:v>
                </c:pt>
                <c:pt idx="4242">
                  <c:v>42.69</c:v>
                </c:pt>
                <c:pt idx="4243">
                  <c:v>43.53</c:v>
                </c:pt>
                <c:pt idx="4244">
                  <c:v>44.11</c:v>
                </c:pt>
                <c:pt idx="4245">
                  <c:v>43.09</c:v>
                </c:pt>
                <c:pt idx="4246">
                  <c:v>43.94</c:v>
                </c:pt>
                <c:pt idx="4247">
                  <c:v>42.18</c:v>
                </c:pt>
                <c:pt idx="4248">
                  <c:v>43.33</c:v>
                </c:pt>
                <c:pt idx="4249">
                  <c:v>46.74</c:v>
                </c:pt>
                <c:pt idx="4250">
                  <c:v>46.18</c:v>
                </c:pt>
                <c:pt idx="4251">
                  <c:v>47.64</c:v>
                </c:pt>
                <c:pt idx="4252">
                  <c:v>48.24</c:v>
                </c:pt>
                <c:pt idx="4253">
                  <c:v>47.46</c:v>
                </c:pt>
                <c:pt idx="4254">
                  <c:v>47.59</c:v>
                </c:pt>
                <c:pt idx="4255">
                  <c:v>49.71</c:v>
                </c:pt>
                <c:pt idx="4256">
                  <c:v>48.16</c:v>
                </c:pt>
                <c:pt idx="4257">
                  <c:v>47.35</c:v>
                </c:pt>
                <c:pt idx="4258">
                  <c:v>45.92</c:v>
                </c:pt>
                <c:pt idx="4259">
                  <c:v>45.36</c:v>
                </c:pt>
                <c:pt idx="4260">
                  <c:v>47.31</c:v>
                </c:pt>
                <c:pt idx="4261">
                  <c:v>47.24</c:v>
                </c:pt>
                <c:pt idx="4262">
                  <c:v>47.41</c:v>
                </c:pt>
                <c:pt idx="4263">
                  <c:v>47.67</c:v>
                </c:pt>
                <c:pt idx="4264">
                  <c:v>46.14</c:v>
                </c:pt>
                <c:pt idx="4265">
                  <c:v>46.53</c:v>
                </c:pt>
                <c:pt idx="4266">
                  <c:v>47.29</c:v>
                </c:pt>
                <c:pt idx="4267">
                  <c:v>46.53</c:v>
                </c:pt>
                <c:pt idx="4268">
                  <c:v>46.85</c:v>
                </c:pt>
                <c:pt idx="4269">
                  <c:v>46.09</c:v>
                </c:pt>
                <c:pt idx="4270">
                  <c:v>45.24</c:v>
                </c:pt>
                <c:pt idx="4271">
                  <c:v>44.98</c:v>
                </c:pt>
                <c:pt idx="4272">
                  <c:v>44.82</c:v>
                </c:pt>
                <c:pt idx="4273">
                  <c:v>44.89</c:v>
                </c:pt>
                <c:pt idx="4274">
                  <c:v>44.96</c:v>
                </c:pt>
                <c:pt idx="4275">
                  <c:v>44.75</c:v>
                </c:pt>
                <c:pt idx="4276">
                  <c:v>45.82</c:v>
                </c:pt>
                <c:pt idx="4277">
                  <c:v>47.12</c:v>
                </c:pt>
                <c:pt idx="4278">
                  <c:v>48.48</c:v>
                </c:pt>
                <c:pt idx="4279">
                  <c:v>48.87</c:v>
                </c:pt>
                <c:pt idx="4280">
                  <c:v>49.89</c:v>
                </c:pt>
                <c:pt idx="4281">
                  <c:v>49.51</c:v>
                </c:pt>
                <c:pt idx="4282">
                  <c:v>50.14</c:v>
                </c:pt>
                <c:pt idx="4283">
                  <c:v>49.45</c:v>
                </c:pt>
                <c:pt idx="4284">
                  <c:v>49.09</c:v>
                </c:pt>
                <c:pt idx="4285">
                  <c:v>50.36</c:v>
                </c:pt>
                <c:pt idx="4286">
                  <c:v>50.24</c:v>
                </c:pt>
                <c:pt idx="4287">
                  <c:v>50.04</c:v>
                </c:pt>
                <c:pt idx="4288">
                  <c:v>49.43</c:v>
                </c:pt>
                <c:pt idx="4289">
                  <c:v>49.94</c:v>
                </c:pt>
                <c:pt idx="4290">
                  <c:v>50.15</c:v>
                </c:pt>
                <c:pt idx="4291">
                  <c:v>50.31</c:v>
                </c:pt>
                <c:pt idx="4292">
                  <c:v>51.86</c:v>
                </c:pt>
                <c:pt idx="4293">
                  <c:v>52.15</c:v>
                </c:pt>
                <c:pt idx="4294">
                  <c:v>52.62</c:v>
                </c:pt>
                <c:pt idx="4295">
                  <c:v>53.76</c:v>
                </c:pt>
                <c:pt idx="4296">
                  <c:v>54.53</c:v>
                </c:pt>
                <c:pt idx="4297">
                  <c:v>53.26</c:v>
                </c:pt>
                <c:pt idx="4298">
                  <c:v>54.08</c:v>
                </c:pt>
                <c:pt idx="4299">
                  <c:v>53.87</c:v>
                </c:pt>
                <c:pt idx="4300">
                  <c:v>53.13</c:v>
                </c:pt>
                <c:pt idx="4301">
                  <c:v>54.11</c:v>
                </c:pt>
                <c:pt idx="4302">
                  <c:v>53.72</c:v>
                </c:pt>
                <c:pt idx="4303">
                  <c:v>56.64</c:v>
                </c:pt>
                <c:pt idx="4304">
                  <c:v>56.8</c:v>
                </c:pt>
                <c:pt idx="4305">
                  <c:v>56.92</c:v>
                </c:pt>
                <c:pt idx="4306">
                  <c:v>57.23</c:v>
                </c:pt>
                <c:pt idx="4307">
                  <c:v>57.21</c:v>
                </c:pt>
                <c:pt idx="4308">
                  <c:v>57.19</c:v>
                </c:pt>
                <c:pt idx="4309">
                  <c:v>57.7</c:v>
                </c:pt>
                <c:pt idx="4310">
                  <c:v>54.03</c:v>
                </c:pt>
                <c:pt idx="4311">
                  <c:v>53.5</c:v>
                </c:pt>
                <c:pt idx="4312">
                  <c:v>54.61</c:v>
                </c:pt>
                <c:pt idx="4313">
                  <c:v>54.77</c:v>
                </c:pt>
                <c:pt idx="4314">
                  <c:v>55.59</c:v>
                </c:pt>
                <c:pt idx="4315">
                  <c:v>55.97</c:v>
                </c:pt>
                <c:pt idx="4316">
                  <c:v>54.34</c:v>
                </c:pt>
                <c:pt idx="4317">
                  <c:v>54.46</c:v>
                </c:pt>
                <c:pt idx="4318">
                  <c:v>53.19</c:v>
                </c:pt>
                <c:pt idx="4319">
                  <c:v>52.41</c:v>
                </c:pt>
                <c:pt idx="4320">
                  <c:v>53</c:v>
                </c:pt>
                <c:pt idx="4321">
                  <c:v>52.16</c:v>
                </c:pt>
                <c:pt idx="4322">
                  <c:v>52.41</c:v>
                </c:pt>
                <c:pt idx="4323">
                  <c:v>52.53</c:v>
                </c:pt>
                <c:pt idx="4324">
                  <c:v>52.9</c:v>
                </c:pt>
                <c:pt idx="4325">
                  <c:v>52.9</c:v>
                </c:pt>
                <c:pt idx="4326">
                  <c:v>54.07</c:v>
                </c:pt>
                <c:pt idx="4327">
                  <c:v>54.05</c:v>
                </c:pt>
                <c:pt idx="4328">
                  <c:v>54.03</c:v>
                </c:pt>
                <c:pt idx="4329">
                  <c:v>53.59</c:v>
                </c:pt>
                <c:pt idx="4330">
                  <c:v>53.01</c:v>
                </c:pt>
                <c:pt idx="4331">
                  <c:v>52.19</c:v>
                </c:pt>
                <c:pt idx="4332">
                  <c:v>52.75</c:v>
                </c:pt>
                <c:pt idx="4333">
                  <c:v>51.86</c:v>
                </c:pt>
                <c:pt idx="4334">
                  <c:v>52.13</c:v>
                </c:pt>
                <c:pt idx="4335">
                  <c:v>52.23</c:v>
                </c:pt>
                <c:pt idx="4336">
                  <c:v>52.14</c:v>
                </c:pt>
                <c:pt idx="4337">
                  <c:v>51.4</c:v>
                </c:pt>
                <c:pt idx="4338">
                  <c:v>43.04</c:v>
                </c:pt>
                <c:pt idx="4339">
                  <c:v>42.64</c:v>
                </c:pt>
                <c:pt idx="4340">
                  <c:v>42.35</c:v>
                </c:pt>
                <c:pt idx="4341">
                  <c:v>41.86</c:v>
                </c:pt>
                <c:pt idx="4342">
                  <c:v>42.43</c:v>
                </c:pt>
                <c:pt idx="4343">
                  <c:v>42.03</c:v>
                </c:pt>
                <c:pt idx="4344">
                  <c:v>42.51</c:v>
                </c:pt>
                <c:pt idx="4345">
                  <c:v>42.52</c:v>
                </c:pt>
                <c:pt idx="4346">
                  <c:v>42.52</c:v>
                </c:pt>
                <c:pt idx="4347">
                  <c:v>41.97</c:v>
                </c:pt>
                <c:pt idx="4348">
                  <c:v>42.41</c:v>
                </c:pt>
                <c:pt idx="4349">
                  <c:v>42.03</c:v>
                </c:pt>
                <c:pt idx="4350">
                  <c:v>42.59</c:v>
                </c:pt>
                <c:pt idx="4351">
                  <c:v>42.59</c:v>
                </c:pt>
                <c:pt idx="4352">
                  <c:v>43.26</c:v>
                </c:pt>
                <c:pt idx="4353">
                  <c:v>43.2</c:v>
                </c:pt>
                <c:pt idx="4354">
                  <c:v>43.23</c:v>
                </c:pt>
                <c:pt idx="4355">
                  <c:v>42.99</c:v>
                </c:pt>
                <c:pt idx="4356">
                  <c:v>42.41</c:v>
                </c:pt>
                <c:pt idx="4357">
                  <c:v>43.2</c:v>
                </c:pt>
                <c:pt idx="4358">
                  <c:v>39.54</c:v>
                </c:pt>
                <c:pt idx="4359">
                  <c:v>38.54</c:v>
                </c:pt>
                <c:pt idx="4360">
                  <c:v>39.04</c:v>
                </c:pt>
                <c:pt idx="4361">
                  <c:v>38.64</c:v>
                </c:pt>
                <c:pt idx="4362">
                  <c:v>39.25</c:v>
                </c:pt>
                <c:pt idx="4363">
                  <c:v>37.799999999999997</c:v>
                </c:pt>
                <c:pt idx="4364">
                  <c:v>36.58</c:v>
                </c:pt>
                <c:pt idx="4365">
                  <c:v>36.270000000000003</c:v>
                </c:pt>
                <c:pt idx="4366">
                  <c:v>36.28</c:v>
                </c:pt>
                <c:pt idx="4367">
                  <c:v>35.479999999999997</c:v>
                </c:pt>
                <c:pt idx="4368">
                  <c:v>36.26</c:v>
                </c:pt>
                <c:pt idx="4369">
                  <c:v>37.17</c:v>
                </c:pt>
                <c:pt idx="4370">
                  <c:v>36.700000000000003</c:v>
                </c:pt>
                <c:pt idx="4371">
                  <c:v>36.119999999999997</c:v>
                </c:pt>
                <c:pt idx="4372">
                  <c:v>36.119999999999997</c:v>
                </c:pt>
                <c:pt idx="4373">
                  <c:v>35.92</c:v>
                </c:pt>
                <c:pt idx="4374">
                  <c:v>35.229999999999997</c:v>
                </c:pt>
                <c:pt idx="4375">
                  <c:v>34.840000000000003</c:v>
                </c:pt>
                <c:pt idx="4376">
                  <c:v>34.42</c:v>
                </c:pt>
                <c:pt idx="4377">
                  <c:v>34.549999999999997</c:v>
                </c:pt>
                <c:pt idx="4378">
                  <c:v>34.93</c:v>
                </c:pt>
                <c:pt idx="4379">
                  <c:v>35.92</c:v>
                </c:pt>
                <c:pt idx="4380">
                  <c:v>35.78</c:v>
                </c:pt>
                <c:pt idx="4381">
                  <c:v>35.22</c:v>
                </c:pt>
                <c:pt idx="4382">
                  <c:v>35.11</c:v>
                </c:pt>
                <c:pt idx="4383">
                  <c:v>34.82</c:v>
                </c:pt>
                <c:pt idx="4384">
                  <c:v>34.409999999999997</c:v>
                </c:pt>
                <c:pt idx="4385">
                  <c:v>33.869999999999997</c:v>
                </c:pt>
                <c:pt idx="4386">
                  <c:v>33.75</c:v>
                </c:pt>
                <c:pt idx="4387">
                  <c:v>33.619999999999997</c:v>
                </c:pt>
                <c:pt idx="4388">
                  <c:v>33.25</c:v>
                </c:pt>
                <c:pt idx="4389">
                  <c:v>32.44</c:v>
                </c:pt>
                <c:pt idx="4390">
                  <c:v>31.34</c:v>
                </c:pt>
                <c:pt idx="4391">
                  <c:v>31.93</c:v>
                </c:pt>
                <c:pt idx="4392">
                  <c:v>31.99</c:v>
                </c:pt>
                <c:pt idx="4393">
                  <c:v>31.98</c:v>
                </c:pt>
                <c:pt idx="4394">
                  <c:v>31.88</c:v>
                </c:pt>
                <c:pt idx="4395">
                  <c:v>32.020000000000003</c:v>
                </c:pt>
                <c:pt idx="4396">
                  <c:v>32.57</c:v>
                </c:pt>
                <c:pt idx="4397">
                  <c:v>32.04</c:v>
                </c:pt>
                <c:pt idx="4398">
                  <c:v>32.515000000000001</c:v>
                </c:pt>
                <c:pt idx="4399">
                  <c:v>32.51</c:v>
                </c:pt>
                <c:pt idx="4400">
                  <c:v>33.119999999999997</c:v>
                </c:pt>
                <c:pt idx="4401">
                  <c:v>33.54</c:v>
                </c:pt>
                <c:pt idx="4402">
                  <c:v>32.159999999999997</c:v>
                </c:pt>
                <c:pt idx="4403">
                  <c:v>31.82</c:v>
                </c:pt>
                <c:pt idx="4404">
                  <c:v>31.6</c:v>
                </c:pt>
                <c:pt idx="4405">
                  <c:v>32.42</c:v>
                </c:pt>
                <c:pt idx="4406">
                  <c:v>32.69</c:v>
                </c:pt>
                <c:pt idx="4407">
                  <c:v>34.81</c:v>
                </c:pt>
                <c:pt idx="4408">
                  <c:v>34.299999999999997</c:v>
                </c:pt>
                <c:pt idx="4409">
                  <c:v>34.979999999999997</c:v>
                </c:pt>
                <c:pt idx="4410">
                  <c:v>34.31</c:v>
                </c:pt>
                <c:pt idx="4411">
                  <c:v>33.24</c:v>
                </c:pt>
                <c:pt idx="4412">
                  <c:v>32.82</c:v>
                </c:pt>
                <c:pt idx="4413">
                  <c:v>32.950000000000003</c:v>
                </c:pt>
                <c:pt idx="4414">
                  <c:v>33.115000000000002</c:v>
                </c:pt>
                <c:pt idx="4415">
                  <c:v>33.21</c:v>
                </c:pt>
                <c:pt idx="4416">
                  <c:v>34.090000000000003</c:v>
                </c:pt>
                <c:pt idx="4417">
                  <c:v>33.96</c:v>
                </c:pt>
                <c:pt idx="4418">
                  <c:v>33.22</c:v>
                </c:pt>
                <c:pt idx="4419">
                  <c:v>33.549999999999997</c:v>
                </c:pt>
                <c:pt idx="4420">
                  <c:v>32.47</c:v>
                </c:pt>
                <c:pt idx="4421">
                  <c:v>35.81</c:v>
                </c:pt>
                <c:pt idx="4422">
                  <c:v>35.93</c:v>
                </c:pt>
                <c:pt idx="4423">
                  <c:v>35.700000000000003</c:v>
                </c:pt>
                <c:pt idx="4424">
                  <c:v>36.19</c:v>
                </c:pt>
                <c:pt idx="4425">
                  <c:v>36.340000000000003</c:v>
                </c:pt>
                <c:pt idx="4426">
                  <c:v>36.619999999999997</c:v>
                </c:pt>
                <c:pt idx="4427">
                  <c:v>35.96</c:v>
                </c:pt>
                <c:pt idx="4428">
                  <c:v>36.549999999999997</c:v>
                </c:pt>
                <c:pt idx="4429">
                  <c:v>35.29</c:v>
                </c:pt>
                <c:pt idx="4430">
                  <c:v>33.914999999999999</c:v>
                </c:pt>
                <c:pt idx="4431">
                  <c:v>32.44</c:v>
                </c:pt>
                <c:pt idx="4432">
                  <c:v>31.98</c:v>
                </c:pt>
                <c:pt idx="4433">
                  <c:v>31.77</c:v>
                </c:pt>
                <c:pt idx="4434">
                  <c:v>31.95</c:v>
                </c:pt>
                <c:pt idx="4435">
                  <c:v>31.01</c:v>
                </c:pt>
                <c:pt idx="4436">
                  <c:v>30.63</c:v>
                </c:pt>
                <c:pt idx="4437">
                  <c:v>30.2</c:v>
                </c:pt>
                <c:pt idx="4438">
                  <c:v>29.38</c:v>
                </c:pt>
                <c:pt idx="4439">
                  <c:v>28.92</c:v>
                </c:pt>
                <c:pt idx="4440">
                  <c:v>27.81</c:v>
                </c:pt>
                <c:pt idx="4441">
                  <c:v>28.03</c:v>
                </c:pt>
                <c:pt idx="4442">
                  <c:v>27.51</c:v>
                </c:pt>
                <c:pt idx="4443">
                  <c:v>28.39</c:v>
                </c:pt>
                <c:pt idx="4444">
                  <c:v>27.22</c:v>
                </c:pt>
                <c:pt idx="4445">
                  <c:v>27.2</c:v>
                </c:pt>
                <c:pt idx="4446">
                  <c:v>26.63</c:v>
                </c:pt>
                <c:pt idx="4447">
                  <c:v>26.04</c:v>
                </c:pt>
                <c:pt idx="4448">
                  <c:v>26.66</c:v>
                </c:pt>
                <c:pt idx="4449">
                  <c:v>27.24</c:v>
                </c:pt>
                <c:pt idx="4450">
                  <c:v>28.11</c:v>
                </c:pt>
                <c:pt idx="4451">
                  <c:v>28.22</c:v>
                </c:pt>
                <c:pt idx="4452">
                  <c:v>28.45</c:v>
                </c:pt>
                <c:pt idx="4453">
                  <c:v>28.61</c:v>
                </c:pt>
                <c:pt idx="4454">
                  <c:v>28.34</c:v>
                </c:pt>
                <c:pt idx="4455">
                  <c:v>28.05</c:v>
                </c:pt>
                <c:pt idx="4456">
                  <c:v>28.15</c:v>
                </c:pt>
                <c:pt idx="4457">
                  <c:v>28.7</c:v>
                </c:pt>
                <c:pt idx="4458">
                  <c:v>28.72</c:v>
                </c:pt>
                <c:pt idx="4459">
                  <c:v>28.65</c:v>
                </c:pt>
                <c:pt idx="4460">
                  <c:v>28.73</c:v>
                </c:pt>
                <c:pt idx="4461">
                  <c:v>27.95</c:v>
                </c:pt>
                <c:pt idx="4462">
                  <c:v>27.39</c:v>
                </c:pt>
                <c:pt idx="4463">
                  <c:v>27.09</c:v>
                </c:pt>
                <c:pt idx="4464">
                  <c:v>26.84</c:v>
                </c:pt>
                <c:pt idx="4465">
                  <c:v>26.65</c:v>
                </c:pt>
                <c:pt idx="4466">
                  <c:v>26.55</c:v>
                </c:pt>
                <c:pt idx="4467">
                  <c:v>26.46</c:v>
                </c:pt>
                <c:pt idx="4468">
                  <c:v>26.85</c:v>
                </c:pt>
                <c:pt idx="4469">
                  <c:v>27.53</c:v>
                </c:pt>
                <c:pt idx="4470">
                  <c:v>28.19</c:v>
                </c:pt>
                <c:pt idx="4471">
                  <c:v>30.39</c:v>
                </c:pt>
                <c:pt idx="4472">
                  <c:v>30.29</c:v>
                </c:pt>
                <c:pt idx="4473">
                  <c:v>28.03</c:v>
                </c:pt>
                <c:pt idx="4474">
                  <c:v>28.74</c:v>
                </c:pt>
                <c:pt idx="4475">
                  <c:v>28.84</c:v>
                </c:pt>
                <c:pt idx="4476">
                  <c:v>28.87</c:v>
                </c:pt>
                <c:pt idx="4477">
                  <c:v>29.42</c:v>
                </c:pt>
                <c:pt idx="4478">
                  <c:v>28.95</c:v>
                </c:pt>
                <c:pt idx="4479">
                  <c:v>29.87</c:v>
                </c:pt>
                <c:pt idx="4480">
                  <c:v>29.62</c:v>
                </c:pt>
                <c:pt idx="4481">
                  <c:v>29.38</c:v>
                </c:pt>
                <c:pt idx="4482">
                  <c:v>29.31</c:v>
                </c:pt>
                <c:pt idx="4483">
                  <c:v>29.26</c:v>
                </c:pt>
                <c:pt idx="4484">
                  <c:v>28.12</c:v>
                </c:pt>
                <c:pt idx="4485">
                  <c:v>28.745000000000001</c:v>
                </c:pt>
                <c:pt idx="4486">
                  <c:v>29.24</c:v>
                </c:pt>
                <c:pt idx="4487">
                  <c:v>29.05</c:v>
                </c:pt>
                <c:pt idx="4488">
                  <c:v>28.88</c:v>
                </c:pt>
                <c:pt idx="4489">
                  <c:v>29.015000000000001</c:v>
                </c:pt>
                <c:pt idx="4490">
                  <c:v>27.76</c:v>
                </c:pt>
                <c:pt idx="4491">
                  <c:v>28.66</c:v>
                </c:pt>
                <c:pt idx="4492">
                  <c:v>29.1</c:v>
                </c:pt>
                <c:pt idx="4493">
                  <c:v>29.1</c:v>
                </c:pt>
                <c:pt idx="4494">
                  <c:v>28.7</c:v>
                </c:pt>
                <c:pt idx="4495">
                  <c:v>28.1</c:v>
                </c:pt>
                <c:pt idx="4496">
                  <c:v>28.87</c:v>
                </c:pt>
                <c:pt idx="4497">
                  <c:v>28.64</c:v>
                </c:pt>
                <c:pt idx="4498">
                  <c:v>27.66</c:v>
                </c:pt>
                <c:pt idx="4499">
                  <c:v>27.49</c:v>
                </c:pt>
                <c:pt idx="4500">
                  <c:v>21.4</c:v>
                </c:pt>
                <c:pt idx="4501">
                  <c:v>21.17</c:v>
                </c:pt>
                <c:pt idx="4502">
                  <c:v>20.39</c:v>
                </c:pt>
                <c:pt idx="4503">
                  <c:v>20.12</c:v>
                </c:pt>
                <c:pt idx="4504">
                  <c:v>20.21</c:v>
                </c:pt>
                <c:pt idx="4505">
                  <c:v>19.86</c:v>
                </c:pt>
                <c:pt idx="4506">
                  <c:v>19.62</c:v>
                </c:pt>
                <c:pt idx="4507">
                  <c:v>19.72</c:v>
                </c:pt>
                <c:pt idx="4508">
                  <c:v>20.079999999999998</c:v>
                </c:pt>
                <c:pt idx="4509">
                  <c:v>20.07</c:v>
                </c:pt>
                <c:pt idx="4510">
                  <c:v>19.78</c:v>
                </c:pt>
                <c:pt idx="4511">
                  <c:v>20.21</c:v>
                </c:pt>
                <c:pt idx="4512">
                  <c:v>21.2</c:v>
                </c:pt>
                <c:pt idx="4513">
                  <c:v>19.89</c:v>
                </c:pt>
                <c:pt idx="4514">
                  <c:v>19.39</c:v>
                </c:pt>
                <c:pt idx="4515">
                  <c:v>18.75</c:v>
                </c:pt>
                <c:pt idx="4516">
                  <c:v>19.245000000000001</c:v>
                </c:pt>
                <c:pt idx="4517">
                  <c:v>19.010000000000002</c:v>
                </c:pt>
                <c:pt idx="4518">
                  <c:v>19.170000000000002</c:v>
                </c:pt>
                <c:pt idx="4519">
                  <c:v>19.639700000000001</c:v>
                </c:pt>
                <c:pt idx="4520">
                  <c:v>19.510000000000002</c:v>
                </c:pt>
                <c:pt idx="4521">
                  <c:v>19.62</c:v>
                </c:pt>
                <c:pt idx="4522">
                  <c:v>18.63</c:v>
                </c:pt>
                <c:pt idx="4523">
                  <c:v>18.68</c:v>
                </c:pt>
                <c:pt idx="4524">
                  <c:v>18.86</c:v>
                </c:pt>
                <c:pt idx="4525">
                  <c:v>18.91</c:v>
                </c:pt>
                <c:pt idx="4526">
                  <c:v>19.18</c:v>
                </c:pt>
                <c:pt idx="4527">
                  <c:v>19.34</c:v>
                </c:pt>
                <c:pt idx="4528">
                  <c:v>19.579999999999998</c:v>
                </c:pt>
                <c:pt idx="4529">
                  <c:v>19.190000000000001</c:v>
                </c:pt>
                <c:pt idx="4530">
                  <c:v>19.060099999999998</c:v>
                </c:pt>
                <c:pt idx="4531">
                  <c:v>20.53</c:v>
                </c:pt>
                <c:pt idx="4532">
                  <c:v>20.420000000000002</c:v>
                </c:pt>
                <c:pt idx="4533">
                  <c:v>20.440000000000001</c:v>
                </c:pt>
                <c:pt idx="4534">
                  <c:v>20.170000000000002</c:v>
                </c:pt>
                <c:pt idx="4535">
                  <c:v>20.260000000000002</c:v>
                </c:pt>
                <c:pt idx="4536">
                  <c:v>20.46</c:v>
                </c:pt>
                <c:pt idx="4537">
                  <c:v>21.01</c:v>
                </c:pt>
                <c:pt idx="4538">
                  <c:v>21.4</c:v>
                </c:pt>
                <c:pt idx="4539">
                  <c:v>21.02</c:v>
                </c:pt>
                <c:pt idx="4540">
                  <c:v>21.11</c:v>
                </c:pt>
                <c:pt idx="4541">
                  <c:v>22.15</c:v>
                </c:pt>
                <c:pt idx="4542">
                  <c:v>20.72</c:v>
                </c:pt>
                <c:pt idx="4543">
                  <c:v>20.8</c:v>
                </c:pt>
                <c:pt idx="4544">
                  <c:v>20.77</c:v>
                </c:pt>
                <c:pt idx="4545">
                  <c:v>20.25</c:v>
                </c:pt>
                <c:pt idx="4546">
                  <c:v>20.420000000000002</c:v>
                </c:pt>
                <c:pt idx="4547">
                  <c:v>20.37</c:v>
                </c:pt>
                <c:pt idx="4548">
                  <c:v>20.46</c:v>
                </c:pt>
                <c:pt idx="4549">
                  <c:v>20.92</c:v>
                </c:pt>
                <c:pt idx="4550">
                  <c:v>21.18</c:v>
                </c:pt>
                <c:pt idx="4551">
                  <c:v>21.78</c:v>
                </c:pt>
                <c:pt idx="4552">
                  <c:v>22.03</c:v>
                </c:pt>
                <c:pt idx="4553">
                  <c:v>21.5</c:v>
                </c:pt>
                <c:pt idx="4554">
                  <c:v>20.94</c:v>
                </c:pt>
                <c:pt idx="4555">
                  <c:v>19.315000000000001</c:v>
                </c:pt>
                <c:pt idx="4556">
                  <c:v>19.23</c:v>
                </c:pt>
                <c:pt idx="4557">
                  <c:v>19.21</c:v>
                </c:pt>
                <c:pt idx="4558">
                  <c:v>19.32</c:v>
                </c:pt>
                <c:pt idx="4559">
                  <c:v>20.36</c:v>
                </c:pt>
                <c:pt idx="4560">
                  <c:v>20.16</c:v>
                </c:pt>
                <c:pt idx="4561">
                  <c:v>20.29</c:v>
                </c:pt>
                <c:pt idx="4562">
                  <c:v>20.28</c:v>
                </c:pt>
                <c:pt idx="4563">
                  <c:v>20.3</c:v>
                </c:pt>
                <c:pt idx="4564">
                  <c:v>20.04</c:v>
                </c:pt>
                <c:pt idx="4565">
                  <c:v>20.56</c:v>
                </c:pt>
                <c:pt idx="4566">
                  <c:v>20.7</c:v>
                </c:pt>
                <c:pt idx="4567">
                  <c:v>20.66</c:v>
                </c:pt>
                <c:pt idx="4568">
                  <c:v>20.07</c:v>
                </c:pt>
                <c:pt idx="4569">
                  <c:v>19.82</c:v>
                </c:pt>
                <c:pt idx="4570">
                  <c:v>20.22</c:v>
                </c:pt>
                <c:pt idx="4571">
                  <c:v>20</c:v>
                </c:pt>
                <c:pt idx="4572">
                  <c:v>19.91</c:v>
                </c:pt>
                <c:pt idx="4573">
                  <c:v>19.79</c:v>
                </c:pt>
                <c:pt idx="4574">
                  <c:v>20.05</c:v>
                </c:pt>
                <c:pt idx="4575">
                  <c:v>20.585000000000001</c:v>
                </c:pt>
                <c:pt idx="4576">
                  <c:v>20.3</c:v>
                </c:pt>
                <c:pt idx="4577">
                  <c:v>20.29</c:v>
                </c:pt>
                <c:pt idx="4578">
                  <c:v>19.62</c:v>
                </c:pt>
                <c:pt idx="4579">
                  <c:v>19.05</c:v>
                </c:pt>
                <c:pt idx="4580">
                  <c:v>18.68</c:v>
                </c:pt>
                <c:pt idx="4581">
                  <c:v>19.010000000000002</c:v>
                </c:pt>
                <c:pt idx="4582">
                  <c:v>19.309999999999999</c:v>
                </c:pt>
                <c:pt idx="4583">
                  <c:v>19.13</c:v>
                </c:pt>
                <c:pt idx="4584">
                  <c:v>18.55</c:v>
                </c:pt>
                <c:pt idx="4585">
                  <c:v>18.579999999999998</c:v>
                </c:pt>
                <c:pt idx="4586">
                  <c:v>17.829999999999998</c:v>
                </c:pt>
                <c:pt idx="4587">
                  <c:v>17.239999999999998</c:v>
                </c:pt>
                <c:pt idx="4588">
                  <c:v>17.12</c:v>
                </c:pt>
                <c:pt idx="4589">
                  <c:v>16.87</c:v>
                </c:pt>
                <c:pt idx="4590">
                  <c:v>16.64</c:v>
                </c:pt>
                <c:pt idx="4591">
                  <c:v>16.2</c:v>
                </c:pt>
                <c:pt idx="4592">
                  <c:v>16.7</c:v>
                </c:pt>
                <c:pt idx="4593">
                  <c:v>16.61</c:v>
                </c:pt>
                <c:pt idx="4594">
                  <c:v>16.86</c:v>
                </c:pt>
                <c:pt idx="4595">
                  <c:v>16.97</c:v>
                </c:pt>
                <c:pt idx="4596">
                  <c:v>17.05</c:v>
                </c:pt>
                <c:pt idx="4597">
                  <c:v>17</c:v>
                </c:pt>
                <c:pt idx="4598">
                  <c:v>16.920000000000002</c:v>
                </c:pt>
                <c:pt idx="4599">
                  <c:v>16.75</c:v>
                </c:pt>
                <c:pt idx="4600">
                  <c:v>16.940000000000001</c:v>
                </c:pt>
                <c:pt idx="4601">
                  <c:v>17.04</c:v>
                </c:pt>
                <c:pt idx="4602">
                  <c:v>16.86</c:v>
                </c:pt>
                <c:pt idx="4603">
                  <c:v>17.010000000000002</c:v>
                </c:pt>
                <c:pt idx="4604">
                  <c:v>16.899999999999999</c:v>
                </c:pt>
                <c:pt idx="4605">
                  <c:v>17.04</c:v>
                </c:pt>
                <c:pt idx="4606">
                  <c:v>18.25</c:v>
                </c:pt>
                <c:pt idx="4607">
                  <c:v>17.760000000000002</c:v>
                </c:pt>
                <c:pt idx="4608">
                  <c:v>17.38</c:v>
                </c:pt>
                <c:pt idx="4609">
                  <c:v>17.38</c:v>
                </c:pt>
                <c:pt idx="4610">
                  <c:v>17.66</c:v>
                </c:pt>
                <c:pt idx="4611">
                  <c:v>17.34</c:v>
                </c:pt>
                <c:pt idx="4612">
                  <c:v>17.12</c:v>
                </c:pt>
                <c:pt idx="4613">
                  <c:v>17.600000000000001</c:v>
                </c:pt>
                <c:pt idx="4614">
                  <c:v>17.059999999999999</c:v>
                </c:pt>
                <c:pt idx="4615">
                  <c:v>16.649999999999999</c:v>
                </c:pt>
                <c:pt idx="4616">
                  <c:v>16.78</c:v>
                </c:pt>
                <c:pt idx="4617">
                  <c:v>17.600000000000001</c:v>
                </c:pt>
                <c:pt idx="4618">
                  <c:v>18.09</c:v>
                </c:pt>
                <c:pt idx="4619">
                  <c:v>17.84</c:v>
                </c:pt>
                <c:pt idx="4620">
                  <c:v>17.41</c:v>
                </c:pt>
                <c:pt idx="4621">
                  <c:v>17.91</c:v>
                </c:pt>
                <c:pt idx="4622">
                  <c:v>17.440000000000001</c:v>
                </c:pt>
                <c:pt idx="4623">
                  <c:v>17.39</c:v>
                </c:pt>
                <c:pt idx="4624">
                  <c:v>17.38</c:v>
                </c:pt>
                <c:pt idx="4625">
                  <c:v>17.23</c:v>
                </c:pt>
                <c:pt idx="4626">
                  <c:v>17.62</c:v>
                </c:pt>
                <c:pt idx="4627">
                  <c:v>16.91</c:v>
                </c:pt>
                <c:pt idx="4628">
                  <c:v>18.07</c:v>
                </c:pt>
                <c:pt idx="4629">
                  <c:v>17.93</c:v>
                </c:pt>
                <c:pt idx="4630">
                  <c:v>18.36</c:v>
                </c:pt>
                <c:pt idx="4631">
                  <c:v>18.37</c:v>
                </c:pt>
                <c:pt idx="4632">
                  <c:v>17.7</c:v>
                </c:pt>
                <c:pt idx="4633">
                  <c:v>17.46</c:v>
                </c:pt>
                <c:pt idx="4634">
                  <c:v>17.57</c:v>
                </c:pt>
                <c:pt idx="4635">
                  <c:v>17.43</c:v>
                </c:pt>
                <c:pt idx="4636">
                  <c:v>17.41</c:v>
                </c:pt>
                <c:pt idx="4637">
                  <c:v>18</c:v>
                </c:pt>
                <c:pt idx="4638">
                  <c:v>18.420000000000002</c:v>
                </c:pt>
                <c:pt idx="4639">
                  <c:v>18.8</c:v>
                </c:pt>
                <c:pt idx="4640">
                  <c:v>18.79</c:v>
                </c:pt>
                <c:pt idx="4641">
                  <c:v>20.49</c:v>
                </c:pt>
                <c:pt idx="4642">
                  <c:v>21.24</c:v>
                </c:pt>
                <c:pt idx="4643">
                  <c:v>21.07</c:v>
                </c:pt>
                <c:pt idx="4644">
                  <c:v>21.35</c:v>
                </c:pt>
                <c:pt idx="4645">
                  <c:v>21.4</c:v>
                </c:pt>
                <c:pt idx="4646">
                  <c:v>21.48</c:v>
                </c:pt>
                <c:pt idx="4647">
                  <c:v>20.61</c:v>
                </c:pt>
                <c:pt idx="4648">
                  <c:v>20.85</c:v>
                </c:pt>
                <c:pt idx="4649">
                  <c:v>20.99</c:v>
                </c:pt>
                <c:pt idx="4650">
                  <c:v>20.63</c:v>
                </c:pt>
                <c:pt idx="4651">
                  <c:v>20.260000000000002</c:v>
                </c:pt>
                <c:pt idx="4652">
                  <c:v>20.62</c:v>
                </c:pt>
                <c:pt idx="4653">
                  <c:v>19.989999999999998</c:v>
                </c:pt>
                <c:pt idx="4654">
                  <c:v>20.010000000000002</c:v>
                </c:pt>
                <c:pt idx="4655">
                  <c:v>20.32</c:v>
                </c:pt>
                <c:pt idx="4656">
                  <c:v>20.100000000000001</c:v>
                </c:pt>
                <c:pt idx="4657">
                  <c:v>20.260000000000002</c:v>
                </c:pt>
                <c:pt idx="4658">
                  <c:v>21.3</c:v>
                </c:pt>
                <c:pt idx="4659">
                  <c:v>22.24</c:v>
                </c:pt>
                <c:pt idx="4660">
                  <c:v>21.69</c:v>
                </c:pt>
                <c:pt idx="4661">
                  <c:v>21.21</c:v>
                </c:pt>
                <c:pt idx="4662">
                  <c:v>21.52</c:v>
                </c:pt>
                <c:pt idx="4663">
                  <c:v>21.05</c:v>
                </c:pt>
                <c:pt idx="4664">
                  <c:v>20.87</c:v>
                </c:pt>
                <c:pt idx="4665">
                  <c:v>20.2</c:v>
                </c:pt>
                <c:pt idx="4666">
                  <c:v>19.88</c:v>
                </c:pt>
                <c:pt idx="4667">
                  <c:v>19.73</c:v>
                </c:pt>
                <c:pt idx="4668">
                  <c:v>19.239999999999998</c:v>
                </c:pt>
                <c:pt idx="4669">
                  <c:v>19.12</c:v>
                </c:pt>
                <c:pt idx="4670">
                  <c:v>19.38</c:v>
                </c:pt>
                <c:pt idx="4671">
                  <c:v>17.39</c:v>
                </c:pt>
                <c:pt idx="4672">
                  <c:v>17.28</c:v>
                </c:pt>
                <c:pt idx="4673">
                  <c:v>17.72</c:v>
                </c:pt>
                <c:pt idx="4674">
                  <c:v>18.02</c:v>
                </c:pt>
                <c:pt idx="4675">
                  <c:v>18.079999999999998</c:v>
                </c:pt>
                <c:pt idx="4676">
                  <c:v>17.670000000000002</c:v>
                </c:pt>
                <c:pt idx="4677">
                  <c:v>17.940000000000001</c:v>
                </c:pt>
                <c:pt idx="4678">
                  <c:v>17.53</c:v>
                </c:pt>
                <c:pt idx="4679">
                  <c:v>17.55</c:v>
                </c:pt>
                <c:pt idx="4680">
                  <c:v>17.89</c:v>
                </c:pt>
                <c:pt idx="4681">
                  <c:v>18.97</c:v>
                </c:pt>
                <c:pt idx="4682">
                  <c:v>18.489999999999998</c:v>
                </c:pt>
                <c:pt idx="4683">
                  <c:v>18.690000000000001</c:v>
                </c:pt>
                <c:pt idx="4684">
                  <c:v>18.965</c:v>
                </c:pt>
                <c:pt idx="4685">
                  <c:v>18.774999999999999</c:v>
                </c:pt>
                <c:pt idx="4686">
                  <c:v>18.84</c:v>
                </c:pt>
                <c:pt idx="4687">
                  <c:v>18.37</c:v>
                </c:pt>
                <c:pt idx="4688">
                  <c:v>18.3</c:v>
                </c:pt>
                <c:pt idx="4689">
                  <c:v>18.399999999999999</c:v>
                </c:pt>
                <c:pt idx="4690">
                  <c:v>18.11</c:v>
                </c:pt>
                <c:pt idx="4691">
                  <c:v>18.23</c:v>
                </c:pt>
                <c:pt idx="4692">
                  <c:v>18.100000000000001</c:v>
                </c:pt>
                <c:pt idx="4693">
                  <c:v>18.3</c:v>
                </c:pt>
                <c:pt idx="4694">
                  <c:v>18.22</c:v>
                </c:pt>
                <c:pt idx="4695">
                  <c:v>18.22</c:v>
                </c:pt>
                <c:pt idx="4696">
                  <c:v>19.71</c:v>
                </c:pt>
                <c:pt idx="4697">
                  <c:v>19.440000000000001</c:v>
                </c:pt>
                <c:pt idx="4698">
                  <c:v>19.940000000000001</c:v>
                </c:pt>
                <c:pt idx="4699">
                  <c:v>20.2</c:v>
                </c:pt>
                <c:pt idx="4700">
                  <c:v>20.54</c:v>
                </c:pt>
                <c:pt idx="4701">
                  <c:v>20.69</c:v>
                </c:pt>
                <c:pt idx="4702">
                  <c:v>20.149999999999999</c:v>
                </c:pt>
                <c:pt idx="4703">
                  <c:v>19.77</c:v>
                </c:pt>
                <c:pt idx="4704">
                  <c:v>20.059999999999999</c:v>
                </c:pt>
                <c:pt idx="4705">
                  <c:v>19.82</c:v>
                </c:pt>
                <c:pt idx="4706">
                  <c:v>19.55</c:v>
                </c:pt>
                <c:pt idx="4707">
                  <c:v>19.190000000000001</c:v>
                </c:pt>
                <c:pt idx="4708">
                  <c:v>18.59</c:v>
                </c:pt>
                <c:pt idx="4709">
                  <c:v>18.91</c:v>
                </c:pt>
                <c:pt idx="4710">
                  <c:v>18.27</c:v>
                </c:pt>
                <c:pt idx="4711">
                  <c:v>18.54</c:v>
                </c:pt>
                <c:pt idx="4712">
                  <c:v>18.5</c:v>
                </c:pt>
                <c:pt idx="4713">
                  <c:v>18.82</c:v>
                </c:pt>
                <c:pt idx="4714">
                  <c:v>18.600000000000001</c:v>
                </c:pt>
                <c:pt idx="4715">
                  <c:v>18.5</c:v>
                </c:pt>
                <c:pt idx="4716">
                  <c:v>18.61</c:v>
                </c:pt>
                <c:pt idx="4717">
                  <c:v>18.57</c:v>
                </c:pt>
                <c:pt idx="4718">
                  <c:v>18.600000000000001</c:v>
                </c:pt>
                <c:pt idx="4719">
                  <c:v>19.04</c:v>
                </c:pt>
                <c:pt idx="4720">
                  <c:v>19.559999999999999</c:v>
                </c:pt>
                <c:pt idx="4721">
                  <c:v>20.010000000000002</c:v>
                </c:pt>
                <c:pt idx="4722">
                  <c:v>20.48</c:v>
                </c:pt>
                <c:pt idx="4723">
                  <c:v>20.79</c:v>
                </c:pt>
                <c:pt idx="4724">
                  <c:v>21.07</c:v>
                </c:pt>
                <c:pt idx="4725">
                  <c:v>20.82</c:v>
                </c:pt>
                <c:pt idx="4726">
                  <c:v>20.81</c:v>
                </c:pt>
                <c:pt idx="4727">
                  <c:v>20.81</c:v>
                </c:pt>
                <c:pt idx="4728">
                  <c:v>21.02</c:v>
                </c:pt>
                <c:pt idx="4729">
                  <c:v>21.190999999999999</c:v>
                </c:pt>
                <c:pt idx="4730">
                  <c:v>21.408999999999999</c:v>
                </c:pt>
                <c:pt idx="4731">
                  <c:v>21</c:v>
                </c:pt>
                <c:pt idx="4732">
                  <c:v>20.664999999999999</c:v>
                </c:pt>
                <c:pt idx="4733">
                  <c:v>20.53</c:v>
                </c:pt>
                <c:pt idx="4734">
                  <c:v>20.524999999999999</c:v>
                </c:pt>
                <c:pt idx="4735">
                  <c:v>20.6</c:v>
                </c:pt>
                <c:pt idx="4736">
                  <c:v>20.45</c:v>
                </c:pt>
                <c:pt idx="4737">
                  <c:v>20.81</c:v>
                </c:pt>
                <c:pt idx="4738">
                  <c:v>20.88</c:v>
                </c:pt>
                <c:pt idx="4739">
                  <c:v>20.83</c:v>
                </c:pt>
                <c:pt idx="4740">
                  <c:v>20.45</c:v>
                </c:pt>
                <c:pt idx="4741">
                  <c:v>20.83</c:v>
                </c:pt>
                <c:pt idx="4742">
                  <c:v>20.48</c:v>
                </c:pt>
                <c:pt idx="4743">
                  <c:v>19.940000000000001</c:v>
                </c:pt>
                <c:pt idx="4744">
                  <c:v>19.989999999999998</c:v>
                </c:pt>
                <c:pt idx="4745">
                  <c:v>20.3</c:v>
                </c:pt>
                <c:pt idx="4746">
                  <c:v>20.36</c:v>
                </c:pt>
                <c:pt idx="4747">
                  <c:v>20.58</c:v>
                </c:pt>
                <c:pt idx="4748">
                  <c:v>20.100000000000001</c:v>
                </c:pt>
                <c:pt idx="4749">
                  <c:v>20.350000000000001</c:v>
                </c:pt>
                <c:pt idx="4750">
                  <c:v>21.1</c:v>
                </c:pt>
                <c:pt idx="4751">
                  <c:v>21.12</c:v>
                </c:pt>
                <c:pt idx="4752">
                  <c:v>20.92</c:v>
                </c:pt>
                <c:pt idx="4753">
                  <c:v>20.94</c:v>
                </c:pt>
                <c:pt idx="4754">
                  <c:v>26.8</c:v>
                </c:pt>
                <c:pt idx="4755">
                  <c:v>28.25</c:v>
                </c:pt>
                <c:pt idx="4756">
                  <c:v>27.63</c:v>
                </c:pt>
                <c:pt idx="4757">
                  <c:v>27.95</c:v>
                </c:pt>
                <c:pt idx="4758">
                  <c:v>28.25</c:v>
                </c:pt>
                <c:pt idx="4759">
                  <c:v>27.38</c:v>
                </c:pt>
                <c:pt idx="4760">
                  <c:v>26.71</c:v>
                </c:pt>
                <c:pt idx="4761">
                  <c:v>26.05</c:v>
                </c:pt>
                <c:pt idx="4762">
                  <c:v>25.89</c:v>
                </c:pt>
                <c:pt idx="4763">
                  <c:v>25.35</c:v>
                </c:pt>
                <c:pt idx="4764">
                  <c:v>25.85</c:v>
                </c:pt>
                <c:pt idx="4765">
                  <c:v>25.06</c:v>
                </c:pt>
                <c:pt idx="4766">
                  <c:v>26.04</c:v>
                </c:pt>
                <c:pt idx="4767">
                  <c:v>26.17</c:v>
                </c:pt>
                <c:pt idx="4768">
                  <c:v>25.81</c:v>
                </c:pt>
                <c:pt idx="4769">
                  <c:v>26.3</c:v>
                </c:pt>
                <c:pt idx="4770">
                  <c:v>25.98</c:v>
                </c:pt>
                <c:pt idx="4771">
                  <c:v>26.12</c:v>
                </c:pt>
                <c:pt idx="4772">
                  <c:v>25.184999999999999</c:v>
                </c:pt>
                <c:pt idx="4773">
                  <c:v>25.79</c:v>
                </c:pt>
                <c:pt idx="4774">
                  <c:v>25.91</c:v>
                </c:pt>
                <c:pt idx="4775">
                  <c:v>26.295000000000002</c:v>
                </c:pt>
                <c:pt idx="4776">
                  <c:v>26.4</c:v>
                </c:pt>
                <c:pt idx="4777">
                  <c:v>26.63</c:v>
                </c:pt>
                <c:pt idx="4778">
                  <c:v>26.21</c:v>
                </c:pt>
                <c:pt idx="4779">
                  <c:v>26.28</c:v>
                </c:pt>
                <c:pt idx="4780">
                  <c:v>26.29</c:v>
                </c:pt>
                <c:pt idx="4781">
                  <c:v>26.3</c:v>
                </c:pt>
                <c:pt idx="4782">
                  <c:v>26.54</c:v>
                </c:pt>
                <c:pt idx="4783">
                  <c:v>26.09</c:v>
                </c:pt>
                <c:pt idx="4784">
                  <c:v>25.125</c:v>
                </c:pt>
                <c:pt idx="4785">
                  <c:v>25.06</c:v>
                </c:pt>
                <c:pt idx="4786">
                  <c:v>24.61</c:v>
                </c:pt>
                <c:pt idx="4787">
                  <c:v>25.17</c:v>
                </c:pt>
                <c:pt idx="4788">
                  <c:v>24.87</c:v>
                </c:pt>
                <c:pt idx="4789">
                  <c:v>24.96</c:v>
                </c:pt>
                <c:pt idx="4790">
                  <c:v>25.19</c:v>
                </c:pt>
                <c:pt idx="4791">
                  <c:v>25.79</c:v>
                </c:pt>
                <c:pt idx="4792">
                  <c:v>25.74</c:v>
                </c:pt>
                <c:pt idx="4793">
                  <c:v>26.26</c:v>
                </c:pt>
                <c:pt idx="4794">
                  <c:v>26.41</c:v>
                </c:pt>
                <c:pt idx="4795">
                  <c:v>26.68</c:v>
                </c:pt>
                <c:pt idx="4796">
                  <c:v>26.77</c:v>
                </c:pt>
                <c:pt idx="4797">
                  <c:v>26.95</c:v>
                </c:pt>
                <c:pt idx="4798">
                  <c:v>27.13</c:v>
                </c:pt>
                <c:pt idx="4799">
                  <c:v>27.1</c:v>
                </c:pt>
                <c:pt idx="4800">
                  <c:v>27.21</c:v>
                </c:pt>
                <c:pt idx="4801">
                  <c:v>27.32</c:v>
                </c:pt>
                <c:pt idx="4802">
                  <c:v>26.89</c:v>
                </c:pt>
                <c:pt idx="4803">
                  <c:v>27.03</c:v>
                </c:pt>
                <c:pt idx="4804">
                  <c:v>27.06</c:v>
                </c:pt>
                <c:pt idx="4805">
                  <c:v>26.934999999999999</c:v>
                </c:pt>
                <c:pt idx="4806">
                  <c:v>30.76</c:v>
                </c:pt>
                <c:pt idx="4807">
                  <c:v>30.75</c:v>
                </c:pt>
                <c:pt idx="4808">
                  <c:v>30.42</c:v>
                </c:pt>
                <c:pt idx="4809">
                  <c:v>30.52</c:v>
                </c:pt>
                <c:pt idx="4810">
                  <c:v>31.24</c:v>
                </c:pt>
                <c:pt idx="4811">
                  <c:v>31.88</c:v>
                </c:pt>
                <c:pt idx="4812">
                  <c:v>33.06</c:v>
                </c:pt>
                <c:pt idx="4813">
                  <c:v>33.74</c:v>
                </c:pt>
                <c:pt idx="4814">
                  <c:v>35.15</c:v>
                </c:pt>
                <c:pt idx="4815">
                  <c:v>35.24</c:v>
                </c:pt>
                <c:pt idx="4816">
                  <c:v>34.979999999999997</c:v>
                </c:pt>
                <c:pt idx="4817">
                  <c:v>33.78</c:v>
                </c:pt>
                <c:pt idx="4818">
                  <c:v>32.96</c:v>
                </c:pt>
                <c:pt idx="4819">
                  <c:v>33.6</c:v>
                </c:pt>
                <c:pt idx="4820">
                  <c:v>32.4</c:v>
                </c:pt>
                <c:pt idx="4821">
                  <c:v>32.700000000000003</c:v>
                </c:pt>
                <c:pt idx="4822">
                  <c:v>32.29</c:v>
                </c:pt>
                <c:pt idx="4823">
                  <c:v>31.6</c:v>
                </c:pt>
                <c:pt idx="4824">
                  <c:v>32.159999999999997</c:v>
                </c:pt>
                <c:pt idx="4825">
                  <c:v>32.47</c:v>
                </c:pt>
                <c:pt idx="4826">
                  <c:v>33.409999999999997</c:v>
                </c:pt>
                <c:pt idx="4827">
                  <c:v>33.18</c:v>
                </c:pt>
                <c:pt idx="4828">
                  <c:v>31.88</c:v>
                </c:pt>
                <c:pt idx="4829">
                  <c:v>32.07</c:v>
                </c:pt>
                <c:pt idx="4830">
                  <c:v>32.130000000000003</c:v>
                </c:pt>
                <c:pt idx="4831">
                  <c:v>32</c:v>
                </c:pt>
                <c:pt idx="4832">
                  <c:v>32.15</c:v>
                </c:pt>
                <c:pt idx="4833">
                  <c:v>32.99</c:v>
                </c:pt>
                <c:pt idx="4834">
                  <c:v>32.56</c:v>
                </c:pt>
                <c:pt idx="4835">
                  <c:v>33.19</c:v>
                </c:pt>
                <c:pt idx="4836">
                  <c:v>34.31</c:v>
                </c:pt>
                <c:pt idx="4837">
                  <c:v>34.29</c:v>
                </c:pt>
                <c:pt idx="4838">
                  <c:v>34.47</c:v>
                </c:pt>
                <c:pt idx="4839">
                  <c:v>33.96</c:v>
                </c:pt>
                <c:pt idx="4840">
                  <c:v>33.89</c:v>
                </c:pt>
                <c:pt idx="4841">
                  <c:v>33.33</c:v>
                </c:pt>
                <c:pt idx="4842">
                  <c:v>32.71</c:v>
                </c:pt>
                <c:pt idx="4843">
                  <c:v>32.979999999999997</c:v>
                </c:pt>
                <c:pt idx="4844">
                  <c:v>32.86</c:v>
                </c:pt>
                <c:pt idx="4845">
                  <c:v>32.64</c:v>
                </c:pt>
                <c:pt idx="4846">
                  <c:v>32.99</c:v>
                </c:pt>
                <c:pt idx="4847">
                  <c:v>33.08</c:v>
                </c:pt>
                <c:pt idx="4848">
                  <c:v>32.270000000000003</c:v>
                </c:pt>
                <c:pt idx="4849">
                  <c:v>32.020000000000003</c:v>
                </c:pt>
                <c:pt idx="4850">
                  <c:v>32.1</c:v>
                </c:pt>
                <c:pt idx="4851">
                  <c:v>32.24</c:v>
                </c:pt>
                <c:pt idx="4852">
                  <c:v>32.39</c:v>
                </c:pt>
                <c:pt idx="4853">
                  <c:v>32.75</c:v>
                </c:pt>
                <c:pt idx="4854">
                  <c:v>32.89</c:v>
                </c:pt>
                <c:pt idx="4855">
                  <c:v>33.520000000000003</c:v>
                </c:pt>
                <c:pt idx="4856">
                  <c:v>33.46</c:v>
                </c:pt>
                <c:pt idx="4857">
                  <c:v>33.19</c:v>
                </c:pt>
                <c:pt idx="4858">
                  <c:v>33.51</c:v>
                </c:pt>
                <c:pt idx="4859">
                  <c:v>33.47</c:v>
                </c:pt>
                <c:pt idx="4860">
                  <c:v>32.4</c:v>
                </c:pt>
                <c:pt idx="4861">
                  <c:v>32.85</c:v>
                </c:pt>
                <c:pt idx="4862">
                  <c:v>34.24</c:v>
                </c:pt>
                <c:pt idx="4863">
                  <c:v>35.159999999999997</c:v>
                </c:pt>
                <c:pt idx="4864">
                  <c:v>32.06</c:v>
                </c:pt>
                <c:pt idx="4865">
                  <c:v>31.89</c:v>
                </c:pt>
                <c:pt idx="4866">
                  <c:v>31.86</c:v>
                </c:pt>
                <c:pt idx="4867">
                  <c:v>30.15</c:v>
                </c:pt>
                <c:pt idx="4868">
                  <c:v>29.71</c:v>
                </c:pt>
                <c:pt idx="4869">
                  <c:v>28.68</c:v>
                </c:pt>
                <c:pt idx="4870">
                  <c:v>27.86</c:v>
                </c:pt>
                <c:pt idx="4871">
                  <c:v>27.12</c:v>
                </c:pt>
                <c:pt idx="4872">
                  <c:v>27.19</c:v>
                </c:pt>
                <c:pt idx="4873">
                  <c:v>26.99</c:v>
                </c:pt>
                <c:pt idx="4874">
                  <c:v>27.42</c:v>
                </c:pt>
                <c:pt idx="4875">
                  <c:v>27.92</c:v>
                </c:pt>
                <c:pt idx="4876">
                  <c:v>28.23</c:v>
                </c:pt>
                <c:pt idx="4877">
                  <c:v>28.41</c:v>
                </c:pt>
                <c:pt idx="4878">
                  <c:v>27.76</c:v>
                </c:pt>
                <c:pt idx="4879">
                  <c:v>27.79</c:v>
                </c:pt>
                <c:pt idx="4880">
                  <c:v>27.84</c:v>
                </c:pt>
                <c:pt idx="4881">
                  <c:v>27.62</c:v>
                </c:pt>
                <c:pt idx="4882">
                  <c:v>27.77</c:v>
                </c:pt>
                <c:pt idx="4883">
                  <c:v>28.86</c:v>
                </c:pt>
                <c:pt idx="4884">
                  <c:v>28.91</c:v>
                </c:pt>
                <c:pt idx="4885">
                  <c:v>29.29</c:v>
                </c:pt>
                <c:pt idx="4886">
                  <c:v>29.2</c:v>
                </c:pt>
                <c:pt idx="4887">
                  <c:v>28.49</c:v>
                </c:pt>
                <c:pt idx="4888">
                  <c:v>28.7</c:v>
                </c:pt>
                <c:pt idx="4889">
                  <c:v>28.22</c:v>
                </c:pt>
                <c:pt idx="4890">
                  <c:v>28.61</c:v>
                </c:pt>
                <c:pt idx="4891">
                  <c:v>29.42</c:v>
                </c:pt>
                <c:pt idx="4892">
                  <c:v>29.11</c:v>
                </c:pt>
                <c:pt idx="4893">
                  <c:v>28.69</c:v>
                </c:pt>
                <c:pt idx="4894">
                  <c:v>28.73</c:v>
                </c:pt>
                <c:pt idx="4895">
                  <c:v>29</c:v>
                </c:pt>
                <c:pt idx="4896">
                  <c:v>29.6</c:v>
                </c:pt>
                <c:pt idx="4897">
                  <c:v>29.44</c:v>
                </c:pt>
                <c:pt idx="4898">
                  <c:v>30.125</c:v>
                </c:pt>
                <c:pt idx="4899">
                  <c:v>27.31</c:v>
                </c:pt>
                <c:pt idx="4900">
                  <c:v>27.28</c:v>
                </c:pt>
                <c:pt idx="4901">
                  <c:v>27.49</c:v>
                </c:pt>
                <c:pt idx="4902">
                  <c:v>26.78</c:v>
                </c:pt>
                <c:pt idx="4903">
                  <c:v>26.675000000000001</c:v>
                </c:pt>
                <c:pt idx="4904">
                  <c:v>26.8</c:v>
                </c:pt>
                <c:pt idx="4905">
                  <c:v>26.66</c:v>
                </c:pt>
                <c:pt idx="4906">
                  <c:v>26.64</c:v>
                </c:pt>
                <c:pt idx="4907">
                  <c:v>27.12</c:v>
                </c:pt>
                <c:pt idx="4908">
                  <c:v>27.55</c:v>
                </c:pt>
                <c:pt idx="4909">
                  <c:v>27.54</c:v>
                </c:pt>
                <c:pt idx="4910">
                  <c:v>27.9</c:v>
                </c:pt>
                <c:pt idx="4911">
                  <c:v>28.28</c:v>
                </c:pt>
                <c:pt idx="4912">
                  <c:v>27.805</c:v>
                </c:pt>
                <c:pt idx="4913">
                  <c:v>28.42</c:v>
                </c:pt>
                <c:pt idx="4914">
                  <c:v>28.4</c:v>
                </c:pt>
                <c:pt idx="4915">
                  <c:v>29.07</c:v>
                </c:pt>
                <c:pt idx="4916">
                  <c:v>29.64</c:v>
                </c:pt>
                <c:pt idx="4917">
                  <c:v>29.99</c:v>
                </c:pt>
                <c:pt idx="4918">
                  <c:v>29.07</c:v>
                </c:pt>
                <c:pt idx="4919">
                  <c:v>29.39</c:v>
                </c:pt>
                <c:pt idx="4920">
                  <c:v>29.65</c:v>
                </c:pt>
                <c:pt idx="4921">
                  <c:v>29.28</c:v>
                </c:pt>
                <c:pt idx="4922">
                  <c:v>31.08</c:v>
                </c:pt>
                <c:pt idx="4923">
                  <c:v>31.08</c:v>
                </c:pt>
                <c:pt idx="4924">
                  <c:v>31.06</c:v>
                </c:pt>
                <c:pt idx="4925">
                  <c:v>31.25</c:v>
                </c:pt>
                <c:pt idx="4926">
                  <c:v>31.05</c:v>
                </c:pt>
                <c:pt idx="4927">
                  <c:v>30.82</c:v>
                </c:pt>
                <c:pt idx="4928">
                  <c:v>32.020000000000003</c:v>
                </c:pt>
                <c:pt idx="4929">
                  <c:v>30.72</c:v>
                </c:pt>
                <c:pt idx="4930">
                  <c:v>29.65</c:v>
                </c:pt>
                <c:pt idx="4931">
                  <c:v>29.6</c:v>
                </c:pt>
                <c:pt idx="4932">
                  <c:v>29.64</c:v>
                </c:pt>
                <c:pt idx="4933">
                  <c:v>29.6</c:v>
                </c:pt>
                <c:pt idx="4934">
                  <c:v>29.57</c:v>
                </c:pt>
                <c:pt idx="4935">
                  <c:v>28.93</c:v>
                </c:pt>
                <c:pt idx="4936">
                  <c:v>28.97</c:v>
                </c:pt>
                <c:pt idx="4937">
                  <c:v>28.85</c:v>
                </c:pt>
                <c:pt idx="4938">
                  <c:v>29.26</c:v>
                </c:pt>
                <c:pt idx="4939">
                  <c:v>28.62</c:v>
                </c:pt>
                <c:pt idx="4940">
                  <c:v>29.15</c:v>
                </c:pt>
                <c:pt idx="4941">
                  <c:v>29.27</c:v>
                </c:pt>
                <c:pt idx="4942">
                  <c:v>29.27</c:v>
                </c:pt>
                <c:pt idx="4943">
                  <c:v>28.79</c:v>
                </c:pt>
                <c:pt idx="4944">
                  <c:v>28.09</c:v>
                </c:pt>
                <c:pt idx="4945">
                  <c:v>28.09</c:v>
                </c:pt>
                <c:pt idx="4946">
                  <c:v>28.46</c:v>
                </c:pt>
                <c:pt idx="4947">
                  <c:v>27.93</c:v>
                </c:pt>
                <c:pt idx="4948">
                  <c:v>27.8</c:v>
                </c:pt>
                <c:pt idx="4949">
                  <c:v>27.86</c:v>
                </c:pt>
                <c:pt idx="4950">
                  <c:v>27.7</c:v>
                </c:pt>
                <c:pt idx="4951">
                  <c:v>27.63</c:v>
                </c:pt>
                <c:pt idx="4952">
                  <c:v>27.06</c:v>
                </c:pt>
                <c:pt idx="4953">
                  <c:v>26.67</c:v>
                </c:pt>
                <c:pt idx="4954">
                  <c:v>26.68</c:v>
                </c:pt>
                <c:pt idx="4955">
                  <c:v>26.74</c:v>
                </c:pt>
                <c:pt idx="4956">
                  <c:v>27.15</c:v>
                </c:pt>
                <c:pt idx="4957">
                  <c:v>27.42</c:v>
                </c:pt>
                <c:pt idx="4958">
                  <c:v>27.38</c:v>
                </c:pt>
                <c:pt idx="4959">
                  <c:v>27.88</c:v>
                </c:pt>
                <c:pt idx="4960">
                  <c:v>27.91</c:v>
                </c:pt>
                <c:pt idx="4961">
                  <c:v>27.77</c:v>
                </c:pt>
                <c:pt idx="4962">
                  <c:v>27.7</c:v>
                </c:pt>
                <c:pt idx="4963">
                  <c:v>27.74</c:v>
                </c:pt>
                <c:pt idx="4964">
                  <c:v>27.645</c:v>
                </c:pt>
                <c:pt idx="4965">
                  <c:v>27.754999999999999</c:v>
                </c:pt>
                <c:pt idx="4966">
                  <c:v>27.69</c:v>
                </c:pt>
                <c:pt idx="4967">
                  <c:v>27.5</c:v>
                </c:pt>
                <c:pt idx="4968">
                  <c:v>27.77</c:v>
                </c:pt>
                <c:pt idx="4969">
                  <c:v>28.32</c:v>
                </c:pt>
                <c:pt idx="4970">
                  <c:v>27.62</c:v>
                </c:pt>
                <c:pt idx="4971">
                  <c:v>27.42</c:v>
                </c:pt>
                <c:pt idx="4972">
                  <c:v>27.47</c:v>
                </c:pt>
                <c:pt idx="4973">
                  <c:v>26.96</c:v>
                </c:pt>
                <c:pt idx="4974">
                  <c:v>27.07</c:v>
                </c:pt>
                <c:pt idx="4975">
                  <c:v>27.13</c:v>
                </c:pt>
                <c:pt idx="4976">
                  <c:v>27.324999999999999</c:v>
                </c:pt>
                <c:pt idx="4977">
                  <c:v>27.27</c:v>
                </c:pt>
                <c:pt idx="4978">
                  <c:v>27.11</c:v>
                </c:pt>
                <c:pt idx="4979">
                  <c:v>26.98</c:v>
                </c:pt>
                <c:pt idx="4980">
                  <c:v>26.63</c:v>
                </c:pt>
                <c:pt idx="4981">
                  <c:v>26.59</c:v>
                </c:pt>
                <c:pt idx="4982">
                  <c:v>26.08</c:v>
                </c:pt>
                <c:pt idx="4983">
                  <c:v>25.7</c:v>
                </c:pt>
                <c:pt idx="4984">
                  <c:v>25.36</c:v>
                </c:pt>
                <c:pt idx="4985">
                  <c:v>25.24</c:v>
                </c:pt>
                <c:pt idx="4986">
                  <c:v>25.004999999999999</c:v>
                </c:pt>
                <c:pt idx="4987">
                  <c:v>25.39</c:v>
                </c:pt>
                <c:pt idx="4988">
                  <c:v>25.23</c:v>
                </c:pt>
                <c:pt idx="4989">
                  <c:v>25.15</c:v>
                </c:pt>
                <c:pt idx="4990">
                  <c:v>24.98</c:v>
                </c:pt>
                <c:pt idx="4991">
                  <c:v>25.89</c:v>
                </c:pt>
                <c:pt idx="4992">
                  <c:v>25.83</c:v>
                </c:pt>
                <c:pt idx="4993">
                  <c:v>25.88</c:v>
                </c:pt>
                <c:pt idx="4994">
                  <c:v>25.23</c:v>
                </c:pt>
                <c:pt idx="4995">
                  <c:v>25.69</c:v>
                </c:pt>
                <c:pt idx="4996">
                  <c:v>25.96</c:v>
                </c:pt>
                <c:pt idx="4997">
                  <c:v>24.89</c:v>
                </c:pt>
                <c:pt idx="4998">
                  <c:v>24.2</c:v>
                </c:pt>
                <c:pt idx="4999">
                  <c:v>24.06</c:v>
                </c:pt>
                <c:pt idx="5000">
                  <c:v>24.73</c:v>
                </c:pt>
                <c:pt idx="5001">
                  <c:v>24.87</c:v>
                </c:pt>
                <c:pt idx="5002">
                  <c:v>25.62</c:v>
                </c:pt>
                <c:pt idx="5003">
                  <c:v>25.75</c:v>
                </c:pt>
                <c:pt idx="5004">
                  <c:v>26.87</c:v>
                </c:pt>
                <c:pt idx="5005">
                  <c:v>25.805</c:v>
                </c:pt>
                <c:pt idx="5006">
                  <c:v>25.67</c:v>
                </c:pt>
                <c:pt idx="5007">
                  <c:v>25.91</c:v>
                </c:pt>
                <c:pt idx="5008">
                  <c:v>25.72</c:v>
                </c:pt>
                <c:pt idx="5009">
                  <c:v>27.03</c:v>
                </c:pt>
                <c:pt idx="5010">
                  <c:v>26.99</c:v>
                </c:pt>
                <c:pt idx="5011">
                  <c:v>28.12</c:v>
                </c:pt>
                <c:pt idx="5012">
                  <c:v>28.66</c:v>
                </c:pt>
                <c:pt idx="5013">
                  <c:v>28.04</c:v>
                </c:pt>
                <c:pt idx="5014">
                  <c:v>28.59</c:v>
                </c:pt>
                <c:pt idx="5015">
                  <c:v>28.76</c:v>
                </c:pt>
                <c:pt idx="5016">
                  <c:v>28.92</c:v>
                </c:pt>
                <c:pt idx="5017">
                  <c:v>29.44</c:v>
                </c:pt>
                <c:pt idx="5018">
                  <c:v>29.1</c:v>
                </c:pt>
                <c:pt idx="5019">
                  <c:v>29.31</c:v>
                </c:pt>
                <c:pt idx="5020">
                  <c:v>29.59</c:v>
                </c:pt>
                <c:pt idx="5021">
                  <c:v>29.45</c:v>
                </c:pt>
                <c:pt idx="5022">
                  <c:v>30.015000000000001</c:v>
                </c:pt>
                <c:pt idx="5023">
                  <c:v>29.53</c:v>
                </c:pt>
                <c:pt idx="5024">
                  <c:v>29.89</c:v>
                </c:pt>
                <c:pt idx="5025">
                  <c:v>30.17</c:v>
                </c:pt>
                <c:pt idx="5026">
                  <c:v>30.3</c:v>
                </c:pt>
                <c:pt idx="5027">
                  <c:v>30.805</c:v>
                </c:pt>
                <c:pt idx="5028">
                  <c:v>30.9</c:v>
                </c:pt>
                <c:pt idx="5029">
                  <c:v>31.155000000000001</c:v>
                </c:pt>
                <c:pt idx="5030">
                  <c:v>31.34</c:v>
                </c:pt>
                <c:pt idx="5031">
                  <c:v>31.22</c:v>
                </c:pt>
                <c:pt idx="5032">
                  <c:v>31.9</c:v>
                </c:pt>
                <c:pt idx="5033">
                  <c:v>32.15</c:v>
                </c:pt>
                <c:pt idx="5034">
                  <c:v>32.21</c:v>
                </c:pt>
                <c:pt idx="5035">
                  <c:v>32.17</c:v>
                </c:pt>
                <c:pt idx="5036">
                  <c:v>32.42</c:v>
                </c:pt>
                <c:pt idx="5037">
                  <c:v>32.344999999999999</c:v>
                </c:pt>
                <c:pt idx="5038">
                  <c:v>32.76</c:v>
                </c:pt>
                <c:pt idx="5039">
                  <c:v>32.25</c:v>
                </c:pt>
                <c:pt idx="5040">
                  <c:v>32.35</c:v>
                </c:pt>
                <c:pt idx="5041">
                  <c:v>32.19</c:v>
                </c:pt>
                <c:pt idx="5042">
                  <c:v>31.995000000000001</c:v>
                </c:pt>
                <c:pt idx="5043">
                  <c:v>31.73</c:v>
                </c:pt>
                <c:pt idx="5044">
                  <c:v>32.35</c:v>
                </c:pt>
                <c:pt idx="5045">
                  <c:v>32.99</c:v>
                </c:pt>
                <c:pt idx="5046">
                  <c:v>34.17</c:v>
                </c:pt>
                <c:pt idx="5047">
                  <c:v>34.409999999999997</c:v>
                </c:pt>
                <c:pt idx="5048">
                  <c:v>33.770000000000003</c:v>
                </c:pt>
                <c:pt idx="5049">
                  <c:v>34.07</c:v>
                </c:pt>
                <c:pt idx="5050">
                  <c:v>33.94</c:v>
                </c:pt>
                <c:pt idx="5051">
                  <c:v>34.33</c:v>
                </c:pt>
                <c:pt idx="5052">
                  <c:v>34.21</c:v>
                </c:pt>
                <c:pt idx="5053">
                  <c:v>34.11</c:v>
                </c:pt>
                <c:pt idx="5054">
                  <c:v>33.26</c:v>
                </c:pt>
                <c:pt idx="5055">
                  <c:v>32.65</c:v>
                </c:pt>
                <c:pt idx="5056">
                  <c:v>31.95</c:v>
                </c:pt>
                <c:pt idx="5057">
                  <c:v>31.86</c:v>
                </c:pt>
                <c:pt idx="5058">
                  <c:v>27.55</c:v>
                </c:pt>
                <c:pt idx="5059">
                  <c:v>26.94</c:v>
                </c:pt>
                <c:pt idx="5060">
                  <c:v>26.05</c:v>
                </c:pt>
                <c:pt idx="5061">
                  <c:v>25.44</c:v>
                </c:pt>
                <c:pt idx="5062">
                  <c:v>25.2</c:v>
                </c:pt>
                <c:pt idx="5063">
                  <c:v>25.11</c:v>
                </c:pt>
                <c:pt idx="5064">
                  <c:v>25.61</c:v>
                </c:pt>
                <c:pt idx="5065">
                  <c:v>25.405000000000001</c:v>
                </c:pt>
                <c:pt idx="5066">
                  <c:v>25.75</c:v>
                </c:pt>
                <c:pt idx="5067">
                  <c:v>25.94</c:v>
                </c:pt>
                <c:pt idx="5068">
                  <c:v>25.99</c:v>
                </c:pt>
                <c:pt idx="5069">
                  <c:v>26.49</c:v>
                </c:pt>
                <c:pt idx="5070">
                  <c:v>26.16</c:v>
                </c:pt>
                <c:pt idx="5071">
                  <c:v>25.92</c:v>
                </c:pt>
                <c:pt idx="5072">
                  <c:v>26.32</c:v>
                </c:pt>
                <c:pt idx="5073">
                  <c:v>25.26</c:v>
                </c:pt>
                <c:pt idx="5074">
                  <c:v>25.56</c:v>
                </c:pt>
                <c:pt idx="5075">
                  <c:v>26.81</c:v>
                </c:pt>
                <c:pt idx="5076">
                  <c:v>26.36</c:v>
                </c:pt>
                <c:pt idx="5077">
                  <c:v>25.91</c:v>
                </c:pt>
                <c:pt idx="5078">
                  <c:v>25.54</c:v>
                </c:pt>
                <c:pt idx="5079">
                  <c:v>25.67</c:v>
                </c:pt>
                <c:pt idx="5080">
                  <c:v>25.364999999999998</c:v>
                </c:pt>
                <c:pt idx="5081">
                  <c:v>25.51</c:v>
                </c:pt>
                <c:pt idx="5082">
                  <c:v>25.64</c:v>
                </c:pt>
                <c:pt idx="5083">
                  <c:v>25.97</c:v>
                </c:pt>
                <c:pt idx="5084">
                  <c:v>26.08</c:v>
                </c:pt>
                <c:pt idx="5085">
                  <c:v>26.6</c:v>
                </c:pt>
                <c:pt idx="5086">
                  <c:v>27.004999999999999</c:v>
                </c:pt>
                <c:pt idx="5087">
                  <c:v>26.754999999999999</c:v>
                </c:pt>
                <c:pt idx="5088">
                  <c:v>26.97</c:v>
                </c:pt>
                <c:pt idx="5089">
                  <c:v>28.51</c:v>
                </c:pt>
                <c:pt idx="5090">
                  <c:v>28.49</c:v>
                </c:pt>
                <c:pt idx="5091">
                  <c:v>27.91</c:v>
                </c:pt>
                <c:pt idx="5092">
                  <c:v>27.65</c:v>
                </c:pt>
                <c:pt idx="5093">
                  <c:v>27.96</c:v>
                </c:pt>
                <c:pt idx="5094">
                  <c:v>28.08</c:v>
                </c:pt>
                <c:pt idx="5095">
                  <c:v>28.14</c:v>
                </c:pt>
                <c:pt idx="5096">
                  <c:v>27.46</c:v>
                </c:pt>
                <c:pt idx="5097">
                  <c:v>27.06</c:v>
                </c:pt>
                <c:pt idx="5098">
                  <c:v>26.84</c:v>
                </c:pt>
                <c:pt idx="5099">
                  <c:v>26.05</c:v>
                </c:pt>
                <c:pt idx="5100">
                  <c:v>26.23</c:v>
                </c:pt>
                <c:pt idx="5101">
                  <c:v>26.96</c:v>
                </c:pt>
                <c:pt idx="5102">
                  <c:v>26.76</c:v>
                </c:pt>
                <c:pt idx="5103">
                  <c:v>26.78</c:v>
                </c:pt>
                <c:pt idx="5104">
                  <c:v>26.695</c:v>
                </c:pt>
                <c:pt idx="5105">
                  <c:v>27.72</c:v>
                </c:pt>
                <c:pt idx="5106">
                  <c:v>27.58</c:v>
                </c:pt>
                <c:pt idx="5107">
                  <c:v>27.75</c:v>
                </c:pt>
                <c:pt idx="5108">
                  <c:v>28.07</c:v>
                </c:pt>
                <c:pt idx="5109">
                  <c:v>27.99</c:v>
                </c:pt>
                <c:pt idx="5110">
                  <c:v>20.04</c:v>
                </c:pt>
                <c:pt idx="5111">
                  <c:v>19.21</c:v>
                </c:pt>
                <c:pt idx="5112">
                  <c:v>19.195</c:v>
                </c:pt>
                <c:pt idx="5113">
                  <c:v>19.04</c:v>
                </c:pt>
                <c:pt idx="5114">
                  <c:v>18.920000000000002</c:v>
                </c:pt>
                <c:pt idx="5115">
                  <c:v>18.704999999999998</c:v>
                </c:pt>
                <c:pt idx="5116">
                  <c:v>18.440000000000001</c:v>
                </c:pt>
                <c:pt idx="5117">
                  <c:v>17.989999999999998</c:v>
                </c:pt>
                <c:pt idx="5118">
                  <c:v>18</c:v>
                </c:pt>
                <c:pt idx="5119">
                  <c:v>17.745000000000001</c:v>
                </c:pt>
                <c:pt idx="5120">
                  <c:v>17.489999999999998</c:v>
                </c:pt>
                <c:pt idx="5121">
                  <c:v>16.96</c:v>
                </c:pt>
                <c:pt idx="5122">
                  <c:v>16.690000000000001</c:v>
                </c:pt>
                <c:pt idx="5123">
                  <c:v>17.22</c:v>
                </c:pt>
                <c:pt idx="5124">
                  <c:v>17.89</c:v>
                </c:pt>
                <c:pt idx="5125">
                  <c:v>17.600000000000001</c:v>
                </c:pt>
                <c:pt idx="5126">
                  <c:v>17.82</c:v>
                </c:pt>
                <c:pt idx="5127">
                  <c:v>17.61</c:v>
                </c:pt>
                <c:pt idx="5128">
                  <c:v>17.53</c:v>
                </c:pt>
                <c:pt idx="5129">
                  <c:v>17.64</c:v>
                </c:pt>
                <c:pt idx="5130">
                  <c:v>17.905000000000001</c:v>
                </c:pt>
                <c:pt idx="5131">
                  <c:v>17.510000000000002</c:v>
                </c:pt>
                <c:pt idx="5132">
                  <c:v>17.254999999999999</c:v>
                </c:pt>
                <c:pt idx="5133">
                  <c:v>17.454999999999998</c:v>
                </c:pt>
                <c:pt idx="5134">
                  <c:v>17.2</c:v>
                </c:pt>
                <c:pt idx="5135">
                  <c:v>16.785</c:v>
                </c:pt>
                <c:pt idx="5136">
                  <c:v>16.835000000000001</c:v>
                </c:pt>
                <c:pt idx="5137">
                  <c:v>17.125</c:v>
                </c:pt>
                <c:pt idx="5138">
                  <c:v>16.739999999999998</c:v>
                </c:pt>
                <c:pt idx="5139">
                  <c:v>16.77</c:v>
                </c:pt>
                <c:pt idx="5140">
                  <c:v>17.125</c:v>
                </c:pt>
                <c:pt idx="5141">
                  <c:v>17.079999999999998</c:v>
                </c:pt>
                <c:pt idx="5142">
                  <c:v>17.25</c:v>
                </c:pt>
                <c:pt idx="5143">
                  <c:v>16.89</c:v>
                </c:pt>
                <c:pt idx="5144">
                  <c:v>16.82</c:v>
                </c:pt>
                <c:pt idx="5145">
                  <c:v>16.765000000000001</c:v>
                </c:pt>
                <c:pt idx="5146">
                  <c:v>16.71</c:v>
                </c:pt>
                <c:pt idx="5147">
                  <c:v>16.57</c:v>
                </c:pt>
                <c:pt idx="5148">
                  <c:v>16.489999999999998</c:v>
                </c:pt>
                <c:pt idx="5149">
                  <c:v>16.239999999999998</c:v>
                </c:pt>
                <c:pt idx="5150">
                  <c:v>16.47</c:v>
                </c:pt>
                <c:pt idx="5151">
                  <c:v>16.46</c:v>
                </c:pt>
                <c:pt idx="5152">
                  <c:v>16.23</c:v>
                </c:pt>
                <c:pt idx="5153">
                  <c:v>16.54</c:v>
                </c:pt>
                <c:pt idx="5154">
                  <c:v>16.61</c:v>
                </c:pt>
                <c:pt idx="5155">
                  <c:v>16.579999999999998</c:v>
                </c:pt>
                <c:pt idx="5156">
                  <c:v>17.07</c:v>
                </c:pt>
                <c:pt idx="5157">
                  <c:v>17</c:v>
                </c:pt>
                <c:pt idx="5158">
                  <c:v>17.155000000000001</c:v>
                </c:pt>
                <c:pt idx="5159">
                  <c:v>16.600000000000001</c:v>
                </c:pt>
                <c:pt idx="5160">
                  <c:v>16.68</c:v>
                </c:pt>
                <c:pt idx="5161">
                  <c:v>16.510000000000002</c:v>
                </c:pt>
                <c:pt idx="5162">
                  <c:v>16.579999999999998</c:v>
                </c:pt>
                <c:pt idx="5163">
                  <c:v>16.53</c:v>
                </c:pt>
                <c:pt idx="5164">
                  <c:v>16.739999999999998</c:v>
                </c:pt>
                <c:pt idx="5165">
                  <c:v>16.715</c:v>
                </c:pt>
                <c:pt idx="5166">
                  <c:v>16.21</c:v>
                </c:pt>
                <c:pt idx="5167">
                  <c:v>16.234999999999999</c:v>
                </c:pt>
                <c:pt idx="5168">
                  <c:v>16.18</c:v>
                </c:pt>
                <c:pt idx="5169">
                  <c:v>16.285</c:v>
                </c:pt>
                <c:pt idx="5170">
                  <c:v>16.7</c:v>
                </c:pt>
                <c:pt idx="5171">
                  <c:v>16.87</c:v>
                </c:pt>
                <c:pt idx="5172">
                  <c:v>16.670000000000002</c:v>
                </c:pt>
                <c:pt idx="5173">
                  <c:v>16.32</c:v>
                </c:pt>
                <c:pt idx="5174">
                  <c:v>16.25</c:v>
                </c:pt>
                <c:pt idx="5175">
                  <c:v>16.350000000000001</c:v>
                </c:pt>
                <c:pt idx="5176">
                  <c:v>15.54</c:v>
                </c:pt>
                <c:pt idx="5177">
                  <c:v>12.88</c:v>
                </c:pt>
                <c:pt idx="5178">
                  <c:v>12.45</c:v>
                </c:pt>
                <c:pt idx="5179">
                  <c:v>12.93</c:v>
                </c:pt>
                <c:pt idx="5180">
                  <c:v>13.04</c:v>
                </c:pt>
                <c:pt idx="5181">
                  <c:v>13.07</c:v>
                </c:pt>
                <c:pt idx="5182">
                  <c:v>12.66</c:v>
                </c:pt>
                <c:pt idx="5183">
                  <c:v>13.58</c:v>
                </c:pt>
                <c:pt idx="5184">
                  <c:v>14.01</c:v>
                </c:pt>
                <c:pt idx="5185">
                  <c:v>14.03</c:v>
                </c:pt>
                <c:pt idx="5186">
                  <c:v>14.21</c:v>
                </c:pt>
                <c:pt idx="5187">
                  <c:v>13.99</c:v>
                </c:pt>
                <c:pt idx="5188">
                  <c:v>13.92</c:v>
                </c:pt>
                <c:pt idx="5189">
                  <c:v>13.69</c:v>
                </c:pt>
                <c:pt idx="5190">
                  <c:v>14.04</c:v>
                </c:pt>
                <c:pt idx="5191">
                  <c:v>13.75</c:v>
                </c:pt>
                <c:pt idx="5192">
                  <c:v>13.86</c:v>
                </c:pt>
                <c:pt idx="5193">
                  <c:v>13.805</c:v>
                </c:pt>
                <c:pt idx="5194">
                  <c:v>13.42</c:v>
                </c:pt>
                <c:pt idx="5195">
                  <c:v>13.345000000000001</c:v>
                </c:pt>
                <c:pt idx="5196">
                  <c:v>13.38</c:v>
                </c:pt>
                <c:pt idx="5197">
                  <c:v>13.15</c:v>
                </c:pt>
                <c:pt idx="5198">
                  <c:v>13.29</c:v>
                </c:pt>
                <c:pt idx="5199">
                  <c:v>12.81</c:v>
                </c:pt>
                <c:pt idx="5200">
                  <c:v>12.62</c:v>
                </c:pt>
                <c:pt idx="5201">
                  <c:v>12.71</c:v>
                </c:pt>
                <c:pt idx="5202">
                  <c:v>12.71</c:v>
                </c:pt>
                <c:pt idx="5203">
                  <c:v>12.505000000000001</c:v>
                </c:pt>
                <c:pt idx="5204">
                  <c:v>12.43</c:v>
                </c:pt>
                <c:pt idx="5205">
                  <c:v>12.74</c:v>
                </c:pt>
                <c:pt idx="5206">
                  <c:v>12.4</c:v>
                </c:pt>
                <c:pt idx="5207">
                  <c:v>12.41</c:v>
                </c:pt>
                <c:pt idx="5208">
                  <c:v>12.04</c:v>
                </c:pt>
                <c:pt idx="5209">
                  <c:v>11.77</c:v>
                </c:pt>
                <c:pt idx="5210">
                  <c:v>11.83</c:v>
                </c:pt>
                <c:pt idx="5211">
                  <c:v>11.62</c:v>
                </c:pt>
                <c:pt idx="5212">
                  <c:v>11.27</c:v>
                </c:pt>
                <c:pt idx="5213">
                  <c:v>11.2</c:v>
                </c:pt>
                <c:pt idx="5214">
                  <c:v>10.98</c:v>
                </c:pt>
                <c:pt idx="5215">
                  <c:v>10.67</c:v>
                </c:pt>
                <c:pt idx="5216">
                  <c:v>10.4</c:v>
                </c:pt>
                <c:pt idx="5217">
                  <c:v>10.84</c:v>
                </c:pt>
                <c:pt idx="5218">
                  <c:v>11.19</c:v>
                </c:pt>
                <c:pt idx="5219">
                  <c:v>11.47</c:v>
                </c:pt>
                <c:pt idx="5220">
                  <c:v>11.11</c:v>
                </c:pt>
                <c:pt idx="5221">
                  <c:v>10.81</c:v>
                </c:pt>
                <c:pt idx="5222">
                  <c:v>10.94</c:v>
                </c:pt>
                <c:pt idx="5223">
                  <c:v>11.03</c:v>
                </c:pt>
                <c:pt idx="5224">
                  <c:v>10.9</c:v>
                </c:pt>
                <c:pt idx="5225">
                  <c:v>11.44</c:v>
                </c:pt>
                <c:pt idx="5226">
                  <c:v>11.505000000000001</c:v>
                </c:pt>
                <c:pt idx="5227">
                  <c:v>11.7</c:v>
                </c:pt>
                <c:pt idx="5228">
                  <c:v>11.78</c:v>
                </c:pt>
                <c:pt idx="5229">
                  <c:v>11.45</c:v>
                </c:pt>
                <c:pt idx="5230">
                  <c:v>11.76</c:v>
                </c:pt>
                <c:pt idx="5231">
                  <c:v>12.04</c:v>
                </c:pt>
                <c:pt idx="5232">
                  <c:v>11.9</c:v>
                </c:pt>
                <c:pt idx="5233">
                  <c:v>11.97</c:v>
                </c:pt>
                <c:pt idx="5234">
                  <c:v>12.16</c:v>
                </c:pt>
                <c:pt idx="5235">
                  <c:v>11.84</c:v>
                </c:pt>
                <c:pt idx="5236">
                  <c:v>11.58</c:v>
                </c:pt>
                <c:pt idx="5237">
                  <c:v>11.49</c:v>
                </c:pt>
                <c:pt idx="5238">
                  <c:v>11.33</c:v>
                </c:pt>
                <c:pt idx="5239">
                  <c:v>10.96</c:v>
                </c:pt>
                <c:pt idx="5240">
                  <c:v>11.03</c:v>
                </c:pt>
                <c:pt idx="5241">
                  <c:v>11.06</c:v>
                </c:pt>
                <c:pt idx="5242">
                  <c:v>10.87</c:v>
                </c:pt>
                <c:pt idx="5243">
                  <c:v>11.01</c:v>
                </c:pt>
                <c:pt idx="5244">
                  <c:v>11.38</c:v>
                </c:pt>
                <c:pt idx="5245">
                  <c:v>11.35</c:v>
                </c:pt>
                <c:pt idx="5246">
                  <c:v>11.78</c:v>
                </c:pt>
                <c:pt idx="5247">
                  <c:v>12.36</c:v>
                </c:pt>
                <c:pt idx="5248">
                  <c:v>11.29</c:v>
                </c:pt>
                <c:pt idx="5249">
                  <c:v>10.52</c:v>
                </c:pt>
                <c:pt idx="5250">
                  <c:v>10.43</c:v>
                </c:pt>
                <c:pt idx="5251">
                  <c:v>10.16</c:v>
                </c:pt>
                <c:pt idx="5252">
                  <c:v>10.35</c:v>
                </c:pt>
                <c:pt idx="5253">
                  <c:v>10.34</c:v>
                </c:pt>
                <c:pt idx="5254">
                  <c:v>10.345000000000001</c:v>
                </c:pt>
                <c:pt idx="5255">
                  <c:v>10.86</c:v>
                </c:pt>
                <c:pt idx="5256">
                  <c:v>10.6</c:v>
                </c:pt>
                <c:pt idx="5257">
                  <c:v>7.1849999999999996</c:v>
                </c:pt>
                <c:pt idx="5258">
                  <c:v>7.42</c:v>
                </c:pt>
                <c:pt idx="5259">
                  <c:v>7.25</c:v>
                </c:pt>
                <c:pt idx="5260">
                  <c:v>7</c:v>
                </c:pt>
                <c:pt idx="5261">
                  <c:v>7.25</c:v>
                </c:pt>
                <c:pt idx="5262">
                  <c:v>7.19</c:v>
                </c:pt>
                <c:pt idx="5263">
                  <c:v>7.26</c:v>
                </c:pt>
                <c:pt idx="5264">
                  <c:v>7.6</c:v>
                </c:pt>
                <c:pt idx="5265">
                  <c:v>7.53</c:v>
                </c:pt>
                <c:pt idx="5266">
                  <c:v>7.26</c:v>
                </c:pt>
                <c:pt idx="5267">
                  <c:v>7.52</c:v>
                </c:pt>
                <c:pt idx="5268">
                  <c:v>7.8</c:v>
                </c:pt>
                <c:pt idx="5269">
                  <c:v>7.63</c:v>
                </c:pt>
                <c:pt idx="5270">
                  <c:v>7.61</c:v>
                </c:pt>
                <c:pt idx="5271">
                  <c:v>7.75</c:v>
                </c:pt>
                <c:pt idx="5272">
                  <c:v>7.31</c:v>
                </c:pt>
                <c:pt idx="5273">
                  <c:v>7.18</c:v>
                </c:pt>
                <c:pt idx="5274">
                  <c:v>7.27</c:v>
                </c:pt>
                <c:pt idx="5275">
                  <c:v>7.28</c:v>
                </c:pt>
                <c:pt idx="5276">
                  <c:v>7.45</c:v>
                </c:pt>
                <c:pt idx="5277">
                  <c:v>7.37</c:v>
                </c:pt>
                <c:pt idx="5278">
                  <c:v>7.57</c:v>
                </c:pt>
                <c:pt idx="5279">
                  <c:v>7.64</c:v>
                </c:pt>
                <c:pt idx="5280">
                  <c:v>7.16</c:v>
                </c:pt>
                <c:pt idx="5281">
                  <c:v>7.09</c:v>
                </c:pt>
                <c:pt idx="5282">
                  <c:v>6.91</c:v>
                </c:pt>
                <c:pt idx="5283">
                  <c:v>7.06</c:v>
                </c:pt>
                <c:pt idx="5284">
                  <c:v>7.74</c:v>
                </c:pt>
                <c:pt idx="5285">
                  <c:v>7.55</c:v>
                </c:pt>
                <c:pt idx="5286">
                  <c:v>7.33</c:v>
                </c:pt>
                <c:pt idx="5287">
                  <c:v>7.34</c:v>
                </c:pt>
                <c:pt idx="5288">
                  <c:v>7.11</c:v>
                </c:pt>
                <c:pt idx="5289">
                  <c:v>6.92</c:v>
                </c:pt>
                <c:pt idx="5290">
                  <c:v>7.23</c:v>
                </c:pt>
                <c:pt idx="5291">
                  <c:v>7.47</c:v>
                </c:pt>
                <c:pt idx="5292">
                  <c:v>7.16</c:v>
                </c:pt>
                <c:pt idx="5293">
                  <c:v>7.21</c:v>
                </c:pt>
                <c:pt idx="5294">
                  <c:v>7.33</c:v>
                </c:pt>
                <c:pt idx="5295">
                  <c:v>7.77</c:v>
                </c:pt>
                <c:pt idx="5296">
                  <c:v>7.6</c:v>
                </c:pt>
                <c:pt idx="5297">
                  <c:v>7.61</c:v>
                </c:pt>
                <c:pt idx="5298">
                  <c:v>7.73</c:v>
                </c:pt>
                <c:pt idx="5299">
                  <c:v>7.94</c:v>
                </c:pt>
                <c:pt idx="5300">
                  <c:v>8.2200000000000006</c:v>
                </c:pt>
                <c:pt idx="5301">
                  <c:v>8.3000000000000007</c:v>
                </c:pt>
                <c:pt idx="5302">
                  <c:v>8.09</c:v>
                </c:pt>
                <c:pt idx="5303">
                  <c:v>8.01</c:v>
                </c:pt>
                <c:pt idx="5304">
                  <c:v>7.91</c:v>
                </c:pt>
                <c:pt idx="5305">
                  <c:v>7.67</c:v>
                </c:pt>
                <c:pt idx="5306">
                  <c:v>7.57</c:v>
                </c:pt>
                <c:pt idx="5307">
                  <c:v>7.15</c:v>
                </c:pt>
                <c:pt idx="5308">
                  <c:v>7.1849999999999996</c:v>
                </c:pt>
                <c:pt idx="5309">
                  <c:v>6.7</c:v>
                </c:pt>
                <c:pt idx="5310">
                  <c:v>6.59</c:v>
                </c:pt>
                <c:pt idx="5311">
                  <c:v>6.38</c:v>
                </c:pt>
                <c:pt idx="5312">
                  <c:v>7.39</c:v>
                </c:pt>
                <c:pt idx="5313">
                  <c:v>7.1</c:v>
                </c:pt>
                <c:pt idx="5314">
                  <c:v>7.3</c:v>
                </c:pt>
                <c:pt idx="5315">
                  <c:v>7.63</c:v>
                </c:pt>
                <c:pt idx="5316">
                  <c:v>7.1</c:v>
                </c:pt>
                <c:pt idx="5317">
                  <c:v>7.54</c:v>
                </c:pt>
                <c:pt idx="5318">
                  <c:v>7.63</c:v>
                </c:pt>
                <c:pt idx="5319">
                  <c:v>7.76</c:v>
                </c:pt>
                <c:pt idx="5320">
                  <c:v>7.65</c:v>
                </c:pt>
                <c:pt idx="5321">
                  <c:v>7.99</c:v>
                </c:pt>
                <c:pt idx="5322">
                  <c:v>7.61</c:v>
                </c:pt>
                <c:pt idx="5323">
                  <c:v>7.61</c:v>
                </c:pt>
                <c:pt idx="5324">
                  <c:v>7.94</c:v>
                </c:pt>
                <c:pt idx="5325">
                  <c:v>7.3</c:v>
                </c:pt>
                <c:pt idx="5326">
                  <c:v>6.92</c:v>
                </c:pt>
                <c:pt idx="5327">
                  <c:v>7.06</c:v>
                </c:pt>
                <c:pt idx="5328">
                  <c:v>7.09</c:v>
                </c:pt>
                <c:pt idx="5329">
                  <c:v>6.95</c:v>
                </c:pt>
                <c:pt idx="5330">
                  <c:v>8.6199999999999992</c:v>
                </c:pt>
                <c:pt idx="5331">
                  <c:v>8.56</c:v>
                </c:pt>
                <c:pt idx="5332">
                  <c:v>8.5500000000000007</c:v>
                </c:pt>
                <c:pt idx="5333">
                  <c:v>8.58</c:v>
                </c:pt>
                <c:pt idx="5334">
                  <c:v>8.6</c:v>
                </c:pt>
                <c:pt idx="5335">
                  <c:v>8.84</c:v>
                </c:pt>
                <c:pt idx="5336">
                  <c:v>8.82</c:v>
                </c:pt>
                <c:pt idx="5337">
                  <c:v>8.7899999999999991</c:v>
                </c:pt>
                <c:pt idx="5338">
                  <c:v>8.68</c:v>
                </c:pt>
                <c:pt idx="5339">
                  <c:v>8.4499999999999993</c:v>
                </c:pt>
                <c:pt idx="5340">
                  <c:v>8.35</c:v>
                </c:pt>
                <c:pt idx="5341">
                  <c:v>8.24</c:v>
                </c:pt>
                <c:pt idx="5342">
                  <c:v>8.25</c:v>
                </c:pt>
                <c:pt idx="5343">
                  <c:v>8.11</c:v>
                </c:pt>
                <c:pt idx="5344">
                  <c:v>8.19</c:v>
                </c:pt>
                <c:pt idx="5345">
                  <c:v>8.2899999999999991</c:v>
                </c:pt>
                <c:pt idx="5346">
                  <c:v>8.35</c:v>
                </c:pt>
                <c:pt idx="5347">
                  <c:v>8.5299999999999994</c:v>
                </c:pt>
                <c:pt idx="5348">
                  <c:v>8.51</c:v>
                </c:pt>
                <c:pt idx="5349">
                  <c:v>8.5299999999999994</c:v>
                </c:pt>
                <c:pt idx="5350">
                  <c:v>8.3000000000000007</c:v>
                </c:pt>
                <c:pt idx="5351">
                  <c:v>8.3000000000000007</c:v>
                </c:pt>
                <c:pt idx="5352">
                  <c:v>8.1999999999999993</c:v>
                </c:pt>
                <c:pt idx="5353">
                  <c:v>8.3800000000000008</c:v>
                </c:pt>
                <c:pt idx="5354">
                  <c:v>8.39</c:v>
                </c:pt>
                <c:pt idx="5355">
                  <c:v>8.18</c:v>
                </c:pt>
                <c:pt idx="5356">
                  <c:v>8.2899999999999991</c:v>
                </c:pt>
                <c:pt idx="5357">
                  <c:v>8.2799999999999994</c:v>
                </c:pt>
                <c:pt idx="5358">
                  <c:v>8.3800000000000008</c:v>
                </c:pt>
                <c:pt idx="5359">
                  <c:v>8.41</c:v>
                </c:pt>
                <c:pt idx="5360">
                  <c:v>8.39</c:v>
                </c:pt>
                <c:pt idx="5361">
                  <c:v>8.24</c:v>
                </c:pt>
                <c:pt idx="5362">
                  <c:v>8.25</c:v>
                </c:pt>
                <c:pt idx="5363">
                  <c:v>7.8550000000000004</c:v>
                </c:pt>
                <c:pt idx="5364">
                  <c:v>7.88</c:v>
                </c:pt>
                <c:pt idx="5365">
                  <c:v>8.1199999999999992</c:v>
                </c:pt>
                <c:pt idx="5366">
                  <c:v>8.2149999999999999</c:v>
                </c:pt>
                <c:pt idx="5367">
                  <c:v>8.15</c:v>
                </c:pt>
                <c:pt idx="5368">
                  <c:v>8.0299999999999994</c:v>
                </c:pt>
                <c:pt idx="5369">
                  <c:v>8.06</c:v>
                </c:pt>
                <c:pt idx="5370">
                  <c:v>8.07</c:v>
                </c:pt>
                <c:pt idx="5371">
                  <c:v>7.95</c:v>
                </c:pt>
                <c:pt idx="5372">
                  <c:v>7.8150000000000004</c:v>
                </c:pt>
                <c:pt idx="5373">
                  <c:v>7.39</c:v>
                </c:pt>
                <c:pt idx="5374">
                  <c:v>7.37</c:v>
                </c:pt>
                <c:pt idx="5375">
                  <c:v>7.44</c:v>
                </c:pt>
                <c:pt idx="5376">
                  <c:v>7.45</c:v>
                </c:pt>
                <c:pt idx="5377">
                  <c:v>7.61</c:v>
                </c:pt>
                <c:pt idx="5378">
                  <c:v>7.41</c:v>
                </c:pt>
                <c:pt idx="5379">
                  <c:v>7.45</c:v>
                </c:pt>
                <c:pt idx="5380">
                  <c:v>7.26</c:v>
                </c:pt>
                <c:pt idx="5381">
                  <c:v>7.11</c:v>
                </c:pt>
                <c:pt idx="5382">
                  <c:v>7.27</c:v>
                </c:pt>
                <c:pt idx="5383">
                  <c:v>7.43</c:v>
                </c:pt>
                <c:pt idx="5384">
                  <c:v>7.34</c:v>
                </c:pt>
                <c:pt idx="5385">
                  <c:v>7.43</c:v>
                </c:pt>
                <c:pt idx="5386">
                  <c:v>7.58</c:v>
                </c:pt>
                <c:pt idx="5387">
                  <c:v>7.8</c:v>
                </c:pt>
                <c:pt idx="5388">
                  <c:v>8.77</c:v>
                </c:pt>
                <c:pt idx="5389">
                  <c:v>8.74</c:v>
                </c:pt>
                <c:pt idx="5390">
                  <c:v>8.7200000000000006</c:v>
                </c:pt>
                <c:pt idx="5391">
                  <c:v>8.82</c:v>
                </c:pt>
                <c:pt idx="5392">
                  <c:v>8.9499999999999993</c:v>
                </c:pt>
                <c:pt idx="5393">
                  <c:v>9.2200000000000006</c:v>
                </c:pt>
                <c:pt idx="5394">
                  <c:v>9.25</c:v>
                </c:pt>
                <c:pt idx="5395">
                  <c:v>9.2200000000000006</c:v>
                </c:pt>
                <c:pt idx="5396">
                  <c:v>9.18</c:v>
                </c:pt>
                <c:pt idx="5397">
                  <c:v>9.2799999999999994</c:v>
                </c:pt>
                <c:pt idx="5398">
                  <c:v>9.26</c:v>
                </c:pt>
                <c:pt idx="5399">
                  <c:v>9.1999999999999993</c:v>
                </c:pt>
                <c:pt idx="5400">
                  <c:v>9.25</c:v>
                </c:pt>
                <c:pt idx="5401">
                  <c:v>9.19</c:v>
                </c:pt>
                <c:pt idx="5402">
                  <c:v>9.2200000000000006</c:v>
                </c:pt>
                <c:pt idx="5403">
                  <c:v>9.17</c:v>
                </c:pt>
                <c:pt idx="5404">
                  <c:v>9.2100000000000009</c:v>
                </c:pt>
                <c:pt idx="5405">
                  <c:v>9.1999999999999993</c:v>
                </c:pt>
                <c:pt idx="5406">
                  <c:v>9.17</c:v>
                </c:pt>
                <c:pt idx="5407">
                  <c:v>9.2100000000000009</c:v>
                </c:pt>
                <c:pt idx="5408">
                  <c:v>9.19</c:v>
                </c:pt>
                <c:pt idx="5409">
                  <c:v>9.19</c:v>
                </c:pt>
                <c:pt idx="5410">
                  <c:v>9.24</c:v>
                </c:pt>
                <c:pt idx="5411">
                  <c:v>9.2100000000000009</c:v>
                </c:pt>
                <c:pt idx="5412">
                  <c:v>9.2100000000000009</c:v>
                </c:pt>
                <c:pt idx="5413">
                  <c:v>9.2100000000000009</c:v>
                </c:pt>
                <c:pt idx="5414">
                  <c:v>9.17</c:v>
                </c:pt>
                <c:pt idx="5415">
                  <c:v>9.18</c:v>
                </c:pt>
                <c:pt idx="5416">
                  <c:v>9.19</c:v>
                </c:pt>
                <c:pt idx="5417">
                  <c:v>9.15</c:v>
                </c:pt>
                <c:pt idx="5418">
                  <c:v>9.19</c:v>
                </c:pt>
                <c:pt idx="5419">
                  <c:v>9.18</c:v>
                </c:pt>
                <c:pt idx="5420">
                  <c:v>9.18</c:v>
                </c:pt>
                <c:pt idx="5421">
                  <c:v>9.1999999999999993</c:v>
                </c:pt>
                <c:pt idx="5422">
                  <c:v>9.15</c:v>
                </c:pt>
                <c:pt idx="5423">
                  <c:v>9.1</c:v>
                </c:pt>
                <c:pt idx="5424">
                  <c:v>9.1</c:v>
                </c:pt>
                <c:pt idx="5425">
                  <c:v>9.19</c:v>
                </c:pt>
                <c:pt idx="5426">
                  <c:v>9.11</c:v>
                </c:pt>
                <c:pt idx="5427">
                  <c:v>9.0299999999999994</c:v>
                </c:pt>
                <c:pt idx="5428">
                  <c:v>9</c:v>
                </c:pt>
                <c:pt idx="5429">
                  <c:v>9.02</c:v>
                </c:pt>
                <c:pt idx="5430">
                  <c:v>9.1199999999999992</c:v>
                </c:pt>
                <c:pt idx="5431">
                  <c:v>9.1</c:v>
                </c:pt>
                <c:pt idx="5432">
                  <c:v>8.9700000000000006</c:v>
                </c:pt>
                <c:pt idx="5433">
                  <c:v>9.0399999999999991</c:v>
                </c:pt>
                <c:pt idx="5434">
                  <c:v>9.0399999999999991</c:v>
                </c:pt>
                <c:pt idx="5435">
                  <c:v>9.0500000000000007</c:v>
                </c:pt>
                <c:pt idx="5436">
                  <c:v>9.11</c:v>
                </c:pt>
                <c:pt idx="5437">
                  <c:v>9.08</c:v>
                </c:pt>
                <c:pt idx="5438">
                  <c:v>9.0399999999999991</c:v>
                </c:pt>
                <c:pt idx="5439">
                  <c:v>9.06</c:v>
                </c:pt>
                <c:pt idx="5440">
                  <c:v>9.0399999999999991</c:v>
                </c:pt>
                <c:pt idx="5441">
                  <c:v>9.08</c:v>
                </c:pt>
                <c:pt idx="5442">
                  <c:v>9.01</c:v>
                </c:pt>
                <c:pt idx="5443">
                  <c:v>9.01</c:v>
                </c:pt>
                <c:pt idx="5444">
                  <c:v>8.9700000000000006</c:v>
                </c:pt>
                <c:pt idx="5445">
                  <c:v>8.9600000000000009</c:v>
                </c:pt>
                <c:pt idx="5446">
                  <c:v>8.99</c:v>
                </c:pt>
                <c:pt idx="5447">
                  <c:v>8.9700000000000006</c:v>
                </c:pt>
                <c:pt idx="5448">
                  <c:v>8.9600000000000009</c:v>
                </c:pt>
                <c:pt idx="5449">
                  <c:v>8.98</c:v>
                </c:pt>
                <c:pt idx="5450">
                  <c:v>8.99</c:v>
                </c:pt>
                <c:pt idx="5451">
                  <c:v>8.98</c:v>
                </c:pt>
                <c:pt idx="5452">
                  <c:v>8.93</c:v>
                </c:pt>
                <c:pt idx="5453">
                  <c:v>8.9499999999999993</c:v>
                </c:pt>
                <c:pt idx="5454">
                  <c:v>8.94</c:v>
                </c:pt>
                <c:pt idx="5455">
                  <c:v>8.9499999999999993</c:v>
                </c:pt>
                <c:pt idx="5456">
                  <c:v>8.98</c:v>
                </c:pt>
                <c:pt idx="5457">
                  <c:v>8.9600000000000009</c:v>
                </c:pt>
                <c:pt idx="5458">
                  <c:v>8.9600000000000009</c:v>
                </c:pt>
                <c:pt idx="5459">
                  <c:v>9.0299999999999994</c:v>
                </c:pt>
                <c:pt idx="5460">
                  <c:v>9.0399999999999991</c:v>
                </c:pt>
                <c:pt idx="5461">
                  <c:v>9.0299999999999994</c:v>
                </c:pt>
                <c:pt idx="5462">
                  <c:v>8.99</c:v>
                </c:pt>
                <c:pt idx="5463">
                  <c:v>8.9</c:v>
                </c:pt>
                <c:pt idx="5464">
                  <c:v>8.9499999999999993</c:v>
                </c:pt>
                <c:pt idx="5465">
                  <c:v>8.93</c:v>
                </c:pt>
                <c:pt idx="5466">
                  <c:v>8.89</c:v>
                </c:pt>
                <c:pt idx="5467">
                  <c:v>8.9</c:v>
                </c:pt>
                <c:pt idx="5468">
                  <c:v>8.9</c:v>
                </c:pt>
                <c:pt idx="5469">
                  <c:v>8.8699999999999992</c:v>
                </c:pt>
                <c:pt idx="5470">
                  <c:v>8.83</c:v>
                </c:pt>
                <c:pt idx="5471">
                  <c:v>8.86</c:v>
                </c:pt>
                <c:pt idx="5472">
                  <c:v>8.8800000000000008</c:v>
                </c:pt>
                <c:pt idx="5473">
                  <c:v>8.8699999999999992</c:v>
                </c:pt>
                <c:pt idx="5474">
                  <c:v>8.89</c:v>
                </c:pt>
                <c:pt idx="5475">
                  <c:v>8.9</c:v>
                </c:pt>
                <c:pt idx="5476">
                  <c:v>8.89</c:v>
                </c:pt>
                <c:pt idx="5477">
                  <c:v>8.61</c:v>
                </c:pt>
                <c:pt idx="5478">
                  <c:v>8.25</c:v>
                </c:pt>
                <c:pt idx="5479">
                  <c:v>8.35</c:v>
                </c:pt>
                <c:pt idx="5480">
                  <c:v>8.39</c:v>
                </c:pt>
                <c:pt idx="5481">
                  <c:v>8.1199999999999992</c:v>
                </c:pt>
                <c:pt idx="5482">
                  <c:v>7.9</c:v>
                </c:pt>
                <c:pt idx="5483">
                  <c:v>8.08</c:v>
                </c:pt>
                <c:pt idx="5484">
                  <c:v>7.95</c:v>
                </c:pt>
                <c:pt idx="5485">
                  <c:v>7.98</c:v>
                </c:pt>
                <c:pt idx="5486">
                  <c:v>7.91</c:v>
                </c:pt>
                <c:pt idx="5487">
                  <c:v>7.56</c:v>
                </c:pt>
                <c:pt idx="5488">
                  <c:v>7.64</c:v>
                </c:pt>
                <c:pt idx="5489">
                  <c:v>7.58</c:v>
                </c:pt>
                <c:pt idx="5490">
                  <c:v>7.71</c:v>
                </c:pt>
                <c:pt idx="5491">
                  <c:v>8.0399999999999991</c:v>
                </c:pt>
                <c:pt idx="5492">
                  <c:v>8.0299999999999994</c:v>
                </c:pt>
                <c:pt idx="5493">
                  <c:v>7.82</c:v>
                </c:pt>
                <c:pt idx="5494">
                  <c:v>7.95</c:v>
                </c:pt>
                <c:pt idx="5495">
                  <c:v>8.24</c:v>
                </c:pt>
                <c:pt idx="5496">
                  <c:v>7.95</c:v>
                </c:pt>
                <c:pt idx="5497">
                  <c:v>8.1</c:v>
                </c:pt>
                <c:pt idx="5498">
                  <c:v>8.0500000000000007</c:v>
                </c:pt>
                <c:pt idx="5499">
                  <c:v>8.01</c:v>
                </c:pt>
                <c:pt idx="5500">
                  <c:v>8.17</c:v>
                </c:pt>
                <c:pt idx="5501">
                  <c:v>8.1199999999999992</c:v>
                </c:pt>
                <c:pt idx="5502">
                  <c:v>8.11</c:v>
                </c:pt>
                <c:pt idx="5503">
                  <c:v>8.33</c:v>
                </c:pt>
                <c:pt idx="5504">
                  <c:v>8.4600000000000009</c:v>
                </c:pt>
                <c:pt idx="5505">
                  <c:v>8.51</c:v>
                </c:pt>
                <c:pt idx="5506">
                  <c:v>8.4600000000000009</c:v>
                </c:pt>
                <c:pt idx="5507">
                  <c:v>8.5</c:v>
                </c:pt>
                <c:pt idx="5508">
                  <c:v>8.49</c:v>
                </c:pt>
                <c:pt idx="5509">
                  <c:v>8.8699999999999992</c:v>
                </c:pt>
                <c:pt idx="5510">
                  <c:v>8.9</c:v>
                </c:pt>
                <c:pt idx="5511">
                  <c:v>8.6199999999999992</c:v>
                </c:pt>
                <c:pt idx="5512">
                  <c:v>8.67</c:v>
                </c:pt>
                <c:pt idx="5513">
                  <c:v>8.6999999999999993</c:v>
                </c:pt>
                <c:pt idx="5514">
                  <c:v>8.67</c:v>
                </c:pt>
                <c:pt idx="5515">
                  <c:v>8.7899999999999991</c:v>
                </c:pt>
                <c:pt idx="5516">
                  <c:v>8.8000000000000007</c:v>
                </c:pt>
                <c:pt idx="5517">
                  <c:v>8.7799999999999994</c:v>
                </c:pt>
                <c:pt idx="5518">
                  <c:v>8.7200000000000006</c:v>
                </c:pt>
                <c:pt idx="5519">
                  <c:v>8.76</c:v>
                </c:pt>
                <c:pt idx="5520">
                  <c:v>8.73</c:v>
                </c:pt>
                <c:pt idx="5521">
                  <c:v>8.73</c:v>
                </c:pt>
                <c:pt idx="5522">
                  <c:v>9.34</c:v>
                </c:pt>
                <c:pt idx="5523">
                  <c:v>9.35</c:v>
                </c:pt>
                <c:pt idx="5524">
                  <c:v>9.42</c:v>
                </c:pt>
                <c:pt idx="5525">
                  <c:v>9.4700000000000006</c:v>
                </c:pt>
                <c:pt idx="5526">
                  <c:v>9.43</c:v>
                </c:pt>
                <c:pt idx="5527">
                  <c:v>9.43</c:v>
                </c:pt>
                <c:pt idx="5528">
                  <c:v>9.48</c:v>
                </c:pt>
                <c:pt idx="5529">
                  <c:v>9.4499999999999993</c:v>
                </c:pt>
                <c:pt idx="5530">
                  <c:v>9.49</c:v>
                </c:pt>
                <c:pt idx="5531">
                  <c:v>9.5</c:v>
                </c:pt>
                <c:pt idx="5532">
                  <c:v>9.51</c:v>
                </c:pt>
                <c:pt idx="5533">
                  <c:v>9.48</c:v>
                </c:pt>
                <c:pt idx="5534">
                  <c:v>9.5</c:v>
                </c:pt>
                <c:pt idx="5535">
                  <c:v>9.5</c:v>
                </c:pt>
                <c:pt idx="5536">
                  <c:v>9.43</c:v>
                </c:pt>
                <c:pt idx="5537">
                  <c:v>9.5</c:v>
                </c:pt>
                <c:pt idx="5538">
                  <c:v>9.49</c:v>
                </c:pt>
                <c:pt idx="5539">
                  <c:v>9.49</c:v>
                </c:pt>
                <c:pt idx="5540">
                  <c:v>9.51</c:v>
                </c:pt>
                <c:pt idx="5541">
                  <c:v>9.52</c:v>
                </c:pt>
                <c:pt idx="5542">
                  <c:v>9.35</c:v>
                </c:pt>
                <c:pt idx="5543">
                  <c:v>9.59</c:v>
                </c:pt>
                <c:pt idx="5544">
                  <c:v>9.64</c:v>
                </c:pt>
                <c:pt idx="5545">
                  <c:v>9.7100000000000009</c:v>
                </c:pt>
                <c:pt idx="5546">
                  <c:v>9.75</c:v>
                </c:pt>
                <c:pt idx="5547">
                  <c:v>9.75</c:v>
                </c:pt>
                <c:pt idx="5548">
                  <c:v>9.5399999999999991</c:v>
                </c:pt>
                <c:pt idx="5549">
                  <c:v>9.65</c:v>
                </c:pt>
                <c:pt idx="5550">
                  <c:v>9.75</c:v>
                </c:pt>
                <c:pt idx="5551">
                  <c:v>9.91</c:v>
                </c:pt>
                <c:pt idx="5552">
                  <c:v>9.92</c:v>
                </c:pt>
                <c:pt idx="5553">
                  <c:v>9.94</c:v>
                </c:pt>
                <c:pt idx="5554">
                  <c:v>9.93</c:v>
                </c:pt>
                <c:pt idx="5555">
                  <c:v>9.92</c:v>
                </c:pt>
                <c:pt idx="5556">
                  <c:v>9.94</c:v>
                </c:pt>
                <c:pt idx="5557">
                  <c:v>9.9</c:v>
                </c:pt>
                <c:pt idx="5558">
                  <c:v>9.93</c:v>
                </c:pt>
                <c:pt idx="5559">
                  <c:v>9.9499999999999993</c:v>
                </c:pt>
                <c:pt idx="5560">
                  <c:v>9.94</c:v>
                </c:pt>
                <c:pt idx="5561">
                  <c:v>9.9499999999999993</c:v>
                </c:pt>
                <c:pt idx="5562">
                  <c:v>9.94</c:v>
                </c:pt>
                <c:pt idx="5563">
                  <c:v>9.9600000000000009</c:v>
                </c:pt>
                <c:pt idx="5564">
                  <c:v>9.94</c:v>
                </c:pt>
                <c:pt idx="5565">
                  <c:v>9.92</c:v>
                </c:pt>
                <c:pt idx="5566">
                  <c:v>9.9499999999999993</c:v>
                </c:pt>
                <c:pt idx="5567">
                  <c:v>9.94</c:v>
                </c:pt>
                <c:pt idx="5568">
                  <c:v>10</c:v>
                </c:pt>
                <c:pt idx="5569">
                  <c:v>9.9499999999999993</c:v>
                </c:pt>
                <c:pt idx="5570">
                  <c:v>9.99</c:v>
                </c:pt>
                <c:pt idx="5571">
                  <c:v>9.9499999999999993</c:v>
                </c:pt>
                <c:pt idx="5572">
                  <c:v>10</c:v>
                </c:pt>
                <c:pt idx="5573">
                  <c:v>9.99</c:v>
                </c:pt>
                <c:pt idx="5574">
                  <c:v>9.99</c:v>
                </c:pt>
                <c:pt idx="5575">
                  <c:v>9.99</c:v>
                </c:pt>
                <c:pt idx="5576">
                  <c:v>10</c:v>
                </c:pt>
                <c:pt idx="5577">
                  <c:v>9.99</c:v>
                </c:pt>
                <c:pt idx="5578">
                  <c:v>9.9949999999999992</c:v>
                </c:pt>
              </c:numCache>
            </c:numRef>
          </c:val>
          <c:smooth val="0"/>
          <c:extLst>
            <c:ext xmlns:c16="http://schemas.microsoft.com/office/drawing/2014/chart" uri="{C3380CC4-5D6E-409C-BE32-E72D297353CC}">
              <c16:uniqueId val="{00000000-61D7-42BC-8DE6-9EB96CDEEA7B}"/>
            </c:ext>
          </c:extLst>
        </c:ser>
        <c:dLbls>
          <c:showLegendKey val="0"/>
          <c:showVal val="0"/>
          <c:showCatName val="0"/>
          <c:showSerName val="0"/>
          <c:showPercent val="0"/>
          <c:showBubbleSize val="0"/>
        </c:dLbls>
        <c:smooth val="0"/>
        <c:axId val="2038303247"/>
        <c:axId val="1"/>
      </c:lineChart>
      <c:catAx>
        <c:axId val="2038303247"/>
        <c:scaling>
          <c:orientation val="minMax"/>
        </c:scaling>
        <c:delete val="0"/>
        <c:axPos val="b"/>
        <c:numFmt formatCode="[$-409]mmm\-yy;@" sourceLinked="1"/>
        <c:majorTickMark val="none"/>
        <c:minorTickMark val="none"/>
        <c:tickLblPos val="low"/>
        <c:spPr>
          <a:ln w="12700">
            <a:noFill/>
          </a:ln>
        </c:spPr>
        <c:txPr>
          <a:bodyPr rot="-2700000" vert="horz"/>
          <a:lstStyle/>
          <a:p>
            <a:pPr>
              <a:defRPr sz="1000" b="0" i="0" u="none" strike="noStrike" baseline="0">
                <a:solidFill>
                  <a:srgbClr val="000000"/>
                </a:solidFill>
                <a:latin typeface="Arial"/>
                <a:ea typeface="Arial"/>
                <a:cs typeface="Arial"/>
              </a:defRPr>
            </a:pPr>
            <a:endParaRPr lang="en-US"/>
          </a:p>
        </c:txPr>
        <c:crossAx val="1"/>
        <c:crosses val="autoZero"/>
        <c:auto val="0"/>
        <c:lblAlgn val="ctr"/>
        <c:lblOffset val="100"/>
        <c:tickMarkSkip val="207"/>
        <c:noMultiLvlLbl val="0"/>
      </c:catAx>
      <c:valAx>
        <c:axId val="1"/>
        <c:scaling>
          <c:orientation val="minMax"/>
          <c:max val="100"/>
          <c:min val="0"/>
        </c:scaling>
        <c:delete val="0"/>
        <c:axPos val="l"/>
        <c:numFmt formatCode="0" sourceLinked="0"/>
        <c:majorTickMark val="out"/>
        <c:minorTickMark val="none"/>
        <c:tickLblPos val="nextTo"/>
        <c:spPr>
          <a:ln w="12700">
            <a:noFill/>
          </a:ln>
        </c:spPr>
        <c:txPr>
          <a:bodyPr rot="0" vert="horz"/>
          <a:lstStyle/>
          <a:p>
            <a:pPr>
              <a:defRPr sz="1000" b="0" i="0" u="none" strike="noStrike" baseline="0">
                <a:solidFill>
                  <a:srgbClr val="000000"/>
                </a:solidFill>
                <a:latin typeface="Arial"/>
                <a:ea typeface="Arial"/>
                <a:cs typeface="Arial"/>
              </a:defRPr>
            </a:pPr>
            <a:endParaRPr lang="en-US"/>
          </a:p>
        </c:txPr>
        <c:crossAx val="2038303247"/>
        <c:crosses val="autoZero"/>
        <c:crossBetween val="between"/>
      </c:valAx>
      <c:spPr>
        <a:solidFill>
          <a:srgbClr val="FFFFFF"/>
        </a:solidFill>
        <a:ln w="12700">
          <a:noFill/>
          <a:prstDash val="solid"/>
        </a:ln>
      </c:spPr>
    </c:plotArea>
    <c:legend>
      <c:legendPos val="b"/>
      <c:layout>
        <c:manualLayout>
          <c:xMode val="edge"/>
          <c:yMode val="edge"/>
          <c:x val="0.35455623956096394"/>
          <c:y val="0.95179677761518744"/>
          <c:w val="0.37546628155361894"/>
          <c:h val="4.8001578176886675E-2"/>
        </c:manualLayout>
      </c:layout>
      <c:overlay val="0"/>
      <c:spPr>
        <a:solidFill>
          <a:srgbClr val="FFFFFF"/>
        </a:solidFill>
        <a:ln w="3175">
          <a:noFill/>
          <a:prstDash val="solid"/>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9</xdr:col>
      <xdr:colOff>685306</xdr:colOff>
      <xdr:row>4</xdr:row>
      <xdr:rowOff>22412</xdr:rowOff>
    </xdr:from>
    <xdr:to>
      <xdr:col>9</xdr:col>
      <xdr:colOff>685306</xdr:colOff>
      <xdr:row>103</xdr:row>
      <xdr:rowOff>0</xdr:rowOff>
    </xdr:to>
    <xdr:cxnSp macro="">
      <xdr:nvCxnSpPr>
        <xdr:cNvPr id="7" name="Straight Connector 6">
          <a:extLst>
            <a:ext uri="{FF2B5EF4-FFF2-40B4-BE49-F238E27FC236}">
              <a16:creationId xmlns:a16="http://schemas.microsoft.com/office/drawing/2014/main" id="{E9C02943-FB9D-EB82-BD9F-7C632352DE6D}"/>
            </a:ext>
          </a:extLst>
        </xdr:cNvPr>
        <xdr:cNvCxnSpPr/>
      </xdr:nvCxnSpPr>
      <xdr:spPr>
        <a:xfrm>
          <a:off x="7692985" y="675555"/>
          <a:ext cx="0" cy="1565301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677881</xdr:colOff>
      <xdr:row>4</xdr:row>
      <xdr:rowOff>22412</xdr:rowOff>
    </xdr:from>
    <xdr:to>
      <xdr:col>13</xdr:col>
      <xdr:colOff>677881</xdr:colOff>
      <xdr:row>103</xdr:row>
      <xdr:rowOff>0</xdr:rowOff>
    </xdr:to>
    <xdr:cxnSp macro="">
      <xdr:nvCxnSpPr>
        <xdr:cNvPr id="8" name="Straight Connector 7">
          <a:extLst>
            <a:ext uri="{FF2B5EF4-FFF2-40B4-BE49-F238E27FC236}">
              <a16:creationId xmlns:a16="http://schemas.microsoft.com/office/drawing/2014/main" id="{B3203713-9BB7-EDDE-96A1-C88B4447D9B6}"/>
            </a:ext>
          </a:extLst>
        </xdr:cNvPr>
        <xdr:cNvCxnSpPr/>
      </xdr:nvCxnSpPr>
      <xdr:spPr>
        <a:xfrm>
          <a:off x="10665524" y="675555"/>
          <a:ext cx="0" cy="13978537"/>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2475</xdr:colOff>
      <xdr:row>4</xdr:row>
      <xdr:rowOff>8805</xdr:rowOff>
    </xdr:from>
    <xdr:to>
      <xdr:col>22</xdr:col>
      <xdr:colOff>2475</xdr:colOff>
      <xdr:row>103</xdr:row>
      <xdr:rowOff>0</xdr:rowOff>
    </xdr:to>
    <xdr:cxnSp macro="">
      <xdr:nvCxnSpPr>
        <xdr:cNvPr id="9" name="Straight Connector 8">
          <a:extLst>
            <a:ext uri="{FF2B5EF4-FFF2-40B4-BE49-F238E27FC236}">
              <a16:creationId xmlns:a16="http://schemas.microsoft.com/office/drawing/2014/main" id="{BF63EDFB-E25A-84C7-162B-E58FEFFE70D6}"/>
            </a:ext>
          </a:extLst>
        </xdr:cNvPr>
        <xdr:cNvCxnSpPr/>
      </xdr:nvCxnSpPr>
      <xdr:spPr>
        <a:xfrm>
          <a:off x="14144832" y="661948"/>
          <a:ext cx="0" cy="1557590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16741</xdr:colOff>
      <xdr:row>4</xdr:row>
      <xdr:rowOff>22412</xdr:rowOff>
    </xdr:from>
    <xdr:to>
      <xdr:col>18</xdr:col>
      <xdr:colOff>16741</xdr:colOff>
      <xdr:row>103</xdr:row>
      <xdr:rowOff>0</xdr:rowOff>
    </xdr:to>
    <xdr:cxnSp macro="">
      <xdr:nvCxnSpPr>
        <xdr:cNvPr id="13" name="Straight Connector 12">
          <a:extLst>
            <a:ext uri="{FF2B5EF4-FFF2-40B4-BE49-F238E27FC236}">
              <a16:creationId xmlns:a16="http://schemas.microsoft.com/office/drawing/2014/main" id="{86F9F8C8-569F-B69F-7470-FC19468EAF20}"/>
            </a:ext>
          </a:extLst>
        </xdr:cNvPr>
        <xdr:cNvCxnSpPr/>
      </xdr:nvCxnSpPr>
      <xdr:spPr>
        <a:xfrm>
          <a:off x="12797559" y="801730"/>
          <a:ext cx="0" cy="173110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48</xdr:col>
      <xdr:colOff>367393</xdr:colOff>
      <xdr:row>206</xdr:row>
      <xdr:rowOff>54428</xdr:rowOff>
    </xdr:from>
    <xdr:to>
      <xdr:col>57</xdr:col>
      <xdr:colOff>379163</xdr:colOff>
      <xdr:row>239</xdr:row>
      <xdr:rowOff>171703</xdr:rowOff>
    </xdr:to>
    <xdr:pic>
      <xdr:nvPicPr>
        <xdr:cNvPr id="2" name="Picture 1">
          <a:extLst>
            <a:ext uri="{FF2B5EF4-FFF2-40B4-BE49-F238E27FC236}">
              <a16:creationId xmlns:a16="http://schemas.microsoft.com/office/drawing/2014/main" id="{347EA55E-9AF4-BBC3-2036-6C5D73BAF728}"/>
            </a:ext>
          </a:extLst>
        </xdr:cNvPr>
        <xdr:cNvPicPr>
          <a:picLocks noChangeAspect="1"/>
        </xdr:cNvPicPr>
      </xdr:nvPicPr>
      <xdr:blipFill>
        <a:blip xmlns:r="http://schemas.openxmlformats.org/officeDocument/2006/relationships" r:embed="rId1"/>
        <a:stretch>
          <a:fillRect/>
        </a:stretch>
      </xdr:blipFill>
      <xdr:spPr>
        <a:xfrm>
          <a:off x="30303107" y="28370892"/>
          <a:ext cx="6325483" cy="5750633"/>
        </a:xfrm>
        <a:prstGeom prst="rect">
          <a:avLst/>
        </a:prstGeom>
      </xdr:spPr>
    </xdr:pic>
    <xdr:clientData/>
  </xdr:twoCellAnchor>
  <xdr:twoCellAnchor>
    <xdr:from>
      <xdr:col>47</xdr:col>
      <xdr:colOff>3710</xdr:colOff>
      <xdr:row>112</xdr:row>
      <xdr:rowOff>0</xdr:rowOff>
    </xdr:from>
    <xdr:to>
      <xdr:col>47</xdr:col>
      <xdr:colOff>3710</xdr:colOff>
      <xdr:row>489</xdr:row>
      <xdr:rowOff>68036</xdr:rowOff>
    </xdr:to>
    <xdr:cxnSp macro="">
      <xdr:nvCxnSpPr>
        <xdr:cNvPr id="14" name="Straight Connector 13">
          <a:extLst>
            <a:ext uri="{FF2B5EF4-FFF2-40B4-BE49-F238E27FC236}">
              <a16:creationId xmlns:a16="http://schemas.microsoft.com/office/drawing/2014/main" id="{C02B320C-3E10-1765-C44F-2A2FD8321305}"/>
            </a:ext>
          </a:extLst>
        </xdr:cNvPr>
        <xdr:cNvCxnSpPr/>
      </xdr:nvCxnSpPr>
      <xdr:spPr>
        <a:xfrm>
          <a:off x="32810531" y="18056679"/>
          <a:ext cx="0" cy="57735107"/>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767069</xdr:colOff>
      <xdr:row>4</xdr:row>
      <xdr:rowOff>8805</xdr:rowOff>
    </xdr:from>
    <xdr:to>
      <xdr:col>25</xdr:col>
      <xdr:colOff>767069</xdr:colOff>
      <xdr:row>103</xdr:row>
      <xdr:rowOff>0</xdr:rowOff>
    </xdr:to>
    <xdr:cxnSp macro="">
      <xdr:nvCxnSpPr>
        <xdr:cNvPr id="3" name="Straight Connector 2">
          <a:extLst>
            <a:ext uri="{FF2B5EF4-FFF2-40B4-BE49-F238E27FC236}">
              <a16:creationId xmlns:a16="http://schemas.microsoft.com/office/drawing/2014/main" id="{1F6D6F20-7019-6073-E850-DF5BBEAB83C1}"/>
            </a:ext>
          </a:extLst>
        </xdr:cNvPr>
        <xdr:cNvCxnSpPr/>
      </xdr:nvCxnSpPr>
      <xdr:spPr>
        <a:xfrm>
          <a:off x="11146433" y="655350"/>
          <a:ext cx="0" cy="15358195"/>
        </a:xfrm>
        <a:prstGeom prst="line">
          <a:avLst/>
        </a:prstGeom>
        <a:ln>
          <a:solidFill>
            <a:sysClr val="windowText" lastClr="00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16082</xdr:colOff>
      <xdr:row>4</xdr:row>
      <xdr:rowOff>8805</xdr:rowOff>
    </xdr:from>
    <xdr:to>
      <xdr:col>47</xdr:col>
      <xdr:colOff>16082</xdr:colOff>
      <xdr:row>103</xdr:row>
      <xdr:rowOff>0</xdr:rowOff>
    </xdr:to>
    <xdr:cxnSp macro="">
      <xdr:nvCxnSpPr>
        <xdr:cNvPr id="4" name="Straight Connector 3">
          <a:extLst>
            <a:ext uri="{FF2B5EF4-FFF2-40B4-BE49-F238E27FC236}">
              <a16:creationId xmlns:a16="http://schemas.microsoft.com/office/drawing/2014/main" id="{208809E9-C590-5B21-AB0A-D73AE37F83DB}"/>
            </a:ext>
          </a:extLst>
        </xdr:cNvPr>
        <xdr:cNvCxnSpPr/>
      </xdr:nvCxnSpPr>
      <xdr:spPr>
        <a:xfrm>
          <a:off x="26563618" y="661948"/>
          <a:ext cx="0" cy="15666623"/>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122465</xdr:colOff>
      <xdr:row>247</xdr:row>
      <xdr:rowOff>104774</xdr:rowOff>
    </xdr:from>
    <xdr:to>
      <xdr:col>58</xdr:col>
      <xdr:colOff>54429</xdr:colOff>
      <xdr:row>264</xdr:row>
      <xdr:rowOff>44903</xdr:rowOff>
    </xdr:to>
    <xdr:graphicFrame macro="">
      <xdr:nvGraphicFramePr>
        <xdr:cNvPr id="5" name="Chart 4">
          <a:extLst>
            <a:ext uri="{FF2B5EF4-FFF2-40B4-BE49-F238E27FC236}">
              <a16:creationId xmlns:a16="http://schemas.microsoft.com/office/drawing/2014/main" id="{E1DDB803-2073-C603-2C8D-18623E3374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167821</xdr:colOff>
      <xdr:row>163</xdr:row>
      <xdr:rowOff>39007</xdr:rowOff>
    </xdr:from>
    <xdr:to>
      <xdr:col>56</xdr:col>
      <xdr:colOff>231321</xdr:colOff>
      <xdr:row>197</xdr:row>
      <xdr:rowOff>6350</xdr:rowOff>
    </xdr:to>
    <xdr:graphicFrame macro="">
      <xdr:nvGraphicFramePr>
        <xdr:cNvPr id="6" name="Chart 5">
          <a:extLst>
            <a:ext uri="{FF2B5EF4-FFF2-40B4-BE49-F238E27FC236}">
              <a16:creationId xmlns:a16="http://schemas.microsoft.com/office/drawing/2014/main" id="{3D1B699E-BEC7-43D1-2C69-60C6342D8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749464</xdr:colOff>
      <xdr:row>4</xdr:row>
      <xdr:rowOff>8805</xdr:rowOff>
    </xdr:from>
    <xdr:to>
      <xdr:col>26</xdr:col>
      <xdr:colOff>749464</xdr:colOff>
      <xdr:row>103</xdr:row>
      <xdr:rowOff>0</xdr:rowOff>
    </xdr:to>
    <xdr:cxnSp macro="">
      <xdr:nvCxnSpPr>
        <xdr:cNvPr id="17" name="Straight Connector 16">
          <a:extLst>
            <a:ext uri="{FF2B5EF4-FFF2-40B4-BE49-F238E27FC236}">
              <a16:creationId xmlns:a16="http://schemas.microsoft.com/office/drawing/2014/main" id="{1084235E-2E39-5FA1-B74F-365226817C1B}"/>
            </a:ext>
          </a:extLst>
        </xdr:cNvPr>
        <xdr:cNvCxnSpPr/>
      </xdr:nvCxnSpPr>
      <xdr:spPr>
        <a:xfrm>
          <a:off x="11902373" y="655350"/>
          <a:ext cx="0" cy="15196559"/>
        </a:xfrm>
        <a:prstGeom prst="line">
          <a:avLst/>
        </a:prstGeom>
        <a:ln>
          <a:solidFill>
            <a:sysClr val="windowText" lastClr="0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32</xdr:col>
      <xdr:colOff>63500</xdr:colOff>
      <xdr:row>43</xdr:row>
      <xdr:rowOff>73025</xdr:rowOff>
    </xdr:from>
    <xdr:to>
      <xdr:col>54</xdr:col>
      <xdr:colOff>682625</xdr:colOff>
      <xdr:row>74</xdr:row>
      <xdr:rowOff>117475</xdr:rowOff>
    </xdr:to>
    <xdr:graphicFrame macro="">
      <xdr:nvGraphicFramePr>
        <xdr:cNvPr id="2" name="Chart 1">
          <a:extLst>
            <a:ext uri="{FF2B5EF4-FFF2-40B4-BE49-F238E27FC236}">
              <a16:creationId xmlns:a16="http://schemas.microsoft.com/office/drawing/2014/main" id="{1F4E8F67-E420-5082-9279-5B5250ED5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16</xdr:col>
      <xdr:colOff>304800</xdr:colOff>
      <xdr:row>40</xdr:row>
      <xdr:rowOff>38100</xdr:rowOff>
    </xdr:from>
    <xdr:ext cx="333375" cy="371475"/>
    <xdr:pic>
      <xdr:nvPicPr>
        <xdr:cNvPr id="7" name="Bottom Right Arrow">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a:stretch>
          <a:fillRect/>
        </a:stretch>
      </xdr:blipFill>
      <xdr:spPr>
        <a:xfrm>
          <a:off x="13839825" y="8382000"/>
          <a:ext cx="333375" cy="371475"/>
        </a:xfrm>
        <a:prstGeom prst="rect">
          <a:avLst/>
        </a:prstGeom>
      </xdr:spPr>
    </xdr:pic>
    <xdr:clientData/>
  </xdr:oneCellAnchor>
  <xdr:twoCellAnchor editAs="oneCell">
    <xdr:from>
      <xdr:col>1</xdr:col>
      <xdr:colOff>0</xdr:colOff>
      <xdr:row>1</xdr:row>
      <xdr:rowOff>0</xdr:rowOff>
    </xdr:from>
    <xdr:to>
      <xdr:col>5</xdr:col>
      <xdr:colOff>66675</xdr:colOff>
      <xdr:row>7</xdr:row>
      <xdr:rowOff>200025</xdr:rowOff>
    </xdr:to>
    <xdr:pic>
      <xdr:nvPicPr>
        <xdr:cNvPr id="8" name="Canalyst by Tegus Logo">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stretch>
          <a:fillRect/>
        </a:stretch>
      </xdr:blipFill>
      <xdr:spPr>
        <a:xfrm>
          <a:off x="381000" y="180975"/>
          <a:ext cx="2552700" cy="13811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6</xdr:row>
      <xdr:rowOff>114300</xdr:rowOff>
    </xdr:from>
    <xdr:to>
      <xdr:col>4</xdr:col>
      <xdr:colOff>0</xdr:colOff>
      <xdr:row>135</xdr:row>
      <xdr:rowOff>100853</xdr:rowOff>
    </xdr:to>
    <xdr:cxnSp macro="">
      <xdr:nvCxnSpPr>
        <xdr:cNvPr id="2" name="Straight Connector 1">
          <a:extLst>
            <a:ext uri="{FF2B5EF4-FFF2-40B4-BE49-F238E27FC236}">
              <a16:creationId xmlns:a16="http://schemas.microsoft.com/office/drawing/2014/main" id="{ADD2F237-5520-48E4-BBB9-30F750FB4E09}"/>
            </a:ext>
          </a:extLst>
        </xdr:cNvPr>
        <xdr:cNvCxnSpPr/>
      </xdr:nvCxnSpPr>
      <xdr:spPr>
        <a:xfrm>
          <a:off x="2711824" y="1055594"/>
          <a:ext cx="0" cy="1824093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6</xdr:row>
      <xdr:rowOff>114300</xdr:rowOff>
    </xdr:from>
    <xdr:to>
      <xdr:col>14</xdr:col>
      <xdr:colOff>0</xdr:colOff>
      <xdr:row>135</xdr:row>
      <xdr:rowOff>44824</xdr:rowOff>
    </xdr:to>
    <xdr:cxnSp macro="">
      <xdr:nvCxnSpPr>
        <xdr:cNvPr id="4" name="Straight Connector 3">
          <a:extLst>
            <a:ext uri="{FF2B5EF4-FFF2-40B4-BE49-F238E27FC236}">
              <a16:creationId xmlns:a16="http://schemas.microsoft.com/office/drawing/2014/main" id="{3C1E3342-9B2B-4FFE-9D84-1E052261BB4C}"/>
            </a:ext>
          </a:extLst>
        </xdr:cNvPr>
        <xdr:cNvCxnSpPr/>
      </xdr:nvCxnSpPr>
      <xdr:spPr>
        <a:xfrm>
          <a:off x="8090647" y="1055594"/>
          <a:ext cx="0" cy="18184906"/>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0</xdr:row>
      <xdr:rowOff>66675</xdr:rowOff>
    </xdr:from>
    <xdr:to>
      <xdr:col>12</xdr:col>
      <xdr:colOff>180974</xdr:colOff>
      <xdr:row>40</xdr:row>
      <xdr:rowOff>47625</xdr:rowOff>
    </xdr:to>
    <xdr:grpSp>
      <xdr:nvGrpSpPr>
        <xdr:cNvPr id="102" name="Group 101">
          <a:extLst>
            <a:ext uri="{FF2B5EF4-FFF2-40B4-BE49-F238E27FC236}">
              <a16:creationId xmlns:a16="http://schemas.microsoft.com/office/drawing/2014/main" id="{D25CCA72-6D0E-C4EE-F618-D84E41F1C056}"/>
            </a:ext>
          </a:extLst>
        </xdr:cNvPr>
        <xdr:cNvGrpSpPr/>
      </xdr:nvGrpSpPr>
      <xdr:grpSpPr>
        <a:xfrm>
          <a:off x="85725" y="66675"/>
          <a:ext cx="11131549" cy="6330950"/>
          <a:chOff x="190500" y="561975"/>
          <a:chExt cx="10601324" cy="4762500"/>
        </a:xfrm>
      </xdr:grpSpPr>
      <xdr:graphicFrame macro="">
        <xdr:nvGraphicFramePr>
          <xdr:cNvPr id="3" name="Chart 2">
            <a:extLst>
              <a:ext uri="{FF2B5EF4-FFF2-40B4-BE49-F238E27FC236}">
                <a16:creationId xmlns:a16="http://schemas.microsoft.com/office/drawing/2014/main" id="{C8A3E1BF-0536-4F86-8BB1-C462DB5543C2}"/>
              </a:ext>
            </a:extLst>
          </xdr:cNvPr>
          <xdr:cNvGraphicFramePr>
            <a:graphicFrameLocks/>
          </xdr:cNvGraphicFramePr>
        </xdr:nvGraphicFramePr>
        <xdr:xfrm>
          <a:off x="190500" y="561975"/>
          <a:ext cx="10477500" cy="47625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TextBox 1">
            <a:extLst>
              <a:ext uri="{FF2B5EF4-FFF2-40B4-BE49-F238E27FC236}">
                <a16:creationId xmlns:a16="http://schemas.microsoft.com/office/drawing/2014/main" id="{FA549045-EA29-B441-E19A-40C088957497}"/>
              </a:ext>
            </a:extLst>
          </xdr:cNvPr>
          <xdr:cNvSpPr txBox="1"/>
        </xdr:nvSpPr>
        <xdr:spPr>
          <a:xfrm>
            <a:off x="9020175" y="609600"/>
            <a:ext cx="1719833" cy="309627"/>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r>
              <a:rPr lang="en-US" sz="700" b="0" i="1" u="sng">
                <a:solidFill>
                  <a:sysClr val="windowText" lastClr="000000"/>
                </a:solidFill>
                <a:latin typeface="Arial" panose="020B0604020202020204" pitchFamily="34" charset="0"/>
                <a:cs typeface="Arial" panose="020B0604020202020204" pitchFamily="34" charset="0"/>
              </a:rPr>
              <a:t>Legend</a:t>
            </a:r>
          </a:p>
          <a:p>
            <a:pPr algn="l"/>
            <a:r>
              <a:rPr lang="en-US" sz="700" b="1" i="1">
                <a:solidFill>
                  <a:srgbClr val="FF0000"/>
                </a:solidFill>
                <a:latin typeface="Arial" panose="020B0604020202020204" pitchFamily="34" charset="0"/>
                <a:cs typeface="Arial" panose="020B0604020202020204" pitchFamily="34" charset="0"/>
              </a:rPr>
              <a:t>Negative</a:t>
            </a:r>
            <a:r>
              <a:rPr lang="en-US" sz="700" b="1" i="1" baseline="0">
                <a:solidFill>
                  <a:srgbClr val="FF0000"/>
                </a:solidFill>
                <a:latin typeface="Arial" panose="020B0604020202020204" pitchFamily="34" charset="0"/>
                <a:cs typeface="Arial" panose="020B0604020202020204" pitchFamily="34" charset="0"/>
              </a:rPr>
              <a:t> development / sentiment</a:t>
            </a:r>
          </a:p>
          <a:p>
            <a:pPr algn="l"/>
            <a:r>
              <a:rPr lang="en-US" sz="700" b="1" i="1" baseline="0">
                <a:solidFill>
                  <a:srgbClr val="00B050"/>
                </a:solidFill>
                <a:latin typeface="Arial" panose="020B0604020202020204" pitchFamily="34" charset="0"/>
                <a:cs typeface="Arial" panose="020B0604020202020204" pitchFamily="34" charset="0"/>
              </a:rPr>
              <a:t>Positive development / sentiment</a:t>
            </a:r>
            <a:endParaRPr lang="en-US" sz="700" b="1" i="1">
              <a:solidFill>
                <a:srgbClr val="00B050"/>
              </a:solidFill>
              <a:latin typeface="Arial" panose="020B0604020202020204" pitchFamily="34" charset="0"/>
              <a:cs typeface="Arial" panose="020B0604020202020204" pitchFamily="34" charset="0"/>
            </a:endParaRPr>
          </a:p>
        </xdr:txBody>
      </xdr:sp>
      <xdr:sp macro="" textlink="">
        <xdr:nvSpPr>
          <xdr:cNvPr id="5" name="TextBox 1">
            <a:extLst>
              <a:ext uri="{FF2B5EF4-FFF2-40B4-BE49-F238E27FC236}">
                <a16:creationId xmlns:a16="http://schemas.microsoft.com/office/drawing/2014/main" id="{6A94304B-6EC8-A1BD-0E3D-150F91D9C65F}"/>
              </a:ext>
            </a:extLst>
          </xdr:cNvPr>
          <xdr:cNvSpPr txBox="1"/>
        </xdr:nvSpPr>
        <xdr:spPr>
          <a:xfrm>
            <a:off x="6915150" y="885825"/>
            <a:ext cx="1162050"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Citron publishes first report on APOL</a:t>
            </a:r>
          </a:p>
        </xdr:txBody>
      </xdr:sp>
      <xdr:grpSp>
        <xdr:nvGrpSpPr>
          <xdr:cNvPr id="11" name="Group 10">
            <a:extLst>
              <a:ext uri="{FF2B5EF4-FFF2-40B4-BE49-F238E27FC236}">
                <a16:creationId xmlns:a16="http://schemas.microsoft.com/office/drawing/2014/main" id="{515802B6-880C-0F3F-DA67-260A2A57EC2F}"/>
              </a:ext>
            </a:extLst>
          </xdr:cNvPr>
          <xdr:cNvGrpSpPr/>
        </xdr:nvGrpSpPr>
        <xdr:grpSpPr>
          <a:xfrm>
            <a:off x="6956477" y="958510"/>
            <a:ext cx="47146" cy="649202"/>
            <a:chOff x="5823002" y="1472860"/>
            <a:chExt cx="47146" cy="649202"/>
          </a:xfrm>
        </xdr:grpSpPr>
        <xdr:cxnSp macro="">
          <xdr:nvCxnSpPr>
            <xdr:cNvPr id="6" name="Straight Connector 5">
              <a:extLst>
                <a:ext uri="{FF2B5EF4-FFF2-40B4-BE49-F238E27FC236}">
                  <a16:creationId xmlns:a16="http://schemas.microsoft.com/office/drawing/2014/main" id="{0119662B-EA18-5493-18C9-3DF4B4D10D07}"/>
                </a:ext>
              </a:extLst>
            </xdr:cNvPr>
            <xdr:cNvCxnSpPr/>
          </xdr:nvCxnSpPr>
          <xdr:spPr>
            <a:xfrm>
              <a:off x="5838628" y="1472860"/>
              <a:ext cx="0" cy="594383"/>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0" name="Rectangle 9">
              <a:extLst>
                <a:ext uri="{FF2B5EF4-FFF2-40B4-BE49-F238E27FC236}">
                  <a16:creationId xmlns:a16="http://schemas.microsoft.com/office/drawing/2014/main" id="{6D5F4D35-44FB-F5A6-15A0-F0AC0D85D381}"/>
                </a:ext>
              </a:extLst>
            </xdr:cNvPr>
            <xdr:cNvSpPr/>
          </xdr:nvSpPr>
          <xdr:spPr>
            <a:xfrm rot="2700000" flipH="1">
              <a:off x="5823002" y="207491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2" name="TextBox 1">
            <a:extLst>
              <a:ext uri="{FF2B5EF4-FFF2-40B4-BE49-F238E27FC236}">
                <a16:creationId xmlns:a16="http://schemas.microsoft.com/office/drawing/2014/main" id="{984B7AB3-7026-1DAA-C2DF-FBE44A31F7E1}"/>
              </a:ext>
            </a:extLst>
          </xdr:cNvPr>
          <xdr:cNvSpPr txBox="1"/>
        </xdr:nvSpPr>
        <xdr:spPr>
          <a:xfrm>
            <a:off x="5819775" y="923925"/>
            <a:ext cx="1162050"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APOL subpoenaed on historical stock option grands; hires independent firm to review 2000-2004 options backdating</a:t>
            </a:r>
            <a:r>
              <a:rPr lang="en-US" sz="700" i="1" baseline="0">
                <a:solidFill>
                  <a:srgbClr val="FF0000"/>
                </a:solidFill>
                <a:latin typeface="Arial" panose="020B0604020202020204" pitchFamily="34" charset="0"/>
                <a:cs typeface="Arial" panose="020B0604020202020204" pitchFamily="34" charset="0"/>
              </a:rPr>
              <a:t> issue</a:t>
            </a:r>
            <a:endParaRPr lang="en-US" sz="700" i="1">
              <a:solidFill>
                <a:srgbClr val="FF0000"/>
              </a:solidFill>
              <a:latin typeface="Arial" panose="020B0604020202020204" pitchFamily="34" charset="0"/>
              <a:cs typeface="Arial" panose="020B0604020202020204" pitchFamily="34" charset="0"/>
            </a:endParaRPr>
          </a:p>
        </xdr:txBody>
      </xdr:sp>
      <xdr:cxnSp macro="">
        <xdr:nvCxnSpPr>
          <xdr:cNvPr id="17" name="Straight Connector 16">
            <a:extLst>
              <a:ext uri="{FF2B5EF4-FFF2-40B4-BE49-F238E27FC236}">
                <a16:creationId xmlns:a16="http://schemas.microsoft.com/office/drawing/2014/main" id="{ACB63986-744D-5DC2-0DE9-F5F19466C23C}"/>
              </a:ext>
            </a:extLst>
          </xdr:cNvPr>
          <xdr:cNvCxnSpPr/>
        </xdr:nvCxnSpPr>
        <xdr:spPr>
          <a:xfrm>
            <a:off x="5867203" y="981075"/>
            <a:ext cx="0" cy="1571943"/>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 name="Rectangle 17">
            <a:extLst>
              <a:ext uri="{FF2B5EF4-FFF2-40B4-BE49-F238E27FC236}">
                <a16:creationId xmlns:a16="http://schemas.microsoft.com/office/drawing/2014/main" id="{0A79E50C-2A0E-08C8-FD8D-C4ED8E739FCA}"/>
              </a:ext>
            </a:extLst>
          </xdr:cNvPr>
          <xdr:cNvSpPr/>
        </xdr:nvSpPr>
        <xdr:spPr>
          <a:xfrm rot="2700000" flipH="1">
            <a:off x="5851577" y="2560691"/>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1" name="Straight Connector 20">
            <a:extLst>
              <a:ext uri="{FF2B5EF4-FFF2-40B4-BE49-F238E27FC236}">
                <a16:creationId xmlns:a16="http://schemas.microsoft.com/office/drawing/2014/main" id="{64DC1D3A-C025-DCF2-0BA7-220D83E73422}"/>
              </a:ext>
            </a:extLst>
          </xdr:cNvPr>
          <xdr:cNvCxnSpPr/>
        </xdr:nvCxnSpPr>
        <xdr:spPr>
          <a:xfrm>
            <a:off x="5991028" y="2838450"/>
            <a:ext cx="0" cy="164782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2" name="Rectangle 21">
            <a:extLst>
              <a:ext uri="{FF2B5EF4-FFF2-40B4-BE49-F238E27FC236}">
                <a16:creationId xmlns:a16="http://schemas.microsoft.com/office/drawing/2014/main" id="{C40D3866-6484-A6A3-AF43-25CDEAB98963}"/>
              </a:ext>
            </a:extLst>
          </xdr:cNvPr>
          <xdr:cNvSpPr/>
        </xdr:nvSpPr>
        <xdr:spPr>
          <a:xfrm rot="2700000" flipH="1">
            <a:off x="5994452" y="277976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1">
            <a:extLst>
              <a:ext uri="{FF2B5EF4-FFF2-40B4-BE49-F238E27FC236}">
                <a16:creationId xmlns:a16="http://schemas.microsoft.com/office/drawing/2014/main" id="{B0679C1B-B8D0-66EE-54C8-5BA0B169C407}"/>
              </a:ext>
            </a:extLst>
          </xdr:cNvPr>
          <xdr:cNvSpPr txBox="1"/>
        </xdr:nvSpPr>
        <xdr:spPr>
          <a:xfrm>
            <a:off x="5953125" y="4038600"/>
            <a:ext cx="1543050"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APOL announces</a:t>
            </a:r>
            <a:r>
              <a:rPr lang="en-US" sz="700" i="1" baseline="0">
                <a:solidFill>
                  <a:srgbClr val="FF0000"/>
                </a:solidFill>
                <a:latin typeface="Arial" panose="020B0604020202020204" pitchFamily="34" charset="0"/>
                <a:cs typeface="Arial" panose="020B0604020202020204" pitchFamily="34" charset="0"/>
              </a:rPr>
              <a:t> need to restate historical financials; CFO resigns;</a:t>
            </a:r>
          </a:p>
          <a:p>
            <a:r>
              <a:rPr lang="en-US" sz="700" i="1" baseline="0">
                <a:solidFill>
                  <a:srgbClr val="FF0000"/>
                </a:solidFill>
                <a:latin typeface="Arial" panose="020B0604020202020204" pitchFamily="34" charset="0"/>
                <a:cs typeface="Arial" panose="020B0604020202020204" pitchFamily="34" charset="0"/>
              </a:rPr>
              <a:t>DOE requests more information on aid funding methodology</a:t>
            </a:r>
            <a:endParaRPr lang="en-US" sz="700" i="1">
              <a:solidFill>
                <a:srgbClr val="FF0000"/>
              </a:solidFill>
              <a:latin typeface="Arial" panose="020B0604020202020204" pitchFamily="34" charset="0"/>
              <a:cs typeface="Arial" panose="020B0604020202020204" pitchFamily="34" charset="0"/>
            </a:endParaRPr>
          </a:p>
        </xdr:txBody>
      </xdr:sp>
      <xdr:cxnSp macro="">
        <xdr:nvCxnSpPr>
          <xdr:cNvPr id="26" name="Straight Connector 25">
            <a:extLst>
              <a:ext uri="{FF2B5EF4-FFF2-40B4-BE49-F238E27FC236}">
                <a16:creationId xmlns:a16="http://schemas.microsoft.com/office/drawing/2014/main" id="{9C802A85-A16A-A669-499F-7B97DB993938}"/>
              </a:ext>
            </a:extLst>
          </xdr:cNvPr>
          <xdr:cNvCxnSpPr/>
        </xdr:nvCxnSpPr>
        <xdr:spPr>
          <a:xfrm>
            <a:off x="6305353" y="2409825"/>
            <a:ext cx="0" cy="1485900"/>
          </a:xfrm>
          <a:prstGeom prst="line">
            <a:avLst/>
          </a:prstGeom>
          <a:ln>
            <a:solidFill>
              <a:srgbClr val="00B05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7" name="Rectangle 26">
            <a:extLst>
              <a:ext uri="{FF2B5EF4-FFF2-40B4-BE49-F238E27FC236}">
                <a16:creationId xmlns:a16="http://schemas.microsoft.com/office/drawing/2014/main" id="{29CB5F81-CB6D-4DA2-ADF9-0D44973C7196}"/>
              </a:ext>
            </a:extLst>
          </xdr:cNvPr>
          <xdr:cNvSpPr/>
        </xdr:nvSpPr>
        <xdr:spPr>
          <a:xfrm rot="2700000" flipH="1">
            <a:off x="6289727" y="2341616"/>
            <a:ext cx="47146" cy="47146"/>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B050"/>
              </a:solidFill>
            </a:endParaRPr>
          </a:p>
        </xdr:txBody>
      </xdr:sp>
      <xdr:sp macro="" textlink="">
        <xdr:nvSpPr>
          <xdr:cNvPr id="29" name="TextBox 1">
            <a:extLst>
              <a:ext uri="{FF2B5EF4-FFF2-40B4-BE49-F238E27FC236}">
                <a16:creationId xmlns:a16="http://schemas.microsoft.com/office/drawing/2014/main" id="{F8752A96-1C9D-89E2-4D9D-8DBF06EFC4F8}"/>
              </a:ext>
            </a:extLst>
          </xdr:cNvPr>
          <xdr:cNvSpPr txBox="1"/>
        </xdr:nvSpPr>
        <xdr:spPr>
          <a:xfrm>
            <a:off x="6283415" y="3603154"/>
            <a:ext cx="1466851"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800">
                <a:solidFill>
                  <a:srgbClr val="00B050"/>
                </a:solidFill>
              </a:rPr>
              <a:t>SEC completes</a:t>
            </a:r>
            <a:r>
              <a:rPr lang="en-US" sz="800" baseline="0">
                <a:solidFill>
                  <a:srgbClr val="00B050"/>
                </a:solidFill>
              </a:rPr>
              <a:t> options </a:t>
            </a:r>
            <a:r>
              <a:rPr lang="en-US" sz="800">
                <a:solidFill>
                  <a:srgbClr val="00B050"/>
                </a:solidFill>
              </a:rPr>
              <a:t>investigation and does not recommend any enforcement </a:t>
            </a:r>
            <a:endParaRPr lang="en-US" sz="700" i="1">
              <a:solidFill>
                <a:srgbClr val="00B050"/>
              </a:solidFill>
              <a:latin typeface="Arial" panose="020B0604020202020204" pitchFamily="34" charset="0"/>
              <a:cs typeface="Arial" panose="020B0604020202020204" pitchFamily="34" charset="0"/>
            </a:endParaRPr>
          </a:p>
        </xdr:txBody>
      </xdr:sp>
      <xdr:cxnSp macro="">
        <xdr:nvCxnSpPr>
          <xdr:cNvPr id="30" name="Straight Connector 29">
            <a:extLst>
              <a:ext uri="{FF2B5EF4-FFF2-40B4-BE49-F238E27FC236}">
                <a16:creationId xmlns:a16="http://schemas.microsoft.com/office/drawing/2014/main" id="{8A4CD7A6-EE39-AD7F-4457-73FAAC0AF74F}"/>
              </a:ext>
            </a:extLst>
          </xdr:cNvPr>
          <xdr:cNvCxnSpPr/>
        </xdr:nvCxnSpPr>
        <xdr:spPr>
          <a:xfrm>
            <a:off x="5657653" y="2600325"/>
            <a:ext cx="0" cy="174307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9F3862A6-34F1-DDCC-3FE8-5AF1EB6C66BE}"/>
              </a:ext>
            </a:extLst>
          </xdr:cNvPr>
          <xdr:cNvSpPr/>
        </xdr:nvSpPr>
        <xdr:spPr>
          <a:xfrm rot="2700000" flipH="1">
            <a:off x="5642027" y="253211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1">
            <a:extLst>
              <a:ext uri="{FF2B5EF4-FFF2-40B4-BE49-F238E27FC236}">
                <a16:creationId xmlns:a16="http://schemas.microsoft.com/office/drawing/2014/main" id="{04685B58-B2CB-66FC-4C1F-08AFA376A2E2}"/>
              </a:ext>
            </a:extLst>
          </xdr:cNvPr>
          <xdr:cNvSpPr txBox="1"/>
        </xdr:nvSpPr>
        <xdr:spPr>
          <a:xfrm>
            <a:off x="4933950" y="4086225"/>
            <a:ext cx="819150"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Chairman and CEO</a:t>
            </a:r>
            <a:r>
              <a:rPr lang="en-US" sz="700" i="1" baseline="0">
                <a:solidFill>
                  <a:srgbClr val="FF0000"/>
                </a:solidFill>
                <a:latin typeface="Arial" panose="020B0604020202020204" pitchFamily="34" charset="0"/>
                <a:cs typeface="Arial" panose="020B0604020202020204" pitchFamily="34" charset="0"/>
              </a:rPr>
              <a:t> resigns</a:t>
            </a:r>
            <a:endParaRPr lang="en-US" sz="700" i="1">
              <a:solidFill>
                <a:srgbClr val="FF0000"/>
              </a:solidFill>
              <a:latin typeface="Arial" panose="020B0604020202020204" pitchFamily="34" charset="0"/>
              <a:cs typeface="Arial" panose="020B0604020202020204" pitchFamily="34" charset="0"/>
            </a:endParaRPr>
          </a:p>
        </xdr:txBody>
      </xdr:sp>
      <xdr:cxnSp macro="">
        <xdr:nvCxnSpPr>
          <xdr:cNvPr id="33" name="Straight Connector 32">
            <a:extLst>
              <a:ext uri="{FF2B5EF4-FFF2-40B4-BE49-F238E27FC236}">
                <a16:creationId xmlns:a16="http://schemas.microsoft.com/office/drawing/2014/main" id="{4B8255C1-03F6-F975-19F8-574F0D61B59B}"/>
              </a:ext>
            </a:extLst>
          </xdr:cNvPr>
          <xdr:cNvCxnSpPr/>
        </xdr:nvCxnSpPr>
        <xdr:spPr>
          <a:xfrm>
            <a:off x="5457628" y="2028824"/>
            <a:ext cx="0" cy="1800226"/>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34" name="Rectangle 33">
            <a:extLst>
              <a:ext uri="{FF2B5EF4-FFF2-40B4-BE49-F238E27FC236}">
                <a16:creationId xmlns:a16="http://schemas.microsoft.com/office/drawing/2014/main" id="{A3E1DCF0-7DD8-588C-ADDD-80B8DE698613}"/>
              </a:ext>
            </a:extLst>
          </xdr:cNvPr>
          <xdr:cNvSpPr/>
        </xdr:nvSpPr>
        <xdr:spPr>
          <a:xfrm rot="2700000" flipH="1">
            <a:off x="5442002" y="1960615"/>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1">
            <a:extLst>
              <a:ext uri="{FF2B5EF4-FFF2-40B4-BE49-F238E27FC236}">
                <a16:creationId xmlns:a16="http://schemas.microsoft.com/office/drawing/2014/main" id="{08BCE3DA-9C30-4FAD-4C60-A6B0A97EE989}"/>
              </a:ext>
            </a:extLst>
          </xdr:cNvPr>
          <xdr:cNvSpPr txBox="1"/>
        </xdr:nvSpPr>
        <xdr:spPr>
          <a:xfrm>
            <a:off x="4495800" y="3609975"/>
            <a:ext cx="1038225"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DOE discloses ongoing audit of</a:t>
            </a:r>
            <a:r>
              <a:rPr lang="en-US" sz="700" i="1" baseline="0">
                <a:solidFill>
                  <a:srgbClr val="FF0000"/>
                </a:solidFill>
                <a:latin typeface="Arial" panose="020B0604020202020204" pitchFamily="34" charset="0"/>
                <a:cs typeface="Arial" panose="020B0604020202020204" pitchFamily="34" charset="0"/>
              </a:rPr>
              <a:t> aid</a:t>
            </a:r>
            <a:r>
              <a:rPr lang="en-US" sz="700" i="1">
                <a:solidFill>
                  <a:srgbClr val="FF0000"/>
                </a:solidFill>
                <a:latin typeface="Arial" panose="020B0604020202020204" pitchFamily="34" charset="0"/>
                <a:cs typeface="Arial" panose="020B0604020202020204" pitchFamily="34" charset="0"/>
              </a:rPr>
              <a:t> funding methodology </a:t>
            </a:r>
          </a:p>
        </xdr:txBody>
      </xdr:sp>
      <xdr:cxnSp macro="">
        <xdr:nvCxnSpPr>
          <xdr:cNvPr id="37" name="Straight Connector 36">
            <a:extLst>
              <a:ext uri="{FF2B5EF4-FFF2-40B4-BE49-F238E27FC236}">
                <a16:creationId xmlns:a16="http://schemas.microsoft.com/office/drawing/2014/main" id="{75DDB161-127E-A26B-E471-F18AA14B192D}"/>
              </a:ext>
            </a:extLst>
          </xdr:cNvPr>
          <xdr:cNvCxnSpPr/>
        </xdr:nvCxnSpPr>
        <xdr:spPr>
          <a:xfrm flipV="1">
            <a:off x="4600378" y="1323975"/>
            <a:ext cx="0" cy="895349"/>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38" name="Rectangle 37">
            <a:extLst>
              <a:ext uri="{FF2B5EF4-FFF2-40B4-BE49-F238E27FC236}">
                <a16:creationId xmlns:a16="http://schemas.microsoft.com/office/drawing/2014/main" id="{9B597367-21C3-2AD0-93F3-00BA6F88581B}"/>
              </a:ext>
            </a:extLst>
          </xdr:cNvPr>
          <xdr:cNvSpPr/>
        </xdr:nvSpPr>
        <xdr:spPr>
          <a:xfrm rot="2700000" flipH="1">
            <a:off x="4584752" y="2208265"/>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TextBox 1">
            <a:extLst>
              <a:ext uri="{FF2B5EF4-FFF2-40B4-BE49-F238E27FC236}">
                <a16:creationId xmlns:a16="http://schemas.microsoft.com/office/drawing/2014/main" id="{B3AC350A-B242-D16A-201F-755EAEE0EDF3}"/>
              </a:ext>
            </a:extLst>
          </xdr:cNvPr>
          <xdr:cNvSpPr txBox="1"/>
        </xdr:nvSpPr>
        <xdr:spPr>
          <a:xfrm>
            <a:off x="3200400" y="1276350"/>
            <a:ext cx="1523999"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Qui Tam (whistle blower) lawsuit filed on incentive</a:t>
            </a:r>
            <a:r>
              <a:rPr lang="en-US" sz="700" i="1" baseline="0">
                <a:solidFill>
                  <a:srgbClr val="FF0000"/>
                </a:solidFill>
                <a:latin typeface="Arial" panose="020B0604020202020204" pitchFamily="34" charset="0"/>
                <a:cs typeface="Arial" panose="020B0604020202020204" pitchFamily="34" charset="0"/>
              </a:rPr>
              <a:t> compensation provisions from enrolment counselors - relating to federal Higher Education Act and False Claims Act</a:t>
            </a:r>
            <a:endParaRPr lang="en-US" sz="700" i="1">
              <a:solidFill>
                <a:srgbClr val="FF0000"/>
              </a:solidFill>
              <a:latin typeface="Arial" panose="020B0604020202020204" pitchFamily="34" charset="0"/>
              <a:cs typeface="Arial" panose="020B0604020202020204" pitchFamily="34" charset="0"/>
            </a:endParaRPr>
          </a:p>
        </xdr:txBody>
      </xdr:sp>
      <xdr:cxnSp macro="">
        <xdr:nvCxnSpPr>
          <xdr:cNvPr id="42" name="Straight Connector 41">
            <a:extLst>
              <a:ext uri="{FF2B5EF4-FFF2-40B4-BE49-F238E27FC236}">
                <a16:creationId xmlns:a16="http://schemas.microsoft.com/office/drawing/2014/main" id="{A1181326-A007-8ED5-C504-4671B72C6057}"/>
              </a:ext>
            </a:extLst>
          </xdr:cNvPr>
          <xdr:cNvCxnSpPr/>
        </xdr:nvCxnSpPr>
        <xdr:spPr>
          <a:xfrm flipV="1">
            <a:off x="4828978" y="981075"/>
            <a:ext cx="0" cy="714374"/>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43" name="Rectangle 42">
            <a:extLst>
              <a:ext uri="{FF2B5EF4-FFF2-40B4-BE49-F238E27FC236}">
                <a16:creationId xmlns:a16="http://schemas.microsoft.com/office/drawing/2014/main" id="{E92C94ED-1117-0194-4685-FB0B6FCAB019}"/>
              </a:ext>
            </a:extLst>
          </xdr:cNvPr>
          <xdr:cNvSpPr/>
        </xdr:nvSpPr>
        <xdr:spPr>
          <a:xfrm rot="2700000" flipH="1">
            <a:off x="4813352" y="1684390"/>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1">
            <a:extLst>
              <a:ext uri="{FF2B5EF4-FFF2-40B4-BE49-F238E27FC236}">
                <a16:creationId xmlns:a16="http://schemas.microsoft.com/office/drawing/2014/main" id="{C7164302-DF48-FA3E-F339-DE91143FB758}"/>
              </a:ext>
            </a:extLst>
          </xdr:cNvPr>
          <xdr:cNvSpPr txBox="1"/>
        </xdr:nvSpPr>
        <xdr:spPr>
          <a:xfrm>
            <a:off x="4057650" y="914400"/>
            <a:ext cx="847724"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Qui Tam lawsuit dismissed</a:t>
            </a:r>
          </a:p>
        </xdr:txBody>
      </xdr:sp>
      <xdr:cxnSp macro="">
        <xdr:nvCxnSpPr>
          <xdr:cNvPr id="47" name="Straight Connector 46">
            <a:extLst>
              <a:ext uri="{FF2B5EF4-FFF2-40B4-BE49-F238E27FC236}">
                <a16:creationId xmlns:a16="http://schemas.microsoft.com/office/drawing/2014/main" id="{1E3CC5DB-7E26-D36A-4318-EA98233C2DA5}"/>
              </a:ext>
            </a:extLst>
          </xdr:cNvPr>
          <xdr:cNvCxnSpPr/>
        </xdr:nvCxnSpPr>
        <xdr:spPr>
          <a:xfrm flipV="1">
            <a:off x="5238553" y="1038225"/>
            <a:ext cx="0" cy="523874"/>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48" name="Rectangle 47">
            <a:extLst>
              <a:ext uri="{FF2B5EF4-FFF2-40B4-BE49-F238E27FC236}">
                <a16:creationId xmlns:a16="http://schemas.microsoft.com/office/drawing/2014/main" id="{6027526D-5DFB-CED6-16B9-0D4E5D39B377}"/>
              </a:ext>
            </a:extLst>
          </xdr:cNvPr>
          <xdr:cNvSpPr/>
        </xdr:nvSpPr>
        <xdr:spPr>
          <a:xfrm rot="2700000" flipH="1">
            <a:off x="5222927" y="1551040"/>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TextBox 1">
            <a:extLst>
              <a:ext uri="{FF2B5EF4-FFF2-40B4-BE49-F238E27FC236}">
                <a16:creationId xmlns:a16="http://schemas.microsoft.com/office/drawing/2014/main" id="{F0E6A41C-35F3-F778-D985-59D8B3B22F7C}"/>
              </a:ext>
            </a:extLst>
          </xdr:cNvPr>
          <xdr:cNvSpPr txBox="1"/>
        </xdr:nvSpPr>
        <xdr:spPr>
          <a:xfrm>
            <a:off x="5219700" y="1000125"/>
            <a:ext cx="723900"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DOJ</a:t>
            </a:r>
            <a:r>
              <a:rPr lang="en-US" sz="700" i="1" baseline="0">
                <a:solidFill>
                  <a:srgbClr val="FF0000"/>
                </a:solidFill>
                <a:latin typeface="Arial" panose="020B0604020202020204" pitchFamily="34" charset="0"/>
                <a:cs typeface="Arial" panose="020B0604020202020204" pitchFamily="34" charset="0"/>
              </a:rPr>
              <a:t> seeks </a:t>
            </a:r>
            <a:r>
              <a:rPr lang="en-US" sz="700" i="1">
                <a:solidFill>
                  <a:srgbClr val="FF0000"/>
                </a:solidFill>
                <a:latin typeface="Arial" panose="020B0604020202020204" pitchFamily="34" charset="0"/>
                <a:cs typeface="Arial" panose="020B0604020202020204" pitchFamily="34" charset="0"/>
              </a:rPr>
              <a:t>Qui Tam lawsuit reversal</a:t>
            </a:r>
          </a:p>
        </xdr:txBody>
      </xdr:sp>
      <xdr:cxnSp macro="">
        <xdr:nvCxnSpPr>
          <xdr:cNvPr id="51" name="Straight Connector 50">
            <a:extLst>
              <a:ext uri="{FF2B5EF4-FFF2-40B4-BE49-F238E27FC236}">
                <a16:creationId xmlns:a16="http://schemas.microsoft.com/office/drawing/2014/main" id="{84AA53CF-D732-3454-6BE7-A231D360B9A3}"/>
              </a:ext>
            </a:extLst>
          </xdr:cNvPr>
          <xdr:cNvCxnSpPr/>
        </xdr:nvCxnSpPr>
        <xdr:spPr>
          <a:xfrm>
            <a:off x="5076628" y="2066925"/>
            <a:ext cx="0" cy="1504950"/>
          </a:xfrm>
          <a:prstGeom prst="line">
            <a:avLst/>
          </a:prstGeom>
          <a:ln>
            <a:solidFill>
              <a:srgbClr val="00B05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52" name="Rectangle 51">
            <a:extLst>
              <a:ext uri="{FF2B5EF4-FFF2-40B4-BE49-F238E27FC236}">
                <a16:creationId xmlns:a16="http://schemas.microsoft.com/office/drawing/2014/main" id="{0024CE36-C55D-D218-6B57-8934E2C5A511}"/>
              </a:ext>
            </a:extLst>
          </xdr:cNvPr>
          <xdr:cNvSpPr/>
        </xdr:nvSpPr>
        <xdr:spPr>
          <a:xfrm rot="2700000" flipH="1">
            <a:off x="5061002" y="1998716"/>
            <a:ext cx="47146" cy="47146"/>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B050"/>
              </a:solidFill>
            </a:endParaRPr>
          </a:p>
        </xdr:txBody>
      </xdr:sp>
      <xdr:sp macro="" textlink="">
        <xdr:nvSpPr>
          <xdr:cNvPr id="53" name="TextBox 1">
            <a:extLst>
              <a:ext uri="{FF2B5EF4-FFF2-40B4-BE49-F238E27FC236}">
                <a16:creationId xmlns:a16="http://schemas.microsoft.com/office/drawing/2014/main" id="{3B06F19F-E58D-B3D8-AF50-5178F8967CBC}"/>
              </a:ext>
            </a:extLst>
          </xdr:cNvPr>
          <xdr:cNvSpPr txBox="1"/>
        </xdr:nvSpPr>
        <xdr:spPr>
          <a:xfrm>
            <a:off x="4403634" y="2991136"/>
            <a:ext cx="733424" cy="649505"/>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800">
                <a:solidFill>
                  <a:srgbClr val="00B050"/>
                </a:solidFill>
              </a:rPr>
              <a:t>APOL settles with DOE for $9.8M on recruiting</a:t>
            </a:r>
            <a:r>
              <a:rPr lang="en-US" sz="800" baseline="0">
                <a:solidFill>
                  <a:srgbClr val="00B050"/>
                </a:solidFill>
              </a:rPr>
              <a:t> practices</a:t>
            </a:r>
            <a:endParaRPr lang="en-US" sz="700" i="1">
              <a:solidFill>
                <a:srgbClr val="00B050"/>
              </a:solidFill>
              <a:latin typeface="Arial" panose="020B0604020202020204" pitchFamily="34" charset="0"/>
              <a:cs typeface="Arial" panose="020B0604020202020204" pitchFamily="34" charset="0"/>
            </a:endParaRPr>
          </a:p>
        </xdr:txBody>
      </xdr:sp>
      <xdr:cxnSp macro="">
        <xdr:nvCxnSpPr>
          <xdr:cNvPr id="60" name="Straight Connector 59">
            <a:extLst>
              <a:ext uri="{FF2B5EF4-FFF2-40B4-BE49-F238E27FC236}">
                <a16:creationId xmlns:a16="http://schemas.microsoft.com/office/drawing/2014/main" id="{8154F1D6-26CA-20A5-CCB4-71D3DC6719F9}"/>
              </a:ext>
            </a:extLst>
          </xdr:cNvPr>
          <xdr:cNvCxnSpPr/>
        </xdr:nvCxnSpPr>
        <xdr:spPr>
          <a:xfrm>
            <a:off x="4962328" y="1247774"/>
            <a:ext cx="0" cy="1609726"/>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61" name="Rectangle 60">
            <a:extLst>
              <a:ext uri="{FF2B5EF4-FFF2-40B4-BE49-F238E27FC236}">
                <a16:creationId xmlns:a16="http://schemas.microsoft.com/office/drawing/2014/main" id="{382A0E8F-2773-BC72-0629-2BB359D6E764}"/>
              </a:ext>
            </a:extLst>
          </xdr:cNvPr>
          <xdr:cNvSpPr/>
        </xdr:nvSpPr>
        <xdr:spPr>
          <a:xfrm rot="2700000" flipH="1">
            <a:off x="4946702" y="1236715"/>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TextBox 1">
            <a:extLst>
              <a:ext uri="{FF2B5EF4-FFF2-40B4-BE49-F238E27FC236}">
                <a16:creationId xmlns:a16="http://schemas.microsoft.com/office/drawing/2014/main" id="{36CE1CA7-1C78-4A7E-1319-20FAEE8007A3}"/>
              </a:ext>
            </a:extLst>
          </xdr:cNvPr>
          <xdr:cNvSpPr txBox="1"/>
        </xdr:nvSpPr>
        <xdr:spPr>
          <a:xfrm>
            <a:off x="4495800" y="2352675"/>
            <a:ext cx="581025"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APOL settles</a:t>
            </a:r>
            <a:r>
              <a:rPr lang="en-US" sz="700" i="1" baseline="0">
                <a:solidFill>
                  <a:srgbClr val="FF0000"/>
                </a:solidFill>
                <a:latin typeface="Arial" panose="020B0604020202020204" pitchFamily="34" charset="0"/>
                <a:cs typeface="Arial" panose="020B0604020202020204" pitchFamily="34" charset="0"/>
              </a:rPr>
              <a:t> $3M DOL overtime case</a:t>
            </a:r>
            <a:endParaRPr lang="en-US" sz="700" i="1">
              <a:solidFill>
                <a:srgbClr val="FF0000"/>
              </a:solidFill>
              <a:latin typeface="Arial" panose="020B0604020202020204" pitchFamily="34" charset="0"/>
              <a:cs typeface="Arial" panose="020B0604020202020204" pitchFamily="34" charset="0"/>
            </a:endParaRPr>
          </a:p>
        </xdr:txBody>
      </xdr:sp>
      <xdr:sp macro="" textlink="">
        <xdr:nvSpPr>
          <xdr:cNvPr id="66" name="TextBox 1">
            <a:extLst>
              <a:ext uri="{FF2B5EF4-FFF2-40B4-BE49-F238E27FC236}">
                <a16:creationId xmlns:a16="http://schemas.microsoft.com/office/drawing/2014/main" id="{3C8786EF-9030-682F-6016-2B13A042CD47}"/>
              </a:ext>
            </a:extLst>
          </xdr:cNvPr>
          <xdr:cNvSpPr txBox="1"/>
        </xdr:nvSpPr>
        <xdr:spPr>
          <a:xfrm>
            <a:off x="7677149" y="1428750"/>
            <a:ext cx="3114675" cy="647700"/>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DOE issues new Program</a:t>
            </a:r>
            <a:r>
              <a:rPr lang="en-US" sz="700" i="1" baseline="0">
                <a:solidFill>
                  <a:srgbClr val="FF0000"/>
                </a:solidFill>
                <a:latin typeface="Arial" panose="020B0604020202020204" pitchFamily="34" charset="0"/>
                <a:cs typeface="Arial" panose="020B0604020202020204" pitchFamily="34" charset="0"/>
              </a:rPr>
              <a:t> Integrity Rules focused on sales incentives, marketing misrepresentation, and gainful employment preparation (into effect July 2011)</a:t>
            </a:r>
            <a:endParaRPr lang="en-US" sz="700" i="1">
              <a:solidFill>
                <a:srgbClr val="FF0000"/>
              </a:solidFill>
              <a:latin typeface="Arial" panose="020B0604020202020204" pitchFamily="34" charset="0"/>
              <a:cs typeface="Arial" panose="020B0604020202020204" pitchFamily="34" charset="0"/>
            </a:endParaRPr>
          </a:p>
          <a:p>
            <a:endParaRPr lang="en-US" sz="700" i="1">
              <a:solidFill>
                <a:srgbClr val="FF0000"/>
              </a:solidFill>
              <a:latin typeface="Arial" panose="020B0604020202020204" pitchFamily="34" charset="0"/>
              <a:cs typeface="Arial" panose="020B0604020202020204" pitchFamily="34" charset="0"/>
            </a:endParaRPr>
          </a:p>
          <a:p>
            <a:r>
              <a:rPr lang="en-US" sz="700" i="1">
                <a:solidFill>
                  <a:srgbClr val="FF0000"/>
                </a:solidFill>
                <a:latin typeface="Arial" panose="020B0604020202020204" pitchFamily="34" charset="0"/>
                <a:cs typeface="Arial" panose="020B0604020202020204" pitchFamily="34" charset="0"/>
              </a:rPr>
              <a:t>APOL issues FY11 outlook implying &gt;40% decline in enrolments due to:</a:t>
            </a:r>
          </a:p>
          <a:p>
            <a:pPr lvl="0"/>
            <a:r>
              <a:rPr lang="en-US" sz="700" i="1">
                <a:solidFill>
                  <a:srgbClr val="FF0000"/>
                </a:solidFill>
                <a:latin typeface="Arial" panose="020B0604020202020204" pitchFamily="34" charset="0"/>
                <a:cs typeface="Arial" panose="020B0604020202020204" pitchFamily="34" charset="0"/>
              </a:rPr>
              <a:t>(1)</a:t>
            </a:r>
            <a:r>
              <a:rPr lang="en-US" sz="700" i="1" baseline="0">
                <a:solidFill>
                  <a:srgbClr val="FF0000"/>
                </a:solidFill>
                <a:latin typeface="Arial" panose="020B0604020202020204" pitchFamily="34" charset="0"/>
                <a:cs typeface="Arial" panose="020B0604020202020204" pitchFamily="34" charset="0"/>
              </a:rPr>
              <a:t> no recruitment incentives</a:t>
            </a:r>
          </a:p>
          <a:p>
            <a:pPr lvl="0"/>
            <a:r>
              <a:rPr lang="en-US" sz="700" i="1" baseline="0">
                <a:solidFill>
                  <a:srgbClr val="FF0000"/>
                </a:solidFill>
                <a:latin typeface="Arial" panose="020B0604020202020204" pitchFamily="34" charset="0"/>
                <a:cs typeface="Arial" panose="020B0604020202020204" pitchFamily="34" charset="0"/>
              </a:rPr>
              <a:t>(2) mandatory orientation program</a:t>
            </a:r>
          </a:p>
          <a:p>
            <a:pPr lvl="0"/>
            <a:r>
              <a:rPr lang="en-US" sz="700" i="1" baseline="0">
                <a:solidFill>
                  <a:srgbClr val="FF0000"/>
                </a:solidFill>
                <a:latin typeface="Arial" panose="020B0604020202020204" pitchFamily="34" charset="0"/>
                <a:cs typeface="Arial" panose="020B0604020202020204" pitchFamily="34" charset="0"/>
              </a:rPr>
              <a:t>(3) negative publicity</a:t>
            </a:r>
          </a:p>
          <a:p>
            <a:pPr lvl="0"/>
            <a:r>
              <a:rPr lang="en-US" sz="700" i="1" baseline="0">
                <a:solidFill>
                  <a:srgbClr val="FF0000"/>
                </a:solidFill>
                <a:latin typeface="Arial" panose="020B0604020202020204" pitchFamily="34" charset="0"/>
                <a:cs typeface="Arial" panose="020B0604020202020204" pitchFamily="34" charset="0"/>
              </a:rPr>
              <a:t>(4) reduction in third-party lead generation</a:t>
            </a:r>
            <a:endParaRPr lang="en-US" sz="700" i="1">
              <a:solidFill>
                <a:srgbClr val="FF0000"/>
              </a:solidFill>
              <a:latin typeface="Arial" panose="020B0604020202020204" pitchFamily="34" charset="0"/>
              <a:cs typeface="Arial" panose="020B0604020202020204" pitchFamily="34" charset="0"/>
            </a:endParaRPr>
          </a:p>
        </xdr:txBody>
      </xdr:sp>
      <xdr:grpSp>
        <xdr:nvGrpSpPr>
          <xdr:cNvPr id="67" name="Group 66">
            <a:extLst>
              <a:ext uri="{FF2B5EF4-FFF2-40B4-BE49-F238E27FC236}">
                <a16:creationId xmlns:a16="http://schemas.microsoft.com/office/drawing/2014/main" id="{B80E8C7B-559A-0904-CD90-6713BCB82443}"/>
              </a:ext>
            </a:extLst>
          </xdr:cNvPr>
          <xdr:cNvGrpSpPr/>
        </xdr:nvGrpSpPr>
        <xdr:grpSpPr>
          <a:xfrm>
            <a:off x="7718477" y="1533525"/>
            <a:ext cx="47146" cy="1207662"/>
            <a:chOff x="5823002" y="914400"/>
            <a:chExt cx="47146" cy="1207662"/>
          </a:xfrm>
        </xdr:grpSpPr>
        <xdr:cxnSp macro="">
          <xdr:nvCxnSpPr>
            <xdr:cNvPr id="68" name="Straight Connector 67">
              <a:extLst>
                <a:ext uri="{FF2B5EF4-FFF2-40B4-BE49-F238E27FC236}">
                  <a16:creationId xmlns:a16="http://schemas.microsoft.com/office/drawing/2014/main" id="{FE55074C-81DD-9C47-6219-BE9C42FBB45E}"/>
                </a:ext>
              </a:extLst>
            </xdr:cNvPr>
            <xdr:cNvCxnSpPr/>
          </xdr:nvCxnSpPr>
          <xdr:spPr>
            <a:xfrm>
              <a:off x="5838628" y="914400"/>
              <a:ext cx="0" cy="1152843"/>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69" name="Rectangle 68">
              <a:extLst>
                <a:ext uri="{FF2B5EF4-FFF2-40B4-BE49-F238E27FC236}">
                  <a16:creationId xmlns:a16="http://schemas.microsoft.com/office/drawing/2014/main" id="{B11422C2-F9E2-D50E-0335-2E7A14971472}"/>
                </a:ext>
              </a:extLst>
            </xdr:cNvPr>
            <xdr:cNvSpPr/>
          </xdr:nvSpPr>
          <xdr:spPr>
            <a:xfrm rot="2700000" flipH="1">
              <a:off x="5823002" y="207491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71" name="TextBox 1">
            <a:extLst>
              <a:ext uri="{FF2B5EF4-FFF2-40B4-BE49-F238E27FC236}">
                <a16:creationId xmlns:a16="http://schemas.microsoft.com/office/drawing/2014/main" id="{55376A8A-36F1-975F-731A-0CF6C0654201}"/>
              </a:ext>
            </a:extLst>
          </xdr:cNvPr>
          <xdr:cNvSpPr txBox="1"/>
        </xdr:nvSpPr>
        <xdr:spPr>
          <a:xfrm>
            <a:off x="7658099" y="4295775"/>
            <a:ext cx="1447801" cy="419100"/>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GAO publishes critical</a:t>
            </a:r>
            <a:r>
              <a:rPr lang="en-US" sz="700" i="1" baseline="0">
                <a:solidFill>
                  <a:srgbClr val="FF0000"/>
                </a:solidFill>
                <a:latin typeface="Arial" panose="020B0604020202020204" pitchFamily="34" charset="0"/>
                <a:cs typeface="Arial" panose="020B0604020202020204" pitchFamily="34" charset="0"/>
              </a:rPr>
              <a:t> report on for-profit college practices</a:t>
            </a:r>
            <a:endParaRPr lang="en-US" sz="700" i="1">
              <a:solidFill>
                <a:srgbClr val="FF0000"/>
              </a:solidFill>
              <a:latin typeface="Arial" panose="020B0604020202020204" pitchFamily="34" charset="0"/>
              <a:cs typeface="Arial" panose="020B0604020202020204" pitchFamily="34" charset="0"/>
            </a:endParaRPr>
          </a:p>
        </xdr:txBody>
      </xdr:sp>
      <xdr:grpSp>
        <xdr:nvGrpSpPr>
          <xdr:cNvPr id="72" name="Group 71">
            <a:extLst>
              <a:ext uri="{FF2B5EF4-FFF2-40B4-BE49-F238E27FC236}">
                <a16:creationId xmlns:a16="http://schemas.microsoft.com/office/drawing/2014/main" id="{2FDD7316-2AC2-3A6A-1DD0-4227411F8BA1}"/>
              </a:ext>
            </a:extLst>
          </xdr:cNvPr>
          <xdr:cNvGrpSpPr/>
        </xdr:nvGrpSpPr>
        <xdr:grpSpPr>
          <a:xfrm flipH="1" flipV="1">
            <a:off x="7615607" y="2905124"/>
            <a:ext cx="45719" cy="1581150"/>
            <a:chOff x="5823002" y="914400"/>
            <a:chExt cx="47146" cy="1207662"/>
          </a:xfrm>
        </xdr:grpSpPr>
        <xdr:cxnSp macro="">
          <xdr:nvCxnSpPr>
            <xdr:cNvPr id="73" name="Straight Connector 72">
              <a:extLst>
                <a:ext uri="{FF2B5EF4-FFF2-40B4-BE49-F238E27FC236}">
                  <a16:creationId xmlns:a16="http://schemas.microsoft.com/office/drawing/2014/main" id="{9BFB32C3-C559-3A2A-0A64-35B9200D3B6C}"/>
                </a:ext>
              </a:extLst>
            </xdr:cNvPr>
            <xdr:cNvCxnSpPr/>
          </xdr:nvCxnSpPr>
          <xdr:spPr>
            <a:xfrm>
              <a:off x="5838628" y="914400"/>
              <a:ext cx="0" cy="1152843"/>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74" name="Rectangle 73">
              <a:extLst>
                <a:ext uri="{FF2B5EF4-FFF2-40B4-BE49-F238E27FC236}">
                  <a16:creationId xmlns:a16="http://schemas.microsoft.com/office/drawing/2014/main" id="{FD454067-9A9A-190E-A08F-E62F81417E0B}"/>
                </a:ext>
              </a:extLst>
            </xdr:cNvPr>
            <xdr:cNvSpPr/>
          </xdr:nvSpPr>
          <xdr:spPr>
            <a:xfrm rot="2700000" flipH="1">
              <a:off x="5823002" y="207491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75" name="Group 74">
            <a:extLst>
              <a:ext uri="{FF2B5EF4-FFF2-40B4-BE49-F238E27FC236}">
                <a16:creationId xmlns:a16="http://schemas.microsoft.com/office/drawing/2014/main" id="{406DC5B3-7541-46B1-A3CF-859369B6766D}"/>
              </a:ext>
            </a:extLst>
          </xdr:cNvPr>
          <xdr:cNvGrpSpPr/>
        </xdr:nvGrpSpPr>
        <xdr:grpSpPr>
          <a:xfrm>
            <a:off x="7575602" y="2705418"/>
            <a:ext cx="47146" cy="523557"/>
            <a:chOff x="5823002" y="2067243"/>
            <a:chExt cx="47146" cy="523557"/>
          </a:xfrm>
        </xdr:grpSpPr>
        <xdr:cxnSp macro="">
          <xdr:nvCxnSpPr>
            <xdr:cNvPr id="76" name="Straight Connector 75">
              <a:extLst>
                <a:ext uri="{FF2B5EF4-FFF2-40B4-BE49-F238E27FC236}">
                  <a16:creationId xmlns:a16="http://schemas.microsoft.com/office/drawing/2014/main" id="{8CE5C622-0775-9E10-1B1E-BB769DFFFCB2}"/>
                </a:ext>
              </a:extLst>
            </xdr:cNvPr>
            <xdr:cNvCxnSpPr/>
          </xdr:nvCxnSpPr>
          <xdr:spPr>
            <a:xfrm flipV="1">
              <a:off x="5838628" y="2067243"/>
              <a:ext cx="0" cy="523557"/>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77" name="Rectangle 76">
              <a:extLst>
                <a:ext uri="{FF2B5EF4-FFF2-40B4-BE49-F238E27FC236}">
                  <a16:creationId xmlns:a16="http://schemas.microsoft.com/office/drawing/2014/main" id="{BB980B3E-B0E7-1A32-1E6E-0A47D820EDD7}"/>
                </a:ext>
              </a:extLst>
            </xdr:cNvPr>
            <xdr:cNvSpPr/>
          </xdr:nvSpPr>
          <xdr:spPr>
            <a:xfrm rot="2700000" flipH="1">
              <a:off x="5823002" y="207491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79" name="TextBox 1">
            <a:extLst>
              <a:ext uri="{FF2B5EF4-FFF2-40B4-BE49-F238E27FC236}">
                <a16:creationId xmlns:a16="http://schemas.microsoft.com/office/drawing/2014/main" id="{BFA071F7-2865-6E18-AAE8-C286C0D439EF}"/>
              </a:ext>
            </a:extLst>
          </xdr:cNvPr>
          <xdr:cNvSpPr txBox="1"/>
        </xdr:nvSpPr>
        <xdr:spPr>
          <a:xfrm>
            <a:off x="6867524" y="2752725"/>
            <a:ext cx="857251" cy="457200"/>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Steve Eisman testifies</a:t>
            </a:r>
            <a:r>
              <a:rPr lang="en-US" sz="700" i="1" baseline="0">
                <a:solidFill>
                  <a:srgbClr val="FF0000"/>
                </a:solidFill>
                <a:latin typeface="Arial" panose="020B0604020202020204" pitchFamily="34" charset="0"/>
                <a:cs typeface="Arial" panose="020B0604020202020204" pitchFamily="34" charset="0"/>
              </a:rPr>
              <a:t> to US Senate on for profit colleges</a:t>
            </a:r>
            <a:endParaRPr lang="en-US" sz="700" i="1">
              <a:solidFill>
                <a:srgbClr val="FF0000"/>
              </a:solidFill>
              <a:latin typeface="Arial" panose="020B0604020202020204" pitchFamily="34" charset="0"/>
              <a:cs typeface="Arial" panose="020B0604020202020204" pitchFamily="34" charset="0"/>
            </a:endParaRPr>
          </a:p>
        </xdr:txBody>
      </xdr:sp>
      <xdr:grpSp>
        <xdr:nvGrpSpPr>
          <xdr:cNvPr id="80" name="Group 79">
            <a:extLst>
              <a:ext uri="{FF2B5EF4-FFF2-40B4-BE49-F238E27FC236}">
                <a16:creationId xmlns:a16="http://schemas.microsoft.com/office/drawing/2014/main" id="{2BC3C95F-F7C7-0B98-9915-F5190416758C}"/>
              </a:ext>
            </a:extLst>
          </xdr:cNvPr>
          <xdr:cNvGrpSpPr/>
        </xdr:nvGrpSpPr>
        <xdr:grpSpPr>
          <a:xfrm flipV="1">
            <a:off x="8556676" y="2438401"/>
            <a:ext cx="53923" cy="1067118"/>
            <a:chOff x="5823002" y="2067243"/>
            <a:chExt cx="47146" cy="875025"/>
          </a:xfrm>
        </xdr:grpSpPr>
        <xdr:cxnSp macro="">
          <xdr:nvCxnSpPr>
            <xdr:cNvPr id="81" name="Straight Connector 80">
              <a:extLst>
                <a:ext uri="{FF2B5EF4-FFF2-40B4-BE49-F238E27FC236}">
                  <a16:creationId xmlns:a16="http://schemas.microsoft.com/office/drawing/2014/main" id="{6A2C5AD3-66EF-1EDC-5943-4B8BF0D6BCE3}"/>
                </a:ext>
              </a:extLst>
            </xdr:cNvPr>
            <xdr:cNvCxnSpPr/>
          </xdr:nvCxnSpPr>
          <xdr:spPr>
            <a:xfrm flipV="1">
              <a:off x="5838628" y="2067243"/>
              <a:ext cx="0" cy="87502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Rectangle 81">
              <a:extLst>
                <a:ext uri="{FF2B5EF4-FFF2-40B4-BE49-F238E27FC236}">
                  <a16:creationId xmlns:a16="http://schemas.microsoft.com/office/drawing/2014/main" id="{2794EA57-1AAF-008E-9FDC-F490127056B3}"/>
                </a:ext>
              </a:extLst>
            </xdr:cNvPr>
            <xdr:cNvSpPr/>
          </xdr:nvSpPr>
          <xdr:spPr>
            <a:xfrm rot="2700000" flipH="1">
              <a:off x="5823002" y="207491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83" name="TextBox 1">
            <a:extLst>
              <a:ext uri="{FF2B5EF4-FFF2-40B4-BE49-F238E27FC236}">
                <a16:creationId xmlns:a16="http://schemas.microsoft.com/office/drawing/2014/main" id="{A74917E0-AA64-F760-FA5E-9A09FE2DF6BC}"/>
              </a:ext>
            </a:extLst>
          </xdr:cNvPr>
          <xdr:cNvSpPr txBox="1"/>
        </xdr:nvSpPr>
        <xdr:spPr>
          <a:xfrm>
            <a:off x="8562974" y="2371725"/>
            <a:ext cx="1104901" cy="457200"/>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US Senate report condemns for profit</a:t>
            </a:r>
            <a:r>
              <a:rPr lang="en-US" sz="700" i="1" baseline="0">
                <a:solidFill>
                  <a:srgbClr val="FF0000"/>
                </a:solidFill>
                <a:latin typeface="Arial" panose="020B0604020202020204" pitchFamily="34" charset="0"/>
                <a:cs typeface="Arial" panose="020B0604020202020204" pitchFamily="34" charset="0"/>
              </a:rPr>
              <a:t> education practices</a:t>
            </a:r>
            <a:endParaRPr lang="en-US" sz="700" i="1">
              <a:solidFill>
                <a:srgbClr val="FF0000"/>
              </a:solidFill>
              <a:latin typeface="Arial" panose="020B0604020202020204" pitchFamily="34" charset="0"/>
              <a:cs typeface="Arial" panose="020B0604020202020204" pitchFamily="34" charset="0"/>
            </a:endParaRPr>
          </a:p>
        </xdr:txBody>
      </xdr:sp>
      <xdr:grpSp>
        <xdr:nvGrpSpPr>
          <xdr:cNvPr id="85" name="Group 84">
            <a:extLst>
              <a:ext uri="{FF2B5EF4-FFF2-40B4-BE49-F238E27FC236}">
                <a16:creationId xmlns:a16="http://schemas.microsoft.com/office/drawing/2014/main" id="{B3BEF4E5-FB24-3F52-8E38-11FF3C44DB06}"/>
              </a:ext>
            </a:extLst>
          </xdr:cNvPr>
          <xdr:cNvGrpSpPr/>
        </xdr:nvGrpSpPr>
        <xdr:grpSpPr>
          <a:xfrm flipV="1">
            <a:off x="7308901" y="1219200"/>
            <a:ext cx="45719" cy="733744"/>
            <a:chOff x="5823002" y="2067243"/>
            <a:chExt cx="47146" cy="875025"/>
          </a:xfrm>
        </xdr:grpSpPr>
        <xdr:cxnSp macro="">
          <xdr:nvCxnSpPr>
            <xdr:cNvPr id="86" name="Straight Connector 85">
              <a:extLst>
                <a:ext uri="{FF2B5EF4-FFF2-40B4-BE49-F238E27FC236}">
                  <a16:creationId xmlns:a16="http://schemas.microsoft.com/office/drawing/2014/main" id="{E784AFB5-88DB-9909-10EA-7BC7EB8308AB}"/>
                </a:ext>
              </a:extLst>
            </xdr:cNvPr>
            <xdr:cNvCxnSpPr/>
          </xdr:nvCxnSpPr>
          <xdr:spPr>
            <a:xfrm flipV="1">
              <a:off x="5838628" y="2067243"/>
              <a:ext cx="0" cy="87502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7" name="Rectangle 86">
              <a:extLst>
                <a:ext uri="{FF2B5EF4-FFF2-40B4-BE49-F238E27FC236}">
                  <a16:creationId xmlns:a16="http://schemas.microsoft.com/office/drawing/2014/main" id="{F56411A0-E216-36FA-E235-179D72D7B7ED}"/>
                </a:ext>
              </a:extLst>
            </xdr:cNvPr>
            <xdr:cNvSpPr/>
          </xdr:nvSpPr>
          <xdr:spPr>
            <a:xfrm rot="2700000" flipH="1">
              <a:off x="5823002" y="207491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88" name="TextBox 1">
            <a:extLst>
              <a:ext uri="{FF2B5EF4-FFF2-40B4-BE49-F238E27FC236}">
                <a16:creationId xmlns:a16="http://schemas.microsoft.com/office/drawing/2014/main" id="{EC159146-31C3-C7DA-9FAF-9D2C244D2486}"/>
              </a:ext>
            </a:extLst>
          </xdr:cNvPr>
          <xdr:cNvSpPr txBox="1"/>
        </xdr:nvSpPr>
        <xdr:spPr>
          <a:xfrm>
            <a:off x="7277100" y="1143000"/>
            <a:ext cx="1362076" cy="457200"/>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SEC investigation</a:t>
            </a:r>
            <a:r>
              <a:rPr lang="en-US" sz="700" i="1" baseline="0">
                <a:solidFill>
                  <a:srgbClr val="FF0000"/>
                </a:solidFill>
                <a:latin typeface="Arial" panose="020B0604020202020204" pitchFamily="34" charset="0"/>
                <a:cs typeface="Arial" panose="020B0604020202020204" pitchFamily="34" charset="0"/>
              </a:rPr>
              <a:t> into revenue recognition </a:t>
            </a:r>
            <a:endParaRPr lang="en-US" sz="700" i="1">
              <a:solidFill>
                <a:srgbClr val="FF0000"/>
              </a:solidFill>
              <a:latin typeface="Arial" panose="020B0604020202020204" pitchFamily="34" charset="0"/>
              <a:cs typeface="Arial" panose="020B0604020202020204" pitchFamily="34" charset="0"/>
            </a:endParaRPr>
          </a:p>
        </xdr:txBody>
      </xdr:sp>
      <xdr:grpSp>
        <xdr:nvGrpSpPr>
          <xdr:cNvPr id="91" name="Group 90">
            <a:extLst>
              <a:ext uri="{FF2B5EF4-FFF2-40B4-BE49-F238E27FC236}">
                <a16:creationId xmlns:a16="http://schemas.microsoft.com/office/drawing/2014/main" id="{1F8D3BFC-150D-6D80-04A9-8CEDED55927F}"/>
              </a:ext>
            </a:extLst>
          </xdr:cNvPr>
          <xdr:cNvGrpSpPr/>
        </xdr:nvGrpSpPr>
        <xdr:grpSpPr>
          <a:xfrm flipH="1" flipV="1">
            <a:off x="8291881" y="2647949"/>
            <a:ext cx="45719" cy="1571626"/>
            <a:chOff x="5823002" y="914400"/>
            <a:chExt cx="47146" cy="1207662"/>
          </a:xfrm>
        </xdr:grpSpPr>
        <xdr:cxnSp macro="">
          <xdr:nvCxnSpPr>
            <xdr:cNvPr id="92" name="Straight Connector 91">
              <a:extLst>
                <a:ext uri="{FF2B5EF4-FFF2-40B4-BE49-F238E27FC236}">
                  <a16:creationId xmlns:a16="http://schemas.microsoft.com/office/drawing/2014/main" id="{00D54419-FFE1-4A29-DB7C-0A41B4EB85E5}"/>
                </a:ext>
              </a:extLst>
            </xdr:cNvPr>
            <xdr:cNvCxnSpPr/>
          </xdr:nvCxnSpPr>
          <xdr:spPr>
            <a:xfrm>
              <a:off x="5838628" y="914400"/>
              <a:ext cx="0" cy="1152843"/>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93" name="Rectangle 92">
              <a:extLst>
                <a:ext uri="{FF2B5EF4-FFF2-40B4-BE49-F238E27FC236}">
                  <a16:creationId xmlns:a16="http://schemas.microsoft.com/office/drawing/2014/main" id="{993E1C4D-7349-0E9A-8438-31B03077F7FB}"/>
                </a:ext>
              </a:extLst>
            </xdr:cNvPr>
            <xdr:cNvSpPr/>
          </xdr:nvSpPr>
          <xdr:spPr>
            <a:xfrm rot="2700000" flipH="1">
              <a:off x="5823002" y="207491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4" name="TextBox 1">
            <a:extLst>
              <a:ext uri="{FF2B5EF4-FFF2-40B4-BE49-F238E27FC236}">
                <a16:creationId xmlns:a16="http://schemas.microsoft.com/office/drawing/2014/main" id="{0854B6AF-6248-9D75-AB99-4DD1B958BA88}"/>
              </a:ext>
            </a:extLst>
          </xdr:cNvPr>
          <xdr:cNvSpPr txBox="1"/>
        </xdr:nvSpPr>
        <xdr:spPr>
          <a:xfrm>
            <a:off x="8277224" y="4053069"/>
            <a:ext cx="1447801" cy="318905"/>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APOL</a:t>
            </a:r>
            <a:r>
              <a:rPr lang="en-US" sz="700" i="1" baseline="0">
                <a:solidFill>
                  <a:srgbClr val="FF0000"/>
                </a:solidFill>
                <a:latin typeface="Arial" panose="020B0604020202020204" pitchFamily="34" charset="0"/>
                <a:cs typeface="Arial" panose="020B0604020202020204" pitchFamily="34" charset="0"/>
              </a:rPr>
              <a:t> lowers FY profit guidance on higher investment</a:t>
            </a:r>
            <a:endParaRPr lang="en-US" sz="700" i="1">
              <a:solidFill>
                <a:srgbClr val="FF0000"/>
              </a:solidFill>
              <a:latin typeface="Arial" panose="020B0604020202020204" pitchFamily="34" charset="0"/>
              <a:cs typeface="Arial" panose="020B0604020202020204" pitchFamily="34" charset="0"/>
            </a:endParaRPr>
          </a:p>
        </xdr:txBody>
      </xdr:sp>
      <xdr:cxnSp macro="">
        <xdr:nvCxnSpPr>
          <xdr:cNvPr id="95" name="Straight Connector 94">
            <a:extLst>
              <a:ext uri="{FF2B5EF4-FFF2-40B4-BE49-F238E27FC236}">
                <a16:creationId xmlns:a16="http://schemas.microsoft.com/office/drawing/2014/main" id="{0A322E60-88CC-F363-CA4F-66B59EDE2B5B}"/>
              </a:ext>
            </a:extLst>
          </xdr:cNvPr>
          <xdr:cNvCxnSpPr/>
        </xdr:nvCxnSpPr>
        <xdr:spPr>
          <a:xfrm>
            <a:off x="6553003" y="1895475"/>
            <a:ext cx="0" cy="1524000"/>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96" name="Rectangle 95">
            <a:extLst>
              <a:ext uri="{FF2B5EF4-FFF2-40B4-BE49-F238E27FC236}">
                <a16:creationId xmlns:a16="http://schemas.microsoft.com/office/drawing/2014/main" id="{BD1AE8CE-22A2-3DC2-9547-6BFE06A935BC}"/>
              </a:ext>
            </a:extLst>
          </xdr:cNvPr>
          <xdr:cNvSpPr/>
        </xdr:nvSpPr>
        <xdr:spPr>
          <a:xfrm rot="2700000" flipH="1">
            <a:off x="6537377" y="1827266"/>
            <a:ext cx="47146" cy="47146"/>
          </a:xfrm>
          <a:prstGeom prst="rect">
            <a:avLst/>
          </a:prstGeom>
          <a:solidFill>
            <a:srgbClr val="FF0000"/>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TextBox 1">
            <a:extLst>
              <a:ext uri="{FF2B5EF4-FFF2-40B4-BE49-F238E27FC236}">
                <a16:creationId xmlns:a16="http://schemas.microsoft.com/office/drawing/2014/main" id="{20704C26-FD85-64EA-1779-8C75F7A2FE97}"/>
              </a:ext>
            </a:extLst>
          </xdr:cNvPr>
          <xdr:cNvSpPr txBox="1"/>
        </xdr:nvSpPr>
        <xdr:spPr>
          <a:xfrm>
            <a:off x="6515099" y="3248025"/>
            <a:ext cx="1085851" cy="457200"/>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700" i="1">
                <a:solidFill>
                  <a:srgbClr val="FF0000"/>
                </a:solidFill>
                <a:latin typeface="Arial" panose="020B0604020202020204" pitchFamily="34" charset="0"/>
                <a:cs typeface="Arial" panose="020B0604020202020204" pitchFamily="34" charset="0"/>
              </a:rPr>
              <a:t>HIgher</a:t>
            </a:r>
            <a:r>
              <a:rPr lang="en-US" sz="700" i="1" baseline="0">
                <a:solidFill>
                  <a:srgbClr val="FF0000"/>
                </a:solidFill>
                <a:latin typeface="Arial" panose="020B0604020202020204" pitchFamily="34" charset="0"/>
                <a:cs typeface="Arial" panose="020B0604020202020204" pitchFamily="34" charset="0"/>
              </a:rPr>
              <a:t> investment flagged at earnings </a:t>
            </a:r>
            <a:endParaRPr lang="en-US" sz="700" i="1">
              <a:solidFill>
                <a:srgbClr val="FF0000"/>
              </a:solidFill>
              <a:latin typeface="Arial" panose="020B0604020202020204" pitchFamily="34" charset="0"/>
              <a:cs typeface="Arial" panose="020B0604020202020204" pitchFamily="34" charset="0"/>
            </a:endParaRPr>
          </a:p>
        </xdr:txBody>
      </xdr:sp>
      <xdr:cxnSp macro="">
        <xdr:nvCxnSpPr>
          <xdr:cNvPr id="99" name="Straight Connector 98">
            <a:extLst>
              <a:ext uri="{FF2B5EF4-FFF2-40B4-BE49-F238E27FC236}">
                <a16:creationId xmlns:a16="http://schemas.microsoft.com/office/drawing/2014/main" id="{ADE879F0-4BF9-775F-360D-12E0802FB990}"/>
              </a:ext>
            </a:extLst>
          </xdr:cNvPr>
          <xdr:cNvCxnSpPr/>
        </xdr:nvCxnSpPr>
        <xdr:spPr>
          <a:xfrm>
            <a:off x="10153453" y="2781300"/>
            <a:ext cx="0" cy="1485900"/>
          </a:xfrm>
          <a:prstGeom prst="line">
            <a:avLst/>
          </a:prstGeom>
          <a:ln>
            <a:solidFill>
              <a:srgbClr val="00B050"/>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00" name="Rectangle 99">
            <a:extLst>
              <a:ext uri="{FF2B5EF4-FFF2-40B4-BE49-F238E27FC236}">
                <a16:creationId xmlns:a16="http://schemas.microsoft.com/office/drawing/2014/main" id="{320A56C4-405E-6E86-6295-28C7CF69A9DB}"/>
              </a:ext>
            </a:extLst>
          </xdr:cNvPr>
          <xdr:cNvSpPr/>
        </xdr:nvSpPr>
        <xdr:spPr>
          <a:xfrm rot="2700000" flipH="1">
            <a:off x="10137827" y="4265666"/>
            <a:ext cx="47146" cy="47146"/>
          </a:xfrm>
          <a:prstGeom prst="rect">
            <a:avLst/>
          </a:prstGeom>
          <a:solidFill>
            <a:srgbClr val="00B050"/>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B050"/>
              </a:solidFill>
            </a:endParaRPr>
          </a:p>
        </xdr:txBody>
      </xdr:sp>
      <xdr:sp macro="" textlink="">
        <xdr:nvSpPr>
          <xdr:cNvPr id="101" name="TextBox 1">
            <a:extLst>
              <a:ext uri="{FF2B5EF4-FFF2-40B4-BE49-F238E27FC236}">
                <a16:creationId xmlns:a16="http://schemas.microsoft.com/office/drawing/2014/main" id="{832901C9-F941-E554-C77F-883652E5C92A}"/>
              </a:ext>
            </a:extLst>
          </xdr:cNvPr>
          <xdr:cNvSpPr txBox="1"/>
        </xdr:nvSpPr>
        <xdr:spPr>
          <a:xfrm>
            <a:off x="8772524" y="2752725"/>
            <a:ext cx="1466851" cy="393758"/>
          </a:xfrm>
          <a:prstGeom prst="rect">
            <a:avLst/>
          </a:prstGeom>
        </xdr:spPr>
        <xdr:txBody>
          <a:bodyPr wrap="square" rtlCol="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sz="800">
                <a:solidFill>
                  <a:srgbClr val="00B050"/>
                </a:solidFill>
              </a:rPr>
              <a:t>Apollo</a:t>
            </a:r>
            <a:r>
              <a:rPr lang="en-US" sz="800" baseline="0">
                <a:solidFill>
                  <a:srgbClr val="00B050"/>
                </a:solidFill>
              </a:rPr>
              <a:t> Global bids $9.50 for company, which is eventually accepted</a:t>
            </a:r>
            <a:endParaRPr lang="en-US" sz="700" i="1">
              <a:solidFill>
                <a:srgbClr val="00B050"/>
              </a:solidFill>
              <a:latin typeface="Arial" panose="020B0604020202020204" pitchFamily="34" charset="0"/>
              <a:cs typeface="Arial" panose="020B0604020202020204" pitchFamily="34"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914400</xdr:colOff>
      <xdr:row>2</xdr:row>
      <xdr:rowOff>104775</xdr:rowOff>
    </xdr:to>
    <xdr:pic>
      <xdr:nvPicPr>
        <xdr:cNvPr id="2" name="Picture 2">
          <a:extLst>
            <a:ext uri="{FF2B5EF4-FFF2-40B4-BE49-F238E27FC236}">
              <a16:creationId xmlns:a16="http://schemas.microsoft.com/office/drawing/2014/main" id="{34A5F01D-DE78-4D76-BA77-B3ACCE11D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144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8</xdr:col>
      <xdr:colOff>228600</xdr:colOff>
      <xdr:row>52</xdr:row>
      <xdr:rowOff>9525</xdr:rowOff>
    </xdr:from>
    <xdr:ext cx="342900" cy="381000"/>
    <xdr:pic>
      <xdr:nvPicPr>
        <xdr:cNvPr id="7" name="Bottom Right Arrow">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stretch>
          <a:fillRect/>
        </a:stretch>
      </xdr:blipFill>
      <xdr:spPr>
        <a:xfrm>
          <a:off x="11668125" y="9467850"/>
          <a:ext cx="342900" cy="381000"/>
        </a:xfrm>
        <a:prstGeom prst="rect">
          <a:avLst/>
        </a:prstGeom>
      </xdr:spPr>
    </xdr:pic>
    <xdr:clientData/>
  </xdr:oneCellAnchor>
  <xdr:twoCellAnchor editAs="oneCell">
    <xdr:from>
      <xdr:col>1</xdr:col>
      <xdr:colOff>0</xdr:colOff>
      <xdr:row>1</xdr:row>
      <xdr:rowOff>0</xdr:rowOff>
    </xdr:from>
    <xdr:to>
      <xdr:col>3</xdr:col>
      <xdr:colOff>844550</xdr:colOff>
      <xdr:row>8</xdr:row>
      <xdr:rowOff>57150</xdr:rowOff>
    </xdr:to>
    <xdr:pic>
      <xdr:nvPicPr>
        <xdr:cNvPr id="8" name="Canalyst by Tegus Logo">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2"/>
        <a:stretch>
          <a:fillRect/>
        </a:stretch>
      </xdr:blipFill>
      <xdr:spPr>
        <a:xfrm>
          <a:off x="295275" y="180975"/>
          <a:ext cx="2552700" cy="1371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berring\Downloads\Stride%20LRN%20US.xlsx" TargetMode="External"/><Relationship Id="rId1" Type="http://schemas.openxmlformats.org/officeDocument/2006/relationships/externalLinkPath" Target="file:///C:\Users\dberring\Downloads\Stride%20LRN%20U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Model"/>
      <sheetName val="Guidance"/>
      <sheetName val="Summary Page"/>
      <sheetName val="Update Log"/>
    </sheetNames>
    <sheetDataSet>
      <sheetData sheetId="0">
        <row r="15">
          <cell r="H15" t="str">
            <v>Bloomberg</v>
          </cell>
        </row>
        <row r="18">
          <cell r="H18" t="str">
            <v>OFF</v>
          </cell>
        </row>
        <row r="20">
          <cell r="F20">
            <v>45524</v>
          </cell>
          <cell r="H20">
            <v>80.17</v>
          </cell>
        </row>
      </sheetData>
      <sheetData sheetId="1">
        <row r="1">
          <cell r="A1" t="str">
            <v>Stride, Inc.</v>
          </cell>
        </row>
        <row r="2">
          <cell r="A2" t="str">
            <v>LRN US</v>
          </cell>
        </row>
        <row r="3">
          <cell r="A3" t="str">
            <v>USD</v>
          </cell>
          <cell r="B3">
            <v>80.17</v>
          </cell>
          <cell r="C3">
            <v>92</v>
          </cell>
          <cell r="D3">
            <v>92</v>
          </cell>
          <cell r="E3">
            <v>90</v>
          </cell>
          <cell r="F3">
            <v>91</v>
          </cell>
          <cell r="G3">
            <v>92</v>
          </cell>
          <cell r="H3">
            <v>92</v>
          </cell>
          <cell r="I3">
            <v>90</v>
          </cell>
          <cell r="J3">
            <v>91</v>
          </cell>
          <cell r="K3">
            <v>92</v>
          </cell>
          <cell r="L3">
            <v>92</v>
          </cell>
          <cell r="M3">
            <v>90</v>
          </cell>
          <cell r="N3">
            <v>91</v>
          </cell>
          <cell r="O3">
            <v>92</v>
          </cell>
          <cell r="P3">
            <v>92</v>
          </cell>
          <cell r="Q3">
            <v>91</v>
          </cell>
          <cell r="R3">
            <v>91</v>
          </cell>
          <cell r="S3">
            <v>92</v>
          </cell>
          <cell r="T3">
            <v>92</v>
          </cell>
          <cell r="U3">
            <v>90</v>
          </cell>
          <cell r="V3">
            <v>91</v>
          </cell>
          <cell r="W3">
            <v>92</v>
          </cell>
          <cell r="X3">
            <v>92</v>
          </cell>
          <cell r="Y3">
            <v>90</v>
          </cell>
          <cell r="Z3">
            <v>91</v>
          </cell>
          <cell r="AA3">
            <v>92</v>
          </cell>
          <cell r="AB3">
            <v>92</v>
          </cell>
          <cell r="AC3">
            <v>90</v>
          </cell>
          <cell r="AD3">
            <v>91</v>
          </cell>
          <cell r="AE3">
            <v>92</v>
          </cell>
          <cell r="AF3">
            <v>92</v>
          </cell>
          <cell r="AG3">
            <v>91</v>
          </cell>
          <cell r="AH3">
            <v>91</v>
          </cell>
          <cell r="AI3">
            <v>92</v>
          </cell>
          <cell r="AJ3">
            <v>92</v>
          </cell>
          <cell r="AK3">
            <v>90</v>
          </cell>
          <cell r="AL3">
            <v>91</v>
          </cell>
          <cell r="AM3">
            <v>92</v>
          </cell>
          <cell r="AN3">
            <v>92</v>
          </cell>
          <cell r="AO3">
            <v>90</v>
          </cell>
          <cell r="AP3">
            <v>91</v>
          </cell>
          <cell r="AQ3">
            <v>92</v>
          </cell>
          <cell r="AR3">
            <v>92</v>
          </cell>
          <cell r="AS3">
            <v>90</v>
          </cell>
          <cell r="AT3">
            <v>91</v>
          </cell>
          <cell r="AU3">
            <v>92</v>
          </cell>
          <cell r="AV3">
            <v>92</v>
          </cell>
          <cell r="AW3">
            <v>91</v>
          </cell>
          <cell r="AX3">
            <v>91</v>
          </cell>
          <cell r="AY3">
            <v>92</v>
          </cell>
          <cell r="AZ3">
            <v>92</v>
          </cell>
          <cell r="BA3">
            <v>90</v>
          </cell>
          <cell r="BB3">
            <v>91</v>
          </cell>
          <cell r="BC3">
            <v>92</v>
          </cell>
          <cell r="BD3">
            <v>92</v>
          </cell>
          <cell r="BE3">
            <v>90</v>
          </cell>
          <cell r="BF3">
            <v>91</v>
          </cell>
          <cell r="BG3"/>
          <cell r="BH3">
            <v>365</v>
          </cell>
          <cell r="BI3">
            <v>365</v>
          </cell>
          <cell r="BJ3">
            <v>365</v>
          </cell>
          <cell r="BK3">
            <v>366</v>
          </cell>
          <cell r="BL3">
            <v>365</v>
          </cell>
          <cell r="BM3">
            <v>365</v>
          </cell>
          <cell r="BN3">
            <v>365</v>
          </cell>
          <cell r="BO3">
            <v>366</v>
          </cell>
          <cell r="BP3">
            <v>365</v>
          </cell>
          <cell r="BQ3">
            <v>365</v>
          </cell>
          <cell r="BR3">
            <v>365</v>
          </cell>
          <cell r="BS3">
            <v>366</v>
          </cell>
          <cell r="BT3">
            <v>365</v>
          </cell>
          <cell r="BU3">
            <v>365</v>
          </cell>
          <cell r="BV3">
            <v>365</v>
          </cell>
          <cell r="BW3">
            <v>366</v>
          </cell>
          <cell r="BX3">
            <v>365</v>
          </cell>
          <cell r="BY3">
            <v>365</v>
          </cell>
          <cell r="BZ3">
            <v>365</v>
          </cell>
          <cell r="CA3">
            <v>366</v>
          </cell>
          <cell r="CB3">
            <v>365</v>
          </cell>
          <cell r="CC3"/>
        </row>
        <row r="4">
          <cell r="A4" t="str">
            <v>Bloomberg</v>
          </cell>
          <cell r="B4" t="str">
            <v>OFF</v>
          </cell>
          <cell r="C4">
            <v>41182</v>
          </cell>
          <cell r="D4">
            <v>41274</v>
          </cell>
          <cell r="E4">
            <v>41364</v>
          </cell>
          <cell r="F4">
            <v>41455</v>
          </cell>
          <cell r="G4">
            <v>41547</v>
          </cell>
          <cell r="H4">
            <v>41639</v>
          </cell>
          <cell r="I4">
            <v>41729</v>
          </cell>
          <cell r="J4">
            <v>41820</v>
          </cell>
          <cell r="K4">
            <v>41912</v>
          </cell>
          <cell r="L4">
            <v>42004</v>
          </cell>
          <cell r="M4">
            <v>42094</v>
          </cell>
          <cell r="N4">
            <v>42185</v>
          </cell>
          <cell r="O4">
            <v>42277</v>
          </cell>
          <cell r="P4">
            <v>42369</v>
          </cell>
          <cell r="Q4">
            <v>42460</v>
          </cell>
          <cell r="R4">
            <v>42551</v>
          </cell>
          <cell r="S4">
            <v>42643</v>
          </cell>
          <cell r="T4">
            <v>42735</v>
          </cell>
          <cell r="U4">
            <v>42825</v>
          </cell>
          <cell r="V4">
            <v>42916</v>
          </cell>
          <cell r="W4">
            <v>43008</v>
          </cell>
          <cell r="X4">
            <v>43100</v>
          </cell>
          <cell r="Y4">
            <v>43190</v>
          </cell>
          <cell r="Z4">
            <v>43281</v>
          </cell>
          <cell r="AA4">
            <v>43373</v>
          </cell>
          <cell r="AB4">
            <v>43465</v>
          </cell>
          <cell r="AC4">
            <v>43555</v>
          </cell>
          <cell r="AD4">
            <v>43646</v>
          </cell>
          <cell r="AE4">
            <v>43738</v>
          </cell>
          <cell r="AF4">
            <v>43830</v>
          </cell>
          <cell r="AG4">
            <v>43921</v>
          </cell>
          <cell r="AH4">
            <v>44012</v>
          </cell>
          <cell r="AI4">
            <v>44104</v>
          </cell>
          <cell r="AJ4">
            <v>44196</v>
          </cell>
          <cell r="AK4">
            <v>44286</v>
          </cell>
          <cell r="AL4">
            <v>44377</v>
          </cell>
          <cell r="AM4">
            <v>44469</v>
          </cell>
          <cell r="AN4">
            <v>44561</v>
          </cell>
          <cell r="AO4">
            <v>44651</v>
          </cell>
          <cell r="AP4">
            <v>44742</v>
          </cell>
          <cell r="AQ4">
            <v>44834</v>
          </cell>
          <cell r="AR4">
            <v>44926</v>
          </cell>
          <cell r="AS4">
            <v>45016</v>
          </cell>
          <cell r="AT4">
            <v>45107</v>
          </cell>
          <cell r="AU4">
            <v>45199</v>
          </cell>
          <cell r="AV4">
            <v>45291</v>
          </cell>
          <cell r="AW4">
            <v>45382</v>
          </cell>
          <cell r="AX4">
            <v>45473</v>
          </cell>
          <cell r="AY4">
            <v>45565</v>
          </cell>
          <cell r="AZ4">
            <v>45657</v>
          </cell>
          <cell r="BA4">
            <v>45747</v>
          </cell>
          <cell r="BB4">
            <v>45838</v>
          </cell>
          <cell r="BC4">
            <v>45930</v>
          </cell>
          <cell r="BD4">
            <v>46022</v>
          </cell>
          <cell r="BE4">
            <v>46112</v>
          </cell>
          <cell r="BF4">
            <v>46203</v>
          </cell>
          <cell r="BG4"/>
          <cell r="BH4">
            <v>39994</v>
          </cell>
          <cell r="BI4">
            <v>40359</v>
          </cell>
          <cell r="BJ4">
            <v>40724</v>
          </cell>
          <cell r="BK4">
            <v>41090</v>
          </cell>
          <cell r="BL4">
            <v>41455</v>
          </cell>
          <cell r="BM4">
            <v>41820</v>
          </cell>
          <cell r="BN4">
            <v>42185</v>
          </cell>
          <cell r="BO4">
            <v>42551</v>
          </cell>
          <cell r="BP4">
            <v>42916</v>
          </cell>
          <cell r="BQ4">
            <v>43281</v>
          </cell>
          <cell r="BR4">
            <v>43646</v>
          </cell>
          <cell r="BS4">
            <v>44012</v>
          </cell>
          <cell r="BT4">
            <v>44377</v>
          </cell>
          <cell r="BU4">
            <v>44742</v>
          </cell>
          <cell r="BV4">
            <v>45107</v>
          </cell>
          <cell r="BW4">
            <v>45473</v>
          </cell>
          <cell r="BX4">
            <v>45838</v>
          </cell>
          <cell r="BY4">
            <v>46203</v>
          </cell>
          <cell r="BZ4">
            <v>46568</v>
          </cell>
          <cell r="CA4">
            <v>46934</v>
          </cell>
          <cell r="CB4">
            <v>47299</v>
          </cell>
          <cell r="CC4"/>
        </row>
        <row r="5">
          <cell r="A5" t="str">
            <v>USD</v>
          </cell>
          <cell r="B5"/>
          <cell r="C5" t="str">
            <v>Q1-2013</v>
          </cell>
          <cell r="D5" t="str">
            <v>Q2-2013</v>
          </cell>
          <cell r="E5" t="str">
            <v>Q3-2013</v>
          </cell>
          <cell r="F5" t="str">
            <v>Q4-2013</v>
          </cell>
          <cell r="G5" t="str">
            <v>Q1-2014</v>
          </cell>
          <cell r="H5" t="str">
            <v>Q2-2014</v>
          </cell>
          <cell r="I5" t="str">
            <v>Q3-2014</v>
          </cell>
          <cell r="J5" t="str">
            <v>Q4-2014</v>
          </cell>
          <cell r="K5" t="str">
            <v>Q1-2015</v>
          </cell>
          <cell r="L5" t="str">
            <v>Q2-2015</v>
          </cell>
          <cell r="M5" t="str">
            <v>Q3-2015</v>
          </cell>
          <cell r="N5" t="str">
            <v>Q4-2015</v>
          </cell>
          <cell r="O5" t="str">
            <v>Q1-2016</v>
          </cell>
          <cell r="P5" t="str">
            <v>Q2-2016</v>
          </cell>
          <cell r="Q5" t="str">
            <v>Q3-2016</v>
          </cell>
          <cell r="R5" t="str">
            <v>Q4-2016</v>
          </cell>
          <cell r="S5" t="str">
            <v>Q1-2017</v>
          </cell>
          <cell r="T5" t="str">
            <v>Q2-2017</v>
          </cell>
          <cell r="U5" t="str">
            <v>Q3-2017</v>
          </cell>
          <cell r="V5" t="str">
            <v>Q4-2017</v>
          </cell>
          <cell r="W5" t="str">
            <v>Q1-2018</v>
          </cell>
          <cell r="X5" t="str">
            <v>Q2-2018</v>
          </cell>
          <cell r="Y5" t="str">
            <v>Q3-2018</v>
          </cell>
          <cell r="Z5" t="str">
            <v>Q4-2018</v>
          </cell>
          <cell r="AA5" t="str">
            <v>Q1-2019</v>
          </cell>
          <cell r="AB5" t="str">
            <v>Q2-2019</v>
          </cell>
          <cell r="AC5" t="str">
            <v>Q3-2019</v>
          </cell>
          <cell r="AD5" t="str">
            <v>Q4-2019</v>
          </cell>
          <cell r="AE5" t="str">
            <v>Q1-2020</v>
          </cell>
          <cell r="AF5" t="str">
            <v>Q2-2020</v>
          </cell>
          <cell r="AG5" t="str">
            <v>Q3-2020</v>
          </cell>
          <cell r="AH5" t="str">
            <v>Q4-2020</v>
          </cell>
          <cell r="AI5" t="str">
            <v>Q1-2021</v>
          </cell>
          <cell r="AJ5" t="str">
            <v>Q2-2021</v>
          </cell>
          <cell r="AK5" t="str">
            <v>Q3-2021</v>
          </cell>
          <cell r="AL5" t="str">
            <v>Q4-2021</v>
          </cell>
          <cell r="AM5" t="str">
            <v>Q1-2022</v>
          </cell>
          <cell r="AN5" t="str">
            <v>Q2-2022</v>
          </cell>
          <cell r="AO5" t="str">
            <v>Q3-2022</v>
          </cell>
          <cell r="AP5" t="str">
            <v>Q4-2022</v>
          </cell>
          <cell r="AQ5" t="str">
            <v>Q1-2023</v>
          </cell>
          <cell r="AR5" t="str">
            <v>Q2-2023</v>
          </cell>
          <cell r="AS5" t="str">
            <v>Q3-2023</v>
          </cell>
          <cell r="AT5" t="str">
            <v>Q4-2023</v>
          </cell>
          <cell r="AU5" t="str">
            <v>Q1-2024</v>
          </cell>
          <cell r="AV5" t="str">
            <v>Q2-2024</v>
          </cell>
          <cell r="AW5" t="str">
            <v>Q3-2024</v>
          </cell>
          <cell r="AX5" t="str">
            <v>Q4-2024</v>
          </cell>
          <cell r="AY5" t="str">
            <v>Q1-2025</v>
          </cell>
          <cell r="AZ5" t="str">
            <v>Q2-2025</v>
          </cell>
          <cell r="BA5" t="str">
            <v>Q3-2025</v>
          </cell>
          <cell r="BB5" t="str">
            <v>Q4-2025</v>
          </cell>
          <cell r="BC5" t="str">
            <v>Q1-2026</v>
          </cell>
          <cell r="BD5" t="str">
            <v>Q2-2026</v>
          </cell>
          <cell r="BE5" t="str">
            <v>Q3-2026</v>
          </cell>
          <cell r="BF5" t="str">
            <v>Q4-2026</v>
          </cell>
          <cell r="BG5"/>
          <cell r="BH5" t="str">
            <v>FY2009</v>
          </cell>
          <cell r="BI5" t="str">
            <v>FY2010</v>
          </cell>
          <cell r="BJ5" t="str">
            <v>FY2011</v>
          </cell>
          <cell r="BK5" t="str">
            <v>FY2012</v>
          </cell>
          <cell r="BL5" t="str">
            <v>FY2013</v>
          </cell>
          <cell r="BM5" t="str">
            <v>FY2014</v>
          </cell>
          <cell r="BN5" t="str">
            <v>FY2015</v>
          </cell>
          <cell r="BO5" t="str">
            <v>FY2016</v>
          </cell>
          <cell r="BP5" t="str">
            <v>FY2017</v>
          </cell>
          <cell r="BQ5" t="str">
            <v>FY2018</v>
          </cell>
          <cell r="BR5" t="str">
            <v>FY2019</v>
          </cell>
          <cell r="BS5" t="str">
            <v>FY2020</v>
          </cell>
          <cell r="BT5" t="str">
            <v>FY2021</v>
          </cell>
          <cell r="BU5" t="str">
            <v>FY2022</v>
          </cell>
          <cell r="BV5" t="str">
            <v>FY2023</v>
          </cell>
          <cell r="BW5" t="str">
            <v>FY2024</v>
          </cell>
          <cell r="BX5" t="str">
            <v>FY2025</v>
          </cell>
          <cell r="BY5" t="str">
            <v>FY2026</v>
          </cell>
          <cell r="BZ5" t="str">
            <v>FY2027</v>
          </cell>
          <cell r="CA5" t="str">
            <v>FY2028</v>
          </cell>
          <cell r="CB5" t="str">
            <v>FY2029</v>
          </cell>
          <cell r="CC5"/>
        </row>
        <row r="6">
          <cell r="A6" t="str">
            <v>Growth Analysis</v>
          </cell>
        </row>
        <row r="7">
          <cell r="A7" t="str">
            <v>General Education Revenue Growth, %</v>
          </cell>
        </row>
        <row r="8">
          <cell r="A8" t="str">
            <v>Career Learning - Middle-High School revenue growth, %</v>
          </cell>
        </row>
        <row r="9">
          <cell r="A9" t="str">
            <v>Career Learning - Adult revenue growth, %</v>
          </cell>
        </row>
        <row r="10">
          <cell r="A10" t="str">
            <v>Career Learning Revenue Growth, %</v>
          </cell>
        </row>
        <row r="11">
          <cell r="A11" t="str">
            <v>Total Revenue Growth, %</v>
          </cell>
        </row>
        <row r="12">
          <cell r="A12"/>
        </row>
        <row r="13">
          <cell r="A13" t="str">
            <v>General Education average enrollment growth, %</v>
          </cell>
        </row>
        <row r="14">
          <cell r="A14" t="str">
            <v>Career Learning average enrollment growth, %</v>
          </cell>
        </row>
        <row r="15">
          <cell r="A15" t="str">
            <v>Total Average Enrollment Growth, %</v>
          </cell>
        </row>
        <row r="16">
          <cell r="A16"/>
        </row>
        <row r="17">
          <cell r="A17" t="str">
            <v>Managed public school programs revenue growth, %</v>
          </cell>
        </row>
        <row r="18">
          <cell r="A18" t="str">
            <v>Non managed public school programs revenue growth, %</v>
          </cell>
        </row>
        <row r="19">
          <cell r="A19" t="str">
            <v>Institutional software &amp; services growth, %</v>
          </cell>
        </row>
        <row r="20">
          <cell r="A20" t="str">
            <v>Total Institutional Revenue Growth, %</v>
          </cell>
        </row>
        <row r="21">
          <cell r="A21" t="str">
            <v>Private pay school and other revenue growth, %</v>
          </cell>
        </row>
        <row r="22">
          <cell r="A22" t="str">
            <v>Total Revenue Growth, %</v>
          </cell>
        </row>
        <row r="23">
          <cell r="A23"/>
        </row>
        <row r="24">
          <cell r="A24" t="str">
            <v>Managed public school programs enrollment growth, %</v>
          </cell>
        </row>
        <row r="25">
          <cell r="A25" t="str">
            <v>Non-Managed public school programs enrollment growth, %</v>
          </cell>
        </row>
        <row r="26">
          <cell r="A26"/>
        </row>
        <row r="27">
          <cell r="A27" t="str">
            <v>Consolidated Summary</v>
          </cell>
        </row>
        <row r="28">
          <cell r="A28" t="str">
            <v>General Education Revenue, mm</v>
          </cell>
        </row>
        <row r="29">
          <cell r="A29" t="str">
            <v>Career Learning - Middle-High School revenue, mm</v>
          </cell>
        </row>
        <row r="30">
          <cell r="A30" t="str">
            <v>Career Learning - Adult revenue, mm</v>
          </cell>
        </row>
        <row r="31">
          <cell r="A31" t="str">
            <v>Career Learning Revenue, mm</v>
          </cell>
        </row>
        <row r="32">
          <cell r="A32" t="str">
            <v>Total Revenue, mm</v>
          </cell>
        </row>
        <row r="33">
          <cell r="A33"/>
        </row>
        <row r="34">
          <cell r="A34" t="str">
            <v>General Education revenue per enrollment (calculated), $/enrollment</v>
          </cell>
        </row>
        <row r="35">
          <cell r="A35" t="str">
            <v>General Education revenue per enrollment growth (calculated), %</v>
          </cell>
        </row>
        <row r="36">
          <cell r="A36" t="str">
            <v>Career Learning revenue per enrollment (calculated), $/enrollment</v>
          </cell>
        </row>
        <row r="37">
          <cell r="A37" t="str">
            <v>Career Learning revenue per enrollment growth (calculated), %</v>
          </cell>
        </row>
        <row r="38">
          <cell r="A38"/>
        </row>
        <row r="39">
          <cell r="A39" t="str">
            <v>Segmented Results - General Education (PR)</v>
          </cell>
        </row>
        <row r="40">
          <cell r="A40" t="str">
            <v>Managed Public School Programs Revenue, mm</v>
          </cell>
        </row>
        <row r="41">
          <cell r="A41" t="str">
            <v>Private Pay Schools and Other Revenue, mm</v>
          </cell>
        </row>
        <row r="42">
          <cell r="A42" t="str">
            <v>Institutional (Non-managed and Software &amp; Services) Revenue, mm</v>
          </cell>
        </row>
        <row r="43">
          <cell r="A43" t="str">
            <v>Less: Career Learning - Managed Public School Programs revenue, mm</v>
          </cell>
        </row>
        <row r="44">
          <cell r="A44" t="str">
            <v>Less: Career Learning - Non-managed Public School Programs revenue, mm</v>
          </cell>
        </row>
        <row r="45">
          <cell r="A45" t="str">
            <v>Less: Career Learning - Private Pay Schools and Other revenue, mm</v>
          </cell>
        </row>
        <row r="46">
          <cell r="A46" t="str">
            <v>Total General Education Revenue, mm</v>
          </cell>
        </row>
        <row r="47">
          <cell r="A47"/>
        </row>
        <row r="48">
          <cell r="A48" t="str">
            <v>Segmented Results - Career Learning (PR)</v>
          </cell>
        </row>
        <row r="49">
          <cell r="A49" t="str">
            <v>Career Learning - Managed Public School Programs revenue, mm</v>
          </cell>
        </row>
        <row r="50">
          <cell r="A50" t="str">
            <v>Career Learning - Non-managed Public School Programs revenue, mm</v>
          </cell>
        </row>
        <row r="51">
          <cell r="A51" t="str">
            <v>Career Learning - Private Pay Schools and Other revenue, mm</v>
          </cell>
        </row>
        <row r="52">
          <cell r="A52" t="str">
            <v>Private Pay Schools and Other (Galvanize) revenue, mm</v>
          </cell>
        </row>
        <row r="53">
          <cell r="A53" t="str">
            <v>Total Career Learning Revenue, mm</v>
          </cell>
        </row>
        <row r="54">
          <cell r="A54"/>
        </row>
        <row r="55">
          <cell r="A55" t="str">
            <v>Operating Stats - Enrollment Data (PR)</v>
          </cell>
        </row>
        <row r="56">
          <cell r="A56" t="str">
            <v>General Education average enrollment, 000s students</v>
          </cell>
        </row>
        <row r="57">
          <cell r="A57" t="str">
            <v>Career Learning average enrollment, 000s students</v>
          </cell>
        </row>
        <row r="58">
          <cell r="A58" t="str">
            <v>Total Average Enrollment, 000s students</v>
          </cell>
        </row>
        <row r="59">
          <cell r="A59"/>
        </row>
        <row r="60">
          <cell r="A60" t="str">
            <v>General Education revenue per enrollment (reported), $/enrollment</v>
          </cell>
        </row>
        <row r="61">
          <cell r="A61" t="str">
            <v>General Education revenue per enrollment growth (reported), %</v>
          </cell>
        </row>
        <row r="62">
          <cell r="A62" t="str">
            <v>Career Learning revenue per enrollment (reported), $/enrollment</v>
          </cell>
        </row>
        <row r="63">
          <cell r="A63" t="str">
            <v>Career Learning revenue per enrollment growth (reported), %</v>
          </cell>
        </row>
        <row r="64">
          <cell r="A64"/>
        </row>
        <row r="65">
          <cell r="A65" t="str">
            <v>Operating Stats - Old vs New Enrollment (PR)</v>
          </cell>
        </row>
        <row r="66">
          <cell r="A66" t="str">
            <v>Managed Public School Programs enrollment, 000s enrollments</v>
          </cell>
        </row>
        <row r="67">
          <cell r="A67" t="str">
            <v>Non-Managed Public School Programs enrollment, 000s enrollments</v>
          </cell>
        </row>
        <row r="68">
          <cell r="A68" t="str">
            <v>Total Old Reporting Enrollment, 000s enrollments</v>
          </cell>
        </row>
        <row r="69">
          <cell r="A69" t="str">
            <v>Private Pay enrollment, 000s enrollments</v>
          </cell>
        </row>
        <row r="70">
          <cell r="A70" t="str">
            <v>Less: Non-managed Public School Programs, 000s enrollments</v>
          </cell>
        </row>
        <row r="71">
          <cell r="A71" t="str">
            <v>Net Changes - Old vs New Reporting, 000s enrollments</v>
          </cell>
        </row>
        <row r="72">
          <cell r="A72" t="str">
            <v>Total New Reporting enrollment, 000s enrollments</v>
          </cell>
        </row>
        <row r="73">
          <cell r="A73"/>
        </row>
        <row r="74">
          <cell r="A74" t="str">
            <v>Key Metrics - Additional Cost Breakdown (FS)</v>
          </cell>
        </row>
        <row r="75">
          <cell r="A75" t="str">
            <v>D&amp;A in instructional costs &amp; services, mm</v>
          </cell>
        </row>
        <row r="76">
          <cell r="A76" t="str">
            <v>D&amp;A relating to SG&amp;A, mm</v>
          </cell>
        </row>
        <row r="77">
          <cell r="A77" t="str">
            <v>Total D&amp;A of PP&amp;E, mm</v>
          </cell>
        </row>
        <row r="78">
          <cell r="A78" t="str">
            <v>Amortization of capitalized software in instructional costs and services, mm</v>
          </cell>
        </row>
        <row r="79">
          <cell r="A79" t="str">
            <v>Amortization of capitalized software development in product development expenses, mm</v>
          </cell>
        </row>
        <row r="80">
          <cell r="A80" t="str">
            <v>Amortization of capitalized software in SG&amp;A, mm</v>
          </cell>
        </row>
        <row r="81">
          <cell r="A81" t="str">
            <v>Amortization of capitalized software, mm</v>
          </cell>
        </row>
        <row r="82">
          <cell r="A82" t="str">
            <v>Amortization of student software costs, mm</v>
          </cell>
        </row>
        <row r="83">
          <cell r="A83" t="str">
            <v>Amortization of software, mm</v>
          </cell>
        </row>
        <row r="84">
          <cell r="A84" t="str">
            <v>Amortization of capitalized curriculum development costs, mm</v>
          </cell>
        </row>
        <row r="85">
          <cell r="A85" t="str">
            <v>Amortization of intangible assets, mm</v>
          </cell>
        </row>
        <row r="86">
          <cell r="A86" t="str">
            <v>Total Amortization of Total Intangibles, mm</v>
          </cell>
        </row>
        <row r="87">
          <cell r="A87" t="str">
            <v>Rounding error, mm</v>
          </cell>
        </row>
        <row r="88">
          <cell r="A88" t="str">
            <v>Total Depreciation &amp; Amortization, mm</v>
          </cell>
        </row>
        <row r="89">
          <cell r="A89"/>
        </row>
        <row r="90">
          <cell r="A90" t="str">
            <v>Key Metrics - Lease Cost and Rent Expense (FS)</v>
          </cell>
        </row>
        <row r="91">
          <cell r="A91" t="str">
            <v>Amortization of right-of-use assets, mm</v>
          </cell>
        </row>
        <row r="92">
          <cell r="A92" t="str">
            <v>Interest on lease liabilities, mm</v>
          </cell>
        </row>
        <row r="93">
          <cell r="A93" t="str">
            <v>Total finance lease cost (calculated), mm</v>
          </cell>
        </row>
        <row r="94">
          <cell r="A94" t="str">
            <v>Operating lease cost - Instructional costs and services, mm</v>
          </cell>
        </row>
        <row r="95">
          <cell r="A95" t="str">
            <v>Operating lease cost - SG&amp;A, mm</v>
          </cell>
        </row>
        <row r="96">
          <cell r="A96" t="str">
            <v>Operating lease cost (calculated), mm</v>
          </cell>
        </row>
        <row r="97">
          <cell r="A97" t="str">
            <v>Short-term lease cost - Instructional costs and services, mm</v>
          </cell>
        </row>
        <row r="98">
          <cell r="A98" t="str">
            <v>Short-term lease cost - SG&amp;A, mm</v>
          </cell>
        </row>
        <row r="99">
          <cell r="A99" t="str">
            <v>Short-term lease cost (calculated), mm</v>
          </cell>
        </row>
        <row r="100">
          <cell r="A100" t="str">
            <v>Sublease income - Instructional costs and services, mm</v>
          </cell>
        </row>
        <row r="101">
          <cell r="A101" t="str">
            <v>Sublease income - SG&amp;A, mm</v>
          </cell>
        </row>
        <row r="102">
          <cell r="A102" t="str">
            <v>Sublease income (calculated), mm</v>
          </cell>
        </row>
        <row r="103">
          <cell r="A103" t="str">
            <v>Total operating lease cost (calculated), mm</v>
          </cell>
        </row>
        <row r="104">
          <cell r="A104" t="str">
            <v>Total lease cost, mm</v>
          </cell>
        </row>
        <row r="105">
          <cell r="A105"/>
        </row>
        <row r="106">
          <cell r="A106" t="str">
            <v>Rent expense, mm</v>
          </cell>
        </row>
        <row r="107">
          <cell r="A107"/>
        </row>
        <row r="108">
          <cell r="A108" t="str">
            <v>Segmented Results - Revenue Breakdown (PR) (Historical)</v>
          </cell>
        </row>
        <row r="109">
          <cell r="A109" t="str">
            <v>Managed Public School Programs Revenue, mm</v>
          </cell>
        </row>
        <row r="110">
          <cell r="A110" t="str">
            <v>Non-managed public school programs revenue, mm</v>
          </cell>
        </row>
        <row r="111">
          <cell r="A111" t="str">
            <v>Institutional software &amp; services, mm</v>
          </cell>
        </row>
        <row r="112">
          <cell r="A112" t="str">
            <v>Total Institutional Revenue, mm</v>
          </cell>
        </row>
        <row r="113">
          <cell r="A113" t="str">
            <v>Private pay school and other revenue, mm</v>
          </cell>
        </row>
        <row r="114">
          <cell r="A114" t="str">
            <v>Total Revenue, mm</v>
          </cell>
        </row>
        <row r="115">
          <cell r="A115"/>
        </row>
        <row r="116">
          <cell r="A116" t="str">
            <v>Operating Stats - Enrollment Data (PR) (Historical)</v>
          </cell>
        </row>
        <row r="117">
          <cell r="A117" t="str">
            <v>Managed public avg enrollment in the period, 000s enrollments</v>
          </cell>
        </row>
        <row r="118">
          <cell r="A118" t="str">
            <v>Revenue per avg enrollment for Managed, $/student</v>
          </cell>
        </row>
        <row r="119">
          <cell r="A119"/>
        </row>
        <row r="120">
          <cell r="A120" t="str">
            <v>Non-Managed public avg enrollment, 000s enrollments</v>
          </cell>
        </row>
        <row r="121">
          <cell r="A121" t="str">
            <v>Revenue per avg enrollment for Non-Managed, $/student</v>
          </cell>
        </row>
        <row r="122">
          <cell r="A122"/>
        </row>
        <row r="123">
          <cell r="A123" t="str">
            <v>Margin Analysis</v>
          </cell>
        </row>
        <row r="124">
          <cell r="A124" t="str">
            <v>COGS Margin (Excluding D&amp;A), %</v>
          </cell>
        </row>
        <row r="125">
          <cell r="A125" t="str">
            <v>Gross Margin (Excluding D&amp;A), %</v>
          </cell>
        </row>
        <row r="126">
          <cell r="A126"/>
        </row>
        <row r="127">
          <cell r="A127" t="str">
            <v>COGS Margin, %</v>
          </cell>
          <cell r="B127"/>
          <cell r="C127">
            <v>0.53663566957339792</v>
          </cell>
          <cell r="D127">
            <v>0.59603063661249933</v>
          </cell>
          <cell r="E127">
            <v>0.58602626497071231</v>
          </cell>
          <cell r="F127">
            <v>0.63614116117722952</v>
          </cell>
          <cell r="G127">
            <v>0.58196929490379468</v>
          </cell>
          <cell r="H127">
            <v>0.68628387943854696</v>
          </cell>
          <cell r="I127">
            <v>0.59769919480320721</v>
          </cell>
          <cell r="J127">
            <v>0.61217603406221199</v>
          </cell>
          <cell r="K127">
            <v>0.62034032917638315</v>
          </cell>
          <cell r="L127">
            <v>0.62700601805416245</v>
          </cell>
          <cell r="M127">
            <v>0.60903921544580852</v>
          </cell>
          <cell r="N127">
            <v>0.70823873883431243</v>
          </cell>
          <cell r="O127">
            <v>0.62831894408534106</v>
          </cell>
          <cell r="P127">
            <v>0.62073358204309159</v>
          </cell>
          <cell r="Q127">
            <v>0.60881449353935124</v>
          </cell>
          <cell r="R127">
            <v>0.6467406774836324</v>
          </cell>
          <cell r="S127">
            <v>0.62887430282188017</v>
          </cell>
          <cell r="T127">
            <v>0.62210864353883033</v>
          </cell>
          <cell r="U127">
            <v>0.61308210467660984</v>
          </cell>
          <cell r="V127">
            <v>0.64537120292179206</v>
          </cell>
          <cell r="W127">
            <v>0.64412876718316325</v>
          </cell>
          <cell r="X127">
            <v>0.64068118097149773</v>
          </cell>
          <cell r="Y127">
            <v>0.6393345472035179</v>
          </cell>
          <cell r="Z127">
            <v>0.65761447457655509</v>
          </cell>
          <cell r="AA127">
            <v>0.63261497568778502</v>
          </cell>
          <cell r="AB127">
            <v>0.62905693838475785</v>
          </cell>
          <cell r="AC127">
            <v>0.66439751709759443</v>
          </cell>
          <cell r="AD127">
            <v>0.6861232706758118</v>
          </cell>
          <cell r="AE127">
            <v>0.65867043143111614</v>
          </cell>
          <cell r="AF127">
            <v>0.65021994960378005</v>
          </cell>
          <cell r="AG127">
            <v>0.69595650855129609</v>
          </cell>
          <cell r="AH127">
            <v>0.65978262082095362</v>
          </cell>
          <cell r="AI127">
            <v>0.64985173603623037</v>
          </cell>
          <cell r="AJ127">
            <v>0.65600765662178162</v>
          </cell>
          <cell r="AK127">
            <v>0.6454959262517691</v>
          </cell>
          <cell r="AL127">
            <v>0.65635833060803495</v>
          </cell>
          <cell r="AM127">
            <v>0.68417344200526709</v>
          </cell>
          <cell r="AN127">
            <v>0.63967160512518706</v>
          </cell>
          <cell r="AO127">
            <v>0.63284106591546085</v>
          </cell>
          <cell r="AP127">
            <v>0.63164993816054538</v>
          </cell>
          <cell r="AQ127">
            <v>0.69505115841467713</v>
          </cell>
          <cell r="AR127">
            <v>0.62898120780481415</v>
          </cell>
          <cell r="AS127">
            <v>0.62734858085752432</v>
          </cell>
          <cell r="AT127">
            <v>0.6440849740118183</v>
          </cell>
          <cell r="AU127">
            <v>0.63995243460278528</v>
          </cell>
          <cell r="AV127">
            <v>0.60153148941901646</v>
          </cell>
          <cell r="AW127">
            <v>0.61345104130466921</v>
          </cell>
          <cell r="AX127">
            <v>0.64766381558379782</v>
          </cell>
          <cell r="AY127">
            <v>0.63</v>
          </cell>
          <cell r="AZ127">
            <v>0.61</v>
          </cell>
          <cell r="BA127">
            <v>0.61</v>
          </cell>
          <cell r="BB127">
            <v>0.62</v>
          </cell>
          <cell r="BC127">
            <v>0.62</v>
          </cell>
          <cell r="BD127">
            <v>0.60000000000000009</v>
          </cell>
          <cell r="BE127">
            <v>0.6</v>
          </cell>
          <cell r="BF127">
            <v>0.61</v>
          </cell>
          <cell r="BG127"/>
          <cell r="BH127">
            <v>0.62418521229636248</v>
          </cell>
          <cell r="BI127">
            <v>0.57749369261580874</v>
          </cell>
          <cell r="BJ127">
            <v>0.58784650309895603</v>
          </cell>
          <cell r="BK127">
            <v>0.57673060825203593</v>
          </cell>
          <cell r="BL127">
            <v>0.5875810520855439</v>
          </cell>
          <cell r="BM127">
            <v>0.61901706590049732</v>
          </cell>
          <cell r="BN127">
            <v>0.64089406871708565</v>
          </cell>
          <cell r="BO127">
            <v>0.62622894465452039</v>
          </cell>
          <cell r="BP127">
            <v>0.62724151087371238</v>
          </cell>
          <cell r="BQ127">
            <v>0.64560646113143894</v>
          </cell>
          <cell r="BR127">
            <v>0.65314860320235657</v>
          </cell>
          <cell r="BS127">
            <v>0.66607927822322999</v>
          </cell>
          <cell r="BT127">
            <v>0.6519300346182878</v>
          </cell>
          <cell r="BU127">
            <v>0.64635855587294699</v>
          </cell>
          <cell r="BV127">
            <v>0.64782584558915579</v>
          </cell>
          <cell r="BW127">
            <v>0.62569746415439864</v>
          </cell>
          <cell r="BX127">
            <v>0.61732411263618681</v>
          </cell>
          <cell r="BY127">
            <v>0.60732292741394212</v>
          </cell>
          <cell r="BZ127">
            <v>0.6</v>
          </cell>
          <cell r="CA127">
            <v>0.6</v>
          </cell>
          <cell r="CB127">
            <v>0.6</v>
          </cell>
          <cell r="CC127"/>
        </row>
        <row r="128">
          <cell r="A128" t="str">
            <v>Gross Margin, %</v>
          </cell>
        </row>
        <row r="129">
          <cell r="A129" t="str">
            <v>Consensus Estimates - Gross Margin, %</v>
          </cell>
        </row>
        <row r="130">
          <cell r="A130"/>
        </row>
        <row r="131">
          <cell r="A131" t="str">
            <v>SG&amp;A Margin, %</v>
          </cell>
          <cell r="B131"/>
          <cell r="C131">
            <v>0.42419130151608353</v>
          </cell>
          <cell r="D131">
            <v>0.32498980721067039</v>
          </cell>
          <cell r="E131">
            <v>0.32520675751918499</v>
          </cell>
          <cell r="F131">
            <v>0.35686183753760703</v>
          </cell>
          <cell r="G131">
            <v>0.45509401574665226</v>
          </cell>
          <cell r="H131">
            <v>0.35349836324742429</v>
          </cell>
          <cell r="I131">
            <v>0.28587887187422945</v>
          </cell>
          <cell r="J131">
            <v>0.33247718124854553</v>
          </cell>
          <cell r="K131">
            <v>0.43524620636047184</v>
          </cell>
          <cell r="L131">
            <v>0.28448275862068967</v>
          </cell>
          <cell r="M131">
            <v>0.27882905532186264</v>
          </cell>
          <cell r="N131">
            <v>0.36100655619443667</v>
          </cell>
          <cell r="O131">
            <v>0.46414591149482437</v>
          </cell>
          <cell r="P131">
            <v>0.30873852431145871</v>
          </cell>
          <cell r="Q131">
            <v>0.3047393150808711</v>
          </cell>
          <cell r="R131">
            <v>0.35095947478526462</v>
          </cell>
          <cell r="S131">
            <v>0.47005734535520077</v>
          </cell>
          <cell r="T131">
            <v>0.29501560450495268</v>
          </cell>
          <cell r="U131">
            <v>0.32956460390144382</v>
          </cell>
          <cell r="V131">
            <v>0.33278951417792169</v>
          </cell>
          <cell r="W131">
            <v>0.43350744148436304</v>
          </cell>
          <cell r="X131">
            <v>0.29618205339508591</v>
          </cell>
          <cell r="Y131">
            <v>0.27599371306857223</v>
          </cell>
          <cell r="Z131">
            <v>0.30104155328750737</v>
          </cell>
          <cell r="AA131">
            <v>0.42210541394430873</v>
          </cell>
          <cell r="AB131">
            <v>0.24032847860887033</v>
          </cell>
          <cell r="AC131">
            <v>0.24372956580796992</v>
          </cell>
          <cell r="AD131">
            <v>0.3034169027052756</v>
          </cell>
          <cell r="AE131">
            <v>0.41673375570256804</v>
          </cell>
          <cell r="AF131">
            <v>0.23211768953909587</v>
          </cell>
          <cell r="AG131">
            <v>0.24766093469282996</v>
          </cell>
          <cell r="AH131">
            <v>0.31403594230490339</v>
          </cell>
          <cell r="AI131">
            <v>0.3176272374379987</v>
          </cell>
          <cell r="AJ131">
            <v>0.24176580839835704</v>
          </cell>
          <cell r="AK131">
            <v>0.25619094977623075</v>
          </cell>
          <cell r="AL131">
            <v>0.2898392493270609</v>
          </cell>
          <cell r="AM131">
            <v>0.33325920854717084</v>
          </cell>
          <cell r="AN131">
            <v>0.22134420168641805</v>
          </cell>
          <cell r="AO131">
            <v>0.22347660307026906</v>
          </cell>
          <cell r="AP131">
            <v>0.2670871310227565</v>
          </cell>
          <cell r="AQ131">
            <v>0.37249911795836765</v>
          </cell>
          <cell r="AR131">
            <v>0.22252882087973214</v>
          </cell>
          <cell r="AS131">
            <v>0.21912929208733445</v>
          </cell>
          <cell r="AT131">
            <v>0.24433854751607589</v>
          </cell>
          <cell r="AU131">
            <v>0.35313350590714754</v>
          </cell>
          <cell r="AV131">
            <v>0.23151596060752513</v>
          </cell>
          <cell r="AW131">
            <v>0.21698919239608555</v>
          </cell>
          <cell r="AX131">
            <v>0.2144096685967169</v>
          </cell>
          <cell r="AY131">
            <v>0.35</v>
          </cell>
          <cell r="AZ131">
            <v>0.21</v>
          </cell>
          <cell r="BA131">
            <v>0.21</v>
          </cell>
          <cell r="BB131">
            <v>0.22</v>
          </cell>
          <cell r="BC131">
            <v>0.34499999999999997</v>
          </cell>
          <cell r="BD131">
            <v>0.23</v>
          </cell>
          <cell r="BE131">
            <v>0.21</v>
          </cell>
          <cell r="BF131">
            <v>0.23</v>
          </cell>
          <cell r="BG131"/>
          <cell r="BH131">
            <v>0.30502609538838882</v>
          </cell>
          <cell r="BI131">
            <v>0.33025723723567502</v>
          </cell>
          <cell r="BJ131">
            <v>0.36580505862941542</v>
          </cell>
          <cell r="BK131">
            <v>0.38236070507490749</v>
          </cell>
          <cell r="BL131">
            <v>0.35853434250548205</v>
          </cell>
          <cell r="BM131">
            <v>0.35612737928102023</v>
          </cell>
          <cell r="BN131">
            <v>0.33967419386814635</v>
          </cell>
          <cell r="BO131">
            <v>0.35782743210725332</v>
          </cell>
          <cell r="BP131">
            <v>0.35798221534936225</v>
          </cell>
          <cell r="BQ131">
            <v>0.32655867604338512</v>
          </cell>
          <cell r="BR131">
            <v>0.30207078105679341</v>
          </cell>
          <cell r="BS131">
            <v>0.30273500742242482</v>
          </cell>
          <cell r="BT131">
            <v>0.2761940706421302</v>
          </cell>
          <cell r="BU131">
            <v>0.26077895682962721</v>
          </cell>
          <cell r="BV131">
            <v>0.26209971056266662</v>
          </cell>
          <cell r="BW131">
            <v>0.25195373293746437</v>
          </cell>
          <cell r="BX131">
            <v>0.24554771155102434</v>
          </cell>
          <cell r="BY131">
            <v>0.25192704056178489</v>
          </cell>
          <cell r="BZ131">
            <v>0.26</v>
          </cell>
          <cell r="CA131">
            <v>0.253</v>
          </cell>
          <cell r="CB131">
            <v>0.252</v>
          </cell>
          <cell r="CC131"/>
        </row>
        <row r="132">
          <cell r="A132" t="str">
            <v>EBIT Margin, %</v>
          </cell>
          <cell r="B132"/>
          <cell r="C132">
            <v>3.9173028910518513E-2</v>
          </cell>
          <cell r="D132">
            <v>7.8979556176830293E-2</v>
          </cell>
          <cell r="E132">
            <v>8.8766977510102749E-2</v>
          </cell>
          <cell r="F132">
            <v>6.9970012851634632E-3</v>
          </cell>
          <cell r="G132">
            <v>-3.7063310650446955E-2</v>
          </cell>
          <cell r="H132">
            <v>-3.9782242685971206E-2</v>
          </cell>
          <cell r="I132">
            <v>0.11642193332256333</v>
          </cell>
          <cell r="J132">
            <v>5.5346784689242479E-2</v>
          </cell>
          <cell r="K132">
            <v>-5.5586535536855039E-2</v>
          </cell>
          <cell r="L132">
            <v>8.8511223325147853E-2</v>
          </cell>
          <cell r="M132">
            <v>0.11213172923232885</v>
          </cell>
          <cell r="N132">
            <v>-6.9245295028749085E-2</v>
          </cell>
          <cell r="O132">
            <v>-9.2464855580165387E-2</v>
          </cell>
          <cell r="P132">
            <v>7.052789364544966E-2</v>
          </cell>
          <cell r="Q132">
            <v>8.6446191379777715E-2</v>
          </cell>
          <cell r="R132">
            <v>2.2998477311030061E-3</v>
          </cell>
          <cell r="S132">
            <v>-9.8931648177080986E-2</v>
          </cell>
          <cell r="T132">
            <v>8.2875751956216964E-2</v>
          </cell>
          <cell r="U132">
            <v>5.7353291421946305E-2</v>
          </cell>
          <cell r="V132">
            <v>2.1839282900286319E-2</v>
          </cell>
          <cell r="W132">
            <v>-7.7636208667526227E-2</v>
          </cell>
          <cell r="X132">
            <v>6.3136765633416345E-2</v>
          </cell>
          <cell r="Y132">
            <v>8.4671739727909909E-2</v>
          </cell>
          <cell r="Z132">
            <v>4.1343972135937559E-2</v>
          </cell>
          <cell r="AA132">
            <v>-5.4720389632093809E-2</v>
          </cell>
          <cell r="AB132">
            <v>0.13061458300637185</v>
          </cell>
          <cell r="AC132">
            <v>9.1872917094435652E-2</v>
          </cell>
          <cell r="AD132">
            <v>1.0459826618912621E-2</v>
          </cell>
          <cell r="AE132">
            <v>-7.5404187133684228E-2</v>
          </cell>
          <cell r="AF132">
            <v>0.1176623608571241</v>
          </cell>
          <cell r="AG132">
            <v>5.6382556755873947E-2</v>
          </cell>
          <cell r="AH132">
            <v>2.6181436874142993E-2</v>
          </cell>
          <cell r="AI132">
            <v>3.2521026525770956E-2</v>
          </cell>
          <cell r="AJ132">
            <v>0.10222653497986138</v>
          </cell>
          <cell r="AK132">
            <v>9.8313123972000149E-2</v>
          </cell>
          <cell r="AL132">
            <v>5.3802420064904162E-2</v>
          </cell>
          <cell r="AM132">
            <v>-1.7432650552437881E-2</v>
          </cell>
          <cell r="AN132">
            <v>0.13898419318839486</v>
          </cell>
          <cell r="AO132">
            <v>0.14368233101427005</v>
          </cell>
          <cell r="AP132">
            <v>0.10126293081669815</v>
          </cell>
          <cell r="AQ132">
            <v>-6.7550276373044796E-2</v>
          </cell>
          <cell r="AR132">
            <v>0.14848997131545372</v>
          </cell>
          <cell r="AS132">
            <v>0.15352212705514118</v>
          </cell>
          <cell r="AT132">
            <v>0.11157647847210578</v>
          </cell>
          <cell r="AU132">
            <v>6.9140594900672135E-3</v>
          </cell>
          <cell r="AV132">
            <v>0.16695254997345835</v>
          </cell>
          <cell r="AW132">
            <v>0.16955976629924527</v>
          </cell>
          <cell r="AX132">
            <v>0.13792651581948523</v>
          </cell>
          <cell r="AY132">
            <v>2.0000000000000039E-2</v>
          </cell>
          <cell r="AZ132">
            <v>0.18</v>
          </cell>
          <cell r="BA132">
            <v>0.18000000000000005</v>
          </cell>
          <cell r="BB132">
            <v>0.16000000000000003</v>
          </cell>
          <cell r="BC132">
            <v>3.5000000000000024E-2</v>
          </cell>
          <cell r="BD132">
            <v>0.17</v>
          </cell>
          <cell r="BE132">
            <v>0.19000000000000003</v>
          </cell>
          <cell r="BF132">
            <v>0.16</v>
          </cell>
          <cell r="BG132"/>
          <cell r="BH132">
            <v>7.0788692315248675E-2</v>
          </cell>
          <cell r="BI132">
            <v>9.2249070148516243E-2</v>
          </cell>
          <cell r="BJ132">
            <v>4.6348438271628517E-2</v>
          </cell>
          <cell r="BK132">
            <v>4.0908686673056617E-2</v>
          </cell>
          <cell r="BL132">
            <v>5.3884605408974107E-2</v>
          </cell>
          <cell r="BM132">
            <v>2.4855554818482391E-2</v>
          </cell>
          <cell r="BN132">
            <v>1.9431737414768016E-2</v>
          </cell>
          <cell r="BO132">
            <v>1.5943623238226245E-2</v>
          </cell>
          <cell r="BP132">
            <v>1.4776273776925381E-2</v>
          </cell>
          <cell r="BQ132">
            <v>2.783486282517594E-2</v>
          </cell>
          <cell r="BR132">
            <v>4.4780615740850065E-2</v>
          </cell>
          <cell r="BS132">
            <v>3.118571435434522E-2</v>
          </cell>
          <cell r="BT132">
            <v>7.1875894739581947E-2</v>
          </cell>
          <cell r="BU132">
            <v>9.2862487297425772E-2</v>
          </cell>
          <cell r="BV132">
            <v>9.0074443848177616E-2</v>
          </cell>
          <cell r="BW132">
            <v>0.12234880290813695</v>
          </cell>
          <cell r="BX132">
            <v>0.13712817581278888</v>
          </cell>
          <cell r="BY132">
            <v>0.14075003202427303</v>
          </cell>
          <cell r="BZ132">
            <v>0.13999999999999999</v>
          </cell>
          <cell r="CA132">
            <v>0.14699999999999999</v>
          </cell>
          <cell r="CB132">
            <v>0.14800000000000005</v>
          </cell>
          <cell r="CC132"/>
        </row>
        <row r="133">
          <cell r="A133" t="str">
            <v>Adjusted EBIT Margin, %</v>
          </cell>
          <cell r="B133"/>
          <cell r="C133">
            <v>5.2162861381481351E-2</v>
          </cell>
          <cell r="D133">
            <v>9.3094142543731884E-2</v>
          </cell>
          <cell r="E133">
            <v>0.10735795311202743</v>
          </cell>
          <cell r="F133">
            <v>2.9356876609531842E-2</v>
          </cell>
          <cell r="G133">
            <v>-2.0948827758948223E-2</v>
          </cell>
          <cell r="H133">
            <v>-1.6881104327903657E-3</v>
          </cell>
          <cell r="I133">
            <v>0.13338038108680306</v>
          </cell>
          <cell r="J133">
            <v>8.3914396283495327E-2</v>
          </cell>
          <cell r="K133">
            <v>-3.7957517996552899E-2</v>
          </cell>
          <cell r="L133">
            <v>0.10924584097118942</v>
          </cell>
          <cell r="M133">
            <v>0.13053555879864109</v>
          </cell>
          <cell r="N133">
            <v>-3.6027243215717333E-2</v>
          </cell>
          <cell r="O133">
            <v>-7.1730777923428066E-2</v>
          </cell>
          <cell r="P133">
            <v>9.4252697415366002E-2</v>
          </cell>
          <cell r="Q133">
            <v>0.10550284629981024</v>
          </cell>
          <cell r="R133">
            <v>2.4245546021805564E-2</v>
          </cell>
          <cell r="S133">
            <v>-7.8446176539901644E-2</v>
          </cell>
          <cell r="T133">
            <v>0.10367271247003486</v>
          </cell>
          <cell r="U133">
            <v>8.1012703733828142E-2</v>
          </cell>
          <cell r="V133">
            <v>5.9107889394599392E-2</v>
          </cell>
          <cell r="W133">
            <v>-6.4178158533120547E-2</v>
          </cell>
          <cell r="X133">
            <v>9.6362523076639742E-2</v>
          </cell>
          <cell r="Y133">
            <v>0.10424110210251483</v>
          </cell>
          <cell r="Z133">
            <v>6.6311109622646039E-2</v>
          </cell>
          <cell r="AA133">
            <v>-3.8708547872382849E-2</v>
          </cell>
          <cell r="AB133">
            <v>0.14685803069776204</v>
          </cell>
          <cell r="AC133">
            <v>0.1074700298516893</v>
          </cell>
          <cell r="AD133">
            <v>2.8258308168886474E-2</v>
          </cell>
          <cell r="AE133">
            <v>-5.103822713819571E-2</v>
          </cell>
          <cell r="AF133">
            <v>0.14452610858094658</v>
          </cell>
          <cell r="AG133">
            <v>8.691290044098092E-2</v>
          </cell>
          <cell r="AH133">
            <v>5.8111560214330608E-2</v>
          </cell>
          <cell r="AI133">
            <v>6.2025555315937016E-2</v>
          </cell>
          <cell r="AJ133">
            <v>0.1330603889457522</v>
          </cell>
          <cell r="AK133">
            <v>0.14001453543969705</v>
          </cell>
          <cell r="AL133">
            <v>8.4189077004352214E-2</v>
          </cell>
          <cell r="AM133">
            <v>1.1298616281800773E-2</v>
          </cell>
          <cell r="AN133">
            <v>0.14830271521610136</v>
          </cell>
          <cell r="AO133">
            <v>0.16465823457158979</v>
          </cell>
          <cell r="AP133">
            <v>0.1174686024722601</v>
          </cell>
          <cell r="AQ133">
            <v>-4.6854051511231322E-2</v>
          </cell>
          <cell r="AR133">
            <v>0.16642053944397794</v>
          </cell>
          <cell r="AS133">
            <v>0.17058628403262713</v>
          </cell>
          <cell r="AT133">
            <v>0.13326052919507986</v>
          </cell>
          <cell r="AU133">
            <v>3.0740491606290055E-2</v>
          </cell>
          <cell r="AV133">
            <v>0.18791644548674108</v>
          </cell>
          <cell r="AW133">
            <v>0.18510589685448617</v>
          </cell>
          <cell r="AX133">
            <v>0.16454286265193779</v>
          </cell>
          <cell r="AY133">
            <v>4.1801455859818544E-2</v>
          </cell>
          <cell r="AZ133">
            <v>0.20072254293046332</v>
          </cell>
          <cell r="BA133">
            <v>0.19833511526439712</v>
          </cell>
          <cell r="BB133">
            <v>0.17786804586579941</v>
          </cell>
          <cell r="BC133">
            <v>5.5398570081889878E-2</v>
          </cell>
          <cell r="BD133">
            <v>0.189381329142398</v>
          </cell>
          <cell r="BE133">
            <v>0.20714519589970293</v>
          </cell>
          <cell r="BF133">
            <v>0.17670303351092281</v>
          </cell>
          <cell r="BG133"/>
          <cell r="BH133">
            <v>7.9629752862253655E-2</v>
          </cell>
          <cell r="BI133">
            <v>0.10768330428902133</v>
          </cell>
          <cell r="BJ133">
            <v>6.4467473403338929E-2</v>
          </cell>
          <cell r="BK133">
            <v>5.5119444048407226E-2</v>
          </cell>
          <cell r="BL133">
            <v>7.0830680719624645E-2</v>
          </cell>
          <cell r="BM133">
            <v>4.9680660059833355E-2</v>
          </cell>
          <cell r="BN133">
            <v>4.1892071446197089E-2</v>
          </cell>
          <cell r="BO133">
            <v>3.7275123180932783E-2</v>
          </cell>
          <cell r="BP133">
            <v>4.0209607222805546E-2</v>
          </cell>
          <cell r="BQ133">
            <v>5.0517906059925878E-2</v>
          </cell>
          <cell r="BR133">
            <v>6.1198008962817636E-2</v>
          </cell>
          <cell r="BS133">
            <v>5.9647470850768519E-2</v>
          </cell>
          <cell r="BT133">
            <v>0.10504633124235402</v>
          </cell>
          <cell r="BU133">
            <v>0.11156091366044014</v>
          </cell>
          <cell r="BV133">
            <v>0.10941090413517665</v>
          </cell>
          <cell r="BW133">
            <v>0.14408336188628915</v>
          </cell>
          <cell r="BX133">
            <v>0.15674693235023135</v>
          </cell>
          <cell r="BY133">
            <v>0.15909739848381549</v>
          </cell>
          <cell r="BZ133">
            <v>0.1565196329505523</v>
          </cell>
          <cell r="CA133">
            <v>0.16171600441036324</v>
          </cell>
          <cell r="CB133">
            <v>0.16137973812471074</v>
          </cell>
          <cell r="CC133"/>
        </row>
        <row r="134">
          <cell r="A134" t="str">
            <v>Consensus Estimates - Adjusted EBIT Margin, %</v>
          </cell>
        </row>
        <row r="135">
          <cell r="A135"/>
        </row>
        <row r="136">
          <cell r="A136" t="str">
            <v>Add back: D&amp;A Margin, %</v>
          </cell>
        </row>
        <row r="137">
          <cell r="A137" t="str">
            <v>Add back: Amortization of Intangibles Margin, %</v>
          </cell>
        </row>
        <row r="138">
          <cell r="A138" t="str">
            <v>Add back: SBC Margin, %</v>
          </cell>
        </row>
        <row r="139">
          <cell r="A139" t="str">
            <v>EBITDA Margin, %</v>
          </cell>
          <cell r="B139"/>
          <cell r="C139">
            <v>0.11000651300792418</v>
          </cell>
          <cell r="D139">
            <v>0.15776981769468224</v>
          </cell>
          <cell r="E139">
            <v>0.1634519675793201</v>
          </cell>
          <cell r="F139">
            <v>9.3467331734675224E-2</v>
          </cell>
          <cell r="G139">
            <v>3.7159647232950739E-2</v>
          </cell>
          <cell r="H139">
            <v>0.11439851017555461</v>
          </cell>
          <cell r="I139">
            <v>0.19301765991276323</v>
          </cell>
          <cell r="J139">
            <v>0.15524077122639454</v>
          </cell>
          <cell r="K139">
            <v>1.5723748690391569E-2</v>
          </cell>
          <cell r="L139">
            <v>0.16472693943900668</v>
          </cell>
          <cell r="M139">
            <v>0.18474959427363732</v>
          </cell>
          <cell r="N139">
            <v>6.4543506397064021E-2</v>
          </cell>
          <cell r="O139">
            <v>-1.7588030556434424E-2</v>
          </cell>
          <cell r="P139">
            <v>0.14940304868996357</v>
          </cell>
          <cell r="Q139">
            <v>0.1659031354477275</v>
          </cell>
          <cell r="R139">
            <v>8.1836624962158613E-2</v>
          </cell>
          <cell r="S139">
            <v>-2.1772905410713118E-2</v>
          </cell>
          <cell r="T139">
            <v>0.16743407662038087</v>
          </cell>
          <cell r="U139">
            <v>0.14700291642138461</v>
          </cell>
          <cell r="V139">
            <v>0.10505751814532939</v>
          </cell>
          <cell r="W139">
            <v>1.2562012369692127E-2</v>
          </cell>
          <cell r="X139">
            <v>0.14853759708302064</v>
          </cell>
          <cell r="Y139">
            <v>0.16379947093582525</v>
          </cell>
          <cell r="Z139">
            <v>0.115223925584199</v>
          </cell>
          <cell r="AA139">
            <v>1.893646991413123E-2</v>
          </cell>
          <cell r="AB139">
            <v>0.20010044257509652</v>
          </cell>
          <cell r="AC139">
            <v>0.15914977966610341</v>
          </cell>
          <cell r="AD139">
            <v>8.1236296105557937E-2</v>
          </cell>
          <cell r="AE139">
            <v>-8.7196300574438456E-3</v>
          </cell>
          <cell r="AF139">
            <v>0.18455965429280288</v>
          </cell>
          <cell r="AG139">
            <v>0.1279894537903358</v>
          </cell>
          <cell r="AH139">
            <v>9.7950775477725266E-2</v>
          </cell>
          <cell r="AI139">
            <v>8.1790489540651268E-2</v>
          </cell>
          <cell r="AJ139">
            <v>0.16380119368860402</v>
          </cell>
          <cell r="AK139">
            <v>0.15849494447207027</v>
          </cell>
          <cell r="AL139">
            <v>0.11679203038917273</v>
          </cell>
          <cell r="AM139">
            <v>4.2900761069995443E-2</v>
          </cell>
          <cell r="AN139">
            <v>0.20047276359134283</v>
          </cell>
          <cell r="AO139">
            <v>0.20091671764811889</v>
          </cell>
          <cell r="AP139">
            <v>0.15497428664948781</v>
          </cell>
          <cell r="AQ139">
            <v>-5.8050099964718173E-3</v>
          </cell>
          <cell r="AR139">
            <v>0.20839595580616666</v>
          </cell>
          <cell r="AS139">
            <v>0.2108109142560666</v>
          </cell>
          <cell r="AT139">
            <v>0.1730091067221797</v>
          </cell>
          <cell r="AU139">
            <v>6.5260807903686241E-2</v>
          </cell>
          <cell r="AV139">
            <v>0.21936823090391938</v>
          </cell>
          <cell r="AW139">
            <v>0.22136868156448178</v>
          </cell>
          <cell r="AX139">
            <v>0.1907529816560993</v>
          </cell>
          <cell r="AY139">
            <v>7.0487321694036084E-2</v>
          </cell>
          <cell r="AZ139">
            <v>0.22495472736541275</v>
          </cell>
          <cell r="BA139">
            <v>0.22030805776864523</v>
          </cell>
          <cell r="BB139">
            <v>0.19799422111121634</v>
          </cell>
          <cell r="BC139">
            <v>7.3527562033985666E-2</v>
          </cell>
          <cell r="BD139">
            <v>0.20540736960233291</v>
          </cell>
          <cell r="BE139">
            <v>0.22264549417342477</v>
          </cell>
          <cell r="BF139">
            <v>0.19150711247904406</v>
          </cell>
          <cell r="BG139"/>
          <cell r="BH139">
            <v>0.1368114509162697</v>
          </cell>
          <cell r="BI139">
            <v>0.15925299763310541</v>
          </cell>
          <cell r="BJ139">
            <v>0.12852915392183506</v>
          </cell>
          <cell r="BK139">
            <v>0.12282910812569613</v>
          </cell>
          <cell r="BL139">
            <v>0.13138454646200279</v>
          </cell>
          <cell r="BM139">
            <v>0.1256338677596614</v>
          </cell>
          <cell r="BN139">
            <v>0.10780201076881223</v>
          </cell>
          <cell r="BO139">
            <v>9.4120545433711511E-2</v>
          </cell>
          <cell r="BP139">
            <v>9.837606173869097E-2</v>
          </cell>
          <cell r="BQ139">
            <v>0.10984119581490935</v>
          </cell>
          <cell r="BR139">
            <v>0.11507336436452988</v>
          </cell>
          <cell r="BS139">
            <v>0.10045303214462448</v>
          </cell>
          <cell r="BT139">
            <v>0.13049077279471091</v>
          </cell>
          <cell r="BU139">
            <v>0.15091428889892838</v>
          </cell>
          <cell r="BV139">
            <v>0.15013786099388357</v>
          </cell>
          <cell r="BW139">
            <v>0.17611316087838205</v>
          </cell>
          <cell r="BX139">
            <v>0.1803738773850706</v>
          </cell>
          <cell r="BY139">
            <v>0.17516323508702433</v>
          </cell>
          <cell r="BZ139">
            <v>0.16929905323605002</v>
          </cell>
          <cell r="CA139">
            <v>0.17155919328800071</v>
          </cell>
          <cell r="CB139">
            <v>0.17001834883386507</v>
          </cell>
          <cell r="CC139"/>
        </row>
        <row r="140">
          <cell r="A140" t="str">
            <v>Adjusted EBITDA Margin, %</v>
          </cell>
          <cell r="B140"/>
          <cell r="C140">
            <v>0.12299634547888701</v>
          </cell>
          <cell r="D140">
            <v>0.17188440406158381</v>
          </cell>
          <cell r="E140">
            <v>0.18204294318124478</v>
          </cell>
          <cell r="F140">
            <v>0.11582720705904359</v>
          </cell>
          <cell r="G140">
            <v>5.3274130124449474E-2</v>
          </cell>
          <cell r="H140">
            <v>0.15249264242873545</v>
          </cell>
          <cell r="I140">
            <v>0.20997610767700295</v>
          </cell>
          <cell r="J140">
            <v>0.15621040655732032</v>
          </cell>
          <cell r="K140">
            <v>3.3352766230693713E-2</v>
          </cell>
          <cell r="L140">
            <v>0.18546155708504822</v>
          </cell>
          <cell r="M140">
            <v>0.20315342383994958</v>
          </cell>
          <cell r="N140">
            <v>9.7761558210095773E-2</v>
          </cell>
          <cell r="O140">
            <v>3.1460471003029074E-3</v>
          </cell>
          <cell r="P140">
            <v>0.17312785245987988</v>
          </cell>
          <cell r="Q140">
            <v>0.18495979036776003</v>
          </cell>
          <cell r="R140">
            <v>0.10378232325286117</v>
          </cell>
          <cell r="S140">
            <v>-1.2874337735337828E-3</v>
          </cell>
          <cell r="T140">
            <v>0.18823103713419878</v>
          </cell>
          <cell r="U140">
            <v>0.17066232873326645</v>
          </cell>
          <cell r="V140">
            <v>0.14232612463964245</v>
          </cell>
          <cell r="W140">
            <v>2.6020062504097795E-2</v>
          </cell>
          <cell r="X140">
            <v>0.18176335452624404</v>
          </cell>
          <cell r="Y140">
            <v>0.18336883331043019</v>
          </cell>
          <cell r="Z140">
            <v>0.14019106307090748</v>
          </cell>
          <cell r="AA140">
            <v>3.4948311673842193E-2</v>
          </cell>
          <cell r="AB140">
            <v>0.2163438902664867</v>
          </cell>
          <cell r="AC140">
            <v>0.17474689242335706</v>
          </cell>
          <cell r="AD140">
            <v>9.9034777655531786E-2</v>
          </cell>
          <cell r="AE140">
            <v>1.2756639869944438E-2</v>
          </cell>
          <cell r="AF140">
            <v>0.20854250870674296</v>
          </cell>
          <cell r="AG140">
            <v>0.15165620600885077</v>
          </cell>
          <cell r="AH140">
            <v>0.11960688801216719</v>
          </cell>
          <cell r="AI140">
            <v>0.10576342462799222</v>
          </cell>
          <cell r="AJ140">
            <v>0.18792486939876898</v>
          </cell>
          <cell r="AK140">
            <v>0.19127363602748981</v>
          </cell>
          <cell r="AL140">
            <v>0.13820532816784495</v>
          </cell>
          <cell r="AM140">
            <v>6.3604063704007216E-2</v>
          </cell>
          <cell r="AN140">
            <v>0.20194282393219171</v>
          </cell>
          <cell r="AO140">
            <v>0.21413869800484678</v>
          </cell>
          <cell r="AP140">
            <v>0.16399427957584506</v>
          </cell>
          <cell r="AQ140">
            <v>7.1551217217452785E-3</v>
          </cell>
          <cell r="AR140">
            <v>0.21917392869218108</v>
          </cell>
          <cell r="AS140">
            <v>0.22090056221347107</v>
          </cell>
          <cell r="AT140">
            <v>0.18360707275656726</v>
          </cell>
          <cell r="AU140">
            <v>8.2808357681790748E-2</v>
          </cell>
          <cell r="AV140">
            <v>0.23441374775188759</v>
          </cell>
          <cell r="AW140">
            <v>0.2314486106017814</v>
          </cell>
          <cell r="AX140">
            <v>0.20982884142700181</v>
          </cell>
          <cell r="AY140">
            <v>8.5653551857388099E-2</v>
          </cell>
          <cell r="AZ140">
            <v>0.23937040940399595</v>
          </cell>
          <cell r="BA140">
            <v>0.23253146794490998</v>
          </cell>
          <cell r="BB140">
            <v>0.20990625168841592</v>
          </cell>
          <cell r="BC140">
            <v>8.7717871656169913E-2</v>
          </cell>
          <cell r="BD140">
            <v>0.2188900333535663</v>
          </cell>
          <cell r="BE140">
            <v>0.23407562477322671</v>
          </cell>
          <cell r="BF140">
            <v>0.20264246815299261</v>
          </cell>
          <cell r="BG140"/>
          <cell r="BH140">
            <v>0.14565251146327465</v>
          </cell>
          <cell r="BI140">
            <v>0.17468723177361051</v>
          </cell>
          <cell r="BJ140">
            <v>0.14664818905354549</v>
          </cell>
          <cell r="BK140">
            <v>0.13703986550104671</v>
          </cell>
          <cell r="BL140">
            <v>0.14833062177265333</v>
          </cell>
          <cell r="BM140">
            <v>0.14349471971707986</v>
          </cell>
          <cell r="BN140">
            <v>0.13026234480024129</v>
          </cell>
          <cell r="BO140">
            <v>0.11545204537641805</v>
          </cell>
          <cell r="BP140">
            <v>0.12380939518457114</v>
          </cell>
          <cell r="BQ140">
            <v>0.13252423904965929</v>
          </cell>
          <cell r="BR140">
            <v>0.13149075758649745</v>
          </cell>
          <cell r="BS140">
            <v>0.12313730765350496</v>
          </cell>
          <cell r="BT140">
            <v>0.15608553059684008</v>
          </cell>
          <cell r="BU140">
            <v>0.1619241746735868</v>
          </cell>
          <cell r="BV140">
            <v>0.16119721905039733</v>
          </cell>
          <cell r="BW140">
            <v>0.19153518827059282</v>
          </cell>
          <cell r="BX140">
            <v>0.19375030229696327</v>
          </cell>
          <cell r="BY140">
            <v>0.1876728031276215</v>
          </cell>
          <cell r="BZ140">
            <v>0.18056243933869931</v>
          </cell>
          <cell r="CA140">
            <v>0.18159283265870291</v>
          </cell>
          <cell r="CB140">
            <v>0.17914089755525875</v>
          </cell>
          <cell r="CC140"/>
        </row>
        <row r="141">
          <cell r="A141" t="str">
            <v>Consensus Estimates - Adjusted EBITDA Margin, %</v>
          </cell>
        </row>
        <row r="142">
          <cell r="A142"/>
        </row>
        <row r="143">
          <cell r="A143" t="str">
            <v>Income Statement - As Reported</v>
          </cell>
        </row>
        <row r="144">
          <cell r="A144" t="str">
            <v>Revenues</v>
          </cell>
          <cell r="B144"/>
          <cell r="C144">
            <v>221.096</v>
          </cell>
          <cell r="D144">
            <v>206.02799999999999</v>
          </cell>
          <cell r="E144">
            <v>218.00899999999999</v>
          </cell>
          <cell r="F144">
            <v>203.08699999999999</v>
          </cell>
          <cell r="G144">
            <v>228.36600000000001</v>
          </cell>
          <cell r="H144">
            <v>223.91900000000001</v>
          </cell>
          <cell r="I144">
            <v>235.22200000000001</v>
          </cell>
          <cell r="J144">
            <v>232.04600000000002</v>
          </cell>
          <cell r="K144">
            <v>236.71199999999999</v>
          </cell>
          <cell r="L144">
            <v>231.304</v>
          </cell>
          <cell r="M144">
            <v>244.62299999999999</v>
          </cell>
          <cell r="N144">
            <v>235.65500000000009</v>
          </cell>
          <cell r="O144">
            <v>221.23</v>
          </cell>
          <cell r="P144">
            <v>208.81100000000001</v>
          </cell>
          <cell r="Q144">
            <v>221.34</v>
          </cell>
          <cell r="R144">
            <v>221.31899999999999</v>
          </cell>
          <cell r="S144">
            <v>229.13800000000001</v>
          </cell>
          <cell r="T144">
            <v>221.09</v>
          </cell>
          <cell r="U144">
            <v>222.53299999999999</v>
          </cell>
          <cell r="V144">
            <v>215.75799999999995</v>
          </cell>
          <cell r="W144">
            <v>228.785</v>
          </cell>
          <cell r="X144">
            <v>217.21100000000001</v>
          </cell>
          <cell r="Y144">
            <v>232.864</v>
          </cell>
          <cell r="Z144">
            <v>238.874</v>
          </cell>
          <cell r="AA144">
            <v>251.31399999999999</v>
          </cell>
          <cell r="AB144">
            <v>254.87200000000001</v>
          </cell>
          <cell r="AC144">
            <v>253.25200000000001</v>
          </cell>
          <cell r="AD144">
            <v>256.31399999999996</v>
          </cell>
          <cell r="AE144">
            <v>257.12099999999998</v>
          </cell>
          <cell r="AF144">
            <v>257.55900000000003</v>
          </cell>
          <cell r="AG144">
            <v>257.154</v>
          </cell>
          <cell r="AH144">
            <v>268.93100000000015</v>
          </cell>
          <cell r="AI144">
            <v>370.96</v>
          </cell>
          <cell r="AJ144">
            <v>376.14499999999998</v>
          </cell>
          <cell r="AK144">
            <v>392.14499999999998</v>
          </cell>
          <cell r="AL144">
            <v>397.51000000000005</v>
          </cell>
          <cell r="AM144">
            <v>400.226</v>
          </cell>
          <cell r="AN144">
            <v>409.50700000000001</v>
          </cell>
          <cell r="AO144">
            <v>421.72199999999998</v>
          </cell>
          <cell r="AP144">
            <v>455.2109999999999</v>
          </cell>
          <cell r="AQ144">
            <v>425.15</v>
          </cell>
          <cell r="AR144">
            <v>458.435</v>
          </cell>
          <cell r="AS144">
            <v>470.28399999999999</v>
          </cell>
          <cell r="AT144">
            <v>483.48900000000015</v>
          </cell>
          <cell r="AU144">
            <v>480.18099999999998</v>
          </cell>
          <cell r="AV144">
            <v>504.86799999999999</v>
          </cell>
          <cell r="AW144">
            <v>520.83699999999999</v>
          </cell>
          <cell r="AX144">
            <v>534.18299999999999</v>
          </cell>
          <cell r="AY144"/>
          <cell r="AZ144"/>
          <cell r="BA144"/>
          <cell r="BB144"/>
          <cell r="BC144"/>
          <cell r="BD144"/>
          <cell r="BE144"/>
          <cell r="BF144"/>
          <cell r="BG144"/>
          <cell r="BH144">
            <v>315.57299999999998</v>
          </cell>
          <cell r="BI144">
            <v>384.47</v>
          </cell>
          <cell r="BJ144">
            <v>522.43399999999997</v>
          </cell>
          <cell r="BK144">
            <v>708.40700000000004</v>
          </cell>
          <cell r="BL144">
            <v>848.22</v>
          </cell>
          <cell r="BM144">
            <v>919.553</v>
          </cell>
          <cell r="BN144">
            <v>948.29399999999998</v>
          </cell>
          <cell r="BO144">
            <v>872.7</v>
          </cell>
          <cell r="BP144">
            <v>888.51900000000001</v>
          </cell>
          <cell r="BQ144">
            <v>917.73400000000004</v>
          </cell>
          <cell r="BR144">
            <v>1015.752</v>
          </cell>
          <cell r="BS144">
            <v>1040.7650000000001</v>
          </cell>
          <cell r="BT144">
            <v>1536.76</v>
          </cell>
          <cell r="BU144">
            <v>1686.6659999999999</v>
          </cell>
          <cell r="BV144">
            <v>1837.3579999999999</v>
          </cell>
          <cell r="BW144">
            <v>2040.069</v>
          </cell>
          <cell r="BX144"/>
          <cell r="BY144"/>
          <cell r="BZ144"/>
          <cell r="CA144"/>
          <cell r="CB144"/>
          <cell r="CC144"/>
        </row>
        <row r="145">
          <cell r="A145" t="str">
            <v>Instructional costs and services</v>
          </cell>
        </row>
        <row r="146">
          <cell r="A146" t="str">
            <v>Gross Profit</v>
          </cell>
        </row>
        <row r="147">
          <cell r="A147" t="str">
            <v>Selling, administrative, and other operating expenses</v>
          </cell>
        </row>
        <row r="148">
          <cell r="A148" t="str">
            <v>Product development expenses</v>
          </cell>
        </row>
        <row r="149">
          <cell r="A149" t="str">
            <v>Total Costs and Expenses</v>
          </cell>
        </row>
        <row r="150">
          <cell r="A150" t="str">
            <v>Income from Operations</v>
          </cell>
        </row>
        <row r="151">
          <cell r="A151" t="str">
            <v>Realized gain on sale of assets</v>
          </cell>
        </row>
        <row r="152">
          <cell r="A152" t="str">
            <v>Impairment of investment in Web International Education</v>
          </cell>
        </row>
        <row r="153">
          <cell r="A153" t="str">
            <v>Interest income (expense), net</v>
          </cell>
        </row>
        <row r="154">
          <cell r="A154" t="str">
            <v>Other income (expense), net</v>
          </cell>
        </row>
        <row r="155">
          <cell r="A155" t="str">
            <v>Income before Income Taxes, Loss from Equity Method Investments and Noncontrolling Interest</v>
          </cell>
        </row>
        <row r="156">
          <cell r="A156" t="str">
            <v>Income tax expense</v>
          </cell>
        </row>
        <row r="157">
          <cell r="A157" t="str">
            <v>Loss from equity method investments</v>
          </cell>
        </row>
        <row r="158">
          <cell r="A158" t="str">
            <v>Net Income</v>
          </cell>
        </row>
        <row r="159">
          <cell r="A159" t="str">
            <v>Adjust net loss attributable to noncontrolling interest</v>
          </cell>
        </row>
        <row r="160">
          <cell r="A160" t="str">
            <v>Net Income Attributable to Common Stockholders</v>
          </cell>
        </row>
        <row r="161">
          <cell r="A161"/>
        </row>
        <row r="162">
          <cell r="A162" t="str">
            <v>IS Check</v>
          </cell>
        </row>
        <row r="163">
          <cell r="A163"/>
        </row>
        <row r="164">
          <cell r="A164" t="str">
            <v>Adjusted Numbers - As Reported</v>
          </cell>
        </row>
        <row r="165">
          <cell r="A165" t="str">
            <v>Net Income</v>
          </cell>
        </row>
        <row r="166">
          <cell r="A166" t="str">
            <v>Interest expense, net</v>
          </cell>
        </row>
        <row r="167">
          <cell r="A167" t="str">
            <v>Other expense, net</v>
          </cell>
        </row>
        <row r="168">
          <cell r="A168" t="str">
            <v>Noncontrolling interest</v>
          </cell>
        </row>
        <row r="169">
          <cell r="A169" t="str">
            <v>Realized gain on sale of assets</v>
          </cell>
        </row>
        <row r="170">
          <cell r="A170" t="str">
            <v>Loss from equity method investments</v>
          </cell>
        </row>
        <row r="171">
          <cell r="A171" t="str">
            <v>Impairment of investment in Web International Education</v>
          </cell>
        </row>
        <row r="172">
          <cell r="A172" t="str">
            <v>Income tax expense</v>
          </cell>
        </row>
        <row r="173">
          <cell r="A173" t="str">
            <v>Income from Operations</v>
          </cell>
        </row>
        <row r="174">
          <cell r="A174" t="str">
            <v>Stock-based compensation</v>
          </cell>
        </row>
        <row r="175">
          <cell r="A175" t="str">
            <v>Amortization of intangible assets</v>
          </cell>
        </row>
        <row r="176">
          <cell r="A176" t="str">
            <v>Adjusted Operating Income (loss)</v>
          </cell>
        </row>
        <row r="177">
          <cell r="A177" t="str">
            <v>Depreciation and other amortization</v>
          </cell>
        </row>
        <row r="178">
          <cell r="A178" t="str">
            <v>Adjusted EBITDA</v>
          </cell>
        </row>
        <row r="179">
          <cell r="A179" t="str">
            <v>Stock-based compensation</v>
          </cell>
        </row>
        <row r="180">
          <cell r="A180" t="str">
            <v>Realized gain on sale of assets</v>
          </cell>
        </row>
        <row r="181">
          <cell r="A181" t="str">
            <v>EBITDA</v>
          </cell>
        </row>
        <row r="182">
          <cell r="A182"/>
        </row>
        <row r="183">
          <cell r="A183" t="str">
            <v>Net Loss Attributable to Common Stockholders</v>
          </cell>
        </row>
        <row r="184">
          <cell r="A184" t="str">
            <v>Amount allocated to participating Series A stockholders</v>
          </cell>
        </row>
        <row r="185">
          <cell r="A185" t="str">
            <v>Income Available to Common Stockholders—basic</v>
          </cell>
        </row>
        <row r="186">
          <cell r="A186" t="str">
            <v>Amount allocated to participating Series A stockholders</v>
          </cell>
        </row>
        <row r="187">
          <cell r="A187" t="str">
            <v>Net Income Attributable to Common Stockholders, including Series A stockholders</v>
          </cell>
        </row>
        <row r="188">
          <cell r="A188"/>
        </row>
        <row r="189">
          <cell r="A189" t="str">
            <v>Revised Income Statement</v>
          </cell>
        </row>
        <row r="190">
          <cell r="A190" t="str">
            <v>Net Revenue</v>
          </cell>
          <cell r="B190"/>
          <cell r="C190">
            <v>221.096</v>
          </cell>
          <cell r="D190">
            <v>206.02799999999999</v>
          </cell>
          <cell r="E190">
            <v>218.00899999999999</v>
          </cell>
          <cell r="F190">
            <v>203.08699999999999</v>
          </cell>
          <cell r="G190">
            <v>228.36600000000001</v>
          </cell>
          <cell r="H190">
            <v>223.91900000000001</v>
          </cell>
          <cell r="I190">
            <v>235.22200000000001</v>
          </cell>
          <cell r="J190">
            <v>232.04600000000002</v>
          </cell>
          <cell r="K190">
            <v>236.71199999999999</v>
          </cell>
          <cell r="L190">
            <v>231.304</v>
          </cell>
          <cell r="M190">
            <v>244.62299999999999</v>
          </cell>
          <cell r="N190">
            <v>235.65500000000009</v>
          </cell>
          <cell r="O190">
            <v>221.23</v>
          </cell>
          <cell r="P190">
            <v>208.81100000000001</v>
          </cell>
          <cell r="Q190">
            <v>221.34</v>
          </cell>
          <cell r="R190">
            <v>221.31899999999999</v>
          </cell>
          <cell r="S190">
            <v>229.13800000000001</v>
          </cell>
          <cell r="T190">
            <v>221.09</v>
          </cell>
          <cell r="U190">
            <v>222.53299999999999</v>
          </cell>
          <cell r="V190">
            <v>215.75799999999995</v>
          </cell>
          <cell r="W190">
            <v>228.785</v>
          </cell>
          <cell r="X190">
            <v>217.21100000000001</v>
          </cell>
          <cell r="Y190">
            <v>232.864</v>
          </cell>
          <cell r="Z190">
            <v>238.874</v>
          </cell>
          <cell r="AA190">
            <v>251.31399999999999</v>
          </cell>
          <cell r="AB190">
            <v>254.87200000000001</v>
          </cell>
          <cell r="AC190">
            <v>253.25200000000001</v>
          </cell>
          <cell r="AD190">
            <v>256.31399999999996</v>
          </cell>
          <cell r="AE190">
            <v>257.12099999999998</v>
          </cell>
          <cell r="AF190">
            <v>257.55900000000003</v>
          </cell>
          <cell r="AG190">
            <v>257.154</v>
          </cell>
          <cell r="AH190">
            <v>268.93100000000015</v>
          </cell>
          <cell r="AI190">
            <v>370.96</v>
          </cell>
          <cell r="AJ190">
            <v>376.14499999999998</v>
          </cell>
          <cell r="AK190">
            <v>392.14499999999998</v>
          </cell>
          <cell r="AL190">
            <v>397.51000000000005</v>
          </cell>
          <cell r="AM190">
            <v>400.226</v>
          </cell>
          <cell r="AN190">
            <v>409.50700000000001</v>
          </cell>
          <cell r="AO190">
            <v>421.72199999999998</v>
          </cell>
          <cell r="AP190">
            <v>455.2109999999999</v>
          </cell>
          <cell r="AQ190">
            <v>425.15</v>
          </cell>
          <cell r="AR190">
            <v>458.435</v>
          </cell>
          <cell r="AS190">
            <v>470.28399999999999</v>
          </cell>
          <cell r="AT190">
            <v>483.48900000000015</v>
          </cell>
          <cell r="AU190">
            <v>480.18099999999998</v>
          </cell>
          <cell r="AV190">
            <v>504.86799999999999</v>
          </cell>
          <cell r="AW190">
            <v>520.83699999999999</v>
          </cell>
          <cell r="AX190">
            <v>534.18299999999999</v>
          </cell>
          <cell r="AY190">
            <v>527.48770880000006</v>
          </cell>
          <cell r="AZ190">
            <v>554.95119680000005</v>
          </cell>
          <cell r="BA190">
            <v>572.67161120000003</v>
          </cell>
          <cell r="BB190">
            <v>587.64120479999997</v>
          </cell>
          <cell r="BC190">
            <v>563.76500675456009</v>
          </cell>
          <cell r="BD190">
            <v>593.35455868416011</v>
          </cell>
          <cell r="BE190">
            <v>612.41644956543996</v>
          </cell>
          <cell r="BF190">
            <v>628.62832629375998</v>
          </cell>
          <cell r="BG190"/>
          <cell r="BH190">
            <v>315.57299999999998</v>
          </cell>
          <cell r="BI190">
            <v>384.47</v>
          </cell>
          <cell r="BJ190">
            <v>522.43399999999997</v>
          </cell>
          <cell r="BK190">
            <v>708.40700000000004</v>
          </cell>
          <cell r="BL190">
            <v>848.22</v>
          </cell>
          <cell r="BM190">
            <v>919.553</v>
          </cell>
          <cell r="BN190">
            <v>948.29399999999998</v>
          </cell>
          <cell r="BO190">
            <v>872.7</v>
          </cell>
          <cell r="BP190">
            <v>888.51900000000001</v>
          </cell>
          <cell r="BQ190">
            <v>917.73400000000004</v>
          </cell>
          <cell r="BR190">
            <v>1015.752</v>
          </cell>
          <cell r="BS190">
            <v>1040.7650000000001</v>
          </cell>
          <cell r="BT190">
            <v>1536.76</v>
          </cell>
          <cell r="BU190">
            <v>1686.6659999999999</v>
          </cell>
          <cell r="BV190">
            <v>1837.3579999999999</v>
          </cell>
          <cell r="BW190">
            <v>2040.069</v>
          </cell>
          <cell r="BX190">
            <v>2242.7517215999997</v>
          </cell>
          <cell r="BY190">
            <v>2398.1643412979201</v>
          </cell>
          <cell r="BZ190">
            <v>2663.4974355485856</v>
          </cell>
          <cell r="CA190">
            <v>2989.9420231903759</v>
          </cell>
          <cell r="CB190">
            <v>3288.5546480717371</v>
          </cell>
          <cell r="CC190"/>
        </row>
        <row r="191">
          <cell r="A191" t="str">
            <v>Consensus Estimates - Net Revenue</v>
          </cell>
        </row>
        <row r="192">
          <cell r="A192"/>
        </row>
        <row r="193">
          <cell r="A193" t="str">
            <v>COGS</v>
          </cell>
          <cell r="B193"/>
          <cell r="C193">
            <v>118.648</v>
          </cell>
          <cell r="D193">
            <v>122.79900000000001</v>
          </cell>
          <cell r="E193">
            <v>127.759</v>
          </cell>
          <cell r="F193">
            <v>129.19200000000001</v>
          </cell>
          <cell r="G193">
            <v>132.90199999999999</v>
          </cell>
          <cell r="H193">
            <v>153.672</v>
          </cell>
          <cell r="I193">
            <v>140.59200000000001</v>
          </cell>
          <cell r="J193">
            <v>142.05300000000005</v>
          </cell>
          <cell r="K193">
            <v>146.84200000000001</v>
          </cell>
          <cell r="L193">
            <v>145.029</v>
          </cell>
          <cell r="M193">
            <v>148.98500000000001</v>
          </cell>
          <cell r="N193">
            <v>166.89999999999995</v>
          </cell>
          <cell r="O193">
            <v>139.00299999999999</v>
          </cell>
          <cell r="P193">
            <v>129.61600000000001</v>
          </cell>
          <cell r="Q193">
            <v>134.755</v>
          </cell>
          <cell r="R193">
            <v>143.13600000000002</v>
          </cell>
          <cell r="S193">
            <v>144.09899999999999</v>
          </cell>
          <cell r="T193">
            <v>137.542</v>
          </cell>
          <cell r="U193">
            <v>136.43100000000001</v>
          </cell>
          <cell r="V193">
            <v>139.24399999999997</v>
          </cell>
          <cell r="W193">
            <v>147.36699999999999</v>
          </cell>
          <cell r="X193">
            <v>139.16300000000001</v>
          </cell>
          <cell r="Y193">
            <v>148.87799999999999</v>
          </cell>
          <cell r="Z193">
            <v>157.08700000000002</v>
          </cell>
          <cell r="AA193">
            <v>158.98500000000001</v>
          </cell>
          <cell r="AB193">
            <v>160.32900000000001</v>
          </cell>
          <cell r="AC193">
            <v>168.26</v>
          </cell>
          <cell r="AD193">
            <v>175.863</v>
          </cell>
          <cell r="AE193">
            <v>169.358</v>
          </cell>
          <cell r="AF193">
            <v>167.47</v>
          </cell>
          <cell r="AG193">
            <v>178.96799999999999</v>
          </cell>
          <cell r="AH193">
            <v>177.43599999999998</v>
          </cell>
          <cell r="AI193">
            <v>241.06899999999999</v>
          </cell>
          <cell r="AJ193">
            <v>246.75400000000002</v>
          </cell>
          <cell r="AK193">
            <v>253.12799999999999</v>
          </cell>
          <cell r="AL193">
            <v>260.90899999999999</v>
          </cell>
          <cell r="AM193">
            <v>273.82400000000001</v>
          </cell>
          <cell r="AN193">
            <v>261.95</v>
          </cell>
          <cell r="AO193">
            <v>266.88299999999998</v>
          </cell>
          <cell r="AP193">
            <v>287.53399999999993</v>
          </cell>
          <cell r="AQ193">
            <v>295.50099999999998</v>
          </cell>
          <cell r="AR193">
            <v>288.34699999999998</v>
          </cell>
          <cell r="AS193">
            <v>295.03199999999998</v>
          </cell>
          <cell r="AT193">
            <v>311.40800000000013</v>
          </cell>
          <cell r="AU193">
            <v>307.29300000000001</v>
          </cell>
          <cell r="AV193">
            <v>303.69400000000002</v>
          </cell>
          <cell r="AW193">
            <v>319.50799999999998</v>
          </cell>
          <cell r="AX193">
            <v>345.97099999999989</v>
          </cell>
          <cell r="AY193">
            <v>332.31725654400003</v>
          </cell>
          <cell r="AZ193">
            <v>338.52023004800003</v>
          </cell>
          <cell r="BA193">
            <v>349.329682832</v>
          </cell>
          <cell r="BB193">
            <v>364.337546976</v>
          </cell>
          <cell r="BC193">
            <v>349.53430418782727</v>
          </cell>
          <cell r="BD193">
            <v>356.01273521049609</v>
          </cell>
          <cell r="BE193">
            <v>367.44986973926393</v>
          </cell>
          <cell r="BF193">
            <v>383.46327903919359</v>
          </cell>
          <cell r="BG193"/>
          <cell r="BH193">
            <v>196.976</v>
          </cell>
          <cell r="BI193">
            <v>222.029</v>
          </cell>
          <cell r="BJ193">
            <v>307.11099999999999</v>
          </cell>
          <cell r="BK193">
            <v>408.56</v>
          </cell>
          <cell r="BL193">
            <v>498.39800000000002</v>
          </cell>
          <cell r="BM193">
            <v>569.21900000000005</v>
          </cell>
          <cell r="BN193">
            <v>607.75599999999997</v>
          </cell>
          <cell r="BO193">
            <v>546.51</v>
          </cell>
          <cell r="BP193">
            <v>557.31600000000003</v>
          </cell>
          <cell r="BQ193">
            <v>592.495</v>
          </cell>
          <cell r="BR193">
            <v>663.43700000000001</v>
          </cell>
          <cell r="BS193">
            <v>693.23199999999997</v>
          </cell>
          <cell r="BT193">
            <v>1001.86</v>
          </cell>
          <cell r="BU193">
            <v>1090.191</v>
          </cell>
          <cell r="BV193">
            <v>1190.288</v>
          </cell>
          <cell r="BW193">
            <v>1276.4659999999999</v>
          </cell>
          <cell r="BX193">
            <v>1384.5047164</v>
          </cell>
          <cell r="BY193">
            <v>1456.460188176781</v>
          </cell>
          <cell r="BZ193">
            <v>1598.0984613291514</v>
          </cell>
          <cell r="CA193">
            <v>1793.9652139142256</v>
          </cell>
          <cell r="CB193">
            <v>1973.1327888430421</v>
          </cell>
          <cell r="CC193"/>
        </row>
        <row r="194">
          <cell r="A194" t="str">
            <v>Gross Profit</v>
          </cell>
        </row>
        <row r="195">
          <cell r="A195"/>
        </row>
        <row r="196">
          <cell r="A196" t="str">
            <v>SG&amp;A</v>
          </cell>
          <cell r="B196"/>
          <cell r="C196">
            <v>93.787000000000006</v>
          </cell>
          <cell r="D196">
            <v>66.956999999999994</v>
          </cell>
          <cell r="E196">
            <v>70.897999999999996</v>
          </cell>
          <cell r="F196">
            <v>72.47399999999999</v>
          </cell>
          <cell r="G196">
            <v>103.928</v>
          </cell>
          <cell r="H196">
            <v>79.155000000000001</v>
          </cell>
          <cell r="I196">
            <v>67.245000000000005</v>
          </cell>
          <cell r="J196">
            <v>77.150000000000006</v>
          </cell>
          <cell r="K196">
            <v>103.02800000000001</v>
          </cell>
          <cell r="L196">
            <v>65.802000000000007</v>
          </cell>
          <cell r="M196">
            <v>68.207999999999998</v>
          </cell>
          <cell r="N196">
            <v>85.073000000000008</v>
          </cell>
          <cell r="O196">
            <v>102.68299999999999</v>
          </cell>
          <cell r="P196">
            <v>64.468000000000004</v>
          </cell>
          <cell r="Q196">
            <v>67.451000000000008</v>
          </cell>
          <cell r="R196">
            <v>77.673999999999978</v>
          </cell>
          <cell r="S196">
            <v>107.708</v>
          </cell>
          <cell r="T196">
            <v>65.224999999999994</v>
          </cell>
          <cell r="U196">
            <v>73.338999999999999</v>
          </cell>
          <cell r="V196">
            <v>71.802000000000007</v>
          </cell>
          <cell r="W196">
            <v>99.18</v>
          </cell>
          <cell r="X196">
            <v>64.334000000000003</v>
          </cell>
          <cell r="Y196">
            <v>64.269000000000005</v>
          </cell>
          <cell r="Z196">
            <v>71.91100000000003</v>
          </cell>
          <cell r="AA196">
            <v>106.081</v>
          </cell>
          <cell r="AB196">
            <v>61.253</v>
          </cell>
          <cell r="AC196">
            <v>61.725000000000001</v>
          </cell>
          <cell r="AD196">
            <v>77.77</v>
          </cell>
          <cell r="AE196">
            <v>107.151</v>
          </cell>
          <cell r="AF196">
            <v>59.783999999999999</v>
          </cell>
          <cell r="AG196">
            <v>63.686999999999998</v>
          </cell>
          <cell r="AH196">
            <v>84.454000000000022</v>
          </cell>
          <cell r="AI196">
            <v>117.827</v>
          </cell>
          <cell r="AJ196">
            <v>90.939000000000007</v>
          </cell>
          <cell r="AK196">
            <v>100.464</v>
          </cell>
          <cell r="AL196">
            <v>115.214</v>
          </cell>
          <cell r="AM196">
            <v>133.37899999999999</v>
          </cell>
          <cell r="AN196">
            <v>90.641999999999996</v>
          </cell>
          <cell r="AO196">
            <v>94.245000000000005</v>
          </cell>
          <cell r="AP196">
            <v>121.58099999999999</v>
          </cell>
          <cell r="AQ196">
            <v>158.36799999999999</v>
          </cell>
          <cell r="AR196">
            <v>102.015</v>
          </cell>
          <cell r="AS196">
            <v>103.053</v>
          </cell>
          <cell r="AT196">
            <v>118.13500000000005</v>
          </cell>
          <cell r="AU196">
            <v>169.56800000000001</v>
          </cell>
          <cell r="AV196">
            <v>116.88500000000001</v>
          </cell>
          <cell r="AW196">
            <v>113.01600000000001</v>
          </cell>
          <cell r="AX196">
            <v>114.53400000000002</v>
          </cell>
          <cell r="AY196">
            <v>184.62069808000001</v>
          </cell>
          <cell r="AZ196">
            <v>116.53975132800001</v>
          </cell>
          <cell r="BA196">
            <v>120.261038352</v>
          </cell>
          <cell r="BB196">
            <v>129.28106505599999</v>
          </cell>
          <cell r="BC196">
            <v>194.49892733032323</v>
          </cell>
          <cell r="BD196">
            <v>136.47154849735682</v>
          </cell>
          <cell r="BE196">
            <v>128.6074544087424</v>
          </cell>
          <cell r="BF196">
            <v>144.58451504756479</v>
          </cell>
          <cell r="BG196"/>
          <cell r="BH196">
            <v>96.25800000000001</v>
          </cell>
          <cell r="BI196">
            <v>126.97399999999999</v>
          </cell>
          <cell r="BJ196">
            <v>191.10900000000001</v>
          </cell>
          <cell r="BK196">
            <v>270.86700000000002</v>
          </cell>
          <cell r="BL196">
            <v>304.11599999999999</v>
          </cell>
          <cell r="BM196">
            <v>327.47800000000001</v>
          </cell>
          <cell r="BN196">
            <v>322.11099999999999</v>
          </cell>
          <cell r="BO196">
            <v>312.27600000000001</v>
          </cell>
          <cell r="BP196">
            <v>318.07400000000001</v>
          </cell>
          <cell r="BQ196">
            <v>299.69400000000002</v>
          </cell>
          <cell r="BR196">
            <v>306.82900000000001</v>
          </cell>
          <cell r="BS196">
            <v>315.07600000000002</v>
          </cell>
          <cell r="BT196">
            <v>424.44400000000002</v>
          </cell>
          <cell r="BU196">
            <v>439.84699999999998</v>
          </cell>
          <cell r="BV196">
            <v>481.57100000000003</v>
          </cell>
          <cell r="BW196">
            <v>514.00300000000004</v>
          </cell>
          <cell r="BX196">
            <v>550.70255281599998</v>
          </cell>
          <cell r="BY196">
            <v>604.16244528398727</v>
          </cell>
          <cell r="BZ196">
            <v>692.50933324263224</v>
          </cell>
          <cell r="CA196">
            <v>756.45533186716511</v>
          </cell>
          <cell r="CB196">
            <v>828.71577131407776</v>
          </cell>
          <cell r="CC196"/>
        </row>
        <row r="197">
          <cell r="A197" t="str">
            <v>EBIT</v>
          </cell>
          <cell r="B197"/>
          <cell r="C197">
            <v>8.6610000000000014</v>
          </cell>
          <cell r="D197">
            <v>16.271999999999991</v>
          </cell>
          <cell r="E197">
            <v>19.35199999999999</v>
          </cell>
          <cell r="F197">
            <v>1.4209999999999923</v>
          </cell>
          <cell r="G197">
            <v>-8.4639999999999702</v>
          </cell>
          <cell r="H197">
            <v>-8.907999999999987</v>
          </cell>
          <cell r="I197">
            <v>27.384999999999991</v>
          </cell>
          <cell r="J197">
            <v>12.842999999999961</v>
          </cell>
          <cell r="K197">
            <v>-13.15800000000003</v>
          </cell>
          <cell r="L197">
            <v>20.472999999999999</v>
          </cell>
          <cell r="M197">
            <v>27.429999999999978</v>
          </cell>
          <cell r="N197">
            <v>-16.31799999999987</v>
          </cell>
          <cell r="O197">
            <v>-20.455999999999989</v>
          </cell>
          <cell r="P197">
            <v>14.72699999999999</v>
          </cell>
          <cell r="Q197">
            <v>19.134</v>
          </cell>
          <cell r="R197">
            <v>0.50899999999998613</v>
          </cell>
          <cell r="S197">
            <v>-22.668999999999983</v>
          </cell>
          <cell r="T197">
            <v>18.323000000000008</v>
          </cell>
          <cell r="U197">
            <v>12.762999999999977</v>
          </cell>
          <cell r="V197">
            <v>4.7119999999999749</v>
          </cell>
          <cell r="W197">
            <v>-17.761999999999986</v>
          </cell>
          <cell r="X197">
            <v>13.713999999999999</v>
          </cell>
          <cell r="Y197">
            <v>19.717000000000013</v>
          </cell>
          <cell r="Z197">
            <v>9.8759999999999479</v>
          </cell>
          <cell r="AA197">
            <v>-13.752000000000024</v>
          </cell>
          <cell r="AB197">
            <v>33.290000000000006</v>
          </cell>
          <cell r="AC197">
            <v>23.267000000000017</v>
          </cell>
          <cell r="AD197">
            <v>2.680999999999969</v>
          </cell>
          <cell r="AE197">
            <v>-19.388000000000019</v>
          </cell>
          <cell r="AF197">
            <v>30.305000000000028</v>
          </cell>
          <cell r="AG197">
            <v>14.499000000000009</v>
          </cell>
          <cell r="AH197">
            <v>7.0410000000001531</v>
          </cell>
          <cell r="AI197">
            <v>12.063999999999993</v>
          </cell>
          <cell r="AJ197">
            <v>38.451999999999956</v>
          </cell>
          <cell r="AK197">
            <v>38.552999999999997</v>
          </cell>
          <cell r="AL197">
            <v>21.387000000000057</v>
          </cell>
          <cell r="AM197">
            <v>-6.9770000000000039</v>
          </cell>
          <cell r="AN197">
            <v>56.91500000000002</v>
          </cell>
          <cell r="AO197">
            <v>60.593999999999994</v>
          </cell>
          <cell r="AP197">
            <v>46.095999999999975</v>
          </cell>
          <cell r="AQ197">
            <v>-28.718999999999994</v>
          </cell>
          <cell r="AR197">
            <v>68.073000000000022</v>
          </cell>
          <cell r="AS197">
            <v>72.199000000000012</v>
          </cell>
          <cell r="AT197">
            <v>53.94599999999997</v>
          </cell>
          <cell r="AU197">
            <v>3.3199999999999648</v>
          </cell>
          <cell r="AV197">
            <v>84.288999999999973</v>
          </cell>
          <cell r="AW197">
            <v>88.313000000000002</v>
          </cell>
          <cell r="AX197">
            <v>73.678000000000083</v>
          </cell>
          <cell r="AY197">
            <v>10.549754176000022</v>
          </cell>
          <cell r="AZ197">
            <v>99.891215424000009</v>
          </cell>
          <cell r="BA197">
            <v>103.08089001600003</v>
          </cell>
          <cell r="BB197">
            <v>94.02259276800001</v>
          </cell>
          <cell r="BC197">
            <v>19.731775236409618</v>
          </cell>
          <cell r="BD197">
            <v>100.87027497630723</v>
          </cell>
          <cell r="BE197">
            <v>116.3591254174336</v>
          </cell>
          <cell r="BF197">
            <v>100.5805322070016</v>
          </cell>
          <cell r="BG197"/>
          <cell r="BH197">
            <v>22.33899999999997</v>
          </cell>
          <cell r="BI197">
            <v>35.467000000000041</v>
          </cell>
          <cell r="BJ197">
            <v>24.21399999999997</v>
          </cell>
          <cell r="BK197">
            <v>28.980000000000018</v>
          </cell>
          <cell r="BL197">
            <v>45.706000000000017</v>
          </cell>
          <cell r="BM197">
            <v>22.855999999999938</v>
          </cell>
          <cell r="BN197">
            <v>18.427000000000021</v>
          </cell>
          <cell r="BO197">
            <v>13.914000000000044</v>
          </cell>
          <cell r="BP197">
            <v>13.128999999999962</v>
          </cell>
          <cell r="BQ197">
            <v>25.545000000000016</v>
          </cell>
          <cell r="BR197">
            <v>45.485999999999933</v>
          </cell>
          <cell r="BS197">
            <v>32.457000000000107</v>
          </cell>
          <cell r="BT197">
            <v>110.45599999999996</v>
          </cell>
          <cell r="BU197">
            <v>156.62799999999993</v>
          </cell>
          <cell r="BV197">
            <v>165.49899999999991</v>
          </cell>
          <cell r="BW197">
            <v>249.60000000000002</v>
          </cell>
          <cell r="BX197">
            <v>307.54445238399967</v>
          </cell>
          <cell r="BY197">
            <v>337.54170783715188</v>
          </cell>
          <cell r="BZ197">
            <v>372.88964097680196</v>
          </cell>
          <cell r="CA197">
            <v>439.52147740898522</v>
          </cell>
          <cell r="CB197">
            <v>486.70608791461723</v>
          </cell>
          <cell r="CC197"/>
        </row>
        <row r="198">
          <cell r="A198" t="str">
            <v>Adjusted EBIT</v>
          </cell>
          <cell r="B198"/>
          <cell r="C198">
            <v>11.533000000000001</v>
          </cell>
          <cell r="D198">
            <v>19.179999999999993</v>
          </cell>
          <cell r="E198">
            <v>23.404999999999987</v>
          </cell>
          <cell r="F198">
            <v>5.9619999999999926</v>
          </cell>
          <cell r="G198">
            <v>-4.7839999999999705</v>
          </cell>
          <cell r="H198">
            <v>-0.3779999999999859</v>
          </cell>
          <cell r="I198">
            <v>31.373999999999992</v>
          </cell>
          <cell r="J198">
            <v>19.471999999999959</v>
          </cell>
          <cell r="K198">
            <v>-8.9850000000000296</v>
          </cell>
          <cell r="L198">
            <v>25.268999999999998</v>
          </cell>
          <cell r="M198">
            <v>31.931999999999981</v>
          </cell>
          <cell r="N198">
            <v>-8.4899999999998705</v>
          </cell>
          <cell r="O198">
            <v>-15.868999999999989</v>
          </cell>
          <cell r="P198">
            <v>19.68099999999999</v>
          </cell>
          <cell r="Q198">
            <v>23.352</v>
          </cell>
          <cell r="R198">
            <v>5.3659999999999854</v>
          </cell>
          <cell r="S198">
            <v>-17.974999999999984</v>
          </cell>
          <cell r="T198">
            <v>22.921000000000006</v>
          </cell>
          <cell r="U198">
            <v>18.027999999999977</v>
          </cell>
          <cell r="V198">
            <v>12.752999999999973</v>
          </cell>
          <cell r="W198">
            <v>-14.682999999999986</v>
          </cell>
          <cell r="X198">
            <v>20.930999999999997</v>
          </cell>
          <cell r="Y198">
            <v>24.274000000000015</v>
          </cell>
          <cell r="Z198">
            <v>15.839999999999948</v>
          </cell>
          <cell r="AA198">
            <v>-9.7280000000000229</v>
          </cell>
          <cell r="AB198">
            <v>37.430000000000007</v>
          </cell>
          <cell r="AC198">
            <v>27.21700000000002</v>
          </cell>
          <cell r="AD198">
            <v>7.2429999999999666</v>
          </cell>
          <cell r="AE198">
            <v>-13.123000000000019</v>
          </cell>
          <cell r="AF198">
            <v>37.224000000000025</v>
          </cell>
          <cell r="AG198">
            <v>22.350000000000009</v>
          </cell>
          <cell r="AH198">
            <v>15.628000000000155</v>
          </cell>
          <cell r="AI198">
            <v>23.008999999999993</v>
          </cell>
          <cell r="AJ198">
            <v>50.049999999999955</v>
          </cell>
          <cell r="AK198">
            <v>54.905999999999999</v>
          </cell>
          <cell r="AL198">
            <v>33.466000000000051</v>
          </cell>
          <cell r="AM198">
            <v>4.5219999999999958</v>
          </cell>
          <cell r="AN198">
            <v>60.731000000000023</v>
          </cell>
          <cell r="AO198">
            <v>69.439999999999984</v>
          </cell>
          <cell r="AP198">
            <v>53.472999999999978</v>
          </cell>
          <cell r="AQ198">
            <v>-19.919999999999995</v>
          </cell>
          <cell r="AR198">
            <v>76.293000000000035</v>
          </cell>
          <cell r="AS198">
            <v>80.224000000000018</v>
          </cell>
          <cell r="AT198">
            <v>64.429999999999978</v>
          </cell>
          <cell r="AU198">
            <v>14.760999999999964</v>
          </cell>
          <cell r="AV198">
            <v>94.87299999999999</v>
          </cell>
          <cell r="AW198">
            <v>96.410000000000011</v>
          </cell>
          <cell r="AX198">
            <v>87.896000000000086</v>
          </cell>
          <cell r="AY198">
            <v>22.049754176000022</v>
          </cell>
          <cell r="AZ198">
            <v>111.39121542400001</v>
          </cell>
          <cell r="BA198">
            <v>113.58089001600003</v>
          </cell>
          <cell r="BB198">
            <v>104.52259276800001</v>
          </cell>
          <cell r="BC198">
            <v>31.231775236409618</v>
          </cell>
          <cell r="BD198">
            <v>112.37027497630723</v>
          </cell>
          <cell r="BE198">
            <v>126.8591254174336</v>
          </cell>
          <cell r="BF198">
            <v>111.0805322070016</v>
          </cell>
          <cell r="BG198"/>
          <cell r="BH198">
            <v>25.128999999999969</v>
          </cell>
          <cell r="BI198">
            <v>41.401000000000032</v>
          </cell>
          <cell r="BJ198">
            <v>33.679999999999971</v>
          </cell>
          <cell r="BK198">
            <v>39.047000000000018</v>
          </cell>
          <cell r="BL198">
            <v>60.08000000000002</v>
          </cell>
          <cell r="BM198">
            <v>45.683999999999941</v>
          </cell>
          <cell r="BN198">
            <v>39.72600000000002</v>
          </cell>
          <cell r="BO198">
            <v>32.530000000000044</v>
          </cell>
          <cell r="BP198">
            <v>35.726999999999961</v>
          </cell>
          <cell r="BQ198">
            <v>46.362000000000016</v>
          </cell>
          <cell r="BR198">
            <v>62.161999999999935</v>
          </cell>
          <cell r="BS198">
            <v>62.079000000000107</v>
          </cell>
          <cell r="BT198">
            <v>161.43099999999995</v>
          </cell>
          <cell r="BU198">
            <v>188.16599999999994</v>
          </cell>
          <cell r="BV198">
            <v>201.0269999999999</v>
          </cell>
          <cell r="BW198">
            <v>293.94</v>
          </cell>
          <cell r="BX198">
            <v>351.54445238400001</v>
          </cell>
          <cell r="BY198">
            <v>381.5417078371521</v>
          </cell>
          <cell r="BZ198">
            <v>416.88964097680196</v>
          </cell>
          <cell r="CA198">
            <v>483.52147740898522</v>
          </cell>
          <cell r="CB198">
            <v>530.70608791461723</v>
          </cell>
          <cell r="CC198"/>
        </row>
        <row r="199">
          <cell r="A199" t="str">
            <v>Consensus Estimates - Adjusted EBIT</v>
          </cell>
        </row>
        <row r="200">
          <cell r="A200"/>
        </row>
        <row r="201">
          <cell r="A201" t="str">
            <v>Add back: D&amp;A</v>
          </cell>
        </row>
        <row r="202">
          <cell r="A202" t="str">
            <v>Add back: Amortization of Intangibles</v>
          </cell>
        </row>
        <row r="203">
          <cell r="A203" t="str">
            <v>Add back: SBC</v>
          </cell>
          <cell r="B203"/>
          <cell r="C203">
            <v>2.8719999999999999</v>
          </cell>
          <cell r="D203">
            <v>2.9080000000000004</v>
          </cell>
          <cell r="E203">
            <v>4.0529999999999999</v>
          </cell>
          <cell r="F203">
            <v>4.5410000000000004</v>
          </cell>
          <cell r="G203">
            <v>3.68</v>
          </cell>
          <cell r="H203">
            <v>8.5300000000000011</v>
          </cell>
          <cell r="I203">
            <v>3.9890000000000008</v>
          </cell>
          <cell r="J203">
            <v>6.6289999999999978</v>
          </cell>
          <cell r="K203">
            <v>4.173</v>
          </cell>
          <cell r="L203">
            <v>4.7959999999999994</v>
          </cell>
          <cell r="M203">
            <v>4.5020000000000007</v>
          </cell>
          <cell r="N203">
            <v>7.8279999999999994</v>
          </cell>
          <cell r="O203">
            <v>4.5869999999999997</v>
          </cell>
          <cell r="P203">
            <v>4.9540000000000006</v>
          </cell>
          <cell r="Q203">
            <v>4.218</v>
          </cell>
          <cell r="R203">
            <v>4.8569999999999993</v>
          </cell>
          <cell r="S203">
            <v>4.694</v>
          </cell>
          <cell r="T203">
            <v>4.5979999999999999</v>
          </cell>
          <cell r="U203">
            <v>5.2650000000000006</v>
          </cell>
          <cell r="V203">
            <v>8.0409999999999986</v>
          </cell>
          <cell r="W203">
            <v>3.0790000000000002</v>
          </cell>
          <cell r="X203">
            <v>7.2169999999999987</v>
          </cell>
          <cell r="Y203">
            <v>4.5570000000000004</v>
          </cell>
          <cell r="Z203">
            <v>5.9640000000000004</v>
          </cell>
          <cell r="AA203">
            <v>4.024</v>
          </cell>
          <cell r="AB203">
            <v>4.1399999999999997</v>
          </cell>
          <cell r="AC203">
            <v>3.9500000000000011</v>
          </cell>
          <cell r="AD203">
            <v>4.5619999999999976</v>
          </cell>
          <cell r="AE203">
            <v>5.5220000000000002</v>
          </cell>
          <cell r="AF203">
            <v>6.1769999999999996</v>
          </cell>
          <cell r="AG203">
            <v>6.0860000000000003</v>
          </cell>
          <cell r="AH203">
            <v>5.8240000000000016</v>
          </cell>
          <cell r="AI203">
            <v>8.8930000000000007</v>
          </cell>
          <cell r="AJ203">
            <v>9.0739999999999981</v>
          </cell>
          <cell r="AK203">
            <v>12.854000000000003</v>
          </cell>
          <cell r="AL203">
            <v>8.5119999999999969</v>
          </cell>
          <cell r="AM203">
            <v>8.2859999999999996</v>
          </cell>
          <cell r="AN203">
            <v>0.60200000000000031</v>
          </cell>
          <cell r="AO203">
            <v>5.5760000000000005</v>
          </cell>
          <cell r="AP203">
            <v>4.1059999999999999</v>
          </cell>
          <cell r="AQ203">
            <v>5.51</v>
          </cell>
          <cell r="AR203">
            <v>4.9410000000000007</v>
          </cell>
          <cell r="AS203">
            <v>4.7449999999999992</v>
          </cell>
          <cell r="AT203">
            <v>5.1240000000000006</v>
          </cell>
          <cell r="AU203">
            <v>8.4260000000000002</v>
          </cell>
          <cell r="AV203">
            <v>7.5959999999999983</v>
          </cell>
          <cell r="AW203">
            <v>5.25</v>
          </cell>
          <cell r="AX203">
            <v>10.190000000000001</v>
          </cell>
          <cell r="AY203">
            <v>8</v>
          </cell>
          <cell r="AZ203">
            <v>8</v>
          </cell>
          <cell r="BA203">
            <v>7</v>
          </cell>
          <cell r="BB203">
            <v>7</v>
          </cell>
          <cell r="BC203">
            <v>8</v>
          </cell>
          <cell r="BD203">
            <v>8</v>
          </cell>
          <cell r="BE203">
            <v>7</v>
          </cell>
          <cell r="BF203">
            <v>7</v>
          </cell>
          <cell r="BG203"/>
          <cell r="BH203">
            <v>2.79</v>
          </cell>
          <cell r="BI203">
            <v>5.9340000000000002</v>
          </cell>
          <cell r="BJ203">
            <v>9.4659999999999993</v>
          </cell>
          <cell r="BK203">
            <v>10.067</v>
          </cell>
          <cell r="BL203">
            <v>14.374000000000001</v>
          </cell>
          <cell r="BM203">
            <v>22.827999999999999</v>
          </cell>
          <cell r="BN203">
            <v>21.298999999999999</v>
          </cell>
          <cell r="BO203">
            <v>18.616</v>
          </cell>
          <cell r="BP203">
            <v>22.597999999999999</v>
          </cell>
          <cell r="BQ203">
            <v>20.817</v>
          </cell>
          <cell r="BR203">
            <v>16.675999999999998</v>
          </cell>
          <cell r="BS203">
            <v>23.609000000000002</v>
          </cell>
          <cell r="BT203">
            <v>39.332999999999998</v>
          </cell>
          <cell r="BU203">
            <v>18.57</v>
          </cell>
          <cell r="BV203">
            <v>20.32</v>
          </cell>
          <cell r="BW203">
            <v>31.462</v>
          </cell>
          <cell r="BX203">
            <v>30</v>
          </cell>
          <cell r="BY203">
            <v>30</v>
          </cell>
          <cell r="BZ203">
            <v>30</v>
          </cell>
          <cell r="CA203">
            <v>30</v>
          </cell>
          <cell r="CB203">
            <v>30</v>
          </cell>
          <cell r="CC203"/>
        </row>
        <row r="204">
          <cell r="A204" t="str">
            <v>EBITDA</v>
          </cell>
        </row>
        <row r="205">
          <cell r="A205" t="str">
            <v>Adjusted EBITDA</v>
          </cell>
          <cell r="B205"/>
          <cell r="C205">
            <v>27.194000000000003</v>
          </cell>
          <cell r="D205">
            <v>35.41299999999999</v>
          </cell>
          <cell r="E205">
            <v>39.686999999999991</v>
          </cell>
          <cell r="F205">
            <v>23.522999999999985</v>
          </cell>
          <cell r="G205">
            <v>12.166000000000029</v>
          </cell>
          <cell r="H205">
            <v>34.146000000000015</v>
          </cell>
          <cell r="I205">
            <v>49.390999999999991</v>
          </cell>
          <cell r="J205">
            <v>36.247999999999955</v>
          </cell>
          <cell r="K205">
            <v>7.8949999999999694</v>
          </cell>
          <cell r="L205">
            <v>42.897999999999996</v>
          </cell>
          <cell r="M205">
            <v>49.695999999999984</v>
          </cell>
          <cell r="N205">
            <v>23.038000000000128</v>
          </cell>
          <cell r="O205">
            <v>0.69600000000001216</v>
          </cell>
          <cell r="P205">
            <v>36.150999999999982</v>
          </cell>
          <cell r="Q205">
            <v>40.939000000000007</v>
          </cell>
          <cell r="R205">
            <v>22.96899999999998</v>
          </cell>
          <cell r="S205">
            <v>-0.29499999999998394</v>
          </cell>
          <cell r="T205">
            <v>41.616000000000007</v>
          </cell>
          <cell r="U205">
            <v>37.97799999999998</v>
          </cell>
          <cell r="V205">
            <v>30.70799999999997</v>
          </cell>
          <cell r="W205">
            <v>5.9530000000000136</v>
          </cell>
          <cell r="X205">
            <v>39.480999999999995</v>
          </cell>
          <cell r="Y205">
            <v>42.700000000000017</v>
          </cell>
          <cell r="Z205">
            <v>33.48799999999995</v>
          </cell>
          <cell r="AA205">
            <v>8.7829999999999764</v>
          </cell>
          <cell r="AB205">
            <v>55.14</v>
          </cell>
          <cell r="AC205">
            <v>44.255000000000024</v>
          </cell>
          <cell r="AD205">
            <v>25.383999999999972</v>
          </cell>
          <cell r="AE205">
            <v>3.2799999999999834</v>
          </cell>
          <cell r="AF205">
            <v>53.712000000000018</v>
          </cell>
          <cell r="AG205">
            <v>38.999000000000009</v>
          </cell>
          <cell r="AH205">
            <v>32.166000000000153</v>
          </cell>
          <cell r="AI205">
            <v>39.233999999999995</v>
          </cell>
          <cell r="AJ205">
            <v>70.686999999999955</v>
          </cell>
          <cell r="AK205">
            <v>75.006999999999991</v>
          </cell>
          <cell r="AL205">
            <v>54.938000000000052</v>
          </cell>
          <cell r="AM205">
            <v>25.455999999999992</v>
          </cell>
          <cell r="AN205">
            <v>82.697000000000031</v>
          </cell>
          <cell r="AO205">
            <v>90.306999999999988</v>
          </cell>
          <cell r="AP205">
            <v>74.651999999999987</v>
          </cell>
          <cell r="AQ205">
            <v>3.0420000000000051</v>
          </cell>
          <cell r="AR205">
            <v>100.47700000000003</v>
          </cell>
          <cell r="AS205">
            <v>103.88600000000002</v>
          </cell>
          <cell r="AT205">
            <v>88.771999999999977</v>
          </cell>
          <cell r="AU205">
            <v>39.762999999999963</v>
          </cell>
          <cell r="AV205">
            <v>118.34799999999998</v>
          </cell>
          <cell r="AW205">
            <v>120.54700000000001</v>
          </cell>
          <cell r="AX205">
            <v>112.0870000000001</v>
          </cell>
          <cell r="AY205">
            <v>45.181195819835636</v>
          </cell>
          <cell r="AZ205">
            <v>132.83889517725353</v>
          </cell>
          <cell r="BA205">
            <v>133.16417040271276</v>
          </cell>
          <cell r="BB205">
            <v>123.34956263723276</v>
          </cell>
          <cell r="BC205">
            <v>49.452266506736265</v>
          </cell>
          <cell r="BD205">
            <v>129.87939914086641</v>
          </cell>
          <cell r="BE205">
            <v>143.35176305343165</v>
          </cell>
          <cell r="BF205">
            <v>127.38679559105231</v>
          </cell>
          <cell r="BG205"/>
          <cell r="BH205">
            <v>45.96399999999997</v>
          </cell>
          <cell r="BI205">
            <v>67.162000000000035</v>
          </cell>
          <cell r="BJ205">
            <v>76.613999999999976</v>
          </cell>
          <cell r="BK205">
            <v>97.080000000000013</v>
          </cell>
          <cell r="BL205">
            <v>125.81700000000001</v>
          </cell>
          <cell r="BM205">
            <v>131.95099999999994</v>
          </cell>
          <cell r="BN205">
            <v>123.52700000000002</v>
          </cell>
          <cell r="BO205">
            <v>100.75500000000004</v>
          </cell>
          <cell r="BP205">
            <v>110.00699999999996</v>
          </cell>
          <cell r="BQ205">
            <v>121.62200000000001</v>
          </cell>
          <cell r="BR205">
            <v>133.56199999999995</v>
          </cell>
          <cell r="BS205">
            <v>128.1570000000001</v>
          </cell>
          <cell r="BT205">
            <v>239.86599999999996</v>
          </cell>
          <cell r="BU205">
            <v>273.11199999999997</v>
          </cell>
          <cell r="BV205">
            <v>296.17699999999991</v>
          </cell>
          <cell r="BW205">
            <v>390.745</v>
          </cell>
          <cell r="BX205">
            <v>434.53382403703472</v>
          </cell>
          <cell r="BY205">
            <v>450.07022429208666</v>
          </cell>
          <cell r="BZ205">
            <v>480.92759413502267</v>
          </cell>
          <cell r="CA205">
            <v>542.95204147643358</v>
          </cell>
          <cell r="CB205">
            <v>589.11463131508901</v>
          </cell>
          <cell r="CC205"/>
        </row>
        <row r="206">
          <cell r="A206" t="str">
            <v>Consensus Estimates - Adjusted EBITDA</v>
          </cell>
        </row>
        <row r="207">
          <cell r="A207"/>
        </row>
        <row r="208">
          <cell r="A208" t="str">
            <v>Interest expense, net</v>
          </cell>
          <cell r="B208"/>
          <cell r="C208">
            <v>0.22800000000000001</v>
          </cell>
          <cell r="D208">
            <v>0.27200000000000002</v>
          </cell>
          <cell r="E208">
            <v>0.30599999999999999</v>
          </cell>
          <cell r="F208">
            <v>-1.657</v>
          </cell>
          <cell r="G208">
            <v>8.4000000000000005E-2</v>
          </cell>
          <cell r="H208">
            <v>2.8000000000000001E-2</v>
          </cell>
          <cell r="I208">
            <v>1.2E-2</v>
          </cell>
          <cell r="J208">
            <v>-5.4999999999999993E-2</v>
          </cell>
          <cell r="K208">
            <v>-3.1E-2</v>
          </cell>
          <cell r="L208">
            <v>-0.151</v>
          </cell>
          <cell r="M208">
            <v>0.315</v>
          </cell>
          <cell r="N208">
            <v>3.1579999999999999</v>
          </cell>
          <cell r="O208">
            <v>0.30499999999999999</v>
          </cell>
          <cell r="P208">
            <v>0.19</v>
          </cell>
          <cell r="Q208">
            <v>0.10100000000000001</v>
          </cell>
          <cell r="R208">
            <v>2.1000000000000019E-2</v>
          </cell>
          <cell r="S208">
            <v>-0.34200000000000003</v>
          </cell>
          <cell r="T208">
            <v>-0.26400000000000001</v>
          </cell>
          <cell r="U208">
            <v>-0.64100000000000001</v>
          </cell>
          <cell r="V208">
            <v>-0.56099999999999994</v>
          </cell>
          <cell r="W208">
            <v>-0.23499999999999999</v>
          </cell>
          <cell r="X208">
            <v>-3.9E-2</v>
          </cell>
          <cell r="Y208">
            <v>-0.26100000000000001</v>
          </cell>
          <cell r="Z208">
            <v>-0.42999999999999994</v>
          </cell>
          <cell r="AA208">
            <v>-0.316</v>
          </cell>
          <cell r="AB208">
            <v>-0.47699999999999998</v>
          </cell>
          <cell r="AC208">
            <v>-0.754</v>
          </cell>
          <cell r="AD208">
            <v>-1.2140000000000002</v>
          </cell>
          <cell r="AE208">
            <v>-0.91</v>
          </cell>
          <cell r="AF208">
            <v>-0.441</v>
          </cell>
          <cell r="AG208">
            <v>7.5999999999999998E-2</v>
          </cell>
          <cell r="AH208">
            <v>0.57700000000000018</v>
          </cell>
          <cell r="AI208">
            <v>2.1070000000000002</v>
          </cell>
          <cell r="AJ208">
            <v>5.024</v>
          </cell>
          <cell r="AK208">
            <v>5.3710000000000004</v>
          </cell>
          <cell r="AL208">
            <v>5.4769999999999985</v>
          </cell>
          <cell r="AM208">
            <v>1.9930000000000001</v>
          </cell>
          <cell r="AN208">
            <v>1.875</v>
          </cell>
          <cell r="AO208">
            <v>2.3730000000000002</v>
          </cell>
          <cell r="AP208">
            <v>2.0359999999999987</v>
          </cell>
          <cell r="AQ208">
            <v>2.0459999999999998</v>
          </cell>
          <cell r="AR208">
            <v>2.0819999999999999</v>
          </cell>
          <cell r="AS208">
            <v>2.206</v>
          </cell>
          <cell r="AT208">
            <v>2.0700000000000007</v>
          </cell>
          <cell r="AU208">
            <v>2.0680000000000001</v>
          </cell>
          <cell r="AV208">
            <v>2.0219999999999998</v>
          </cell>
          <cell r="AW208">
            <v>2.4039999999999999</v>
          </cell>
          <cell r="AX208">
            <v>2.3179999999999992</v>
          </cell>
          <cell r="AY208">
            <v>3.5117937534246582</v>
          </cell>
          <cell r="AZ208">
            <v>5.1527416923369573</v>
          </cell>
          <cell r="BA208">
            <v>4.2183815892100611</v>
          </cell>
          <cell r="BB208">
            <v>3.9485861865549547</v>
          </cell>
          <cell r="BC208">
            <v>3.2667254795903666</v>
          </cell>
          <cell r="BD208">
            <v>3.8706218259777825</v>
          </cell>
          <cell r="BE208">
            <v>2.9347665330998787</v>
          </cell>
          <cell r="BF208">
            <v>2.6149991240566566</v>
          </cell>
          <cell r="BG208"/>
          <cell r="BH208">
            <v>0.98199999999999998</v>
          </cell>
          <cell r="BI208">
            <v>1.331</v>
          </cell>
          <cell r="BJ208">
            <v>1.2070000000000001</v>
          </cell>
          <cell r="BK208">
            <v>0.98899999999999999</v>
          </cell>
          <cell r="BL208">
            <v>-0.85099999999999998</v>
          </cell>
          <cell r="BM208">
            <v>6.9000000000000006E-2</v>
          </cell>
          <cell r="BN208">
            <v>3.2909999999999999</v>
          </cell>
          <cell r="BO208">
            <v>0.61699999999999999</v>
          </cell>
          <cell r="BP208">
            <v>-1.8080000000000001</v>
          </cell>
          <cell r="BQ208">
            <v>-0.96499999999999997</v>
          </cell>
          <cell r="BR208">
            <v>-2.7610000000000001</v>
          </cell>
          <cell r="BS208">
            <v>-0.69799999999999995</v>
          </cell>
          <cell r="BT208">
            <v>17.978999999999999</v>
          </cell>
          <cell r="BU208">
            <v>8.2769999999999992</v>
          </cell>
          <cell r="BV208">
            <v>8.4039999999999999</v>
          </cell>
          <cell r="BW208">
            <v>8.8119999999999994</v>
          </cell>
          <cell r="BX208">
            <v>16.831503221526631</v>
          </cell>
          <cell r="BY208">
            <v>12.687112962724683</v>
          </cell>
          <cell r="BZ208">
            <v>8.645402833534078</v>
          </cell>
          <cell r="CA208">
            <v>3.3916324044620865</v>
          </cell>
          <cell r="CB208">
            <v>-2.6309182172968768</v>
          </cell>
          <cell r="CC208"/>
        </row>
        <row r="209">
          <cell r="A209" t="str">
            <v>Other items</v>
          </cell>
          <cell r="B209"/>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-0.193</v>
          </cell>
          <cell r="AB209">
            <v>0.78900000000000003</v>
          </cell>
          <cell r="AC209">
            <v>-0.55600000000000005</v>
          </cell>
          <cell r="AD209">
            <v>-0.15399999999999997</v>
          </cell>
          <cell r="AE209">
            <v>8.0000000000000002E-3</v>
          </cell>
          <cell r="AF209">
            <v>-0.36499999999999999</v>
          </cell>
          <cell r="AG209">
            <v>1.093</v>
          </cell>
          <cell r="AH209">
            <v>-1.008</v>
          </cell>
          <cell r="AI209">
            <v>-0.42899999999999999</v>
          </cell>
          <cell r="AJ209">
            <v>-1.361</v>
          </cell>
          <cell r="AK209">
            <v>-0.48599999999999999</v>
          </cell>
          <cell r="AL209">
            <v>-0.55299999999999994</v>
          </cell>
          <cell r="AM209">
            <v>8.8999999999999996E-2</v>
          </cell>
          <cell r="AN209">
            <v>-3.8839999999999999</v>
          </cell>
          <cell r="AO209">
            <v>-0.496</v>
          </cell>
          <cell r="AP209">
            <v>5.5679999999999996</v>
          </cell>
          <cell r="AQ209">
            <v>-1.0369999999999999</v>
          </cell>
          <cell r="AR209">
            <v>-3.97</v>
          </cell>
          <cell r="AS209">
            <v>-4.5869999999999997</v>
          </cell>
          <cell r="AT209">
            <v>-5.8579999999999997</v>
          </cell>
          <cell r="AU209">
            <v>-5.165</v>
          </cell>
          <cell r="AV209">
            <v>-6.5380000000000003</v>
          </cell>
          <cell r="AW209">
            <v>-7.6779999999999999</v>
          </cell>
          <cell r="AX209">
            <v>-7.5189999999999975</v>
          </cell>
          <cell r="AY209">
            <v>-3</v>
          </cell>
          <cell r="AZ209">
            <v>-5</v>
          </cell>
          <cell r="BA209">
            <v>-5</v>
          </cell>
          <cell r="BB209">
            <v>-5</v>
          </cell>
          <cell r="BC209">
            <v>-3</v>
          </cell>
          <cell r="BD209">
            <v>-3</v>
          </cell>
          <cell r="BE209">
            <v>-3</v>
          </cell>
          <cell r="BF209">
            <v>-3</v>
          </cell>
          <cell r="BG209"/>
          <cell r="BH209">
            <v>0</v>
          </cell>
          <cell r="BI209">
            <v>0</v>
          </cell>
          <cell r="BJ209">
            <v>0</v>
          </cell>
          <cell r="BK209">
            <v>0</v>
          </cell>
          <cell r="BL209">
            <v>0</v>
          </cell>
          <cell r="BM209">
            <v>0</v>
          </cell>
          <cell r="BN209">
            <v>0</v>
          </cell>
          <cell r="BO209">
            <v>0</v>
          </cell>
          <cell r="BP209">
            <v>0</v>
          </cell>
          <cell r="BQ209">
            <v>0</v>
          </cell>
          <cell r="BR209">
            <v>-0.114</v>
          </cell>
          <cell r="BS209">
            <v>-0.27200000000000002</v>
          </cell>
          <cell r="BT209">
            <v>-2.8290000000000002</v>
          </cell>
          <cell r="BU209">
            <v>1.2769999999999999</v>
          </cell>
          <cell r="BV209">
            <v>-15.452</v>
          </cell>
          <cell r="BW209">
            <v>-26.9</v>
          </cell>
          <cell r="BX209">
            <v>-18</v>
          </cell>
          <cell r="BY209">
            <v>-12</v>
          </cell>
          <cell r="BZ209">
            <v>-8</v>
          </cell>
          <cell r="CA209">
            <v>-8</v>
          </cell>
          <cell r="CB209">
            <v>-8</v>
          </cell>
          <cell r="CC209"/>
        </row>
        <row r="210">
          <cell r="A210" t="str">
            <v>One-time item</v>
          </cell>
          <cell r="B210"/>
          <cell r="C210">
            <v>0</v>
          </cell>
          <cell r="D210">
            <v>0</v>
          </cell>
          <cell r="E210">
            <v>0</v>
          </cell>
          <cell r="F210">
            <v>0</v>
          </cell>
          <cell r="G210">
            <v>0</v>
          </cell>
          <cell r="H210">
            <v>0</v>
          </cell>
          <cell r="I210">
            <v>0</v>
          </cell>
          <cell r="J210">
            <v>-6.4039999999999999</v>
          </cell>
          <cell r="K210">
            <v>0</v>
          </cell>
          <cell r="L210">
            <v>0</v>
          </cell>
          <cell r="M210">
            <v>0</v>
          </cell>
          <cell r="N210">
            <v>0</v>
          </cell>
          <cell r="O210">
            <v>0</v>
          </cell>
          <cell r="P210">
            <v>0</v>
          </cell>
          <cell r="Q210">
            <v>0</v>
          </cell>
          <cell r="R210">
            <v>0</v>
          </cell>
          <cell r="S210">
            <v>0</v>
          </cell>
          <cell r="T210">
            <v>0</v>
          </cell>
          <cell r="U210">
            <v>0</v>
          </cell>
          <cell r="V210">
            <v>10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cell r="BH210">
            <v>0</v>
          </cell>
          <cell r="BI210">
            <v>0</v>
          </cell>
          <cell r="BJ210">
            <v>0</v>
          </cell>
          <cell r="BK210">
            <v>0</v>
          </cell>
          <cell r="BL210">
            <v>0</v>
          </cell>
          <cell r="BM210">
            <v>-6.4039999999999999</v>
          </cell>
          <cell r="BN210">
            <v>0</v>
          </cell>
          <cell r="BO210">
            <v>0</v>
          </cell>
          <cell r="BP210">
            <v>10</v>
          </cell>
          <cell r="BQ210">
            <v>0</v>
          </cell>
          <cell r="BR210">
            <v>0</v>
          </cell>
          <cell r="BS210">
            <v>0</v>
          </cell>
          <cell r="BT210">
            <v>0</v>
          </cell>
          <cell r="BU210">
            <v>0</v>
          </cell>
          <cell r="BV210">
            <v>0</v>
          </cell>
          <cell r="BW210">
            <v>0</v>
          </cell>
          <cell r="BX210">
            <v>0</v>
          </cell>
          <cell r="BY210">
            <v>0</v>
          </cell>
          <cell r="BZ210">
            <v>0</v>
          </cell>
          <cell r="CA210">
            <v>0</v>
          </cell>
          <cell r="CB210">
            <v>0</v>
          </cell>
          <cell r="CC210"/>
        </row>
        <row r="211">
          <cell r="A211" t="str">
            <v>EBT</v>
          </cell>
          <cell r="B211"/>
          <cell r="C211">
            <v>8.4330000000000016</v>
          </cell>
          <cell r="D211">
            <v>15.999999999999991</v>
          </cell>
          <cell r="E211">
            <v>19.045999999999989</v>
          </cell>
          <cell r="F211">
            <v>3.0779999999999923</v>
          </cell>
          <cell r="G211">
            <v>-8.5479999999999698</v>
          </cell>
          <cell r="H211">
            <v>-8.9359999999999875</v>
          </cell>
          <cell r="I211">
            <v>27.37299999999999</v>
          </cell>
          <cell r="J211">
            <v>19.301999999999961</v>
          </cell>
          <cell r="K211">
            <v>-13.127000000000029</v>
          </cell>
          <cell r="L211">
            <v>20.623999999999999</v>
          </cell>
          <cell r="M211">
            <v>27.114999999999977</v>
          </cell>
          <cell r="N211">
            <v>-19.475999999999871</v>
          </cell>
          <cell r="O211">
            <v>-20.760999999999989</v>
          </cell>
          <cell r="P211">
            <v>14.53699999999999</v>
          </cell>
          <cell r="Q211">
            <v>19.033000000000001</v>
          </cell>
          <cell r="R211">
            <v>0.48799999999998611</v>
          </cell>
          <cell r="S211">
            <v>-22.326999999999984</v>
          </cell>
          <cell r="T211">
            <v>18.587000000000007</v>
          </cell>
          <cell r="U211">
            <v>13.403999999999977</v>
          </cell>
          <cell r="V211">
            <v>-4.7270000000000252</v>
          </cell>
          <cell r="W211">
            <v>-17.526999999999987</v>
          </cell>
          <cell r="X211">
            <v>13.752999999999998</v>
          </cell>
          <cell r="Y211">
            <v>19.978000000000012</v>
          </cell>
          <cell r="Z211">
            <v>10.305999999999948</v>
          </cell>
          <cell r="AA211">
            <v>-13.243000000000023</v>
          </cell>
          <cell r="AB211">
            <v>32.978000000000009</v>
          </cell>
          <cell r="AC211">
            <v>24.577000000000016</v>
          </cell>
          <cell r="AD211">
            <v>4.0489999999999693</v>
          </cell>
          <cell r="AE211">
            <v>-18.486000000000018</v>
          </cell>
          <cell r="AF211">
            <v>31.111000000000029</v>
          </cell>
          <cell r="AG211">
            <v>13.330000000000009</v>
          </cell>
          <cell r="AH211">
            <v>7.4720000000001532</v>
          </cell>
          <cell r="AI211">
            <v>10.385999999999992</v>
          </cell>
          <cell r="AJ211">
            <v>34.788999999999959</v>
          </cell>
          <cell r="AK211">
            <v>33.667999999999999</v>
          </cell>
          <cell r="AL211">
            <v>16.463000000000058</v>
          </cell>
          <cell r="AM211">
            <v>-9.0590000000000046</v>
          </cell>
          <cell r="AN211">
            <v>58.924000000000021</v>
          </cell>
          <cell r="AO211">
            <v>58.716999999999992</v>
          </cell>
          <cell r="AP211">
            <v>38.491999999999976</v>
          </cell>
          <cell r="AQ211">
            <v>-29.727999999999994</v>
          </cell>
          <cell r="AR211">
            <v>69.961000000000027</v>
          </cell>
          <cell r="AS211">
            <v>74.580000000000013</v>
          </cell>
          <cell r="AT211">
            <v>57.733999999999966</v>
          </cell>
          <cell r="AU211">
            <v>6.4169999999999643</v>
          </cell>
          <cell r="AV211">
            <v>88.804999999999978</v>
          </cell>
          <cell r="AW211">
            <v>93.587000000000003</v>
          </cell>
          <cell r="AX211">
            <v>78.879000000000076</v>
          </cell>
          <cell r="AY211">
            <v>10.037960422575363</v>
          </cell>
          <cell r="AZ211">
            <v>99.738473731663049</v>
          </cell>
          <cell r="BA211">
            <v>103.86250842678996</v>
          </cell>
          <cell r="BB211">
            <v>95.074006581445062</v>
          </cell>
          <cell r="BC211">
            <v>19.465049756819251</v>
          </cell>
          <cell r="BD211">
            <v>99.999653150329451</v>
          </cell>
          <cell r="BE211">
            <v>116.42435888433373</v>
          </cell>
          <cell r="BF211">
            <v>100.96553308294494</v>
          </cell>
          <cell r="BG211"/>
          <cell r="BH211">
            <v>21.356999999999971</v>
          </cell>
          <cell r="BI211">
            <v>34.136000000000038</v>
          </cell>
          <cell r="BJ211">
            <v>23.006999999999969</v>
          </cell>
          <cell r="BK211">
            <v>27.991000000000017</v>
          </cell>
          <cell r="BL211">
            <v>46.557000000000016</v>
          </cell>
          <cell r="BM211">
            <v>29.190999999999939</v>
          </cell>
          <cell r="BN211">
            <v>15.136000000000021</v>
          </cell>
          <cell r="BO211">
            <v>13.297000000000043</v>
          </cell>
          <cell r="BP211">
            <v>4.9369999999999621</v>
          </cell>
          <cell r="BQ211">
            <v>26.510000000000016</v>
          </cell>
          <cell r="BR211">
            <v>48.360999999999933</v>
          </cell>
          <cell r="BS211">
            <v>33.427000000000106</v>
          </cell>
          <cell r="BT211">
            <v>95.305999999999955</v>
          </cell>
          <cell r="BU211">
            <v>147.07399999999993</v>
          </cell>
          <cell r="BV211">
            <v>172.54699999999991</v>
          </cell>
          <cell r="BW211">
            <v>267.68800000000005</v>
          </cell>
          <cell r="BX211">
            <v>308.71294916247302</v>
          </cell>
          <cell r="BY211">
            <v>336.85459487442722</v>
          </cell>
          <cell r="BZ211">
            <v>372.24423814326786</v>
          </cell>
          <cell r="CA211">
            <v>444.12984500452313</v>
          </cell>
          <cell r="CB211">
            <v>497.33700613191411</v>
          </cell>
          <cell r="CC211"/>
        </row>
        <row r="212">
          <cell r="A212"/>
        </row>
        <row r="213">
          <cell r="A213" t="str">
            <v>Current tax</v>
          </cell>
          <cell r="B213"/>
          <cell r="C213">
            <v>0.4009999999999998</v>
          </cell>
          <cell r="D213">
            <v>0.68599999999999994</v>
          </cell>
          <cell r="E213">
            <v>0.76000000000000068</v>
          </cell>
          <cell r="F213">
            <v>2.4059999999999984</v>
          </cell>
          <cell r="G213">
            <v>0</v>
          </cell>
          <cell r="H213">
            <v>-9.9999999999944578E-4</v>
          </cell>
          <cell r="I213">
            <v>3.6050000000000004</v>
          </cell>
          <cell r="J213">
            <v>13.224999999999998</v>
          </cell>
          <cell r="K213">
            <v>-13.795999999999999</v>
          </cell>
          <cell r="L213">
            <v>10.718</v>
          </cell>
          <cell r="M213">
            <v>11.661000000000001</v>
          </cell>
          <cell r="N213">
            <v>0.32099999999999973</v>
          </cell>
          <cell r="O213">
            <v>-15.286</v>
          </cell>
          <cell r="P213">
            <v>8.0969999999999995</v>
          </cell>
          <cell r="Q213">
            <v>11.664999999999999</v>
          </cell>
          <cell r="R213">
            <v>4.0880000000000001</v>
          </cell>
          <cell r="S213">
            <v>-16.981000000000002</v>
          </cell>
          <cell r="T213">
            <v>11.856</v>
          </cell>
          <cell r="U213">
            <v>8.9039999999999999</v>
          </cell>
          <cell r="V213">
            <v>8.6819999999999986</v>
          </cell>
          <cell r="W213">
            <v>-17.132999999999999</v>
          </cell>
          <cell r="X213">
            <v>8.379999999999999</v>
          </cell>
          <cell r="Y213">
            <v>11.861999999999998</v>
          </cell>
          <cell r="Z213">
            <v>-3.9999999999986713E-3</v>
          </cell>
          <cell r="AA213">
            <v>-10.923</v>
          </cell>
          <cell r="AB213">
            <v>8.6050000000000004</v>
          </cell>
          <cell r="AC213">
            <v>6.8489999999999993</v>
          </cell>
          <cell r="AD213">
            <v>2.2959999999999998</v>
          </cell>
          <cell r="AE213">
            <v>-12.593999999999999</v>
          </cell>
          <cell r="AF213">
            <v>13.821999999999999</v>
          </cell>
          <cell r="AG213">
            <v>3.6139999999999994</v>
          </cell>
          <cell r="AH213">
            <v>5.0040000000000013</v>
          </cell>
          <cell r="AI213">
            <v>-10.440999999999999</v>
          </cell>
          <cell r="AJ213">
            <v>13.331999999999999</v>
          </cell>
          <cell r="AK213">
            <v>13.394</v>
          </cell>
          <cell r="AL213">
            <v>5.705000000000001</v>
          </cell>
          <cell r="AM213">
            <v>-8.3769999999999989</v>
          </cell>
          <cell r="AN213">
            <v>15.404</v>
          </cell>
          <cell r="AO213">
            <v>16.152000000000001</v>
          </cell>
          <cell r="AP213">
            <v>15.718999999999999</v>
          </cell>
          <cell r="AQ213">
            <v>-24.729999999999997</v>
          </cell>
          <cell r="AR213">
            <v>28.087999999999997</v>
          </cell>
          <cell r="AS213">
            <v>24.537999999999997</v>
          </cell>
          <cell r="AT213">
            <v>27.823</v>
          </cell>
          <cell r="AU213">
            <v>-6.3650000000000002</v>
          </cell>
          <cell r="AV213">
            <v>29.666</v>
          </cell>
          <cell r="AW213">
            <v>29.710999999999999</v>
          </cell>
          <cell r="AX213">
            <v>8.58</v>
          </cell>
          <cell r="AY213">
            <v>2.3087308971923335</v>
          </cell>
          <cell r="AZ213">
            <v>22.939848958282504</v>
          </cell>
          <cell r="BA213">
            <v>23.888376938161691</v>
          </cell>
          <cell r="BB213">
            <v>21.867021513732364</v>
          </cell>
          <cell r="BC213">
            <v>4.4769614440684276</v>
          </cell>
          <cell r="BD213">
            <v>22.999920224575774</v>
          </cell>
          <cell r="BE213">
            <v>26.777602543396757</v>
          </cell>
          <cell r="BF213">
            <v>23.222072609077337</v>
          </cell>
          <cell r="BG213"/>
          <cell r="BH213">
            <v>4.4000000000000483E-2</v>
          </cell>
          <cell r="BI213">
            <v>1.391</v>
          </cell>
          <cell r="BJ213">
            <v>0.36400000000000077</v>
          </cell>
          <cell r="BK213">
            <v>1.5849999999999991</v>
          </cell>
          <cell r="BL213">
            <v>4.2530000000000001</v>
          </cell>
          <cell r="BM213">
            <v>16.829000000000001</v>
          </cell>
          <cell r="BN213">
            <v>8.9039999999999999</v>
          </cell>
          <cell r="BO213">
            <v>8.5640000000000001</v>
          </cell>
          <cell r="BP213">
            <v>12.461</v>
          </cell>
          <cell r="BQ213">
            <v>3.1049999999999995</v>
          </cell>
          <cell r="BR213">
            <v>6.827</v>
          </cell>
          <cell r="BS213">
            <v>9.8460000000000001</v>
          </cell>
          <cell r="BT213">
            <v>21.99</v>
          </cell>
          <cell r="BU213">
            <v>38.898000000000003</v>
          </cell>
          <cell r="BV213">
            <v>55.718999999999994</v>
          </cell>
          <cell r="BW213">
            <v>61.591999999999999</v>
          </cell>
          <cell r="BX213">
            <v>71.003978307368897</v>
          </cell>
          <cell r="BY213">
            <v>77.476556821118294</v>
          </cell>
          <cell r="BZ213">
            <v>89.338617154384281</v>
          </cell>
          <cell r="CA213">
            <v>106.59116280108555</v>
          </cell>
          <cell r="CB213">
            <v>119.36088147165938</v>
          </cell>
          <cell r="CC213"/>
        </row>
        <row r="214">
          <cell r="A214" t="str">
            <v>Deferred tax</v>
          </cell>
          <cell r="B214"/>
          <cell r="C214">
            <v>3.488</v>
          </cell>
          <cell r="D214">
            <v>5.9939999999999998</v>
          </cell>
          <cell r="E214">
            <v>6.8659999999999997</v>
          </cell>
          <cell r="F214">
            <v>-0.5779999999999994</v>
          </cell>
          <cell r="G214">
            <v>-3.45</v>
          </cell>
          <cell r="H214">
            <v>-4.6840000000000002</v>
          </cell>
          <cell r="I214">
            <v>8.2560000000000002</v>
          </cell>
          <cell r="J214">
            <v>-5.8759999999999994</v>
          </cell>
          <cell r="K214">
            <v>7.258</v>
          </cell>
          <cell r="L214">
            <v>-2.0549999999999997</v>
          </cell>
          <cell r="M214">
            <v>-1.0750000000000002</v>
          </cell>
          <cell r="N214">
            <v>-7.2219999999999995</v>
          </cell>
          <cell r="O214">
            <v>7.1890000000000001</v>
          </cell>
          <cell r="P214">
            <v>-1.444</v>
          </cell>
          <cell r="Q214">
            <v>-6.2970000000000006</v>
          </cell>
          <cell r="R214">
            <v>-3.266</v>
          </cell>
          <cell r="S214">
            <v>8.2910000000000004</v>
          </cell>
          <cell r="T214">
            <v>-4.1680000000000001</v>
          </cell>
          <cell r="U214">
            <v>-4.3820000000000006</v>
          </cell>
          <cell r="V214">
            <v>-6.806</v>
          </cell>
          <cell r="W214">
            <v>7.7649999999999997</v>
          </cell>
          <cell r="X214">
            <v>-7.8159999999999998</v>
          </cell>
          <cell r="Y214">
            <v>-4.9269999999999996</v>
          </cell>
          <cell r="Z214">
            <v>0.96300000000000008</v>
          </cell>
          <cell r="AA214">
            <v>5.8650000000000002</v>
          </cell>
          <cell r="AB214">
            <v>0.46899999999999942</v>
          </cell>
          <cell r="AC214">
            <v>-1.0069999999999997</v>
          </cell>
          <cell r="AD214">
            <v>-1.6339999999999999</v>
          </cell>
          <cell r="AE214">
            <v>3.7759999999999998</v>
          </cell>
          <cell r="AF214">
            <v>-3.4299999999999997</v>
          </cell>
          <cell r="AG214">
            <v>0.80500000000000005</v>
          </cell>
          <cell r="AH214">
            <v>-2.456</v>
          </cell>
          <cell r="AI214">
            <v>8.0649999999999995</v>
          </cell>
          <cell r="AJ214">
            <v>-2.6899999999999995</v>
          </cell>
          <cell r="AK214">
            <v>-3.1190000000000002</v>
          </cell>
          <cell r="AL214">
            <v>0.29300000000000015</v>
          </cell>
          <cell r="AM214">
            <v>5.484</v>
          </cell>
          <cell r="AN214">
            <v>0.52400000000000002</v>
          </cell>
          <cell r="AO214">
            <v>0.56400000000000006</v>
          </cell>
          <cell r="AP214">
            <v>-5.3819999999999997</v>
          </cell>
          <cell r="AQ214">
            <v>17.222999999999999</v>
          </cell>
          <cell r="AR214">
            <v>-9.227999999999998</v>
          </cell>
          <cell r="AS214">
            <v>-5.0129999999999999</v>
          </cell>
          <cell r="AT214">
            <v>-13.355</v>
          </cell>
          <cell r="AU214">
            <v>7.9009999999999998</v>
          </cell>
          <cell r="AV214">
            <v>-7.476</v>
          </cell>
          <cell r="AW214">
            <v>-5.0539999999999994</v>
          </cell>
          <cell r="AX214">
            <v>7.5190000000000001</v>
          </cell>
          <cell r="AY214">
            <v>0.10037960422575364</v>
          </cell>
          <cell r="AZ214">
            <v>0.99738473731663047</v>
          </cell>
          <cell r="BA214">
            <v>1.0386250842678997</v>
          </cell>
          <cell r="BB214">
            <v>0.95074006581445059</v>
          </cell>
          <cell r="BC214">
            <v>0.19465049756819253</v>
          </cell>
          <cell r="BD214">
            <v>0.99999653150329448</v>
          </cell>
          <cell r="BE214">
            <v>1.1642435888433373</v>
          </cell>
          <cell r="BF214">
            <v>1.0096553308294494</v>
          </cell>
          <cell r="BG214"/>
          <cell r="BH214">
            <v>9.5839999999999996</v>
          </cell>
          <cell r="BI214">
            <v>11.858000000000001</v>
          </cell>
          <cell r="BJ214">
            <v>10.978</v>
          </cell>
          <cell r="BK214">
            <v>10.297000000000001</v>
          </cell>
          <cell r="BL214">
            <v>15.77</v>
          </cell>
          <cell r="BM214">
            <v>-5.7539999999999996</v>
          </cell>
          <cell r="BN214">
            <v>-3.0939999999999999</v>
          </cell>
          <cell r="BO214">
            <v>-3.8180000000000001</v>
          </cell>
          <cell r="BP214">
            <v>-7.0650000000000004</v>
          </cell>
          <cell r="BQ214">
            <v>-4.0149999999999997</v>
          </cell>
          <cell r="BR214">
            <v>3.6930000000000001</v>
          </cell>
          <cell r="BS214">
            <v>-1.3049999999999999</v>
          </cell>
          <cell r="BT214">
            <v>2.5489999999999999</v>
          </cell>
          <cell r="BU214">
            <v>1.19</v>
          </cell>
          <cell r="BV214">
            <v>-10.372999999999999</v>
          </cell>
          <cell r="BW214">
            <v>2.89</v>
          </cell>
          <cell r="BX214">
            <v>3.0871294916247343</v>
          </cell>
          <cell r="BY214">
            <v>3.3685459487442735</v>
          </cell>
          <cell r="BZ214">
            <v>7.4448847628653576</v>
          </cell>
          <cell r="CA214">
            <v>8.8825969000904621</v>
          </cell>
          <cell r="CB214">
            <v>9.9467401226382819</v>
          </cell>
          <cell r="CC214"/>
        </row>
        <row r="215">
          <cell r="A215" t="str">
            <v>Net Income from Continued Operation</v>
          </cell>
        </row>
        <row r="216">
          <cell r="A216" t="str">
            <v>Income from equity method investments</v>
          </cell>
          <cell r="B216"/>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9.7000000000000003E-2</v>
          </cell>
          <cell r="AB216">
            <v>0.192</v>
          </cell>
          <cell r="AC216">
            <v>0.27300000000000002</v>
          </cell>
          <cell r="AD216">
            <v>6.9999999999999951E-2</v>
          </cell>
          <cell r="AE216">
            <v>6.2E-2</v>
          </cell>
          <cell r="AF216">
            <v>0.125</v>
          </cell>
          <cell r="AG216">
            <v>0.157</v>
          </cell>
          <cell r="AH216">
            <v>3.6000000000000032E-2</v>
          </cell>
          <cell r="AI216">
            <v>9.6000000000000002E-2</v>
          </cell>
          <cell r="AJ216">
            <v>-0.35399999999999998</v>
          </cell>
          <cell r="AK216">
            <v>-0.39600000000000002</v>
          </cell>
          <cell r="AL216">
            <v>-3.0000000000000027E-2</v>
          </cell>
          <cell r="AM216">
            <v>-0.28299999999999997</v>
          </cell>
          <cell r="AN216">
            <v>0.99199999999999999</v>
          </cell>
          <cell r="AO216">
            <v>-0.91800000000000004</v>
          </cell>
          <cell r="AP216">
            <v>6.4999999999999974E-2</v>
          </cell>
          <cell r="AQ216">
            <v>0.45100000000000001</v>
          </cell>
          <cell r="AR216">
            <v>0.39600000000000002</v>
          </cell>
          <cell r="AS216">
            <v>-0.40699999999999997</v>
          </cell>
          <cell r="AT216">
            <v>-0.10599999999999998</v>
          </cell>
          <cell r="AU216">
            <v>3.0000000000000001E-3</v>
          </cell>
          <cell r="AV216">
            <v>-0.221</v>
          </cell>
          <cell r="AW216">
            <v>-0.75700000000000001</v>
          </cell>
          <cell r="AX216">
            <v>-2.0000000000000018E-3</v>
          </cell>
          <cell r="AY216">
            <v>0</v>
          </cell>
          <cell r="AZ216">
            <v>0</v>
          </cell>
          <cell r="BA216">
            <v>0</v>
          </cell>
          <cell r="BB216">
            <v>0</v>
          </cell>
          <cell r="BC216">
            <v>0</v>
          </cell>
          <cell r="BD216">
            <v>0</v>
          </cell>
          <cell r="BE216">
            <v>0</v>
          </cell>
          <cell r="BF216">
            <v>0</v>
          </cell>
          <cell r="BG216"/>
          <cell r="BH216">
            <v>0</v>
          </cell>
          <cell r="BI216">
            <v>0</v>
          </cell>
          <cell r="BJ216">
            <v>0</v>
          </cell>
          <cell r="BK216">
            <v>0</v>
          </cell>
          <cell r="BL216">
            <v>0</v>
          </cell>
          <cell r="BM216">
            <v>0</v>
          </cell>
          <cell r="BN216">
            <v>0</v>
          </cell>
          <cell r="BO216">
            <v>0</v>
          </cell>
          <cell r="BP216">
            <v>0</v>
          </cell>
          <cell r="BQ216">
            <v>0</v>
          </cell>
          <cell r="BR216">
            <v>0.63200000000000001</v>
          </cell>
          <cell r="BS216">
            <v>0.38</v>
          </cell>
          <cell r="BT216">
            <v>-0.68400000000000005</v>
          </cell>
          <cell r="BU216">
            <v>-0.14399999999999999</v>
          </cell>
          <cell r="BV216">
            <v>0.33400000000000002</v>
          </cell>
          <cell r="BW216">
            <v>-0.97699999999999998</v>
          </cell>
          <cell r="BX216">
            <v>0</v>
          </cell>
          <cell r="BY216">
            <v>0</v>
          </cell>
          <cell r="BZ216">
            <v>0</v>
          </cell>
          <cell r="CA216">
            <v>0</v>
          </cell>
          <cell r="CB216">
            <v>0</v>
          </cell>
          <cell r="CC216"/>
        </row>
        <row r="217">
          <cell r="A217" t="str">
            <v>Discontinued Operations</v>
          </cell>
          <cell r="B217"/>
          <cell r="C217"/>
          <cell r="D217"/>
          <cell r="E217"/>
          <cell r="F217"/>
          <cell r="G217"/>
          <cell r="H217"/>
          <cell r="I217"/>
          <cell r="J217"/>
          <cell r="K217"/>
          <cell r="L217"/>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O217"/>
          <cell r="AP217"/>
          <cell r="AQ217"/>
          <cell r="AR217"/>
          <cell r="AS217"/>
          <cell r="AT217"/>
          <cell r="AU217"/>
          <cell r="AV217"/>
          <cell r="AW217"/>
          <cell r="AX217"/>
          <cell r="AY217"/>
          <cell r="AZ217"/>
          <cell r="BA217"/>
          <cell r="BB217"/>
          <cell r="BC217"/>
          <cell r="BD217"/>
          <cell r="BE217"/>
          <cell r="BF217"/>
          <cell r="BG217"/>
          <cell r="BH217"/>
          <cell r="BI217"/>
          <cell r="BJ217"/>
          <cell r="BK217"/>
          <cell r="BL217"/>
          <cell r="BM217"/>
          <cell r="BN217"/>
          <cell r="BO217"/>
          <cell r="BP217"/>
          <cell r="BQ217"/>
          <cell r="BR217"/>
          <cell r="BS217"/>
          <cell r="BT217"/>
          <cell r="BU217"/>
          <cell r="BV217"/>
          <cell r="BW217"/>
          <cell r="BX217">
            <v>0</v>
          </cell>
          <cell r="BY217">
            <v>0</v>
          </cell>
          <cell r="BZ217"/>
          <cell r="CA217"/>
          <cell r="CB217"/>
          <cell r="CC217"/>
        </row>
        <row r="218">
          <cell r="A218" t="str">
            <v>Net Income to NCI</v>
          </cell>
          <cell r="B218"/>
          <cell r="C218">
            <v>0.187</v>
          </cell>
          <cell r="D218">
            <v>-0.191</v>
          </cell>
          <cell r="E218">
            <v>-0.55500000000000005</v>
          </cell>
          <cell r="F218">
            <v>-1.0179999999999998</v>
          </cell>
          <cell r="G218">
            <v>-5.8000000000000003E-2</v>
          </cell>
          <cell r="H218">
            <v>-0.58599999999999997</v>
          </cell>
          <cell r="I218">
            <v>-0.437</v>
          </cell>
          <cell r="J218">
            <v>-0.40299999999999997</v>
          </cell>
          <cell r="K218">
            <v>0.187</v>
          </cell>
          <cell r="L218">
            <v>-0.37</v>
          </cell>
          <cell r="M218">
            <v>-0.48399999999999999</v>
          </cell>
          <cell r="N218">
            <v>-0.99499999999999988</v>
          </cell>
          <cell r="O218">
            <v>0.129</v>
          </cell>
          <cell r="P218">
            <v>-0.65400000000000003</v>
          </cell>
          <cell r="Q218">
            <v>-0.60799999999999998</v>
          </cell>
          <cell r="R218">
            <v>0.64900000000000002</v>
          </cell>
          <cell r="S218">
            <v>0.19600000000000001</v>
          </cell>
          <cell r="T218">
            <v>-0.753</v>
          </cell>
          <cell r="U218">
            <v>-0.23300000000000001</v>
          </cell>
          <cell r="V218">
            <v>-0.12000000000000005</v>
          </cell>
          <cell r="W218">
            <v>-0.10299999999999999</v>
          </cell>
          <cell r="X218">
            <v>-7.0000000000000007E-2</v>
          </cell>
          <cell r="Y218">
            <v>-2.7E-2</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cell r="AZ218"/>
          <cell r="BA218"/>
          <cell r="BB218"/>
          <cell r="BC218"/>
          <cell r="BD218"/>
          <cell r="BE218"/>
          <cell r="BF218"/>
          <cell r="BG218"/>
          <cell r="BH218">
            <v>-0.58599999999999997</v>
          </cell>
          <cell r="BI218">
            <v>-0.63800000000000001</v>
          </cell>
          <cell r="BJ218">
            <v>-1.127</v>
          </cell>
          <cell r="BK218">
            <v>-1.4339999999999999</v>
          </cell>
          <cell r="BL218">
            <v>-1.577</v>
          </cell>
          <cell r="BM218">
            <v>-1.484</v>
          </cell>
          <cell r="BN218">
            <v>-1.6619999999999999</v>
          </cell>
          <cell r="BO218">
            <v>-0.48399999999999999</v>
          </cell>
          <cell r="BP218">
            <v>-0.91</v>
          </cell>
          <cell r="BQ218">
            <v>-0.2</v>
          </cell>
          <cell r="BR218">
            <v>0</v>
          </cell>
          <cell r="BS218">
            <v>0</v>
          </cell>
          <cell r="BT218">
            <v>0</v>
          </cell>
          <cell r="BU218">
            <v>0</v>
          </cell>
          <cell r="BV218">
            <v>0</v>
          </cell>
          <cell r="BW218">
            <v>0</v>
          </cell>
          <cell r="BX218">
            <v>0</v>
          </cell>
          <cell r="BY218">
            <v>0</v>
          </cell>
          <cell r="BZ218"/>
          <cell r="CA218"/>
          <cell r="CB218"/>
          <cell r="CC218"/>
        </row>
        <row r="219">
          <cell r="A219" t="str">
            <v>Earnings to Preferred and Other Securities</v>
          </cell>
          <cell r="B219"/>
          <cell r="C219">
            <v>0.309</v>
          </cell>
          <cell r="D219">
            <v>0.67500000000000004</v>
          </cell>
          <cell r="E219">
            <v>0.84399999999999997</v>
          </cell>
          <cell r="F219">
            <v>0.15700000000000025</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cell r="AZ219"/>
          <cell r="BA219"/>
          <cell r="BB219"/>
          <cell r="BC219"/>
          <cell r="BD219"/>
          <cell r="BE219"/>
          <cell r="BF219"/>
          <cell r="BG219"/>
          <cell r="BH219">
            <v>0</v>
          </cell>
          <cell r="BI219">
            <v>0</v>
          </cell>
          <cell r="BJ219">
            <v>1.0309999999999999</v>
          </cell>
          <cell r="BK219">
            <v>1.252</v>
          </cell>
          <cell r="BL219">
            <v>1.9850000000000001</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cell r="CA219"/>
          <cell r="CB219"/>
          <cell r="CC219"/>
        </row>
        <row r="220">
          <cell r="A220" t="str">
            <v>Net Income to Common Shareholders</v>
          </cell>
          <cell r="B220"/>
          <cell r="C220">
            <v>4.0480000000000018</v>
          </cell>
          <cell r="D220">
            <v>8.8359999999999914</v>
          </cell>
          <cell r="E220">
            <v>11.130999999999988</v>
          </cell>
          <cell r="F220">
            <v>2.1109999999999927</v>
          </cell>
          <cell r="G220">
            <v>-5.0399999999999698</v>
          </cell>
          <cell r="H220">
            <v>-3.664999999999988</v>
          </cell>
          <cell r="I220">
            <v>15.948999999999989</v>
          </cell>
          <cell r="J220">
            <v>12.355999999999963</v>
          </cell>
          <cell r="K220">
            <v>-6.77600000000003</v>
          </cell>
          <cell r="L220">
            <v>12.330999999999998</v>
          </cell>
          <cell r="M220">
            <v>17.012999999999977</v>
          </cell>
          <cell r="N220">
            <v>-11.579999999999872</v>
          </cell>
          <cell r="O220">
            <v>-12.792999999999989</v>
          </cell>
          <cell r="P220">
            <v>8.5379999999999914</v>
          </cell>
          <cell r="Q220">
            <v>14.273000000000001</v>
          </cell>
          <cell r="R220">
            <v>-0.98300000000001397</v>
          </cell>
          <cell r="S220">
            <v>-13.832999999999982</v>
          </cell>
          <cell r="T220">
            <v>11.652000000000008</v>
          </cell>
          <cell r="U220">
            <v>9.1149999999999771</v>
          </cell>
          <cell r="V220">
            <v>-6.4830000000000236</v>
          </cell>
          <cell r="W220">
            <v>-8.0559999999999885</v>
          </cell>
          <cell r="X220">
            <v>13.259</v>
          </cell>
          <cell r="Y220">
            <v>13.070000000000013</v>
          </cell>
          <cell r="Z220">
            <v>9.3469999999999462</v>
          </cell>
          <cell r="AA220">
            <v>-8.2820000000000231</v>
          </cell>
          <cell r="AB220">
            <v>23.71200000000001</v>
          </cell>
          <cell r="AC220">
            <v>18.462000000000018</v>
          </cell>
          <cell r="AD220">
            <v>3.3169999999999695</v>
          </cell>
          <cell r="AE220">
            <v>-9.7300000000000182</v>
          </cell>
          <cell r="AF220">
            <v>20.59400000000003</v>
          </cell>
          <cell r="AG220">
            <v>8.7540000000000084</v>
          </cell>
          <cell r="AH220">
            <v>4.8880000000001527</v>
          </cell>
          <cell r="AI220">
            <v>12.665999999999991</v>
          </cell>
          <cell r="AJ220">
            <v>24.500999999999959</v>
          </cell>
          <cell r="AK220">
            <v>23.789000000000001</v>
          </cell>
          <cell r="AL220">
            <v>10.495000000000056</v>
          </cell>
          <cell r="AM220">
            <v>-5.8830000000000053</v>
          </cell>
          <cell r="AN220">
            <v>42.004000000000026</v>
          </cell>
          <cell r="AO220">
            <v>42.91899999999999</v>
          </cell>
          <cell r="AP220">
            <v>28.089999999999975</v>
          </cell>
          <cell r="AQ220">
            <v>-22.671999999999997</v>
          </cell>
          <cell r="AR220">
            <v>50.705000000000027</v>
          </cell>
          <cell r="AS220">
            <v>55.46200000000001</v>
          </cell>
          <cell r="AT220">
            <v>43.371999999999964</v>
          </cell>
          <cell r="AU220">
            <v>4.8779999999999646</v>
          </cell>
          <cell r="AV220">
            <v>66.835999999999984</v>
          </cell>
          <cell r="AW220">
            <v>69.687000000000012</v>
          </cell>
          <cell r="AX220">
            <v>62.782000000000075</v>
          </cell>
          <cell r="AY220">
            <v>7.6288499211572756</v>
          </cell>
          <cell r="AZ220">
            <v>75.801240036063916</v>
          </cell>
          <cell r="BA220">
            <v>78.935506404360368</v>
          </cell>
          <cell r="BB220">
            <v>72.25624500189825</v>
          </cell>
          <cell r="BC220">
            <v>14.793437815182632</v>
          </cell>
          <cell r="BD220">
            <v>75.999736394250377</v>
          </cell>
          <cell r="BE220">
            <v>88.482512752093641</v>
          </cell>
          <cell r="BF220">
            <v>76.733805143038154</v>
          </cell>
          <cell r="BG220"/>
          <cell r="BH220">
            <v>12.314999999999971</v>
          </cell>
          <cell r="BI220">
            <v>21.525000000000038</v>
          </cell>
          <cell r="BJ220">
            <v>11.760999999999969</v>
          </cell>
          <cell r="BK220">
            <v>16.291000000000015</v>
          </cell>
          <cell r="BL220">
            <v>26.126000000000015</v>
          </cell>
          <cell r="BM220">
            <v>19.599999999999937</v>
          </cell>
          <cell r="BN220">
            <v>10.988000000000021</v>
          </cell>
          <cell r="BO220">
            <v>9.0350000000000428</v>
          </cell>
          <cell r="BP220">
            <v>0.45099999999996221</v>
          </cell>
          <cell r="BQ220">
            <v>27.620000000000015</v>
          </cell>
          <cell r="BR220">
            <v>37.208999999999939</v>
          </cell>
          <cell r="BS220">
            <v>24.506000000000107</v>
          </cell>
          <cell r="BT220">
            <v>71.450999999999951</v>
          </cell>
          <cell r="BU220">
            <v>107.12999999999994</v>
          </cell>
          <cell r="BV220">
            <v>126.8669999999999</v>
          </cell>
          <cell r="BW220">
            <v>204.18300000000005</v>
          </cell>
          <cell r="BX220">
            <v>234.6218413634794</v>
          </cell>
          <cell r="BY220">
            <v>256.00949210456463</v>
          </cell>
          <cell r="BZ220">
            <v>275.46073622601824</v>
          </cell>
          <cell r="CA220">
            <v>328.65608530334714</v>
          </cell>
          <cell r="CB220">
            <v>368.02938453761647</v>
          </cell>
          <cell r="CC220"/>
        </row>
        <row r="221">
          <cell r="A221" t="str">
            <v>Adjustments for Convertible Securities</v>
          </cell>
        </row>
        <row r="222">
          <cell r="A222" t="str">
            <v>Diluted Net Income to Common Shareholders</v>
          </cell>
        </row>
        <row r="223">
          <cell r="A223" t="str">
            <v>Non-GAAP Adjustments</v>
          </cell>
        </row>
        <row r="224">
          <cell r="A224" t="str">
            <v>Non-GAAP Adjustments for Dilutive Securities</v>
          </cell>
        </row>
        <row r="225">
          <cell r="A225" t="str">
            <v>Adjusted Net Income</v>
          </cell>
          <cell r="B225"/>
          <cell r="C225">
            <v>4.0480000000000018</v>
          </cell>
          <cell r="D225">
            <v>8.8359999999999914</v>
          </cell>
          <cell r="E225">
            <v>11.130999999999988</v>
          </cell>
          <cell r="F225">
            <v>2.1109999999999927</v>
          </cell>
          <cell r="G225">
            <v>-5.0399999999999698</v>
          </cell>
          <cell r="H225">
            <v>-3.664999999999988</v>
          </cell>
          <cell r="I225">
            <v>15.948999999999989</v>
          </cell>
          <cell r="J225">
            <v>12.355999999999963</v>
          </cell>
          <cell r="K225">
            <v>-6.77600000000003</v>
          </cell>
          <cell r="L225">
            <v>12.330999999999998</v>
          </cell>
          <cell r="M225">
            <v>17.012999999999977</v>
          </cell>
          <cell r="N225">
            <v>-11.579999999999872</v>
          </cell>
          <cell r="O225">
            <v>-12.792999999999989</v>
          </cell>
          <cell r="P225">
            <v>8.5379999999999914</v>
          </cell>
          <cell r="Q225">
            <v>14.273000000000001</v>
          </cell>
          <cell r="R225">
            <v>-0.98300000000001397</v>
          </cell>
          <cell r="S225">
            <v>-13.832999999999982</v>
          </cell>
          <cell r="T225">
            <v>11.652000000000008</v>
          </cell>
          <cell r="U225">
            <v>9.1149999999999771</v>
          </cell>
          <cell r="V225">
            <v>-6.4830000000000236</v>
          </cell>
          <cell r="W225">
            <v>-8.0559999999999885</v>
          </cell>
          <cell r="X225">
            <v>13.259</v>
          </cell>
          <cell r="Y225">
            <v>13.070000000000013</v>
          </cell>
          <cell r="Z225">
            <v>9.3469999999999462</v>
          </cell>
          <cell r="AA225">
            <v>-8.2820000000000231</v>
          </cell>
          <cell r="AB225">
            <v>23.71200000000001</v>
          </cell>
          <cell r="AC225">
            <v>18.462000000000018</v>
          </cell>
          <cell r="AD225">
            <v>3.3169999999999695</v>
          </cell>
          <cell r="AE225">
            <v>-9.7300000000000182</v>
          </cell>
          <cell r="AF225">
            <v>20.59400000000003</v>
          </cell>
          <cell r="AG225">
            <v>8.7540000000000084</v>
          </cell>
          <cell r="AH225">
            <v>4.8880000000001527</v>
          </cell>
          <cell r="AI225">
            <v>12.665999999999991</v>
          </cell>
          <cell r="AJ225">
            <v>24.500999999999959</v>
          </cell>
          <cell r="AK225">
            <v>23.789000000000001</v>
          </cell>
          <cell r="AL225">
            <v>10.495000000000056</v>
          </cell>
          <cell r="AM225">
            <v>-5.8830000000000053</v>
          </cell>
          <cell r="AN225">
            <v>42.004000000000026</v>
          </cell>
          <cell r="AO225">
            <v>42.91899999999999</v>
          </cell>
          <cell r="AP225">
            <v>28.089999999999975</v>
          </cell>
          <cell r="AQ225">
            <v>-22.671999999999997</v>
          </cell>
          <cell r="AR225">
            <v>50.705000000000027</v>
          </cell>
          <cell r="AS225">
            <v>55.46200000000001</v>
          </cell>
          <cell r="AT225">
            <v>43.371999999999964</v>
          </cell>
          <cell r="AU225">
            <v>4.8779999999999646</v>
          </cell>
          <cell r="AV225">
            <v>66.835999999999984</v>
          </cell>
          <cell r="AW225">
            <v>69.687000000000012</v>
          </cell>
          <cell r="AX225">
            <v>62.782000000000075</v>
          </cell>
          <cell r="AY225">
            <v>7.6288499211572756</v>
          </cell>
          <cell r="AZ225">
            <v>75.801240036063916</v>
          </cell>
          <cell r="BA225">
            <v>78.935506404360368</v>
          </cell>
          <cell r="BB225">
            <v>72.25624500189825</v>
          </cell>
          <cell r="BC225">
            <v>14.793437815182632</v>
          </cell>
          <cell r="BD225">
            <v>75.999736394250377</v>
          </cell>
          <cell r="BE225">
            <v>88.482512752093641</v>
          </cell>
          <cell r="BF225">
            <v>76.733805143038154</v>
          </cell>
          <cell r="BG225"/>
          <cell r="BH225">
            <v>12.314999999999971</v>
          </cell>
          <cell r="BI225">
            <v>21.525000000000038</v>
          </cell>
          <cell r="BJ225">
            <v>11.760999999999969</v>
          </cell>
          <cell r="BK225">
            <v>16.291000000000015</v>
          </cell>
          <cell r="BL225">
            <v>26.126000000000015</v>
          </cell>
          <cell r="BM225">
            <v>19.599999999999937</v>
          </cell>
          <cell r="BN225">
            <v>10.988000000000021</v>
          </cell>
          <cell r="BO225">
            <v>9.0350000000000428</v>
          </cell>
          <cell r="BP225">
            <v>0.45099999999996221</v>
          </cell>
          <cell r="BQ225">
            <v>27.620000000000015</v>
          </cell>
          <cell r="BR225">
            <v>37.208999999999939</v>
          </cell>
          <cell r="BS225">
            <v>24.506000000000107</v>
          </cell>
          <cell r="BT225">
            <v>71.450999999999951</v>
          </cell>
          <cell r="BU225">
            <v>107.12999999999994</v>
          </cell>
          <cell r="BV225">
            <v>126.8669999999999</v>
          </cell>
          <cell r="BW225">
            <v>204.18300000000005</v>
          </cell>
          <cell r="BX225">
            <v>234.6218413634794</v>
          </cell>
          <cell r="BY225">
            <v>256.00949210456463</v>
          </cell>
          <cell r="BZ225">
            <v>275.46073622601824</v>
          </cell>
          <cell r="CA225">
            <v>328.65608530334714</v>
          </cell>
          <cell r="CB225">
            <v>368.02938453761647</v>
          </cell>
          <cell r="CC225"/>
        </row>
        <row r="226">
          <cell r="A226"/>
        </row>
        <row r="227">
          <cell r="A227" t="str">
            <v>Current tax rate</v>
          </cell>
          <cell r="B227"/>
          <cell r="C227">
            <v>4.755128661211902E-2</v>
          </cell>
          <cell r="D227">
            <v>4.2875000000000017E-2</v>
          </cell>
          <cell r="E227">
            <v>3.9903391788302066E-2</v>
          </cell>
          <cell r="F227">
            <v>0.78167641325536208</v>
          </cell>
          <cell r="G227">
            <v>0</v>
          </cell>
          <cell r="H227">
            <v>1.1190689346457555E-4</v>
          </cell>
          <cell r="I227">
            <v>0.13169911957037964</v>
          </cell>
          <cell r="J227">
            <v>0.68516215936172542</v>
          </cell>
          <cell r="K227">
            <v>1.0509636626799701</v>
          </cell>
          <cell r="L227">
            <v>0.5196858029480218</v>
          </cell>
          <cell r="M227">
            <v>0.4300571639314037</v>
          </cell>
          <cell r="N227">
            <v>-1.6481823783117779E-2</v>
          </cell>
          <cell r="O227">
            <v>0.73628437936515623</v>
          </cell>
          <cell r="P227">
            <v>0.55699250189172489</v>
          </cell>
          <cell r="Q227">
            <v>0.61288288761624543</v>
          </cell>
          <cell r="R227">
            <v>8.3770491803281075</v>
          </cell>
          <cell r="S227">
            <v>0.76055896448246585</v>
          </cell>
          <cell r="T227">
            <v>0.63786517458438674</v>
          </cell>
          <cell r="U227">
            <v>0.66427931960608888</v>
          </cell>
          <cell r="V227">
            <v>-1.8366828855510795</v>
          </cell>
          <cell r="W227">
            <v>0.97752039710161531</v>
          </cell>
          <cell r="X227">
            <v>0.60932160255944157</v>
          </cell>
          <cell r="Y227">
            <v>0.59375312844128492</v>
          </cell>
          <cell r="Z227">
            <v>-3.881234232484661E-4</v>
          </cell>
          <cell r="AA227">
            <v>0.82481310881220127</v>
          </cell>
          <cell r="AB227">
            <v>0.26093153011098302</v>
          </cell>
          <cell r="AC227">
            <v>0.27867518411522946</v>
          </cell>
          <cell r="AD227">
            <v>0.56705359347987583</v>
          </cell>
          <cell r="AE227">
            <v>0.68127231418370593</v>
          </cell>
          <cell r="AF227">
            <v>0.44428015814342148</v>
          </cell>
          <cell r="AG227">
            <v>0.27111777944486098</v>
          </cell>
          <cell r="AH227">
            <v>0.66970021413274872</v>
          </cell>
          <cell r="AI227">
            <v>-1.0052955902176013</v>
          </cell>
          <cell r="AJ227">
            <v>0.3832245824829692</v>
          </cell>
          <cell r="AK227">
            <v>0.39782582868005228</v>
          </cell>
          <cell r="AL227">
            <v>0.3465346534653454</v>
          </cell>
          <cell r="AM227">
            <v>0.92471575229053915</v>
          </cell>
          <cell r="AN227">
            <v>0.26142149209150761</v>
          </cell>
          <cell r="AO227">
            <v>0.27508217381678224</v>
          </cell>
          <cell r="AP227">
            <v>0.40837057050815778</v>
          </cell>
          <cell r="AQ227">
            <v>0.8318756727664155</v>
          </cell>
          <cell r="AR227">
            <v>0.40148082503108856</v>
          </cell>
          <cell r="AS227">
            <v>0.32901582193617585</v>
          </cell>
          <cell r="AT227">
            <v>0.48191706793224126</v>
          </cell>
          <cell r="AU227">
            <v>-0.99189652485585722</v>
          </cell>
          <cell r="AV227">
            <v>0.33405776701762296</v>
          </cell>
          <cell r="AW227">
            <v>0.31746930663446843</v>
          </cell>
          <cell r="AX227">
            <v>0.10877419845586267</v>
          </cell>
          <cell r="AY227">
            <v>0.23</v>
          </cell>
          <cell r="AZ227">
            <v>0.23</v>
          </cell>
          <cell r="BA227">
            <v>0.23</v>
          </cell>
          <cell r="BB227">
            <v>0.23</v>
          </cell>
          <cell r="BC227">
            <v>0.23</v>
          </cell>
          <cell r="BD227">
            <v>0.23</v>
          </cell>
          <cell r="BE227">
            <v>0.23</v>
          </cell>
          <cell r="BF227">
            <v>0.23</v>
          </cell>
          <cell r="BG227"/>
          <cell r="BH227">
            <v>2.0602144495950061E-3</v>
          </cell>
          <cell r="BI227">
            <v>4.0748769627372818E-2</v>
          </cell>
          <cell r="BJ227">
            <v>1.5821271786847536E-2</v>
          </cell>
          <cell r="BK227">
            <v>5.6625343860526527E-2</v>
          </cell>
          <cell r="BL227">
            <v>9.1350387696801746E-2</v>
          </cell>
          <cell r="BM227">
            <v>0.57651330889657892</v>
          </cell>
          <cell r="BN227">
            <v>0.58826638477801185</v>
          </cell>
          <cell r="BO227">
            <v>0.64405505001127861</v>
          </cell>
          <cell r="BP227">
            <v>2.5240024306259055</v>
          </cell>
          <cell r="BQ227">
            <v>0.11712561297623529</v>
          </cell>
          <cell r="BR227">
            <v>0.14116746965530094</v>
          </cell>
          <cell r="BS227">
            <v>0.2945523080144784</v>
          </cell>
          <cell r="BT227">
            <v>0.23073048916122818</v>
          </cell>
          <cell r="BU227">
            <v>0.26447910575628608</v>
          </cell>
          <cell r="BV227">
            <v>0.3229207114583274</v>
          </cell>
          <cell r="BW227">
            <v>0.23008876004901224</v>
          </cell>
          <cell r="BX227">
            <v>0.23000000000000032</v>
          </cell>
          <cell r="BY227">
            <v>0.23000000000000009</v>
          </cell>
          <cell r="BZ227">
            <v>0.24</v>
          </cell>
          <cell r="CA227">
            <v>0.24</v>
          </cell>
          <cell r="CB227">
            <v>0.24</v>
          </cell>
          <cell r="CC227"/>
        </row>
        <row r="228">
          <cell r="A228" t="str">
            <v>Deferred tax rate</v>
          </cell>
          <cell r="B228"/>
          <cell r="C228">
            <v>0.41361318629194821</v>
          </cell>
          <cell r="D228">
            <v>0.37462500000000021</v>
          </cell>
          <cell r="E228">
            <v>0.36049564212958118</v>
          </cell>
          <cell r="F228">
            <v>-0.18778427550357402</v>
          </cell>
          <cell r="G228">
            <v>0.40360318203088585</v>
          </cell>
          <cell r="H228">
            <v>0.52417188898836242</v>
          </cell>
          <cell r="I228">
            <v>0.3016110766083368</v>
          </cell>
          <cell r="J228">
            <v>-0.30442441197803394</v>
          </cell>
          <cell r="K228">
            <v>-0.55290622381351295</v>
          </cell>
          <cell r="L228">
            <v>-9.9641194724592694E-2</v>
          </cell>
          <cell r="M228">
            <v>-3.9645952424857127E-2</v>
          </cell>
          <cell r="N228">
            <v>0.37081536249743519</v>
          </cell>
          <cell r="O228">
            <v>-0.34627426424546043</v>
          </cell>
          <cell r="P228">
            <v>-9.9332737153470518E-2</v>
          </cell>
          <cell r="Q228">
            <v>-0.33084642463090425</v>
          </cell>
          <cell r="R228">
            <v>-6.6926229508198629</v>
          </cell>
          <cell r="S228">
            <v>-0.37134411250951793</v>
          </cell>
          <cell r="T228">
            <v>-0.22424275030935592</v>
          </cell>
          <cell r="U228">
            <v>-0.32691733810802809</v>
          </cell>
          <cell r="V228">
            <v>1.4398138354135739</v>
          </cell>
          <cell r="W228">
            <v>-0.44303075255320395</v>
          </cell>
          <cell r="X228">
            <v>-0.56831236821057229</v>
          </cell>
          <cell r="Y228">
            <v>-0.24662128341175277</v>
          </cell>
          <cell r="Z228">
            <v>9.3440714147099257E-2</v>
          </cell>
          <cell r="AA228">
            <v>-0.44287548138639204</v>
          </cell>
          <cell r="AB228">
            <v>1.4221602280308063E-2</v>
          </cell>
          <cell r="AC228">
            <v>-4.097326768930297E-2</v>
          </cell>
          <cell r="AD228">
            <v>-0.40355643368733324</v>
          </cell>
          <cell r="AE228">
            <v>-0.20426268527534328</v>
          </cell>
          <cell r="AF228">
            <v>-0.11025039375140615</v>
          </cell>
          <cell r="AG228">
            <v>6.0390097524381056E-2</v>
          </cell>
          <cell r="AH228">
            <v>-0.3286937901498862</v>
          </cell>
          <cell r="AI228">
            <v>0.77652609281725449</v>
          </cell>
          <cell r="AJ228">
            <v>-7.7323291845123529E-2</v>
          </cell>
          <cell r="AK228">
            <v>-9.2639895449685164E-2</v>
          </cell>
          <cell r="AL228">
            <v>1.7797485269999341E-2</v>
          </cell>
          <cell r="AM228">
            <v>-0.60536483055524859</v>
          </cell>
          <cell r="AN228">
            <v>8.8928110786776152E-3</v>
          </cell>
          <cell r="AO228">
            <v>9.6053953710169143E-3</v>
          </cell>
          <cell r="AP228">
            <v>-0.1398212615608439</v>
          </cell>
          <cell r="AQ228">
            <v>-0.5793527987082886</v>
          </cell>
          <cell r="AR228">
            <v>-0.13190205971898622</v>
          </cell>
          <cell r="AS228">
            <v>-6.7216411906677376E-2</v>
          </cell>
          <cell r="AT228">
            <v>-0.23131949977482955</v>
          </cell>
          <cell r="AU228">
            <v>1.2312607137291638</v>
          </cell>
          <cell r="AV228">
            <v>-8.4184449073813436E-2</v>
          </cell>
          <cell r="AW228">
            <v>-5.4003226943913143E-2</v>
          </cell>
          <cell r="AX228">
            <v>9.5323216572218122E-2</v>
          </cell>
          <cell r="AY228">
            <v>0.01</v>
          </cell>
          <cell r="AZ228">
            <v>0.01</v>
          </cell>
          <cell r="BA228">
            <v>0.01</v>
          </cell>
          <cell r="BB228">
            <v>0.01</v>
          </cell>
          <cell r="BC228">
            <v>0.01</v>
          </cell>
          <cell r="BD228">
            <v>0.01</v>
          </cell>
          <cell r="BE228">
            <v>0.01</v>
          </cell>
          <cell r="BF228">
            <v>0.01</v>
          </cell>
          <cell r="BG228"/>
          <cell r="BH228">
            <v>0.44875216556632547</v>
          </cell>
          <cell r="BI228">
            <v>0.34737520506210418</v>
          </cell>
          <cell r="BJ228">
            <v>0.47715912548354911</v>
          </cell>
          <cell r="BK228">
            <v>0.3678682433639382</v>
          </cell>
          <cell r="BL228">
            <v>0.33872457417788931</v>
          </cell>
          <cell r="BM228">
            <v>-0.19711554931314487</v>
          </cell>
          <cell r="BN228">
            <v>-0.20441331923890035</v>
          </cell>
          <cell r="BO228">
            <v>-0.2871324358877933</v>
          </cell>
          <cell r="BP228">
            <v>-1.4310309904800598</v>
          </cell>
          <cell r="BQ228">
            <v>-0.15145228215767625</v>
          </cell>
          <cell r="BR228">
            <v>7.6363185211224024E-2</v>
          </cell>
          <cell r="BS228">
            <v>-3.9040296766087168E-2</v>
          </cell>
          <cell r="BT228">
            <v>2.6745430508047775E-2</v>
          </cell>
          <cell r="BU228">
            <v>8.0911649917728527E-3</v>
          </cell>
          <cell r="BV228">
            <v>-6.0116953641616511E-2</v>
          </cell>
          <cell r="BW228">
            <v>1.0796150742655627E-2</v>
          </cell>
          <cell r="BX228">
            <v>1.0000000000000012E-2</v>
          </cell>
          <cell r="BY228">
            <v>1.0000000000000004E-2</v>
          </cell>
          <cell r="BZ228">
            <v>0.02</v>
          </cell>
          <cell r="CA228">
            <v>0.02</v>
          </cell>
          <cell r="CB228">
            <v>0.02</v>
          </cell>
          <cell r="CC228"/>
        </row>
        <row r="229">
          <cell r="A229"/>
        </row>
        <row r="230">
          <cell r="A230" t="str">
            <v>Earnings Per Share - WAB</v>
          </cell>
        </row>
        <row r="231">
          <cell r="A231" t="str">
            <v>Earnings Per Share - WAD</v>
          </cell>
          <cell r="B231"/>
          <cell r="C231">
            <v>0.12092951582786127</v>
          </cell>
          <cell r="D231">
            <v>0.26332751904916124</v>
          </cell>
          <cell r="E231">
            <v>0.33004116240304437</v>
          </cell>
          <cell r="F231">
            <v>5.7453528885420095E-2</v>
          </cell>
          <cell r="G231">
            <v>-0.13309064360100106</v>
          </cell>
          <cell r="H231">
            <v>-9.1677191825305857E-2</v>
          </cell>
          <cell r="I231">
            <v>0.4027850938856215</v>
          </cell>
          <cell r="J231">
            <v>0.31892723985793342</v>
          </cell>
          <cell r="K231">
            <v>-0.17975534120208705</v>
          </cell>
          <cell r="L231">
            <v>0.33182790405456236</v>
          </cell>
          <cell r="M231">
            <v>0.45478469020389223</v>
          </cell>
          <cell r="N231">
            <v>-0.31030531175433762</v>
          </cell>
          <cell r="O231">
            <v>-0.34175277204293997</v>
          </cell>
          <cell r="P231">
            <v>0.22658707085893595</v>
          </cell>
          <cell r="Q231">
            <v>0.36597556950893512</v>
          </cell>
          <cell r="R231">
            <v>-2.6446903925797089E-2</v>
          </cell>
          <cell r="S231">
            <v>-0.36461444849000468</v>
          </cell>
          <cell r="T231">
            <v>0.29871350155289</v>
          </cell>
          <cell r="U231">
            <v>0.23176796596491811</v>
          </cell>
          <cell r="V231">
            <v>-0.16727166218338424</v>
          </cell>
          <cell r="W231">
            <v>-0.20599275261446603</v>
          </cell>
          <cell r="X231">
            <v>0.32588872145072612</v>
          </cell>
          <cell r="Y231">
            <v>0.32060871599937857</v>
          </cell>
          <cell r="Z231">
            <v>0.23381182083225416</v>
          </cell>
          <cell r="AA231">
            <v>-0.21548601345645427</v>
          </cell>
          <cell r="AB231">
            <v>0.58801852734489524</v>
          </cell>
          <cell r="AC231">
            <v>0.44216839938703839</v>
          </cell>
          <cell r="AD231">
            <v>7.9607363141094137E-2</v>
          </cell>
          <cell r="AE231">
            <v>-0.24765480697089534</v>
          </cell>
          <cell r="AF231">
            <v>0.51518573366298559</v>
          </cell>
          <cell r="AG231">
            <v>0.21918481576532253</v>
          </cell>
          <cell r="AH231">
            <v>0.11873647483940945</v>
          </cell>
          <cell r="AI231">
            <v>0.30021564755906005</v>
          </cell>
          <cell r="AJ231">
            <v>0.59609621573422888</v>
          </cell>
          <cell r="AK231">
            <v>0.57060948812114531</v>
          </cell>
          <cell r="AL231">
            <v>0.24839276626302365</v>
          </cell>
          <cell r="AM231">
            <v>-0.14504771880101985</v>
          </cell>
          <cell r="AN231">
            <v>1.0009675336356816</v>
          </cell>
          <cell r="AO231">
            <v>1.0185816693461618</v>
          </cell>
          <cell r="AP231">
            <v>0.65978132746969553</v>
          </cell>
          <cell r="AQ231">
            <v>-0.53882644778474165</v>
          </cell>
          <cell r="AR231">
            <v>1.1917315430386315</v>
          </cell>
          <cell r="AS231">
            <v>1.2984474209798222</v>
          </cell>
          <cell r="AT231">
            <v>1.0121972664466001</v>
          </cell>
          <cell r="AU231">
            <v>0.11348835110010681</v>
          </cell>
          <cell r="AV231">
            <v>1.5377407611945608</v>
          </cell>
          <cell r="AW231">
            <v>1.5962812398918167</v>
          </cell>
          <cell r="AX231">
            <v>1.4188442961553069</v>
          </cell>
          <cell r="AY231">
            <v>0.17337966294129686</v>
          </cell>
          <cell r="AZ231">
            <v>1.7225311762265112</v>
          </cell>
          <cell r="BA231">
            <v>1.793575871589149</v>
          </cell>
          <cell r="BB231">
            <v>1.6416452506594781</v>
          </cell>
          <cell r="BC231">
            <v>0.3360698942315839</v>
          </cell>
          <cell r="BD231">
            <v>1.7263512257092102</v>
          </cell>
          <cell r="BE231">
            <v>2.0096993480216145</v>
          </cell>
          <cell r="BF231">
            <v>1.7426772107314583</v>
          </cell>
          <cell r="BG231"/>
          <cell r="BH231">
            <v>0.41548619442108725</v>
          </cell>
          <cell r="BI231">
            <v>0.71160122905185785</v>
          </cell>
          <cell r="BJ231">
            <v>0.39832150704780178</v>
          </cell>
          <cell r="BK231">
            <v>0.45282935488556397</v>
          </cell>
          <cell r="BL231">
            <v>0.72047444540370487</v>
          </cell>
          <cell r="BM231">
            <v>0.49961106807771627</v>
          </cell>
          <cell r="BN231">
            <v>0.29203656835770014</v>
          </cell>
          <cell r="BO231">
            <v>0.23255880996606887</v>
          </cell>
          <cell r="BP231">
            <v>1.1417451546840948E-2</v>
          </cell>
          <cell r="BQ231">
            <v>0.67966371361559874</v>
          </cell>
          <cell r="BR231">
            <v>0.90876008675094122</v>
          </cell>
          <cell r="BS231">
            <v>0.60265757579871448</v>
          </cell>
          <cell r="BT231">
            <v>1.7065541749923199</v>
          </cell>
          <cell r="BU231">
            <v>2.5241789149701583</v>
          </cell>
          <cell r="BV231">
            <v>2.9691696154671745</v>
          </cell>
          <cell r="BW231">
            <v>4.6900409255071072</v>
          </cell>
          <cell r="BX231">
            <v>5.3313725214508336</v>
          </cell>
          <cell r="BY231">
            <v>5.8150268002702514</v>
          </cell>
          <cell r="BZ231">
            <v>6.2543381393317876</v>
          </cell>
          <cell r="CA231">
            <v>7.4591552880603311</v>
          </cell>
          <cell r="CB231">
            <v>8.3494291335733308</v>
          </cell>
          <cell r="CC231"/>
        </row>
        <row r="232">
          <cell r="A232" t="str">
            <v>Adjusted Earnings Per Share - WAD</v>
          </cell>
          <cell r="B232"/>
          <cell r="C232">
            <v>0.10438571636193503</v>
          </cell>
          <cell r="D232">
            <v>0.22733050363971913</v>
          </cell>
          <cell r="E232">
            <v>0.28516638065912475</v>
          </cell>
          <cell r="F232">
            <v>5.3476366612487565E-2</v>
          </cell>
          <cell r="G232">
            <v>-0.13309064360100106</v>
          </cell>
          <cell r="H232">
            <v>-9.1677191825305857E-2</v>
          </cell>
          <cell r="I232">
            <v>0.4027850938856215</v>
          </cell>
          <cell r="J232">
            <v>0.31892723985793342</v>
          </cell>
          <cell r="K232">
            <v>-0.17975534120208705</v>
          </cell>
          <cell r="L232">
            <v>0.33182790405456236</v>
          </cell>
          <cell r="M232">
            <v>0.45478469020389223</v>
          </cell>
          <cell r="N232">
            <v>-0.31030531175433762</v>
          </cell>
          <cell r="O232">
            <v>-0.34175277204293997</v>
          </cell>
          <cell r="P232">
            <v>0.22658707085893595</v>
          </cell>
          <cell r="Q232">
            <v>0.36597556950893512</v>
          </cell>
          <cell r="R232">
            <v>-2.6446903925797089E-2</v>
          </cell>
          <cell r="S232">
            <v>-0.36461444849000468</v>
          </cell>
          <cell r="T232">
            <v>0.29871350155289</v>
          </cell>
          <cell r="U232">
            <v>0.23176796596491811</v>
          </cell>
          <cell r="V232">
            <v>-0.16727166218338424</v>
          </cell>
          <cell r="W232">
            <v>-0.20599275261446603</v>
          </cell>
          <cell r="X232">
            <v>0.32588872145072612</v>
          </cell>
          <cell r="Y232">
            <v>0.32060871599937857</v>
          </cell>
          <cell r="Z232">
            <v>0.23381182083225416</v>
          </cell>
          <cell r="AA232">
            <v>-0.21548601345645427</v>
          </cell>
          <cell r="AB232">
            <v>0.58801852734489524</v>
          </cell>
          <cell r="AC232">
            <v>0.44216839938703839</v>
          </cell>
          <cell r="AD232">
            <v>7.9607363141094137E-2</v>
          </cell>
          <cell r="AE232">
            <v>-0.24765480697089534</v>
          </cell>
          <cell r="AF232">
            <v>0.51518573366298559</v>
          </cell>
          <cell r="AG232">
            <v>0.21918481576532253</v>
          </cell>
          <cell r="AH232">
            <v>0.11873647483940945</v>
          </cell>
          <cell r="AI232">
            <v>0.30021564755906005</v>
          </cell>
          <cell r="AJ232">
            <v>0.59609621573422888</v>
          </cell>
          <cell r="AK232">
            <v>0.57060948812114531</v>
          </cell>
          <cell r="AL232">
            <v>0.24839276626302365</v>
          </cell>
          <cell r="AM232">
            <v>-0.14504771880101985</v>
          </cell>
          <cell r="AN232">
            <v>1.0009675336356816</v>
          </cell>
          <cell r="AO232">
            <v>1.0185816693461618</v>
          </cell>
          <cell r="AP232">
            <v>0.65978132746969553</v>
          </cell>
          <cell r="AQ232">
            <v>-0.53882644778474165</v>
          </cell>
          <cell r="AR232">
            <v>1.1917315430386315</v>
          </cell>
          <cell r="AS232">
            <v>1.2984474209798222</v>
          </cell>
          <cell r="AT232">
            <v>1.0121972664466001</v>
          </cell>
          <cell r="AU232">
            <v>0.11348835110010681</v>
          </cell>
          <cell r="AV232">
            <v>1.5377407611945608</v>
          </cell>
          <cell r="AW232">
            <v>1.5962812398918167</v>
          </cell>
          <cell r="AX232">
            <v>1.4188442961553069</v>
          </cell>
          <cell r="AY232">
            <v>0.17337966294129686</v>
          </cell>
          <cell r="AZ232">
            <v>1.7225311762265112</v>
          </cell>
          <cell r="BA232">
            <v>1.793575871589149</v>
          </cell>
          <cell r="BB232">
            <v>1.6416452506594781</v>
          </cell>
          <cell r="BC232">
            <v>0.3360698942315839</v>
          </cell>
          <cell r="BD232">
            <v>1.7263512257092102</v>
          </cell>
          <cell r="BE232">
            <v>2.0096993480216145</v>
          </cell>
          <cell r="BF232">
            <v>1.7426772107314583</v>
          </cell>
          <cell r="BG232"/>
          <cell r="BH232">
            <v>0.41548619442108725</v>
          </cell>
          <cell r="BI232">
            <v>0.71160122905185785</v>
          </cell>
          <cell r="BJ232">
            <v>0.33956397571815772</v>
          </cell>
          <cell r="BK232">
            <v>0.42051205725592677</v>
          </cell>
          <cell r="BL232">
            <v>0.66959963575174108</v>
          </cell>
          <cell r="BM232">
            <v>0.49961106807771627</v>
          </cell>
          <cell r="BN232">
            <v>0.29203656835770014</v>
          </cell>
          <cell r="BO232">
            <v>0.23255880996606887</v>
          </cell>
          <cell r="BP232">
            <v>1.1417451546840948E-2</v>
          </cell>
          <cell r="BQ232">
            <v>0.67966371361559874</v>
          </cell>
          <cell r="BR232">
            <v>0.90876008675094122</v>
          </cell>
          <cell r="BS232">
            <v>0.60265757579871448</v>
          </cell>
          <cell r="BT232">
            <v>1.7065541749923199</v>
          </cell>
          <cell r="BU232">
            <v>2.5241789149701583</v>
          </cell>
          <cell r="BV232">
            <v>2.9691696154671745</v>
          </cell>
          <cell r="BW232">
            <v>4.6900409255071072</v>
          </cell>
          <cell r="BX232">
            <v>5.3313725214508336</v>
          </cell>
          <cell r="BY232">
            <v>5.8150268002702514</v>
          </cell>
          <cell r="BZ232">
            <v>6.2543381393317876</v>
          </cell>
          <cell r="CA232">
            <v>7.4591552880603311</v>
          </cell>
          <cell r="CB232">
            <v>8.3494291335733308</v>
          </cell>
          <cell r="CC232"/>
        </row>
        <row r="233">
          <cell r="A233" t="str">
            <v>Consensus Estimates - Adjusted Earnings Per Share - WAD</v>
          </cell>
        </row>
        <row r="234">
          <cell r="A234"/>
        </row>
        <row r="235">
          <cell r="A235" t="str">
            <v>Shares Outstanding - WAB</v>
          </cell>
        </row>
        <row r="236">
          <cell r="A236" t="str">
            <v>Shares Outstanding - WAD</v>
          </cell>
        </row>
        <row r="237">
          <cell r="A237" t="str">
            <v>Adjusted Shares Outstanding - WAD</v>
          </cell>
          <cell r="B237"/>
          <cell r="C237">
            <v>38.779252</v>
          </cell>
          <cell r="D237">
            <v>38.868518999999999</v>
          </cell>
          <cell r="E237">
            <v>39.033352999999998</v>
          </cell>
          <cell r="F237">
            <v>39.475382000000003</v>
          </cell>
          <cell r="G237">
            <v>37.868927999999997</v>
          </cell>
          <cell r="H237">
            <v>39.977227999999997</v>
          </cell>
          <cell r="I237">
            <v>39.596798</v>
          </cell>
          <cell r="J237">
            <v>38.742379</v>
          </cell>
          <cell r="K237">
            <v>37.695681</v>
          </cell>
          <cell r="L237">
            <v>37.160829</v>
          </cell>
          <cell r="M237">
            <v>37.408911000000003</v>
          </cell>
          <cell r="N237">
            <v>37.318085000000004</v>
          </cell>
          <cell r="O237">
            <v>37.433492999999999</v>
          </cell>
          <cell r="P237">
            <v>37.680878999999997</v>
          </cell>
          <cell r="Q237">
            <v>38.999870999999999</v>
          </cell>
          <cell r="R237">
            <v>37.168812000000003</v>
          </cell>
          <cell r="S237">
            <v>37.938704999999999</v>
          </cell>
          <cell r="T237">
            <v>39.007275999999997</v>
          </cell>
          <cell r="U237">
            <v>39.328127000000002</v>
          </cell>
          <cell r="V237">
            <v>38.757311999999999</v>
          </cell>
          <cell r="W237">
            <v>39.108172000000003</v>
          </cell>
          <cell r="X237">
            <v>40.685667000000002</v>
          </cell>
          <cell r="Y237">
            <v>40.766202999999997</v>
          </cell>
          <cell r="Z237">
            <v>39.976593000000001</v>
          </cell>
          <cell r="AA237">
            <v>38.434049000000002</v>
          </cell>
          <cell r="AB237">
            <v>40.32526</v>
          </cell>
          <cell r="AC237">
            <v>41.753323000000002</v>
          </cell>
          <cell r="AD237">
            <v>41.667000000000002</v>
          </cell>
          <cell r="AE237">
            <v>39.288556999999997</v>
          </cell>
          <cell r="AF237">
            <v>39.973933000000002</v>
          </cell>
          <cell r="AG237">
            <v>39.938898000000002</v>
          </cell>
          <cell r="AH237">
            <v>41.166794000000003</v>
          </cell>
          <cell r="AI237">
            <v>42.189672999999999</v>
          </cell>
          <cell r="AJ237">
            <v>41.102424999999997</v>
          </cell>
          <cell r="AK237">
            <v>41.690508999999999</v>
          </cell>
          <cell r="AL237">
            <v>42.251632999999998</v>
          </cell>
          <cell r="AM237">
            <v>40.559066000000001</v>
          </cell>
          <cell r="AN237">
            <v>41.963399000000003</v>
          </cell>
          <cell r="AO237">
            <v>42.136042000000003</v>
          </cell>
          <cell r="AP237">
            <v>42.574711999999998</v>
          </cell>
          <cell r="AQ237">
            <v>42.076627999999999</v>
          </cell>
          <cell r="AR237">
            <v>42.547333999999999</v>
          </cell>
          <cell r="AS237">
            <v>42.714089999999999</v>
          </cell>
          <cell r="AT237">
            <v>42.849355000000003</v>
          </cell>
          <cell r="AU237">
            <v>42.982385000000001</v>
          </cell>
          <cell r="AV237">
            <v>43.463763</v>
          </cell>
          <cell r="AW237">
            <v>43.655841000000002</v>
          </cell>
          <cell r="AX237">
            <v>44.248688999999999</v>
          </cell>
          <cell r="AY237">
            <v>44.000834883040824</v>
          </cell>
          <cell r="AZ237">
            <v>44.005728942519951</v>
          </cell>
          <cell r="BA237">
            <v>44.010129515414206</v>
          </cell>
          <cell r="BB237">
            <v>44.014530528365754</v>
          </cell>
          <cell r="BC237">
            <v>44.018931981418589</v>
          </cell>
          <cell r="BD237">
            <v>44.023333874616725</v>
          </cell>
          <cell r="BE237">
            <v>44.027736208004185</v>
          </cell>
          <cell r="BF237">
            <v>44.032138981624989</v>
          </cell>
          <cell r="BG237"/>
          <cell r="BH237">
            <v>29.639973999999999</v>
          </cell>
          <cell r="BI237">
            <v>30.248683</v>
          </cell>
          <cell r="BJ237">
            <v>34.635593999999998</v>
          </cell>
          <cell r="BK237">
            <v>38.740862999999997</v>
          </cell>
          <cell r="BL237">
            <v>39.017344999999999</v>
          </cell>
          <cell r="BM237">
            <v>39.230516000000001</v>
          </cell>
          <cell r="BN237">
            <v>37.625425</v>
          </cell>
          <cell r="BO237">
            <v>38.850388000000002</v>
          </cell>
          <cell r="BP237">
            <v>39.500934000000001</v>
          </cell>
          <cell r="BQ237">
            <v>40.637743999999998</v>
          </cell>
          <cell r="BR237">
            <v>40.944800000000001</v>
          </cell>
          <cell r="BS237">
            <v>40.663224</v>
          </cell>
          <cell r="BT237">
            <v>41.868580000000001</v>
          </cell>
          <cell r="BU237">
            <v>42.441524000000001</v>
          </cell>
          <cell r="BV237">
            <v>42.728107999999999</v>
          </cell>
          <cell r="BW237">
            <v>43.535440999999999</v>
          </cell>
          <cell r="BX237">
            <v>44.007774812110007</v>
          </cell>
          <cell r="BY237">
            <v>44.025505109050691</v>
          </cell>
          <cell r="BZ237">
            <v>44.043147346594921</v>
          </cell>
          <cell r="CA237">
            <v>44.060764605533564</v>
          </cell>
          <cell r="CB237">
            <v>44.078388911375768</v>
          </cell>
          <cell r="CC237"/>
        </row>
        <row r="238">
          <cell r="A238"/>
        </row>
        <row r="239">
          <cell r="A239" t="str">
            <v>Share Count Analysis</v>
          </cell>
        </row>
        <row r="240">
          <cell r="A240" t="str">
            <v>Last Working Day, date</v>
          </cell>
        </row>
        <row r="241">
          <cell r="A241" t="str">
            <v>End of Period Stock Price, $/share</v>
          </cell>
        </row>
        <row r="242">
          <cell r="A242"/>
        </row>
        <row r="243">
          <cell r="A243" t="str">
            <v>EoP Common Stock Outstanding, mm shares</v>
          </cell>
        </row>
        <row r="244">
          <cell r="A244" t="str">
            <v>EoP Unvested RSAs, mm shares</v>
          </cell>
        </row>
        <row r="245">
          <cell r="A245" t="str">
            <v>EoP Common Stock Outstanding excl. restricted stock, mm shares</v>
          </cell>
        </row>
        <row r="246">
          <cell r="A246" t="str">
            <v>Q/Q basic share expansion from dilutive securities, %</v>
          </cell>
        </row>
        <row r="247">
          <cell r="A247" t="str">
            <v>Y/Y basic share expansion from dilutive securities, %</v>
          </cell>
        </row>
        <row r="248">
          <cell r="A248" t="str">
            <v>Q/Q basic share expansion from share issuance (buyback), %</v>
          </cell>
        </row>
        <row r="249">
          <cell r="A249" t="str">
            <v>Y/Y basic share expansion from share issuance (buyback), %</v>
          </cell>
        </row>
        <row r="250">
          <cell r="A250" t="str">
            <v>Q/Q basic share expansion - EoP, %</v>
          </cell>
        </row>
        <row r="251">
          <cell r="A251" t="str">
            <v>Y/Y basic share expansion - EoP, %</v>
          </cell>
        </row>
        <row r="252">
          <cell r="A252"/>
        </row>
        <row r="253">
          <cell r="A253" t="str">
            <v>Dilutive Shares, mm shares</v>
          </cell>
        </row>
        <row r="254">
          <cell r="A254" t="str">
            <v>Diluted share count to basic share count ratio, x</v>
          </cell>
        </row>
        <row r="255">
          <cell r="A255"/>
        </row>
        <row r="256">
          <cell r="A256" t="str">
            <v>EoP Total Diluted Common Stock Outstanding, mm shares</v>
          </cell>
          <cell r="B256"/>
          <cell r="C256">
            <v>38.702199999999998</v>
          </cell>
          <cell r="D256">
            <v>38.776111999999998</v>
          </cell>
          <cell r="E256">
            <v>39.018157000000002</v>
          </cell>
          <cell r="F256">
            <v>42.095222000000007</v>
          </cell>
          <cell r="G256">
            <v>42.553888000000001</v>
          </cell>
          <cell r="H256">
            <v>42.437249999999999</v>
          </cell>
          <cell r="I256">
            <v>38.783656999999998</v>
          </cell>
          <cell r="J256">
            <v>38.171185999999999</v>
          </cell>
          <cell r="K256">
            <v>37.02026</v>
          </cell>
          <cell r="L256">
            <v>36.941704999999999</v>
          </cell>
          <cell r="M256">
            <v>37.219151000000011</v>
          </cell>
          <cell r="N256">
            <v>37.28706900000001</v>
          </cell>
          <cell r="O256">
            <v>37.474429000000008</v>
          </cell>
          <cell r="P256">
            <v>37.486861000000005</v>
          </cell>
          <cell r="Q256">
            <v>38.800010999999998</v>
          </cell>
          <cell r="R256">
            <v>38.856724999999997</v>
          </cell>
          <cell r="S256">
            <v>39.143738000000006</v>
          </cell>
          <cell r="T256">
            <v>38.828431999999999</v>
          </cell>
          <cell r="U256">
            <v>39.201502000000005</v>
          </cell>
          <cell r="V256">
            <v>39.633270000000003</v>
          </cell>
          <cell r="W256">
            <v>39.961972000000003</v>
          </cell>
          <cell r="X256">
            <v>40.530445</v>
          </cell>
          <cell r="Y256">
            <v>40.772714999999991</v>
          </cell>
          <cell r="Z256">
            <v>38.836303000000001</v>
          </cell>
          <cell r="AA256">
            <v>39.422617000000002</v>
          </cell>
          <cell r="AB256">
            <v>40.118918999999998</v>
          </cell>
          <cell r="AC256">
            <v>41.598303000000001</v>
          </cell>
          <cell r="AD256">
            <v>41.449528000000001</v>
          </cell>
          <cell r="AE256">
            <v>41.713923000000001</v>
          </cell>
          <cell r="AF256">
            <v>39.724345999999997</v>
          </cell>
          <cell r="AG256">
            <v>39.768095000000002</v>
          </cell>
          <cell r="AH256">
            <v>40.917727000000006</v>
          </cell>
          <cell r="AI256">
            <v>42.091039000000002</v>
          </cell>
          <cell r="AJ256">
            <v>40.865203999999999</v>
          </cell>
          <cell r="AK256">
            <v>41.538973999999996</v>
          </cell>
          <cell r="AL256">
            <v>42.005848</v>
          </cell>
          <cell r="AM256">
            <v>42.270390999999996</v>
          </cell>
          <cell r="AN256">
            <v>41.901281000000004</v>
          </cell>
          <cell r="AO256">
            <v>41.936752000000006</v>
          </cell>
          <cell r="AP256">
            <v>42.325127999999992</v>
          </cell>
          <cell r="AQ256">
            <v>42.649316999999996</v>
          </cell>
          <cell r="AR256">
            <v>42.328862999999991</v>
          </cell>
          <cell r="AS256">
            <v>42.501981999999998</v>
          </cell>
          <cell r="AT256">
            <v>42.604030000000009</v>
          </cell>
          <cell r="AU256">
            <v>42.767434000000002</v>
          </cell>
          <cell r="AV256">
            <v>43.251281000000006</v>
          </cell>
          <cell r="AW256">
            <v>43.463521999999998</v>
          </cell>
          <cell r="AX256">
            <v>43.998141000000004</v>
          </cell>
          <cell r="AY256">
            <v>44.003528766081651</v>
          </cell>
          <cell r="AZ256">
            <v>44.007929118958259</v>
          </cell>
          <cell r="BA256">
            <v>44.012329911870161</v>
          </cell>
          <cell r="BB256">
            <v>44.016731144861346</v>
          </cell>
          <cell r="BC256">
            <v>44.021132817975833</v>
          </cell>
          <cell r="BD256">
            <v>44.025534931257624</v>
          </cell>
          <cell r="BE256">
            <v>44.029937484750754</v>
          </cell>
          <cell r="BF256">
            <v>44.034340478499225</v>
          </cell>
          <cell r="BG256"/>
          <cell r="BH256">
            <v>30.184272</v>
          </cell>
          <cell r="BI256">
            <v>30.710272</v>
          </cell>
          <cell r="BJ256">
            <v>38.77030400000001</v>
          </cell>
          <cell r="BK256">
            <v>41.533481000000002</v>
          </cell>
          <cell r="BL256">
            <v>42.095222000000007</v>
          </cell>
          <cell r="BM256">
            <v>38.171185999999999</v>
          </cell>
          <cell r="BN256">
            <v>37.28706900000001</v>
          </cell>
          <cell r="BO256">
            <v>38.856724999999997</v>
          </cell>
          <cell r="BP256">
            <v>39.633270000000003</v>
          </cell>
          <cell r="BQ256">
            <v>38.836303000000001</v>
          </cell>
          <cell r="BR256">
            <v>41.449528000000001</v>
          </cell>
          <cell r="BS256">
            <v>40.917727000000006</v>
          </cell>
          <cell r="BT256">
            <v>42.005848</v>
          </cell>
          <cell r="BU256">
            <v>42.325127999999992</v>
          </cell>
          <cell r="BV256">
            <v>42.604030000000009</v>
          </cell>
          <cell r="BW256">
            <v>43.998141000000004</v>
          </cell>
          <cell r="BX256">
            <v>44.016731144861346</v>
          </cell>
          <cell r="BY256">
            <v>44.034340478499225</v>
          </cell>
          <cell r="BZ256">
            <v>44.051954214690625</v>
          </cell>
          <cell r="CA256">
            <v>44.069574996376495</v>
          </cell>
          <cell r="CB256">
            <v>44.087202826375048</v>
          </cell>
          <cell r="CC256"/>
        </row>
        <row r="257">
          <cell r="A257"/>
        </row>
        <row r="258">
          <cell r="A258" t="str">
            <v>Cumulative BoP Total Stock Options Outstanding, mm options</v>
          </cell>
        </row>
        <row r="259">
          <cell r="A259" t="str">
            <v>Cumulative Granted Stock Options, mm options</v>
          </cell>
        </row>
        <row r="260">
          <cell r="A260" t="str">
            <v>Cumulative Exercised Stock Options, mm options</v>
          </cell>
        </row>
        <row r="261">
          <cell r="A261" t="str">
            <v>Cumulative Forfeited and Canceled Stock Options, mm options</v>
          </cell>
        </row>
        <row r="262">
          <cell r="A262" t="str">
            <v>Cumulative EoP Total Stock Options Outstanding, mm options</v>
          </cell>
        </row>
        <row r="263">
          <cell r="A263"/>
        </row>
        <row r="264">
          <cell r="A264" t="str">
            <v>BoP Total Stock Options Outstanding, mm options</v>
          </cell>
        </row>
        <row r="265">
          <cell r="A265" t="str">
            <v>Granted Stock Options, mm options</v>
          </cell>
        </row>
        <row r="266">
          <cell r="A266" t="str">
            <v>Exercised Stock Options, mm options</v>
          </cell>
        </row>
        <row r="267">
          <cell r="A267" t="str">
            <v>Forfeited and Canceled Stock Options, mm options</v>
          </cell>
        </row>
        <row r="268">
          <cell r="A268" t="str">
            <v>EoP Total Stock Options Outstanding, mm options</v>
          </cell>
        </row>
        <row r="269">
          <cell r="A269"/>
        </row>
        <row r="270">
          <cell r="A270" t="str">
            <v>Cumulative BoP Weighted Average Exercise Price, $/share</v>
          </cell>
        </row>
        <row r="271">
          <cell r="A271" t="str">
            <v>Cumulative Granted Average Exercise Price, $/share</v>
          </cell>
        </row>
        <row r="272">
          <cell r="A272" t="str">
            <v>Cumulative Exercised Average Exercise Price, $/share</v>
          </cell>
        </row>
        <row r="273">
          <cell r="A273" t="str">
            <v>Cumulative Forfeited and Canceled Average Exercise Price, $/share</v>
          </cell>
        </row>
        <row r="274">
          <cell r="A274" t="str">
            <v>Cumulative EoP Weighted Average Exercise Price, $/share</v>
          </cell>
        </row>
        <row r="275">
          <cell r="A275"/>
        </row>
        <row r="276">
          <cell r="A276" t="str">
            <v>BoP Weighted Average Exercise Price, $/share</v>
          </cell>
        </row>
        <row r="277">
          <cell r="A277" t="str">
            <v>Granted Average Exercise Price, $/share</v>
          </cell>
        </row>
        <row r="278">
          <cell r="A278" t="str">
            <v>Exercised Average Exercise Price, $/share</v>
          </cell>
        </row>
        <row r="279">
          <cell r="A279" t="str">
            <v>Forfeited and Canceled Average Exercise Price, $/share</v>
          </cell>
        </row>
        <row r="280">
          <cell r="A280" t="str">
            <v>EoP Weighted Average Exercise Price, $/share</v>
          </cell>
        </row>
        <row r="281">
          <cell r="A281" t="str">
            <v>Dilutive Shares from Exercised Options (Treasury Method), mm shares</v>
          </cell>
        </row>
        <row r="282">
          <cell r="A282"/>
        </row>
        <row r="283">
          <cell r="A283" t="str">
            <v>EoP Total Stock Options Exercisable, mm options</v>
          </cell>
        </row>
        <row r="284">
          <cell r="A284" t="str">
            <v>EoP Weighted Average Exercisable Option Exercise Price, $/share</v>
          </cell>
        </row>
        <row r="285">
          <cell r="A285"/>
        </row>
        <row r="286">
          <cell r="A286" t="str">
            <v>EoP Warrants, mm warrants</v>
          </cell>
        </row>
        <row r="287">
          <cell r="A287" t="str">
            <v>EoP Warrants Price, $/share</v>
          </cell>
        </row>
        <row r="288">
          <cell r="A288" t="str">
            <v>Dilutive Shares from Exercised Warrants (Treasury Method), mm shares</v>
          </cell>
        </row>
        <row r="289">
          <cell r="A289"/>
        </row>
        <row r="290">
          <cell r="A290" t="str">
            <v>EoP Unvested RSAs, mm shares</v>
          </cell>
        </row>
        <row r="291">
          <cell r="A291" t="str">
            <v>EoP Unvested RSA Price, $/share</v>
          </cell>
        </row>
        <row r="292">
          <cell r="A292"/>
        </row>
        <row r="293">
          <cell r="A293" t="str">
            <v>EoP Undistributed PSUs, mm shares</v>
          </cell>
        </row>
        <row r="294">
          <cell r="A294" t="str">
            <v>EoP Undistributed PSU Price, $/share</v>
          </cell>
        </row>
        <row r="295">
          <cell r="A295"/>
        </row>
        <row r="296">
          <cell r="A296" t="str">
            <v>EoP ESPP Obligations, mm shares</v>
          </cell>
        </row>
        <row r="297">
          <cell r="A297"/>
        </row>
        <row r="298">
          <cell r="A298" t="str">
            <v>EoP DSUs, mm shares</v>
          </cell>
        </row>
        <row r="299">
          <cell r="A299" t="str">
            <v>EoP DSU Price, $/share</v>
          </cell>
        </row>
        <row r="300">
          <cell r="A300" t="str">
            <v>EoP Others, mm shares</v>
          </cell>
        </row>
        <row r="301">
          <cell r="A301"/>
        </row>
        <row r="302">
          <cell r="A302" t="str">
            <v>EoP Potentially Dilutive Securities, mm shares</v>
          </cell>
        </row>
        <row r="303">
          <cell r="A303"/>
        </row>
        <row r="304">
          <cell r="A304" t="str">
            <v>Canalyst EoP Fully Diluted Shares Outstanding, mm shares</v>
          </cell>
        </row>
        <row r="305">
          <cell r="A305"/>
        </row>
        <row r="306">
          <cell r="A306" t="str">
            <v>Cover Page Common Stock Outstanding, mm shares</v>
          </cell>
        </row>
        <row r="307">
          <cell r="A307" t="str">
            <v>Date of Cover Page Share Count, date</v>
          </cell>
        </row>
        <row r="308">
          <cell r="A308"/>
        </row>
        <row r="309">
          <cell r="A309" t="str">
            <v>Canalyst Cover Page Fully Diluted Shares Outstanding, mm shares</v>
          </cell>
        </row>
        <row r="310">
          <cell r="A310"/>
        </row>
        <row r="311">
          <cell r="A311" t="str">
            <v>Cash Flow Summary</v>
          </cell>
        </row>
        <row r="312">
          <cell r="A312" t="str">
            <v>Operating Cash Flow before WC</v>
          </cell>
          <cell r="B312"/>
          <cell r="C312">
            <v>26.291</v>
          </cell>
          <cell r="D312">
            <v>33.683</v>
          </cell>
          <cell r="E312">
            <v>37.778000000000006</v>
          </cell>
          <cell r="F312">
            <v>18.71299999999999</v>
          </cell>
          <cell r="G312">
            <v>11.746999999999998</v>
          </cell>
          <cell r="H312">
            <v>40.061999999999998</v>
          </cell>
          <cell r="I312">
            <v>45.451000000000001</v>
          </cell>
          <cell r="J312">
            <v>21.319999999999993</v>
          </cell>
          <cell r="K312">
            <v>22.186</v>
          </cell>
          <cell r="L312">
            <v>32.931000000000004</v>
          </cell>
          <cell r="M312">
            <v>38.369000000000007</v>
          </cell>
          <cell r="N312">
            <v>31.203999999999997</v>
          </cell>
          <cell r="O312">
            <v>19.287000000000003</v>
          </cell>
          <cell r="P312">
            <v>29.075999999999997</v>
          </cell>
          <cell r="Q312">
            <v>29.892999999999997</v>
          </cell>
          <cell r="R312">
            <v>20.978999999999992</v>
          </cell>
          <cell r="S312">
            <v>19.547999999999998</v>
          </cell>
          <cell r="T312">
            <v>31.018000000000001</v>
          </cell>
          <cell r="U312">
            <v>34.795999999999999</v>
          </cell>
          <cell r="V312">
            <v>22.789999999999996</v>
          </cell>
          <cell r="W312">
            <v>25.863999999999997</v>
          </cell>
          <cell r="X312">
            <v>32.550000000000004</v>
          </cell>
          <cell r="Y312">
            <v>32.508000000000003</v>
          </cell>
          <cell r="Z312">
            <v>37.471000000000004</v>
          </cell>
          <cell r="AA312">
            <v>23.496000000000002</v>
          </cell>
          <cell r="AB312">
            <v>47.363999999999997</v>
          </cell>
          <cell r="AC312">
            <v>41.87700000000001</v>
          </cell>
          <cell r="AD312">
            <v>26.551000000000002</v>
          </cell>
          <cell r="AE312">
            <v>20.574999999999996</v>
          </cell>
          <cell r="AF312">
            <v>43.481999999999999</v>
          </cell>
          <cell r="AG312">
            <v>38.804000000000002</v>
          </cell>
          <cell r="AH312">
            <v>38.5</v>
          </cell>
          <cell r="AI312">
            <v>64.786999999999992</v>
          </cell>
          <cell r="AJ312">
            <v>65.385999999999996</v>
          </cell>
          <cell r="AK312">
            <v>67.725999999999999</v>
          </cell>
          <cell r="AL312">
            <v>54.024999999999991</v>
          </cell>
          <cell r="AM312">
            <v>41.920000000000009</v>
          </cell>
          <cell r="AN312">
            <v>79.587000000000003</v>
          </cell>
          <cell r="AO312">
            <v>80.021000000000001</v>
          </cell>
          <cell r="AP312">
            <v>70.281000000000006</v>
          </cell>
          <cell r="AQ312">
            <v>28.173000000000002</v>
          </cell>
          <cell r="AR312">
            <v>79.515000000000015</v>
          </cell>
          <cell r="AS312">
            <v>90.804000000000016</v>
          </cell>
          <cell r="AT312">
            <v>72.197000000000003</v>
          </cell>
          <cell r="AU312">
            <v>64.212999999999994</v>
          </cell>
          <cell r="AV312">
            <v>103.937</v>
          </cell>
          <cell r="AW312">
            <v>103.98800000000001</v>
          </cell>
          <cell r="AX312">
            <v>115.65899999999999</v>
          </cell>
          <cell r="AY312">
            <v>42.360671169218641</v>
          </cell>
          <cell r="AZ312">
            <v>109.74630452663406</v>
          </cell>
          <cell r="BA312">
            <v>110.057411875341</v>
          </cell>
          <cell r="BB312">
            <v>102.53395493694546</v>
          </cell>
          <cell r="BC312">
            <v>44.708579583077466</v>
          </cell>
          <cell r="BD312">
            <v>106.00885709031286</v>
          </cell>
          <cell r="BE312">
            <v>116.63939397693503</v>
          </cell>
          <cell r="BF312">
            <v>104.54972385791831</v>
          </cell>
          <cell r="BG312"/>
          <cell r="BH312">
            <v>38.190000000000005</v>
          </cell>
          <cell r="BI312">
            <v>61.653999999999996</v>
          </cell>
          <cell r="BJ312">
            <v>72.839999999999989</v>
          </cell>
          <cell r="BK312">
            <v>100.48799999999999</v>
          </cell>
          <cell r="BL312">
            <v>116.46499999999997</v>
          </cell>
          <cell r="BM312">
            <v>118.58</v>
          </cell>
          <cell r="BN312">
            <v>124.69000000000003</v>
          </cell>
          <cell r="BO312">
            <v>99.234999999999999</v>
          </cell>
          <cell r="BP312">
            <v>108.152</v>
          </cell>
          <cell r="BQ312">
            <v>128.393</v>
          </cell>
          <cell r="BR312">
            <v>139.28800000000001</v>
          </cell>
          <cell r="BS312">
            <v>141.36099999999999</v>
          </cell>
          <cell r="BT312">
            <v>251.92400000000001</v>
          </cell>
          <cell r="BU312">
            <v>271.80899999999997</v>
          </cell>
          <cell r="BV312">
            <v>270.68900000000002</v>
          </cell>
          <cell r="BW312">
            <v>387.79699999999991</v>
          </cell>
          <cell r="BX312">
            <v>364.69834250813915</v>
          </cell>
          <cell r="BY312">
            <v>371.90655450824369</v>
          </cell>
          <cell r="BZ312">
            <v>390.9435741471043</v>
          </cell>
          <cell r="CA312">
            <v>440.96924627088595</v>
          </cell>
          <cell r="CB312">
            <v>480.38466806072654</v>
          </cell>
          <cell r="CC312"/>
        </row>
        <row r="313">
          <cell r="A313" t="str">
            <v>Change in Working Capital</v>
          </cell>
        </row>
        <row r="314">
          <cell r="A314" t="str">
            <v>Operating Cash Flow after WC</v>
          </cell>
        </row>
        <row r="315">
          <cell r="A315" t="str">
            <v>Cash Flow Per Diluted Share before WC</v>
          </cell>
        </row>
        <row r="316">
          <cell r="A316" t="str">
            <v>Cash Flow Per Diluted Share</v>
          </cell>
        </row>
        <row r="317">
          <cell r="A317" t="str">
            <v>Consensus Estimates - Cash Flow Per Diluted Share</v>
          </cell>
        </row>
        <row r="318">
          <cell r="A318" t="str">
            <v>Capex</v>
          </cell>
          <cell r="B318"/>
          <cell r="C318">
            <v>-15.244</v>
          </cell>
          <cell r="D318">
            <v>-10.541</v>
          </cell>
          <cell r="E318">
            <v>-10.944000000000001</v>
          </cell>
          <cell r="F318">
            <v>-13.616000000000001</v>
          </cell>
          <cell r="G318">
            <v>-12.602</v>
          </cell>
          <cell r="H318">
            <v>-11.007999999999999</v>
          </cell>
          <cell r="I318">
            <v>-12.523000000000003</v>
          </cell>
          <cell r="J318">
            <v>-13.236000000000001</v>
          </cell>
          <cell r="K318">
            <v>-18.594000000000001</v>
          </cell>
          <cell r="L318">
            <v>-12.452999999999999</v>
          </cell>
          <cell r="M318">
            <v>-14.233000000000001</v>
          </cell>
          <cell r="N318">
            <v>-16.46</v>
          </cell>
          <cell r="O318">
            <v>-14.191000000000001</v>
          </cell>
          <cell r="P318">
            <v>-11.625</v>
          </cell>
          <cell r="Q318">
            <v>-15.169</v>
          </cell>
          <cell r="R318">
            <v>-21.914999999999999</v>
          </cell>
          <cell r="S318">
            <v>-14.028</v>
          </cell>
          <cell r="T318">
            <v>-9.8349999999999991</v>
          </cell>
          <cell r="U318">
            <v>-9.2999999999999989</v>
          </cell>
          <cell r="V318">
            <v>-15.061000000000002</v>
          </cell>
          <cell r="W318">
            <v>-15.522</v>
          </cell>
          <cell r="X318">
            <v>-8.2469999999999999</v>
          </cell>
          <cell r="Y318">
            <v>-9.4329999999999998</v>
          </cell>
          <cell r="Z318">
            <v>-10.001000000000001</v>
          </cell>
          <cell r="AA318">
            <v>-17.739999999999998</v>
          </cell>
          <cell r="AB318">
            <v>-9.5360000000000014</v>
          </cell>
          <cell r="AC318">
            <v>-9.4469999999999992</v>
          </cell>
          <cell r="AD318">
            <v>-11.683000000000003</v>
          </cell>
          <cell r="AE318">
            <v>-16.97</v>
          </cell>
          <cell r="AF318">
            <v>-9.3369999999999997</v>
          </cell>
          <cell r="AG318">
            <v>-9.4740000000000002</v>
          </cell>
          <cell r="AH318">
            <v>-9.2160000000000011</v>
          </cell>
          <cell r="AI318">
            <v>-12.798000000000002</v>
          </cell>
          <cell r="AJ318">
            <v>-10.756</v>
          </cell>
          <cell r="AK318">
            <v>-11.344000000000001</v>
          </cell>
          <cell r="AL318">
            <v>-17.364999999999995</v>
          </cell>
          <cell r="AM318">
            <v>-15.344000000000001</v>
          </cell>
          <cell r="AN318">
            <v>-14.151999999999997</v>
          </cell>
          <cell r="AO318">
            <v>-18.436</v>
          </cell>
          <cell r="AP318">
            <v>-19.694000000000003</v>
          </cell>
          <cell r="AQ318">
            <v>-16.850999999999999</v>
          </cell>
          <cell r="AR318">
            <v>-16.898000000000003</v>
          </cell>
          <cell r="AS318">
            <v>-15.201999999999998</v>
          </cell>
          <cell r="AT318">
            <v>-17.597000000000001</v>
          </cell>
          <cell r="AU318">
            <v>-16.149000000000001</v>
          </cell>
          <cell r="AV318">
            <v>-12.687000000000001</v>
          </cell>
          <cell r="AW318">
            <v>-16.327999999999999</v>
          </cell>
          <cell r="AX318">
            <v>-16.424999999999997</v>
          </cell>
          <cell r="AY318">
            <v>-18</v>
          </cell>
          <cell r="AZ318">
            <v>-18</v>
          </cell>
          <cell r="BA318">
            <v>-18</v>
          </cell>
          <cell r="BB318">
            <v>-18</v>
          </cell>
          <cell r="BC318">
            <v>-18</v>
          </cell>
          <cell r="BD318">
            <v>-18</v>
          </cell>
          <cell r="BE318">
            <v>-18</v>
          </cell>
          <cell r="BF318">
            <v>-18</v>
          </cell>
          <cell r="BG318"/>
          <cell r="BH318">
            <v>-27.869999999999997</v>
          </cell>
          <cell r="BI318">
            <v>-24.260999999999999</v>
          </cell>
          <cell r="BJ318">
            <v>-47.649000000000001</v>
          </cell>
          <cell r="BK318">
            <v>-48.600000000000009</v>
          </cell>
          <cell r="BL318">
            <v>-50.344999999999999</v>
          </cell>
          <cell r="BM318">
            <v>-49.369</v>
          </cell>
          <cell r="BN318">
            <v>-61.740000000000009</v>
          </cell>
          <cell r="BO318">
            <v>-62.900000000000006</v>
          </cell>
          <cell r="BP318">
            <v>-48.224000000000004</v>
          </cell>
          <cell r="BQ318">
            <v>-43.203000000000003</v>
          </cell>
          <cell r="BR318">
            <v>-48.406000000000006</v>
          </cell>
          <cell r="BS318">
            <v>-44.997</v>
          </cell>
          <cell r="BT318">
            <v>-52.263000000000005</v>
          </cell>
          <cell r="BU318">
            <v>-67.626000000000005</v>
          </cell>
          <cell r="BV318">
            <v>-66.548000000000002</v>
          </cell>
          <cell r="BW318">
            <v>-61.588999999999999</v>
          </cell>
          <cell r="BX318">
            <v>-72</v>
          </cell>
          <cell r="BY318">
            <v>-72</v>
          </cell>
          <cell r="BZ318">
            <v>-72</v>
          </cell>
          <cell r="CA318">
            <v>-72</v>
          </cell>
          <cell r="CB318">
            <v>-72</v>
          </cell>
          <cell r="CC318"/>
        </row>
        <row r="319">
          <cell r="A319" t="str">
            <v>Consensus Estimates - Capex</v>
          </cell>
        </row>
        <row r="320">
          <cell r="A320" t="str">
            <v>Acquisitions</v>
          </cell>
          <cell r="B320"/>
          <cell r="C320">
            <v>0</v>
          </cell>
          <cell r="D320">
            <v>0</v>
          </cell>
          <cell r="E320">
            <v>0</v>
          </cell>
          <cell r="F320">
            <v>0</v>
          </cell>
          <cell r="G320">
            <v>0</v>
          </cell>
          <cell r="H320">
            <v>0</v>
          </cell>
          <cell r="I320">
            <v>0</v>
          </cell>
          <cell r="J320">
            <v>0</v>
          </cell>
          <cell r="K320">
            <v>-6.5119999999999996</v>
          </cell>
          <cell r="L320">
            <v>0</v>
          </cell>
          <cell r="M320">
            <v>0</v>
          </cell>
          <cell r="N320">
            <v>0</v>
          </cell>
          <cell r="O320">
            <v>0</v>
          </cell>
          <cell r="P320">
            <v>0</v>
          </cell>
          <cell r="Q320">
            <v>0</v>
          </cell>
          <cell r="R320">
            <v>-19.952999999999999</v>
          </cell>
          <cell r="S320">
            <v>0</v>
          </cell>
          <cell r="T320">
            <v>0</v>
          </cell>
          <cell r="U320">
            <v>0</v>
          </cell>
          <cell r="V320">
            <v>7.0999999999999994E-2</v>
          </cell>
          <cell r="W320">
            <v>0</v>
          </cell>
          <cell r="X320">
            <v>-2.17</v>
          </cell>
          <cell r="Y320">
            <v>-0.60400000000000009</v>
          </cell>
          <cell r="Z320">
            <v>2.774</v>
          </cell>
          <cell r="AA320">
            <v>-11.651999999999999</v>
          </cell>
          <cell r="AB320">
            <v>-0.98699999999999999</v>
          </cell>
          <cell r="AC320">
            <v>-3.9999999999999925E-2</v>
          </cell>
          <cell r="AD320">
            <v>-1.4400000000000013</v>
          </cell>
          <cell r="AE320">
            <v>-1.2769999999999999</v>
          </cell>
          <cell r="AF320">
            <v>-2.8369999999999997</v>
          </cell>
          <cell r="AG320">
            <v>-168.15800000000002</v>
          </cell>
          <cell r="AH320">
            <v>-9.6000000000000085E-2</v>
          </cell>
          <cell r="AI320">
            <v>-3.113</v>
          </cell>
          <cell r="AJ320">
            <v>-67.831000000000003</v>
          </cell>
          <cell r="AK320">
            <v>-0.88900000000000445</v>
          </cell>
          <cell r="AL320">
            <v>-1.0279999999999954</v>
          </cell>
          <cell r="AM320">
            <v>-0.192</v>
          </cell>
          <cell r="AN320">
            <v>-11.622</v>
          </cell>
          <cell r="AO320">
            <v>0.30200000000000005</v>
          </cell>
          <cell r="AP320">
            <v>-15.244999999999999</v>
          </cell>
          <cell r="AQ320">
            <v>-8.6460000000000008</v>
          </cell>
          <cell r="AR320">
            <v>-0.55400000000000005</v>
          </cell>
          <cell r="AS320">
            <v>-0.61</v>
          </cell>
          <cell r="AT320">
            <v>-0.27499999999999991</v>
          </cell>
          <cell r="AU320">
            <v>-0.16600000000000001</v>
          </cell>
          <cell r="AV320">
            <v>-0.10900000000000001</v>
          </cell>
          <cell r="AW320">
            <v>-0.41799999999999993</v>
          </cell>
          <cell r="AX320">
            <v>-4.5030000000000001</v>
          </cell>
          <cell r="AY320">
            <v>0</v>
          </cell>
          <cell r="AZ320">
            <v>0</v>
          </cell>
          <cell r="BA320">
            <v>0</v>
          </cell>
          <cell r="BB320">
            <v>0</v>
          </cell>
          <cell r="BC320">
            <v>0</v>
          </cell>
          <cell r="BD320">
            <v>0</v>
          </cell>
          <cell r="BE320">
            <v>0</v>
          </cell>
          <cell r="BF320">
            <v>0</v>
          </cell>
          <cell r="BG320"/>
          <cell r="BH320">
            <v>-1.6E-2</v>
          </cell>
          <cell r="BI320">
            <v>0</v>
          </cell>
          <cell r="BJ320">
            <v>-35.381999999999998</v>
          </cell>
          <cell r="BK320">
            <v>-12.641</v>
          </cell>
          <cell r="BL320">
            <v>0</v>
          </cell>
          <cell r="BM320">
            <v>0</v>
          </cell>
          <cell r="BN320">
            <v>-6.5119999999999996</v>
          </cell>
          <cell r="BO320">
            <v>-19.952999999999999</v>
          </cell>
          <cell r="BP320">
            <v>7.0999999999999994E-2</v>
          </cell>
          <cell r="BQ320">
            <v>0</v>
          </cell>
          <cell r="BR320">
            <v>-14.119</v>
          </cell>
          <cell r="BS320">
            <v>-172.36799999999999</v>
          </cell>
          <cell r="BT320">
            <v>-72.86099999999999</v>
          </cell>
          <cell r="BU320">
            <v>-26.757000000000001</v>
          </cell>
          <cell r="BV320">
            <v>-10.085000000000001</v>
          </cell>
          <cell r="BW320">
            <v>-5.1959999999999997</v>
          </cell>
          <cell r="BX320">
            <v>0</v>
          </cell>
          <cell r="BY320">
            <v>0</v>
          </cell>
          <cell r="BZ320">
            <v>0</v>
          </cell>
          <cell r="CA320">
            <v>0</v>
          </cell>
          <cell r="CB320">
            <v>0</v>
          </cell>
          <cell r="CC320"/>
        </row>
        <row r="321">
          <cell r="A321" t="str">
            <v>Divestiture</v>
          </cell>
          <cell r="B321"/>
          <cell r="C321">
            <v>0</v>
          </cell>
          <cell r="D321">
            <v>0</v>
          </cell>
          <cell r="E321">
            <v>0</v>
          </cell>
          <cell r="F321">
            <v>0</v>
          </cell>
          <cell r="G321">
            <v>0</v>
          </cell>
          <cell r="H321">
            <v>0</v>
          </cell>
          <cell r="I321">
            <v>0</v>
          </cell>
          <cell r="J321">
            <v>5.665</v>
          </cell>
          <cell r="K321">
            <v>0</v>
          </cell>
          <cell r="L321">
            <v>0</v>
          </cell>
          <cell r="M321">
            <v>0</v>
          </cell>
          <cell r="N321">
            <v>0</v>
          </cell>
          <cell r="O321">
            <v>0</v>
          </cell>
          <cell r="P321">
            <v>0</v>
          </cell>
          <cell r="Q321">
            <v>0</v>
          </cell>
          <cell r="R321">
            <v>0</v>
          </cell>
          <cell r="S321">
            <v>0</v>
          </cell>
          <cell r="T321">
            <v>0</v>
          </cell>
          <cell r="U321">
            <v>0</v>
          </cell>
          <cell r="V321">
            <v>8.8999999999999996E-2</v>
          </cell>
          <cell r="W321">
            <v>0</v>
          </cell>
          <cell r="X321">
            <v>0</v>
          </cell>
          <cell r="Y321">
            <v>0</v>
          </cell>
          <cell r="Z321">
            <v>0</v>
          </cell>
          <cell r="AA321">
            <v>0</v>
          </cell>
          <cell r="AB321">
            <v>0</v>
          </cell>
          <cell r="AC321">
            <v>0.38900000000000001</v>
          </cell>
          <cell r="AD321">
            <v>0</v>
          </cell>
          <cell r="AE321">
            <v>0</v>
          </cell>
          <cell r="AF321">
            <v>0</v>
          </cell>
          <cell r="AG321">
            <v>0</v>
          </cell>
          <cell r="AH321">
            <v>0</v>
          </cell>
          <cell r="AI321">
            <v>0.223</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cell r="BH321">
            <v>0</v>
          </cell>
          <cell r="BI321">
            <v>0</v>
          </cell>
          <cell r="BJ321">
            <v>0</v>
          </cell>
          <cell r="BK321">
            <v>0</v>
          </cell>
          <cell r="BL321">
            <v>0</v>
          </cell>
          <cell r="BM321">
            <v>5.665</v>
          </cell>
          <cell r="BN321">
            <v>0</v>
          </cell>
          <cell r="BO321">
            <v>0</v>
          </cell>
          <cell r="BP321">
            <v>8.8999999999999996E-2</v>
          </cell>
          <cell r="BQ321">
            <v>0</v>
          </cell>
          <cell r="BR321">
            <v>0.38900000000000001</v>
          </cell>
          <cell r="BS321">
            <v>0</v>
          </cell>
          <cell r="BT321">
            <v>0.223</v>
          </cell>
          <cell r="BU321">
            <v>0</v>
          </cell>
          <cell r="BV321">
            <v>0</v>
          </cell>
          <cell r="BW321">
            <v>0</v>
          </cell>
          <cell r="BX321">
            <v>0</v>
          </cell>
          <cell r="BY321">
            <v>0</v>
          </cell>
          <cell r="BZ321">
            <v>0</v>
          </cell>
          <cell r="CA321">
            <v>0</v>
          </cell>
          <cell r="CB321">
            <v>0</v>
          </cell>
          <cell r="CC321"/>
        </row>
        <row r="322">
          <cell r="A322" t="str">
            <v>Dividend Paid</v>
          </cell>
          <cell r="B322"/>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cell r="BH322">
            <v>0</v>
          </cell>
          <cell r="BI322">
            <v>0</v>
          </cell>
          <cell r="BJ322">
            <v>0</v>
          </cell>
          <cell r="BK322">
            <v>0</v>
          </cell>
          <cell r="BL322">
            <v>0</v>
          </cell>
          <cell r="BM322">
            <v>0</v>
          </cell>
          <cell r="BN322">
            <v>0</v>
          </cell>
          <cell r="BO322">
            <v>0</v>
          </cell>
          <cell r="BP322">
            <v>0</v>
          </cell>
          <cell r="BQ322">
            <v>0</v>
          </cell>
          <cell r="BR322">
            <v>0</v>
          </cell>
          <cell r="BS322">
            <v>0</v>
          </cell>
          <cell r="BT322">
            <v>0</v>
          </cell>
          <cell r="BU322">
            <v>0</v>
          </cell>
          <cell r="BV322">
            <v>0</v>
          </cell>
          <cell r="BW322">
            <v>0</v>
          </cell>
          <cell r="BX322">
            <v>0</v>
          </cell>
          <cell r="BY322">
            <v>0</v>
          </cell>
          <cell r="BZ322">
            <v>0</v>
          </cell>
          <cell r="CA322">
            <v>0</v>
          </cell>
          <cell r="CB322">
            <v>0</v>
          </cell>
          <cell r="CC322"/>
        </row>
        <row r="323">
          <cell r="A323" t="str">
            <v>Dividend Per Share</v>
          </cell>
          <cell r="B323"/>
          <cell r="C323">
            <v>0</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cell r="CB323">
            <v>0</v>
          </cell>
          <cell r="CC323"/>
        </row>
        <row r="324">
          <cell r="A324"/>
        </row>
        <row r="325">
          <cell r="A325" t="str">
            <v>Net Debt Issuance (Repayment)</v>
          </cell>
          <cell r="B325"/>
          <cell r="C325">
            <v>-5.0019999999999998</v>
          </cell>
          <cell r="D325">
            <v>-5.6340000000000012</v>
          </cell>
          <cell r="E325">
            <v>-5.214999999999999</v>
          </cell>
          <cell r="F325">
            <v>-5.956999999999999</v>
          </cell>
          <cell r="G325">
            <v>-5.9459999999999997</v>
          </cell>
          <cell r="H325">
            <v>-5.5889999999999995</v>
          </cell>
          <cell r="I325">
            <v>-5.843</v>
          </cell>
          <cell r="J325">
            <v>-5.7059999999999995</v>
          </cell>
          <cell r="K325">
            <v>-5.899</v>
          </cell>
          <cell r="L325">
            <v>-5.5880000000000001</v>
          </cell>
          <cell r="M325">
            <v>-5.2559999999999985</v>
          </cell>
          <cell r="N325">
            <v>-5.1960000000000015</v>
          </cell>
          <cell r="O325">
            <v>-4.9409999999999998</v>
          </cell>
          <cell r="P325">
            <v>-4.4289999999999994</v>
          </cell>
          <cell r="Q325">
            <v>-4.0580000000000016</v>
          </cell>
          <cell r="R325">
            <v>-3.9740000000000002</v>
          </cell>
          <cell r="S325">
            <v>-3.9769999999999999</v>
          </cell>
          <cell r="T325">
            <v>-4.1389999999999993</v>
          </cell>
          <cell r="U325">
            <v>-3.7629999999999999</v>
          </cell>
          <cell r="V325">
            <v>-3.8179999999999996</v>
          </cell>
          <cell r="W325">
            <v>-3.7429999999999999</v>
          </cell>
          <cell r="X325">
            <v>-3.2440000000000002</v>
          </cell>
          <cell r="Y325">
            <v>-3.3260000000000005</v>
          </cell>
          <cell r="Z325">
            <v>-2.9879999999999995</v>
          </cell>
          <cell r="AA325">
            <v>-3.5179999999999998</v>
          </cell>
          <cell r="AB325">
            <v>-3.42</v>
          </cell>
          <cell r="AC325">
            <v>-6.96</v>
          </cell>
          <cell r="AD325">
            <v>-7.1359999999999992</v>
          </cell>
          <cell r="AE325">
            <v>-7.46</v>
          </cell>
          <cell r="AF325">
            <v>-7.4989999999999997</v>
          </cell>
          <cell r="AG325">
            <v>93.355999999999995</v>
          </cell>
          <cell r="AH325">
            <v>-6.0719999999999992</v>
          </cell>
          <cell r="AI325">
            <v>243.36700000000002</v>
          </cell>
          <cell r="AJ325">
            <v>-6.5659999999999732</v>
          </cell>
          <cell r="AK325">
            <v>-5.6480000000000015</v>
          </cell>
          <cell r="AL325">
            <v>-7.2119999999999997</v>
          </cell>
          <cell r="AM325">
            <v>-7.02</v>
          </cell>
          <cell r="AN325">
            <v>-7.7240000000000002</v>
          </cell>
          <cell r="AO325">
            <v>-9.1750000000000007</v>
          </cell>
          <cell r="AP325">
            <v>-9.0920000000000023</v>
          </cell>
          <cell r="AQ325">
            <v>-9.3140000000000001</v>
          </cell>
          <cell r="AR325">
            <v>-10.623999999999999</v>
          </cell>
          <cell r="AS325">
            <v>-11.3</v>
          </cell>
          <cell r="AT325">
            <v>-11.718000000000004</v>
          </cell>
          <cell r="AU325">
            <v>-11.721</v>
          </cell>
          <cell r="AV325">
            <v>-10.77</v>
          </cell>
          <cell r="AW325">
            <v>-9.7210000000000036</v>
          </cell>
          <cell r="AX325">
            <v>-8.7069999999999936</v>
          </cell>
          <cell r="AY325">
            <v>0</v>
          </cell>
          <cell r="AZ325">
            <v>0</v>
          </cell>
          <cell r="BA325">
            <v>0</v>
          </cell>
          <cell r="BB325">
            <v>0</v>
          </cell>
          <cell r="BC325">
            <v>0</v>
          </cell>
          <cell r="BD325">
            <v>0</v>
          </cell>
          <cell r="BE325">
            <v>0</v>
          </cell>
          <cell r="BF325">
            <v>0</v>
          </cell>
          <cell r="BG325"/>
          <cell r="BH325">
            <v>-6.8019999999999996</v>
          </cell>
          <cell r="BI325">
            <v>-13.974</v>
          </cell>
          <cell r="BJ325">
            <v>-15.171999999999999</v>
          </cell>
          <cell r="BK325">
            <v>-18.420000000000002</v>
          </cell>
          <cell r="BL325">
            <v>-21.808</v>
          </cell>
          <cell r="BM325">
            <v>-23.084</v>
          </cell>
          <cell r="BN325">
            <v>-21.939</v>
          </cell>
          <cell r="BO325">
            <v>-17.402000000000001</v>
          </cell>
          <cell r="BP325">
            <v>-15.696999999999999</v>
          </cell>
          <cell r="BQ325">
            <v>-13.301</v>
          </cell>
          <cell r="BR325">
            <v>-21.033999999999999</v>
          </cell>
          <cell r="BS325">
            <v>72.325000000000003</v>
          </cell>
          <cell r="BT325">
            <v>223.94100000000003</v>
          </cell>
          <cell r="BU325">
            <v>-33.011000000000003</v>
          </cell>
          <cell r="BV325">
            <v>-42.956000000000003</v>
          </cell>
          <cell r="BW325">
            <v>-40.918999999999997</v>
          </cell>
          <cell r="BX325">
            <v>0</v>
          </cell>
          <cell r="BY325">
            <v>0</v>
          </cell>
          <cell r="BZ325">
            <v>0</v>
          </cell>
          <cell r="CA325">
            <v>0</v>
          </cell>
          <cell r="CB325">
            <v>0</v>
          </cell>
          <cell r="CC325"/>
        </row>
        <row r="326">
          <cell r="A326" t="str">
            <v>Net Share Issuance (Buybacks)</v>
          </cell>
          <cell r="B326"/>
          <cell r="C326">
            <v>0.49700000000000011</v>
          </cell>
          <cell r="D326">
            <v>1.8409999999999997</v>
          </cell>
          <cell r="E326">
            <v>3.2850000000000001</v>
          </cell>
          <cell r="F326">
            <v>7.9729999999999981</v>
          </cell>
          <cell r="G326">
            <v>5.9829999999999997</v>
          </cell>
          <cell r="H326">
            <v>-8.6890000000000001</v>
          </cell>
          <cell r="I326">
            <v>-20.215999999999998</v>
          </cell>
          <cell r="J326">
            <v>-18.671000000000006</v>
          </cell>
          <cell r="K326">
            <v>-27.396000000000001</v>
          </cell>
          <cell r="L326">
            <v>-0.35599999999999987</v>
          </cell>
          <cell r="M326">
            <v>-0.56699999999999995</v>
          </cell>
          <cell r="N326">
            <v>-0.13400000000000023</v>
          </cell>
          <cell r="O326">
            <v>-1.9079999999999999</v>
          </cell>
          <cell r="P326">
            <v>-0.41199999999999992</v>
          </cell>
          <cell r="Q326">
            <v>-0.71600000000000019</v>
          </cell>
          <cell r="R326">
            <v>-0.33800000000000008</v>
          </cell>
          <cell r="S326">
            <v>-0.95799999999999996</v>
          </cell>
          <cell r="T326">
            <v>-4.9999999999998934E-3</v>
          </cell>
          <cell r="U326">
            <v>-1.5049999999999999</v>
          </cell>
          <cell r="V326">
            <v>3.5210000000000008</v>
          </cell>
          <cell r="W326">
            <v>-4.0350000000000001</v>
          </cell>
          <cell r="X326">
            <v>-1.6639999999999997</v>
          </cell>
          <cell r="Y326">
            <v>-3.8800000000000003</v>
          </cell>
          <cell r="Z326">
            <v>-28.021000000000001</v>
          </cell>
          <cell r="AA326">
            <v>-6.0620000000000003</v>
          </cell>
          <cell r="AB326">
            <v>0.19199999999999973</v>
          </cell>
          <cell r="AC326">
            <v>-1.6030000000000004</v>
          </cell>
          <cell r="AD326">
            <v>0.54500000000000037</v>
          </cell>
          <cell r="AE326">
            <v>-4.6560000000000006</v>
          </cell>
          <cell r="AF326">
            <v>-0.1789999999999996</v>
          </cell>
          <cell r="AG326">
            <v>-1.6209999999999996</v>
          </cell>
          <cell r="AH326">
            <v>-0.24100000000000055</v>
          </cell>
          <cell r="AI326">
            <v>-16.661000000000001</v>
          </cell>
          <cell r="AJ326">
            <v>-2.9000000000000692E-2</v>
          </cell>
          <cell r="AK326">
            <v>-2.3429999999999995</v>
          </cell>
          <cell r="AL326">
            <v>-0.33199999999999985</v>
          </cell>
          <cell r="AM326">
            <v>-5.7970000000000006</v>
          </cell>
          <cell r="AN326">
            <v>-29.361000000000004</v>
          </cell>
          <cell r="AO326">
            <v>-1.9139999999999975</v>
          </cell>
          <cell r="AP326">
            <v>-0.36899999999999594</v>
          </cell>
          <cell r="AQ326">
            <v>-8.8949999999999996</v>
          </cell>
          <cell r="AR326">
            <v>-1.4290000000000003</v>
          </cell>
          <cell r="AS326">
            <v>-2.5920000000000005</v>
          </cell>
          <cell r="AT326">
            <v>-0.60500000000000043</v>
          </cell>
          <cell r="AU326">
            <v>-2.09</v>
          </cell>
          <cell r="AV326">
            <v>-1.0710000000000002</v>
          </cell>
          <cell r="AW326">
            <v>-4.4359999999999999</v>
          </cell>
          <cell r="AX326">
            <v>-0.60299999999999887</v>
          </cell>
          <cell r="AY326">
            <v>0</v>
          </cell>
          <cell r="AZ326">
            <v>0</v>
          </cell>
          <cell r="BA326">
            <v>0</v>
          </cell>
          <cell r="BB326">
            <v>0</v>
          </cell>
          <cell r="BC326">
            <v>0</v>
          </cell>
          <cell r="BD326">
            <v>0</v>
          </cell>
          <cell r="BE326">
            <v>0</v>
          </cell>
          <cell r="BF326">
            <v>0</v>
          </cell>
          <cell r="BG326"/>
          <cell r="BH326">
            <v>16.821999999999999</v>
          </cell>
          <cell r="BI326">
            <v>12.471000000000002</v>
          </cell>
          <cell r="BJ326">
            <v>142.31</v>
          </cell>
          <cell r="BK326">
            <v>-1.3470000000000002</v>
          </cell>
          <cell r="BL326">
            <v>13.596</v>
          </cell>
          <cell r="BM326">
            <v>-41.593000000000004</v>
          </cell>
          <cell r="BN326">
            <v>-28.453000000000003</v>
          </cell>
          <cell r="BO326">
            <v>-3.3740000000000001</v>
          </cell>
          <cell r="BP326">
            <v>1.0530000000000008</v>
          </cell>
          <cell r="BQ326">
            <v>-37.599999999999994</v>
          </cell>
          <cell r="BR326">
            <v>-6.9280000000000008</v>
          </cell>
          <cell r="BS326">
            <v>-6.6970000000000001</v>
          </cell>
          <cell r="BT326">
            <v>-19.365000000000002</v>
          </cell>
          <cell r="BU326">
            <v>-37.440999999999995</v>
          </cell>
          <cell r="BV326">
            <v>-13.521000000000001</v>
          </cell>
          <cell r="BW326">
            <v>-8.1999999999999993</v>
          </cell>
          <cell r="BX326">
            <v>0</v>
          </cell>
          <cell r="BY326">
            <v>0</v>
          </cell>
          <cell r="BZ326">
            <v>0</v>
          </cell>
          <cell r="CA326">
            <v>0</v>
          </cell>
          <cell r="CB326">
            <v>0</v>
          </cell>
          <cell r="CC326"/>
        </row>
        <row r="327">
          <cell r="A327" t="str">
            <v>Estimated Share Price for Issuance/Buybacks, USD</v>
          </cell>
        </row>
        <row r="328">
          <cell r="A328"/>
        </row>
        <row r="329">
          <cell r="A329" t="str">
            <v>FCF (before WC), Pre Div</v>
          </cell>
        </row>
        <row r="330">
          <cell r="A330" t="str">
            <v>FCF (before WC), Post Div, Pre A/D</v>
          </cell>
        </row>
        <row r="331">
          <cell r="A331" t="str">
            <v>FCF (before WC), Post Div, Post A/D</v>
          </cell>
        </row>
        <row r="332">
          <cell r="A332" t="str">
            <v>FCF (before WC), Post Div, Debt, Buyback, A/D</v>
          </cell>
        </row>
        <row r="333">
          <cell r="A333" t="str">
            <v>FCF, Pre Div</v>
          </cell>
        </row>
        <row r="334">
          <cell r="A334" t="str">
            <v>FCF, Post Div, Pre A/D</v>
          </cell>
        </row>
        <row r="335">
          <cell r="A335" t="str">
            <v>FCF, Post Div, Post A/D</v>
          </cell>
        </row>
        <row r="336">
          <cell r="A336" t="str">
            <v>FCF, Post Div, Debt, Buyback, A/D</v>
          </cell>
        </row>
        <row r="337">
          <cell r="A337"/>
        </row>
        <row r="338">
          <cell r="A338" t="str">
            <v>Balance Sheet Summary</v>
          </cell>
        </row>
        <row r="339">
          <cell r="A339" t="str">
            <v>Cash</v>
          </cell>
          <cell r="B339"/>
          <cell r="C339">
            <v>107.938</v>
          </cell>
          <cell r="D339">
            <v>143.19200000000001</v>
          </cell>
          <cell r="E339">
            <v>156.96799999999999</v>
          </cell>
          <cell r="F339">
            <v>181.48</v>
          </cell>
          <cell r="G339">
            <v>163.47399999999999</v>
          </cell>
          <cell r="H339">
            <v>162.88900000000001</v>
          </cell>
          <cell r="I339">
            <v>185.33199999999999</v>
          </cell>
          <cell r="J339">
            <v>196.10900000000001</v>
          </cell>
          <cell r="K339">
            <v>109.196</v>
          </cell>
          <cell r="L339">
            <v>124.23399999999999</v>
          </cell>
          <cell r="M339">
            <v>142.85</v>
          </cell>
          <cell r="N339">
            <v>195.852</v>
          </cell>
          <cell r="O339">
            <v>150.864</v>
          </cell>
          <cell r="P339">
            <v>171.27699999999999</v>
          </cell>
          <cell r="Q339">
            <v>199.50800000000001</v>
          </cell>
          <cell r="R339">
            <v>213.989</v>
          </cell>
          <cell r="S339">
            <v>135.08799999999999</v>
          </cell>
          <cell r="T339">
            <v>182.14599999999999</v>
          </cell>
          <cell r="U339">
            <v>194.708</v>
          </cell>
          <cell r="V339">
            <v>230.864</v>
          </cell>
          <cell r="W339">
            <v>147.34200000000001</v>
          </cell>
          <cell r="X339">
            <v>189.50200000000001</v>
          </cell>
          <cell r="Y339">
            <v>227.90700000000001</v>
          </cell>
          <cell r="Z339">
            <v>233.113</v>
          </cell>
          <cell r="AA339">
            <v>145.04900000000001</v>
          </cell>
          <cell r="AB339">
            <v>205.27500000000001</v>
          </cell>
          <cell r="AC339">
            <v>236.02500000000001</v>
          </cell>
          <cell r="AD339">
            <v>284.62099999999998</v>
          </cell>
          <cell r="AE339">
            <v>167.44399999999999</v>
          </cell>
          <cell r="AF339">
            <v>213.14099999999999</v>
          </cell>
          <cell r="AG339">
            <v>151.53399999999999</v>
          </cell>
          <cell r="AH339">
            <v>213.29900000000001</v>
          </cell>
          <cell r="AI339">
            <v>309.78399999999999</v>
          </cell>
          <cell r="AJ339">
            <v>259.17800000000005</v>
          </cell>
          <cell r="AK339">
            <v>330.03300000000002</v>
          </cell>
          <cell r="AL339">
            <v>427.08199999999999</v>
          </cell>
          <cell r="AM339">
            <v>267.024</v>
          </cell>
          <cell r="AN339">
            <v>328.99099999999999</v>
          </cell>
          <cell r="AO339">
            <v>393.36400000000003</v>
          </cell>
          <cell r="AP339">
            <v>474.09800000000001</v>
          </cell>
          <cell r="AQ339">
            <v>287.22400000000005</v>
          </cell>
          <cell r="AR339">
            <v>422.17899999999997</v>
          </cell>
          <cell r="AS339">
            <v>477.87799999999999</v>
          </cell>
          <cell r="AT339">
            <v>545.50699999999995</v>
          </cell>
          <cell r="AU339">
            <v>381.12599999999998</v>
          </cell>
          <cell r="AV339">
            <v>530.98699999999997</v>
          </cell>
          <cell r="AW339">
            <v>570.67700000000002</v>
          </cell>
          <cell r="AX339">
            <v>714.18599999999992</v>
          </cell>
          <cell r="AY339">
            <v>388.67187081359282</v>
          </cell>
          <cell r="AZ339">
            <v>555.42495552129321</v>
          </cell>
          <cell r="BA339">
            <v>618.93220983925357</v>
          </cell>
          <cell r="BB339">
            <v>762.80008692908496</v>
          </cell>
          <cell r="BC339">
            <v>643.00543125984211</v>
          </cell>
          <cell r="BD339">
            <v>815.71356412141358</v>
          </cell>
          <cell r="BE339">
            <v>886.38236248314308</v>
          </cell>
          <cell r="BF339">
            <v>1039.3105199771494</v>
          </cell>
          <cell r="BG339"/>
          <cell r="BH339">
            <v>51.960999999999999</v>
          </cell>
          <cell r="BI339">
            <v>85.094000000000008</v>
          </cell>
          <cell r="BJ339">
            <v>194.6</v>
          </cell>
          <cell r="BK339">
            <v>146.15299999999999</v>
          </cell>
          <cell r="BL339">
            <v>181.48</v>
          </cell>
          <cell r="BM339">
            <v>196.10900000000001</v>
          </cell>
          <cell r="BN339">
            <v>195.852</v>
          </cell>
          <cell r="BO339">
            <v>213.989</v>
          </cell>
          <cell r="BP339">
            <v>230.864</v>
          </cell>
          <cell r="BQ339">
            <v>233.113</v>
          </cell>
          <cell r="BR339">
            <v>284.62099999999998</v>
          </cell>
          <cell r="BS339">
            <v>213.29900000000001</v>
          </cell>
          <cell r="BT339">
            <v>427.08199999999999</v>
          </cell>
          <cell r="BU339">
            <v>474.09800000000001</v>
          </cell>
          <cell r="BV339">
            <v>545.50699999999995</v>
          </cell>
          <cell r="BW339">
            <v>714.18599999999992</v>
          </cell>
          <cell r="BX339">
            <v>762.80008692908496</v>
          </cell>
          <cell r="BY339">
            <v>1039.3105199771494</v>
          </cell>
          <cell r="BZ339">
            <v>1318.3103282154107</v>
          </cell>
          <cell r="CA339">
            <v>1638.1359641583144</v>
          </cell>
          <cell r="CB339">
            <v>2001.5669003094515</v>
          </cell>
          <cell r="CC339"/>
        </row>
        <row r="340">
          <cell r="A340" t="str">
            <v>ST Debt</v>
          </cell>
        </row>
        <row r="341">
          <cell r="A341" t="str">
            <v>LT Debt</v>
          </cell>
        </row>
        <row r="342">
          <cell r="A342" t="str">
            <v>Debt</v>
          </cell>
          <cell r="B342"/>
          <cell r="C342">
            <v>42.298999999999999</v>
          </cell>
          <cell r="D342">
            <v>41.555999999999997</v>
          </cell>
          <cell r="E342">
            <v>41.817</v>
          </cell>
          <cell r="F342">
            <v>35.891999999999996</v>
          </cell>
          <cell r="G342">
            <v>40.645000000000003</v>
          </cell>
          <cell r="H342">
            <v>41.646000000000001</v>
          </cell>
          <cell r="I342">
            <v>37.605000000000004</v>
          </cell>
          <cell r="J342">
            <v>36.939</v>
          </cell>
          <cell r="K342">
            <v>35.305999999999997</v>
          </cell>
          <cell r="L342">
            <v>32.363999999999997</v>
          </cell>
          <cell r="M342">
            <v>32.293999999999997</v>
          </cell>
          <cell r="N342">
            <v>29.657000000000004</v>
          </cell>
          <cell r="O342">
            <v>27.304000000000002</v>
          </cell>
          <cell r="P342">
            <v>24.427999999999997</v>
          </cell>
          <cell r="Q342">
            <v>23.113</v>
          </cell>
          <cell r="R342">
            <v>23.132000000000001</v>
          </cell>
          <cell r="S342">
            <v>27.752000000000002</v>
          </cell>
          <cell r="T342">
            <v>25.282</v>
          </cell>
          <cell r="U342">
            <v>25.222000000000001</v>
          </cell>
          <cell r="V342">
            <v>21.905000000000001</v>
          </cell>
          <cell r="W342">
            <v>29.288</v>
          </cell>
          <cell r="X342">
            <v>27.347000000000001</v>
          </cell>
          <cell r="Y342">
            <v>27.71</v>
          </cell>
          <cell r="Z342">
            <v>26.018000000000001</v>
          </cell>
          <cell r="AA342">
            <v>37.692</v>
          </cell>
          <cell r="AB342">
            <v>34.750999999999998</v>
          </cell>
          <cell r="AC342">
            <v>31.196999999999999</v>
          </cell>
          <cell r="AD342">
            <v>24.648</v>
          </cell>
          <cell r="AE342">
            <v>25.513999999999999</v>
          </cell>
          <cell r="AF342">
            <v>25.481999999999999</v>
          </cell>
          <cell r="AG342">
            <v>123.253</v>
          </cell>
          <cell r="AH342">
            <v>117.938</v>
          </cell>
          <cell r="AI342">
            <v>320.596</v>
          </cell>
          <cell r="AJ342">
            <v>350.92600000000004</v>
          </cell>
          <cell r="AK342">
            <v>364.54099999999994</v>
          </cell>
          <cell r="AL342">
            <v>368.17500000000001</v>
          </cell>
          <cell r="AM342">
            <v>489.42899999999997</v>
          </cell>
          <cell r="AN342">
            <v>491.36599999999999</v>
          </cell>
          <cell r="AO342">
            <v>485.62900000000002</v>
          </cell>
          <cell r="AP342">
            <v>477.71499999999997</v>
          </cell>
          <cell r="AQ342">
            <v>489.87600000000003</v>
          </cell>
          <cell r="AR342">
            <v>485.56200000000001</v>
          </cell>
          <cell r="AS342">
            <v>479.66800000000001</v>
          </cell>
          <cell r="AT342">
            <v>469.93400000000003</v>
          </cell>
          <cell r="AU342">
            <v>478.15800000000002</v>
          </cell>
          <cell r="AV342">
            <v>477.6</v>
          </cell>
          <cell r="AW342">
            <v>475.18200000000002</v>
          </cell>
          <cell r="AX342">
            <v>470.27300000000002</v>
          </cell>
          <cell r="AY342">
            <v>470.27300000000002</v>
          </cell>
          <cell r="AZ342">
            <v>470.27300000000002</v>
          </cell>
          <cell r="BA342">
            <v>470.27300000000002</v>
          </cell>
          <cell r="BB342">
            <v>470.27300000000002</v>
          </cell>
          <cell r="BC342">
            <v>470.27300000000002</v>
          </cell>
          <cell r="BD342">
            <v>470.27300000000002</v>
          </cell>
          <cell r="BE342">
            <v>470.27300000000002</v>
          </cell>
          <cell r="BF342">
            <v>470.27300000000002</v>
          </cell>
          <cell r="BG342"/>
          <cell r="BH342">
            <v>22.402000000000001</v>
          </cell>
          <cell r="BI342">
            <v>20.612000000000002</v>
          </cell>
          <cell r="BJ342">
            <v>24.207999999999998</v>
          </cell>
          <cell r="BK342">
            <v>32.996000000000002</v>
          </cell>
          <cell r="BL342">
            <v>35.891999999999996</v>
          </cell>
          <cell r="BM342">
            <v>36.939</v>
          </cell>
          <cell r="BN342">
            <v>29.657000000000004</v>
          </cell>
          <cell r="BO342">
            <v>23.132000000000001</v>
          </cell>
          <cell r="BP342">
            <v>21.905000000000001</v>
          </cell>
          <cell r="BQ342">
            <v>26.018000000000001</v>
          </cell>
          <cell r="BR342">
            <v>24.648</v>
          </cell>
          <cell r="BS342">
            <v>117.938</v>
          </cell>
          <cell r="BT342">
            <v>368.17500000000001</v>
          </cell>
          <cell r="BU342">
            <v>477.71499999999997</v>
          </cell>
          <cell r="BV342">
            <v>469.93400000000003</v>
          </cell>
          <cell r="BW342">
            <v>470.27300000000002</v>
          </cell>
          <cell r="BX342">
            <v>470.27300000000002</v>
          </cell>
          <cell r="BY342">
            <v>470.27300000000002</v>
          </cell>
          <cell r="BZ342">
            <v>470.27300000000002</v>
          </cell>
          <cell r="CA342">
            <v>470.27300000000002</v>
          </cell>
          <cell r="CB342">
            <v>470.27300000000002</v>
          </cell>
          <cell r="CC342"/>
        </row>
        <row r="343">
          <cell r="A343" t="str">
            <v>Operating Lease Liabilities</v>
          </cell>
          <cell r="B343"/>
          <cell r="C343">
            <v>0</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25.418999999999997</v>
          </cell>
          <cell r="AF343">
            <v>23.402000000000001</v>
          </cell>
          <cell r="AG343">
            <v>121.244</v>
          </cell>
          <cell r="AH343">
            <v>117.233</v>
          </cell>
          <cell r="AI343">
            <v>112.279</v>
          </cell>
          <cell r="AJ343">
            <v>108.18100000000001</v>
          </cell>
          <cell r="AK343">
            <v>103.85899999999999</v>
          </cell>
          <cell r="AL343">
            <v>98.106999999999999</v>
          </cell>
          <cell r="AM343">
            <v>99.590999999999994</v>
          </cell>
          <cell r="AN343">
            <v>94.253</v>
          </cell>
          <cell r="AO343">
            <v>90.132000000000005</v>
          </cell>
          <cell r="AP343">
            <v>87.956999999999994</v>
          </cell>
          <cell r="AQ343">
            <v>82.468999999999994</v>
          </cell>
          <cell r="AR343">
            <v>79.108000000000004</v>
          </cell>
          <cell r="AS343">
            <v>76.471000000000004</v>
          </cell>
          <cell r="AT343">
            <v>73.873999999999995</v>
          </cell>
          <cell r="AU343">
            <v>69.707999999999998</v>
          </cell>
          <cell r="AV343">
            <v>64.38</v>
          </cell>
          <cell r="AW343">
            <v>61.271000000000001</v>
          </cell>
          <cell r="AX343">
            <v>57.94</v>
          </cell>
          <cell r="AY343">
            <v>57.94</v>
          </cell>
          <cell r="AZ343">
            <v>57.94</v>
          </cell>
          <cell r="BA343">
            <v>57.94</v>
          </cell>
          <cell r="BB343">
            <v>57.94</v>
          </cell>
          <cell r="BC343">
            <v>57.94</v>
          </cell>
          <cell r="BD343">
            <v>57.94</v>
          </cell>
          <cell r="BE343">
            <v>57.94</v>
          </cell>
          <cell r="BF343">
            <v>57.94</v>
          </cell>
          <cell r="BG343"/>
          <cell r="BH343">
            <v>0</v>
          </cell>
          <cell r="BI343">
            <v>0</v>
          </cell>
          <cell r="BJ343">
            <v>0</v>
          </cell>
          <cell r="BK343">
            <v>0</v>
          </cell>
          <cell r="BL343">
            <v>0</v>
          </cell>
          <cell r="BM343">
            <v>0</v>
          </cell>
          <cell r="BN343">
            <v>0</v>
          </cell>
          <cell r="BO343">
            <v>0</v>
          </cell>
          <cell r="BP343">
            <v>0</v>
          </cell>
          <cell r="BQ343">
            <v>0</v>
          </cell>
          <cell r="BR343">
            <v>0</v>
          </cell>
          <cell r="BS343">
            <v>117.233</v>
          </cell>
          <cell r="BT343">
            <v>98.106999999999999</v>
          </cell>
          <cell r="BU343">
            <v>87.956999999999994</v>
          </cell>
          <cell r="BV343">
            <v>73.873999999999995</v>
          </cell>
          <cell r="BW343">
            <v>57.94</v>
          </cell>
          <cell r="BX343">
            <v>57.94</v>
          </cell>
          <cell r="BY343">
            <v>57.94</v>
          </cell>
          <cell r="BZ343">
            <v>57.94</v>
          </cell>
          <cell r="CA343">
            <v>57.94</v>
          </cell>
          <cell r="CB343">
            <v>57.94</v>
          </cell>
          <cell r="CC343"/>
        </row>
        <row r="344">
          <cell r="A344" t="str">
            <v>Net Debt</v>
          </cell>
          <cell r="B344"/>
          <cell r="C344">
            <v>-65.63900000000001</v>
          </cell>
          <cell r="D344">
            <v>-101.63600000000001</v>
          </cell>
          <cell r="E344">
            <v>-115.15099999999998</v>
          </cell>
          <cell r="F344">
            <v>-145.58799999999999</v>
          </cell>
          <cell r="G344">
            <v>-122.82899999999998</v>
          </cell>
          <cell r="H344">
            <v>-121.24300000000001</v>
          </cell>
          <cell r="I344">
            <v>-147.72699999999998</v>
          </cell>
          <cell r="J344">
            <v>-159.17000000000002</v>
          </cell>
          <cell r="K344">
            <v>-73.89</v>
          </cell>
          <cell r="L344">
            <v>-91.87</v>
          </cell>
          <cell r="M344">
            <v>-110.556</v>
          </cell>
          <cell r="N344">
            <v>-166.19499999999999</v>
          </cell>
          <cell r="O344">
            <v>-123.56</v>
          </cell>
          <cell r="P344">
            <v>-146.84899999999999</v>
          </cell>
          <cell r="Q344">
            <v>-176.39500000000001</v>
          </cell>
          <cell r="R344">
            <v>-190.857</v>
          </cell>
          <cell r="S344">
            <v>-107.33599999999998</v>
          </cell>
          <cell r="T344">
            <v>-156.86399999999998</v>
          </cell>
          <cell r="U344">
            <v>-169.48599999999999</v>
          </cell>
          <cell r="V344">
            <v>-208.959</v>
          </cell>
          <cell r="W344">
            <v>-118.05400000000002</v>
          </cell>
          <cell r="X344">
            <v>-162.155</v>
          </cell>
          <cell r="Y344">
            <v>-200.197</v>
          </cell>
          <cell r="Z344">
            <v>-207.095</v>
          </cell>
          <cell r="AA344">
            <v>-107.357</v>
          </cell>
          <cell r="AB344">
            <v>-170.524</v>
          </cell>
          <cell r="AC344">
            <v>-204.828</v>
          </cell>
          <cell r="AD344">
            <v>-259.97299999999996</v>
          </cell>
          <cell r="AE344">
            <v>-116.511</v>
          </cell>
          <cell r="AF344">
            <v>-164.25700000000001</v>
          </cell>
          <cell r="AG344">
            <v>92.963000000000022</v>
          </cell>
          <cell r="AH344">
            <v>21.871999999999986</v>
          </cell>
          <cell r="AI344">
            <v>123.09100000000001</v>
          </cell>
          <cell r="AJ344">
            <v>199.92900000000003</v>
          </cell>
          <cell r="AK344">
            <v>138.3669999999999</v>
          </cell>
          <cell r="AL344">
            <v>39.200000000000045</v>
          </cell>
          <cell r="AM344">
            <v>321.99599999999998</v>
          </cell>
          <cell r="AN344">
            <v>256.62800000000004</v>
          </cell>
          <cell r="AO344">
            <v>182.39699999999993</v>
          </cell>
          <cell r="AP344">
            <v>91.574000000000012</v>
          </cell>
          <cell r="AQ344">
            <v>285.12099999999998</v>
          </cell>
          <cell r="AR344">
            <v>142.4910000000001</v>
          </cell>
          <cell r="AS344">
            <v>78.261000000000024</v>
          </cell>
          <cell r="AT344">
            <v>-1.6989999999999554</v>
          </cell>
          <cell r="AU344">
            <v>166.74</v>
          </cell>
          <cell r="AV344">
            <v>10.993000000000052</v>
          </cell>
          <cell r="AW344">
            <v>-34.224000000000046</v>
          </cell>
          <cell r="AX344">
            <v>-185.97299999999996</v>
          </cell>
          <cell r="AY344">
            <v>139.54112918640715</v>
          </cell>
          <cell r="AZ344">
            <v>-27.211955521293248</v>
          </cell>
          <cell r="BA344">
            <v>-90.719209839253608</v>
          </cell>
          <cell r="BB344">
            <v>-234.58708692908499</v>
          </cell>
          <cell r="BC344">
            <v>-114.79243125984215</v>
          </cell>
          <cell r="BD344">
            <v>-287.50056412141362</v>
          </cell>
          <cell r="BE344">
            <v>-358.16936248314312</v>
          </cell>
          <cell r="BF344">
            <v>-511.09751997714943</v>
          </cell>
          <cell r="BG344"/>
          <cell r="BH344">
            <v>-29.558999999999997</v>
          </cell>
          <cell r="BI344">
            <v>-64.481999999999999</v>
          </cell>
          <cell r="BJ344">
            <v>-170.392</v>
          </cell>
          <cell r="BK344">
            <v>-113.15699999999998</v>
          </cell>
          <cell r="BL344">
            <v>-145.58799999999999</v>
          </cell>
          <cell r="BM344">
            <v>-159.17000000000002</v>
          </cell>
          <cell r="BN344">
            <v>-166.19499999999999</v>
          </cell>
          <cell r="BO344">
            <v>-190.857</v>
          </cell>
          <cell r="BP344">
            <v>-208.959</v>
          </cell>
          <cell r="BQ344">
            <v>-207.095</v>
          </cell>
          <cell r="BR344">
            <v>-259.97299999999996</v>
          </cell>
          <cell r="BS344">
            <v>21.871999999999986</v>
          </cell>
          <cell r="BT344">
            <v>39.200000000000045</v>
          </cell>
          <cell r="BU344">
            <v>91.574000000000012</v>
          </cell>
          <cell r="BV344">
            <v>-1.6989999999999554</v>
          </cell>
          <cell r="BW344">
            <v>-185.97299999999996</v>
          </cell>
          <cell r="BX344">
            <v>-234.58708692908499</v>
          </cell>
          <cell r="BY344">
            <v>-511.09751997714943</v>
          </cell>
          <cell r="BZ344">
            <v>-790.0973282154107</v>
          </cell>
          <cell r="CA344">
            <v>-1109.9229641583145</v>
          </cell>
          <cell r="CB344">
            <v>-1473.3539003094515</v>
          </cell>
          <cell r="CC344"/>
        </row>
        <row r="345">
          <cell r="A345"/>
        </row>
        <row r="346">
          <cell r="A346" t="str">
            <v>Interest Expense</v>
          </cell>
        </row>
        <row r="347">
          <cell r="A347" t="str">
            <v>Effective Interest Rate on Debt</v>
          </cell>
        </row>
        <row r="348">
          <cell r="A348" t="str">
            <v>Interest Income</v>
          </cell>
        </row>
        <row r="349">
          <cell r="A349" t="str">
            <v>Effective Interest Rate on Cash</v>
          </cell>
        </row>
        <row r="350">
          <cell r="A350" t="str">
            <v>Net Interest Expense (Income)</v>
          </cell>
        </row>
        <row r="351">
          <cell r="A351" t="str">
            <v>Effective Net Interest Rate on Debt</v>
          </cell>
        </row>
        <row r="352">
          <cell r="A352"/>
        </row>
        <row r="353">
          <cell r="A353" t="str">
            <v>EBITDA / Net Interest Expense</v>
          </cell>
        </row>
        <row r="354">
          <cell r="A354" t="str">
            <v>Net Debt / EBITDA</v>
          </cell>
        </row>
        <row r="355">
          <cell r="A355" t="str">
            <v>Net Debt / Cash Flow</v>
          </cell>
        </row>
        <row r="356">
          <cell r="A356"/>
        </row>
        <row r="357">
          <cell r="A357" t="str">
            <v>Valuation</v>
          </cell>
        </row>
        <row r="358">
          <cell r="A358" t="str">
            <v>Stock Price (Reporting Cur.) - EoP, USD</v>
          </cell>
          <cell r="B358" t="str">
            <v>EoP</v>
          </cell>
          <cell r="C358">
            <v>20.2</v>
          </cell>
          <cell r="D358">
            <v>20.11</v>
          </cell>
          <cell r="E358">
            <v>24.11</v>
          </cell>
          <cell r="F358">
            <v>26.27</v>
          </cell>
          <cell r="G358">
            <v>31.44</v>
          </cell>
          <cell r="H358">
            <v>21.72</v>
          </cell>
          <cell r="I358">
            <v>22.1</v>
          </cell>
          <cell r="J358">
            <v>24.32</v>
          </cell>
          <cell r="K358">
            <v>16.350000000000001</v>
          </cell>
          <cell r="L358">
            <v>11.85</v>
          </cell>
          <cell r="M358">
            <v>15.96</v>
          </cell>
          <cell r="N358">
            <v>13.2</v>
          </cell>
          <cell r="O358">
            <v>12.62</v>
          </cell>
          <cell r="P358">
            <v>8.8800000000000008</v>
          </cell>
          <cell r="Q358">
            <v>10.050000000000001</v>
          </cell>
          <cell r="R358">
            <v>12.09</v>
          </cell>
          <cell r="S358">
            <v>14.05</v>
          </cell>
          <cell r="T358">
            <v>17.16</v>
          </cell>
          <cell r="U358">
            <v>18.649999999999999</v>
          </cell>
          <cell r="V358">
            <v>18.03</v>
          </cell>
          <cell r="W358">
            <v>17.84</v>
          </cell>
          <cell r="X358">
            <v>15.9</v>
          </cell>
          <cell r="Y358">
            <v>14.18</v>
          </cell>
          <cell r="Z358">
            <v>16.37</v>
          </cell>
          <cell r="AA358">
            <v>17.7</v>
          </cell>
          <cell r="AB358">
            <v>24.42</v>
          </cell>
          <cell r="AC358">
            <v>34.130000000000003</v>
          </cell>
          <cell r="AD358">
            <v>30.41</v>
          </cell>
          <cell r="AE358">
            <v>26.48</v>
          </cell>
          <cell r="AF358">
            <v>19.850000000000001</v>
          </cell>
          <cell r="AG358">
            <v>18.57</v>
          </cell>
          <cell r="AH358">
            <v>26.72</v>
          </cell>
          <cell r="AI358">
            <v>27.08</v>
          </cell>
          <cell r="AJ358">
            <v>21.58</v>
          </cell>
          <cell r="AK358">
            <v>29.6</v>
          </cell>
          <cell r="AL358">
            <v>32.630000000000003</v>
          </cell>
          <cell r="AM358">
            <v>35.07</v>
          </cell>
          <cell r="AN358">
            <v>33.11</v>
          </cell>
          <cell r="AO358">
            <v>35.770000000000003</v>
          </cell>
          <cell r="AP358">
            <v>41.31</v>
          </cell>
          <cell r="AQ358">
            <v>42.37</v>
          </cell>
          <cell r="AR358">
            <v>31.28</v>
          </cell>
          <cell r="AS358">
            <v>39.03</v>
          </cell>
          <cell r="AT358">
            <v>37.29</v>
          </cell>
          <cell r="AU358">
            <v>45.03</v>
          </cell>
          <cell r="AV358">
            <v>59.37</v>
          </cell>
          <cell r="AW358">
            <v>63.05</v>
          </cell>
          <cell r="AX358">
            <v>70.5</v>
          </cell>
          <cell r="AY358">
            <v>80.17</v>
          </cell>
          <cell r="AZ358">
            <v>80.17</v>
          </cell>
          <cell r="BA358">
            <v>80.17</v>
          </cell>
          <cell r="BB358">
            <v>80.17</v>
          </cell>
          <cell r="BC358">
            <v>80.17</v>
          </cell>
          <cell r="BD358">
            <v>80.17</v>
          </cell>
          <cell r="BE358">
            <v>80.17</v>
          </cell>
          <cell r="BF358">
            <v>80.17</v>
          </cell>
          <cell r="BG358"/>
          <cell r="BH358">
            <v>20.88</v>
          </cell>
          <cell r="BI358">
            <v>23.02</v>
          </cell>
          <cell r="BJ358">
            <v>32.76</v>
          </cell>
          <cell r="BK358">
            <v>23.3</v>
          </cell>
          <cell r="BL358">
            <v>26.27</v>
          </cell>
          <cell r="BM358">
            <v>24.32</v>
          </cell>
          <cell r="BN358">
            <v>13.2</v>
          </cell>
          <cell r="BO358">
            <v>12.09</v>
          </cell>
          <cell r="BP358">
            <v>18.03</v>
          </cell>
          <cell r="BQ358">
            <v>16.37</v>
          </cell>
          <cell r="BR358">
            <v>30.41</v>
          </cell>
          <cell r="BS358">
            <v>26.72</v>
          </cell>
          <cell r="BT358">
            <v>32.630000000000003</v>
          </cell>
          <cell r="BU358">
            <v>41.31</v>
          </cell>
          <cell r="BV358">
            <v>37.29</v>
          </cell>
          <cell r="BW358">
            <v>70.5</v>
          </cell>
          <cell r="BX358">
            <v>80.17</v>
          </cell>
          <cell r="BY358">
            <v>80.17</v>
          </cell>
          <cell r="BZ358">
            <v>80.17</v>
          </cell>
          <cell r="CA358">
            <v>80.17</v>
          </cell>
          <cell r="CB358">
            <v>80.17</v>
          </cell>
          <cell r="CC358"/>
        </row>
        <row r="359">
          <cell r="A359" t="str">
            <v>Market Cap - EoP</v>
          </cell>
        </row>
        <row r="360">
          <cell r="A360" t="str">
            <v>Enterprise Value - EoP</v>
          </cell>
        </row>
        <row r="361">
          <cell r="A361"/>
        </row>
        <row r="362">
          <cell r="A362" t="str">
            <v>P/E - EoP</v>
          </cell>
          <cell r="B362"/>
          <cell r="C362"/>
          <cell r="D362"/>
          <cell r="E362"/>
          <cell r="F362"/>
          <cell r="G362"/>
          <cell r="H362"/>
          <cell r="I362"/>
          <cell r="J362"/>
          <cell r="K362"/>
          <cell r="L362"/>
          <cell r="M362"/>
          <cell r="N362"/>
          <cell r="O362"/>
          <cell r="P362"/>
          <cell r="Q362"/>
          <cell r="R362"/>
          <cell r="S362"/>
          <cell r="T362"/>
          <cell r="U362"/>
          <cell r="V362"/>
          <cell r="W362"/>
          <cell r="X362"/>
          <cell r="Y362"/>
          <cell r="Z362"/>
          <cell r="AA362"/>
          <cell r="AB362"/>
          <cell r="AC362"/>
          <cell r="AD362"/>
          <cell r="AE362"/>
          <cell r="AF362"/>
          <cell r="AG362"/>
          <cell r="AH362"/>
          <cell r="AI362"/>
          <cell r="AJ362"/>
          <cell r="AK362"/>
          <cell r="AL362"/>
          <cell r="AM362"/>
          <cell r="AN362"/>
          <cell r="AO362"/>
          <cell r="AP362"/>
          <cell r="AQ362"/>
          <cell r="AR362"/>
          <cell r="AS362"/>
          <cell r="AT362"/>
          <cell r="AU362"/>
          <cell r="AV362"/>
          <cell r="AW362"/>
          <cell r="AX362"/>
          <cell r="AY362"/>
          <cell r="AZ362"/>
          <cell r="BA362"/>
          <cell r="BB362"/>
          <cell r="BC362"/>
          <cell r="BD362"/>
          <cell r="BE362"/>
          <cell r="BF362"/>
          <cell r="BG362"/>
          <cell r="BH362">
            <v>50.254377354445914</v>
          </cell>
          <cell r="BI362">
            <v>32.349578753077758</v>
          </cell>
          <cell r="BJ362">
            <v>96.476665201938857</v>
          </cell>
          <cell r="BK362">
            <v>55.408637155484577</v>
          </cell>
          <cell r="BL362">
            <v>39.232398880425606</v>
          </cell>
          <cell r="BM362">
            <v>48.677864751020564</v>
          </cell>
          <cell r="BN362">
            <v>45.199818893338104</v>
          </cell>
          <cell r="BO362">
            <v>51.986850129496162</v>
          </cell>
          <cell r="BP362">
            <v>1579.1615078050106</v>
          </cell>
          <cell r="BQ362">
            <v>24.085440596669066</v>
          </cell>
          <cell r="BR362">
            <v>33.463177403316458</v>
          </cell>
          <cell r="BS362">
            <v>44.336951982371474</v>
          </cell>
          <cell r="BT362">
            <v>19.120400909714366</v>
          </cell>
          <cell r="BU362">
            <v>16.36571787958556</v>
          </cell>
          <cell r="BV362">
            <v>12.559066954527191</v>
          </cell>
          <cell r="BW362">
            <v>15.031851772674509</v>
          </cell>
          <cell r="BX362">
            <v>15.037403534912475</v>
          </cell>
          <cell r="BY362">
            <v>13.786694843138836</v>
          </cell>
          <cell r="BZ362">
            <v>12.81830278664232</v>
          </cell>
          <cell r="CA362">
            <v>10.747865797662902</v>
          </cell>
          <cell r="CB362">
            <v>9.6018540570197519</v>
          </cell>
          <cell r="CC362"/>
        </row>
        <row r="363">
          <cell r="A363" t="str">
            <v>EV/EBITDA - EoP</v>
          </cell>
          <cell r="B363"/>
          <cell r="C363"/>
          <cell r="D363"/>
          <cell r="E363"/>
          <cell r="F363"/>
          <cell r="G363"/>
          <cell r="H363"/>
          <cell r="I363"/>
          <cell r="J363"/>
          <cell r="K363"/>
          <cell r="L363"/>
          <cell r="M363"/>
          <cell r="N363"/>
          <cell r="O363"/>
          <cell r="P363"/>
          <cell r="Q363"/>
          <cell r="R363"/>
          <cell r="S363"/>
          <cell r="T363"/>
          <cell r="U363"/>
          <cell r="V363"/>
          <cell r="W363"/>
          <cell r="X363"/>
          <cell r="Y363"/>
          <cell r="Z363"/>
          <cell r="AA363"/>
          <cell r="AB363"/>
          <cell r="AC363"/>
          <cell r="AD363"/>
          <cell r="AE363"/>
          <cell r="AF363"/>
          <cell r="AG363"/>
          <cell r="AH363"/>
          <cell r="AI363"/>
          <cell r="AJ363"/>
          <cell r="AK363"/>
          <cell r="AL363"/>
          <cell r="AM363"/>
          <cell r="AN363"/>
          <cell r="AO363"/>
          <cell r="AP363"/>
          <cell r="AQ363"/>
          <cell r="AR363"/>
          <cell r="AS363"/>
          <cell r="AT363"/>
          <cell r="AU363"/>
          <cell r="AV363"/>
          <cell r="AW363"/>
          <cell r="AX363"/>
          <cell r="AY363"/>
          <cell r="AZ363"/>
          <cell r="BA363"/>
          <cell r="BB363"/>
          <cell r="BC363"/>
          <cell r="BD363"/>
          <cell r="BE363"/>
          <cell r="BF363"/>
          <cell r="BG363"/>
          <cell r="BH363">
            <v>13.16470714820295</v>
          </cell>
          <cell r="BI363">
            <v>9.8862967368452352</v>
          </cell>
          <cell r="BJ363">
            <v>14.632432180019325</v>
          </cell>
          <cell r="BK363">
            <v>9.0227349330449123</v>
          </cell>
          <cell r="BL363">
            <v>7.7815357379368466</v>
          </cell>
          <cell r="BM363">
            <v>5.9564099061015101</v>
          </cell>
          <cell r="BN363">
            <v>2.7167769864078304</v>
          </cell>
          <cell r="BO363">
            <v>2.8427651754255359</v>
          </cell>
          <cell r="BP363">
            <v>4.6026967202087157</v>
          </cell>
          <cell r="BQ363">
            <v>3.5244880047195406</v>
          </cell>
          <cell r="BR363">
            <v>7.4909566080172532</v>
          </cell>
          <cell r="BS363">
            <v>8.7017772376069917</v>
          </cell>
          <cell r="BT363">
            <v>5.8776601112287707</v>
          </cell>
          <cell r="BU363">
            <v>6.7372544512141541</v>
          </cell>
          <cell r="BV363">
            <v>5.3583002012310237</v>
          </cell>
          <cell r="BW363">
            <v>7.4624011580442504</v>
          </cell>
          <cell r="BX363">
            <v>7.58107670042663</v>
          </cell>
          <cell r="BY363">
            <v>6.7081432923782458</v>
          </cell>
          <cell r="BZ363">
            <v>5.7005417751235017</v>
          </cell>
          <cell r="CA363">
            <v>4.4628893128609111</v>
          </cell>
          <cell r="CB363">
            <v>3.4986690886966683</v>
          </cell>
          <cell r="CC363"/>
        </row>
        <row r="364">
          <cell r="A364" t="str">
            <v>P/CF - EoP</v>
          </cell>
        </row>
        <row r="365">
          <cell r="A365" t="str">
            <v>FCF Yield % to EoP Market Cap</v>
          </cell>
        </row>
        <row r="366">
          <cell r="A366" t="str">
            <v>FCF Yield % to EoP Enterprise Value</v>
          </cell>
        </row>
        <row r="367">
          <cell r="A367"/>
        </row>
        <row r="368">
          <cell r="A368" t="str">
            <v>Stock High, USD</v>
          </cell>
        </row>
        <row r="369">
          <cell r="A369" t="str">
            <v>Stock Low, USD</v>
          </cell>
        </row>
        <row r="370">
          <cell r="A370" t="str">
            <v>Stock Average, USD</v>
          </cell>
        </row>
        <row r="371">
          <cell r="A371" t="str">
            <v>Stock EoP, USD</v>
          </cell>
        </row>
        <row r="372">
          <cell r="A372" t="str">
            <v>Average FX Rate, USD/USD</v>
          </cell>
          <cell r="B372"/>
          <cell r="C372">
            <v>1</v>
          </cell>
          <cell r="D372">
            <v>1</v>
          </cell>
          <cell r="E372">
            <v>1</v>
          </cell>
          <cell r="F372">
            <v>1</v>
          </cell>
          <cell r="G372">
            <v>1</v>
          </cell>
          <cell r="H372">
            <v>1</v>
          </cell>
          <cell r="I372">
            <v>1</v>
          </cell>
          <cell r="J372">
            <v>1</v>
          </cell>
          <cell r="K372">
            <v>1</v>
          </cell>
          <cell r="L372">
            <v>1</v>
          </cell>
          <cell r="M372">
            <v>1</v>
          </cell>
          <cell r="N372">
            <v>1</v>
          </cell>
          <cell r="O372">
            <v>1</v>
          </cell>
          <cell r="P372">
            <v>1</v>
          </cell>
          <cell r="Q372">
            <v>1</v>
          </cell>
          <cell r="R372">
            <v>1</v>
          </cell>
          <cell r="S372">
            <v>1</v>
          </cell>
          <cell r="T372">
            <v>1</v>
          </cell>
          <cell r="U372">
            <v>1</v>
          </cell>
          <cell r="V372">
            <v>1</v>
          </cell>
          <cell r="W372">
            <v>1</v>
          </cell>
          <cell r="X372">
            <v>1</v>
          </cell>
          <cell r="Y372">
            <v>1</v>
          </cell>
          <cell r="Z372">
            <v>1</v>
          </cell>
          <cell r="AA372">
            <v>1</v>
          </cell>
          <cell r="AB372">
            <v>1</v>
          </cell>
          <cell r="AC372">
            <v>1</v>
          </cell>
          <cell r="AD372">
            <v>1</v>
          </cell>
          <cell r="AE372">
            <v>1</v>
          </cell>
          <cell r="AF372">
            <v>1</v>
          </cell>
          <cell r="AG372">
            <v>1</v>
          </cell>
          <cell r="AH372">
            <v>1</v>
          </cell>
          <cell r="AI372">
            <v>1</v>
          </cell>
          <cell r="AJ372">
            <v>1</v>
          </cell>
          <cell r="AK372">
            <v>1</v>
          </cell>
          <cell r="AL372">
            <v>1</v>
          </cell>
          <cell r="AM372">
            <v>1</v>
          </cell>
          <cell r="AN372">
            <v>1</v>
          </cell>
          <cell r="AO372">
            <v>1</v>
          </cell>
          <cell r="AP372">
            <v>1</v>
          </cell>
          <cell r="AQ372">
            <v>1</v>
          </cell>
          <cell r="AR372">
            <v>1</v>
          </cell>
          <cell r="AS372">
            <v>1</v>
          </cell>
          <cell r="AT372">
            <v>1</v>
          </cell>
          <cell r="AU372">
            <v>1</v>
          </cell>
          <cell r="AV372">
            <v>1</v>
          </cell>
          <cell r="AW372">
            <v>1</v>
          </cell>
          <cell r="AX372">
            <v>1</v>
          </cell>
          <cell r="AY372">
            <v>1</v>
          </cell>
          <cell r="AZ372">
            <v>1</v>
          </cell>
          <cell r="BA372">
            <v>1</v>
          </cell>
          <cell r="BB372">
            <v>1</v>
          </cell>
          <cell r="BC372">
            <v>1</v>
          </cell>
          <cell r="BD372">
            <v>1</v>
          </cell>
          <cell r="BE372">
            <v>1</v>
          </cell>
          <cell r="BF372">
            <v>1</v>
          </cell>
          <cell r="BG372"/>
          <cell r="BH372">
            <v>1</v>
          </cell>
          <cell r="BI372">
            <v>1</v>
          </cell>
          <cell r="BJ372">
            <v>1</v>
          </cell>
          <cell r="BK372">
            <v>1</v>
          </cell>
          <cell r="BL372">
            <v>1</v>
          </cell>
          <cell r="BM372">
            <v>1</v>
          </cell>
          <cell r="BN372">
            <v>1</v>
          </cell>
          <cell r="BO372">
            <v>1</v>
          </cell>
          <cell r="BP372">
            <v>1</v>
          </cell>
          <cell r="BQ372">
            <v>1</v>
          </cell>
          <cell r="BR372">
            <v>1</v>
          </cell>
          <cell r="BS372">
            <v>1</v>
          </cell>
          <cell r="BT372">
            <v>1</v>
          </cell>
          <cell r="BU372">
            <v>1</v>
          </cell>
          <cell r="BV372">
            <v>1</v>
          </cell>
          <cell r="BW372">
            <v>1</v>
          </cell>
          <cell r="BX372">
            <v>1</v>
          </cell>
          <cell r="BY372">
            <v>1</v>
          </cell>
          <cell r="BZ372">
            <v>1</v>
          </cell>
          <cell r="CA372">
            <v>1</v>
          </cell>
          <cell r="CB372">
            <v>1</v>
          </cell>
          <cell r="CC372"/>
        </row>
        <row r="373">
          <cell r="A373" t="str">
            <v>EoP FX Rate, USD/USD</v>
          </cell>
          <cell r="B373"/>
          <cell r="C373">
            <v>1</v>
          </cell>
          <cell r="D373">
            <v>1</v>
          </cell>
          <cell r="E373">
            <v>1</v>
          </cell>
          <cell r="F373">
            <v>1</v>
          </cell>
          <cell r="G373">
            <v>1</v>
          </cell>
          <cell r="H373">
            <v>1</v>
          </cell>
          <cell r="I373">
            <v>1</v>
          </cell>
          <cell r="J373">
            <v>1</v>
          </cell>
          <cell r="K373">
            <v>1</v>
          </cell>
          <cell r="L373">
            <v>1</v>
          </cell>
          <cell r="M373">
            <v>1</v>
          </cell>
          <cell r="N373">
            <v>1</v>
          </cell>
          <cell r="O373">
            <v>1</v>
          </cell>
          <cell r="P373">
            <v>1</v>
          </cell>
          <cell r="Q373">
            <v>1</v>
          </cell>
          <cell r="R373">
            <v>1</v>
          </cell>
          <cell r="S373">
            <v>1</v>
          </cell>
          <cell r="T373">
            <v>1</v>
          </cell>
          <cell r="U373">
            <v>1</v>
          </cell>
          <cell r="V373">
            <v>1</v>
          </cell>
          <cell r="W373">
            <v>1</v>
          </cell>
          <cell r="X373">
            <v>1</v>
          </cell>
          <cell r="Y373">
            <v>1</v>
          </cell>
          <cell r="Z373">
            <v>1</v>
          </cell>
          <cell r="AA373">
            <v>1</v>
          </cell>
          <cell r="AB373">
            <v>1</v>
          </cell>
          <cell r="AC373">
            <v>1</v>
          </cell>
          <cell r="AD373">
            <v>1</v>
          </cell>
          <cell r="AE373">
            <v>1</v>
          </cell>
          <cell r="AF373">
            <v>1</v>
          </cell>
          <cell r="AG373">
            <v>1</v>
          </cell>
          <cell r="AH373">
            <v>1</v>
          </cell>
          <cell r="AI373">
            <v>1</v>
          </cell>
          <cell r="AJ373">
            <v>1</v>
          </cell>
          <cell r="AK373">
            <v>1</v>
          </cell>
          <cell r="AL373">
            <v>1</v>
          </cell>
          <cell r="AM373">
            <v>1</v>
          </cell>
          <cell r="AN373">
            <v>1</v>
          </cell>
          <cell r="AO373">
            <v>1</v>
          </cell>
          <cell r="AP373">
            <v>1</v>
          </cell>
          <cell r="AQ373">
            <v>1</v>
          </cell>
          <cell r="AR373">
            <v>1</v>
          </cell>
          <cell r="AS373">
            <v>1</v>
          </cell>
          <cell r="AT373">
            <v>1</v>
          </cell>
          <cell r="AU373">
            <v>1</v>
          </cell>
          <cell r="AV373">
            <v>1</v>
          </cell>
          <cell r="AW373">
            <v>1</v>
          </cell>
          <cell r="AX373">
            <v>1</v>
          </cell>
          <cell r="AY373">
            <v>1</v>
          </cell>
          <cell r="AZ373">
            <v>1</v>
          </cell>
          <cell r="BA373">
            <v>1</v>
          </cell>
          <cell r="BB373">
            <v>1</v>
          </cell>
          <cell r="BC373">
            <v>1</v>
          </cell>
          <cell r="BD373">
            <v>1</v>
          </cell>
          <cell r="BE373">
            <v>1</v>
          </cell>
          <cell r="BF373">
            <v>1</v>
          </cell>
          <cell r="BG373"/>
          <cell r="BH373">
            <v>1</v>
          </cell>
          <cell r="BI373">
            <v>1</v>
          </cell>
          <cell r="BJ373">
            <v>1</v>
          </cell>
          <cell r="BK373">
            <v>1</v>
          </cell>
          <cell r="BL373">
            <v>1</v>
          </cell>
          <cell r="BM373">
            <v>1</v>
          </cell>
          <cell r="BN373">
            <v>1</v>
          </cell>
          <cell r="BO373">
            <v>1</v>
          </cell>
          <cell r="BP373">
            <v>1</v>
          </cell>
          <cell r="BQ373">
            <v>1</v>
          </cell>
          <cell r="BR373">
            <v>1</v>
          </cell>
          <cell r="BS373">
            <v>1</v>
          </cell>
          <cell r="BT373">
            <v>1</v>
          </cell>
          <cell r="BU373">
            <v>1</v>
          </cell>
          <cell r="BV373">
            <v>1</v>
          </cell>
          <cell r="BW373">
            <v>1</v>
          </cell>
          <cell r="BX373">
            <v>1</v>
          </cell>
          <cell r="BY373">
            <v>1</v>
          </cell>
          <cell r="BZ373">
            <v>1</v>
          </cell>
          <cell r="CA373">
            <v>1</v>
          </cell>
          <cell r="CB373">
            <v>1</v>
          </cell>
          <cell r="CC373"/>
        </row>
        <row r="374">
          <cell r="A374" t="str">
            <v>Stock Price (Trading Cur.) - EoP, USD</v>
          </cell>
          <cell r="B374"/>
          <cell r="C374">
            <v>20.2</v>
          </cell>
          <cell r="D374">
            <v>20.11</v>
          </cell>
          <cell r="E374">
            <v>24.11</v>
          </cell>
          <cell r="F374">
            <v>26.27</v>
          </cell>
          <cell r="G374">
            <v>31.44</v>
          </cell>
          <cell r="H374">
            <v>21.72</v>
          </cell>
          <cell r="I374">
            <v>22.1</v>
          </cell>
          <cell r="J374">
            <v>24.32</v>
          </cell>
          <cell r="K374">
            <v>16.350000000000001</v>
          </cell>
          <cell r="L374">
            <v>11.85</v>
          </cell>
          <cell r="M374">
            <v>15.96</v>
          </cell>
          <cell r="N374">
            <v>13.2</v>
          </cell>
          <cell r="O374">
            <v>12.62</v>
          </cell>
          <cell r="P374">
            <v>8.8800000000000008</v>
          </cell>
          <cell r="Q374">
            <v>10.050000000000001</v>
          </cell>
          <cell r="R374">
            <v>12.09</v>
          </cell>
          <cell r="S374">
            <v>14.05</v>
          </cell>
          <cell r="T374">
            <v>17.16</v>
          </cell>
          <cell r="U374">
            <v>18.649999999999999</v>
          </cell>
          <cell r="V374">
            <v>18.03</v>
          </cell>
          <cell r="W374">
            <v>17.84</v>
          </cell>
          <cell r="X374">
            <v>15.9</v>
          </cell>
          <cell r="Y374">
            <v>14.18</v>
          </cell>
          <cell r="Z374">
            <v>16.37</v>
          </cell>
          <cell r="AA374">
            <v>17.7</v>
          </cell>
          <cell r="AB374">
            <v>24.42</v>
          </cell>
          <cell r="AC374">
            <v>34.130000000000003</v>
          </cell>
          <cell r="AD374">
            <v>30.41</v>
          </cell>
          <cell r="AE374">
            <v>26.48</v>
          </cell>
          <cell r="AF374">
            <v>19.850000000000001</v>
          </cell>
          <cell r="AG374">
            <v>18.57</v>
          </cell>
          <cell r="AH374">
            <v>26.72</v>
          </cell>
          <cell r="AI374">
            <v>27.08</v>
          </cell>
          <cell r="AJ374">
            <v>21.58</v>
          </cell>
          <cell r="AK374">
            <v>29.6</v>
          </cell>
          <cell r="AL374">
            <v>32.630000000000003</v>
          </cell>
          <cell r="AM374">
            <v>35.07</v>
          </cell>
          <cell r="AN374">
            <v>33.11</v>
          </cell>
          <cell r="AO374">
            <v>35.770000000000003</v>
          </cell>
          <cell r="AP374">
            <v>41.31</v>
          </cell>
          <cell r="AQ374">
            <v>42.37</v>
          </cell>
          <cell r="AR374">
            <v>31.28</v>
          </cell>
          <cell r="AS374">
            <v>39.03</v>
          </cell>
          <cell r="AT374">
            <v>37.29</v>
          </cell>
          <cell r="AU374">
            <v>45.03</v>
          </cell>
          <cell r="AV374">
            <v>59.37</v>
          </cell>
          <cell r="AW374">
            <v>63.05</v>
          </cell>
          <cell r="AX374">
            <v>70.5</v>
          </cell>
          <cell r="AY374">
            <v>80.17</v>
          </cell>
          <cell r="AZ374">
            <v>80.17</v>
          </cell>
          <cell r="BA374">
            <v>80.17</v>
          </cell>
          <cell r="BB374">
            <v>80.17</v>
          </cell>
          <cell r="BC374">
            <v>80.17</v>
          </cell>
          <cell r="BD374">
            <v>80.17</v>
          </cell>
          <cell r="BE374">
            <v>80.17</v>
          </cell>
          <cell r="BF374">
            <v>80.17</v>
          </cell>
          <cell r="BG374"/>
          <cell r="BH374">
            <v>20.88</v>
          </cell>
          <cell r="BI374">
            <v>23.02</v>
          </cell>
          <cell r="BJ374">
            <v>32.76</v>
          </cell>
          <cell r="BK374">
            <v>23.3</v>
          </cell>
          <cell r="BL374">
            <v>26.27</v>
          </cell>
          <cell r="BM374">
            <v>24.32</v>
          </cell>
          <cell r="BN374">
            <v>13.2</v>
          </cell>
          <cell r="BO374">
            <v>12.09</v>
          </cell>
          <cell r="BP374">
            <v>18.03</v>
          </cell>
          <cell r="BQ374">
            <v>16.37</v>
          </cell>
          <cell r="BR374">
            <v>30.41</v>
          </cell>
          <cell r="BS374">
            <v>26.72</v>
          </cell>
          <cell r="BT374">
            <v>32.630000000000003</v>
          </cell>
          <cell r="BU374">
            <v>41.31</v>
          </cell>
          <cell r="BV374">
            <v>37.29</v>
          </cell>
          <cell r="BW374">
            <v>70.5</v>
          </cell>
          <cell r="BX374">
            <v>80.17</v>
          </cell>
          <cell r="BY374">
            <v>80.17</v>
          </cell>
          <cell r="BZ374">
            <v>80.17</v>
          </cell>
          <cell r="CA374">
            <v>80.17</v>
          </cell>
          <cell r="CB374">
            <v>80.17</v>
          </cell>
          <cell r="CC374"/>
        </row>
        <row r="375">
          <cell r="A375"/>
        </row>
        <row r="376">
          <cell r="A376" t="str">
            <v>Enterprise Value Components</v>
          </cell>
        </row>
        <row r="377">
          <cell r="A377" t="str">
            <v>Noncontrolling Interest</v>
          </cell>
          <cell r="B377"/>
          <cell r="C377">
            <v>4.0679999999999996</v>
          </cell>
          <cell r="D377">
            <v>4.133</v>
          </cell>
          <cell r="E377">
            <v>4.1980000000000004</v>
          </cell>
          <cell r="F377">
            <v>3.5960000000000001</v>
          </cell>
          <cell r="G377">
            <v>3.4489999999999998</v>
          </cell>
          <cell r="H377">
            <v>3.4220000000000002</v>
          </cell>
          <cell r="I377">
            <v>3.387</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cell r="BH377">
            <v>4.4139999999999997</v>
          </cell>
          <cell r="BI377">
            <v>4.141</v>
          </cell>
          <cell r="BJ377">
            <v>4.1260000000000003</v>
          </cell>
          <cell r="BK377">
            <v>4.1539999999999999</v>
          </cell>
          <cell r="BL377">
            <v>3.5960000000000001</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row>
        <row r="378">
          <cell r="A378" t="str">
            <v>Preferred Shares</v>
          </cell>
          <cell r="B378"/>
          <cell r="C378"/>
          <cell r="D378"/>
          <cell r="E378"/>
          <cell r="F378"/>
          <cell r="G378"/>
          <cell r="H378"/>
          <cell r="I378"/>
          <cell r="J378"/>
          <cell r="K378"/>
          <cell r="L378"/>
          <cell r="M378"/>
          <cell r="N378"/>
          <cell r="O378"/>
          <cell r="P378"/>
          <cell r="Q378"/>
          <cell r="R378"/>
          <cell r="S378"/>
          <cell r="T378"/>
          <cell r="U378"/>
          <cell r="V378"/>
          <cell r="W378"/>
          <cell r="X378"/>
          <cell r="Y378"/>
          <cell r="Z378"/>
          <cell r="AA378"/>
          <cell r="AB378"/>
          <cell r="AC378"/>
          <cell r="AD378"/>
          <cell r="AE378"/>
          <cell r="AF378"/>
          <cell r="AG378"/>
          <cell r="AH378"/>
          <cell r="AI378"/>
          <cell r="AJ378"/>
          <cell r="AK378"/>
          <cell r="AL378"/>
          <cell r="AM378"/>
          <cell r="AN378"/>
          <cell r="AO378"/>
          <cell r="AP378"/>
          <cell r="AQ378"/>
          <cell r="AR378"/>
          <cell r="AS378"/>
          <cell r="AT378"/>
          <cell r="AU378"/>
          <cell r="AV378"/>
          <cell r="AW378"/>
          <cell r="AX378"/>
          <cell r="AY378"/>
          <cell r="AZ378"/>
          <cell r="BA378"/>
          <cell r="BB378"/>
          <cell r="BC378"/>
          <cell r="BD378"/>
          <cell r="BE378"/>
          <cell r="BF378"/>
          <cell r="BG378"/>
          <cell r="BH378"/>
          <cell r="BI378"/>
          <cell r="BJ378"/>
          <cell r="BK378"/>
          <cell r="BL378"/>
          <cell r="BM378"/>
          <cell r="BN378"/>
          <cell r="BO378"/>
          <cell r="BP378"/>
          <cell r="BQ378"/>
          <cell r="BR378"/>
          <cell r="BS378"/>
          <cell r="BT378"/>
          <cell r="BU378"/>
          <cell r="BV378"/>
          <cell r="BW378"/>
          <cell r="BX378"/>
          <cell r="BY378"/>
          <cell r="BZ378"/>
          <cell r="CA378"/>
          <cell r="CB378"/>
          <cell r="CC378"/>
        </row>
        <row r="379">
          <cell r="A379" t="str">
            <v>Other EV Components</v>
          </cell>
          <cell r="B379"/>
          <cell r="C379">
            <v>17.2</v>
          </cell>
          <cell r="D379">
            <v>17.2</v>
          </cell>
          <cell r="E379">
            <v>17.2</v>
          </cell>
          <cell r="F379">
            <v>15.2</v>
          </cell>
          <cell r="G379">
            <v>15.2</v>
          </cell>
          <cell r="H379">
            <v>15.2</v>
          </cell>
          <cell r="I379">
            <v>15.2</v>
          </cell>
          <cell r="J379">
            <v>16.800999999999998</v>
          </cell>
          <cell r="K379">
            <v>19.800999999999998</v>
          </cell>
          <cell r="L379">
            <v>19.800999999999998</v>
          </cell>
          <cell r="M379">
            <v>19.800999999999998</v>
          </cell>
          <cell r="N379">
            <v>9.6010000000000009</v>
          </cell>
          <cell r="O379">
            <v>9.6010000000000009</v>
          </cell>
          <cell r="P379">
            <v>9.8010000000000002</v>
          </cell>
          <cell r="Q379">
            <v>9.8010000000000002</v>
          </cell>
          <cell r="R379">
            <v>7.5019999999999998</v>
          </cell>
          <cell r="S379">
            <v>9.9019999999999992</v>
          </cell>
          <cell r="T379">
            <v>0.7</v>
          </cell>
          <cell r="U379">
            <v>0.7</v>
          </cell>
          <cell r="V379">
            <v>0.7</v>
          </cell>
          <cell r="W379">
            <v>0.7</v>
          </cell>
          <cell r="X379">
            <v>0.5</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cell r="BH379">
            <v>0</v>
          </cell>
          <cell r="BI379">
            <v>17.373999999999999</v>
          </cell>
          <cell r="BJ379">
            <v>17.2</v>
          </cell>
          <cell r="BK379">
            <v>17.2</v>
          </cell>
          <cell r="BL379">
            <v>15.2</v>
          </cell>
          <cell r="BM379">
            <v>16.800999999999998</v>
          </cell>
          <cell r="BN379">
            <v>9.6010000000000009</v>
          </cell>
          <cell r="BO379">
            <v>7.5019999999999998</v>
          </cell>
          <cell r="BP379">
            <v>0.7</v>
          </cell>
          <cell r="BQ379">
            <v>0</v>
          </cell>
          <cell r="BR379">
            <v>0</v>
          </cell>
          <cell r="BS379">
            <v>0</v>
          </cell>
          <cell r="BT379">
            <v>0</v>
          </cell>
          <cell r="BU379">
            <v>0</v>
          </cell>
          <cell r="BV379">
            <v>0</v>
          </cell>
          <cell r="BW379">
            <v>0</v>
          </cell>
          <cell r="BX379">
            <v>0</v>
          </cell>
          <cell r="BY379">
            <v>0</v>
          </cell>
          <cell r="BZ379">
            <v>0</v>
          </cell>
          <cell r="CA379">
            <v>0</v>
          </cell>
          <cell r="CB379">
            <v>0</v>
          </cell>
          <cell r="CC379"/>
        </row>
        <row r="380">
          <cell r="A380"/>
        </row>
        <row r="381">
          <cell r="A381" t="str">
            <v>Cumulative Cash Flow Statement</v>
          </cell>
        </row>
        <row r="382">
          <cell r="A382" t="str">
            <v>CFO</v>
          </cell>
        </row>
        <row r="383">
          <cell r="A383" t="str">
            <v>Net income</v>
          </cell>
        </row>
        <row r="384">
          <cell r="A384" t="str">
            <v>Depreciation and amortization expense</v>
          </cell>
        </row>
        <row r="385">
          <cell r="A385" t="str">
            <v>Stock-based compensation expense</v>
          </cell>
        </row>
        <row r="386">
          <cell r="A386" t="str">
            <v>Excess tax benefit from stock-based compensation</v>
          </cell>
        </row>
        <row r="387">
          <cell r="A387" t="str">
            <v>Deferred income taxes</v>
          </cell>
        </row>
        <row r="388">
          <cell r="A388" t="str">
            <v>(Recovery of) Provision for doubtful accounts</v>
          </cell>
        </row>
        <row r="389">
          <cell r="A389" t="str">
            <v>Amortization of discount and fees on debt</v>
          </cell>
        </row>
        <row r="390">
          <cell r="A390" t="str">
            <v>Provision for excess and obsolete inventory</v>
          </cell>
        </row>
        <row r="391">
          <cell r="A391" t="str">
            <v>Provision for student computer shrinkage and obsolescence</v>
          </cell>
        </row>
        <row r="392">
          <cell r="A392" t="str">
            <v>Impairment loss on other assets</v>
          </cell>
        </row>
        <row r="393">
          <cell r="A393" t="str">
            <v>Realized gain on sale of assets</v>
          </cell>
        </row>
        <row r="394">
          <cell r="A394" t="str">
            <v>Expensed leased computer peripherals</v>
          </cell>
        </row>
        <row r="395">
          <cell r="A395" t="str">
            <v>Impairment of investment in Web International Education</v>
          </cell>
        </row>
        <row r="396">
          <cell r="A396" t="str">
            <v>Noncash operating lease expense</v>
          </cell>
        </row>
        <row r="397">
          <cell r="A397" t="str">
            <v>Other</v>
          </cell>
        </row>
        <row r="398">
          <cell r="A398" t="str">
            <v>CFO before WC</v>
          </cell>
        </row>
        <row r="399">
          <cell r="A399" t="str">
            <v>Accounts receivable</v>
          </cell>
        </row>
        <row r="400">
          <cell r="A400" t="str">
            <v>Inventories</v>
          </cell>
        </row>
        <row r="401">
          <cell r="A401" t="str">
            <v>Prepaid expenses</v>
          </cell>
        </row>
        <row r="402">
          <cell r="A402" t="str">
            <v>Other current assets</v>
          </cell>
        </row>
        <row r="403">
          <cell r="A403" t="str">
            <v>Deposits and other assets</v>
          </cell>
        </row>
        <row r="404">
          <cell r="A404" t="str">
            <v>Accounts payable</v>
          </cell>
        </row>
        <row r="405">
          <cell r="A405" t="str">
            <v>Accrued liabilities</v>
          </cell>
        </row>
        <row r="406">
          <cell r="A406" t="str">
            <v>Accrued compensation and benefits</v>
          </cell>
        </row>
        <row r="407">
          <cell r="A407" t="str">
            <v>Operating lease liability</v>
          </cell>
        </row>
        <row r="408">
          <cell r="A408" t="str">
            <v>Deferred revenue and other liabilities</v>
          </cell>
        </row>
        <row r="409">
          <cell r="A409" t="str">
            <v>Restricted cash</v>
          </cell>
        </row>
        <row r="410">
          <cell r="A410" t="str">
            <v>Deferred rent and other liabilities</v>
          </cell>
        </row>
        <row r="411">
          <cell r="A411" t="str">
            <v>Change in working capital</v>
          </cell>
        </row>
        <row r="412">
          <cell r="A412" t="str">
            <v>Net CFO</v>
          </cell>
        </row>
        <row r="413">
          <cell r="A413"/>
        </row>
        <row r="414">
          <cell r="A414" t="str">
            <v>CFI</v>
          </cell>
        </row>
        <row r="415">
          <cell r="A415" t="str">
            <v>Purchase of property and equipment</v>
          </cell>
        </row>
        <row r="416">
          <cell r="A416" t="str">
            <v>Capitalized software development costs</v>
          </cell>
        </row>
        <row r="417">
          <cell r="A417" t="str">
            <v>Capitalized curriculum development costs</v>
          </cell>
        </row>
        <row r="418">
          <cell r="A418" t="str">
            <v>Purchase of noncontrolling interest</v>
          </cell>
        </row>
        <row r="419">
          <cell r="A419" t="str">
            <v>Sale of trade name</v>
          </cell>
        </row>
        <row r="420">
          <cell r="A420" t="str">
            <v>Mortgage note to managed school partner</v>
          </cell>
        </row>
        <row r="421">
          <cell r="A421" t="str">
            <v>Acquisition of LTS Education Systems, net of cash acquired</v>
          </cell>
        </row>
        <row r="422">
          <cell r="A422" t="str">
            <v>Acquisition of Big Universe, Inc., net of cash required</v>
          </cell>
        </row>
        <row r="423">
          <cell r="A423" t="str">
            <v>Acquisition of Galvanize, Inc., net of cash acquired</v>
          </cell>
        </row>
        <row r="424">
          <cell r="A424" t="str">
            <v>Acquisition of MedCerts, LLC, net of cash acquired</v>
          </cell>
        </row>
        <row r="425">
          <cell r="A425" t="str">
            <v>Acquisition of Tech Elevator, Inc., net of cash acquired</v>
          </cell>
        </row>
        <row r="426">
          <cell r="A426" t="str">
            <v>Net cash received on sale of assets</v>
          </cell>
        </row>
        <row r="427">
          <cell r="A427" t="str">
            <v>Sale of other investments</v>
          </cell>
        </row>
        <row r="428">
          <cell r="A428" t="str">
            <v>Purchase of Kaplan/Insight assets</v>
          </cell>
        </row>
        <row r="429">
          <cell r="A429" t="str">
            <v>Investment in LearnBop, Inc.</v>
          </cell>
        </row>
        <row r="430">
          <cell r="A430" t="str">
            <v>Purchase of domain name</v>
          </cell>
        </row>
        <row r="431">
          <cell r="A431" t="str">
            <v>Purchase of AEC, net of cash acquired of $3,841</v>
          </cell>
        </row>
        <row r="432">
          <cell r="A432" t="str">
            <v>Purchase of IS Berne, net of cash acquired of $1,563</v>
          </cell>
        </row>
        <row r="433">
          <cell r="A433" t="str">
            <v>Cash advanced for AEC performance escrow</v>
          </cell>
        </row>
        <row r="434">
          <cell r="A434" t="str">
            <v>Cash returned for AEC performance escrow</v>
          </cell>
        </row>
        <row r="435">
          <cell r="A435" t="str">
            <v>Acquisition of assets</v>
          </cell>
        </row>
        <row r="436">
          <cell r="A436" t="str">
            <v>Acquisitions and investments</v>
          </cell>
        </row>
        <row r="437">
          <cell r="A437" t="str">
            <v>Proceeds from the maturity of marketable securities</v>
          </cell>
        </row>
        <row r="438">
          <cell r="A438" t="str">
            <v>Purchases of marketable securities</v>
          </cell>
        </row>
        <row r="439">
          <cell r="A439" t="str">
            <v>Cash paid for investment in Web</v>
          </cell>
        </row>
        <row r="440">
          <cell r="A440" t="str">
            <v>Net CFI</v>
          </cell>
        </row>
        <row r="441">
          <cell r="A441"/>
        </row>
        <row r="442">
          <cell r="A442" t="str">
            <v>CFF</v>
          </cell>
        </row>
        <row r="443">
          <cell r="A443" t="str">
            <v>Repayments on finance lease obligations</v>
          </cell>
        </row>
        <row r="444">
          <cell r="A444" t="str">
            <v>Payments of contingent consideration</v>
          </cell>
        </row>
        <row r="445">
          <cell r="A445" t="str">
            <v>Payments of deferred purchase consideration</v>
          </cell>
        </row>
        <row r="446">
          <cell r="A446" t="str">
            <v>Repayments on notes payable</v>
          </cell>
        </row>
        <row r="447">
          <cell r="A447" t="str">
            <v>Purchase of treasury stock</v>
          </cell>
        </row>
        <row r="448">
          <cell r="A448" t="str">
            <v>Proceeds from exercise of stock options</v>
          </cell>
        </row>
        <row r="449">
          <cell r="A449" t="str">
            <v>Net proceeds from investment in noncontrolling interest</v>
          </cell>
        </row>
        <row r="450">
          <cell r="A450" t="str">
            <v>Proceeds from exercise of stock warrants</v>
          </cell>
        </row>
        <row r="451">
          <cell r="A451" t="str">
            <v>Payment of stock registration expense</v>
          </cell>
        </row>
        <row r="452">
          <cell r="A452" t="str">
            <v>Excess tax benefit from stock-based compensation</v>
          </cell>
        </row>
        <row r="453">
          <cell r="A453" t="str">
            <v>Withholding of stock options for tax withholding</v>
          </cell>
        </row>
        <row r="454">
          <cell r="A454" t="str">
            <v>Repurchase of restricted stock for income tax withholding</v>
          </cell>
        </row>
        <row r="455">
          <cell r="A455" t="str">
            <v>Proceeds from issuance of common stock</v>
          </cell>
        </row>
        <row r="456">
          <cell r="A456" t="str">
            <v>Proceeds from notes payable</v>
          </cell>
        </row>
        <row r="457">
          <cell r="A457" t="str">
            <v>Borrowings from line of credit</v>
          </cell>
        </row>
        <row r="458">
          <cell r="A458" t="str">
            <v>Repayments under the line of credit</v>
          </cell>
        </row>
        <row r="459">
          <cell r="A459" t="str">
            <v>Issuance of convertible senior notes</v>
          </cell>
        </row>
        <row r="460">
          <cell r="A460" t="str">
            <v>Purchases of capped calls in connection with convertible senior notes</v>
          </cell>
        </row>
        <row r="461">
          <cell r="A461" t="str">
            <v>Dividends Paid</v>
          </cell>
        </row>
        <row r="462">
          <cell r="A462" t="str">
            <v>Net CFF</v>
          </cell>
        </row>
        <row r="463">
          <cell r="A463"/>
        </row>
        <row r="464">
          <cell r="A464" t="str">
            <v>FX</v>
          </cell>
        </row>
        <row r="465">
          <cell r="A465" t="str">
            <v>Net Change in Cash Balance</v>
          </cell>
        </row>
        <row r="466">
          <cell r="A466"/>
        </row>
        <row r="467">
          <cell r="A467" t="str">
            <v>Beginning Cash Balance</v>
          </cell>
        </row>
        <row r="468">
          <cell r="A468" t="str">
            <v>Ending Cash Balance</v>
          </cell>
        </row>
        <row r="469">
          <cell r="A469"/>
        </row>
        <row r="470">
          <cell r="A470" t="str">
            <v>Cash paid for interest</v>
          </cell>
        </row>
        <row r="471">
          <cell r="A471" t="str">
            <v>Cash paid for taxes</v>
          </cell>
        </row>
        <row r="472">
          <cell r="A472"/>
        </row>
        <row r="473">
          <cell r="A473" t="str">
            <v>Cash Flow Statement</v>
          </cell>
        </row>
        <row r="474">
          <cell r="A474" t="str">
            <v>CFO</v>
          </cell>
          <cell r="B474"/>
          <cell r="C474"/>
          <cell r="D474"/>
          <cell r="E474"/>
          <cell r="F474"/>
          <cell r="G474"/>
          <cell r="H474"/>
          <cell r="I474"/>
          <cell r="J474"/>
          <cell r="K474"/>
          <cell r="L474"/>
          <cell r="M474"/>
          <cell r="N474"/>
          <cell r="O474"/>
          <cell r="P474"/>
          <cell r="Q474"/>
          <cell r="R474"/>
          <cell r="S474"/>
          <cell r="T474"/>
          <cell r="U474"/>
          <cell r="V474"/>
          <cell r="W474"/>
          <cell r="X474"/>
          <cell r="Y474"/>
          <cell r="Z474"/>
          <cell r="AA474"/>
          <cell r="AB474"/>
          <cell r="AC474"/>
          <cell r="AD474"/>
          <cell r="AE474"/>
          <cell r="AF474"/>
          <cell r="AG474"/>
          <cell r="AH474"/>
          <cell r="AI474"/>
          <cell r="AJ474"/>
          <cell r="AK474"/>
          <cell r="AL474"/>
          <cell r="AM474"/>
          <cell r="AN474"/>
          <cell r="AO474"/>
          <cell r="AP474"/>
          <cell r="AQ474"/>
          <cell r="AR474"/>
          <cell r="AS474"/>
          <cell r="AT474"/>
          <cell r="AU474"/>
          <cell r="AV474"/>
          <cell r="AW474"/>
          <cell r="AX474"/>
          <cell r="AY474"/>
          <cell r="AZ474"/>
          <cell r="BA474"/>
          <cell r="BB474"/>
          <cell r="BC474"/>
          <cell r="BD474"/>
          <cell r="BE474"/>
          <cell r="BF474"/>
          <cell r="BG474"/>
          <cell r="BH474"/>
          <cell r="BI474"/>
          <cell r="BJ474"/>
          <cell r="BK474"/>
          <cell r="BL474"/>
          <cell r="BM474"/>
          <cell r="BN474"/>
          <cell r="BO474"/>
          <cell r="BP474"/>
          <cell r="BQ474"/>
          <cell r="BR474"/>
          <cell r="BS474"/>
          <cell r="BT474"/>
          <cell r="BU474"/>
          <cell r="BV474"/>
          <cell r="BW474"/>
          <cell r="BX474"/>
          <cell r="BY474"/>
          <cell r="BZ474"/>
          <cell r="CA474"/>
          <cell r="CB474"/>
          <cell r="CC474"/>
        </row>
        <row r="475">
          <cell r="A475" t="str">
            <v>Net income</v>
          </cell>
        </row>
        <row r="476">
          <cell r="A476" t="str">
            <v>Depreciation and amortization expense</v>
          </cell>
        </row>
        <row r="477">
          <cell r="A477" t="str">
            <v>Stock-based compensation expense</v>
          </cell>
        </row>
        <row r="478">
          <cell r="A478" t="str">
            <v>Excess tax benefit from stock-based compensation</v>
          </cell>
        </row>
        <row r="479">
          <cell r="A479" t="str">
            <v>Deferred income taxes</v>
          </cell>
        </row>
        <row r="480">
          <cell r="A480" t="str">
            <v>(Recovery of) Provision for doubtful accounts</v>
          </cell>
        </row>
        <row r="481">
          <cell r="A481" t="str">
            <v>Amortization of discount and fees on debt</v>
          </cell>
        </row>
        <row r="482">
          <cell r="A482" t="str">
            <v>Provision for excess and obsolete inventory</v>
          </cell>
        </row>
        <row r="483">
          <cell r="A483" t="str">
            <v>Provision for student computer shrinkage and obsolescence</v>
          </cell>
        </row>
        <row r="484">
          <cell r="A484" t="str">
            <v>Impairment loss on other assets</v>
          </cell>
        </row>
        <row r="485">
          <cell r="A485" t="str">
            <v>Realized gain on sale of assets</v>
          </cell>
        </row>
        <row r="486">
          <cell r="A486" t="str">
            <v>Expensed leased computer peripherals</v>
          </cell>
        </row>
        <row r="487">
          <cell r="A487" t="str">
            <v>Impairment of investment in Web International Education</v>
          </cell>
        </row>
        <row r="488">
          <cell r="A488" t="str">
            <v>Noncash operating lease expense</v>
          </cell>
        </row>
        <row r="489">
          <cell r="A489" t="str">
            <v>Other</v>
          </cell>
        </row>
        <row r="490">
          <cell r="A490" t="str">
            <v>CFO before WC</v>
          </cell>
          <cell r="B490"/>
          <cell r="C490">
            <v>26.291</v>
          </cell>
          <cell r="D490">
            <v>33.683</v>
          </cell>
          <cell r="E490">
            <v>37.778000000000006</v>
          </cell>
          <cell r="F490">
            <v>18.71299999999999</v>
          </cell>
          <cell r="G490">
            <v>11.746999999999998</v>
          </cell>
          <cell r="H490">
            <v>40.061999999999998</v>
          </cell>
          <cell r="I490">
            <v>45.451000000000001</v>
          </cell>
          <cell r="J490">
            <v>21.319999999999993</v>
          </cell>
          <cell r="K490">
            <v>22.186</v>
          </cell>
          <cell r="L490">
            <v>32.931000000000004</v>
          </cell>
          <cell r="M490">
            <v>38.369000000000007</v>
          </cell>
          <cell r="N490">
            <v>31.203999999999997</v>
          </cell>
          <cell r="O490">
            <v>19.287000000000003</v>
          </cell>
          <cell r="P490">
            <v>29.075999999999997</v>
          </cell>
          <cell r="Q490">
            <v>29.892999999999997</v>
          </cell>
          <cell r="R490">
            <v>20.978999999999992</v>
          </cell>
          <cell r="S490">
            <v>19.547999999999998</v>
          </cell>
          <cell r="T490">
            <v>31.018000000000001</v>
          </cell>
          <cell r="U490">
            <v>34.795999999999999</v>
          </cell>
          <cell r="V490">
            <v>22.789999999999996</v>
          </cell>
          <cell r="W490">
            <v>25.863999999999997</v>
          </cell>
          <cell r="X490">
            <v>32.550000000000004</v>
          </cell>
          <cell r="Y490">
            <v>32.508000000000003</v>
          </cell>
          <cell r="Z490">
            <v>37.471000000000004</v>
          </cell>
          <cell r="AA490">
            <v>23.496000000000002</v>
          </cell>
          <cell r="AB490">
            <v>47.363999999999997</v>
          </cell>
          <cell r="AC490">
            <v>41.87700000000001</v>
          </cell>
          <cell r="AD490">
            <v>26.551000000000002</v>
          </cell>
          <cell r="AE490">
            <v>20.574999999999996</v>
          </cell>
          <cell r="AF490">
            <v>43.481999999999999</v>
          </cell>
          <cell r="AG490">
            <v>38.804000000000002</v>
          </cell>
          <cell r="AH490">
            <v>38.5</v>
          </cell>
          <cell r="AI490">
            <v>64.786999999999992</v>
          </cell>
          <cell r="AJ490">
            <v>65.385999999999996</v>
          </cell>
          <cell r="AK490">
            <v>67.725999999999999</v>
          </cell>
          <cell r="AL490">
            <v>54.024999999999991</v>
          </cell>
          <cell r="AM490">
            <v>41.920000000000009</v>
          </cell>
          <cell r="AN490">
            <v>79.587000000000003</v>
          </cell>
          <cell r="AO490">
            <v>80.021000000000001</v>
          </cell>
          <cell r="AP490">
            <v>70.281000000000006</v>
          </cell>
          <cell r="AQ490">
            <v>28.173000000000002</v>
          </cell>
          <cell r="AR490">
            <v>79.515000000000015</v>
          </cell>
          <cell r="AS490">
            <v>90.804000000000016</v>
          </cell>
          <cell r="AT490">
            <v>72.197000000000003</v>
          </cell>
          <cell r="AU490">
            <v>64.212999999999994</v>
          </cell>
          <cell r="AV490">
            <v>103.937</v>
          </cell>
          <cell r="AW490">
            <v>103.98800000000001</v>
          </cell>
          <cell r="AX490">
            <v>115.65899999999999</v>
          </cell>
          <cell r="AY490">
            <v>42.360671169218641</v>
          </cell>
          <cell r="AZ490">
            <v>109.74630452663406</v>
          </cell>
          <cell r="BA490">
            <v>110.057411875341</v>
          </cell>
          <cell r="BB490">
            <v>102.53395493694546</v>
          </cell>
          <cell r="BC490">
            <v>44.708579583077466</v>
          </cell>
          <cell r="BD490">
            <v>106.00885709031286</v>
          </cell>
          <cell r="BE490">
            <v>116.63939397693503</v>
          </cell>
          <cell r="BF490">
            <v>104.54972385791831</v>
          </cell>
          <cell r="BG490"/>
          <cell r="BH490">
            <v>38.190000000000005</v>
          </cell>
          <cell r="BI490">
            <v>61.653999999999996</v>
          </cell>
          <cell r="BJ490">
            <v>72.839999999999989</v>
          </cell>
          <cell r="BK490">
            <v>100.48799999999999</v>
          </cell>
          <cell r="BL490">
            <v>116.46499999999997</v>
          </cell>
          <cell r="BM490">
            <v>118.58</v>
          </cell>
          <cell r="BN490">
            <v>124.69000000000003</v>
          </cell>
          <cell r="BO490">
            <v>99.234999999999999</v>
          </cell>
          <cell r="BP490">
            <v>108.152</v>
          </cell>
          <cell r="BQ490">
            <v>128.393</v>
          </cell>
          <cell r="BR490">
            <v>139.28800000000001</v>
          </cell>
          <cell r="BS490">
            <v>141.36099999999999</v>
          </cell>
          <cell r="BT490">
            <v>251.92400000000001</v>
          </cell>
          <cell r="BU490">
            <v>271.80899999999997</v>
          </cell>
          <cell r="BV490">
            <v>270.68900000000002</v>
          </cell>
          <cell r="BW490">
            <v>387.79699999999991</v>
          </cell>
          <cell r="BX490">
            <v>364.69834250813915</v>
          </cell>
          <cell r="BY490">
            <v>371.90655450824369</v>
          </cell>
          <cell r="BZ490">
            <v>390.9435741471043</v>
          </cell>
          <cell r="CA490">
            <v>440.96924627088595</v>
          </cell>
          <cell r="CB490">
            <v>480.38466806072654</v>
          </cell>
          <cell r="CC490"/>
        </row>
        <row r="491">
          <cell r="A491" t="str">
            <v>Accounts receivable</v>
          </cell>
        </row>
        <row r="492">
          <cell r="A492" t="str">
            <v>Inventories</v>
          </cell>
        </row>
        <row r="493">
          <cell r="A493" t="str">
            <v>Prepaid expenses</v>
          </cell>
        </row>
        <row r="494">
          <cell r="A494" t="str">
            <v>Other current assets</v>
          </cell>
        </row>
        <row r="495">
          <cell r="A495" t="str">
            <v>Deposits and other assets</v>
          </cell>
        </row>
        <row r="496">
          <cell r="A496" t="str">
            <v>Accounts payable</v>
          </cell>
        </row>
        <row r="497">
          <cell r="A497" t="str">
            <v>Accrued liabilities</v>
          </cell>
        </row>
        <row r="498">
          <cell r="A498" t="str">
            <v>Accrued compensation and benefits</v>
          </cell>
        </row>
        <row r="499">
          <cell r="A499" t="str">
            <v>Operating lease liability</v>
          </cell>
        </row>
        <row r="500">
          <cell r="A500" t="str">
            <v>Deferred revenue and other liabilities</v>
          </cell>
        </row>
        <row r="501">
          <cell r="A501" t="str">
            <v>Restricted cash</v>
          </cell>
        </row>
        <row r="502">
          <cell r="A502" t="str">
            <v>Deferred rent and other liabilities</v>
          </cell>
        </row>
        <row r="503">
          <cell r="A503" t="str">
            <v>Change in working capital</v>
          </cell>
        </row>
        <row r="504">
          <cell r="A504" t="str">
            <v>Net CFO</v>
          </cell>
          <cell r="B504"/>
          <cell r="C504">
            <v>-17.214000000000002</v>
          </cell>
          <cell r="D504">
            <v>49.266000000000005</v>
          </cell>
          <cell r="E504">
            <v>27.163999999999994</v>
          </cell>
          <cell r="F504">
            <v>36.076999999999998</v>
          </cell>
          <cell r="G504">
            <v>-3.9130000000000233</v>
          </cell>
          <cell r="H504">
            <v>24.465000000000003</v>
          </cell>
          <cell r="I504">
            <v>60.953999999999994</v>
          </cell>
          <cell r="J504">
            <v>41.366999999999997</v>
          </cell>
          <cell r="K504">
            <v>-27.410000000000004</v>
          </cell>
          <cell r="L504">
            <v>34.419000000000011</v>
          </cell>
          <cell r="M504">
            <v>38.730000000000004</v>
          </cell>
          <cell r="N504">
            <v>74.346000000000018</v>
          </cell>
          <cell r="O504">
            <v>-23.940999999999999</v>
          </cell>
          <cell r="P504">
            <v>36.89</v>
          </cell>
          <cell r="Q504">
            <v>48.172999999999995</v>
          </cell>
          <cell r="R504">
            <v>60.655999999999977</v>
          </cell>
          <cell r="S504">
            <v>-59.929999999999993</v>
          </cell>
          <cell r="T504">
            <v>70.180999999999983</v>
          </cell>
          <cell r="U504">
            <v>27.123999999999995</v>
          </cell>
          <cell r="V504">
            <v>51.352999999999987</v>
          </cell>
          <cell r="W504">
            <v>-60.222000000000016</v>
          </cell>
          <cell r="X504">
            <v>57.484999999999999</v>
          </cell>
          <cell r="Y504">
            <v>56.147999999999996</v>
          </cell>
          <cell r="Z504">
            <v>50.216000000000008</v>
          </cell>
          <cell r="AA504">
            <v>-49.091999999999992</v>
          </cell>
          <cell r="AB504">
            <v>73.977000000000004</v>
          </cell>
          <cell r="AC504">
            <v>48.411000000000001</v>
          </cell>
          <cell r="AD504">
            <v>68.31</v>
          </cell>
          <cell r="AE504">
            <v>-86.813999999999993</v>
          </cell>
          <cell r="AF504">
            <v>65.549000000000007</v>
          </cell>
          <cell r="AG504">
            <v>24.290000000000006</v>
          </cell>
          <cell r="AH504">
            <v>77.39</v>
          </cell>
          <cell r="AI504">
            <v>-114.533</v>
          </cell>
          <cell r="AJ504">
            <v>34.575999999999993</v>
          </cell>
          <cell r="AK504">
            <v>91.079000000000022</v>
          </cell>
          <cell r="AL504">
            <v>123.02799999999999</v>
          </cell>
          <cell r="AM504">
            <v>-131.51</v>
          </cell>
          <cell r="AN504">
            <v>119.84200000000001</v>
          </cell>
          <cell r="AO504">
            <v>93.070999999999984</v>
          </cell>
          <cell r="AP504">
            <v>125.48099999999999</v>
          </cell>
          <cell r="AQ504">
            <v>-143.14599999999999</v>
          </cell>
          <cell r="AR504">
            <v>164.32800000000003</v>
          </cell>
          <cell r="AS504">
            <v>85.038000000000011</v>
          </cell>
          <cell r="AT504">
            <v>96.93</v>
          </cell>
          <cell r="AU504">
            <v>-135.30500000000004</v>
          </cell>
          <cell r="AV504">
            <v>173.334</v>
          </cell>
          <cell r="AW504">
            <v>68.566000000000003</v>
          </cell>
          <cell r="AX504">
            <v>172.202</v>
          </cell>
          <cell r="AY504">
            <v>-93.942129186407158</v>
          </cell>
          <cell r="AZ504">
            <v>184.75308470770042</v>
          </cell>
          <cell r="BA504">
            <v>81.507254317960303</v>
          </cell>
          <cell r="BB504">
            <v>161.86787708983135</v>
          </cell>
          <cell r="BC504">
            <v>-101.79465566924287</v>
          </cell>
          <cell r="BD504">
            <v>190.70813286157144</v>
          </cell>
          <cell r="BE504">
            <v>88.668798361729472</v>
          </cell>
          <cell r="BF504">
            <v>170.92815749400643</v>
          </cell>
          <cell r="BG504"/>
          <cell r="BH504">
            <v>-9.355000000000004</v>
          </cell>
          <cell r="BI504">
            <v>54.68</v>
          </cell>
          <cell r="BJ504">
            <v>67.212999999999994</v>
          </cell>
          <cell r="BK504">
            <v>32.990999999999985</v>
          </cell>
          <cell r="BL504">
            <v>95.292999999999978</v>
          </cell>
          <cell r="BM504">
            <v>122.873</v>
          </cell>
          <cell r="BN504">
            <v>120.08500000000002</v>
          </cell>
          <cell r="BO504">
            <v>121.77799999999999</v>
          </cell>
          <cell r="BP504">
            <v>88.727999999999994</v>
          </cell>
          <cell r="BQ504">
            <v>103.627</v>
          </cell>
          <cell r="BR504">
            <v>141.60599999999999</v>
          </cell>
          <cell r="BS504">
            <v>80.414999999999992</v>
          </cell>
          <cell r="BT504">
            <v>134.15</v>
          </cell>
          <cell r="BU504">
            <v>206.88399999999996</v>
          </cell>
          <cell r="BV504">
            <v>203.15000000000003</v>
          </cell>
          <cell r="BW504">
            <v>278.79699999999991</v>
          </cell>
          <cell r="BX504">
            <v>334.18608692908487</v>
          </cell>
          <cell r="BY504">
            <v>348.5104330480645</v>
          </cell>
          <cell r="BZ504">
            <v>350.99980823826127</v>
          </cell>
          <cell r="CA504">
            <v>391.82563594290383</v>
          </cell>
          <cell r="CB504">
            <v>435.43093615113713</v>
          </cell>
          <cell r="CC504"/>
        </row>
        <row r="505">
          <cell r="A505"/>
        </row>
        <row r="506">
          <cell r="A506" t="str">
            <v>CFI</v>
          </cell>
          <cell r="B506"/>
          <cell r="C506"/>
          <cell r="D506"/>
          <cell r="E506"/>
          <cell r="F506"/>
          <cell r="G506"/>
          <cell r="H506"/>
          <cell r="I506"/>
          <cell r="J506"/>
          <cell r="K506"/>
          <cell r="L506"/>
          <cell r="M506"/>
          <cell r="N506"/>
          <cell r="O506"/>
          <cell r="P506"/>
          <cell r="Q506"/>
          <cell r="R506"/>
          <cell r="S506"/>
          <cell r="T506"/>
          <cell r="U506"/>
          <cell r="V506"/>
          <cell r="W506"/>
          <cell r="X506"/>
          <cell r="Y506"/>
          <cell r="Z506"/>
          <cell r="AA506"/>
          <cell r="AB506"/>
          <cell r="AC506"/>
          <cell r="AD506"/>
          <cell r="AE506"/>
          <cell r="AF506"/>
          <cell r="AG506"/>
          <cell r="AH506"/>
          <cell r="AI506"/>
          <cell r="AJ506"/>
          <cell r="AK506"/>
          <cell r="AL506"/>
          <cell r="AM506"/>
          <cell r="AN506"/>
          <cell r="AO506"/>
          <cell r="AP506"/>
          <cell r="AQ506"/>
          <cell r="AR506"/>
          <cell r="AS506"/>
          <cell r="AT506"/>
          <cell r="AU506"/>
          <cell r="AV506"/>
          <cell r="AW506"/>
          <cell r="AX506"/>
          <cell r="AY506"/>
          <cell r="AZ506"/>
          <cell r="BA506"/>
          <cell r="BB506"/>
          <cell r="BC506"/>
          <cell r="BD506"/>
          <cell r="BE506"/>
          <cell r="BF506"/>
          <cell r="BG506"/>
          <cell r="BH506"/>
          <cell r="BI506"/>
          <cell r="BJ506"/>
          <cell r="BK506"/>
          <cell r="BL506"/>
          <cell r="BM506"/>
          <cell r="BN506"/>
          <cell r="BO506"/>
          <cell r="BP506"/>
          <cell r="BQ506"/>
          <cell r="BR506"/>
          <cell r="BS506"/>
          <cell r="BT506"/>
          <cell r="BU506"/>
          <cell r="BV506"/>
          <cell r="BW506"/>
          <cell r="BX506"/>
          <cell r="BY506"/>
          <cell r="BZ506"/>
          <cell r="CA506"/>
          <cell r="CB506"/>
          <cell r="CC506"/>
        </row>
        <row r="507">
          <cell r="A507" t="str">
            <v>Purchase of property and equipment</v>
          </cell>
        </row>
        <row r="508">
          <cell r="A508" t="str">
            <v>Capitalized software development costs</v>
          </cell>
        </row>
        <row r="509">
          <cell r="A509" t="str">
            <v>Capitalized curriculum development costs</v>
          </cell>
        </row>
        <row r="510">
          <cell r="A510" t="str">
            <v>Purchase of noncontrolling interest</v>
          </cell>
        </row>
        <row r="511">
          <cell r="A511" t="str">
            <v>Sale of trade name</v>
          </cell>
        </row>
        <row r="512">
          <cell r="A512" t="str">
            <v>Mortgage note to managed school partner</v>
          </cell>
        </row>
        <row r="513">
          <cell r="A513" t="str">
            <v>Acquisition of LTS Education Systems, net of cash acquired</v>
          </cell>
        </row>
        <row r="514">
          <cell r="A514" t="str">
            <v>Acquisition of Big Universe, Inc., net of cash required</v>
          </cell>
        </row>
        <row r="515">
          <cell r="A515" t="str">
            <v>Acquisition of Galvanize, Inc., net of cash acquired</v>
          </cell>
        </row>
        <row r="516">
          <cell r="A516" t="str">
            <v>Acquisition of MedCerts, LLC, net of cash acquired</v>
          </cell>
        </row>
        <row r="517">
          <cell r="A517" t="str">
            <v>Acquisition of Tech Elevator, Inc., net of cash acquired</v>
          </cell>
        </row>
        <row r="518">
          <cell r="A518" t="str">
            <v>Net cash received on sale of assets</v>
          </cell>
        </row>
        <row r="519">
          <cell r="A519" t="str">
            <v>Sale of other investments</v>
          </cell>
        </row>
        <row r="520">
          <cell r="A520" t="str">
            <v>Purchase of Kaplan/Insight assets</v>
          </cell>
        </row>
        <row r="521">
          <cell r="A521" t="str">
            <v>Investment in LearnBop, Inc.</v>
          </cell>
        </row>
        <row r="522">
          <cell r="A522" t="str">
            <v>Purchase of domain name</v>
          </cell>
        </row>
        <row r="523">
          <cell r="A523" t="str">
            <v>Purchase of AEC, net of cash acquired of $3,841</v>
          </cell>
        </row>
        <row r="524">
          <cell r="A524" t="str">
            <v>Purchase of IS Berne, net of cash acquired of $1,563</v>
          </cell>
        </row>
        <row r="525">
          <cell r="A525" t="str">
            <v>Cash advanced for AEC performance escrow</v>
          </cell>
        </row>
        <row r="526">
          <cell r="A526" t="str">
            <v>Cash returned for AEC performance escrow</v>
          </cell>
        </row>
        <row r="527">
          <cell r="A527" t="str">
            <v>Acquisition of assets</v>
          </cell>
        </row>
        <row r="528">
          <cell r="A528" t="str">
            <v>Acquisitions and investments</v>
          </cell>
        </row>
        <row r="529">
          <cell r="A529" t="str">
            <v>Proceeds from the maturity of marketable securities</v>
          </cell>
        </row>
        <row r="530">
          <cell r="A530" t="str">
            <v>Purchases of marketable securities</v>
          </cell>
        </row>
        <row r="531">
          <cell r="A531" t="str">
            <v>Cash paid for investment in Web</v>
          </cell>
        </row>
        <row r="532">
          <cell r="A532" t="str">
            <v>Net CFI</v>
          </cell>
          <cell r="B532"/>
          <cell r="C532">
            <v>-15.244</v>
          </cell>
          <cell r="D532">
            <v>-10.541</v>
          </cell>
          <cell r="E532">
            <v>-10.944000000000001</v>
          </cell>
          <cell r="F532">
            <v>-13.616000000000001</v>
          </cell>
          <cell r="G532">
            <v>-14.702</v>
          </cell>
          <cell r="H532">
            <v>-11.007999999999999</v>
          </cell>
          <cell r="I532">
            <v>-12.523000000000003</v>
          </cell>
          <cell r="J532">
            <v>-7.5710000000000006</v>
          </cell>
          <cell r="K532">
            <v>-25.106000000000002</v>
          </cell>
          <cell r="L532">
            <v>-12.452999999999999</v>
          </cell>
          <cell r="M532">
            <v>-14.233000000000001</v>
          </cell>
          <cell r="N532">
            <v>-16.46</v>
          </cell>
          <cell r="O532">
            <v>-14.191000000000001</v>
          </cell>
          <cell r="P532">
            <v>-11.625</v>
          </cell>
          <cell r="Q532">
            <v>-15.169</v>
          </cell>
          <cell r="R532">
            <v>-41.867999999999995</v>
          </cell>
          <cell r="S532">
            <v>-14.028</v>
          </cell>
          <cell r="T532">
            <v>-18.969000000000001</v>
          </cell>
          <cell r="U532">
            <v>-9.2999999999999989</v>
          </cell>
          <cell r="V532">
            <v>-14.901000000000002</v>
          </cell>
          <cell r="W532">
            <v>-15.522</v>
          </cell>
          <cell r="X532">
            <v>-10.417</v>
          </cell>
          <cell r="Y532">
            <v>-10.536999999999999</v>
          </cell>
          <cell r="Z532">
            <v>-14.001000000000001</v>
          </cell>
          <cell r="AA532">
            <v>-29.391999999999996</v>
          </cell>
          <cell r="AB532">
            <v>-9.5360000000000014</v>
          </cell>
          <cell r="AC532">
            <v>-9.0579999999999998</v>
          </cell>
          <cell r="AD532">
            <v>-13.123000000000005</v>
          </cell>
          <cell r="AE532">
            <v>-18.247</v>
          </cell>
          <cell r="AF532">
            <v>-12.173999999999999</v>
          </cell>
          <cell r="AG532">
            <v>-177.63200000000001</v>
          </cell>
          <cell r="AH532">
            <v>-9.3120000000000012</v>
          </cell>
          <cell r="AI532">
            <v>-15.688000000000001</v>
          </cell>
          <cell r="AJ532">
            <v>-78.587000000000003</v>
          </cell>
          <cell r="AK532">
            <v>-12.233000000000006</v>
          </cell>
          <cell r="AL532">
            <v>-58.934999999999988</v>
          </cell>
          <cell r="AM532">
            <v>-23.231000000000002</v>
          </cell>
          <cell r="AN532">
            <v>-36.432000000000002</v>
          </cell>
          <cell r="AO532">
            <v>-30.908999999999999</v>
          </cell>
          <cell r="AP532">
            <v>-20.186000000000007</v>
          </cell>
          <cell r="AQ532">
            <v>-26.495000000000001</v>
          </cell>
          <cell r="AR532">
            <v>-28.520000000000003</v>
          </cell>
          <cell r="AS532">
            <v>-15.747000000000007</v>
          </cell>
          <cell r="AT532">
            <v>-47.47799999999998</v>
          </cell>
          <cell r="AU532">
            <v>-7.0650000000000013</v>
          </cell>
          <cell r="AV532">
            <v>-61.731999999999985</v>
          </cell>
          <cell r="AW532">
            <v>-32.219000000000008</v>
          </cell>
          <cell r="AX532">
            <v>-38.854999999999976</v>
          </cell>
          <cell r="AY532">
            <v>-18</v>
          </cell>
          <cell r="AZ532">
            <v>-18</v>
          </cell>
          <cell r="BA532">
            <v>-18</v>
          </cell>
          <cell r="BB532">
            <v>-18</v>
          </cell>
          <cell r="BC532">
            <v>-18</v>
          </cell>
          <cell r="BD532">
            <v>-18</v>
          </cell>
          <cell r="BE532">
            <v>-18</v>
          </cell>
          <cell r="BF532">
            <v>-18</v>
          </cell>
          <cell r="BG532"/>
          <cell r="BH532">
            <v>-27.885999999999996</v>
          </cell>
          <cell r="BI532">
            <v>-24.260999999999999</v>
          </cell>
          <cell r="BJ532">
            <v>-83.031000000000006</v>
          </cell>
          <cell r="BK532">
            <v>-61.241000000000007</v>
          </cell>
          <cell r="BL532">
            <v>-50.344999999999999</v>
          </cell>
          <cell r="BM532">
            <v>-45.804000000000002</v>
          </cell>
          <cell r="BN532">
            <v>-68.25200000000001</v>
          </cell>
          <cell r="BO532">
            <v>-82.853000000000009</v>
          </cell>
          <cell r="BP532">
            <v>-57.198000000000008</v>
          </cell>
          <cell r="BQ532">
            <v>-50.477000000000004</v>
          </cell>
          <cell r="BR532">
            <v>-61.109000000000002</v>
          </cell>
          <cell r="BS532">
            <v>-217.36500000000001</v>
          </cell>
          <cell r="BT532">
            <v>-165.44300000000001</v>
          </cell>
          <cell r="BU532">
            <v>-110.758</v>
          </cell>
          <cell r="BV532">
            <v>-118.24</v>
          </cell>
          <cell r="BW532">
            <v>-139.87099999999998</v>
          </cell>
          <cell r="BX532">
            <v>-72</v>
          </cell>
          <cell r="BY532">
            <v>-72</v>
          </cell>
          <cell r="BZ532">
            <v>-72</v>
          </cell>
          <cell r="CA532">
            <v>-72</v>
          </cell>
          <cell r="CB532">
            <v>-72</v>
          </cell>
          <cell r="CC532"/>
        </row>
        <row r="533">
          <cell r="A533"/>
        </row>
        <row r="534">
          <cell r="A534" t="str">
            <v>CFF</v>
          </cell>
          <cell r="B534"/>
          <cell r="C534"/>
          <cell r="D534"/>
          <cell r="E534"/>
          <cell r="F534"/>
          <cell r="G534"/>
          <cell r="H534"/>
          <cell r="I534"/>
          <cell r="J534"/>
          <cell r="K534"/>
          <cell r="L534"/>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O534"/>
          <cell r="AP534"/>
          <cell r="AQ534"/>
          <cell r="AR534"/>
          <cell r="AS534"/>
          <cell r="AT534"/>
          <cell r="AU534"/>
          <cell r="AV534"/>
          <cell r="AW534"/>
          <cell r="AX534"/>
          <cell r="AY534"/>
          <cell r="AZ534"/>
          <cell r="BA534"/>
          <cell r="BB534"/>
          <cell r="BC534"/>
          <cell r="BD534"/>
          <cell r="BE534"/>
          <cell r="BF534"/>
          <cell r="BG534"/>
          <cell r="BH534"/>
          <cell r="BI534"/>
          <cell r="BJ534"/>
          <cell r="BK534"/>
          <cell r="BL534"/>
          <cell r="BM534"/>
          <cell r="BN534"/>
          <cell r="BO534"/>
          <cell r="BP534"/>
          <cell r="BQ534"/>
          <cell r="BR534"/>
          <cell r="BS534"/>
          <cell r="BT534"/>
          <cell r="BU534"/>
          <cell r="BV534"/>
          <cell r="BW534"/>
          <cell r="BX534"/>
          <cell r="BY534"/>
          <cell r="BZ534"/>
          <cell r="CA534"/>
          <cell r="CB534"/>
          <cell r="CC534"/>
        </row>
        <row r="535">
          <cell r="A535" t="str">
            <v>Repayments on finance lease obligations</v>
          </cell>
        </row>
        <row r="536">
          <cell r="A536" t="str">
            <v>Payments of contingent consideration</v>
          </cell>
        </row>
        <row r="537">
          <cell r="A537" t="str">
            <v>Payments of deferred purchase consideration</v>
          </cell>
        </row>
        <row r="538">
          <cell r="A538" t="str">
            <v>Repayments on notes payable</v>
          </cell>
        </row>
        <row r="539">
          <cell r="A539" t="str">
            <v>Purchase of treasury stock</v>
          </cell>
          <cell r="B539"/>
          <cell r="C539">
            <v>0</v>
          </cell>
          <cell r="D539">
            <v>0</v>
          </cell>
          <cell r="E539">
            <v>0</v>
          </cell>
          <cell r="F539">
            <v>0</v>
          </cell>
          <cell r="G539">
            <v>0</v>
          </cell>
          <cell r="H539">
            <v>-5.883</v>
          </cell>
          <cell r="I539">
            <v>-20.741</v>
          </cell>
          <cell r="J539">
            <v>-21.924000000000003</v>
          </cell>
          <cell r="K539">
            <v>-26.452000000000002</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-27.481999999999999</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cell r="AY539">
            <v>0</v>
          </cell>
          <cell r="AZ539">
            <v>0</v>
          </cell>
          <cell r="BA539">
            <v>0</v>
          </cell>
          <cell r="BB539">
            <v>0</v>
          </cell>
          <cell r="BC539">
            <v>0</v>
          </cell>
          <cell r="BD539">
            <v>0</v>
          </cell>
          <cell r="BE539">
            <v>0</v>
          </cell>
          <cell r="BF539">
            <v>0</v>
          </cell>
          <cell r="BG539"/>
          <cell r="BH539">
            <v>0</v>
          </cell>
          <cell r="BI539">
            <v>0</v>
          </cell>
          <cell r="BJ539">
            <v>0</v>
          </cell>
          <cell r="BK539">
            <v>0</v>
          </cell>
          <cell r="BL539">
            <v>0</v>
          </cell>
          <cell r="BM539">
            <v>-48.548000000000002</v>
          </cell>
          <cell r="BN539">
            <v>-26.452000000000002</v>
          </cell>
          <cell r="BO539">
            <v>0</v>
          </cell>
          <cell r="BP539">
            <v>0</v>
          </cell>
          <cell r="BQ539">
            <v>-27.481999999999999</v>
          </cell>
          <cell r="BR539">
            <v>0</v>
          </cell>
          <cell r="BS539">
            <v>0</v>
          </cell>
          <cell r="BT539">
            <v>0</v>
          </cell>
          <cell r="BU539">
            <v>0</v>
          </cell>
          <cell r="BV539">
            <v>0</v>
          </cell>
          <cell r="BW539">
            <v>0</v>
          </cell>
          <cell r="BX539">
            <v>0</v>
          </cell>
          <cell r="BY539">
            <v>0</v>
          </cell>
          <cell r="BZ539">
            <v>0</v>
          </cell>
          <cell r="CA539">
            <v>0</v>
          </cell>
          <cell r="CB539">
            <v>0</v>
          </cell>
          <cell r="CC539"/>
        </row>
        <row r="540">
          <cell r="A540" t="str">
            <v>Proceeds from exercise of stock options</v>
          </cell>
        </row>
        <row r="541">
          <cell r="A541" t="str">
            <v>Net proceeds from investment in noncontrolling interest</v>
          </cell>
        </row>
        <row r="542">
          <cell r="A542" t="str">
            <v>Proceeds from exercise of stock warrants</v>
          </cell>
        </row>
        <row r="543">
          <cell r="A543" t="str">
            <v>Payment of stock registration expense</v>
          </cell>
        </row>
        <row r="544">
          <cell r="A544" t="str">
            <v>Excess tax benefit from stock-based compensation</v>
          </cell>
        </row>
        <row r="545">
          <cell r="A545" t="str">
            <v>Withholding of stock options for tax withholding</v>
          </cell>
        </row>
        <row r="546">
          <cell r="A546" t="str">
            <v>Repurchase of restricted stock for income tax withholding</v>
          </cell>
        </row>
        <row r="547">
          <cell r="A547" t="str">
            <v>Proceeds from issuance of common stock</v>
          </cell>
        </row>
        <row r="548">
          <cell r="A548" t="str">
            <v>Proceeds from notes payable</v>
          </cell>
        </row>
        <row r="549">
          <cell r="A549" t="str">
            <v>Borrowings from line of credit</v>
          </cell>
        </row>
        <row r="550">
          <cell r="A550" t="str">
            <v>Repayments under the line of credit</v>
          </cell>
        </row>
        <row r="551">
          <cell r="A551" t="str">
            <v>Issuance of convertible senior notes</v>
          </cell>
        </row>
        <row r="552">
          <cell r="A552" t="str">
            <v>Purchases of capped calls in connection with convertible senior notes</v>
          </cell>
        </row>
        <row r="553">
          <cell r="A553" t="str">
            <v>Dividends Paid</v>
          </cell>
        </row>
        <row r="554">
          <cell r="A554" t="str">
            <v>Net CFF</v>
          </cell>
          <cell r="B554"/>
          <cell r="C554">
            <v>-4.504999999999999</v>
          </cell>
          <cell r="D554">
            <v>-3.7930000000000015</v>
          </cell>
          <cell r="E554">
            <v>-1.9299999999999988</v>
          </cell>
          <cell r="F554">
            <v>2.016</v>
          </cell>
          <cell r="G554">
            <v>3.7000000000000144E-2</v>
          </cell>
          <cell r="H554">
            <v>-14.277999999999999</v>
          </cell>
          <cell r="I554">
            <v>-26.058999999999997</v>
          </cell>
          <cell r="J554">
            <v>-23.102000000000004</v>
          </cell>
          <cell r="K554">
            <v>-33.295000000000002</v>
          </cell>
          <cell r="L554">
            <v>-5.944</v>
          </cell>
          <cell r="M554">
            <v>-5.8229999999999977</v>
          </cell>
          <cell r="N554">
            <v>-5.3300000000000018</v>
          </cell>
          <cell r="O554">
            <v>-6.8489999999999993</v>
          </cell>
          <cell r="P554">
            <v>-4.8409999999999993</v>
          </cell>
          <cell r="Q554">
            <v>-4.7740000000000018</v>
          </cell>
          <cell r="R554">
            <v>-4.3120000000000003</v>
          </cell>
          <cell r="S554">
            <v>-4.9349999999999996</v>
          </cell>
          <cell r="T554">
            <v>-4.1439999999999992</v>
          </cell>
          <cell r="U554">
            <v>-5.2679999999999998</v>
          </cell>
          <cell r="V554">
            <v>-0.29699999999999926</v>
          </cell>
          <cell r="W554">
            <v>-7.7780000000000005</v>
          </cell>
          <cell r="X554">
            <v>-4.9079999999999995</v>
          </cell>
          <cell r="Y554">
            <v>-7.2060000000000013</v>
          </cell>
          <cell r="Z554">
            <v>-31.009</v>
          </cell>
          <cell r="AA554">
            <v>-9.58</v>
          </cell>
          <cell r="AB554">
            <v>-4.2149999999999999</v>
          </cell>
          <cell r="AC554">
            <v>-8.6030000000000015</v>
          </cell>
          <cell r="AD554">
            <v>-6.5909999999999993</v>
          </cell>
          <cell r="AE554">
            <v>-12.116</v>
          </cell>
          <cell r="AF554">
            <v>-7.677999999999999</v>
          </cell>
          <cell r="AG554">
            <v>91.734999999999999</v>
          </cell>
          <cell r="AH554">
            <v>-6.3129999999999997</v>
          </cell>
          <cell r="AI554">
            <v>226.70600000000002</v>
          </cell>
          <cell r="AJ554">
            <v>-6.594999999999974</v>
          </cell>
          <cell r="AK554">
            <v>-7.9910000000000005</v>
          </cell>
          <cell r="AL554">
            <v>-7.5439999999999996</v>
          </cell>
          <cell r="AM554">
            <v>-12.817</v>
          </cell>
          <cell r="AN554">
            <v>-44.943000000000005</v>
          </cell>
          <cell r="AO554">
            <v>-11.088999999999999</v>
          </cell>
          <cell r="AP554">
            <v>-24.460999999999999</v>
          </cell>
          <cell r="AQ554">
            <v>-25.232999999999997</v>
          </cell>
          <cell r="AR554">
            <v>-12.052999999999999</v>
          </cell>
          <cell r="AS554">
            <v>-13.892000000000001</v>
          </cell>
          <cell r="AT554">
            <v>-12.323000000000004</v>
          </cell>
          <cell r="AU554">
            <v>-13.811</v>
          </cell>
          <cell r="AV554">
            <v>-11.840999999999999</v>
          </cell>
          <cell r="AW554">
            <v>-14.157000000000004</v>
          </cell>
          <cell r="AX554">
            <v>-9.3099999999999916</v>
          </cell>
          <cell r="AY554">
            <v>0</v>
          </cell>
          <cell r="AZ554">
            <v>0</v>
          </cell>
          <cell r="BA554">
            <v>0</v>
          </cell>
          <cell r="BB554">
            <v>0</v>
          </cell>
          <cell r="BC554">
            <v>0</v>
          </cell>
          <cell r="BD554">
            <v>0</v>
          </cell>
          <cell r="BE554">
            <v>0</v>
          </cell>
          <cell r="BF554">
            <v>0</v>
          </cell>
          <cell r="BG554"/>
          <cell r="BH554">
            <v>15.02</v>
          </cell>
          <cell r="BI554">
            <v>1.8710000000000002</v>
          </cell>
          <cell r="BJ554">
            <v>127.13800000000001</v>
          </cell>
          <cell r="BK554">
            <v>-19.767000000000003</v>
          </cell>
          <cell r="BL554">
            <v>-8.2119999999999997</v>
          </cell>
          <cell r="BM554">
            <v>-63.402000000000008</v>
          </cell>
          <cell r="BN554">
            <v>-50.392000000000003</v>
          </cell>
          <cell r="BO554">
            <v>-20.776000000000003</v>
          </cell>
          <cell r="BP554">
            <v>-14.643999999999998</v>
          </cell>
          <cell r="BQ554">
            <v>-50.901000000000003</v>
          </cell>
          <cell r="BR554">
            <v>-28.988999999999997</v>
          </cell>
          <cell r="BS554">
            <v>65.628</v>
          </cell>
          <cell r="BT554">
            <v>204.57600000000002</v>
          </cell>
          <cell r="BU554">
            <v>-93.31</v>
          </cell>
          <cell r="BV554">
            <v>-63.501000000000005</v>
          </cell>
          <cell r="BW554">
            <v>-49.119</v>
          </cell>
          <cell r="BX554">
            <v>0</v>
          </cell>
          <cell r="BY554">
            <v>0</v>
          </cell>
          <cell r="BZ554">
            <v>0</v>
          </cell>
          <cell r="CA554">
            <v>0</v>
          </cell>
          <cell r="CB554">
            <v>0</v>
          </cell>
          <cell r="CC554"/>
        </row>
        <row r="555">
          <cell r="A555"/>
        </row>
        <row r="556">
          <cell r="A556" t="str">
            <v>FX</v>
          </cell>
        </row>
        <row r="557">
          <cell r="A557" t="str">
            <v>Net Change in Cash Balance</v>
          </cell>
          <cell r="B557"/>
          <cell r="C557">
            <v>-36.713999999999999</v>
          </cell>
          <cell r="D557">
            <v>35.254000000000005</v>
          </cell>
          <cell r="E557">
            <v>13.775999999999996</v>
          </cell>
          <cell r="F557">
            <v>24.511999999999997</v>
          </cell>
          <cell r="G557">
            <v>-18.006000000000025</v>
          </cell>
          <cell r="H557">
            <v>-0.5849999999999943</v>
          </cell>
          <cell r="I557">
            <v>22.442999999999994</v>
          </cell>
          <cell r="J557">
            <v>10.776999999999992</v>
          </cell>
          <cell r="K557">
            <v>-86.913000000000011</v>
          </cell>
          <cell r="L557">
            <v>15.038000000000013</v>
          </cell>
          <cell r="M557">
            <v>18.616000000000007</v>
          </cell>
          <cell r="N557">
            <v>53.00200000000001</v>
          </cell>
          <cell r="O557">
            <v>-44.987999999999992</v>
          </cell>
          <cell r="P557">
            <v>20.413</v>
          </cell>
          <cell r="Q557">
            <v>28.230999999999995</v>
          </cell>
          <cell r="R557">
            <v>14.480999999999986</v>
          </cell>
          <cell r="S557">
            <v>-78.900999999999996</v>
          </cell>
          <cell r="T557">
            <v>47.057999999999986</v>
          </cell>
          <cell r="U557">
            <v>12.561999999999998</v>
          </cell>
          <cell r="V557">
            <v>36.155999999999985</v>
          </cell>
          <cell r="W557">
            <v>-83.52200000000002</v>
          </cell>
          <cell r="X557">
            <v>42.16</v>
          </cell>
          <cell r="Y557">
            <v>38.404999999999994</v>
          </cell>
          <cell r="Z557">
            <v>5.2060000000000031</v>
          </cell>
          <cell r="AA557">
            <v>-88.063999999999993</v>
          </cell>
          <cell r="AB557">
            <v>60.225999999999999</v>
          </cell>
          <cell r="AC557">
            <v>30.75</v>
          </cell>
          <cell r="AD557">
            <v>48.595999999999997</v>
          </cell>
          <cell r="AE557">
            <v>-117.17699999999999</v>
          </cell>
          <cell r="AF557">
            <v>45.69700000000001</v>
          </cell>
          <cell r="AG557">
            <v>-61.606999999999999</v>
          </cell>
          <cell r="AH557">
            <v>61.765000000000001</v>
          </cell>
          <cell r="AI557">
            <v>96.485000000000028</v>
          </cell>
          <cell r="AJ557">
            <v>-50.60599999999998</v>
          </cell>
          <cell r="AK557">
            <v>70.855000000000018</v>
          </cell>
          <cell r="AL557">
            <v>56.549000000000007</v>
          </cell>
          <cell r="AM557">
            <v>-167.55799999999999</v>
          </cell>
          <cell r="AN557">
            <v>38.467000000000013</v>
          </cell>
          <cell r="AO557">
            <v>51.072999999999986</v>
          </cell>
          <cell r="AP557">
            <v>80.833999999999989</v>
          </cell>
          <cell r="AQ557">
            <v>-194.87399999999997</v>
          </cell>
          <cell r="AR557">
            <v>123.75500000000002</v>
          </cell>
          <cell r="AS557">
            <v>55.399000000000001</v>
          </cell>
          <cell r="AT557">
            <v>37.129000000000019</v>
          </cell>
          <cell r="AU557">
            <v>-156.18100000000004</v>
          </cell>
          <cell r="AV557">
            <v>99.761000000000024</v>
          </cell>
          <cell r="AW557">
            <v>22.189999999999991</v>
          </cell>
          <cell r="AX557">
            <v>124.03700000000003</v>
          </cell>
          <cell r="AY557">
            <v>-111.94212918640716</v>
          </cell>
          <cell r="AZ557">
            <v>166.75308470770042</v>
          </cell>
          <cell r="BA557">
            <v>63.507254317960303</v>
          </cell>
          <cell r="BB557">
            <v>143.86787708983135</v>
          </cell>
          <cell r="BC557">
            <v>-119.79465566924287</v>
          </cell>
          <cell r="BD557">
            <v>172.70813286157144</v>
          </cell>
          <cell r="BE557">
            <v>70.668798361729472</v>
          </cell>
          <cell r="BF557">
            <v>152.92815749400643</v>
          </cell>
          <cell r="BG557"/>
          <cell r="BH557">
            <v>-22.220999999999997</v>
          </cell>
          <cell r="BI557">
            <v>32.29</v>
          </cell>
          <cell r="BJ557">
            <v>111.348</v>
          </cell>
          <cell r="BK557">
            <v>-48.447000000000024</v>
          </cell>
          <cell r="BL557">
            <v>36.827999999999975</v>
          </cell>
          <cell r="BM557">
            <v>14.628999999999987</v>
          </cell>
          <cell r="BN557">
            <v>-0.25699999999998324</v>
          </cell>
          <cell r="BO557">
            <v>18.136999999999972</v>
          </cell>
          <cell r="BP557">
            <v>16.874999999999982</v>
          </cell>
          <cell r="BQ557">
            <v>2.248999999999981</v>
          </cell>
          <cell r="BR557">
            <v>51.507999999999996</v>
          </cell>
          <cell r="BS557">
            <v>-71.322000000000031</v>
          </cell>
          <cell r="BT557">
            <v>173.28300000000002</v>
          </cell>
          <cell r="BU557">
            <v>2.8159999999999741</v>
          </cell>
          <cell r="BV557">
            <v>21.409000000000049</v>
          </cell>
          <cell r="BW557">
            <v>89.806999999999931</v>
          </cell>
          <cell r="BX557">
            <v>262.18608692908487</v>
          </cell>
          <cell r="BY557">
            <v>276.5104330480645</v>
          </cell>
          <cell r="BZ557">
            <v>278.99980823826127</v>
          </cell>
          <cell r="CA557">
            <v>319.82563594290383</v>
          </cell>
          <cell r="CB557">
            <v>363.43093615113713</v>
          </cell>
          <cell r="CC557"/>
        </row>
        <row r="558">
          <cell r="A558"/>
        </row>
        <row r="559">
          <cell r="A559" t="str">
            <v>Beginning Cash Balance</v>
          </cell>
        </row>
        <row r="560">
          <cell r="A560" t="str">
            <v>Ending Cash Balance</v>
          </cell>
        </row>
        <row r="561">
          <cell r="A561"/>
        </row>
        <row r="562">
          <cell r="A562" t="str">
            <v>Cash paid for interest</v>
          </cell>
        </row>
        <row r="563">
          <cell r="A563" t="str">
            <v>Cash paid for taxes</v>
          </cell>
        </row>
        <row r="564">
          <cell r="A564"/>
        </row>
        <row r="565">
          <cell r="A565" t="str">
            <v>CF Check</v>
          </cell>
        </row>
        <row r="566">
          <cell r="A566"/>
        </row>
        <row r="567">
          <cell r="A567" t="str">
            <v>Working Capital Forecasting</v>
          </cell>
        </row>
        <row r="568">
          <cell r="A568" t="str">
            <v>Accounts receivable, % of LTM Sales</v>
          </cell>
        </row>
        <row r="569">
          <cell r="A569" t="str">
            <v>Inventories, net, % of LTM Sales</v>
          </cell>
        </row>
        <row r="570">
          <cell r="A570" t="str">
            <v>Accounts payable, % of LTM Sales</v>
          </cell>
        </row>
        <row r="571">
          <cell r="A571" t="str">
            <v>Accrued liabilities, % of LTM Sales</v>
          </cell>
        </row>
        <row r="572">
          <cell r="A572" t="str">
            <v>Accrued compensation and benefits, % of LTM Sales</v>
          </cell>
        </row>
        <row r="573">
          <cell r="A573" t="str">
            <v>Deferred revenue, % of LTM Sales</v>
          </cell>
        </row>
        <row r="574">
          <cell r="A574"/>
        </row>
        <row r="575">
          <cell r="A575" t="str">
            <v>Accounts receivable, Y/Y Change, %</v>
          </cell>
        </row>
        <row r="576">
          <cell r="A576" t="str">
            <v>Inventories, net, Y/Y Change, %</v>
          </cell>
        </row>
        <row r="577">
          <cell r="A577" t="str">
            <v>Accounts payable, Y/Y Change, %</v>
          </cell>
        </row>
        <row r="578">
          <cell r="A578" t="str">
            <v>Accrued liabilities, Y/Y Change, %</v>
          </cell>
        </row>
        <row r="579">
          <cell r="A579" t="str">
            <v>Accrued compensation and benefits, Y/Y Change, %</v>
          </cell>
        </row>
        <row r="580">
          <cell r="A580" t="str">
            <v>Deferred revenue, Y/Y Change, %</v>
          </cell>
        </row>
        <row r="581">
          <cell r="A581"/>
        </row>
        <row r="582">
          <cell r="A582" t="str">
            <v>D&amp;A Forecasting</v>
          </cell>
        </row>
        <row r="583">
          <cell r="A583" t="str">
            <v>PP&amp;E BoP, mm</v>
          </cell>
        </row>
        <row r="584">
          <cell r="A584" t="str">
            <v>Depreciation of fixed assets, mm</v>
          </cell>
        </row>
        <row r="585">
          <cell r="A585" t="str">
            <v>Capex of PP&amp;E, mm</v>
          </cell>
        </row>
        <row r="586">
          <cell r="A586" t="str">
            <v>Other net additions to PP&amp;E, mm</v>
          </cell>
        </row>
        <row r="587">
          <cell r="A587" t="str">
            <v>PP&amp;E EoP, mm</v>
          </cell>
        </row>
        <row r="588">
          <cell r="A588"/>
        </row>
        <row r="589">
          <cell r="A589" t="str">
            <v>Intangibles BoP, mm</v>
          </cell>
        </row>
        <row r="590">
          <cell r="A590" t="str">
            <v>Amortization of intangibles, mm</v>
          </cell>
        </row>
        <row r="591">
          <cell r="A591" t="str">
            <v>Capex of intangibles, mm</v>
          </cell>
        </row>
        <row r="592">
          <cell r="A592" t="str">
            <v>Other net additions to intangibles, mm</v>
          </cell>
        </row>
        <row r="593">
          <cell r="A593" t="str">
            <v>Intangibles EoP, mm</v>
          </cell>
        </row>
        <row r="594">
          <cell r="A594"/>
        </row>
        <row r="595">
          <cell r="A595" t="str">
            <v>Depreciation as percentage of PP&amp;E BoP, %</v>
          </cell>
        </row>
        <row r="596">
          <cell r="A596" t="str">
            <v>Amortization as percentage of Intangibles BoP, %</v>
          </cell>
        </row>
        <row r="597">
          <cell r="A597" t="str">
            <v>Implied life of fixed assets, yr</v>
          </cell>
        </row>
        <row r="598">
          <cell r="A598" t="str">
            <v>Implied life of intangibles, yr</v>
          </cell>
        </row>
        <row r="599">
          <cell r="A599"/>
        </row>
        <row r="600">
          <cell r="A600" t="str">
            <v>Total D&amp;A, mm</v>
          </cell>
        </row>
        <row r="601">
          <cell r="A601" t="str">
            <v>Total Capex, mm</v>
          </cell>
        </row>
        <row r="602">
          <cell r="A602" t="str">
            <v>Percentage of capex allocated to intangible assets, %</v>
          </cell>
        </row>
        <row r="603">
          <cell r="A603"/>
        </row>
        <row r="604">
          <cell r="A604" t="str">
            <v>Balance Sheet</v>
          </cell>
        </row>
        <row r="605">
          <cell r="A605" t="str">
            <v>Current Assets</v>
          </cell>
        </row>
        <row r="606">
          <cell r="A606" t="str">
            <v>Cash and cash equivalents</v>
          </cell>
        </row>
        <row r="607">
          <cell r="A607" t="str">
            <v>Accounts receivable</v>
          </cell>
        </row>
        <row r="608">
          <cell r="A608" t="str">
            <v>Inventories, net</v>
          </cell>
        </row>
        <row r="609">
          <cell r="A609" t="str">
            <v>Deferred tax asset</v>
          </cell>
        </row>
        <row r="610">
          <cell r="A610" t="str">
            <v>Prepaid expenses</v>
          </cell>
        </row>
        <row r="611">
          <cell r="A611" t="str">
            <v>Marketable securities, current portion</v>
          </cell>
        </row>
        <row r="612">
          <cell r="A612" t="str">
            <v>Other current assets</v>
          </cell>
        </row>
        <row r="613">
          <cell r="A613" t="str">
            <v>Other current assets, including marketable securities</v>
          </cell>
        </row>
        <row r="614">
          <cell r="A614" t="str">
            <v>Restricted cash</v>
          </cell>
        </row>
        <row r="615">
          <cell r="A615" t="str">
            <v>Total Current Assets</v>
          </cell>
        </row>
        <row r="616">
          <cell r="A616"/>
        </row>
        <row r="617">
          <cell r="A617" t="str">
            <v>Non-Current Assets</v>
          </cell>
        </row>
        <row r="618">
          <cell r="A618" t="str">
            <v>Operating lease right-of-use assets, net</v>
          </cell>
        </row>
        <row r="619">
          <cell r="A619" t="str">
            <v>Property and equipment, net</v>
          </cell>
        </row>
        <row r="620">
          <cell r="A620" t="str">
            <v>Capitalized software, net</v>
          </cell>
        </row>
        <row r="621">
          <cell r="A621" t="str">
            <v>Capitalized curriculum development costs, net</v>
          </cell>
        </row>
        <row r="622">
          <cell r="A622" t="str">
            <v>Intangible assets, net</v>
          </cell>
        </row>
        <row r="623">
          <cell r="A623" t="str">
            <v>Total Intangible Assets</v>
          </cell>
        </row>
        <row r="624">
          <cell r="A624" t="str">
            <v>Goodwill</v>
          </cell>
        </row>
        <row r="625">
          <cell r="A625" t="str">
            <v>Marketable securities, non-current portion</v>
          </cell>
        </row>
        <row r="626">
          <cell r="A626" t="str">
            <v>Deposits and other current assets</v>
          </cell>
        </row>
        <row r="627">
          <cell r="A627" t="str">
            <v>Deposits and other assets including marketable securities</v>
          </cell>
        </row>
        <row r="628">
          <cell r="A628" t="str">
            <v>Restricted cash</v>
          </cell>
        </row>
        <row r="629">
          <cell r="A629" t="str">
            <v>Deferred tax asset, net of current portion</v>
          </cell>
        </row>
        <row r="630">
          <cell r="A630" t="str">
            <v>Investment in subsidiary</v>
          </cell>
        </row>
        <row r="631">
          <cell r="A631" t="str">
            <v>Total Non-Current Assets</v>
          </cell>
        </row>
        <row r="632">
          <cell r="A632" t="str">
            <v>Total Assets</v>
          </cell>
          <cell r="B632"/>
          <cell r="C632">
            <v>719.49799999999993</v>
          </cell>
          <cell r="D632">
            <v>718.70900000000006</v>
          </cell>
          <cell r="E632">
            <v>739.91799999999989</v>
          </cell>
          <cell r="F632">
            <v>718.89599999999996</v>
          </cell>
          <cell r="G632">
            <v>798.29700000000003</v>
          </cell>
          <cell r="H632">
            <v>748.88700000000006</v>
          </cell>
          <cell r="I632">
            <v>737.255</v>
          </cell>
          <cell r="J632">
            <v>711.66699999999992</v>
          </cell>
          <cell r="K632">
            <v>731.21699999999998</v>
          </cell>
          <cell r="L632">
            <v>715.28199999999993</v>
          </cell>
          <cell r="M632">
            <v>743.70299999999997</v>
          </cell>
          <cell r="N632">
            <v>708.59900000000005</v>
          </cell>
          <cell r="O632">
            <v>737.41100000000006</v>
          </cell>
          <cell r="P632">
            <v>714.99099999999999</v>
          </cell>
          <cell r="Q632">
            <v>733.90599999999995</v>
          </cell>
          <cell r="R632">
            <v>734.05499999999995</v>
          </cell>
          <cell r="S632">
            <v>760.96499999999992</v>
          </cell>
          <cell r="T632">
            <v>737.48800000000006</v>
          </cell>
          <cell r="U632">
            <v>745.41599999999994</v>
          </cell>
          <cell r="V632">
            <v>735.28399999999999</v>
          </cell>
          <cell r="W632">
            <v>762.43900000000008</v>
          </cell>
          <cell r="X632">
            <v>748.65599999999995</v>
          </cell>
          <cell r="Y632">
            <v>761.12400000000002</v>
          </cell>
          <cell r="Z632">
            <v>741.96299999999997</v>
          </cell>
          <cell r="AA632">
            <v>784.80200000000002</v>
          </cell>
          <cell r="AB632">
            <v>783.70299999999997</v>
          </cell>
          <cell r="AC632">
            <v>809.01</v>
          </cell>
          <cell r="AD632">
            <v>819.60599999999999</v>
          </cell>
          <cell r="AE632">
            <v>813.49700000000007</v>
          </cell>
          <cell r="AF632">
            <v>826.95</v>
          </cell>
          <cell r="AG632">
            <v>1036.0050000000001</v>
          </cell>
          <cell r="AH632">
            <v>1073.2629999999999</v>
          </cell>
          <cell r="AI632">
            <v>1404.4760000000001</v>
          </cell>
          <cell r="AJ632">
            <v>1471.9540000000002</v>
          </cell>
          <cell r="AK632">
            <v>1534.1679999999999</v>
          </cell>
          <cell r="AL632">
            <v>1577.297</v>
          </cell>
          <cell r="AM632">
            <v>1570.3650000000002</v>
          </cell>
          <cell r="AN632">
            <v>1525.7449999999999</v>
          </cell>
          <cell r="AO632">
            <v>1574.5320000000002</v>
          </cell>
          <cell r="AP632">
            <v>1643.5450000000001</v>
          </cell>
          <cell r="AQ632">
            <v>1622.098</v>
          </cell>
          <cell r="AR632">
            <v>1619.2909999999997</v>
          </cell>
          <cell r="AS632">
            <v>1699.848</v>
          </cell>
          <cell r="AT632">
            <v>1760.6660000000002</v>
          </cell>
          <cell r="AU632">
            <v>1767.645</v>
          </cell>
          <cell r="AV632">
            <v>1782.1959999999999</v>
          </cell>
          <cell r="AW632">
            <v>1892.213</v>
          </cell>
          <cell r="AX632">
            <v>1920.4649999999999</v>
          </cell>
          <cell r="AY632">
            <v>2008.8549997677142</v>
          </cell>
          <cell r="AZ632">
            <v>2033.5475827355201</v>
          </cell>
          <cell r="BA632">
            <v>2167.6271079814805</v>
          </cell>
          <cell r="BB632">
            <v>2208.2812051171504</v>
          </cell>
          <cell r="BC632">
            <v>2309.0763685344855</v>
          </cell>
          <cell r="BD632">
            <v>2326.814473148178</v>
          </cell>
          <cell r="BE632">
            <v>2472.5634057631578</v>
          </cell>
          <cell r="BF632">
            <v>2513.0770248485219</v>
          </cell>
          <cell r="BG632"/>
          <cell r="BH632">
            <v>240.67599999999999</v>
          </cell>
          <cell r="BI632">
            <v>307.88200000000001</v>
          </cell>
          <cell r="BJ632">
            <v>582.09499999999991</v>
          </cell>
          <cell r="BK632">
            <v>648.83499999999992</v>
          </cell>
          <cell r="BL632">
            <v>718.89599999999996</v>
          </cell>
          <cell r="BM632">
            <v>711.66699999999992</v>
          </cell>
          <cell r="BN632">
            <v>708.59900000000005</v>
          </cell>
          <cell r="BO632">
            <v>734.05499999999995</v>
          </cell>
          <cell r="BP632">
            <v>735.28399999999999</v>
          </cell>
          <cell r="BQ632">
            <v>741.96299999999997</v>
          </cell>
          <cell r="BR632">
            <v>819.60599999999999</v>
          </cell>
          <cell r="BS632">
            <v>1073.2629999999999</v>
          </cell>
          <cell r="BT632">
            <v>1577.297</v>
          </cell>
          <cell r="BU632">
            <v>1643.5450000000001</v>
          </cell>
          <cell r="BV632">
            <v>1760.6660000000002</v>
          </cell>
          <cell r="BW632">
            <v>1920.4649999999999</v>
          </cell>
          <cell r="BX632">
            <v>2208.2812051171504</v>
          </cell>
          <cell r="BY632">
            <v>2513.0770248485219</v>
          </cell>
          <cell r="BZ632">
            <v>2852.3051396417891</v>
          </cell>
          <cell r="CA632">
            <v>3252.2289099547329</v>
          </cell>
          <cell r="CB632">
            <v>3689.8290398320851</v>
          </cell>
          <cell r="CC632"/>
        </row>
        <row r="633">
          <cell r="A633"/>
        </row>
        <row r="634">
          <cell r="A634" t="str">
            <v>Current Liabilities</v>
          </cell>
        </row>
        <row r="635">
          <cell r="A635" t="str">
            <v>Current portion of finance lease obligations</v>
          </cell>
        </row>
        <row r="636">
          <cell r="A636" t="str">
            <v>Current portion of operating lease liability</v>
          </cell>
        </row>
        <row r="637">
          <cell r="A637" t="str">
            <v>Current portion of note payable</v>
          </cell>
        </row>
        <row r="638">
          <cell r="A638" t="str">
            <v>Credit facility</v>
          </cell>
        </row>
        <row r="639">
          <cell r="A639" t="str">
            <v>Accounts payable</v>
          </cell>
        </row>
        <row r="640">
          <cell r="A640" t="str">
            <v>Accrued liabilities</v>
          </cell>
        </row>
        <row r="641">
          <cell r="A641" t="str">
            <v>Accrued compensation and benefits</v>
          </cell>
        </row>
        <row r="642">
          <cell r="A642" t="str">
            <v>Deferred revenue</v>
          </cell>
        </row>
        <row r="643">
          <cell r="A643" t="str">
            <v>Total Current Liabilities</v>
          </cell>
          <cell r="B643"/>
          <cell r="C643">
            <v>152.42499999999998</v>
          </cell>
          <cell r="D643">
            <v>135.821</v>
          </cell>
          <cell r="E643">
            <v>136.547</v>
          </cell>
          <cell r="F643">
            <v>109.18700000000001</v>
          </cell>
          <cell r="G643">
            <v>174.59500000000003</v>
          </cell>
          <cell r="H643">
            <v>135.04000000000002</v>
          </cell>
          <cell r="I643">
            <v>132.38200000000001</v>
          </cell>
          <cell r="J643">
            <v>113.76000000000002</v>
          </cell>
          <cell r="K643">
            <v>157.27699999999999</v>
          </cell>
          <cell r="L643">
            <v>127.75700000000001</v>
          </cell>
          <cell r="M643">
            <v>135.732</v>
          </cell>
          <cell r="N643">
            <v>110.65699999999998</v>
          </cell>
          <cell r="O643">
            <v>149.65100000000001</v>
          </cell>
          <cell r="P643">
            <v>116.40600000000001</v>
          </cell>
          <cell r="Q643">
            <v>121.203</v>
          </cell>
          <cell r="R643">
            <v>123.012</v>
          </cell>
          <cell r="S643">
            <v>147.75800000000001</v>
          </cell>
          <cell r="T643">
            <v>125.37299999999999</v>
          </cell>
          <cell r="U643">
            <v>123.10899999999999</v>
          </cell>
          <cell r="V643">
            <v>117.751</v>
          </cell>
          <cell r="W643">
            <v>139.69</v>
          </cell>
          <cell r="X643">
            <v>117.66900000000001</v>
          </cell>
          <cell r="Y643">
            <v>123.107</v>
          </cell>
          <cell r="Z643">
            <v>116.22399999999999</v>
          </cell>
          <cell r="AA643">
            <v>158.32400000000001</v>
          </cell>
          <cell r="AB643">
            <v>140.86599999999999</v>
          </cell>
          <cell r="AC643">
            <v>148.78899999999999</v>
          </cell>
          <cell r="AD643">
            <v>155.58699999999999</v>
          </cell>
          <cell r="AE643">
            <v>139.702</v>
          </cell>
          <cell r="AF643">
            <v>133.66999999999999</v>
          </cell>
          <cell r="AG643">
            <v>257.61899999999997</v>
          </cell>
          <cell r="AH643">
            <v>273.416</v>
          </cell>
          <cell r="AI643">
            <v>235.99399999999997</v>
          </cell>
          <cell r="AJ643">
            <v>228.61099999999999</v>
          </cell>
          <cell r="AK643">
            <v>254.80199999999996</v>
          </cell>
          <cell r="AL643">
            <v>306.24400000000003</v>
          </cell>
          <cell r="AM643">
            <v>284.63400000000001</v>
          </cell>
          <cell r="AN643">
            <v>238.19799999999998</v>
          </cell>
          <cell r="AO643">
            <v>250.179</v>
          </cell>
          <cell r="AP643">
            <v>302.07299999999998</v>
          </cell>
          <cell r="AQ643">
            <v>289.245</v>
          </cell>
          <cell r="AR643">
            <v>249.25800000000001</v>
          </cell>
          <cell r="AS643">
            <v>284.24700000000001</v>
          </cell>
          <cell r="AT643">
            <v>309.13499999999999</v>
          </cell>
          <cell r="AU643">
            <v>299.13600000000002</v>
          </cell>
          <cell r="AV643">
            <v>240.90199999999999</v>
          </cell>
          <cell r="AW643">
            <v>281.96100000000001</v>
          </cell>
          <cell r="AX643">
            <v>244.28</v>
          </cell>
          <cell r="AY643">
            <v>316.94077024233138</v>
          </cell>
          <cell r="AZ643">
            <v>256.83472843675679</v>
          </cell>
          <cell r="BA643">
            <v>303.94012219408893</v>
          </cell>
          <cell r="BB643">
            <v>264.38723426204587</v>
          </cell>
          <cell r="BC643">
            <v>342.19430936663014</v>
          </cell>
          <cell r="BD643">
            <v>274.932681054569</v>
          </cell>
          <cell r="BE643">
            <v>324.03485732861185</v>
          </cell>
          <cell r="BF643">
            <v>279.80501594010832</v>
          </cell>
          <cell r="BG643"/>
          <cell r="BH643">
            <v>41.149000000000008</v>
          </cell>
          <cell r="BI643">
            <v>53.934000000000012</v>
          </cell>
          <cell r="BJ643">
            <v>83.652000000000001</v>
          </cell>
          <cell r="BK643">
            <v>97.613</v>
          </cell>
          <cell r="BL643">
            <v>109.18700000000001</v>
          </cell>
          <cell r="BM643">
            <v>113.76000000000002</v>
          </cell>
          <cell r="BN643">
            <v>110.65699999999998</v>
          </cell>
          <cell r="BO643">
            <v>123.012</v>
          </cell>
          <cell r="BP643">
            <v>117.751</v>
          </cell>
          <cell r="BQ643">
            <v>116.22399999999999</v>
          </cell>
          <cell r="BR643">
            <v>155.58699999999999</v>
          </cell>
          <cell r="BS643">
            <v>273.416</v>
          </cell>
          <cell r="BT643">
            <v>306.24400000000003</v>
          </cell>
          <cell r="BU643">
            <v>302.07299999999998</v>
          </cell>
          <cell r="BV643">
            <v>309.13499999999999</v>
          </cell>
          <cell r="BW643">
            <v>244.28</v>
          </cell>
          <cell r="BX643">
            <v>264.38723426204587</v>
          </cell>
          <cell r="BY643">
            <v>279.80501594010832</v>
          </cell>
          <cell r="BZ643">
            <v>306.12750974449204</v>
          </cell>
          <cell r="CA643">
            <v>338.51259785399782</v>
          </cell>
          <cell r="CB643">
            <v>368.13660307109546</v>
          </cell>
          <cell r="CC643"/>
        </row>
        <row r="644">
          <cell r="A644"/>
        </row>
        <row r="645">
          <cell r="A645" t="str">
            <v>Non-Current Liabilities</v>
          </cell>
        </row>
        <row r="646">
          <cell r="A646" t="str">
            <v>Finance lease obligations, net of current portion</v>
          </cell>
        </row>
        <row r="647">
          <cell r="A647" t="str">
            <v>Long-term operating lease liability</v>
          </cell>
        </row>
        <row r="648">
          <cell r="A648" t="str">
            <v>Long-term debt</v>
          </cell>
        </row>
        <row r="649">
          <cell r="A649" t="str">
            <v>Deferred rent, net of current portion</v>
          </cell>
        </row>
        <row r="650">
          <cell r="A650" t="str">
            <v>Deferred tax liability</v>
          </cell>
        </row>
        <row r="651">
          <cell r="A651" t="str">
            <v>Other long-term liabilities</v>
          </cell>
        </row>
        <row r="652">
          <cell r="A652" t="str">
            <v>Note payable, net of current portion</v>
          </cell>
        </row>
        <row r="653">
          <cell r="A653" t="str">
            <v>Redeemable noncontrolling interest</v>
          </cell>
        </row>
        <row r="654">
          <cell r="A654" t="str">
            <v>Total Non-Current liabilities</v>
          </cell>
        </row>
        <row r="655">
          <cell r="A655" t="str">
            <v>Total Liabilities</v>
          </cell>
        </row>
        <row r="656">
          <cell r="A656"/>
        </row>
        <row r="657">
          <cell r="A657" t="str">
            <v>Shareholders' Equity</v>
          </cell>
        </row>
        <row r="658">
          <cell r="A658" t="str">
            <v>Common Stock</v>
          </cell>
        </row>
        <row r="659">
          <cell r="A659" t="str">
            <v>Additional paid-in capital</v>
          </cell>
        </row>
        <row r="660">
          <cell r="A660" t="str">
            <v>Accumulated other comprehensive income (loss)</v>
          </cell>
        </row>
        <row r="661">
          <cell r="A661" t="str">
            <v>Retained earnings (accumulated deficit)</v>
          </cell>
        </row>
        <row r="662">
          <cell r="A662" t="str">
            <v>Treasury Stock</v>
          </cell>
        </row>
        <row r="663">
          <cell r="A663" t="str">
            <v>Series A special stock</v>
          </cell>
        </row>
        <row r="664">
          <cell r="A664" t="str">
            <v>Total SE</v>
          </cell>
          <cell r="B664"/>
          <cell r="C664">
            <v>481.17900000000003</v>
          </cell>
          <cell r="D664">
            <v>495.34700000000004</v>
          </cell>
          <cell r="E664">
            <v>513.76300000000003</v>
          </cell>
          <cell r="F664">
            <v>530.16200000000003</v>
          </cell>
          <cell r="G664">
            <v>534.97900000000004</v>
          </cell>
          <cell r="H664">
            <v>530.68600000000004</v>
          </cell>
          <cell r="I664">
            <v>530.053</v>
          </cell>
          <cell r="J664">
            <v>528.92999999999995</v>
          </cell>
          <cell r="K664">
            <v>498.178</v>
          </cell>
          <cell r="L664">
            <v>513.78600000000006</v>
          </cell>
          <cell r="M664">
            <v>534.4190000000001</v>
          </cell>
          <cell r="N664">
            <v>536.93799999999999</v>
          </cell>
          <cell r="O664">
            <v>524.04000000000008</v>
          </cell>
          <cell r="P664">
            <v>535.303</v>
          </cell>
          <cell r="Q664">
            <v>552.15500000000009</v>
          </cell>
          <cell r="R664">
            <v>558.72</v>
          </cell>
          <cell r="S664">
            <v>543.74400000000003</v>
          </cell>
          <cell r="T664">
            <v>559.64700000000005</v>
          </cell>
          <cell r="U664">
            <v>571.98099999999988</v>
          </cell>
          <cell r="V664">
            <v>574.34600000000012</v>
          </cell>
          <cell r="W664">
            <v>566.87199999999996</v>
          </cell>
          <cell r="X664">
            <v>585.84199999999998</v>
          </cell>
          <cell r="Y664">
            <v>599.4319999999999</v>
          </cell>
          <cell r="Z664">
            <v>587.18900000000008</v>
          </cell>
          <cell r="AA664">
            <v>575.69600000000014</v>
          </cell>
          <cell r="AB664">
            <v>603.95600000000013</v>
          </cell>
          <cell r="AC664">
            <v>624.74</v>
          </cell>
          <cell r="AD664">
            <v>633.36500000000012</v>
          </cell>
          <cell r="AE664">
            <v>624.7120000000001</v>
          </cell>
          <cell r="AF664">
            <v>651.09600000000012</v>
          </cell>
          <cell r="AG664">
            <v>664.62799999999993</v>
          </cell>
          <cell r="AH664">
            <v>675.32899999999995</v>
          </cell>
          <cell r="AI664">
            <v>719.02099999999996</v>
          </cell>
          <cell r="AJ664">
            <v>752.42899999999997</v>
          </cell>
          <cell r="AK664">
            <v>786.779</v>
          </cell>
          <cell r="AL664">
            <v>804.64799999999991</v>
          </cell>
          <cell r="AM664">
            <v>719.90599999999995</v>
          </cell>
          <cell r="AN664">
            <v>734.23300000000006</v>
          </cell>
          <cell r="AO664">
            <v>780.57000000000016</v>
          </cell>
          <cell r="AP664">
            <v>812.58100000000002</v>
          </cell>
          <cell r="AQ664">
            <v>786.82300000000009</v>
          </cell>
          <cell r="AR664">
            <v>841.89900000000011</v>
          </cell>
          <cell r="AS664">
            <v>899.36099999999999</v>
          </cell>
          <cell r="AT664">
            <v>947.29600000000005</v>
          </cell>
          <cell r="AU664">
            <v>958.49299999999994</v>
          </cell>
          <cell r="AV664">
            <v>1032.6780000000001</v>
          </cell>
          <cell r="AW664">
            <v>1103.2069999999999</v>
          </cell>
          <cell r="AX664">
            <v>1176.0250000000001</v>
          </cell>
          <cell r="AY664">
            <v>1191.6538499211574</v>
          </cell>
          <cell r="AZ664">
            <v>1275.4550899572214</v>
          </cell>
          <cell r="BA664">
            <v>1361.3905963615816</v>
          </cell>
          <cell r="BB664">
            <v>1440.6468413634798</v>
          </cell>
          <cell r="BC664">
            <v>1463.4402791786624</v>
          </cell>
          <cell r="BD664">
            <v>1547.4400155729129</v>
          </cell>
          <cell r="BE664">
            <v>1642.9225283250066</v>
          </cell>
          <cell r="BF664">
            <v>1726.6563334680445</v>
          </cell>
          <cell r="BG664"/>
          <cell r="BH664">
            <v>182.28599999999997</v>
          </cell>
          <cell r="BI664">
            <v>221.85099999999997</v>
          </cell>
          <cell r="BJ664">
            <v>448.62100000000009</v>
          </cell>
          <cell r="BK664">
            <v>473.49400000000003</v>
          </cell>
          <cell r="BL664">
            <v>530.16200000000003</v>
          </cell>
          <cell r="BM664">
            <v>528.92999999999995</v>
          </cell>
          <cell r="BN664">
            <v>536.93799999999999</v>
          </cell>
          <cell r="BO664">
            <v>558.72</v>
          </cell>
          <cell r="BP664">
            <v>574.34600000000012</v>
          </cell>
          <cell r="BQ664">
            <v>587.18900000000008</v>
          </cell>
          <cell r="BR664">
            <v>633.36500000000012</v>
          </cell>
          <cell r="BS664">
            <v>675.32899999999995</v>
          </cell>
          <cell r="BT664">
            <v>804.64799999999991</v>
          </cell>
          <cell r="BU664">
            <v>812.58100000000002</v>
          </cell>
          <cell r="BV664">
            <v>947.29600000000005</v>
          </cell>
          <cell r="BW664">
            <v>1176.0250000000001</v>
          </cell>
          <cell r="BX664">
            <v>1440.6468413634798</v>
          </cell>
          <cell r="BY664">
            <v>1726.6563334680445</v>
          </cell>
          <cell r="BZ664">
            <v>2032.117069694063</v>
          </cell>
          <cell r="CA664">
            <v>2390.7731549974101</v>
          </cell>
          <cell r="CB664">
            <v>2788.8025395350264</v>
          </cell>
          <cell r="CC664"/>
        </row>
        <row r="665">
          <cell r="A665" t="str">
            <v>NCI</v>
          </cell>
        </row>
        <row r="666">
          <cell r="A666" t="str">
            <v>Total Liabilities &amp; SE</v>
          </cell>
        </row>
        <row r="667">
          <cell r="A667"/>
        </row>
        <row r="668">
          <cell r="A668" t="str">
            <v>BS Check</v>
          </cell>
        </row>
        <row r="669">
          <cell r="A669"/>
        </row>
        <row r="670">
          <cell r="A670" t="str">
            <v>Model Checks</v>
          </cell>
        </row>
        <row r="671">
          <cell r="A671" t="str">
            <v>Net Income on Revised IS = NI on CF statement</v>
          </cell>
        </row>
        <row r="672">
          <cell r="A672" t="str">
            <v>Net Income on Reported IS = NI on Revised</v>
          </cell>
        </row>
        <row r="673">
          <cell r="A673" t="str">
            <v>Cash is Positive</v>
          </cell>
        </row>
        <row r="674">
          <cell r="A674" t="str">
            <v>Debt is Positive</v>
          </cell>
        </row>
        <row r="675">
          <cell r="A675" t="str">
            <v>Segmented Revenue = Revenue</v>
          </cell>
        </row>
        <row r="676">
          <cell r="A676" t="str">
            <v>Cash Flow is not Repeated</v>
          </cell>
        </row>
        <row r="677">
          <cell r="A677" t="str">
            <v>Income Statement is not Repeated</v>
          </cell>
        </row>
        <row r="678">
          <cell r="A678" t="str">
            <v>Balance Sheet is not Repeated</v>
          </cell>
        </row>
        <row r="679">
          <cell r="A679" t="str">
            <v>Ending CF = Ending Cumulative CF</v>
          </cell>
        </row>
        <row r="680">
          <cell r="A680" t="str">
            <v>Capex is Updated</v>
          </cell>
        </row>
        <row r="681">
          <cell r="A681" t="str">
            <v>Margin is Updated</v>
          </cell>
        </row>
        <row r="682">
          <cell r="A682" t="str">
            <v>Adjusted Numbers FY = Sum of Qs</v>
          </cell>
        </row>
        <row r="683">
          <cell r="A683" t="str">
            <v>*Cash Flow Summary Signs are Correct</v>
          </cell>
        </row>
        <row r="684">
          <cell r="A684" t="str">
            <v>*RIS NI FY = Sum of Qs</v>
          </cell>
        </row>
        <row r="685">
          <cell r="A685" t="str">
            <v>*RIS Adjusted NI FY = Sum of Qs</v>
          </cell>
        </row>
        <row r="686">
          <cell r="A686" t="str">
            <v>*CFO Before WC subtotal FY = Sum of Qs</v>
          </cell>
        </row>
        <row r="687">
          <cell r="A687" t="str">
            <v>*CFO subtotal FY = Sum of Qs</v>
          </cell>
        </row>
        <row r="688">
          <cell r="A688" t="str">
            <v>*CFI subtotal FY = Sum of Qs</v>
          </cell>
        </row>
        <row r="689">
          <cell r="A689" t="str">
            <v>*CFF subtotal FY = Sum of Qs</v>
          </cell>
        </row>
        <row r="690">
          <cell r="A690" t="str">
            <v>*CF Summary FY = Sum of Qs</v>
          </cell>
        </row>
        <row r="691">
          <cell r="A691"/>
        </row>
        <row r="692">
          <cell r="A692" t="str">
            <v>Other Tables</v>
          </cell>
        </row>
        <row r="693">
          <cell r="A693"/>
        </row>
        <row r="694">
          <cell r="A694" t="str">
            <v>Ticker Symbol</v>
          </cell>
        </row>
        <row r="695">
          <cell r="A695" t="str">
            <v>LRN_US</v>
          </cell>
        </row>
        <row r="696">
          <cell r="A696" t="str">
            <v>LRN US</v>
          </cell>
        </row>
        <row r="697">
          <cell r="A697" t="str">
            <v>NYSE:LRN</v>
          </cell>
        </row>
        <row r="698">
          <cell r="A698" t="str">
            <v>LRN-US</v>
          </cell>
        </row>
        <row r="699">
          <cell r="A699" t="str">
            <v>LRN.N</v>
          </cell>
        </row>
        <row r="700">
          <cell r="A700"/>
        </row>
        <row r="701">
          <cell r="A701" t="str">
            <v>Valuation Toggle Table</v>
          </cell>
          <cell r="B701"/>
        </row>
        <row r="702">
          <cell r="A702" t="str">
            <v>High</v>
          </cell>
          <cell r="B702">
            <v>1</v>
          </cell>
        </row>
        <row r="703">
          <cell r="A703" t="str">
            <v>Low</v>
          </cell>
          <cell r="B703">
            <v>2</v>
          </cell>
        </row>
        <row r="704">
          <cell r="A704" t="str">
            <v>Avg</v>
          </cell>
          <cell r="B704">
            <v>3</v>
          </cell>
        </row>
        <row r="705">
          <cell r="A705" t="str">
            <v>EoP</v>
          </cell>
          <cell r="B705">
            <v>4</v>
          </cell>
        </row>
        <row r="706">
          <cell r="A706"/>
        </row>
        <row r="707">
          <cell r="A707" t="str">
            <v>Key Outputs</v>
          </cell>
        </row>
        <row r="708">
          <cell r="A708" t="str">
            <v>Net Revenue</v>
          </cell>
        </row>
        <row r="709">
          <cell r="A709" t="str">
            <v>Adjusted EBITDA</v>
          </cell>
        </row>
        <row r="710">
          <cell r="A710" t="str">
            <v>Adjusted EBIT</v>
          </cell>
        </row>
        <row r="711">
          <cell r="A711" t="str">
            <v>Adjusted Earnings Per Share - WAD</v>
          </cell>
        </row>
        <row r="712">
          <cell r="A712" t="str">
            <v>EV/EBITDA - EoP</v>
          </cell>
        </row>
        <row r="713">
          <cell r="A713" t="str">
            <v>P/E - EoP</v>
          </cell>
        </row>
        <row r="714">
          <cell r="A714"/>
        </row>
        <row r="715">
          <cell r="A715"/>
        </row>
        <row r="716">
          <cell r="A716" t="str">
            <v>KPI Data</v>
          </cell>
        </row>
        <row r="717">
          <cell r="A717" t="str">
            <v>MO_RIS_REV</v>
          </cell>
        </row>
        <row r="718">
          <cell r="A718" t="str">
            <v>MO_RIS_NI_NONGAAP_Diluted</v>
          </cell>
        </row>
        <row r="719">
          <cell r="A719" t="str">
            <v>MO_RIS_EPS_WAD_Adj</v>
          </cell>
        </row>
        <row r="720">
          <cell r="A720" t="str">
            <v>MO_RIS_EBITDA_Adj</v>
          </cell>
        </row>
        <row r="721">
          <cell r="A721" t="str">
            <v>MO_MA_EBITDA_Adj</v>
          </cell>
        </row>
        <row r="722">
          <cell r="A722"/>
        </row>
        <row r="723">
          <cell r="A723"/>
        </row>
        <row r="724">
          <cell r="A724" t="str">
            <v>Quarterly Guidance Table</v>
          </cell>
        </row>
        <row r="725">
          <cell r="A725" t="str">
            <v>Reporting Date</v>
          </cell>
        </row>
        <row r="726">
          <cell r="A726" t="str">
            <v>Applicable Period</v>
          </cell>
        </row>
        <row r="727">
          <cell r="A727"/>
        </row>
        <row r="728">
          <cell r="A728"/>
        </row>
        <row r="729">
          <cell r="A729" t="str">
            <v>Annual Guidance Table</v>
          </cell>
        </row>
        <row r="730">
          <cell r="A730" t="str">
            <v>Reporting Date</v>
          </cell>
        </row>
        <row r="731">
          <cell r="A731" t="str">
            <v>Is Latest</v>
          </cell>
        </row>
        <row r="732">
          <cell r="A732" t="str">
            <v>Applicable Period</v>
          </cell>
        </row>
        <row r="733">
          <cell r="A733"/>
        </row>
        <row r="734">
          <cell r="A734"/>
        </row>
        <row r="735">
          <cell r="A735" t="str">
            <v>Consensus Estimate Table</v>
          </cell>
          <cell r="B735"/>
          <cell r="C735"/>
          <cell r="D735"/>
          <cell r="E735"/>
          <cell r="F735"/>
          <cell r="G735"/>
          <cell r="H735"/>
          <cell r="I735"/>
          <cell r="J735"/>
          <cell r="K735"/>
          <cell r="L735"/>
          <cell r="M735"/>
          <cell r="N735"/>
          <cell r="O735"/>
          <cell r="P735"/>
          <cell r="Q735"/>
          <cell r="R735"/>
          <cell r="S735"/>
          <cell r="T735"/>
          <cell r="U735"/>
          <cell r="V735"/>
          <cell r="W735"/>
          <cell r="X735"/>
          <cell r="Y735"/>
          <cell r="Z735"/>
          <cell r="AA735"/>
          <cell r="AB735"/>
          <cell r="AC735"/>
          <cell r="AD735"/>
          <cell r="AE735"/>
          <cell r="AF735"/>
          <cell r="AG735"/>
          <cell r="AH735"/>
          <cell r="AI735"/>
          <cell r="AJ735"/>
          <cell r="AK735"/>
          <cell r="AL735"/>
          <cell r="AM735"/>
          <cell r="AN735"/>
          <cell r="AO735"/>
          <cell r="AP735"/>
          <cell r="AQ735"/>
          <cell r="AR735"/>
          <cell r="AS735"/>
          <cell r="AT735"/>
          <cell r="AU735"/>
          <cell r="AV735"/>
          <cell r="AW735"/>
          <cell r="AX735"/>
          <cell r="AY735" t="str">
            <v>Q1-2025</v>
          </cell>
          <cell r="AZ735" t="str">
            <v>Q2-2025</v>
          </cell>
          <cell r="BA735" t="str">
            <v>Q3-2025</v>
          </cell>
          <cell r="BB735" t="str">
            <v>Q4-2025</v>
          </cell>
          <cell r="BC735" t="str">
            <v>Q1-2026</v>
          </cell>
          <cell r="BD735" t="str">
            <v>Q2-2026</v>
          </cell>
          <cell r="BE735" t="str">
            <v>Q3-2026</v>
          </cell>
          <cell r="BF735" t="str">
            <v>Q4-2026</v>
          </cell>
          <cell r="BG735"/>
          <cell r="BH735"/>
          <cell r="BI735"/>
          <cell r="BJ735"/>
          <cell r="BK735"/>
          <cell r="BL735"/>
          <cell r="BM735"/>
          <cell r="BN735"/>
          <cell r="BO735"/>
          <cell r="BP735"/>
          <cell r="BQ735"/>
          <cell r="BR735"/>
          <cell r="BS735"/>
          <cell r="BT735"/>
          <cell r="BU735"/>
          <cell r="BV735"/>
          <cell r="BW735"/>
          <cell r="BX735" t="str">
            <v>FY2025</v>
          </cell>
          <cell r="BY735" t="str">
            <v>FY2026</v>
          </cell>
          <cell r="BZ735" t="str">
            <v>FY2027</v>
          </cell>
          <cell r="CA735" t="str">
            <v>FY2028</v>
          </cell>
          <cell r="CB735" t="str">
            <v>FY2029</v>
          </cell>
        </row>
        <row r="736">
          <cell r="A736" t="str">
            <v>FY or FQ</v>
          </cell>
          <cell r="B736"/>
          <cell r="C736"/>
          <cell r="D736"/>
          <cell r="E736"/>
          <cell r="F736"/>
          <cell r="G736"/>
          <cell r="H736"/>
          <cell r="I736"/>
          <cell r="J736"/>
          <cell r="K736"/>
          <cell r="L736"/>
          <cell r="M736"/>
          <cell r="N736"/>
          <cell r="O736"/>
          <cell r="P736"/>
          <cell r="Q736"/>
          <cell r="R736"/>
          <cell r="S736"/>
          <cell r="T736"/>
          <cell r="U736"/>
          <cell r="V736"/>
          <cell r="W736"/>
          <cell r="X736"/>
          <cell r="Y736"/>
          <cell r="Z736"/>
          <cell r="AA736"/>
          <cell r="AB736"/>
          <cell r="AC736"/>
          <cell r="AD736"/>
          <cell r="AE736"/>
          <cell r="AF736"/>
          <cell r="AG736"/>
          <cell r="AH736"/>
          <cell r="AI736"/>
          <cell r="AJ736"/>
          <cell r="AK736"/>
          <cell r="AL736"/>
          <cell r="AM736"/>
          <cell r="AN736"/>
          <cell r="AO736"/>
          <cell r="AP736"/>
          <cell r="AQ736"/>
          <cell r="AR736"/>
          <cell r="AS736"/>
          <cell r="AT736"/>
          <cell r="AU736"/>
          <cell r="AV736"/>
          <cell r="AW736"/>
          <cell r="AX736"/>
          <cell r="AY736" t="str">
            <v>FQ</v>
          </cell>
          <cell r="AZ736" t="str">
            <v>FQ</v>
          </cell>
          <cell r="BA736" t="str">
            <v>FQ</v>
          </cell>
          <cell r="BB736" t="str">
            <v>FQ</v>
          </cell>
          <cell r="BC736" t="str">
            <v>FQ</v>
          </cell>
          <cell r="BD736" t="str">
            <v>FQ</v>
          </cell>
          <cell r="BE736" t="str">
            <v>FQ</v>
          </cell>
          <cell r="BF736" t="str">
            <v>FQ</v>
          </cell>
          <cell r="BG736"/>
          <cell r="BH736"/>
          <cell r="BI736"/>
          <cell r="BJ736"/>
          <cell r="BK736"/>
          <cell r="BL736"/>
          <cell r="BM736"/>
          <cell r="BN736"/>
          <cell r="BO736"/>
          <cell r="BP736"/>
          <cell r="BQ736"/>
          <cell r="BR736"/>
          <cell r="BS736"/>
          <cell r="BT736"/>
          <cell r="BU736"/>
          <cell r="BV736"/>
          <cell r="BW736"/>
          <cell r="BX736" t="str">
            <v>FY</v>
          </cell>
          <cell r="BY736" t="str">
            <v>FY</v>
          </cell>
          <cell r="BZ736" t="str">
            <v>FY</v>
          </cell>
          <cell r="CA736" t="str">
            <v>FY</v>
          </cell>
          <cell r="CB736" t="str">
            <v>FY</v>
          </cell>
          <cell r="CC736"/>
        </row>
        <row r="737">
          <cell r="A737" t="str">
            <v>Period</v>
          </cell>
          <cell r="B737"/>
          <cell r="C737"/>
          <cell r="D737"/>
          <cell r="E737"/>
          <cell r="F737"/>
          <cell r="G737"/>
          <cell r="H737"/>
          <cell r="I737"/>
          <cell r="J737"/>
          <cell r="K737"/>
          <cell r="L737"/>
          <cell r="M737"/>
          <cell r="N737"/>
          <cell r="O737"/>
          <cell r="P737"/>
          <cell r="Q737"/>
          <cell r="R737"/>
          <cell r="S737"/>
          <cell r="T737"/>
          <cell r="U737"/>
          <cell r="V737"/>
          <cell r="W737"/>
          <cell r="X737"/>
          <cell r="Y737"/>
          <cell r="Z737"/>
          <cell r="AA737"/>
          <cell r="AB737"/>
          <cell r="AC737"/>
          <cell r="AD737"/>
          <cell r="AE737"/>
          <cell r="AF737"/>
          <cell r="AG737"/>
          <cell r="AH737"/>
          <cell r="AI737"/>
          <cell r="AJ737"/>
          <cell r="AK737"/>
          <cell r="AL737"/>
          <cell r="AM737"/>
          <cell r="AN737"/>
          <cell r="AO737"/>
          <cell r="AP737"/>
          <cell r="AQ737"/>
          <cell r="AR737"/>
          <cell r="AS737"/>
          <cell r="AT737"/>
          <cell r="AU737"/>
          <cell r="AV737"/>
          <cell r="AW737"/>
          <cell r="AX737"/>
          <cell r="AY737">
            <v>1</v>
          </cell>
          <cell r="AZ737">
            <v>2</v>
          </cell>
          <cell r="BA737">
            <v>3</v>
          </cell>
          <cell r="BB737">
            <v>4</v>
          </cell>
          <cell r="BC737">
            <v>5</v>
          </cell>
          <cell r="BD737">
            <v>6</v>
          </cell>
          <cell r="BE737">
            <v>7</v>
          </cell>
          <cell r="BF737">
            <v>8</v>
          </cell>
          <cell r="BG737"/>
          <cell r="BH737"/>
          <cell r="BI737"/>
          <cell r="BJ737"/>
          <cell r="BK737"/>
          <cell r="BL737"/>
          <cell r="BM737"/>
          <cell r="BN737"/>
          <cell r="BO737"/>
          <cell r="BP737"/>
          <cell r="BQ737"/>
          <cell r="BR737"/>
          <cell r="BS737"/>
          <cell r="BT737"/>
          <cell r="BU737"/>
          <cell r="BV737"/>
          <cell r="BW737"/>
          <cell r="BX737">
            <v>1</v>
          </cell>
          <cell r="BY737">
            <v>2</v>
          </cell>
          <cell r="BZ737">
            <v>3</v>
          </cell>
          <cell r="CA737">
            <v>4</v>
          </cell>
          <cell r="CB737">
            <v>5</v>
          </cell>
        </row>
        <row r="738">
          <cell r="A738" t="str">
            <v>Consensus Estimates - Gross Margin, %</v>
          </cell>
          <cell r="B738"/>
          <cell r="C738"/>
          <cell r="D738"/>
          <cell r="E738"/>
          <cell r="F738"/>
          <cell r="G738"/>
          <cell r="H738"/>
          <cell r="I738"/>
          <cell r="J738"/>
          <cell r="K738"/>
          <cell r="L738"/>
          <cell r="M738"/>
          <cell r="N738"/>
          <cell r="O738"/>
          <cell r="P738"/>
          <cell r="Q738"/>
          <cell r="R738"/>
          <cell r="S738"/>
          <cell r="T738"/>
          <cell r="U738"/>
          <cell r="V738"/>
          <cell r="W738"/>
          <cell r="X738"/>
          <cell r="Y738"/>
          <cell r="Z738"/>
          <cell r="AA738"/>
          <cell r="AB738"/>
          <cell r="AC738"/>
          <cell r="AD738"/>
          <cell r="AE738"/>
          <cell r="AF738"/>
          <cell r="AG738"/>
          <cell r="AH738"/>
          <cell r="AI738"/>
          <cell r="AJ738"/>
          <cell r="AK738"/>
          <cell r="AL738"/>
          <cell r="AM738"/>
          <cell r="AN738"/>
          <cell r="AO738"/>
          <cell r="AP738"/>
          <cell r="AQ738"/>
          <cell r="AR738"/>
          <cell r="AS738"/>
          <cell r="AT738"/>
          <cell r="AU738"/>
          <cell r="AV738"/>
          <cell r="AW738"/>
          <cell r="AX738"/>
          <cell r="AY738" t="str">
            <v>N/A</v>
          </cell>
          <cell r="AZ738" t="str">
            <v>N/A</v>
          </cell>
          <cell r="BA738" t="str">
            <v>N/A</v>
          </cell>
          <cell r="BB738" t="str">
            <v>N/A</v>
          </cell>
          <cell r="BC738" t="str">
            <v>N/A</v>
          </cell>
          <cell r="BD738" t="str">
            <v>N/A</v>
          </cell>
          <cell r="BE738" t="str">
            <v>N/A</v>
          </cell>
          <cell r="BF738" t="str">
            <v>N/A</v>
          </cell>
          <cell r="BG738"/>
          <cell r="BH738"/>
          <cell r="BI738"/>
          <cell r="BJ738"/>
          <cell r="BK738"/>
          <cell r="BL738"/>
          <cell r="BM738"/>
          <cell r="BN738"/>
          <cell r="BO738"/>
          <cell r="BP738"/>
          <cell r="BQ738"/>
          <cell r="BR738"/>
          <cell r="BS738"/>
          <cell r="BT738"/>
          <cell r="BU738"/>
          <cell r="BV738"/>
          <cell r="BW738"/>
          <cell r="BX738" t="str">
            <v>N/A</v>
          </cell>
          <cell r="BY738" t="str">
            <v>N/A</v>
          </cell>
          <cell r="BZ738" t="str">
            <v>N/A</v>
          </cell>
          <cell r="CA738" t="str">
            <v>N/A</v>
          </cell>
          <cell r="CB738" t="str">
            <v>N/A</v>
          </cell>
        </row>
        <row r="739">
          <cell r="A739" t="str">
            <v>Consensus Estimates - Net Revenue</v>
          </cell>
          <cell r="B739"/>
          <cell r="C739"/>
          <cell r="D739"/>
          <cell r="E739"/>
          <cell r="F739"/>
          <cell r="G739"/>
          <cell r="H739"/>
          <cell r="I739"/>
          <cell r="J739"/>
          <cell r="K739"/>
          <cell r="L739"/>
          <cell r="M739"/>
          <cell r="N739"/>
          <cell r="O739"/>
          <cell r="P739"/>
          <cell r="Q739"/>
          <cell r="R739"/>
          <cell r="S739"/>
          <cell r="T739"/>
          <cell r="U739"/>
          <cell r="V739"/>
          <cell r="W739"/>
          <cell r="X739"/>
          <cell r="Y739"/>
          <cell r="Z739"/>
          <cell r="AA739"/>
          <cell r="AB739"/>
          <cell r="AC739"/>
          <cell r="AD739"/>
          <cell r="AE739"/>
          <cell r="AF739"/>
          <cell r="AG739"/>
          <cell r="AH739"/>
          <cell r="AI739"/>
          <cell r="AJ739"/>
          <cell r="AK739"/>
          <cell r="AL739"/>
          <cell r="AM739"/>
          <cell r="AN739"/>
          <cell r="AO739"/>
          <cell r="AP739"/>
          <cell r="AQ739"/>
          <cell r="AR739"/>
          <cell r="AS739"/>
          <cell r="AT739"/>
          <cell r="AU739"/>
          <cell r="AV739"/>
          <cell r="AW739"/>
          <cell r="AX739"/>
          <cell r="AY739" t="str">
            <v>N/A</v>
          </cell>
          <cell r="AZ739" t="str">
            <v>N/A</v>
          </cell>
          <cell r="BA739" t="str">
            <v>N/A</v>
          </cell>
          <cell r="BB739" t="str">
            <v>N/A</v>
          </cell>
          <cell r="BC739" t="str">
            <v>N/A</v>
          </cell>
          <cell r="BD739" t="str">
            <v>N/A</v>
          </cell>
          <cell r="BE739" t="str">
            <v>N/A</v>
          </cell>
          <cell r="BF739" t="str">
            <v>N/A</v>
          </cell>
          <cell r="BG739"/>
          <cell r="BH739"/>
          <cell r="BI739"/>
          <cell r="BJ739"/>
          <cell r="BK739"/>
          <cell r="BL739"/>
          <cell r="BM739"/>
          <cell r="BN739"/>
          <cell r="BO739"/>
          <cell r="BP739"/>
          <cell r="BQ739"/>
          <cell r="BR739"/>
          <cell r="BS739"/>
          <cell r="BT739"/>
          <cell r="BU739"/>
          <cell r="BV739"/>
          <cell r="BW739"/>
          <cell r="BX739" t="str">
            <v>N/A</v>
          </cell>
          <cell r="BY739" t="str">
            <v>N/A</v>
          </cell>
          <cell r="BZ739" t="str">
            <v>N/A</v>
          </cell>
          <cell r="CA739" t="str">
            <v>N/A</v>
          </cell>
          <cell r="CB739" t="str">
            <v>N/A</v>
          </cell>
        </row>
        <row r="740">
          <cell r="A740" t="str">
            <v>Consensus Estimates - Adjusted EBITDA</v>
          </cell>
          <cell r="B740"/>
          <cell r="C740"/>
          <cell r="D740"/>
          <cell r="E740"/>
          <cell r="F740"/>
          <cell r="G740"/>
          <cell r="H740"/>
          <cell r="I740"/>
          <cell r="J740"/>
          <cell r="K740"/>
          <cell r="L740"/>
          <cell r="M740"/>
          <cell r="N740"/>
          <cell r="O740"/>
          <cell r="P740"/>
          <cell r="Q740"/>
          <cell r="R740"/>
          <cell r="S740"/>
          <cell r="T740"/>
          <cell r="U740"/>
          <cell r="V740"/>
          <cell r="W740"/>
          <cell r="X740"/>
          <cell r="Y740"/>
          <cell r="Z740"/>
          <cell r="AA740"/>
          <cell r="AB740"/>
          <cell r="AC740"/>
          <cell r="AD740"/>
          <cell r="AE740"/>
          <cell r="AF740"/>
          <cell r="AG740"/>
          <cell r="AH740"/>
          <cell r="AI740"/>
          <cell r="AJ740"/>
          <cell r="AK740"/>
          <cell r="AL740"/>
          <cell r="AM740"/>
          <cell r="AN740"/>
          <cell r="AO740"/>
          <cell r="AP740"/>
          <cell r="AQ740"/>
          <cell r="AR740"/>
          <cell r="AS740"/>
          <cell r="AT740"/>
          <cell r="AU740"/>
          <cell r="AV740"/>
          <cell r="AW740"/>
          <cell r="AX740"/>
          <cell r="AY740" t="str">
            <v>N/A</v>
          </cell>
          <cell r="AZ740" t="str">
            <v>N/A</v>
          </cell>
          <cell r="BA740" t="str">
            <v>N/A</v>
          </cell>
          <cell r="BB740" t="str">
            <v>N/A</v>
          </cell>
          <cell r="BC740" t="str">
            <v>N/A</v>
          </cell>
          <cell r="BD740" t="str">
            <v>N/A</v>
          </cell>
          <cell r="BE740" t="str">
            <v>N/A</v>
          </cell>
          <cell r="BF740" t="str">
            <v>N/A</v>
          </cell>
          <cell r="BG740"/>
          <cell r="BH740"/>
          <cell r="BI740"/>
          <cell r="BJ740"/>
          <cell r="BK740"/>
          <cell r="BL740"/>
          <cell r="BM740"/>
          <cell r="BN740"/>
          <cell r="BO740"/>
          <cell r="BP740"/>
          <cell r="BQ740"/>
          <cell r="BR740"/>
          <cell r="BS740"/>
          <cell r="BT740"/>
          <cell r="BU740"/>
          <cell r="BV740"/>
          <cell r="BW740"/>
          <cell r="BX740" t="str">
            <v>N/A</v>
          </cell>
          <cell r="BY740" t="str">
            <v>N/A</v>
          </cell>
          <cell r="BZ740" t="str">
            <v>N/A</v>
          </cell>
          <cell r="CA740" t="str">
            <v>N/A</v>
          </cell>
          <cell r="CB740" t="str">
            <v>N/A</v>
          </cell>
        </row>
        <row r="741">
          <cell r="A741" t="str">
            <v>Consensus Estimates - Adjusted EBIT</v>
          </cell>
          <cell r="B741"/>
          <cell r="C741"/>
          <cell r="D741"/>
          <cell r="E741"/>
          <cell r="F741"/>
          <cell r="G741"/>
          <cell r="H741"/>
          <cell r="I741"/>
          <cell r="J741"/>
          <cell r="K741"/>
          <cell r="L741"/>
          <cell r="M741"/>
          <cell r="N741"/>
          <cell r="O741"/>
          <cell r="P741"/>
          <cell r="Q741"/>
          <cell r="R741"/>
          <cell r="S741"/>
          <cell r="T741"/>
          <cell r="U741"/>
          <cell r="V741"/>
          <cell r="W741"/>
          <cell r="X741"/>
          <cell r="Y741"/>
          <cell r="Z741"/>
          <cell r="AA741"/>
          <cell r="AB741"/>
          <cell r="AC741"/>
          <cell r="AD741"/>
          <cell r="AE741"/>
          <cell r="AF741"/>
          <cell r="AG741"/>
          <cell r="AH741"/>
          <cell r="AI741"/>
          <cell r="AJ741"/>
          <cell r="AK741"/>
          <cell r="AL741"/>
          <cell r="AM741"/>
          <cell r="AN741"/>
          <cell r="AO741"/>
          <cell r="AP741"/>
          <cell r="AQ741"/>
          <cell r="AR741"/>
          <cell r="AS741"/>
          <cell r="AT741"/>
          <cell r="AU741"/>
          <cell r="AV741"/>
          <cell r="AW741"/>
          <cell r="AX741"/>
          <cell r="AY741" t="str">
            <v>N/A</v>
          </cell>
          <cell r="AZ741" t="str">
            <v>N/A</v>
          </cell>
          <cell r="BA741" t="str">
            <v>N/A</v>
          </cell>
          <cell r="BB741" t="str">
            <v>N/A</v>
          </cell>
          <cell r="BC741" t="str">
            <v>N/A</v>
          </cell>
          <cell r="BD741" t="str">
            <v>N/A</v>
          </cell>
          <cell r="BE741" t="str">
            <v>N/A</v>
          </cell>
          <cell r="BF741" t="str">
            <v>N/A</v>
          </cell>
          <cell r="BG741"/>
          <cell r="BH741"/>
          <cell r="BI741"/>
          <cell r="BJ741"/>
          <cell r="BK741"/>
          <cell r="BL741"/>
          <cell r="BM741"/>
          <cell r="BN741"/>
          <cell r="BO741"/>
          <cell r="BP741"/>
          <cell r="BQ741"/>
          <cell r="BR741"/>
          <cell r="BS741"/>
          <cell r="BT741"/>
          <cell r="BU741"/>
          <cell r="BV741"/>
          <cell r="BW741"/>
          <cell r="BX741" t="str">
            <v>N/A</v>
          </cell>
          <cell r="BY741" t="str">
            <v>N/A</v>
          </cell>
          <cell r="BZ741" t="str">
            <v>N/A</v>
          </cell>
          <cell r="CA741" t="str">
            <v>N/A</v>
          </cell>
          <cell r="CB741" t="str">
            <v>N/A</v>
          </cell>
        </row>
        <row r="742">
          <cell r="A742" t="str">
            <v>Consensus Estimates - Adjusted Earnings Per Share - WAD</v>
          </cell>
          <cell r="B742"/>
          <cell r="C742"/>
          <cell r="D742"/>
          <cell r="E742"/>
          <cell r="F742"/>
          <cell r="G742"/>
          <cell r="H742"/>
          <cell r="I742"/>
          <cell r="J742"/>
          <cell r="K742"/>
          <cell r="L742"/>
          <cell r="M742"/>
          <cell r="N742"/>
          <cell r="O742"/>
          <cell r="P742"/>
          <cell r="Q742"/>
          <cell r="R742"/>
          <cell r="S742"/>
          <cell r="T742"/>
          <cell r="U742"/>
          <cell r="V742"/>
          <cell r="W742"/>
          <cell r="X742"/>
          <cell r="Y742"/>
          <cell r="Z742"/>
          <cell r="AA742"/>
          <cell r="AB742"/>
          <cell r="AC742"/>
          <cell r="AD742"/>
          <cell r="AE742"/>
          <cell r="AF742"/>
          <cell r="AG742"/>
          <cell r="AH742"/>
          <cell r="AI742"/>
          <cell r="AJ742"/>
          <cell r="AK742"/>
          <cell r="AL742"/>
          <cell r="AM742"/>
          <cell r="AN742"/>
          <cell r="AO742"/>
          <cell r="AP742"/>
          <cell r="AQ742"/>
          <cell r="AR742"/>
          <cell r="AS742"/>
          <cell r="AT742"/>
          <cell r="AU742"/>
          <cell r="AV742"/>
          <cell r="AW742"/>
          <cell r="AX742"/>
          <cell r="AY742" t="str">
            <v>N/A</v>
          </cell>
          <cell r="AZ742" t="str">
            <v>N/A</v>
          </cell>
          <cell r="BA742" t="str">
            <v>N/A</v>
          </cell>
          <cell r="BB742" t="str">
            <v>N/A</v>
          </cell>
          <cell r="BC742" t="str">
            <v>N/A</v>
          </cell>
          <cell r="BD742" t="str">
            <v>N/A</v>
          </cell>
          <cell r="BE742" t="str">
            <v>N/A</v>
          </cell>
          <cell r="BF742" t="str">
            <v>N/A</v>
          </cell>
          <cell r="BG742"/>
          <cell r="BH742"/>
          <cell r="BI742"/>
          <cell r="BJ742"/>
          <cell r="BK742"/>
          <cell r="BL742"/>
          <cell r="BM742"/>
          <cell r="BN742"/>
          <cell r="BO742"/>
          <cell r="BP742"/>
          <cell r="BQ742"/>
          <cell r="BR742"/>
          <cell r="BS742"/>
          <cell r="BT742"/>
          <cell r="BU742"/>
          <cell r="BV742"/>
          <cell r="BW742"/>
          <cell r="BX742" t="str">
            <v>N/A</v>
          </cell>
          <cell r="BY742" t="str">
            <v>N/A</v>
          </cell>
          <cell r="BZ742" t="str">
            <v>N/A</v>
          </cell>
          <cell r="CA742" t="str">
            <v>N/A</v>
          </cell>
          <cell r="CB742" t="str">
            <v>N/A</v>
          </cell>
        </row>
        <row r="743">
          <cell r="A743" t="str">
            <v>Consensus Estimates - Cash Flow Per Diluted Share</v>
          </cell>
          <cell r="B743"/>
          <cell r="C743"/>
          <cell r="D743"/>
          <cell r="E743"/>
          <cell r="F743"/>
          <cell r="G743"/>
          <cell r="H743"/>
          <cell r="I743"/>
          <cell r="J743"/>
          <cell r="K743"/>
          <cell r="L743"/>
          <cell r="M743"/>
          <cell r="N743"/>
          <cell r="O743"/>
          <cell r="P743"/>
          <cell r="Q743"/>
          <cell r="R743"/>
          <cell r="S743"/>
          <cell r="T743"/>
          <cell r="U743"/>
          <cell r="V743"/>
          <cell r="W743"/>
          <cell r="X743"/>
          <cell r="Y743"/>
          <cell r="Z743"/>
          <cell r="AA743"/>
          <cell r="AB743"/>
          <cell r="AC743"/>
          <cell r="AD743"/>
          <cell r="AE743"/>
          <cell r="AF743"/>
          <cell r="AG743"/>
          <cell r="AH743"/>
          <cell r="AI743"/>
          <cell r="AJ743"/>
          <cell r="AK743"/>
          <cell r="AL743"/>
          <cell r="AM743"/>
          <cell r="AN743"/>
          <cell r="AO743"/>
          <cell r="AP743"/>
          <cell r="AQ743"/>
          <cell r="AR743"/>
          <cell r="AS743"/>
          <cell r="AT743"/>
          <cell r="AU743"/>
          <cell r="AV743"/>
          <cell r="AW743"/>
          <cell r="AX743"/>
          <cell r="AY743" t="str">
            <v>N/A</v>
          </cell>
          <cell r="AZ743" t="str">
            <v>N/A</v>
          </cell>
          <cell r="BA743" t="str">
            <v>N/A</v>
          </cell>
          <cell r="BB743" t="str">
            <v>N/A</v>
          </cell>
          <cell r="BC743" t="str">
            <v>N/A</v>
          </cell>
          <cell r="BD743" t="str">
            <v>N/A</v>
          </cell>
          <cell r="BE743" t="str">
            <v>N/A</v>
          </cell>
          <cell r="BF743" t="str">
            <v>N/A</v>
          </cell>
          <cell r="BG743"/>
          <cell r="BH743"/>
          <cell r="BI743"/>
          <cell r="BJ743"/>
          <cell r="BK743"/>
          <cell r="BL743"/>
          <cell r="BM743"/>
          <cell r="BN743"/>
          <cell r="BO743"/>
          <cell r="BP743"/>
          <cell r="BQ743"/>
          <cell r="BR743"/>
          <cell r="BS743"/>
          <cell r="BT743"/>
          <cell r="BU743"/>
          <cell r="BV743"/>
          <cell r="BW743"/>
          <cell r="BX743" t="str">
            <v>N/A</v>
          </cell>
          <cell r="BY743" t="str">
            <v>N/A</v>
          </cell>
          <cell r="BZ743" t="str">
            <v>N/A</v>
          </cell>
          <cell r="CA743" t="str">
            <v>N/A</v>
          </cell>
          <cell r="CB743" t="str">
            <v>N/A</v>
          </cell>
        </row>
        <row r="744">
          <cell r="A744" t="str">
            <v>Consensus Estimates - Capex</v>
          </cell>
          <cell r="B744"/>
          <cell r="C744"/>
          <cell r="D744"/>
          <cell r="E744"/>
          <cell r="F744"/>
          <cell r="G744"/>
          <cell r="H744"/>
          <cell r="I744"/>
          <cell r="J744"/>
          <cell r="K744"/>
          <cell r="L744"/>
          <cell r="M744"/>
          <cell r="N744"/>
          <cell r="O744"/>
          <cell r="P744"/>
          <cell r="Q744"/>
          <cell r="R744"/>
          <cell r="S744"/>
          <cell r="T744"/>
          <cell r="U744"/>
          <cell r="V744"/>
          <cell r="W744"/>
          <cell r="X744"/>
          <cell r="Y744"/>
          <cell r="Z744"/>
          <cell r="AA744"/>
          <cell r="AB744"/>
          <cell r="AC744"/>
          <cell r="AD744"/>
          <cell r="AE744"/>
          <cell r="AF744"/>
          <cell r="AG744"/>
          <cell r="AH744"/>
          <cell r="AI744"/>
          <cell r="AJ744"/>
          <cell r="AK744"/>
          <cell r="AL744"/>
          <cell r="AM744"/>
          <cell r="AN744"/>
          <cell r="AO744"/>
          <cell r="AP744"/>
          <cell r="AQ744"/>
          <cell r="AR744"/>
          <cell r="AS744"/>
          <cell r="AT744"/>
          <cell r="AU744"/>
          <cell r="AV744"/>
          <cell r="AW744"/>
          <cell r="AX744"/>
          <cell r="AY744" t="str">
            <v>N/A</v>
          </cell>
          <cell r="AZ744" t="str">
            <v>N/A</v>
          </cell>
          <cell r="BA744" t="str">
            <v>N/A</v>
          </cell>
          <cell r="BB744" t="str">
            <v>N/A</v>
          </cell>
          <cell r="BC744" t="str">
            <v>N/A</v>
          </cell>
          <cell r="BD744" t="str">
            <v>N/A</v>
          </cell>
          <cell r="BE744" t="str">
            <v>N/A</v>
          </cell>
          <cell r="BF744" t="str">
            <v>N/A</v>
          </cell>
          <cell r="BG744"/>
          <cell r="BH744"/>
          <cell r="BI744"/>
          <cell r="BJ744"/>
          <cell r="BK744"/>
          <cell r="BL744"/>
          <cell r="BM744"/>
          <cell r="BN744"/>
          <cell r="BO744"/>
          <cell r="BP744"/>
          <cell r="BQ744"/>
          <cell r="BR744"/>
          <cell r="BS744"/>
          <cell r="BT744"/>
          <cell r="BU744"/>
          <cell r="BV744"/>
          <cell r="BW744"/>
          <cell r="BX744" t="str">
            <v>N/A</v>
          </cell>
          <cell r="BY744" t="str">
            <v>N/A</v>
          </cell>
          <cell r="BZ744" t="str">
            <v>N/A</v>
          </cell>
          <cell r="CA744" t="str">
            <v>N/A</v>
          </cell>
          <cell r="CB744" t="str">
            <v>N/A</v>
          </cell>
        </row>
        <row r="745">
          <cell r="A745"/>
          <cell r="B745"/>
          <cell r="C745"/>
          <cell r="D745"/>
          <cell r="E745"/>
          <cell r="F745"/>
          <cell r="G745"/>
          <cell r="H745"/>
          <cell r="I745"/>
          <cell r="J745"/>
          <cell r="K745"/>
          <cell r="L745"/>
          <cell r="M745"/>
          <cell r="N745"/>
          <cell r="O745"/>
          <cell r="P745"/>
          <cell r="Q745"/>
          <cell r="R745"/>
          <cell r="S745"/>
          <cell r="T745"/>
          <cell r="U745"/>
          <cell r="V745"/>
          <cell r="W745"/>
          <cell r="X745"/>
          <cell r="Y745"/>
          <cell r="Z745"/>
          <cell r="AA745"/>
          <cell r="AB745"/>
          <cell r="AC745"/>
          <cell r="AD745"/>
          <cell r="AE745"/>
          <cell r="AF745"/>
          <cell r="AG745"/>
          <cell r="AH745"/>
          <cell r="AI745"/>
          <cell r="AJ745"/>
          <cell r="AK745"/>
          <cell r="AL745"/>
          <cell r="AM745"/>
          <cell r="AN745"/>
          <cell r="AO745"/>
          <cell r="AP745"/>
          <cell r="AQ745"/>
          <cell r="AR745"/>
          <cell r="AS745"/>
          <cell r="AT745"/>
          <cell r="AU745"/>
          <cell r="AV745"/>
          <cell r="AW745"/>
          <cell r="AX745"/>
          <cell r="AY745"/>
          <cell r="AZ745"/>
          <cell r="BA745"/>
          <cell r="BB745"/>
          <cell r="BC745"/>
          <cell r="BD745"/>
          <cell r="BE745"/>
          <cell r="BF745"/>
          <cell r="BG745"/>
          <cell r="BH745"/>
          <cell r="BI745"/>
          <cell r="BJ745"/>
          <cell r="BK745"/>
          <cell r="BL745"/>
          <cell r="BM745"/>
          <cell r="BN745"/>
          <cell r="BO745"/>
          <cell r="BP745"/>
          <cell r="BQ745"/>
          <cell r="BR745"/>
          <cell r="BS745"/>
          <cell r="BT745"/>
          <cell r="BU745"/>
          <cell r="BV745"/>
          <cell r="BW745"/>
          <cell r="BX745"/>
          <cell r="BY745"/>
          <cell r="BZ745"/>
          <cell r="CA745"/>
          <cell r="CB745"/>
        </row>
        <row r="746">
          <cell r="A746"/>
        </row>
        <row r="747">
          <cell r="A747" t="str">
            <v>Stock Price Table</v>
          </cell>
        </row>
        <row r="748">
          <cell r="A748" t="str">
            <v>Fiscal Period Start Date</v>
          </cell>
          <cell r="B748"/>
          <cell r="C748">
            <v>41091</v>
          </cell>
          <cell r="D748">
            <v>41183</v>
          </cell>
          <cell r="E748">
            <v>41275</v>
          </cell>
          <cell r="F748">
            <v>41365</v>
          </cell>
          <cell r="G748">
            <v>41456</v>
          </cell>
          <cell r="H748">
            <v>41548</v>
          </cell>
          <cell r="I748">
            <v>41640</v>
          </cell>
          <cell r="J748">
            <v>41730</v>
          </cell>
          <cell r="K748">
            <v>41821</v>
          </cell>
          <cell r="L748">
            <v>41913</v>
          </cell>
          <cell r="M748">
            <v>42005</v>
          </cell>
          <cell r="N748">
            <v>42095</v>
          </cell>
          <cell r="O748">
            <v>42186</v>
          </cell>
          <cell r="P748">
            <v>42278</v>
          </cell>
          <cell r="Q748">
            <v>42370</v>
          </cell>
          <cell r="R748">
            <v>42461</v>
          </cell>
          <cell r="S748">
            <v>42552</v>
          </cell>
          <cell r="T748">
            <v>42644</v>
          </cell>
          <cell r="U748">
            <v>42736</v>
          </cell>
          <cell r="V748">
            <v>42826</v>
          </cell>
          <cell r="W748">
            <v>42917</v>
          </cell>
          <cell r="X748">
            <v>43009</v>
          </cell>
          <cell r="Y748">
            <v>43101</v>
          </cell>
          <cell r="Z748">
            <v>43191</v>
          </cell>
          <cell r="AA748">
            <v>43282</v>
          </cell>
          <cell r="AB748">
            <v>43374</v>
          </cell>
          <cell r="AC748">
            <v>43466</v>
          </cell>
          <cell r="AD748">
            <v>43556</v>
          </cell>
          <cell r="AE748">
            <v>43647</v>
          </cell>
          <cell r="AF748">
            <v>43739</v>
          </cell>
          <cell r="AG748">
            <v>43831</v>
          </cell>
          <cell r="AH748">
            <v>43922</v>
          </cell>
          <cell r="AI748">
            <v>44013</v>
          </cell>
          <cell r="AJ748">
            <v>44105</v>
          </cell>
          <cell r="AK748">
            <v>44197</v>
          </cell>
          <cell r="AL748">
            <v>44287</v>
          </cell>
          <cell r="AM748">
            <v>44378</v>
          </cell>
          <cell r="AN748">
            <v>44470</v>
          </cell>
          <cell r="AO748">
            <v>44562</v>
          </cell>
          <cell r="AP748">
            <v>44652</v>
          </cell>
          <cell r="AQ748">
            <v>44743</v>
          </cell>
          <cell r="AR748">
            <v>44835</v>
          </cell>
          <cell r="AS748">
            <v>44927</v>
          </cell>
          <cell r="AT748">
            <v>45017</v>
          </cell>
          <cell r="AU748">
            <v>45108</v>
          </cell>
          <cell r="AV748">
            <v>45200</v>
          </cell>
          <cell r="AW748">
            <v>45292</v>
          </cell>
          <cell r="AX748">
            <v>45383</v>
          </cell>
          <cell r="AY748">
            <v>45474</v>
          </cell>
          <cell r="AZ748">
            <v>45566</v>
          </cell>
          <cell r="BA748">
            <v>45658</v>
          </cell>
          <cell r="BB748">
            <v>45748</v>
          </cell>
          <cell r="BC748">
            <v>45839</v>
          </cell>
          <cell r="BD748">
            <v>45931</v>
          </cell>
          <cell r="BE748">
            <v>46023</v>
          </cell>
          <cell r="BF748">
            <v>46113</v>
          </cell>
          <cell r="BG748"/>
          <cell r="BH748">
            <v>39630</v>
          </cell>
          <cell r="BI748">
            <v>39995</v>
          </cell>
          <cell r="BJ748">
            <v>40360</v>
          </cell>
          <cell r="BK748">
            <v>40725</v>
          </cell>
          <cell r="BL748">
            <v>41091</v>
          </cell>
          <cell r="BM748">
            <v>41456</v>
          </cell>
          <cell r="BN748">
            <v>41821</v>
          </cell>
          <cell r="BO748">
            <v>42186</v>
          </cell>
          <cell r="BP748">
            <v>42552</v>
          </cell>
          <cell r="BQ748">
            <v>42917</v>
          </cell>
          <cell r="BR748">
            <v>43282</v>
          </cell>
          <cell r="BS748">
            <v>43647</v>
          </cell>
          <cell r="BT748">
            <v>44013</v>
          </cell>
          <cell r="BU748">
            <v>44378</v>
          </cell>
          <cell r="BV748">
            <v>44743</v>
          </cell>
          <cell r="BW748">
            <v>45108</v>
          </cell>
          <cell r="BX748">
            <v>45474</v>
          </cell>
          <cell r="BY748">
            <v>45839</v>
          </cell>
          <cell r="BZ748">
            <v>46204</v>
          </cell>
          <cell r="CA748">
            <v>46569</v>
          </cell>
          <cell r="CB748">
            <v>46935</v>
          </cell>
          <cell r="CC748"/>
        </row>
        <row r="749">
          <cell r="A749" t="str">
            <v>Is Historical Period</v>
          </cell>
          <cell r="B749"/>
          <cell r="C749" t="b">
            <v>1</v>
          </cell>
          <cell r="D749" t="b">
            <v>1</v>
          </cell>
          <cell r="E749" t="b">
            <v>1</v>
          </cell>
          <cell r="F749" t="b">
            <v>1</v>
          </cell>
          <cell r="G749" t="b">
            <v>1</v>
          </cell>
          <cell r="H749" t="b">
            <v>1</v>
          </cell>
          <cell r="I749" t="b">
            <v>1</v>
          </cell>
          <cell r="J749" t="b">
            <v>1</v>
          </cell>
          <cell r="K749" t="b">
            <v>1</v>
          </cell>
          <cell r="L749" t="b">
            <v>1</v>
          </cell>
          <cell r="M749" t="b">
            <v>1</v>
          </cell>
          <cell r="N749" t="b">
            <v>1</v>
          </cell>
          <cell r="O749" t="b">
            <v>1</v>
          </cell>
          <cell r="P749" t="b">
            <v>1</v>
          </cell>
          <cell r="Q749" t="b">
            <v>1</v>
          </cell>
          <cell r="R749" t="b">
            <v>1</v>
          </cell>
          <cell r="S749" t="b">
            <v>1</v>
          </cell>
          <cell r="T749" t="b">
            <v>1</v>
          </cell>
          <cell r="U749" t="b">
            <v>1</v>
          </cell>
          <cell r="V749" t="b">
            <v>1</v>
          </cell>
          <cell r="W749" t="b">
            <v>1</v>
          </cell>
          <cell r="X749" t="b">
            <v>1</v>
          </cell>
          <cell r="Y749" t="b">
            <v>1</v>
          </cell>
          <cell r="Z749" t="b">
            <v>1</v>
          </cell>
          <cell r="AA749" t="b">
            <v>1</v>
          </cell>
          <cell r="AB749" t="b">
            <v>1</v>
          </cell>
          <cell r="AC749" t="b">
            <v>1</v>
          </cell>
          <cell r="AD749" t="b">
            <v>1</v>
          </cell>
          <cell r="AE749" t="b">
            <v>1</v>
          </cell>
          <cell r="AF749" t="b">
            <v>1</v>
          </cell>
          <cell r="AG749" t="b">
            <v>1</v>
          </cell>
          <cell r="AH749" t="b">
            <v>1</v>
          </cell>
          <cell r="AI749" t="b">
            <v>1</v>
          </cell>
          <cell r="AJ749" t="b">
            <v>1</v>
          </cell>
          <cell r="AK749" t="b">
            <v>1</v>
          </cell>
          <cell r="AL749" t="b">
            <v>1</v>
          </cell>
          <cell r="AM749" t="b">
            <v>1</v>
          </cell>
          <cell r="AN749" t="b">
            <v>1</v>
          </cell>
          <cell r="AO749" t="b">
            <v>1</v>
          </cell>
          <cell r="AP749" t="b">
            <v>1</v>
          </cell>
          <cell r="AQ749" t="b">
            <v>1</v>
          </cell>
          <cell r="AR749" t="b">
            <v>1</v>
          </cell>
          <cell r="AS749" t="b">
            <v>1</v>
          </cell>
          <cell r="AT749" t="b">
            <v>1</v>
          </cell>
          <cell r="AU749" t="b">
            <v>1</v>
          </cell>
          <cell r="AV749" t="b">
            <v>1</v>
          </cell>
          <cell r="AW749" t="b">
            <v>1</v>
          </cell>
          <cell r="AX749" t="b">
            <v>1</v>
          </cell>
          <cell r="AY749" t="b">
            <v>0</v>
          </cell>
          <cell r="AZ749" t="b">
            <v>0</v>
          </cell>
          <cell r="BA749" t="b">
            <v>0</v>
          </cell>
          <cell r="BB749" t="b">
            <v>0</v>
          </cell>
          <cell r="BC749" t="b">
            <v>0</v>
          </cell>
          <cell r="BD749" t="b">
            <v>0</v>
          </cell>
          <cell r="BE749" t="b">
            <v>0</v>
          </cell>
          <cell r="BF749" t="b">
            <v>0</v>
          </cell>
          <cell r="BG749"/>
          <cell r="BH749" t="b">
            <v>1</v>
          </cell>
          <cell r="BI749" t="b">
            <v>1</v>
          </cell>
          <cell r="BJ749" t="b">
            <v>1</v>
          </cell>
          <cell r="BK749" t="b">
            <v>1</v>
          </cell>
          <cell r="BL749" t="b">
            <v>1</v>
          </cell>
          <cell r="BM749" t="b">
            <v>1</v>
          </cell>
          <cell r="BN749" t="b">
            <v>1</v>
          </cell>
          <cell r="BO749" t="b">
            <v>1</v>
          </cell>
          <cell r="BP749" t="b">
            <v>1</v>
          </cell>
          <cell r="BQ749" t="b">
            <v>1</v>
          </cell>
          <cell r="BR749" t="b">
            <v>1</v>
          </cell>
          <cell r="BS749" t="b">
            <v>1</v>
          </cell>
          <cell r="BT749" t="b">
            <v>1</v>
          </cell>
          <cell r="BU749" t="b">
            <v>1</v>
          </cell>
          <cell r="BV749" t="b">
            <v>1</v>
          </cell>
          <cell r="BW749" t="b">
            <v>1</v>
          </cell>
          <cell r="BX749" t="b">
            <v>0</v>
          </cell>
          <cell r="BY749" t="b">
            <v>0</v>
          </cell>
          <cell r="BZ749" t="b">
            <v>0</v>
          </cell>
          <cell r="CA749" t="b">
            <v>0</v>
          </cell>
          <cell r="CB749" t="b">
            <v>0</v>
          </cell>
          <cell r="CC749"/>
        </row>
        <row r="750">
          <cell r="A750" t="str">
            <v>Stock High: Real-Time Off Source</v>
          </cell>
          <cell r="B750"/>
          <cell r="C750">
            <v>25.39</v>
          </cell>
          <cell r="D750">
            <v>22.4</v>
          </cell>
          <cell r="E750">
            <v>24.54</v>
          </cell>
          <cell r="F750">
            <v>30.89</v>
          </cell>
          <cell r="G750">
            <v>38.14</v>
          </cell>
          <cell r="H750">
            <v>31.66</v>
          </cell>
          <cell r="I750">
            <v>23.55</v>
          </cell>
          <cell r="J750">
            <v>26.2</v>
          </cell>
          <cell r="K750">
            <v>24.51</v>
          </cell>
          <cell r="L750">
            <v>16.59</v>
          </cell>
          <cell r="M750">
            <v>17.71</v>
          </cell>
          <cell r="N750">
            <v>17.63</v>
          </cell>
          <cell r="O750">
            <v>14.95</v>
          </cell>
          <cell r="P750">
            <v>14.45</v>
          </cell>
          <cell r="Q750">
            <v>11.19</v>
          </cell>
          <cell r="R750">
            <v>12.91</v>
          </cell>
          <cell r="S750">
            <v>14.41</v>
          </cell>
          <cell r="T750">
            <v>17.84</v>
          </cell>
          <cell r="U750">
            <v>20.67</v>
          </cell>
          <cell r="V750">
            <v>21.18</v>
          </cell>
          <cell r="W750">
            <v>18.79</v>
          </cell>
          <cell r="X750">
            <v>18.34</v>
          </cell>
          <cell r="Y750">
            <v>18.27</v>
          </cell>
          <cell r="Z750">
            <v>17.37</v>
          </cell>
          <cell r="AA750">
            <v>18.03</v>
          </cell>
          <cell r="AB750">
            <v>24.79</v>
          </cell>
          <cell r="AC750">
            <v>34.130000000000003</v>
          </cell>
          <cell r="AD750">
            <v>37</v>
          </cell>
          <cell r="AE750">
            <v>31.55</v>
          </cell>
          <cell r="AF750">
            <v>26.44</v>
          </cell>
          <cell r="AG750">
            <v>23.94</v>
          </cell>
          <cell r="AH750">
            <v>27.98</v>
          </cell>
          <cell r="AI750">
            <v>51.6</v>
          </cell>
          <cell r="AJ750">
            <v>30.99</v>
          </cell>
          <cell r="AK750">
            <v>31.2</v>
          </cell>
          <cell r="AL750">
            <v>34.44</v>
          </cell>
          <cell r="AM750">
            <v>36.369999999999997</v>
          </cell>
          <cell r="AN750">
            <v>37.700000000000003</v>
          </cell>
          <cell r="AO750">
            <v>36.68</v>
          </cell>
          <cell r="AP750">
            <v>41.31</v>
          </cell>
          <cell r="AQ750">
            <v>44.68</v>
          </cell>
          <cell r="AR750">
            <v>46.56</v>
          </cell>
          <cell r="AS750">
            <v>44.08</v>
          </cell>
          <cell r="AT750">
            <v>42.96</v>
          </cell>
          <cell r="AU750">
            <v>45.44</v>
          </cell>
          <cell r="AV750">
            <v>62.27</v>
          </cell>
          <cell r="AW750">
            <v>64.06</v>
          </cell>
          <cell r="AX750">
            <v>72.77</v>
          </cell>
          <cell r="AY750">
            <v>0</v>
          </cell>
          <cell r="AZ750">
            <v>0</v>
          </cell>
          <cell r="BA750">
            <v>0</v>
          </cell>
          <cell r="BB750">
            <v>0</v>
          </cell>
          <cell r="BC750">
            <v>0</v>
          </cell>
          <cell r="BD750">
            <v>0</v>
          </cell>
          <cell r="BE750">
            <v>0</v>
          </cell>
          <cell r="BF750">
            <v>0</v>
          </cell>
          <cell r="BG750"/>
          <cell r="BH750">
            <v>25.83</v>
          </cell>
          <cell r="BI750">
            <v>25.83</v>
          </cell>
          <cell r="BJ750">
            <v>39.74</v>
          </cell>
          <cell r="BK750">
            <v>37</v>
          </cell>
          <cell r="BL750">
            <v>30.89</v>
          </cell>
          <cell r="BM750">
            <v>38.14</v>
          </cell>
          <cell r="BN750">
            <v>24.51</v>
          </cell>
          <cell r="BO750">
            <v>14.95</v>
          </cell>
          <cell r="BP750">
            <v>21.18</v>
          </cell>
          <cell r="BQ750">
            <v>18.79</v>
          </cell>
          <cell r="BR750">
            <v>37</v>
          </cell>
          <cell r="BS750">
            <v>31.55</v>
          </cell>
          <cell r="BT750">
            <v>51.6</v>
          </cell>
          <cell r="BU750">
            <v>41.31</v>
          </cell>
          <cell r="BV750">
            <v>46.56</v>
          </cell>
          <cell r="BW750">
            <v>72.77</v>
          </cell>
          <cell r="BX750">
            <v>0</v>
          </cell>
          <cell r="BY750">
            <v>0</v>
          </cell>
          <cell r="BZ750">
            <v>0</v>
          </cell>
          <cell r="CA750">
            <v>0</v>
          </cell>
          <cell r="CB750">
            <v>0</v>
          </cell>
          <cell r="CC750"/>
        </row>
        <row r="751">
          <cell r="A751" t="str">
            <v>Real-Time Off Source</v>
          </cell>
          <cell r="B751"/>
          <cell r="C751">
            <v>25.39</v>
          </cell>
          <cell r="D751">
            <v>22.4</v>
          </cell>
          <cell r="E751">
            <v>24.54</v>
          </cell>
          <cell r="F751">
            <v>30.89</v>
          </cell>
          <cell r="G751">
            <v>38.14</v>
          </cell>
          <cell r="H751">
            <v>31.66</v>
          </cell>
          <cell r="I751">
            <v>23.55</v>
          </cell>
          <cell r="J751">
            <v>26.2</v>
          </cell>
          <cell r="K751">
            <v>24.51</v>
          </cell>
          <cell r="L751">
            <v>16.59</v>
          </cell>
          <cell r="M751">
            <v>17.71</v>
          </cell>
          <cell r="N751">
            <v>17.63</v>
          </cell>
          <cell r="O751">
            <v>14.95</v>
          </cell>
          <cell r="P751">
            <v>14.45</v>
          </cell>
          <cell r="Q751">
            <v>11.19</v>
          </cell>
          <cell r="R751">
            <v>12.91</v>
          </cell>
          <cell r="S751">
            <v>14.41</v>
          </cell>
          <cell r="T751">
            <v>17.84</v>
          </cell>
          <cell r="U751">
            <v>20.67</v>
          </cell>
          <cell r="V751">
            <v>21.18</v>
          </cell>
          <cell r="W751">
            <v>18.79</v>
          </cell>
          <cell r="X751">
            <v>18.34</v>
          </cell>
          <cell r="Y751">
            <v>18.27</v>
          </cell>
          <cell r="Z751">
            <v>17.37</v>
          </cell>
          <cell r="AA751">
            <v>18.03</v>
          </cell>
          <cell r="AB751">
            <v>24.79</v>
          </cell>
          <cell r="AC751">
            <v>34.130000000000003</v>
          </cell>
          <cell r="AD751">
            <v>37</v>
          </cell>
          <cell r="AE751">
            <v>31.55</v>
          </cell>
          <cell r="AF751">
            <v>26.44</v>
          </cell>
          <cell r="AG751">
            <v>23.94</v>
          </cell>
          <cell r="AH751">
            <v>27.98</v>
          </cell>
          <cell r="AI751">
            <v>51.6</v>
          </cell>
          <cell r="AJ751">
            <v>30.99</v>
          </cell>
          <cell r="AK751">
            <v>31.2</v>
          </cell>
          <cell r="AL751">
            <v>34.44</v>
          </cell>
          <cell r="AM751">
            <v>36.369999999999997</v>
          </cell>
          <cell r="AN751">
            <v>37.700000000000003</v>
          </cell>
          <cell r="AO751">
            <v>36.68</v>
          </cell>
          <cell r="AP751">
            <v>41.31</v>
          </cell>
          <cell r="AQ751">
            <v>44.68</v>
          </cell>
          <cell r="AR751">
            <v>46.56</v>
          </cell>
          <cell r="AS751">
            <v>44.08</v>
          </cell>
          <cell r="AT751">
            <v>42.96</v>
          </cell>
          <cell r="AU751">
            <v>45.44</v>
          </cell>
          <cell r="AV751">
            <v>62.27</v>
          </cell>
          <cell r="AW751">
            <v>64.06</v>
          </cell>
          <cell r="AX751">
            <v>72.77</v>
          </cell>
          <cell r="AY751"/>
          <cell r="AZ751"/>
          <cell r="BA751"/>
          <cell r="BB751"/>
          <cell r="BC751"/>
          <cell r="BD751"/>
          <cell r="BE751"/>
          <cell r="BF751"/>
          <cell r="BG751"/>
          <cell r="BH751">
            <v>25.83</v>
          </cell>
          <cell r="BI751">
            <v>25.83</v>
          </cell>
          <cell r="BJ751">
            <v>39.74</v>
          </cell>
          <cell r="BK751">
            <v>37</v>
          </cell>
          <cell r="BL751">
            <v>30.89</v>
          </cell>
          <cell r="BM751">
            <v>38.14</v>
          </cell>
          <cell r="BN751">
            <v>24.51</v>
          </cell>
          <cell r="BO751">
            <v>14.95</v>
          </cell>
          <cell r="BP751">
            <v>21.18</v>
          </cell>
          <cell r="BQ751">
            <v>18.79</v>
          </cell>
          <cell r="BR751">
            <v>37</v>
          </cell>
          <cell r="BS751">
            <v>31.55</v>
          </cell>
          <cell r="BT751">
            <v>51.6</v>
          </cell>
          <cell r="BU751">
            <v>41.31</v>
          </cell>
          <cell r="BV751">
            <v>46.56</v>
          </cell>
          <cell r="BW751">
            <v>72.77</v>
          </cell>
          <cell r="BX751"/>
          <cell r="BY751"/>
          <cell r="BZ751"/>
          <cell r="CA751"/>
          <cell r="CB751"/>
          <cell r="CC751"/>
        </row>
        <row r="752">
          <cell r="A752" t="str">
            <v>Bloomberg</v>
          </cell>
          <cell r="B752"/>
          <cell r="C752" t="str">
            <v>N/A</v>
          </cell>
          <cell r="D752" t="str">
            <v>N/A</v>
          </cell>
          <cell r="E752" t="str">
            <v>N/A</v>
          </cell>
          <cell r="F752" t="str">
            <v>N/A</v>
          </cell>
          <cell r="G752" t="str">
            <v>N/A</v>
          </cell>
          <cell r="H752" t="str">
            <v>N/A</v>
          </cell>
          <cell r="I752" t="str">
            <v>N/A</v>
          </cell>
          <cell r="J752" t="str">
            <v>N/A</v>
          </cell>
          <cell r="K752" t="str">
            <v>N/A</v>
          </cell>
          <cell r="L752" t="str">
            <v>N/A</v>
          </cell>
          <cell r="M752" t="str">
            <v>N/A</v>
          </cell>
          <cell r="N752" t="str">
            <v>N/A</v>
          </cell>
          <cell r="O752" t="str">
            <v>N/A</v>
          </cell>
          <cell r="P752" t="str">
            <v>N/A</v>
          </cell>
          <cell r="Q752" t="str">
            <v>N/A</v>
          </cell>
          <cell r="R752" t="str">
            <v>N/A</v>
          </cell>
          <cell r="S752" t="str">
            <v>N/A</v>
          </cell>
          <cell r="T752" t="str">
            <v>N/A</v>
          </cell>
          <cell r="U752" t="str">
            <v>N/A</v>
          </cell>
          <cell r="V752" t="str">
            <v>N/A</v>
          </cell>
          <cell r="W752" t="str">
            <v>N/A</v>
          </cell>
          <cell r="X752" t="str">
            <v>N/A</v>
          </cell>
          <cell r="Y752" t="str">
            <v>N/A</v>
          </cell>
          <cell r="Z752" t="str">
            <v>N/A</v>
          </cell>
          <cell r="AA752" t="str">
            <v>N/A</v>
          </cell>
          <cell r="AB752" t="str">
            <v>N/A</v>
          </cell>
          <cell r="AC752" t="str">
            <v>N/A</v>
          </cell>
          <cell r="AD752" t="str">
            <v>N/A</v>
          </cell>
          <cell r="AE752" t="str">
            <v>N/A</v>
          </cell>
          <cell r="AF752" t="str">
            <v>N/A</v>
          </cell>
          <cell r="AG752" t="str">
            <v>N/A</v>
          </cell>
          <cell r="AH752" t="str">
            <v>N/A</v>
          </cell>
          <cell r="AI752" t="str">
            <v>N/A</v>
          </cell>
          <cell r="AJ752" t="str">
            <v>N/A</v>
          </cell>
          <cell r="AK752" t="str">
            <v>N/A</v>
          </cell>
          <cell r="AL752" t="str">
            <v>N/A</v>
          </cell>
          <cell r="AM752" t="str">
            <v>N/A</v>
          </cell>
          <cell r="AN752" t="str">
            <v>N/A</v>
          </cell>
          <cell r="AO752" t="str">
            <v>N/A</v>
          </cell>
          <cell r="AP752" t="str">
            <v>N/A</v>
          </cell>
          <cell r="AQ752" t="str">
            <v>N/A</v>
          </cell>
          <cell r="AR752" t="str">
            <v>N/A</v>
          </cell>
          <cell r="AS752" t="str">
            <v>N/A</v>
          </cell>
          <cell r="AT752" t="str">
            <v>N/A</v>
          </cell>
          <cell r="AU752" t="str">
            <v>N/A</v>
          </cell>
          <cell r="AV752" t="str">
            <v>N/A</v>
          </cell>
          <cell r="AW752" t="str">
            <v>N/A</v>
          </cell>
          <cell r="AX752" t="str">
            <v>N/A</v>
          </cell>
          <cell r="AY752" t="str">
            <v>N/A</v>
          </cell>
          <cell r="AZ752" t="str">
            <v>N/A</v>
          </cell>
          <cell r="BA752" t="str">
            <v>N/A</v>
          </cell>
          <cell r="BB752" t="str">
            <v>N/A</v>
          </cell>
          <cell r="BC752" t="str">
            <v>N/A</v>
          </cell>
          <cell r="BD752" t="str">
            <v>N/A</v>
          </cell>
          <cell r="BE752" t="str">
            <v>N/A</v>
          </cell>
          <cell r="BF752" t="str">
            <v>N/A</v>
          </cell>
          <cell r="BG752"/>
          <cell r="BH752" t="str">
            <v>N/A</v>
          </cell>
          <cell r="BI752" t="str">
            <v>N/A</v>
          </cell>
          <cell r="BJ752" t="str">
            <v>N/A</v>
          </cell>
          <cell r="BK752" t="str">
            <v>N/A</v>
          </cell>
          <cell r="BL752" t="str">
            <v>N/A</v>
          </cell>
          <cell r="BM752" t="str">
            <v>N/A</v>
          </cell>
          <cell r="BN752" t="str">
            <v>N/A</v>
          </cell>
          <cell r="BO752" t="str">
            <v>N/A</v>
          </cell>
          <cell r="BP752" t="str">
            <v>N/A</v>
          </cell>
          <cell r="BQ752" t="str">
            <v>N/A</v>
          </cell>
          <cell r="BR752" t="str">
            <v>N/A</v>
          </cell>
          <cell r="BS752" t="str">
            <v>N/A</v>
          </cell>
          <cell r="BT752" t="str">
            <v>N/A</v>
          </cell>
          <cell r="BU752" t="str">
            <v>N/A</v>
          </cell>
          <cell r="BV752" t="str">
            <v>N/A</v>
          </cell>
          <cell r="BW752" t="str">
            <v>N/A</v>
          </cell>
          <cell r="BX752" t="str">
            <v>N/A</v>
          </cell>
          <cell r="BY752" t="str">
            <v>N/A</v>
          </cell>
          <cell r="BZ752" t="str">
            <v>N/A</v>
          </cell>
          <cell r="CA752" t="str">
            <v>N/A</v>
          </cell>
          <cell r="CB752" t="str">
            <v>N/A</v>
          </cell>
          <cell r="CC752"/>
        </row>
        <row r="753">
          <cell r="A753" t="str">
            <v>Capital IQ</v>
          </cell>
          <cell r="B753"/>
          <cell r="C753" t="str">
            <v>N/A</v>
          </cell>
          <cell r="D753" t="str">
            <v>N/A</v>
          </cell>
          <cell r="E753" t="str">
            <v>N/A</v>
          </cell>
          <cell r="F753" t="str">
            <v>N/A</v>
          </cell>
          <cell r="G753" t="str">
            <v>N/A</v>
          </cell>
          <cell r="H753" t="str">
            <v>N/A</v>
          </cell>
          <cell r="I753" t="str">
            <v>N/A</v>
          </cell>
          <cell r="J753" t="str">
            <v>N/A</v>
          </cell>
          <cell r="K753" t="str">
            <v>N/A</v>
          </cell>
          <cell r="L753" t="str">
            <v>N/A</v>
          </cell>
          <cell r="M753" t="str">
            <v>N/A</v>
          </cell>
          <cell r="N753" t="str">
            <v>N/A</v>
          </cell>
          <cell r="O753" t="str">
            <v>N/A</v>
          </cell>
          <cell r="P753" t="str">
            <v>N/A</v>
          </cell>
          <cell r="Q753" t="str">
            <v>N/A</v>
          </cell>
          <cell r="R753" t="str">
            <v>N/A</v>
          </cell>
          <cell r="S753" t="str">
            <v>N/A</v>
          </cell>
          <cell r="T753" t="str">
            <v>N/A</v>
          </cell>
          <cell r="U753" t="str">
            <v>N/A</v>
          </cell>
          <cell r="V753" t="str">
            <v>N/A</v>
          </cell>
          <cell r="W753" t="str">
            <v>N/A</v>
          </cell>
          <cell r="X753" t="str">
            <v>N/A</v>
          </cell>
          <cell r="Y753" t="str">
            <v>N/A</v>
          </cell>
          <cell r="Z753" t="str">
            <v>N/A</v>
          </cell>
          <cell r="AA753" t="str">
            <v>N/A</v>
          </cell>
          <cell r="AB753" t="str">
            <v>N/A</v>
          </cell>
          <cell r="AC753" t="str">
            <v>N/A</v>
          </cell>
          <cell r="AD753" t="str">
            <v>N/A</v>
          </cell>
          <cell r="AE753" t="str">
            <v>N/A</v>
          </cell>
          <cell r="AF753" t="str">
            <v>N/A</v>
          </cell>
          <cell r="AG753" t="str">
            <v>N/A</v>
          </cell>
          <cell r="AH753" t="str">
            <v>N/A</v>
          </cell>
          <cell r="AI753" t="str">
            <v>N/A</v>
          </cell>
          <cell r="AJ753" t="str">
            <v>N/A</v>
          </cell>
          <cell r="AK753" t="str">
            <v>N/A</v>
          </cell>
          <cell r="AL753" t="str">
            <v>N/A</v>
          </cell>
          <cell r="AM753" t="str">
            <v>N/A</v>
          </cell>
          <cell r="AN753" t="str">
            <v>N/A</v>
          </cell>
          <cell r="AO753" t="str">
            <v>N/A</v>
          </cell>
          <cell r="AP753" t="str">
            <v>N/A</v>
          </cell>
          <cell r="AQ753" t="str">
            <v>N/A</v>
          </cell>
          <cell r="AR753" t="str">
            <v>N/A</v>
          </cell>
          <cell r="AS753" t="str">
            <v>N/A</v>
          </cell>
          <cell r="AT753" t="str">
            <v>N/A</v>
          </cell>
          <cell r="AU753" t="str">
            <v>N/A</v>
          </cell>
          <cell r="AV753" t="str">
            <v>N/A</v>
          </cell>
          <cell r="AW753" t="str">
            <v>N/A</v>
          </cell>
          <cell r="AX753" t="str">
            <v>N/A</v>
          </cell>
          <cell r="AY753" t="str">
            <v>N/A</v>
          </cell>
          <cell r="AZ753" t="str">
            <v>N/A</v>
          </cell>
          <cell r="BA753" t="str">
            <v>N/A</v>
          </cell>
          <cell r="BB753" t="str">
            <v>N/A</v>
          </cell>
          <cell r="BC753" t="str">
            <v>N/A</v>
          </cell>
          <cell r="BD753" t="str">
            <v>N/A</v>
          </cell>
          <cell r="BE753" t="str">
            <v>N/A</v>
          </cell>
          <cell r="BF753" t="str">
            <v>N/A</v>
          </cell>
          <cell r="BG753"/>
          <cell r="BH753" t="str">
            <v>N/A</v>
          </cell>
          <cell r="BI753" t="str">
            <v>N/A</v>
          </cell>
          <cell r="BJ753" t="str">
            <v>N/A</v>
          </cell>
          <cell r="BK753" t="str">
            <v>N/A</v>
          </cell>
          <cell r="BL753" t="str">
            <v>N/A</v>
          </cell>
          <cell r="BM753" t="str">
            <v>N/A</v>
          </cell>
          <cell r="BN753" t="str">
            <v>N/A</v>
          </cell>
          <cell r="BO753" t="str">
            <v>N/A</v>
          </cell>
          <cell r="BP753" t="str">
            <v>N/A</v>
          </cell>
          <cell r="BQ753" t="str">
            <v>N/A</v>
          </cell>
          <cell r="BR753" t="str">
            <v>N/A</v>
          </cell>
          <cell r="BS753" t="str">
            <v>N/A</v>
          </cell>
          <cell r="BT753" t="str">
            <v>N/A</v>
          </cell>
          <cell r="BU753" t="str">
            <v>N/A</v>
          </cell>
          <cell r="BV753" t="str">
            <v>N/A</v>
          </cell>
          <cell r="BW753" t="str">
            <v>N/A</v>
          </cell>
          <cell r="BX753" t="str">
            <v>N/A</v>
          </cell>
          <cell r="BY753" t="str">
            <v>N/A</v>
          </cell>
          <cell r="BZ753" t="str">
            <v>N/A</v>
          </cell>
          <cell r="CA753" t="str">
            <v>N/A</v>
          </cell>
          <cell r="CB753" t="str">
            <v>N/A</v>
          </cell>
          <cell r="CC753"/>
        </row>
        <row r="754">
          <cell r="A754" t="str">
            <v>FactSet</v>
          </cell>
          <cell r="B754"/>
          <cell r="C754" t="str">
            <v>N/A</v>
          </cell>
          <cell r="D754" t="str">
            <v>N/A</v>
          </cell>
          <cell r="E754" t="str">
            <v>N/A</v>
          </cell>
          <cell r="F754" t="str">
            <v>N/A</v>
          </cell>
          <cell r="G754" t="str">
            <v>N/A</v>
          </cell>
          <cell r="H754" t="str">
            <v>N/A</v>
          </cell>
          <cell r="I754" t="str">
            <v>N/A</v>
          </cell>
          <cell r="J754" t="str">
            <v>N/A</v>
          </cell>
          <cell r="K754" t="str">
            <v>N/A</v>
          </cell>
          <cell r="L754" t="str">
            <v>N/A</v>
          </cell>
          <cell r="M754" t="str">
            <v>N/A</v>
          </cell>
          <cell r="N754" t="str">
            <v>N/A</v>
          </cell>
          <cell r="O754" t="str">
            <v>N/A</v>
          </cell>
          <cell r="P754" t="str">
            <v>N/A</v>
          </cell>
          <cell r="Q754" t="str">
            <v>N/A</v>
          </cell>
          <cell r="R754" t="str">
            <v>N/A</v>
          </cell>
          <cell r="S754" t="str">
            <v>N/A</v>
          </cell>
          <cell r="T754" t="str">
            <v>N/A</v>
          </cell>
          <cell r="U754" t="str">
            <v>N/A</v>
          </cell>
          <cell r="V754" t="str">
            <v>N/A</v>
          </cell>
          <cell r="W754" t="str">
            <v>N/A</v>
          </cell>
          <cell r="X754" t="str">
            <v>N/A</v>
          </cell>
          <cell r="Y754" t="str">
            <v>N/A</v>
          </cell>
          <cell r="Z754" t="str">
            <v>N/A</v>
          </cell>
          <cell r="AA754" t="str">
            <v>N/A</v>
          </cell>
          <cell r="AB754" t="str">
            <v>N/A</v>
          </cell>
          <cell r="AC754" t="str">
            <v>N/A</v>
          </cell>
          <cell r="AD754" t="str">
            <v>N/A</v>
          </cell>
          <cell r="AE754" t="str">
            <v>N/A</v>
          </cell>
          <cell r="AF754" t="str">
            <v>N/A</v>
          </cell>
          <cell r="AG754" t="str">
            <v>N/A</v>
          </cell>
          <cell r="AH754" t="str">
            <v>N/A</v>
          </cell>
          <cell r="AI754" t="str">
            <v>N/A</v>
          </cell>
          <cell r="AJ754" t="str">
            <v>N/A</v>
          </cell>
          <cell r="AK754" t="str">
            <v>N/A</v>
          </cell>
          <cell r="AL754" t="str">
            <v>N/A</v>
          </cell>
          <cell r="AM754" t="str">
            <v>N/A</v>
          </cell>
          <cell r="AN754" t="str">
            <v>N/A</v>
          </cell>
          <cell r="AO754" t="str">
            <v>N/A</v>
          </cell>
          <cell r="AP754" t="str">
            <v>N/A</v>
          </cell>
          <cell r="AQ754" t="str">
            <v>N/A</v>
          </cell>
          <cell r="AR754" t="str">
            <v>N/A</v>
          </cell>
          <cell r="AS754" t="str">
            <v>N/A</v>
          </cell>
          <cell r="AT754" t="str">
            <v>N/A</v>
          </cell>
          <cell r="AU754" t="str">
            <v>N/A</v>
          </cell>
          <cell r="AV754" t="str">
            <v>N/A</v>
          </cell>
          <cell r="AW754" t="str">
            <v>N/A</v>
          </cell>
          <cell r="AX754" t="str">
            <v>N/A</v>
          </cell>
          <cell r="AY754" t="str">
            <v>N/A</v>
          </cell>
          <cell r="AZ754" t="str">
            <v>N/A</v>
          </cell>
          <cell r="BA754" t="str">
            <v>N/A</v>
          </cell>
          <cell r="BB754" t="str">
            <v>N/A</v>
          </cell>
          <cell r="BC754" t="str">
            <v>N/A</v>
          </cell>
          <cell r="BD754" t="str">
            <v>N/A</v>
          </cell>
          <cell r="BE754" t="str">
            <v>N/A</v>
          </cell>
          <cell r="BF754" t="str">
            <v>N/A</v>
          </cell>
          <cell r="BG754"/>
          <cell r="BH754" t="str">
            <v>N/A</v>
          </cell>
          <cell r="BI754" t="str">
            <v>N/A</v>
          </cell>
          <cell r="BJ754" t="str">
            <v>N/A</v>
          </cell>
          <cell r="BK754" t="str">
            <v>N/A</v>
          </cell>
          <cell r="BL754" t="str">
            <v>N/A</v>
          </cell>
          <cell r="BM754" t="str">
            <v>N/A</v>
          </cell>
          <cell r="BN754" t="str">
            <v>N/A</v>
          </cell>
          <cell r="BO754" t="str">
            <v>N/A</v>
          </cell>
          <cell r="BP754" t="str">
            <v>N/A</v>
          </cell>
          <cell r="BQ754" t="str">
            <v>N/A</v>
          </cell>
          <cell r="BR754" t="str">
            <v>N/A</v>
          </cell>
          <cell r="BS754" t="str">
            <v>N/A</v>
          </cell>
          <cell r="BT754" t="str">
            <v>N/A</v>
          </cell>
          <cell r="BU754" t="str">
            <v>N/A</v>
          </cell>
          <cell r="BV754" t="str">
            <v>N/A</v>
          </cell>
          <cell r="BW754" t="str">
            <v>N/A</v>
          </cell>
          <cell r="BX754" t="str">
            <v>N/A</v>
          </cell>
          <cell r="BY754" t="str">
            <v>N/A</v>
          </cell>
          <cell r="BZ754" t="str">
            <v>N/A</v>
          </cell>
          <cell r="CA754" t="str">
            <v>N/A</v>
          </cell>
          <cell r="CB754" t="str">
            <v>N/A</v>
          </cell>
          <cell r="CC754"/>
        </row>
        <row r="755">
          <cell r="A755" t="str">
            <v>Refinitiv</v>
          </cell>
          <cell r="B755"/>
          <cell r="C755" t="str">
            <v>N/A</v>
          </cell>
          <cell r="D755" t="str">
            <v>N/A</v>
          </cell>
          <cell r="E755" t="str">
            <v>N/A</v>
          </cell>
          <cell r="F755" t="str">
            <v>N/A</v>
          </cell>
          <cell r="G755" t="str">
            <v>N/A</v>
          </cell>
          <cell r="H755" t="str">
            <v>N/A</v>
          </cell>
          <cell r="I755" t="str">
            <v>N/A</v>
          </cell>
          <cell r="J755" t="str">
            <v>N/A</v>
          </cell>
          <cell r="K755" t="str">
            <v>N/A</v>
          </cell>
          <cell r="L755" t="str">
            <v>N/A</v>
          </cell>
          <cell r="M755" t="str">
            <v>N/A</v>
          </cell>
          <cell r="N755" t="str">
            <v>N/A</v>
          </cell>
          <cell r="O755" t="str">
            <v>N/A</v>
          </cell>
          <cell r="P755" t="str">
            <v>N/A</v>
          </cell>
          <cell r="Q755" t="str">
            <v>N/A</v>
          </cell>
          <cell r="R755" t="str">
            <v>N/A</v>
          </cell>
          <cell r="S755" t="str">
            <v>N/A</v>
          </cell>
          <cell r="T755" t="str">
            <v>N/A</v>
          </cell>
          <cell r="U755" t="str">
            <v>N/A</v>
          </cell>
          <cell r="V755" t="str">
            <v>N/A</v>
          </cell>
          <cell r="W755" t="str">
            <v>N/A</v>
          </cell>
          <cell r="X755" t="str">
            <v>N/A</v>
          </cell>
          <cell r="Y755" t="str">
            <v>N/A</v>
          </cell>
          <cell r="Z755" t="str">
            <v>N/A</v>
          </cell>
          <cell r="AA755" t="str">
            <v>N/A</v>
          </cell>
          <cell r="AB755" t="str">
            <v>N/A</v>
          </cell>
          <cell r="AC755" t="str">
            <v>N/A</v>
          </cell>
          <cell r="AD755" t="str">
            <v>N/A</v>
          </cell>
          <cell r="AE755" t="str">
            <v>N/A</v>
          </cell>
          <cell r="AF755" t="str">
            <v>N/A</v>
          </cell>
          <cell r="AG755" t="str">
            <v>N/A</v>
          </cell>
          <cell r="AH755" t="str">
            <v>N/A</v>
          </cell>
          <cell r="AI755" t="str">
            <v>N/A</v>
          </cell>
          <cell r="AJ755" t="str">
            <v>N/A</v>
          </cell>
          <cell r="AK755" t="str">
            <v>N/A</v>
          </cell>
          <cell r="AL755" t="str">
            <v>N/A</v>
          </cell>
          <cell r="AM755" t="str">
            <v>N/A</v>
          </cell>
          <cell r="AN755" t="str">
            <v>N/A</v>
          </cell>
          <cell r="AO755" t="str">
            <v>N/A</v>
          </cell>
          <cell r="AP755" t="str">
            <v>N/A</v>
          </cell>
          <cell r="AQ755" t="str">
            <v>N/A</v>
          </cell>
          <cell r="AR755" t="str">
            <v>N/A</v>
          </cell>
          <cell r="AS755" t="str">
            <v>N/A</v>
          </cell>
          <cell r="AT755" t="str">
            <v>N/A</v>
          </cell>
          <cell r="AU755" t="str">
            <v>N/A</v>
          </cell>
          <cell r="AV755" t="str">
            <v>N/A</v>
          </cell>
          <cell r="AW755" t="str">
            <v>N/A</v>
          </cell>
          <cell r="AX755" t="str">
            <v>N/A</v>
          </cell>
          <cell r="AY755" t="str">
            <v>N/A</v>
          </cell>
          <cell r="AZ755" t="str">
            <v>N/A</v>
          </cell>
          <cell r="BA755" t="str">
            <v>N/A</v>
          </cell>
          <cell r="BB755" t="str">
            <v>N/A</v>
          </cell>
          <cell r="BC755" t="str">
            <v>N/A</v>
          </cell>
          <cell r="BD755" t="str">
            <v>N/A</v>
          </cell>
          <cell r="BE755" t="str">
            <v>N/A</v>
          </cell>
          <cell r="BF755" t="str">
            <v>N/A</v>
          </cell>
          <cell r="BG755"/>
          <cell r="BH755" t="str">
            <v>N/A</v>
          </cell>
          <cell r="BI755" t="str">
            <v>N/A</v>
          </cell>
          <cell r="BJ755" t="str">
            <v>N/A</v>
          </cell>
          <cell r="BK755" t="str">
            <v>N/A</v>
          </cell>
          <cell r="BL755" t="str">
            <v>N/A</v>
          </cell>
          <cell r="BM755" t="str">
            <v>N/A</v>
          </cell>
          <cell r="BN755" t="str">
            <v>N/A</v>
          </cell>
          <cell r="BO755" t="str">
            <v>N/A</v>
          </cell>
          <cell r="BP755" t="str">
            <v>N/A</v>
          </cell>
          <cell r="BQ755" t="str">
            <v>N/A</v>
          </cell>
          <cell r="BR755" t="str">
            <v>N/A</v>
          </cell>
          <cell r="BS755" t="str">
            <v>N/A</v>
          </cell>
          <cell r="BT755" t="str">
            <v>N/A</v>
          </cell>
          <cell r="BU755" t="str">
            <v>N/A</v>
          </cell>
          <cell r="BV755" t="str">
            <v>N/A</v>
          </cell>
          <cell r="BW755" t="str">
            <v>N/A</v>
          </cell>
          <cell r="BX755" t="str">
            <v>N/A</v>
          </cell>
          <cell r="BY755" t="str">
            <v>N/A</v>
          </cell>
          <cell r="BZ755" t="str">
            <v>N/A</v>
          </cell>
          <cell r="CA755" t="str">
            <v>N/A</v>
          </cell>
          <cell r="CB755" t="str">
            <v>N/A</v>
          </cell>
          <cell r="CC755"/>
        </row>
        <row r="756">
          <cell r="A756"/>
        </row>
        <row r="757">
          <cell r="A757" t="str">
            <v>Stock Low: Real-Time Off Source</v>
          </cell>
          <cell r="B757"/>
          <cell r="C757">
            <v>17.190000000000001</v>
          </cell>
          <cell r="D757">
            <v>15.83</v>
          </cell>
          <cell r="E757">
            <v>17.77</v>
          </cell>
          <cell r="F757">
            <v>23.24</v>
          </cell>
          <cell r="G757">
            <v>25.95</v>
          </cell>
          <cell r="H757">
            <v>17.149999999999999</v>
          </cell>
          <cell r="I757">
            <v>19.66</v>
          </cell>
          <cell r="J757">
            <v>21.14</v>
          </cell>
          <cell r="K757">
            <v>15.96</v>
          </cell>
          <cell r="L757">
            <v>11.08</v>
          </cell>
          <cell r="M757">
            <v>10.07</v>
          </cell>
          <cell r="N757">
            <v>12.53</v>
          </cell>
          <cell r="O757">
            <v>12.15</v>
          </cell>
          <cell r="P757">
            <v>8.8000000000000007</v>
          </cell>
          <cell r="Q757">
            <v>7.11</v>
          </cell>
          <cell r="R757">
            <v>9.16</v>
          </cell>
          <cell r="S757">
            <v>10.67</v>
          </cell>
          <cell r="T757">
            <v>10.17</v>
          </cell>
          <cell r="U757">
            <v>16.16</v>
          </cell>
          <cell r="V757">
            <v>17.16</v>
          </cell>
          <cell r="W757">
            <v>16.350000000000001</v>
          </cell>
          <cell r="X757">
            <v>15.07</v>
          </cell>
          <cell r="Y757">
            <v>14.01</v>
          </cell>
          <cell r="Z757">
            <v>12.72</v>
          </cell>
          <cell r="AA757">
            <v>16.170000000000002</v>
          </cell>
          <cell r="AB757">
            <v>16.38</v>
          </cell>
          <cell r="AC757">
            <v>23.93</v>
          </cell>
          <cell r="AD757">
            <v>28.37</v>
          </cell>
          <cell r="AE757">
            <v>26</v>
          </cell>
          <cell r="AF757">
            <v>18.96</v>
          </cell>
          <cell r="AG757">
            <v>15.86</v>
          </cell>
          <cell r="AH757">
            <v>17.850000000000001</v>
          </cell>
          <cell r="AI757">
            <v>26.34</v>
          </cell>
          <cell r="AJ757">
            <v>21.05</v>
          </cell>
          <cell r="AK757">
            <v>20.89</v>
          </cell>
          <cell r="AL757">
            <v>26.34</v>
          </cell>
          <cell r="AM757">
            <v>28.63</v>
          </cell>
          <cell r="AN757">
            <v>31.56</v>
          </cell>
          <cell r="AO757">
            <v>26.86</v>
          </cell>
          <cell r="AP757">
            <v>33.46</v>
          </cell>
          <cell r="AQ757">
            <v>35.15</v>
          </cell>
          <cell r="AR757">
            <v>31.28</v>
          </cell>
          <cell r="AS757">
            <v>31.77</v>
          </cell>
          <cell r="AT757">
            <v>37.229999999999997</v>
          </cell>
          <cell r="AU757">
            <v>35.82</v>
          </cell>
          <cell r="AV757">
            <v>43.81</v>
          </cell>
          <cell r="AW757">
            <v>55.38</v>
          </cell>
          <cell r="AX757">
            <v>56.53</v>
          </cell>
          <cell r="AY757">
            <v>0</v>
          </cell>
          <cell r="AZ757">
            <v>0</v>
          </cell>
          <cell r="BA757">
            <v>0</v>
          </cell>
          <cell r="BB757">
            <v>0</v>
          </cell>
          <cell r="BC757">
            <v>0</v>
          </cell>
          <cell r="BD757">
            <v>0</v>
          </cell>
          <cell r="BE757">
            <v>0</v>
          </cell>
          <cell r="BF757">
            <v>0</v>
          </cell>
          <cell r="BG757"/>
          <cell r="BH757">
            <v>15.28</v>
          </cell>
          <cell r="BI757">
            <v>15.28</v>
          </cell>
          <cell r="BJ757">
            <v>21.21</v>
          </cell>
          <cell r="BK757">
            <v>17.07</v>
          </cell>
          <cell r="BL757">
            <v>15.83</v>
          </cell>
          <cell r="BM757">
            <v>17.149999999999999</v>
          </cell>
          <cell r="BN757">
            <v>10.07</v>
          </cell>
          <cell r="BO757">
            <v>7.11</v>
          </cell>
          <cell r="BP757">
            <v>10.17</v>
          </cell>
          <cell r="BQ757">
            <v>12.72</v>
          </cell>
          <cell r="BR757">
            <v>16.170000000000002</v>
          </cell>
          <cell r="BS757">
            <v>15.86</v>
          </cell>
          <cell r="BT757">
            <v>20.89</v>
          </cell>
          <cell r="BU757">
            <v>26.86</v>
          </cell>
          <cell r="BV757">
            <v>31.28</v>
          </cell>
          <cell r="BW757">
            <v>35.82</v>
          </cell>
          <cell r="BX757">
            <v>0</v>
          </cell>
          <cell r="BY757">
            <v>0</v>
          </cell>
          <cell r="BZ757">
            <v>0</v>
          </cell>
          <cell r="CA757">
            <v>0</v>
          </cell>
          <cell r="CB757">
            <v>0</v>
          </cell>
          <cell r="CC757"/>
        </row>
        <row r="758">
          <cell r="A758" t="str">
            <v>Real-Time Off Source</v>
          </cell>
          <cell r="B758"/>
          <cell r="C758">
            <v>17.190000000000001</v>
          </cell>
          <cell r="D758">
            <v>15.83</v>
          </cell>
          <cell r="E758">
            <v>17.77</v>
          </cell>
          <cell r="F758">
            <v>23.24</v>
          </cell>
          <cell r="G758">
            <v>25.95</v>
          </cell>
          <cell r="H758">
            <v>17.149999999999999</v>
          </cell>
          <cell r="I758">
            <v>19.66</v>
          </cell>
          <cell r="J758">
            <v>21.14</v>
          </cell>
          <cell r="K758">
            <v>15.96</v>
          </cell>
          <cell r="L758">
            <v>11.08</v>
          </cell>
          <cell r="M758">
            <v>10.07</v>
          </cell>
          <cell r="N758">
            <v>12.53</v>
          </cell>
          <cell r="O758">
            <v>12.15</v>
          </cell>
          <cell r="P758">
            <v>8.8000000000000007</v>
          </cell>
          <cell r="Q758">
            <v>7.11</v>
          </cell>
          <cell r="R758">
            <v>9.16</v>
          </cell>
          <cell r="S758">
            <v>10.67</v>
          </cell>
          <cell r="T758">
            <v>10.17</v>
          </cell>
          <cell r="U758">
            <v>16.16</v>
          </cell>
          <cell r="V758">
            <v>17.16</v>
          </cell>
          <cell r="W758">
            <v>16.350000000000001</v>
          </cell>
          <cell r="X758">
            <v>15.07</v>
          </cell>
          <cell r="Y758">
            <v>14.01</v>
          </cell>
          <cell r="Z758">
            <v>12.72</v>
          </cell>
          <cell r="AA758">
            <v>16.170000000000002</v>
          </cell>
          <cell r="AB758">
            <v>16.38</v>
          </cell>
          <cell r="AC758">
            <v>23.93</v>
          </cell>
          <cell r="AD758">
            <v>28.37</v>
          </cell>
          <cell r="AE758">
            <v>26</v>
          </cell>
          <cell r="AF758">
            <v>18.96</v>
          </cell>
          <cell r="AG758">
            <v>15.86</v>
          </cell>
          <cell r="AH758">
            <v>17.850000000000001</v>
          </cell>
          <cell r="AI758">
            <v>26.34</v>
          </cell>
          <cell r="AJ758">
            <v>21.05</v>
          </cell>
          <cell r="AK758">
            <v>20.89</v>
          </cell>
          <cell r="AL758">
            <v>26.34</v>
          </cell>
          <cell r="AM758">
            <v>28.63</v>
          </cell>
          <cell r="AN758">
            <v>31.56</v>
          </cell>
          <cell r="AO758">
            <v>26.86</v>
          </cell>
          <cell r="AP758">
            <v>33.46</v>
          </cell>
          <cell r="AQ758">
            <v>35.15</v>
          </cell>
          <cell r="AR758">
            <v>31.28</v>
          </cell>
          <cell r="AS758">
            <v>31.77</v>
          </cell>
          <cell r="AT758">
            <v>37.229999999999997</v>
          </cell>
          <cell r="AU758">
            <v>35.82</v>
          </cell>
          <cell r="AV758">
            <v>43.81</v>
          </cell>
          <cell r="AW758">
            <v>55.38</v>
          </cell>
          <cell r="AX758">
            <v>56.53</v>
          </cell>
          <cell r="AY758"/>
          <cell r="AZ758"/>
          <cell r="BA758"/>
          <cell r="BB758"/>
          <cell r="BC758"/>
          <cell r="BD758"/>
          <cell r="BE758"/>
          <cell r="BF758"/>
          <cell r="BG758"/>
          <cell r="BH758">
            <v>15.28</v>
          </cell>
          <cell r="BI758">
            <v>15.28</v>
          </cell>
          <cell r="BJ758">
            <v>21.21</v>
          </cell>
          <cell r="BK758">
            <v>17.07</v>
          </cell>
          <cell r="BL758">
            <v>15.83</v>
          </cell>
          <cell r="BM758">
            <v>17.149999999999999</v>
          </cell>
          <cell r="BN758">
            <v>10.07</v>
          </cell>
          <cell r="BO758">
            <v>7.11</v>
          </cell>
          <cell r="BP758">
            <v>10.17</v>
          </cell>
          <cell r="BQ758">
            <v>12.72</v>
          </cell>
          <cell r="BR758">
            <v>16.170000000000002</v>
          </cell>
          <cell r="BS758">
            <v>15.86</v>
          </cell>
          <cell r="BT758">
            <v>20.89</v>
          </cell>
          <cell r="BU758">
            <v>26.86</v>
          </cell>
          <cell r="BV758">
            <v>31.28</v>
          </cell>
          <cell r="BW758">
            <v>35.82</v>
          </cell>
          <cell r="BX758"/>
          <cell r="BY758"/>
          <cell r="BZ758"/>
          <cell r="CA758"/>
          <cell r="CB758"/>
          <cell r="CC758"/>
        </row>
        <row r="759">
          <cell r="A759" t="str">
            <v>Bloomberg</v>
          </cell>
          <cell r="B759"/>
          <cell r="C759" t="str">
            <v>N/A</v>
          </cell>
          <cell r="D759" t="str">
            <v>N/A</v>
          </cell>
          <cell r="E759" t="str">
            <v>N/A</v>
          </cell>
          <cell r="F759" t="str">
            <v>N/A</v>
          </cell>
          <cell r="G759" t="str">
            <v>N/A</v>
          </cell>
          <cell r="H759" t="str">
            <v>N/A</v>
          </cell>
          <cell r="I759" t="str">
            <v>N/A</v>
          </cell>
          <cell r="J759" t="str">
            <v>N/A</v>
          </cell>
          <cell r="K759" t="str">
            <v>N/A</v>
          </cell>
          <cell r="L759" t="str">
            <v>N/A</v>
          </cell>
          <cell r="M759" t="str">
            <v>N/A</v>
          </cell>
          <cell r="N759" t="str">
            <v>N/A</v>
          </cell>
          <cell r="O759" t="str">
            <v>N/A</v>
          </cell>
          <cell r="P759" t="str">
            <v>N/A</v>
          </cell>
          <cell r="Q759" t="str">
            <v>N/A</v>
          </cell>
          <cell r="R759" t="str">
            <v>N/A</v>
          </cell>
          <cell r="S759" t="str">
            <v>N/A</v>
          </cell>
          <cell r="T759" t="str">
            <v>N/A</v>
          </cell>
          <cell r="U759" t="str">
            <v>N/A</v>
          </cell>
          <cell r="V759" t="str">
            <v>N/A</v>
          </cell>
          <cell r="W759" t="str">
            <v>N/A</v>
          </cell>
          <cell r="X759" t="str">
            <v>N/A</v>
          </cell>
          <cell r="Y759" t="str">
            <v>N/A</v>
          </cell>
          <cell r="Z759" t="str">
            <v>N/A</v>
          </cell>
          <cell r="AA759" t="str">
            <v>N/A</v>
          </cell>
          <cell r="AB759" t="str">
            <v>N/A</v>
          </cell>
          <cell r="AC759" t="str">
            <v>N/A</v>
          </cell>
          <cell r="AD759" t="str">
            <v>N/A</v>
          </cell>
          <cell r="AE759" t="str">
            <v>N/A</v>
          </cell>
          <cell r="AF759" t="str">
            <v>N/A</v>
          </cell>
          <cell r="AG759" t="str">
            <v>N/A</v>
          </cell>
          <cell r="AH759" t="str">
            <v>N/A</v>
          </cell>
          <cell r="AI759" t="str">
            <v>N/A</v>
          </cell>
          <cell r="AJ759" t="str">
            <v>N/A</v>
          </cell>
          <cell r="AK759" t="str">
            <v>N/A</v>
          </cell>
          <cell r="AL759" t="str">
            <v>N/A</v>
          </cell>
          <cell r="AM759" t="str">
            <v>N/A</v>
          </cell>
          <cell r="AN759" t="str">
            <v>N/A</v>
          </cell>
          <cell r="AO759" t="str">
            <v>N/A</v>
          </cell>
          <cell r="AP759" t="str">
            <v>N/A</v>
          </cell>
          <cell r="AQ759" t="str">
            <v>N/A</v>
          </cell>
          <cell r="AR759" t="str">
            <v>N/A</v>
          </cell>
          <cell r="AS759" t="str">
            <v>N/A</v>
          </cell>
          <cell r="AT759" t="str">
            <v>N/A</v>
          </cell>
          <cell r="AU759" t="str">
            <v>N/A</v>
          </cell>
          <cell r="AV759" t="str">
            <v>N/A</v>
          </cell>
          <cell r="AW759" t="str">
            <v>N/A</v>
          </cell>
          <cell r="AX759" t="str">
            <v>N/A</v>
          </cell>
          <cell r="AY759" t="str">
            <v>N/A</v>
          </cell>
          <cell r="AZ759" t="str">
            <v>N/A</v>
          </cell>
          <cell r="BA759" t="str">
            <v>N/A</v>
          </cell>
          <cell r="BB759" t="str">
            <v>N/A</v>
          </cell>
          <cell r="BC759" t="str">
            <v>N/A</v>
          </cell>
          <cell r="BD759" t="str">
            <v>N/A</v>
          </cell>
          <cell r="BE759" t="str">
            <v>N/A</v>
          </cell>
          <cell r="BF759" t="str">
            <v>N/A</v>
          </cell>
          <cell r="BG759"/>
          <cell r="BH759" t="str">
            <v>N/A</v>
          </cell>
          <cell r="BI759" t="str">
            <v>N/A</v>
          </cell>
          <cell r="BJ759" t="str">
            <v>N/A</v>
          </cell>
          <cell r="BK759" t="str">
            <v>N/A</v>
          </cell>
          <cell r="BL759" t="str">
            <v>N/A</v>
          </cell>
          <cell r="BM759" t="str">
            <v>N/A</v>
          </cell>
          <cell r="BN759" t="str">
            <v>N/A</v>
          </cell>
          <cell r="BO759" t="str">
            <v>N/A</v>
          </cell>
          <cell r="BP759" t="str">
            <v>N/A</v>
          </cell>
          <cell r="BQ759" t="str">
            <v>N/A</v>
          </cell>
          <cell r="BR759" t="str">
            <v>N/A</v>
          </cell>
          <cell r="BS759" t="str">
            <v>N/A</v>
          </cell>
          <cell r="BT759" t="str">
            <v>N/A</v>
          </cell>
          <cell r="BU759" t="str">
            <v>N/A</v>
          </cell>
          <cell r="BV759" t="str">
            <v>N/A</v>
          </cell>
          <cell r="BW759" t="str">
            <v>N/A</v>
          </cell>
          <cell r="BX759" t="str">
            <v>N/A</v>
          </cell>
          <cell r="BY759" t="str">
            <v>N/A</v>
          </cell>
          <cell r="BZ759" t="str">
            <v>N/A</v>
          </cell>
          <cell r="CA759" t="str">
            <v>N/A</v>
          </cell>
          <cell r="CB759" t="str">
            <v>N/A</v>
          </cell>
          <cell r="CC759"/>
        </row>
        <row r="760">
          <cell r="A760" t="str">
            <v>Capital IQ</v>
          </cell>
          <cell r="B760"/>
          <cell r="C760" t="str">
            <v>N/A</v>
          </cell>
          <cell r="D760" t="str">
            <v>N/A</v>
          </cell>
          <cell r="E760" t="str">
            <v>N/A</v>
          </cell>
          <cell r="F760" t="str">
            <v>N/A</v>
          </cell>
          <cell r="G760" t="str">
            <v>N/A</v>
          </cell>
          <cell r="H760" t="str">
            <v>N/A</v>
          </cell>
          <cell r="I760" t="str">
            <v>N/A</v>
          </cell>
          <cell r="J760" t="str">
            <v>N/A</v>
          </cell>
          <cell r="K760" t="str">
            <v>N/A</v>
          </cell>
          <cell r="L760" t="str">
            <v>N/A</v>
          </cell>
          <cell r="M760" t="str">
            <v>N/A</v>
          </cell>
          <cell r="N760" t="str">
            <v>N/A</v>
          </cell>
          <cell r="O760" t="str">
            <v>N/A</v>
          </cell>
          <cell r="P760" t="str">
            <v>N/A</v>
          </cell>
          <cell r="Q760" t="str">
            <v>N/A</v>
          </cell>
          <cell r="R760" t="str">
            <v>N/A</v>
          </cell>
          <cell r="S760" t="str">
            <v>N/A</v>
          </cell>
          <cell r="T760" t="str">
            <v>N/A</v>
          </cell>
          <cell r="U760" t="str">
            <v>N/A</v>
          </cell>
          <cell r="V760" t="str">
            <v>N/A</v>
          </cell>
          <cell r="W760" t="str">
            <v>N/A</v>
          </cell>
          <cell r="X760" t="str">
            <v>N/A</v>
          </cell>
          <cell r="Y760" t="str">
            <v>N/A</v>
          </cell>
          <cell r="Z760" t="str">
            <v>N/A</v>
          </cell>
          <cell r="AA760" t="str">
            <v>N/A</v>
          </cell>
          <cell r="AB760" t="str">
            <v>N/A</v>
          </cell>
          <cell r="AC760" t="str">
            <v>N/A</v>
          </cell>
          <cell r="AD760" t="str">
            <v>N/A</v>
          </cell>
          <cell r="AE760" t="str">
            <v>N/A</v>
          </cell>
          <cell r="AF760" t="str">
            <v>N/A</v>
          </cell>
          <cell r="AG760" t="str">
            <v>N/A</v>
          </cell>
          <cell r="AH760" t="str">
            <v>N/A</v>
          </cell>
          <cell r="AI760" t="str">
            <v>N/A</v>
          </cell>
          <cell r="AJ760" t="str">
            <v>N/A</v>
          </cell>
          <cell r="AK760" t="str">
            <v>N/A</v>
          </cell>
          <cell r="AL760" t="str">
            <v>N/A</v>
          </cell>
          <cell r="AM760" t="str">
            <v>N/A</v>
          </cell>
          <cell r="AN760" t="str">
            <v>N/A</v>
          </cell>
          <cell r="AO760" t="str">
            <v>N/A</v>
          </cell>
          <cell r="AP760" t="str">
            <v>N/A</v>
          </cell>
          <cell r="AQ760" t="str">
            <v>N/A</v>
          </cell>
          <cell r="AR760" t="str">
            <v>N/A</v>
          </cell>
          <cell r="AS760" t="str">
            <v>N/A</v>
          </cell>
          <cell r="AT760" t="str">
            <v>N/A</v>
          </cell>
          <cell r="AU760" t="str">
            <v>N/A</v>
          </cell>
          <cell r="AV760" t="str">
            <v>N/A</v>
          </cell>
          <cell r="AW760" t="str">
            <v>N/A</v>
          </cell>
          <cell r="AX760" t="str">
            <v>N/A</v>
          </cell>
          <cell r="AY760" t="str">
            <v>N/A</v>
          </cell>
          <cell r="AZ760" t="str">
            <v>N/A</v>
          </cell>
          <cell r="BA760" t="str">
            <v>N/A</v>
          </cell>
          <cell r="BB760" t="str">
            <v>N/A</v>
          </cell>
          <cell r="BC760" t="str">
            <v>N/A</v>
          </cell>
          <cell r="BD760" t="str">
            <v>N/A</v>
          </cell>
          <cell r="BE760" t="str">
            <v>N/A</v>
          </cell>
          <cell r="BF760" t="str">
            <v>N/A</v>
          </cell>
          <cell r="BG760"/>
          <cell r="BH760" t="str">
            <v>N/A</v>
          </cell>
          <cell r="BI760" t="str">
            <v>N/A</v>
          </cell>
          <cell r="BJ760" t="str">
            <v>N/A</v>
          </cell>
          <cell r="BK760" t="str">
            <v>N/A</v>
          </cell>
          <cell r="BL760" t="str">
            <v>N/A</v>
          </cell>
          <cell r="BM760" t="str">
            <v>N/A</v>
          </cell>
          <cell r="BN760" t="str">
            <v>N/A</v>
          </cell>
          <cell r="BO760" t="str">
            <v>N/A</v>
          </cell>
          <cell r="BP760" t="str">
            <v>N/A</v>
          </cell>
          <cell r="BQ760" t="str">
            <v>N/A</v>
          </cell>
          <cell r="BR760" t="str">
            <v>N/A</v>
          </cell>
          <cell r="BS760" t="str">
            <v>N/A</v>
          </cell>
          <cell r="BT760" t="str">
            <v>N/A</v>
          </cell>
          <cell r="BU760" t="str">
            <v>N/A</v>
          </cell>
          <cell r="BV760" t="str">
            <v>N/A</v>
          </cell>
          <cell r="BW760" t="str">
            <v>N/A</v>
          </cell>
          <cell r="BX760" t="str">
            <v>N/A</v>
          </cell>
          <cell r="BY760" t="str">
            <v>N/A</v>
          </cell>
          <cell r="BZ760" t="str">
            <v>N/A</v>
          </cell>
          <cell r="CA760" t="str">
            <v>N/A</v>
          </cell>
          <cell r="CB760" t="str">
            <v>N/A</v>
          </cell>
          <cell r="CC760"/>
        </row>
        <row r="761">
          <cell r="A761" t="str">
            <v>FactSet</v>
          </cell>
          <cell r="B761"/>
          <cell r="C761" t="str">
            <v>N/A</v>
          </cell>
          <cell r="D761" t="str">
            <v>N/A</v>
          </cell>
          <cell r="E761" t="str">
            <v>N/A</v>
          </cell>
          <cell r="F761" t="str">
            <v>N/A</v>
          </cell>
          <cell r="G761" t="str">
            <v>N/A</v>
          </cell>
          <cell r="H761" t="str">
            <v>N/A</v>
          </cell>
          <cell r="I761" t="str">
            <v>N/A</v>
          </cell>
          <cell r="J761" t="str">
            <v>N/A</v>
          </cell>
          <cell r="K761" t="str">
            <v>N/A</v>
          </cell>
          <cell r="L761" t="str">
            <v>N/A</v>
          </cell>
          <cell r="M761" t="str">
            <v>N/A</v>
          </cell>
          <cell r="N761" t="str">
            <v>N/A</v>
          </cell>
          <cell r="O761" t="str">
            <v>N/A</v>
          </cell>
          <cell r="P761" t="str">
            <v>N/A</v>
          </cell>
          <cell r="Q761" t="str">
            <v>N/A</v>
          </cell>
          <cell r="R761" t="str">
            <v>N/A</v>
          </cell>
          <cell r="S761" t="str">
            <v>N/A</v>
          </cell>
          <cell r="T761" t="str">
            <v>N/A</v>
          </cell>
          <cell r="U761" t="str">
            <v>N/A</v>
          </cell>
          <cell r="V761" t="str">
            <v>N/A</v>
          </cell>
          <cell r="W761" t="str">
            <v>N/A</v>
          </cell>
          <cell r="X761" t="str">
            <v>N/A</v>
          </cell>
          <cell r="Y761" t="str">
            <v>N/A</v>
          </cell>
          <cell r="Z761" t="str">
            <v>N/A</v>
          </cell>
          <cell r="AA761" t="str">
            <v>N/A</v>
          </cell>
          <cell r="AB761" t="str">
            <v>N/A</v>
          </cell>
          <cell r="AC761" t="str">
            <v>N/A</v>
          </cell>
          <cell r="AD761" t="str">
            <v>N/A</v>
          </cell>
          <cell r="AE761" t="str">
            <v>N/A</v>
          </cell>
          <cell r="AF761" t="str">
            <v>N/A</v>
          </cell>
          <cell r="AG761" t="str">
            <v>N/A</v>
          </cell>
          <cell r="AH761" t="str">
            <v>N/A</v>
          </cell>
          <cell r="AI761" t="str">
            <v>N/A</v>
          </cell>
          <cell r="AJ761" t="str">
            <v>N/A</v>
          </cell>
          <cell r="AK761" t="str">
            <v>N/A</v>
          </cell>
          <cell r="AL761" t="str">
            <v>N/A</v>
          </cell>
          <cell r="AM761" t="str">
            <v>N/A</v>
          </cell>
          <cell r="AN761" t="str">
            <v>N/A</v>
          </cell>
          <cell r="AO761" t="str">
            <v>N/A</v>
          </cell>
          <cell r="AP761" t="str">
            <v>N/A</v>
          </cell>
          <cell r="AQ761" t="str">
            <v>N/A</v>
          </cell>
          <cell r="AR761" t="str">
            <v>N/A</v>
          </cell>
          <cell r="AS761" t="str">
            <v>N/A</v>
          </cell>
          <cell r="AT761" t="str">
            <v>N/A</v>
          </cell>
          <cell r="AU761" t="str">
            <v>N/A</v>
          </cell>
          <cell r="AV761" t="str">
            <v>N/A</v>
          </cell>
          <cell r="AW761" t="str">
            <v>N/A</v>
          </cell>
          <cell r="AX761" t="str">
            <v>N/A</v>
          </cell>
          <cell r="AY761" t="str">
            <v>N/A</v>
          </cell>
          <cell r="AZ761" t="str">
            <v>N/A</v>
          </cell>
          <cell r="BA761" t="str">
            <v>N/A</v>
          </cell>
          <cell r="BB761" t="str">
            <v>N/A</v>
          </cell>
          <cell r="BC761" t="str">
            <v>N/A</v>
          </cell>
          <cell r="BD761" t="str">
            <v>N/A</v>
          </cell>
          <cell r="BE761" t="str">
            <v>N/A</v>
          </cell>
          <cell r="BF761" t="str">
            <v>N/A</v>
          </cell>
          <cell r="BG761"/>
          <cell r="BH761" t="str">
            <v>N/A</v>
          </cell>
          <cell r="BI761" t="str">
            <v>N/A</v>
          </cell>
          <cell r="BJ761" t="str">
            <v>N/A</v>
          </cell>
          <cell r="BK761" t="str">
            <v>N/A</v>
          </cell>
          <cell r="BL761" t="str">
            <v>N/A</v>
          </cell>
          <cell r="BM761" t="str">
            <v>N/A</v>
          </cell>
          <cell r="BN761" t="str">
            <v>N/A</v>
          </cell>
          <cell r="BO761" t="str">
            <v>N/A</v>
          </cell>
          <cell r="BP761" t="str">
            <v>N/A</v>
          </cell>
          <cell r="BQ761" t="str">
            <v>N/A</v>
          </cell>
          <cell r="BR761" t="str">
            <v>N/A</v>
          </cell>
          <cell r="BS761" t="str">
            <v>N/A</v>
          </cell>
          <cell r="BT761" t="str">
            <v>N/A</v>
          </cell>
          <cell r="BU761" t="str">
            <v>N/A</v>
          </cell>
          <cell r="BV761" t="str">
            <v>N/A</v>
          </cell>
          <cell r="BW761" t="str">
            <v>N/A</v>
          </cell>
          <cell r="BX761" t="str">
            <v>N/A</v>
          </cell>
          <cell r="BY761" t="str">
            <v>N/A</v>
          </cell>
          <cell r="BZ761" t="str">
            <v>N/A</v>
          </cell>
          <cell r="CA761" t="str">
            <v>N/A</v>
          </cell>
          <cell r="CB761" t="str">
            <v>N/A</v>
          </cell>
          <cell r="CC761"/>
        </row>
        <row r="762">
          <cell r="A762" t="str">
            <v>Refinitiv</v>
          </cell>
          <cell r="B762"/>
          <cell r="C762" t="str">
            <v>N/A</v>
          </cell>
          <cell r="D762" t="str">
            <v>N/A</v>
          </cell>
          <cell r="E762" t="str">
            <v>N/A</v>
          </cell>
          <cell r="F762" t="str">
            <v>N/A</v>
          </cell>
          <cell r="G762" t="str">
            <v>N/A</v>
          </cell>
          <cell r="H762" t="str">
            <v>N/A</v>
          </cell>
          <cell r="I762" t="str">
            <v>N/A</v>
          </cell>
          <cell r="J762" t="str">
            <v>N/A</v>
          </cell>
          <cell r="K762" t="str">
            <v>N/A</v>
          </cell>
          <cell r="L762" t="str">
            <v>N/A</v>
          </cell>
          <cell r="M762" t="str">
            <v>N/A</v>
          </cell>
          <cell r="N762" t="str">
            <v>N/A</v>
          </cell>
          <cell r="O762" t="str">
            <v>N/A</v>
          </cell>
          <cell r="P762" t="str">
            <v>N/A</v>
          </cell>
          <cell r="Q762" t="str">
            <v>N/A</v>
          </cell>
          <cell r="R762" t="str">
            <v>N/A</v>
          </cell>
          <cell r="S762" t="str">
            <v>N/A</v>
          </cell>
          <cell r="T762" t="str">
            <v>N/A</v>
          </cell>
          <cell r="U762" t="str">
            <v>N/A</v>
          </cell>
          <cell r="V762" t="str">
            <v>N/A</v>
          </cell>
          <cell r="W762" t="str">
            <v>N/A</v>
          </cell>
          <cell r="X762" t="str">
            <v>N/A</v>
          </cell>
          <cell r="Y762" t="str">
            <v>N/A</v>
          </cell>
          <cell r="Z762" t="str">
            <v>N/A</v>
          </cell>
          <cell r="AA762" t="str">
            <v>N/A</v>
          </cell>
          <cell r="AB762" t="str">
            <v>N/A</v>
          </cell>
          <cell r="AC762" t="str">
            <v>N/A</v>
          </cell>
          <cell r="AD762" t="str">
            <v>N/A</v>
          </cell>
          <cell r="AE762" t="str">
            <v>N/A</v>
          </cell>
          <cell r="AF762" t="str">
            <v>N/A</v>
          </cell>
          <cell r="AG762" t="str">
            <v>N/A</v>
          </cell>
          <cell r="AH762" t="str">
            <v>N/A</v>
          </cell>
          <cell r="AI762" t="str">
            <v>N/A</v>
          </cell>
          <cell r="AJ762" t="str">
            <v>N/A</v>
          </cell>
          <cell r="AK762" t="str">
            <v>N/A</v>
          </cell>
          <cell r="AL762" t="str">
            <v>N/A</v>
          </cell>
          <cell r="AM762" t="str">
            <v>N/A</v>
          </cell>
          <cell r="AN762" t="str">
            <v>N/A</v>
          </cell>
          <cell r="AO762" t="str">
            <v>N/A</v>
          </cell>
          <cell r="AP762" t="str">
            <v>N/A</v>
          </cell>
          <cell r="AQ762" t="str">
            <v>N/A</v>
          </cell>
          <cell r="AR762" t="str">
            <v>N/A</v>
          </cell>
          <cell r="AS762" t="str">
            <v>N/A</v>
          </cell>
          <cell r="AT762" t="str">
            <v>N/A</v>
          </cell>
          <cell r="AU762" t="str">
            <v>N/A</v>
          </cell>
          <cell r="AV762" t="str">
            <v>N/A</v>
          </cell>
          <cell r="AW762" t="str">
            <v>N/A</v>
          </cell>
          <cell r="AX762" t="str">
            <v>N/A</v>
          </cell>
          <cell r="AY762" t="str">
            <v>N/A</v>
          </cell>
          <cell r="AZ762" t="str">
            <v>N/A</v>
          </cell>
          <cell r="BA762" t="str">
            <v>N/A</v>
          </cell>
          <cell r="BB762" t="str">
            <v>N/A</v>
          </cell>
          <cell r="BC762" t="str">
            <v>N/A</v>
          </cell>
          <cell r="BD762" t="str">
            <v>N/A</v>
          </cell>
          <cell r="BE762" t="str">
            <v>N/A</v>
          </cell>
          <cell r="BF762" t="str">
            <v>N/A</v>
          </cell>
          <cell r="BG762"/>
          <cell r="BH762" t="str">
            <v>N/A</v>
          </cell>
          <cell r="BI762" t="str">
            <v>N/A</v>
          </cell>
          <cell r="BJ762" t="str">
            <v>N/A</v>
          </cell>
          <cell r="BK762" t="str">
            <v>N/A</v>
          </cell>
          <cell r="BL762" t="str">
            <v>N/A</v>
          </cell>
          <cell r="BM762" t="str">
            <v>N/A</v>
          </cell>
          <cell r="BN762" t="str">
            <v>N/A</v>
          </cell>
          <cell r="BO762" t="str">
            <v>N/A</v>
          </cell>
          <cell r="BP762" t="str">
            <v>N/A</v>
          </cell>
          <cell r="BQ762" t="str">
            <v>N/A</v>
          </cell>
          <cell r="BR762" t="str">
            <v>N/A</v>
          </cell>
          <cell r="BS762" t="str">
            <v>N/A</v>
          </cell>
          <cell r="BT762" t="str">
            <v>N/A</v>
          </cell>
          <cell r="BU762" t="str">
            <v>N/A</v>
          </cell>
          <cell r="BV762" t="str">
            <v>N/A</v>
          </cell>
          <cell r="BW762" t="str">
            <v>N/A</v>
          </cell>
          <cell r="BX762" t="str">
            <v>N/A</v>
          </cell>
          <cell r="BY762" t="str">
            <v>N/A</v>
          </cell>
          <cell r="BZ762" t="str">
            <v>N/A</v>
          </cell>
          <cell r="CA762" t="str">
            <v>N/A</v>
          </cell>
          <cell r="CB762" t="str">
            <v>N/A</v>
          </cell>
          <cell r="CC762"/>
        </row>
        <row r="763">
          <cell r="A763"/>
        </row>
        <row r="764">
          <cell r="A764" t="str">
            <v>Stock Average: Real-Time Off Source</v>
          </cell>
          <cell r="B764"/>
          <cell r="C764">
            <v>21.29</v>
          </cell>
          <cell r="D764">
            <v>19.114999999999998</v>
          </cell>
          <cell r="E764">
            <v>21.155000000000001</v>
          </cell>
          <cell r="F764">
            <v>27.065000000000001</v>
          </cell>
          <cell r="G764">
            <v>32.045000000000002</v>
          </cell>
          <cell r="H764">
            <v>24.405000000000001</v>
          </cell>
          <cell r="I764">
            <v>21.605</v>
          </cell>
          <cell r="J764">
            <v>23.67</v>
          </cell>
          <cell r="K764">
            <v>20.234999999999999</v>
          </cell>
          <cell r="L764">
            <v>13.835000000000001</v>
          </cell>
          <cell r="M764">
            <v>13.89</v>
          </cell>
          <cell r="N764">
            <v>15.08</v>
          </cell>
          <cell r="O764">
            <v>13.55</v>
          </cell>
          <cell r="P764">
            <v>11.625</v>
          </cell>
          <cell r="Q764">
            <v>9.15</v>
          </cell>
          <cell r="R764">
            <v>11.035</v>
          </cell>
          <cell r="S764">
            <v>12.54</v>
          </cell>
          <cell r="T764">
            <v>14.005000000000001</v>
          </cell>
          <cell r="U764">
            <v>18.414999999999999</v>
          </cell>
          <cell r="V764">
            <v>19.170000000000002</v>
          </cell>
          <cell r="W764">
            <v>17.57</v>
          </cell>
          <cell r="X764">
            <v>16.704999999999998</v>
          </cell>
          <cell r="Y764">
            <v>16.14</v>
          </cell>
          <cell r="Z764">
            <v>15.045</v>
          </cell>
          <cell r="AA764">
            <v>17.076984126984101</v>
          </cell>
          <cell r="AB764">
            <v>21.332063492063501</v>
          </cell>
          <cell r="AC764">
            <v>30.490491803278701</v>
          </cell>
          <cell r="AD764">
            <v>32.176507936507903</v>
          </cell>
          <cell r="AE764">
            <v>28.723749999999999</v>
          </cell>
          <cell r="AF764">
            <v>21.356718749999999</v>
          </cell>
          <cell r="AG764">
            <v>18.446935483870998</v>
          </cell>
          <cell r="AH764">
            <v>24.053492063492101</v>
          </cell>
          <cell r="AI764">
            <v>38.671875</v>
          </cell>
          <cell r="AJ764">
            <v>24.83171875</v>
          </cell>
          <cell r="AK764">
            <v>25.9619672131148</v>
          </cell>
          <cell r="AL764">
            <v>29.8095238095238</v>
          </cell>
          <cell r="AM764">
            <v>32.806093750000002</v>
          </cell>
          <cell r="AN764">
            <v>34.519374999999997</v>
          </cell>
          <cell r="AO764">
            <v>33.188709677419297</v>
          </cell>
          <cell r="AP764">
            <v>37.030645161290302</v>
          </cell>
          <cell r="AQ764">
            <v>40.293437500000003</v>
          </cell>
          <cell r="AR764">
            <v>36.712222222222202</v>
          </cell>
          <cell r="AS764">
            <v>39.240161290322597</v>
          </cell>
          <cell r="AT764">
            <v>40.010483870967803</v>
          </cell>
          <cell r="AU764">
            <v>40.673015873015899</v>
          </cell>
          <cell r="AV764">
            <v>54.7350793650794</v>
          </cell>
          <cell r="AW764">
            <v>60.2977049180328</v>
          </cell>
          <cell r="AX764">
            <v>66.691587301587305</v>
          </cell>
          <cell r="AY764">
            <v>0</v>
          </cell>
          <cell r="AZ764">
            <v>0</v>
          </cell>
          <cell r="BA764">
            <v>0</v>
          </cell>
          <cell r="BB764">
            <v>0</v>
          </cell>
          <cell r="BC764">
            <v>0</v>
          </cell>
          <cell r="BD764">
            <v>0</v>
          </cell>
          <cell r="BE764">
            <v>0</v>
          </cell>
          <cell r="BF764">
            <v>0</v>
          </cell>
          <cell r="BG764"/>
          <cell r="BH764">
            <v>20.493749999999999</v>
          </cell>
          <cell r="BI764">
            <v>20.493749999999999</v>
          </cell>
          <cell r="BJ764">
            <v>29.46875</v>
          </cell>
          <cell r="BK764">
            <v>25.161249999999999</v>
          </cell>
          <cell r="BL764">
            <v>22.15625</v>
          </cell>
          <cell r="BM764">
            <v>25.431249999999999</v>
          </cell>
          <cell r="BN764">
            <v>15.76</v>
          </cell>
          <cell r="BO764">
            <v>11.34</v>
          </cell>
          <cell r="BP764">
            <v>16.032499999999999</v>
          </cell>
          <cell r="BQ764">
            <v>16.364999999999998</v>
          </cell>
          <cell r="BR764">
            <v>25.227239999999998</v>
          </cell>
          <cell r="BS764">
            <v>23.178774703557298</v>
          </cell>
          <cell r="BT764">
            <v>29.864722222222198</v>
          </cell>
          <cell r="BU764">
            <v>34.374722222222204</v>
          </cell>
          <cell r="BV764">
            <v>39.0645019920319</v>
          </cell>
          <cell r="BW764">
            <v>55.56176</v>
          </cell>
          <cell r="BX764">
            <v>0</v>
          </cell>
          <cell r="BY764">
            <v>0</v>
          </cell>
          <cell r="BZ764">
            <v>0</v>
          </cell>
          <cell r="CA764">
            <v>0</v>
          </cell>
          <cell r="CB764">
            <v>0</v>
          </cell>
          <cell r="CC764"/>
        </row>
        <row r="765">
          <cell r="A765" t="str">
            <v>Real-Time Off Source</v>
          </cell>
          <cell r="B765"/>
          <cell r="C765">
            <v>21.29</v>
          </cell>
          <cell r="D765">
            <v>19.114999999999998</v>
          </cell>
          <cell r="E765">
            <v>21.155000000000001</v>
          </cell>
          <cell r="F765">
            <v>27.065000000000001</v>
          </cell>
          <cell r="G765">
            <v>32.045000000000002</v>
          </cell>
          <cell r="H765">
            <v>24.405000000000001</v>
          </cell>
          <cell r="I765">
            <v>21.605</v>
          </cell>
          <cell r="J765">
            <v>23.67</v>
          </cell>
          <cell r="K765">
            <v>20.234999999999999</v>
          </cell>
          <cell r="L765">
            <v>13.835000000000001</v>
          </cell>
          <cell r="M765">
            <v>13.89</v>
          </cell>
          <cell r="N765">
            <v>15.08</v>
          </cell>
          <cell r="O765">
            <v>13.55</v>
          </cell>
          <cell r="P765">
            <v>11.625</v>
          </cell>
          <cell r="Q765">
            <v>9.15</v>
          </cell>
          <cell r="R765">
            <v>11.035</v>
          </cell>
          <cell r="S765">
            <v>12.54</v>
          </cell>
          <cell r="T765">
            <v>14.005000000000001</v>
          </cell>
          <cell r="U765">
            <v>18.414999999999999</v>
          </cell>
          <cell r="V765">
            <v>19.170000000000002</v>
          </cell>
          <cell r="W765">
            <v>17.57</v>
          </cell>
          <cell r="X765">
            <v>16.704999999999998</v>
          </cell>
          <cell r="Y765">
            <v>16.14</v>
          </cell>
          <cell r="Z765">
            <v>15.045</v>
          </cell>
          <cell r="AA765">
            <v>17.076984126984101</v>
          </cell>
          <cell r="AB765">
            <v>21.332063492063501</v>
          </cell>
          <cell r="AC765">
            <v>30.490491803278701</v>
          </cell>
          <cell r="AD765">
            <v>32.176507936507903</v>
          </cell>
          <cell r="AE765">
            <v>28.723749999999999</v>
          </cell>
          <cell r="AF765">
            <v>21.356718749999999</v>
          </cell>
          <cell r="AG765">
            <v>18.446935483870998</v>
          </cell>
          <cell r="AH765">
            <v>24.053492063492101</v>
          </cell>
          <cell r="AI765">
            <v>38.671875</v>
          </cell>
          <cell r="AJ765">
            <v>24.83171875</v>
          </cell>
          <cell r="AK765">
            <v>25.9619672131148</v>
          </cell>
          <cell r="AL765">
            <v>29.8095238095238</v>
          </cell>
          <cell r="AM765">
            <v>32.806093750000002</v>
          </cell>
          <cell r="AN765">
            <v>34.519374999999997</v>
          </cell>
          <cell r="AO765">
            <v>33.188709677419297</v>
          </cell>
          <cell r="AP765">
            <v>37.030645161290302</v>
          </cell>
          <cell r="AQ765">
            <v>40.293437500000003</v>
          </cell>
          <cell r="AR765">
            <v>36.712222222222202</v>
          </cell>
          <cell r="AS765">
            <v>39.240161290322597</v>
          </cell>
          <cell r="AT765">
            <v>40.010483870967803</v>
          </cell>
          <cell r="AU765">
            <v>40.673015873015899</v>
          </cell>
          <cell r="AV765">
            <v>54.7350793650794</v>
          </cell>
          <cell r="AW765">
            <v>60.2977049180328</v>
          </cell>
          <cell r="AX765">
            <v>66.691587301587305</v>
          </cell>
          <cell r="AY765"/>
          <cell r="AZ765"/>
          <cell r="BA765"/>
          <cell r="BB765"/>
          <cell r="BC765"/>
          <cell r="BD765"/>
          <cell r="BE765"/>
          <cell r="BF765"/>
          <cell r="BG765"/>
          <cell r="BH765">
            <v>20.493749999999999</v>
          </cell>
          <cell r="BI765">
            <v>20.493749999999999</v>
          </cell>
          <cell r="BJ765">
            <v>29.46875</v>
          </cell>
          <cell r="BK765">
            <v>25.161249999999999</v>
          </cell>
          <cell r="BL765">
            <v>22.15625</v>
          </cell>
          <cell r="BM765">
            <v>25.431249999999999</v>
          </cell>
          <cell r="BN765">
            <v>15.76</v>
          </cell>
          <cell r="BO765">
            <v>11.34</v>
          </cell>
          <cell r="BP765">
            <v>16.032499999999999</v>
          </cell>
          <cell r="BQ765">
            <v>16.364999999999998</v>
          </cell>
          <cell r="BR765">
            <v>25.227239999999998</v>
          </cell>
          <cell r="BS765">
            <v>23.178774703557298</v>
          </cell>
          <cell r="BT765">
            <v>29.864722222222198</v>
          </cell>
          <cell r="BU765">
            <v>34.374722222222204</v>
          </cell>
          <cell r="BV765">
            <v>39.0645019920319</v>
          </cell>
          <cell r="BW765">
            <v>55.56176</v>
          </cell>
          <cell r="BX765"/>
          <cell r="BY765"/>
          <cell r="BZ765"/>
          <cell r="CA765"/>
          <cell r="CB765"/>
          <cell r="CC765"/>
        </row>
        <row r="766">
          <cell r="A766" t="str">
            <v>Bloomberg</v>
          </cell>
          <cell r="B766"/>
          <cell r="C766" t="str">
            <v>N/A</v>
          </cell>
          <cell r="D766" t="str">
            <v>N/A</v>
          </cell>
          <cell r="E766" t="str">
            <v>N/A</v>
          </cell>
          <cell r="F766" t="str">
            <v>N/A</v>
          </cell>
          <cell r="G766" t="str">
            <v>N/A</v>
          </cell>
          <cell r="H766" t="str">
            <v>N/A</v>
          </cell>
          <cell r="I766" t="str">
            <v>N/A</v>
          </cell>
          <cell r="J766" t="str">
            <v>N/A</v>
          </cell>
          <cell r="K766" t="str">
            <v>N/A</v>
          </cell>
          <cell r="L766" t="str">
            <v>N/A</v>
          </cell>
          <cell r="M766" t="str">
            <v>N/A</v>
          </cell>
          <cell r="N766" t="str">
            <v>N/A</v>
          </cell>
          <cell r="O766" t="str">
            <v>N/A</v>
          </cell>
          <cell r="P766" t="str">
            <v>N/A</v>
          </cell>
          <cell r="Q766" t="str">
            <v>N/A</v>
          </cell>
          <cell r="R766" t="str">
            <v>N/A</v>
          </cell>
          <cell r="S766" t="str">
            <v>N/A</v>
          </cell>
          <cell r="T766" t="str">
            <v>N/A</v>
          </cell>
          <cell r="U766" t="str">
            <v>N/A</v>
          </cell>
          <cell r="V766" t="str">
            <v>N/A</v>
          </cell>
          <cell r="W766" t="str">
            <v>N/A</v>
          </cell>
          <cell r="X766" t="str">
            <v>N/A</v>
          </cell>
          <cell r="Y766" t="str">
            <v>N/A</v>
          </cell>
          <cell r="Z766" t="str">
            <v>N/A</v>
          </cell>
          <cell r="AA766" t="str">
            <v>N/A</v>
          </cell>
          <cell r="AB766" t="str">
            <v>N/A</v>
          </cell>
          <cell r="AC766" t="str">
            <v>N/A</v>
          </cell>
          <cell r="AD766" t="str">
            <v>N/A</v>
          </cell>
          <cell r="AE766" t="str">
            <v>N/A</v>
          </cell>
          <cell r="AF766" t="str">
            <v>N/A</v>
          </cell>
          <cell r="AG766" t="str">
            <v>N/A</v>
          </cell>
          <cell r="AH766" t="str">
            <v>N/A</v>
          </cell>
          <cell r="AI766" t="str">
            <v>N/A</v>
          </cell>
          <cell r="AJ766" t="str">
            <v>N/A</v>
          </cell>
          <cell r="AK766" t="str">
            <v>N/A</v>
          </cell>
          <cell r="AL766" t="str">
            <v>N/A</v>
          </cell>
          <cell r="AM766" t="str">
            <v>N/A</v>
          </cell>
          <cell r="AN766" t="str">
            <v>N/A</v>
          </cell>
          <cell r="AO766" t="str">
            <v>N/A</v>
          </cell>
          <cell r="AP766" t="str">
            <v>N/A</v>
          </cell>
          <cell r="AQ766" t="str">
            <v>N/A</v>
          </cell>
          <cell r="AR766" t="str">
            <v>N/A</v>
          </cell>
          <cell r="AS766" t="str">
            <v>N/A</v>
          </cell>
          <cell r="AT766" t="str">
            <v>N/A</v>
          </cell>
          <cell r="AU766" t="str">
            <v>N/A</v>
          </cell>
          <cell r="AV766" t="str">
            <v>N/A</v>
          </cell>
          <cell r="AW766" t="str">
            <v>N/A</v>
          </cell>
          <cell r="AX766" t="str">
            <v>N/A</v>
          </cell>
          <cell r="AY766" t="str">
            <v>N/A</v>
          </cell>
          <cell r="AZ766" t="str">
            <v>N/A</v>
          </cell>
          <cell r="BA766" t="str">
            <v>N/A</v>
          </cell>
          <cell r="BB766" t="str">
            <v>N/A</v>
          </cell>
          <cell r="BC766" t="str">
            <v>N/A</v>
          </cell>
          <cell r="BD766" t="str">
            <v>N/A</v>
          </cell>
          <cell r="BE766" t="str">
            <v>N/A</v>
          </cell>
          <cell r="BF766" t="str">
            <v>N/A</v>
          </cell>
          <cell r="BG766"/>
          <cell r="BH766" t="str">
            <v>N/A</v>
          </cell>
          <cell r="BI766" t="str">
            <v>N/A</v>
          </cell>
          <cell r="BJ766" t="str">
            <v>N/A</v>
          </cell>
          <cell r="BK766" t="str">
            <v>N/A</v>
          </cell>
          <cell r="BL766" t="str">
            <v>N/A</v>
          </cell>
          <cell r="BM766" t="str">
            <v>N/A</v>
          </cell>
          <cell r="BN766" t="str">
            <v>N/A</v>
          </cell>
          <cell r="BO766" t="str">
            <v>N/A</v>
          </cell>
          <cell r="BP766" t="str">
            <v>N/A</v>
          </cell>
          <cell r="BQ766" t="str">
            <v>N/A</v>
          </cell>
          <cell r="BR766" t="str">
            <v>N/A</v>
          </cell>
          <cell r="BS766" t="str">
            <v>N/A</v>
          </cell>
          <cell r="BT766" t="str">
            <v>N/A</v>
          </cell>
          <cell r="BU766" t="str">
            <v>N/A</v>
          </cell>
          <cell r="BV766" t="str">
            <v>N/A</v>
          </cell>
          <cell r="BW766" t="str">
            <v>N/A</v>
          </cell>
          <cell r="BX766" t="str">
            <v>N/A</v>
          </cell>
          <cell r="BY766" t="str">
            <v>N/A</v>
          </cell>
          <cell r="BZ766" t="str">
            <v>N/A</v>
          </cell>
          <cell r="CA766" t="str">
            <v>N/A</v>
          </cell>
          <cell r="CB766" t="str">
            <v>N/A</v>
          </cell>
          <cell r="CC766"/>
        </row>
        <row r="767">
          <cell r="A767" t="str">
            <v>Capital IQ</v>
          </cell>
          <cell r="B767"/>
          <cell r="C767" t="str">
            <v>N/A</v>
          </cell>
          <cell r="D767" t="str">
            <v>N/A</v>
          </cell>
          <cell r="E767" t="str">
            <v>N/A</v>
          </cell>
          <cell r="F767" t="str">
            <v>N/A</v>
          </cell>
          <cell r="G767" t="str">
            <v>N/A</v>
          </cell>
          <cell r="H767" t="str">
            <v>N/A</v>
          </cell>
          <cell r="I767" t="str">
            <v>N/A</v>
          </cell>
          <cell r="J767" t="str">
            <v>N/A</v>
          </cell>
          <cell r="K767" t="str">
            <v>N/A</v>
          </cell>
          <cell r="L767" t="str">
            <v>N/A</v>
          </cell>
          <cell r="M767" t="str">
            <v>N/A</v>
          </cell>
          <cell r="N767" t="str">
            <v>N/A</v>
          </cell>
          <cell r="O767" t="str">
            <v>N/A</v>
          </cell>
          <cell r="P767" t="str">
            <v>N/A</v>
          </cell>
          <cell r="Q767" t="str">
            <v>N/A</v>
          </cell>
          <cell r="R767" t="str">
            <v>N/A</v>
          </cell>
          <cell r="S767" t="str">
            <v>N/A</v>
          </cell>
          <cell r="T767" t="str">
            <v>N/A</v>
          </cell>
          <cell r="U767" t="str">
            <v>N/A</v>
          </cell>
          <cell r="V767" t="str">
            <v>N/A</v>
          </cell>
          <cell r="W767" t="str">
            <v>N/A</v>
          </cell>
          <cell r="X767" t="str">
            <v>N/A</v>
          </cell>
          <cell r="Y767" t="str">
            <v>N/A</v>
          </cell>
          <cell r="Z767" t="str">
            <v>N/A</v>
          </cell>
          <cell r="AA767" t="str">
            <v>N/A</v>
          </cell>
          <cell r="AB767" t="str">
            <v>N/A</v>
          </cell>
          <cell r="AC767" t="str">
            <v>N/A</v>
          </cell>
          <cell r="AD767" t="str">
            <v>N/A</v>
          </cell>
          <cell r="AE767" t="str">
            <v>N/A</v>
          </cell>
          <cell r="AF767" t="str">
            <v>N/A</v>
          </cell>
          <cell r="AG767" t="str">
            <v>N/A</v>
          </cell>
          <cell r="AH767" t="str">
            <v>N/A</v>
          </cell>
          <cell r="AI767" t="str">
            <v>N/A</v>
          </cell>
          <cell r="AJ767" t="str">
            <v>N/A</v>
          </cell>
          <cell r="AK767" t="str">
            <v>N/A</v>
          </cell>
          <cell r="AL767" t="str">
            <v>N/A</v>
          </cell>
          <cell r="AM767" t="str">
            <v>N/A</v>
          </cell>
          <cell r="AN767" t="str">
            <v>N/A</v>
          </cell>
          <cell r="AO767" t="str">
            <v>N/A</v>
          </cell>
          <cell r="AP767" t="str">
            <v>N/A</v>
          </cell>
          <cell r="AQ767" t="str">
            <v>N/A</v>
          </cell>
          <cell r="AR767" t="str">
            <v>N/A</v>
          </cell>
          <cell r="AS767" t="str">
            <v>N/A</v>
          </cell>
          <cell r="AT767" t="str">
            <v>N/A</v>
          </cell>
          <cell r="AU767" t="str">
            <v>N/A</v>
          </cell>
          <cell r="AV767" t="str">
            <v>N/A</v>
          </cell>
          <cell r="AW767" t="str">
            <v>N/A</v>
          </cell>
          <cell r="AX767" t="str">
            <v>N/A</v>
          </cell>
          <cell r="AY767" t="str">
            <v>N/A</v>
          </cell>
          <cell r="AZ767" t="str">
            <v>N/A</v>
          </cell>
          <cell r="BA767" t="str">
            <v>N/A</v>
          </cell>
          <cell r="BB767" t="str">
            <v>N/A</v>
          </cell>
          <cell r="BC767" t="str">
            <v>N/A</v>
          </cell>
          <cell r="BD767" t="str">
            <v>N/A</v>
          </cell>
          <cell r="BE767" t="str">
            <v>N/A</v>
          </cell>
          <cell r="BF767" t="str">
            <v>N/A</v>
          </cell>
          <cell r="BG767"/>
          <cell r="BH767" t="str">
            <v>N/A</v>
          </cell>
          <cell r="BI767" t="str">
            <v>N/A</v>
          </cell>
          <cell r="BJ767" t="str">
            <v>N/A</v>
          </cell>
          <cell r="BK767" t="str">
            <v>N/A</v>
          </cell>
          <cell r="BL767" t="str">
            <v>N/A</v>
          </cell>
          <cell r="BM767" t="str">
            <v>N/A</v>
          </cell>
          <cell r="BN767" t="str">
            <v>N/A</v>
          </cell>
          <cell r="BO767" t="str">
            <v>N/A</v>
          </cell>
          <cell r="BP767" t="str">
            <v>N/A</v>
          </cell>
          <cell r="BQ767" t="str">
            <v>N/A</v>
          </cell>
          <cell r="BR767" t="str">
            <v>N/A</v>
          </cell>
          <cell r="BS767" t="str">
            <v>N/A</v>
          </cell>
          <cell r="BT767" t="str">
            <v>N/A</v>
          </cell>
          <cell r="BU767" t="str">
            <v>N/A</v>
          </cell>
          <cell r="BV767" t="str">
            <v>N/A</v>
          </cell>
          <cell r="BW767" t="str">
            <v>N/A</v>
          </cell>
          <cell r="BX767" t="str">
            <v>N/A</v>
          </cell>
          <cell r="BY767" t="str">
            <v>N/A</v>
          </cell>
          <cell r="BZ767" t="str">
            <v>N/A</v>
          </cell>
          <cell r="CA767" t="str">
            <v>N/A</v>
          </cell>
          <cell r="CB767" t="str">
            <v>N/A</v>
          </cell>
          <cell r="CC767"/>
        </row>
        <row r="768">
          <cell r="A768" t="str">
            <v>FactSet</v>
          </cell>
          <cell r="B768"/>
          <cell r="C768" t="str">
            <v>N/A</v>
          </cell>
          <cell r="D768" t="str">
            <v>N/A</v>
          </cell>
          <cell r="E768" t="str">
            <v>N/A</v>
          </cell>
          <cell r="F768" t="str">
            <v>N/A</v>
          </cell>
          <cell r="G768" t="str">
            <v>N/A</v>
          </cell>
          <cell r="H768" t="str">
            <v>N/A</v>
          </cell>
          <cell r="I768" t="str">
            <v>N/A</v>
          </cell>
          <cell r="J768" t="str">
            <v>N/A</v>
          </cell>
          <cell r="K768" t="str">
            <v>N/A</v>
          </cell>
          <cell r="L768" t="str">
            <v>N/A</v>
          </cell>
          <cell r="M768" t="str">
            <v>N/A</v>
          </cell>
          <cell r="N768" t="str">
            <v>N/A</v>
          </cell>
          <cell r="O768" t="str">
            <v>N/A</v>
          </cell>
          <cell r="P768" t="str">
            <v>N/A</v>
          </cell>
          <cell r="Q768" t="str">
            <v>N/A</v>
          </cell>
          <cell r="R768" t="str">
            <v>N/A</v>
          </cell>
          <cell r="S768" t="str">
            <v>N/A</v>
          </cell>
          <cell r="T768" t="str">
            <v>N/A</v>
          </cell>
          <cell r="U768" t="str">
            <v>N/A</v>
          </cell>
          <cell r="V768" t="str">
            <v>N/A</v>
          </cell>
          <cell r="W768" t="str">
            <v>N/A</v>
          </cell>
          <cell r="X768" t="str">
            <v>N/A</v>
          </cell>
          <cell r="Y768" t="str">
            <v>N/A</v>
          </cell>
          <cell r="Z768" t="str">
            <v>N/A</v>
          </cell>
          <cell r="AA768" t="str">
            <v>N/A</v>
          </cell>
          <cell r="AB768" t="str">
            <v>N/A</v>
          </cell>
          <cell r="AC768" t="str">
            <v>N/A</v>
          </cell>
          <cell r="AD768" t="str">
            <v>N/A</v>
          </cell>
          <cell r="AE768" t="str">
            <v>N/A</v>
          </cell>
          <cell r="AF768" t="str">
            <v>N/A</v>
          </cell>
          <cell r="AG768" t="str">
            <v>N/A</v>
          </cell>
          <cell r="AH768" t="str">
            <v>N/A</v>
          </cell>
          <cell r="AI768" t="str">
            <v>N/A</v>
          </cell>
          <cell r="AJ768" t="str">
            <v>N/A</v>
          </cell>
          <cell r="AK768" t="str">
            <v>N/A</v>
          </cell>
          <cell r="AL768" t="str">
            <v>N/A</v>
          </cell>
          <cell r="AM768" t="str">
            <v>N/A</v>
          </cell>
          <cell r="AN768" t="str">
            <v>N/A</v>
          </cell>
          <cell r="AO768" t="str">
            <v>N/A</v>
          </cell>
          <cell r="AP768" t="str">
            <v>N/A</v>
          </cell>
          <cell r="AQ768" t="str">
            <v>N/A</v>
          </cell>
          <cell r="AR768" t="str">
            <v>N/A</v>
          </cell>
          <cell r="AS768" t="str">
            <v>N/A</v>
          </cell>
          <cell r="AT768" t="str">
            <v>N/A</v>
          </cell>
          <cell r="AU768" t="str">
            <v>N/A</v>
          </cell>
          <cell r="AV768" t="str">
            <v>N/A</v>
          </cell>
          <cell r="AW768" t="str">
            <v>N/A</v>
          </cell>
          <cell r="AX768" t="str">
            <v>N/A</v>
          </cell>
          <cell r="AY768" t="str">
            <v>N/A</v>
          </cell>
          <cell r="AZ768" t="str">
            <v>N/A</v>
          </cell>
          <cell r="BA768" t="str">
            <v>N/A</v>
          </cell>
          <cell r="BB768" t="str">
            <v>N/A</v>
          </cell>
          <cell r="BC768" t="str">
            <v>N/A</v>
          </cell>
          <cell r="BD768" t="str">
            <v>N/A</v>
          </cell>
          <cell r="BE768" t="str">
            <v>N/A</v>
          </cell>
          <cell r="BF768" t="str">
            <v>N/A</v>
          </cell>
          <cell r="BG768"/>
          <cell r="BH768" t="str">
            <v>N/A</v>
          </cell>
          <cell r="BI768" t="str">
            <v>N/A</v>
          </cell>
          <cell r="BJ768" t="str">
            <v>N/A</v>
          </cell>
          <cell r="BK768" t="str">
            <v>N/A</v>
          </cell>
          <cell r="BL768" t="str">
            <v>N/A</v>
          </cell>
          <cell r="BM768" t="str">
            <v>N/A</v>
          </cell>
          <cell r="BN768" t="str">
            <v>N/A</v>
          </cell>
          <cell r="BO768" t="str">
            <v>N/A</v>
          </cell>
          <cell r="BP768" t="str">
            <v>N/A</v>
          </cell>
          <cell r="BQ768" t="str">
            <v>N/A</v>
          </cell>
          <cell r="BR768" t="str">
            <v>N/A</v>
          </cell>
          <cell r="BS768" t="str">
            <v>N/A</v>
          </cell>
          <cell r="BT768" t="str">
            <v>N/A</v>
          </cell>
          <cell r="BU768" t="str">
            <v>N/A</v>
          </cell>
          <cell r="BV768" t="str">
            <v>N/A</v>
          </cell>
          <cell r="BW768" t="str">
            <v>N/A</v>
          </cell>
          <cell r="BX768" t="str">
            <v>N/A</v>
          </cell>
          <cell r="BY768" t="str">
            <v>N/A</v>
          </cell>
          <cell r="BZ768" t="str">
            <v>N/A</v>
          </cell>
          <cell r="CA768" t="str">
            <v>N/A</v>
          </cell>
          <cell r="CB768" t="str">
            <v>N/A</v>
          </cell>
          <cell r="CC768"/>
        </row>
        <row r="769">
          <cell r="A769" t="str">
            <v>Refinitiv</v>
          </cell>
          <cell r="B769"/>
          <cell r="C769" t="str">
            <v>N/A</v>
          </cell>
          <cell r="D769" t="str">
            <v>N/A</v>
          </cell>
          <cell r="E769" t="str">
            <v>N/A</v>
          </cell>
          <cell r="F769" t="str">
            <v>N/A</v>
          </cell>
          <cell r="G769" t="str">
            <v>N/A</v>
          </cell>
          <cell r="H769" t="str">
            <v>N/A</v>
          </cell>
          <cell r="I769" t="str">
            <v>N/A</v>
          </cell>
          <cell r="J769" t="str">
            <v>N/A</v>
          </cell>
          <cell r="K769" t="str">
            <v>N/A</v>
          </cell>
          <cell r="L769" t="str">
            <v>N/A</v>
          </cell>
          <cell r="M769" t="str">
            <v>N/A</v>
          </cell>
          <cell r="N769" t="str">
            <v>N/A</v>
          </cell>
          <cell r="O769" t="str">
            <v>N/A</v>
          </cell>
          <cell r="P769" t="str">
            <v>N/A</v>
          </cell>
          <cell r="Q769" t="str">
            <v>N/A</v>
          </cell>
          <cell r="R769" t="str">
            <v>N/A</v>
          </cell>
          <cell r="S769" t="str">
            <v>N/A</v>
          </cell>
          <cell r="T769" t="str">
            <v>N/A</v>
          </cell>
          <cell r="U769" t="str">
            <v>N/A</v>
          </cell>
          <cell r="V769" t="str">
            <v>N/A</v>
          </cell>
          <cell r="W769" t="str">
            <v>N/A</v>
          </cell>
          <cell r="X769" t="str">
            <v>N/A</v>
          </cell>
          <cell r="Y769" t="str">
            <v>N/A</v>
          </cell>
          <cell r="Z769" t="str">
            <v>N/A</v>
          </cell>
          <cell r="AA769" t="str">
            <v>N/A</v>
          </cell>
          <cell r="AB769" t="str">
            <v>N/A</v>
          </cell>
          <cell r="AC769" t="str">
            <v>N/A</v>
          </cell>
          <cell r="AD769" t="str">
            <v>N/A</v>
          </cell>
          <cell r="AE769" t="str">
            <v>N/A</v>
          </cell>
          <cell r="AF769" t="str">
            <v>N/A</v>
          </cell>
          <cell r="AG769" t="str">
            <v>N/A</v>
          </cell>
          <cell r="AH769" t="str">
            <v>N/A</v>
          </cell>
          <cell r="AI769" t="str">
            <v>N/A</v>
          </cell>
          <cell r="AJ769" t="str">
            <v>N/A</v>
          </cell>
          <cell r="AK769" t="str">
            <v>N/A</v>
          </cell>
          <cell r="AL769" t="str">
            <v>N/A</v>
          </cell>
          <cell r="AM769" t="str">
            <v>N/A</v>
          </cell>
          <cell r="AN769" t="str">
            <v>N/A</v>
          </cell>
          <cell r="AO769" t="str">
            <v>N/A</v>
          </cell>
          <cell r="AP769" t="str">
            <v>N/A</v>
          </cell>
          <cell r="AQ769" t="str">
            <v>N/A</v>
          </cell>
          <cell r="AR769" t="str">
            <v>N/A</v>
          </cell>
          <cell r="AS769" t="str">
            <v>N/A</v>
          </cell>
          <cell r="AT769" t="str">
            <v>N/A</v>
          </cell>
          <cell r="AU769" t="str">
            <v>N/A</v>
          </cell>
          <cell r="AV769" t="str">
            <v>N/A</v>
          </cell>
          <cell r="AW769" t="str">
            <v>N/A</v>
          </cell>
          <cell r="AX769" t="str">
            <v>N/A</v>
          </cell>
          <cell r="AY769" t="str">
            <v>N/A</v>
          </cell>
          <cell r="AZ769" t="str">
            <v>N/A</v>
          </cell>
          <cell r="BA769" t="str">
            <v>N/A</v>
          </cell>
          <cell r="BB769" t="str">
            <v>N/A</v>
          </cell>
          <cell r="BC769" t="str">
            <v>N/A</v>
          </cell>
          <cell r="BD769" t="str">
            <v>N/A</v>
          </cell>
          <cell r="BE769" t="str">
            <v>N/A</v>
          </cell>
          <cell r="BF769" t="str">
            <v>N/A</v>
          </cell>
          <cell r="BG769"/>
          <cell r="BH769" t="str">
            <v>N/A</v>
          </cell>
          <cell r="BI769" t="str">
            <v>N/A</v>
          </cell>
          <cell r="BJ769" t="str">
            <v>N/A</v>
          </cell>
          <cell r="BK769" t="str">
            <v>N/A</v>
          </cell>
          <cell r="BL769" t="str">
            <v>N/A</v>
          </cell>
          <cell r="BM769" t="str">
            <v>N/A</v>
          </cell>
          <cell r="BN769" t="str">
            <v>N/A</v>
          </cell>
          <cell r="BO769" t="str">
            <v>N/A</v>
          </cell>
          <cell r="BP769" t="str">
            <v>N/A</v>
          </cell>
          <cell r="BQ769" t="str">
            <v>N/A</v>
          </cell>
          <cell r="BR769" t="str">
            <v>N/A</v>
          </cell>
          <cell r="BS769" t="str">
            <v>N/A</v>
          </cell>
          <cell r="BT769" t="str">
            <v>N/A</v>
          </cell>
          <cell r="BU769" t="str">
            <v>N/A</v>
          </cell>
          <cell r="BV769" t="str">
            <v>N/A</v>
          </cell>
          <cell r="BW769" t="str">
            <v>N/A</v>
          </cell>
          <cell r="BX769" t="str">
            <v>N/A</v>
          </cell>
          <cell r="BY769" t="str">
            <v>N/A</v>
          </cell>
          <cell r="BZ769" t="str">
            <v>N/A</v>
          </cell>
          <cell r="CA769" t="str">
            <v>N/A</v>
          </cell>
          <cell r="CB769" t="str">
            <v>N/A</v>
          </cell>
          <cell r="CC769"/>
        </row>
        <row r="770">
          <cell r="A770"/>
        </row>
        <row r="771">
          <cell r="A771" t="str">
            <v>FX Average: Real-Time Off Source</v>
          </cell>
          <cell r="B771"/>
          <cell r="C771">
            <v>1</v>
          </cell>
          <cell r="D771">
            <v>1</v>
          </cell>
          <cell r="E771">
            <v>1</v>
          </cell>
          <cell r="F771">
            <v>1</v>
          </cell>
          <cell r="G771">
            <v>1</v>
          </cell>
          <cell r="H771">
            <v>1</v>
          </cell>
          <cell r="I771">
            <v>1</v>
          </cell>
          <cell r="J771">
            <v>1</v>
          </cell>
          <cell r="K771">
            <v>1</v>
          </cell>
          <cell r="L771">
            <v>1</v>
          </cell>
          <cell r="M771">
            <v>1</v>
          </cell>
          <cell r="N771">
            <v>1</v>
          </cell>
          <cell r="O771">
            <v>1</v>
          </cell>
          <cell r="P771">
            <v>1</v>
          </cell>
          <cell r="Q771">
            <v>1</v>
          </cell>
          <cell r="R771">
            <v>1</v>
          </cell>
          <cell r="S771">
            <v>1</v>
          </cell>
          <cell r="T771">
            <v>1</v>
          </cell>
          <cell r="U771">
            <v>1</v>
          </cell>
          <cell r="V771">
            <v>1</v>
          </cell>
          <cell r="W771">
            <v>1</v>
          </cell>
          <cell r="X771">
            <v>1</v>
          </cell>
          <cell r="Y771">
            <v>1</v>
          </cell>
          <cell r="Z771">
            <v>1</v>
          </cell>
          <cell r="AA771">
            <v>1</v>
          </cell>
          <cell r="AB771">
            <v>1</v>
          </cell>
          <cell r="AC771">
            <v>1</v>
          </cell>
          <cell r="AD771">
            <v>1</v>
          </cell>
          <cell r="AE771">
            <v>1</v>
          </cell>
          <cell r="AF771">
            <v>1</v>
          </cell>
          <cell r="AG771">
            <v>1</v>
          </cell>
          <cell r="AH771">
            <v>1</v>
          </cell>
          <cell r="AI771">
            <v>1</v>
          </cell>
          <cell r="AJ771">
            <v>1</v>
          </cell>
          <cell r="AK771">
            <v>1</v>
          </cell>
          <cell r="AL771">
            <v>1</v>
          </cell>
          <cell r="AM771">
            <v>1</v>
          </cell>
          <cell r="AN771">
            <v>1</v>
          </cell>
          <cell r="AO771">
            <v>1</v>
          </cell>
          <cell r="AP771">
            <v>1</v>
          </cell>
          <cell r="AQ771">
            <v>1</v>
          </cell>
          <cell r="AR771">
            <v>1</v>
          </cell>
          <cell r="AS771">
            <v>1</v>
          </cell>
          <cell r="AT771">
            <v>1</v>
          </cell>
          <cell r="AU771">
            <v>1</v>
          </cell>
          <cell r="AV771">
            <v>1</v>
          </cell>
          <cell r="AW771">
            <v>1</v>
          </cell>
          <cell r="AX771">
            <v>1</v>
          </cell>
          <cell r="AY771">
            <v>1</v>
          </cell>
          <cell r="AZ771">
            <v>1</v>
          </cell>
          <cell r="BA771">
            <v>1</v>
          </cell>
          <cell r="BB771">
            <v>1</v>
          </cell>
          <cell r="BC771">
            <v>1</v>
          </cell>
          <cell r="BD771">
            <v>1</v>
          </cell>
          <cell r="BE771">
            <v>1</v>
          </cell>
          <cell r="BF771">
            <v>1</v>
          </cell>
          <cell r="BG771"/>
          <cell r="BH771">
            <v>1</v>
          </cell>
          <cell r="BI771">
            <v>1</v>
          </cell>
          <cell r="BJ771">
            <v>1</v>
          </cell>
          <cell r="BK771">
            <v>1</v>
          </cell>
          <cell r="BL771">
            <v>1</v>
          </cell>
          <cell r="BM771">
            <v>1</v>
          </cell>
          <cell r="BN771">
            <v>1</v>
          </cell>
          <cell r="BO771">
            <v>1</v>
          </cell>
          <cell r="BP771">
            <v>1</v>
          </cell>
          <cell r="BQ771">
            <v>1</v>
          </cell>
          <cell r="BR771">
            <v>1</v>
          </cell>
          <cell r="BS771">
            <v>1</v>
          </cell>
          <cell r="BT771">
            <v>1</v>
          </cell>
          <cell r="BU771">
            <v>1</v>
          </cell>
          <cell r="BV771">
            <v>1</v>
          </cell>
          <cell r="BW771">
            <v>1</v>
          </cell>
          <cell r="BX771">
            <v>1</v>
          </cell>
          <cell r="BY771">
            <v>1</v>
          </cell>
          <cell r="BZ771">
            <v>1</v>
          </cell>
          <cell r="CA771">
            <v>1</v>
          </cell>
          <cell r="CB771">
            <v>1</v>
          </cell>
          <cell r="CC771"/>
        </row>
        <row r="772">
          <cell r="A772" t="str">
            <v>Real-Time Off Source</v>
          </cell>
          <cell r="B772"/>
          <cell r="C772">
            <v>1</v>
          </cell>
          <cell r="D772">
            <v>1</v>
          </cell>
          <cell r="E772">
            <v>1</v>
          </cell>
          <cell r="F772">
            <v>1</v>
          </cell>
          <cell r="G772">
            <v>1</v>
          </cell>
          <cell r="H772">
            <v>1</v>
          </cell>
          <cell r="I772">
            <v>1</v>
          </cell>
          <cell r="J772">
            <v>1</v>
          </cell>
          <cell r="K772">
            <v>1</v>
          </cell>
          <cell r="L772">
            <v>1</v>
          </cell>
          <cell r="M772">
            <v>1</v>
          </cell>
          <cell r="N772">
            <v>1</v>
          </cell>
          <cell r="O772">
            <v>1</v>
          </cell>
          <cell r="P772">
            <v>1</v>
          </cell>
          <cell r="Q772">
            <v>1</v>
          </cell>
          <cell r="R772">
            <v>1</v>
          </cell>
          <cell r="S772">
            <v>1</v>
          </cell>
          <cell r="T772">
            <v>1</v>
          </cell>
          <cell r="U772">
            <v>1</v>
          </cell>
          <cell r="V772">
            <v>1</v>
          </cell>
          <cell r="W772">
            <v>1</v>
          </cell>
          <cell r="X772">
            <v>1</v>
          </cell>
          <cell r="Y772">
            <v>1</v>
          </cell>
          <cell r="Z772">
            <v>1</v>
          </cell>
          <cell r="AA772">
            <v>1</v>
          </cell>
          <cell r="AB772">
            <v>1</v>
          </cell>
          <cell r="AC772">
            <v>1</v>
          </cell>
          <cell r="AD772">
            <v>1</v>
          </cell>
          <cell r="AE772">
            <v>1</v>
          </cell>
          <cell r="AF772">
            <v>1</v>
          </cell>
          <cell r="AG772">
            <v>1</v>
          </cell>
          <cell r="AH772">
            <v>1</v>
          </cell>
          <cell r="AI772">
            <v>1</v>
          </cell>
          <cell r="AJ772">
            <v>1</v>
          </cell>
          <cell r="AK772">
            <v>1</v>
          </cell>
          <cell r="AL772">
            <v>1</v>
          </cell>
          <cell r="AM772">
            <v>1</v>
          </cell>
          <cell r="AN772">
            <v>1</v>
          </cell>
          <cell r="AO772">
            <v>1</v>
          </cell>
          <cell r="AP772">
            <v>1</v>
          </cell>
          <cell r="AQ772">
            <v>1</v>
          </cell>
          <cell r="AR772">
            <v>1</v>
          </cell>
          <cell r="AS772">
            <v>1</v>
          </cell>
          <cell r="AT772">
            <v>1</v>
          </cell>
          <cell r="AU772">
            <v>1</v>
          </cell>
          <cell r="AV772">
            <v>1</v>
          </cell>
          <cell r="AW772">
            <v>1</v>
          </cell>
          <cell r="AX772">
            <v>1</v>
          </cell>
          <cell r="AY772">
            <v>1</v>
          </cell>
          <cell r="AZ772">
            <v>1</v>
          </cell>
          <cell r="BA772">
            <v>1</v>
          </cell>
          <cell r="BB772">
            <v>1</v>
          </cell>
          <cell r="BC772">
            <v>1</v>
          </cell>
          <cell r="BD772">
            <v>1</v>
          </cell>
          <cell r="BE772">
            <v>1</v>
          </cell>
          <cell r="BF772">
            <v>1</v>
          </cell>
          <cell r="BG772"/>
          <cell r="BH772">
            <v>1</v>
          </cell>
          <cell r="BI772">
            <v>1</v>
          </cell>
          <cell r="BJ772">
            <v>1</v>
          </cell>
          <cell r="BK772">
            <v>1</v>
          </cell>
          <cell r="BL772">
            <v>1</v>
          </cell>
          <cell r="BM772">
            <v>1</v>
          </cell>
          <cell r="BN772">
            <v>1</v>
          </cell>
          <cell r="BO772">
            <v>1</v>
          </cell>
          <cell r="BP772">
            <v>1</v>
          </cell>
          <cell r="BQ772">
            <v>1</v>
          </cell>
          <cell r="BR772">
            <v>1</v>
          </cell>
          <cell r="BS772">
            <v>1</v>
          </cell>
          <cell r="BT772">
            <v>1</v>
          </cell>
          <cell r="BU772">
            <v>1</v>
          </cell>
          <cell r="BV772">
            <v>1</v>
          </cell>
          <cell r="BW772">
            <v>1</v>
          </cell>
          <cell r="BX772">
            <v>1</v>
          </cell>
          <cell r="BY772">
            <v>1</v>
          </cell>
          <cell r="BZ772">
            <v>1</v>
          </cell>
          <cell r="CA772">
            <v>1</v>
          </cell>
          <cell r="CB772">
            <v>1</v>
          </cell>
          <cell r="CC772"/>
        </row>
        <row r="773">
          <cell r="A773" t="str">
            <v>Bloomberg</v>
          </cell>
          <cell r="B773"/>
          <cell r="C773" t="str">
            <v>N/A</v>
          </cell>
          <cell r="D773" t="str">
            <v>N/A</v>
          </cell>
          <cell r="E773" t="str">
            <v>N/A</v>
          </cell>
          <cell r="F773" t="str">
            <v>N/A</v>
          </cell>
          <cell r="G773" t="str">
            <v>N/A</v>
          </cell>
          <cell r="H773" t="str">
            <v>N/A</v>
          </cell>
          <cell r="I773" t="str">
            <v>N/A</v>
          </cell>
          <cell r="J773" t="str">
            <v>N/A</v>
          </cell>
          <cell r="K773" t="str">
            <v>N/A</v>
          </cell>
          <cell r="L773" t="str">
            <v>N/A</v>
          </cell>
          <cell r="M773" t="str">
            <v>N/A</v>
          </cell>
          <cell r="N773" t="str">
            <v>N/A</v>
          </cell>
          <cell r="O773" t="str">
            <v>N/A</v>
          </cell>
          <cell r="P773" t="str">
            <v>N/A</v>
          </cell>
          <cell r="Q773" t="str">
            <v>N/A</v>
          </cell>
          <cell r="R773" t="str">
            <v>N/A</v>
          </cell>
          <cell r="S773" t="str">
            <v>N/A</v>
          </cell>
          <cell r="T773" t="str">
            <v>N/A</v>
          </cell>
          <cell r="U773" t="str">
            <v>N/A</v>
          </cell>
          <cell r="V773" t="str">
            <v>N/A</v>
          </cell>
          <cell r="W773" t="str">
            <v>N/A</v>
          </cell>
          <cell r="X773" t="str">
            <v>N/A</v>
          </cell>
          <cell r="Y773" t="str">
            <v>N/A</v>
          </cell>
          <cell r="Z773" t="str">
            <v>N/A</v>
          </cell>
          <cell r="AA773" t="str">
            <v>N/A</v>
          </cell>
          <cell r="AB773" t="str">
            <v>N/A</v>
          </cell>
          <cell r="AC773" t="str">
            <v>N/A</v>
          </cell>
          <cell r="AD773" t="str">
            <v>N/A</v>
          </cell>
          <cell r="AE773" t="str">
            <v>N/A</v>
          </cell>
          <cell r="AF773" t="str">
            <v>N/A</v>
          </cell>
          <cell r="AG773" t="str">
            <v>N/A</v>
          </cell>
          <cell r="AH773" t="str">
            <v>N/A</v>
          </cell>
          <cell r="AI773" t="str">
            <v>N/A</v>
          </cell>
          <cell r="AJ773" t="str">
            <v>N/A</v>
          </cell>
          <cell r="AK773" t="str">
            <v>N/A</v>
          </cell>
          <cell r="AL773" t="str">
            <v>N/A</v>
          </cell>
          <cell r="AM773" t="str">
            <v>N/A</v>
          </cell>
          <cell r="AN773" t="str">
            <v>N/A</v>
          </cell>
          <cell r="AO773" t="str">
            <v>N/A</v>
          </cell>
          <cell r="AP773" t="str">
            <v>N/A</v>
          </cell>
          <cell r="AQ773" t="str">
            <v>N/A</v>
          </cell>
          <cell r="AR773" t="str">
            <v>N/A</v>
          </cell>
          <cell r="AS773" t="str">
            <v>N/A</v>
          </cell>
          <cell r="AT773" t="str">
            <v>N/A</v>
          </cell>
          <cell r="AU773" t="str">
            <v>N/A</v>
          </cell>
          <cell r="AV773" t="str">
            <v>N/A</v>
          </cell>
          <cell r="AW773" t="str">
            <v>N/A</v>
          </cell>
          <cell r="AX773" t="str">
            <v>N/A</v>
          </cell>
          <cell r="AY773" t="str">
            <v>N/A</v>
          </cell>
          <cell r="AZ773" t="str">
            <v>N/A</v>
          </cell>
          <cell r="BA773" t="str">
            <v>N/A</v>
          </cell>
          <cell r="BB773" t="str">
            <v>N/A</v>
          </cell>
          <cell r="BC773" t="str">
            <v>N/A</v>
          </cell>
          <cell r="BD773" t="str">
            <v>N/A</v>
          </cell>
          <cell r="BE773" t="str">
            <v>N/A</v>
          </cell>
          <cell r="BF773" t="str">
            <v>N/A</v>
          </cell>
          <cell r="BG773"/>
          <cell r="BH773" t="str">
            <v>N/A</v>
          </cell>
          <cell r="BI773" t="str">
            <v>N/A</v>
          </cell>
          <cell r="BJ773" t="str">
            <v>N/A</v>
          </cell>
          <cell r="BK773" t="str">
            <v>N/A</v>
          </cell>
          <cell r="BL773" t="str">
            <v>N/A</v>
          </cell>
          <cell r="BM773" t="str">
            <v>N/A</v>
          </cell>
          <cell r="BN773" t="str">
            <v>N/A</v>
          </cell>
          <cell r="BO773" t="str">
            <v>N/A</v>
          </cell>
          <cell r="BP773" t="str">
            <v>N/A</v>
          </cell>
          <cell r="BQ773" t="str">
            <v>N/A</v>
          </cell>
          <cell r="BR773" t="str">
            <v>N/A</v>
          </cell>
          <cell r="BS773" t="str">
            <v>N/A</v>
          </cell>
          <cell r="BT773" t="str">
            <v>N/A</v>
          </cell>
          <cell r="BU773" t="str">
            <v>N/A</v>
          </cell>
          <cell r="BV773" t="str">
            <v>N/A</v>
          </cell>
          <cell r="BW773" t="str">
            <v>N/A</v>
          </cell>
          <cell r="BX773" t="str">
            <v>N/A</v>
          </cell>
          <cell r="BY773" t="str">
            <v>N/A</v>
          </cell>
          <cell r="BZ773" t="str">
            <v>N/A</v>
          </cell>
          <cell r="CA773" t="str">
            <v>N/A</v>
          </cell>
          <cell r="CB773" t="str">
            <v>N/A</v>
          </cell>
          <cell r="CC773"/>
        </row>
        <row r="774">
          <cell r="A774" t="str">
            <v>Capital IQ</v>
          </cell>
          <cell r="B774"/>
          <cell r="C774" t="str">
            <v>N/A</v>
          </cell>
          <cell r="D774" t="str">
            <v>N/A</v>
          </cell>
          <cell r="E774" t="str">
            <v>N/A</v>
          </cell>
          <cell r="F774" t="str">
            <v>N/A</v>
          </cell>
          <cell r="G774" t="str">
            <v>N/A</v>
          </cell>
          <cell r="H774" t="str">
            <v>N/A</v>
          </cell>
          <cell r="I774" t="str">
            <v>N/A</v>
          </cell>
          <cell r="J774" t="str">
            <v>N/A</v>
          </cell>
          <cell r="K774" t="str">
            <v>N/A</v>
          </cell>
          <cell r="L774" t="str">
            <v>N/A</v>
          </cell>
          <cell r="M774" t="str">
            <v>N/A</v>
          </cell>
          <cell r="N774" t="str">
            <v>N/A</v>
          </cell>
          <cell r="O774" t="str">
            <v>N/A</v>
          </cell>
          <cell r="P774" t="str">
            <v>N/A</v>
          </cell>
          <cell r="Q774" t="str">
            <v>N/A</v>
          </cell>
          <cell r="R774" t="str">
            <v>N/A</v>
          </cell>
          <cell r="S774" t="str">
            <v>N/A</v>
          </cell>
          <cell r="T774" t="str">
            <v>N/A</v>
          </cell>
          <cell r="U774" t="str">
            <v>N/A</v>
          </cell>
          <cell r="V774" t="str">
            <v>N/A</v>
          </cell>
          <cell r="W774" t="str">
            <v>N/A</v>
          </cell>
          <cell r="X774" t="str">
            <v>N/A</v>
          </cell>
          <cell r="Y774" t="str">
            <v>N/A</v>
          </cell>
          <cell r="Z774" t="str">
            <v>N/A</v>
          </cell>
          <cell r="AA774" t="str">
            <v>N/A</v>
          </cell>
          <cell r="AB774" t="str">
            <v>N/A</v>
          </cell>
          <cell r="AC774" t="str">
            <v>N/A</v>
          </cell>
          <cell r="AD774" t="str">
            <v>N/A</v>
          </cell>
          <cell r="AE774" t="str">
            <v>N/A</v>
          </cell>
          <cell r="AF774" t="str">
            <v>N/A</v>
          </cell>
          <cell r="AG774" t="str">
            <v>N/A</v>
          </cell>
          <cell r="AH774" t="str">
            <v>N/A</v>
          </cell>
          <cell r="AI774" t="str">
            <v>N/A</v>
          </cell>
          <cell r="AJ774" t="str">
            <v>N/A</v>
          </cell>
          <cell r="AK774" t="str">
            <v>N/A</v>
          </cell>
          <cell r="AL774" t="str">
            <v>N/A</v>
          </cell>
          <cell r="AM774" t="str">
            <v>N/A</v>
          </cell>
          <cell r="AN774" t="str">
            <v>N/A</v>
          </cell>
          <cell r="AO774" t="str">
            <v>N/A</v>
          </cell>
          <cell r="AP774" t="str">
            <v>N/A</v>
          </cell>
          <cell r="AQ774" t="str">
            <v>N/A</v>
          </cell>
          <cell r="AR774" t="str">
            <v>N/A</v>
          </cell>
          <cell r="AS774" t="str">
            <v>N/A</v>
          </cell>
          <cell r="AT774" t="str">
            <v>N/A</v>
          </cell>
          <cell r="AU774" t="str">
            <v>N/A</v>
          </cell>
          <cell r="AV774" t="str">
            <v>N/A</v>
          </cell>
          <cell r="AW774" t="str">
            <v>N/A</v>
          </cell>
          <cell r="AX774" t="str">
            <v>N/A</v>
          </cell>
          <cell r="AY774" t="str">
            <v>N/A</v>
          </cell>
          <cell r="AZ774" t="str">
            <v>N/A</v>
          </cell>
          <cell r="BA774" t="str">
            <v>N/A</v>
          </cell>
          <cell r="BB774" t="str">
            <v>N/A</v>
          </cell>
          <cell r="BC774" t="str">
            <v>N/A</v>
          </cell>
          <cell r="BD774" t="str">
            <v>N/A</v>
          </cell>
          <cell r="BE774" t="str">
            <v>N/A</v>
          </cell>
          <cell r="BF774" t="str">
            <v>N/A</v>
          </cell>
          <cell r="BG774"/>
          <cell r="BH774" t="str">
            <v>N/A</v>
          </cell>
          <cell r="BI774" t="str">
            <v>N/A</v>
          </cell>
          <cell r="BJ774" t="str">
            <v>N/A</v>
          </cell>
          <cell r="BK774" t="str">
            <v>N/A</v>
          </cell>
          <cell r="BL774" t="str">
            <v>N/A</v>
          </cell>
          <cell r="BM774" t="str">
            <v>N/A</v>
          </cell>
          <cell r="BN774" t="str">
            <v>N/A</v>
          </cell>
          <cell r="BO774" t="str">
            <v>N/A</v>
          </cell>
          <cell r="BP774" t="str">
            <v>N/A</v>
          </cell>
          <cell r="BQ774" t="str">
            <v>N/A</v>
          </cell>
          <cell r="BR774" t="str">
            <v>N/A</v>
          </cell>
          <cell r="BS774" t="str">
            <v>N/A</v>
          </cell>
          <cell r="BT774" t="str">
            <v>N/A</v>
          </cell>
          <cell r="BU774" t="str">
            <v>N/A</v>
          </cell>
          <cell r="BV774" t="str">
            <v>N/A</v>
          </cell>
          <cell r="BW774" t="str">
            <v>N/A</v>
          </cell>
          <cell r="BX774" t="str">
            <v>N/A</v>
          </cell>
          <cell r="BY774" t="str">
            <v>N/A</v>
          </cell>
          <cell r="BZ774" t="str">
            <v>N/A</v>
          </cell>
          <cell r="CA774" t="str">
            <v>N/A</v>
          </cell>
          <cell r="CB774" t="str">
            <v>N/A</v>
          </cell>
          <cell r="CC774"/>
        </row>
        <row r="775">
          <cell r="A775" t="str">
            <v>FactSet</v>
          </cell>
          <cell r="B775"/>
          <cell r="C775" t="str">
            <v>N/A</v>
          </cell>
          <cell r="D775" t="str">
            <v>N/A</v>
          </cell>
          <cell r="E775" t="str">
            <v>N/A</v>
          </cell>
          <cell r="F775" t="str">
            <v>N/A</v>
          </cell>
          <cell r="G775" t="str">
            <v>N/A</v>
          </cell>
          <cell r="H775" t="str">
            <v>N/A</v>
          </cell>
          <cell r="I775" t="str">
            <v>N/A</v>
          </cell>
          <cell r="J775" t="str">
            <v>N/A</v>
          </cell>
          <cell r="K775" t="str">
            <v>N/A</v>
          </cell>
          <cell r="L775" t="str">
            <v>N/A</v>
          </cell>
          <cell r="M775" t="str">
            <v>N/A</v>
          </cell>
          <cell r="N775" t="str">
            <v>N/A</v>
          </cell>
          <cell r="O775" t="str">
            <v>N/A</v>
          </cell>
          <cell r="P775" t="str">
            <v>N/A</v>
          </cell>
          <cell r="Q775" t="str">
            <v>N/A</v>
          </cell>
          <cell r="R775" t="str">
            <v>N/A</v>
          </cell>
          <cell r="S775" t="str">
            <v>N/A</v>
          </cell>
          <cell r="T775" t="str">
            <v>N/A</v>
          </cell>
          <cell r="U775" t="str">
            <v>N/A</v>
          </cell>
          <cell r="V775" t="str">
            <v>N/A</v>
          </cell>
          <cell r="W775" t="str">
            <v>N/A</v>
          </cell>
          <cell r="X775" t="str">
            <v>N/A</v>
          </cell>
          <cell r="Y775" t="str">
            <v>N/A</v>
          </cell>
          <cell r="Z775" t="str">
            <v>N/A</v>
          </cell>
          <cell r="AA775" t="str">
            <v>N/A</v>
          </cell>
          <cell r="AB775" t="str">
            <v>N/A</v>
          </cell>
          <cell r="AC775" t="str">
            <v>N/A</v>
          </cell>
          <cell r="AD775" t="str">
            <v>N/A</v>
          </cell>
          <cell r="AE775" t="str">
            <v>N/A</v>
          </cell>
          <cell r="AF775" t="str">
            <v>N/A</v>
          </cell>
          <cell r="AG775" t="str">
            <v>N/A</v>
          </cell>
          <cell r="AH775" t="str">
            <v>N/A</v>
          </cell>
          <cell r="AI775" t="str">
            <v>N/A</v>
          </cell>
          <cell r="AJ775" t="str">
            <v>N/A</v>
          </cell>
          <cell r="AK775" t="str">
            <v>N/A</v>
          </cell>
          <cell r="AL775" t="str">
            <v>N/A</v>
          </cell>
          <cell r="AM775" t="str">
            <v>N/A</v>
          </cell>
          <cell r="AN775" t="str">
            <v>N/A</v>
          </cell>
          <cell r="AO775" t="str">
            <v>N/A</v>
          </cell>
          <cell r="AP775" t="str">
            <v>N/A</v>
          </cell>
          <cell r="AQ775" t="str">
            <v>N/A</v>
          </cell>
          <cell r="AR775" t="str">
            <v>N/A</v>
          </cell>
          <cell r="AS775" t="str">
            <v>N/A</v>
          </cell>
          <cell r="AT775" t="str">
            <v>N/A</v>
          </cell>
          <cell r="AU775" t="str">
            <v>N/A</v>
          </cell>
          <cell r="AV775" t="str">
            <v>N/A</v>
          </cell>
          <cell r="AW775" t="str">
            <v>N/A</v>
          </cell>
          <cell r="AX775" t="str">
            <v>N/A</v>
          </cell>
          <cell r="AY775" t="str">
            <v>N/A</v>
          </cell>
          <cell r="AZ775" t="str">
            <v>N/A</v>
          </cell>
          <cell r="BA775" t="str">
            <v>N/A</v>
          </cell>
          <cell r="BB775" t="str">
            <v>N/A</v>
          </cell>
          <cell r="BC775" t="str">
            <v>N/A</v>
          </cell>
          <cell r="BD775" t="str">
            <v>N/A</v>
          </cell>
          <cell r="BE775" t="str">
            <v>N/A</v>
          </cell>
          <cell r="BF775" t="str">
            <v>N/A</v>
          </cell>
          <cell r="BG775"/>
          <cell r="BH775" t="str">
            <v>N/A</v>
          </cell>
          <cell r="BI775" t="str">
            <v>N/A</v>
          </cell>
          <cell r="BJ775" t="str">
            <v>N/A</v>
          </cell>
          <cell r="BK775" t="str">
            <v>N/A</v>
          </cell>
          <cell r="BL775" t="str">
            <v>N/A</v>
          </cell>
          <cell r="BM775" t="str">
            <v>N/A</v>
          </cell>
          <cell r="BN775" t="str">
            <v>N/A</v>
          </cell>
          <cell r="BO775" t="str">
            <v>N/A</v>
          </cell>
          <cell r="BP775" t="str">
            <v>N/A</v>
          </cell>
          <cell r="BQ775" t="str">
            <v>N/A</v>
          </cell>
          <cell r="BR775" t="str">
            <v>N/A</v>
          </cell>
          <cell r="BS775" t="str">
            <v>N/A</v>
          </cell>
          <cell r="BT775" t="str">
            <v>N/A</v>
          </cell>
          <cell r="BU775" t="str">
            <v>N/A</v>
          </cell>
          <cell r="BV775" t="str">
            <v>N/A</v>
          </cell>
          <cell r="BW775" t="str">
            <v>N/A</v>
          </cell>
          <cell r="BX775" t="str">
            <v>N/A</v>
          </cell>
          <cell r="BY775" t="str">
            <v>N/A</v>
          </cell>
          <cell r="BZ775" t="str">
            <v>N/A</v>
          </cell>
          <cell r="CA775" t="str">
            <v>N/A</v>
          </cell>
          <cell r="CB775" t="str">
            <v>N/A</v>
          </cell>
          <cell r="CC775"/>
        </row>
        <row r="776">
          <cell r="A776" t="str">
            <v>Refinitiv</v>
          </cell>
          <cell r="B776"/>
          <cell r="C776" t="str">
            <v>N/A</v>
          </cell>
          <cell r="D776" t="str">
            <v>N/A</v>
          </cell>
          <cell r="E776" t="str">
            <v>N/A</v>
          </cell>
          <cell r="F776" t="str">
            <v>N/A</v>
          </cell>
          <cell r="G776" t="str">
            <v>N/A</v>
          </cell>
          <cell r="H776" t="str">
            <v>N/A</v>
          </cell>
          <cell r="I776" t="str">
            <v>N/A</v>
          </cell>
          <cell r="J776" t="str">
            <v>N/A</v>
          </cell>
          <cell r="K776" t="str">
            <v>N/A</v>
          </cell>
          <cell r="L776" t="str">
            <v>N/A</v>
          </cell>
          <cell r="M776" t="str">
            <v>N/A</v>
          </cell>
          <cell r="N776" t="str">
            <v>N/A</v>
          </cell>
          <cell r="O776" t="str">
            <v>N/A</v>
          </cell>
          <cell r="P776" t="str">
            <v>N/A</v>
          </cell>
          <cell r="Q776" t="str">
            <v>N/A</v>
          </cell>
          <cell r="R776" t="str">
            <v>N/A</v>
          </cell>
          <cell r="S776" t="str">
            <v>N/A</v>
          </cell>
          <cell r="T776" t="str">
            <v>N/A</v>
          </cell>
          <cell r="U776" t="str">
            <v>N/A</v>
          </cell>
          <cell r="V776" t="str">
            <v>N/A</v>
          </cell>
          <cell r="W776" t="str">
            <v>N/A</v>
          </cell>
          <cell r="X776" t="str">
            <v>N/A</v>
          </cell>
          <cell r="Y776" t="str">
            <v>N/A</v>
          </cell>
          <cell r="Z776" t="str">
            <v>N/A</v>
          </cell>
          <cell r="AA776" t="str">
            <v>N/A</v>
          </cell>
          <cell r="AB776" t="str">
            <v>N/A</v>
          </cell>
          <cell r="AC776" t="str">
            <v>N/A</v>
          </cell>
          <cell r="AD776" t="str">
            <v>N/A</v>
          </cell>
          <cell r="AE776" t="str">
            <v>N/A</v>
          </cell>
          <cell r="AF776" t="str">
            <v>N/A</v>
          </cell>
          <cell r="AG776" t="str">
            <v>N/A</v>
          </cell>
          <cell r="AH776" t="str">
            <v>N/A</v>
          </cell>
          <cell r="AI776" t="str">
            <v>N/A</v>
          </cell>
          <cell r="AJ776" t="str">
            <v>N/A</v>
          </cell>
          <cell r="AK776" t="str">
            <v>N/A</v>
          </cell>
          <cell r="AL776" t="str">
            <v>N/A</v>
          </cell>
          <cell r="AM776" t="str">
            <v>N/A</v>
          </cell>
          <cell r="AN776" t="str">
            <v>N/A</v>
          </cell>
          <cell r="AO776" t="str">
            <v>N/A</v>
          </cell>
          <cell r="AP776" t="str">
            <v>N/A</v>
          </cell>
          <cell r="AQ776" t="str">
            <v>N/A</v>
          </cell>
          <cell r="AR776" t="str">
            <v>N/A</v>
          </cell>
          <cell r="AS776" t="str">
            <v>N/A</v>
          </cell>
          <cell r="AT776" t="str">
            <v>N/A</v>
          </cell>
          <cell r="AU776" t="str">
            <v>N/A</v>
          </cell>
          <cell r="AV776" t="str">
            <v>N/A</v>
          </cell>
          <cell r="AW776" t="str">
            <v>N/A</v>
          </cell>
          <cell r="AX776" t="str">
            <v>N/A</v>
          </cell>
          <cell r="AY776" t="str">
            <v>N/A</v>
          </cell>
          <cell r="AZ776" t="str">
            <v>N/A</v>
          </cell>
          <cell r="BA776" t="str">
            <v>N/A</v>
          </cell>
          <cell r="BB776" t="str">
            <v>N/A</v>
          </cell>
          <cell r="BC776" t="str">
            <v>N/A</v>
          </cell>
          <cell r="BD776" t="str">
            <v>N/A</v>
          </cell>
          <cell r="BE776" t="str">
            <v>N/A</v>
          </cell>
          <cell r="BF776" t="str">
            <v>N/A</v>
          </cell>
          <cell r="BG776"/>
          <cell r="BH776" t="str">
            <v>N/A</v>
          </cell>
          <cell r="BI776" t="str">
            <v>N/A</v>
          </cell>
          <cell r="BJ776" t="str">
            <v>N/A</v>
          </cell>
          <cell r="BK776" t="str">
            <v>N/A</v>
          </cell>
          <cell r="BL776" t="str">
            <v>N/A</v>
          </cell>
          <cell r="BM776" t="str">
            <v>N/A</v>
          </cell>
          <cell r="BN776" t="str">
            <v>N/A</v>
          </cell>
          <cell r="BO776" t="str">
            <v>N/A</v>
          </cell>
          <cell r="BP776" t="str">
            <v>N/A</v>
          </cell>
          <cell r="BQ776" t="str">
            <v>N/A</v>
          </cell>
          <cell r="BR776" t="str">
            <v>N/A</v>
          </cell>
          <cell r="BS776" t="str">
            <v>N/A</v>
          </cell>
          <cell r="BT776" t="str">
            <v>N/A</v>
          </cell>
          <cell r="BU776" t="str">
            <v>N/A</v>
          </cell>
          <cell r="BV776" t="str">
            <v>N/A</v>
          </cell>
          <cell r="BW776" t="str">
            <v>N/A</v>
          </cell>
          <cell r="BX776" t="str">
            <v>N/A</v>
          </cell>
          <cell r="BY776" t="str">
            <v>N/A</v>
          </cell>
          <cell r="BZ776" t="str">
            <v>N/A</v>
          </cell>
          <cell r="CA776" t="str">
            <v>N/A</v>
          </cell>
          <cell r="CB776" t="str">
            <v>N/A</v>
          </cell>
          <cell r="CC776"/>
        </row>
        <row r="777">
          <cell r="A777"/>
        </row>
        <row r="778">
          <cell r="A778" t="str">
            <v>Last Working Day In Period</v>
          </cell>
        </row>
        <row r="779">
          <cell r="A779" t="str">
            <v>Stock Price EoP</v>
          </cell>
          <cell r="B779"/>
          <cell r="C779">
            <v>20.2</v>
          </cell>
          <cell r="D779">
            <v>20.11</v>
          </cell>
          <cell r="E779">
            <v>24.11</v>
          </cell>
          <cell r="F779">
            <v>26.27</v>
          </cell>
          <cell r="G779">
            <v>31.44</v>
          </cell>
          <cell r="H779">
            <v>21.72</v>
          </cell>
          <cell r="I779">
            <v>22.1</v>
          </cell>
          <cell r="J779">
            <v>24.32</v>
          </cell>
          <cell r="K779">
            <v>16.350000000000001</v>
          </cell>
          <cell r="L779">
            <v>11.85</v>
          </cell>
          <cell r="M779">
            <v>15.96</v>
          </cell>
          <cell r="N779">
            <v>13.2</v>
          </cell>
          <cell r="O779">
            <v>12.62</v>
          </cell>
          <cell r="P779">
            <v>8.8800000000000008</v>
          </cell>
          <cell r="Q779">
            <v>10.050000000000001</v>
          </cell>
          <cell r="R779">
            <v>12.09</v>
          </cell>
          <cell r="S779">
            <v>14.05</v>
          </cell>
          <cell r="T779">
            <v>17.16</v>
          </cell>
          <cell r="U779">
            <v>18.649999999999999</v>
          </cell>
          <cell r="V779">
            <v>18.03</v>
          </cell>
          <cell r="W779">
            <v>17.84</v>
          </cell>
          <cell r="X779">
            <v>15.9</v>
          </cell>
          <cell r="Y779">
            <v>14.18</v>
          </cell>
          <cell r="Z779">
            <v>16.37</v>
          </cell>
          <cell r="AA779">
            <v>17.7</v>
          </cell>
          <cell r="AB779">
            <v>24.42</v>
          </cell>
          <cell r="AC779">
            <v>34.130000000000003</v>
          </cell>
          <cell r="AD779">
            <v>30.41</v>
          </cell>
          <cell r="AE779">
            <v>26.48</v>
          </cell>
          <cell r="AF779">
            <v>19.850000000000001</v>
          </cell>
          <cell r="AG779">
            <v>18.57</v>
          </cell>
          <cell r="AH779">
            <v>26.72</v>
          </cell>
          <cell r="AI779">
            <v>27.08</v>
          </cell>
          <cell r="AJ779">
            <v>21.58</v>
          </cell>
          <cell r="AK779">
            <v>29.6</v>
          </cell>
          <cell r="AL779">
            <v>32.630000000000003</v>
          </cell>
          <cell r="AM779">
            <v>35.07</v>
          </cell>
          <cell r="AN779">
            <v>33.11</v>
          </cell>
          <cell r="AO779">
            <v>35.770000000000003</v>
          </cell>
          <cell r="AP779">
            <v>41.31</v>
          </cell>
          <cell r="AQ779">
            <v>42.37</v>
          </cell>
          <cell r="AR779">
            <v>31.28</v>
          </cell>
          <cell r="AS779">
            <v>39.03</v>
          </cell>
          <cell r="AT779">
            <v>37.29</v>
          </cell>
          <cell r="AU779">
            <v>45.03</v>
          </cell>
          <cell r="AV779">
            <v>59.37</v>
          </cell>
          <cell r="AW779">
            <v>63.05</v>
          </cell>
          <cell r="AX779">
            <v>70.5</v>
          </cell>
          <cell r="AY779"/>
          <cell r="AZ779"/>
          <cell r="BA779"/>
          <cell r="BB779"/>
          <cell r="BC779"/>
          <cell r="BD779"/>
          <cell r="BE779"/>
          <cell r="BF779"/>
          <cell r="BG779"/>
          <cell r="BH779">
            <v>20.88</v>
          </cell>
          <cell r="BI779">
            <v>23.02</v>
          </cell>
          <cell r="BJ779">
            <v>32.76</v>
          </cell>
          <cell r="BK779">
            <v>23.3</v>
          </cell>
          <cell r="BL779">
            <v>26.27</v>
          </cell>
          <cell r="BM779">
            <v>24.32</v>
          </cell>
          <cell r="BN779">
            <v>13.2</v>
          </cell>
          <cell r="BO779">
            <v>12.09</v>
          </cell>
          <cell r="BP779">
            <v>18.03</v>
          </cell>
          <cell r="BQ779">
            <v>16.37</v>
          </cell>
          <cell r="BR779">
            <v>30.41</v>
          </cell>
          <cell r="BS779">
            <v>26.72</v>
          </cell>
          <cell r="BT779">
            <v>32.630000000000003</v>
          </cell>
          <cell r="BU779">
            <v>41.31</v>
          </cell>
          <cell r="BV779">
            <v>37.29</v>
          </cell>
          <cell r="BW779">
            <v>70.5</v>
          </cell>
          <cell r="BX779"/>
          <cell r="BY779"/>
          <cell r="BZ779"/>
          <cell r="CA779"/>
          <cell r="CB779"/>
          <cell r="CC779"/>
        </row>
        <row r="780">
          <cell r="A780" t="str">
            <v>FX EoP</v>
          </cell>
          <cell r="B780"/>
          <cell r="C780">
            <v>1</v>
          </cell>
          <cell r="D780">
            <v>1</v>
          </cell>
          <cell r="E780">
            <v>1</v>
          </cell>
          <cell r="F780">
            <v>1</v>
          </cell>
          <cell r="G780">
            <v>1</v>
          </cell>
          <cell r="H780">
            <v>1</v>
          </cell>
          <cell r="I780">
            <v>1</v>
          </cell>
          <cell r="J780">
            <v>1</v>
          </cell>
          <cell r="K780">
            <v>1</v>
          </cell>
          <cell r="L780">
            <v>1</v>
          </cell>
          <cell r="M780">
            <v>1</v>
          </cell>
          <cell r="N780">
            <v>1</v>
          </cell>
          <cell r="O780">
            <v>1</v>
          </cell>
          <cell r="P780">
            <v>1</v>
          </cell>
          <cell r="Q780">
            <v>1</v>
          </cell>
          <cell r="R780">
            <v>1</v>
          </cell>
          <cell r="S780">
            <v>1</v>
          </cell>
          <cell r="T780">
            <v>1</v>
          </cell>
          <cell r="U780">
            <v>1</v>
          </cell>
          <cell r="V780">
            <v>1</v>
          </cell>
          <cell r="W780">
            <v>1</v>
          </cell>
          <cell r="X780">
            <v>1</v>
          </cell>
          <cell r="Y780">
            <v>1</v>
          </cell>
          <cell r="Z780">
            <v>1</v>
          </cell>
          <cell r="AA780">
            <v>1</v>
          </cell>
          <cell r="AB780">
            <v>1</v>
          </cell>
          <cell r="AC780">
            <v>1</v>
          </cell>
          <cell r="AD780">
            <v>1</v>
          </cell>
          <cell r="AE780">
            <v>1</v>
          </cell>
          <cell r="AF780">
            <v>1</v>
          </cell>
          <cell r="AG780">
            <v>1</v>
          </cell>
          <cell r="AH780">
            <v>1</v>
          </cell>
          <cell r="AI780">
            <v>1</v>
          </cell>
          <cell r="AJ780">
            <v>1</v>
          </cell>
          <cell r="AK780">
            <v>1</v>
          </cell>
          <cell r="AL780">
            <v>1</v>
          </cell>
          <cell r="AM780">
            <v>1</v>
          </cell>
          <cell r="AN780">
            <v>1</v>
          </cell>
          <cell r="AO780">
            <v>1</v>
          </cell>
          <cell r="AP780">
            <v>1</v>
          </cell>
          <cell r="AQ780">
            <v>1</v>
          </cell>
          <cell r="AR780">
            <v>1</v>
          </cell>
          <cell r="AS780">
            <v>1</v>
          </cell>
          <cell r="AT780">
            <v>1</v>
          </cell>
          <cell r="AU780">
            <v>1</v>
          </cell>
          <cell r="AV780">
            <v>1</v>
          </cell>
          <cell r="AW780">
            <v>1</v>
          </cell>
          <cell r="AX780">
            <v>1</v>
          </cell>
          <cell r="AY780"/>
          <cell r="AZ780"/>
          <cell r="BA780"/>
          <cell r="BB780"/>
          <cell r="BC780"/>
          <cell r="BD780"/>
          <cell r="BE780"/>
          <cell r="BF780"/>
          <cell r="BG780"/>
          <cell r="BH780">
            <v>1</v>
          </cell>
          <cell r="BI780">
            <v>1</v>
          </cell>
          <cell r="BJ780">
            <v>1</v>
          </cell>
          <cell r="BK780">
            <v>1</v>
          </cell>
          <cell r="BL780">
            <v>1</v>
          </cell>
          <cell r="BM780">
            <v>1</v>
          </cell>
          <cell r="BN780">
            <v>1</v>
          </cell>
          <cell r="BO780">
            <v>1</v>
          </cell>
          <cell r="BP780">
            <v>1</v>
          </cell>
          <cell r="BQ780">
            <v>1</v>
          </cell>
          <cell r="BR780">
            <v>1</v>
          </cell>
          <cell r="BS780">
            <v>1</v>
          </cell>
          <cell r="BT780">
            <v>1</v>
          </cell>
          <cell r="BU780">
            <v>1</v>
          </cell>
          <cell r="BV780">
            <v>1</v>
          </cell>
          <cell r="BW780">
            <v>1</v>
          </cell>
          <cell r="BX780"/>
          <cell r="BY780"/>
          <cell r="BZ780"/>
          <cell r="CA780"/>
          <cell r="CB780"/>
          <cell r="CC780"/>
        </row>
        <row r="781">
          <cell r="A781"/>
        </row>
        <row r="782">
          <cell r="A782"/>
        </row>
        <row r="783">
          <cell r="A783" t="str">
            <v>General Table</v>
          </cell>
        </row>
        <row r="784">
          <cell r="A784" t="str">
            <v>Last Price</v>
          </cell>
          <cell r="B784">
            <v>80.17</v>
          </cell>
        </row>
        <row r="785">
          <cell r="A785" t="str">
            <v>Last Price Date</v>
          </cell>
        </row>
        <row r="786">
          <cell r="A786" t="str">
            <v>Real-Time Stock Price</v>
          </cell>
          <cell r="B786" t="b">
            <v>0</v>
          </cell>
        </row>
        <row r="787">
          <cell r="A787" t="str">
            <v>Last Price Formula</v>
          </cell>
          <cell r="B787" t="str">
            <v>N/A</v>
          </cell>
        </row>
        <row r="788">
          <cell r="A788" t="str">
            <v>Apply Trade Currency Scaling</v>
          </cell>
          <cell r="B788" t="b">
            <v>0</v>
          </cell>
        </row>
        <row r="789">
          <cell r="A789" t="str">
            <v>Trade Currency</v>
          </cell>
          <cell r="B789" t="str">
            <v>USD</v>
          </cell>
        </row>
        <row r="790">
          <cell r="A790" t="str">
            <v>Trade Currency Hardcoded</v>
          </cell>
          <cell r="B790" t="str">
            <v>USD</v>
          </cell>
        </row>
        <row r="791">
          <cell r="A791" t="str">
            <v>Model Sheet Currency Hardcoded</v>
          </cell>
          <cell r="B791" t="str">
            <v>USD</v>
          </cell>
        </row>
        <row r="792">
          <cell r="A792" t="str">
            <v>Most Recent FX</v>
          </cell>
          <cell r="B792">
            <v>1</v>
          </cell>
        </row>
        <row r="793">
          <cell r="A793" t="str">
            <v>Most Recent FX Hardcoded</v>
          </cell>
          <cell r="B793">
            <v>1</v>
          </cell>
        </row>
        <row r="794">
          <cell r="A794" t="str">
            <v>MRFP Column Number</v>
          </cell>
          <cell r="B794">
            <v>66</v>
          </cell>
        </row>
        <row r="795">
          <cell r="A795" t="str">
            <v>Most Recent Fiscal Period (MRFP)</v>
          </cell>
          <cell r="B795" t="str">
            <v>FY2024</v>
          </cell>
        </row>
        <row r="796">
          <cell r="A796" t="str">
            <v>Current Fiscal Year</v>
          </cell>
        </row>
        <row r="797">
          <cell r="A797" t="str">
            <v>First Forecast Fiscal Year</v>
          </cell>
        </row>
        <row r="798">
          <cell r="A798" t="str">
            <v>KPI Count</v>
          </cell>
        </row>
        <row r="799">
          <cell r="A799" t="str">
            <v>Data Source Index</v>
          </cell>
          <cell r="B799">
            <v>1</v>
          </cell>
        </row>
        <row r="800">
          <cell r="A800"/>
        </row>
        <row r="801">
          <cell r="A801" t="str">
            <v>Tegus</v>
          </cell>
        </row>
        <row r="802">
          <cell r="A802"/>
        </row>
      </sheetData>
      <sheetData sheetId="2"/>
      <sheetData sheetId="3">
        <row r="4">
          <cell r="A4" t="str">
            <v>Stock Price - EoP</v>
          </cell>
          <cell r="B4" t="str">
            <v>EoP</v>
          </cell>
          <cell r="C4">
            <v>20.2</v>
          </cell>
          <cell r="D4">
            <v>20.11</v>
          </cell>
          <cell r="E4">
            <v>24.11</v>
          </cell>
          <cell r="F4">
            <v>26.27</v>
          </cell>
          <cell r="G4">
            <v>31.44</v>
          </cell>
          <cell r="H4">
            <v>21.72</v>
          </cell>
          <cell r="I4">
            <v>22.1</v>
          </cell>
          <cell r="J4">
            <v>24.32</v>
          </cell>
          <cell r="K4">
            <v>16.350000000000001</v>
          </cell>
          <cell r="L4">
            <v>11.85</v>
          </cell>
          <cell r="M4">
            <v>15.96</v>
          </cell>
          <cell r="N4">
            <v>13.2</v>
          </cell>
          <cell r="O4">
            <v>12.62</v>
          </cell>
          <cell r="P4">
            <v>8.8800000000000008</v>
          </cell>
          <cell r="Q4">
            <v>10.050000000000001</v>
          </cell>
          <cell r="R4">
            <v>12.09</v>
          </cell>
          <cell r="S4">
            <v>14.05</v>
          </cell>
          <cell r="T4">
            <v>17.16</v>
          </cell>
          <cell r="U4">
            <v>18.649999999999999</v>
          </cell>
          <cell r="V4">
            <v>18.03</v>
          </cell>
          <cell r="W4">
            <v>17.84</v>
          </cell>
          <cell r="X4">
            <v>15.9</v>
          </cell>
          <cell r="Y4">
            <v>14.18</v>
          </cell>
          <cell r="Z4">
            <v>16.37</v>
          </cell>
          <cell r="AA4">
            <v>17.7</v>
          </cell>
          <cell r="AB4">
            <v>24.42</v>
          </cell>
          <cell r="AC4">
            <v>34.130000000000003</v>
          </cell>
          <cell r="AD4">
            <v>30.41</v>
          </cell>
          <cell r="AE4">
            <v>26.48</v>
          </cell>
          <cell r="AF4">
            <v>19.850000000000001</v>
          </cell>
          <cell r="AG4">
            <v>18.57</v>
          </cell>
          <cell r="AH4">
            <v>26.72</v>
          </cell>
          <cell r="AI4">
            <v>27.08</v>
          </cell>
          <cell r="AJ4">
            <v>21.58</v>
          </cell>
          <cell r="AK4">
            <v>29.6</v>
          </cell>
          <cell r="AL4">
            <v>32.630000000000003</v>
          </cell>
          <cell r="AM4">
            <v>35.07</v>
          </cell>
          <cell r="AN4">
            <v>33.11</v>
          </cell>
          <cell r="AO4">
            <v>35.770000000000003</v>
          </cell>
          <cell r="AP4">
            <v>41.31</v>
          </cell>
          <cell r="AQ4">
            <v>42.37</v>
          </cell>
          <cell r="AR4">
            <v>31.28</v>
          </cell>
          <cell r="AS4">
            <v>39.03</v>
          </cell>
          <cell r="AT4">
            <v>37.29</v>
          </cell>
          <cell r="AU4">
            <v>45.03</v>
          </cell>
          <cell r="AV4">
            <v>59.37</v>
          </cell>
          <cell r="AW4">
            <v>63.05</v>
          </cell>
          <cell r="AX4">
            <v>70.5</v>
          </cell>
          <cell r="AY4">
            <v>80.17</v>
          </cell>
          <cell r="AZ4">
            <v>80.17</v>
          </cell>
          <cell r="BA4">
            <v>80.17</v>
          </cell>
          <cell r="BB4">
            <v>80.17</v>
          </cell>
          <cell r="BC4">
            <v>80.17</v>
          </cell>
          <cell r="BD4">
            <v>80.17</v>
          </cell>
          <cell r="BE4">
            <v>80.17</v>
          </cell>
          <cell r="BF4">
            <v>80.17</v>
          </cell>
          <cell r="BG4"/>
          <cell r="BH4">
            <v>20.88</v>
          </cell>
          <cell r="BI4">
            <v>23.02</v>
          </cell>
          <cell r="BJ4">
            <v>32.76</v>
          </cell>
          <cell r="BK4">
            <v>23.3</v>
          </cell>
          <cell r="BL4">
            <v>26.27</v>
          </cell>
          <cell r="BM4">
            <v>24.32</v>
          </cell>
          <cell r="BN4">
            <v>13.2</v>
          </cell>
          <cell r="BO4">
            <v>12.09</v>
          </cell>
          <cell r="BP4">
            <v>18.03</v>
          </cell>
          <cell r="BQ4">
            <v>16.37</v>
          </cell>
          <cell r="BR4">
            <v>30.41</v>
          </cell>
          <cell r="BS4">
            <v>26.72</v>
          </cell>
          <cell r="BT4">
            <v>32.630000000000003</v>
          </cell>
          <cell r="BU4">
            <v>41.31</v>
          </cell>
          <cell r="BV4">
            <v>37.29</v>
          </cell>
          <cell r="BW4">
            <v>70.5</v>
          </cell>
          <cell r="BX4">
            <v>80.17</v>
          </cell>
          <cell r="BY4">
            <v>80.17</v>
          </cell>
          <cell r="BZ4">
            <v>80.17</v>
          </cell>
          <cell r="CA4">
            <v>80.17</v>
          </cell>
          <cell r="CB4">
            <v>80.17</v>
          </cell>
          <cell r="CC4"/>
        </row>
        <row r="5">
          <cell r="A5" t="str">
            <v>EoP Total Diluted Common Stock Outstanding, mm shares</v>
          </cell>
          <cell r="B5"/>
          <cell r="C5">
            <v>38.702199999999998</v>
          </cell>
          <cell r="D5">
            <v>38.776111999999998</v>
          </cell>
          <cell r="E5">
            <v>39.018157000000002</v>
          </cell>
          <cell r="F5">
            <v>42.095222000000007</v>
          </cell>
          <cell r="G5">
            <v>42.553888000000001</v>
          </cell>
          <cell r="H5">
            <v>42.437249999999999</v>
          </cell>
          <cell r="I5">
            <v>38.783656999999998</v>
          </cell>
          <cell r="J5">
            <v>38.171185999999999</v>
          </cell>
          <cell r="K5">
            <v>37.02026</v>
          </cell>
          <cell r="L5">
            <v>36.941704999999999</v>
          </cell>
          <cell r="M5">
            <v>37.219151000000011</v>
          </cell>
          <cell r="N5">
            <v>37.28706900000001</v>
          </cell>
          <cell r="O5">
            <v>37.474429000000008</v>
          </cell>
          <cell r="P5">
            <v>37.486861000000005</v>
          </cell>
          <cell r="Q5">
            <v>38.800010999999998</v>
          </cell>
          <cell r="R5">
            <v>38.856724999999997</v>
          </cell>
          <cell r="S5">
            <v>39.143738000000006</v>
          </cell>
          <cell r="T5">
            <v>38.828431999999999</v>
          </cell>
          <cell r="U5">
            <v>39.201502000000005</v>
          </cell>
          <cell r="V5">
            <v>39.633270000000003</v>
          </cell>
          <cell r="W5">
            <v>39.961972000000003</v>
          </cell>
          <cell r="X5">
            <v>40.530445</v>
          </cell>
          <cell r="Y5">
            <v>40.772714999999991</v>
          </cell>
          <cell r="Z5">
            <v>38.836303000000001</v>
          </cell>
          <cell r="AA5">
            <v>39.422617000000002</v>
          </cell>
          <cell r="AB5">
            <v>40.118918999999998</v>
          </cell>
          <cell r="AC5">
            <v>41.598303000000001</v>
          </cell>
          <cell r="AD5">
            <v>41.449528000000001</v>
          </cell>
          <cell r="AE5">
            <v>41.713923000000001</v>
          </cell>
          <cell r="AF5">
            <v>39.724345999999997</v>
          </cell>
          <cell r="AG5">
            <v>39.768095000000002</v>
          </cell>
          <cell r="AH5">
            <v>40.917727000000006</v>
          </cell>
          <cell r="AI5">
            <v>42.091039000000002</v>
          </cell>
          <cell r="AJ5">
            <v>40.865203999999999</v>
          </cell>
          <cell r="AK5">
            <v>41.538973999999996</v>
          </cell>
          <cell r="AL5">
            <v>42.005848</v>
          </cell>
          <cell r="AM5">
            <v>42.270390999999996</v>
          </cell>
          <cell r="AN5">
            <v>41.901281000000004</v>
          </cell>
          <cell r="AO5">
            <v>41.936752000000006</v>
          </cell>
          <cell r="AP5">
            <v>42.325127999999992</v>
          </cell>
          <cell r="AQ5">
            <v>42.649316999999996</v>
          </cell>
          <cell r="AR5">
            <v>42.328862999999991</v>
          </cell>
          <cell r="AS5">
            <v>42.501981999999998</v>
          </cell>
          <cell r="AT5">
            <v>42.604030000000009</v>
          </cell>
          <cell r="AU5">
            <v>42.767434000000002</v>
          </cell>
          <cell r="AV5">
            <v>43.251281000000006</v>
          </cell>
          <cell r="AW5">
            <v>43.463521999999998</v>
          </cell>
          <cell r="AX5">
            <v>43.998141000000004</v>
          </cell>
          <cell r="AY5">
            <v>44.003528766081651</v>
          </cell>
          <cell r="AZ5">
            <v>44.007929118958259</v>
          </cell>
          <cell r="BA5">
            <v>44.012329911870161</v>
          </cell>
          <cell r="BB5">
            <v>44.016731144861346</v>
          </cell>
          <cell r="BC5">
            <v>44.021132817975833</v>
          </cell>
          <cell r="BD5">
            <v>44.025534931257624</v>
          </cell>
          <cell r="BE5">
            <v>44.029937484750754</v>
          </cell>
          <cell r="BF5">
            <v>44.034340478499225</v>
          </cell>
          <cell r="BG5"/>
          <cell r="BH5">
            <v>30.184272</v>
          </cell>
          <cell r="BI5">
            <v>30.710272</v>
          </cell>
          <cell r="BJ5">
            <v>38.77030400000001</v>
          </cell>
          <cell r="BK5">
            <v>41.533481000000002</v>
          </cell>
          <cell r="BL5">
            <v>42.095222000000007</v>
          </cell>
          <cell r="BM5">
            <v>38.171185999999999</v>
          </cell>
          <cell r="BN5">
            <v>37.28706900000001</v>
          </cell>
          <cell r="BO5">
            <v>38.856724999999997</v>
          </cell>
          <cell r="BP5">
            <v>39.633270000000003</v>
          </cell>
          <cell r="BQ5">
            <v>38.836303000000001</v>
          </cell>
          <cell r="BR5">
            <v>41.449528000000001</v>
          </cell>
          <cell r="BS5">
            <v>40.917727000000006</v>
          </cell>
          <cell r="BT5">
            <v>42.005848</v>
          </cell>
          <cell r="BU5">
            <v>42.325127999999992</v>
          </cell>
          <cell r="BV5">
            <v>42.604030000000009</v>
          </cell>
          <cell r="BW5">
            <v>43.998141000000004</v>
          </cell>
          <cell r="BX5">
            <v>44.016731144861346</v>
          </cell>
          <cell r="BY5">
            <v>44.034340478499225</v>
          </cell>
          <cell r="BZ5">
            <v>44.051954214690625</v>
          </cell>
          <cell r="CA5">
            <v>44.069574996376495</v>
          </cell>
          <cell r="CB5">
            <v>44.087202826375048</v>
          </cell>
          <cell r="CC5"/>
        </row>
        <row r="6">
          <cell r="A6" t="str">
            <v>Market Cap - EoP</v>
          </cell>
          <cell r="B6"/>
          <cell r="C6">
            <v>781.7844399999999</v>
          </cell>
          <cell r="D6">
            <v>779.78761231999988</v>
          </cell>
          <cell r="E6">
            <v>940.72776527000008</v>
          </cell>
          <cell r="F6">
            <v>1105.8414819400002</v>
          </cell>
          <cell r="G6">
            <v>1337.89423872</v>
          </cell>
          <cell r="H6">
            <v>921.7370699999999</v>
          </cell>
          <cell r="I6">
            <v>857.11881970000002</v>
          </cell>
          <cell r="J6">
            <v>928.32324352000001</v>
          </cell>
          <cell r="K6">
            <v>605.28125100000011</v>
          </cell>
          <cell r="L6">
            <v>437.75920424999998</v>
          </cell>
          <cell r="M6">
            <v>594.0176499600002</v>
          </cell>
          <cell r="N6">
            <v>492.1893108000001</v>
          </cell>
          <cell r="O6">
            <v>472.92729398000006</v>
          </cell>
          <cell r="P6">
            <v>332.8833256800001</v>
          </cell>
          <cell r="Q6">
            <v>389.94011054999999</v>
          </cell>
          <cell r="R6">
            <v>469.77780524999997</v>
          </cell>
          <cell r="S6">
            <v>549.96951890000014</v>
          </cell>
          <cell r="T6">
            <v>666.29589311999996</v>
          </cell>
          <cell r="U6">
            <v>731.10801230000004</v>
          </cell>
          <cell r="V6">
            <v>714.58785810000006</v>
          </cell>
          <cell r="W6">
            <v>712.9215804800001</v>
          </cell>
          <cell r="X6">
            <v>644.43407550000006</v>
          </cell>
          <cell r="Y6">
            <v>578.15709869999989</v>
          </cell>
          <cell r="Z6">
            <v>635.75028011000006</v>
          </cell>
          <cell r="AA6">
            <v>697.78032089999999</v>
          </cell>
          <cell r="AB6">
            <v>979.70400198000004</v>
          </cell>
          <cell r="AC6">
            <v>1419.7500813900001</v>
          </cell>
          <cell r="AD6">
            <v>1260.48014648</v>
          </cell>
          <cell r="AE6">
            <v>1104.5846810400001</v>
          </cell>
          <cell r="AF6">
            <v>788.52826809999999</v>
          </cell>
          <cell r="AG6">
            <v>738.4935241500001</v>
          </cell>
          <cell r="AH6">
            <v>1093.3216654400001</v>
          </cell>
          <cell r="AI6">
            <v>1139.82533612</v>
          </cell>
          <cell r="AJ6">
            <v>881.87110231999986</v>
          </cell>
          <cell r="AK6">
            <v>1229.5536304</v>
          </cell>
          <cell r="AL6">
            <v>1370.65082024</v>
          </cell>
          <cell r="AM6">
            <v>1482.4226123699998</v>
          </cell>
          <cell r="AN6">
            <v>1387.35141391</v>
          </cell>
          <cell r="AO6">
            <v>1500.0776190400004</v>
          </cell>
          <cell r="AP6">
            <v>1748.4510376799997</v>
          </cell>
          <cell r="AQ6">
            <v>1807.0515612899997</v>
          </cell>
          <cell r="AR6">
            <v>1324.0468346399998</v>
          </cell>
          <cell r="AS6">
            <v>1658.8523574599999</v>
          </cell>
          <cell r="AT6">
            <v>1588.7042787000003</v>
          </cell>
          <cell r="AU6">
            <v>1925.8175530200001</v>
          </cell>
          <cell r="AV6">
            <v>2567.8285529700001</v>
          </cell>
          <cell r="AW6">
            <v>2740.3750620999999</v>
          </cell>
          <cell r="AX6">
            <v>3101.8689405000005</v>
          </cell>
          <cell r="AY6">
            <v>3527.7629011767658</v>
          </cell>
          <cell r="AZ6">
            <v>3528.1156774668839</v>
          </cell>
          <cell r="BA6">
            <v>3528.4684890346307</v>
          </cell>
          <cell r="BB6">
            <v>3528.8213358835342</v>
          </cell>
          <cell r="BC6">
            <v>3529.1742180171227</v>
          </cell>
          <cell r="BD6">
            <v>3529.5271354389238</v>
          </cell>
          <cell r="BE6">
            <v>3529.880088152468</v>
          </cell>
          <cell r="BF6">
            <v>3530.233076161283</v>
          </cell>
          <cell r="BG6"/>
          <cell r="BH6">
            <v>630.24759935999998</v>
          </cell>
          <cell r="BI6">
            <v>706.95046144000003</v>
          </cell>
          <cell r="BJ6">
            <v>1270.1151590400002</v>
          </cell>
          <cell r="BK6">
            <v>967.7301073000001</v>
          </cell>
          <cell r="BL6">
            <v>1105.8414819400002</v>
          </cell>
          <cell r="BM6">
            <v>928.32324352000001</v>
          </cell>
          <cell r="BN6">
            <v>492.1893108000001</v>
          </cell>
          <cell r="BO6">
            <v>469.77780524999997</v>
          </cell>
          <cell r="BP6">
            <v>714.58785810000006</v>
          </cell>
          <cell r="BQ6">
            <v>635.75028011000006</v>
          </cell>
          <cell r="BR6">
            <v>1260.48014648</v>
          </cell>
          <cell r="BS6">
            <v>1093.3216654400001</v>
          </cell>
          <cell r="BT6">
            <v>1370.65082024</v>
          </cell>
          <cell r="BU6">
            <v>1748.4510376799997</v>
          </cell>
          <cell r="BV6">
            <v>1588.7042787000003</v>
          </cell>
          <cell r="BW6">
            <v>3101.8689405000005</v>
          </cell>
          <cell r="BX6">
            <v>3528.8213358835342</v>
          </cell>
          <cell r="BY6">
            <v>3530.233076161283</v>
          </cell>
          <cell r="BZ6">
            <v>3531.6451693917475</v>
          </cell>
          <cell r="CA6">
            <v>3533.0578274595036</v>
          </cell>
          <cell r="CB6">
            <v>3534.4710505904877</v>
          </cell>
          <cell r="CC6"/>
        </row>
        <row r="7">
          <cell r="A7" t="str">
            <v>Cash</v>
          </cell>
          <cell r="B7"/>
          <cell r="C7">
            <v>107.938</v>
          </cell>
          <cell r="D7">
            <v>143.19200000000001</v>
          </cell>
          <cell r="E7">
            <v>156.96799999999999</v>
          </cell>
          <cell r="F7">
            <v>181.48</v>
          </cell>
          <cell r="G7">
            <v>163.47399999999999</v>
          </cell>
          <cell r="H7">
            <v>162.88900000000001</v>
          </cell>
          <cell r="I7">
            <v>185.33199999999999</v>
          </cell>
          <cell r="J7">
            <v>196.10900000000001</v>
          </cell>
          <cell r="K7">
            <v>109.196</v>
          </cell>
          <cell r="L7">
            <v>124.23399999999999</v>
          </cell>
          <cell r="M7">
            <v>142.85</v>
          </cell>
          <cell r="N7">
            <v>195.852</v>
          </cell>
          <cell r="O7">
            <v>150.864</v>
          </cell>
          <cell r="P7">
            <v>171.27699999999999</v>
          </cell>
          <cell r="Q7">
            <v>199.50800000000001</v>
          </cell>
          <cell r="R7">
            <v>213.989</v>
          </cell>
          <cell r="S7">
            <v>135.08799999999999</v>
          </cell>
          <cell r="T7">
            <v>182.14599999999999</v>
          </cell>
          <cell r="U7">
            <v>194.708</v>
          </cell>
          <cell r="V7">
            <v>230.864</v>
          </cell>
          <cell r="W7">
            <v>147.34200000000001</v>
          </cell>
          <cell r="X7">
            <v>189.50200000000001</v>
          </cell>
          <cell r="Y7">
            <v>227.90700000000001</v>
          </cell>
          <cell r="Z7">
            <v>233.113</v>
          </cell>
          <cell r="AA7">
            <v>145.04900000000001</v>
          </cell>
          <cell r="AB7">
            <v>205.27500000000001</v>
          </cell>
          <cell r="AC7">
            <v>236.02500000000001</v>
          </cell>
          <cell r="AD7">
            <v>284.62099999999998</v>
          </cell>
          <cell r="AE7">
            <v>167.44399999999999</v>
          </cell>
          <cell r="AF7">
            <v>213.14099999999999</v>
          </cell>
          <cell r="AG7">
            <v>151.53399999999999</v>
          </cell>
          <cell r="AH7">
            <v>213.29900000000001</v>
          </cell>
          <cell r="AI7">
            <v>309.78399999999999</v>
          </cell>
          <cell r="AJ7">
            <v>259.17800000000005</v>
          </cell>
          <cell r="AK7">
            <v>330.03300000000002</v>
          </cell>
          <cell r="AL7">
            <v>427.08199999999999</v>
          </cell>
          <cell r="AM7">
            <v>267.024</v>
          </cell>
          <cell r="AN7">
            <v>328.99099999999999</v>
          </cell>
          <cell r="AO7">
            <v>393.36400000000003</v>
          </cell>
          <cell r="AP7">
            <v>474.09800000000001</v>
          </cell>
          <cell r="AQ7">
            <v>287.22400000000005</v>
          </cell>
          <cell r="AR7">
            <v>422.17899999999997</v>
          </cell>
          <cell r="AS7">
            <v>477.87799999999999</v>
          </cell>
          <cell r="AT7">
            <v>545.50699999999995</v>
          </cell>
          <cell r="AU7">
            <v>381.12599999999998</v>
          </cell>
          <cell r="AV7">
            <v>530.98699999999997</v>
          </cell>
          <cell r="AW7">
            <v>570.67700000000002</v>
          </cell>
          <cell r="AX7">
            <v>714.18599999999992</v>
          </cell>
          <cell r="AY7">
            <v>388.67187081359282</v>
          </cell>
          <cell r="AZ7">
            <v>555.42495552129321</v>
          </cell>
          <cell r="BA7">
            <v>618.93220983925357</v>
          </cell>
          <cell r="BB7">
            <v>762.80008692908496</v>
          </cell>
          <cell r="BC7">
            <v>643.00543125984211</v>
          </cell>
          <cell r="BD7">
            <v>815.71356412141358</v>
          </cell>
          <cell r="BE7">
            <v>886.38236248314308</v>
          </cell>
          <cell r="BF7">
            <v>1039.3105199771494</v>
          </cell>
          <cell r="BG7"/>
          <cell r="BH7">
            <v>51.960999999999999</v>
          </cell>
          <cell r="BI7">
            <v>85.094000000000008</v>
          </cell>
          <cell r="BJ7">
            <v>194.6</v>
          </cell>
          <cell r="BK7">
            <v>146.15299999999999</v>
          </cell>
          <cell r="BL7">
            <v>181.48</v>
          </cell>
          <cell r="BM7">
            <v>196.10900000000001</v>
          </cell>
          <cell r="BN7">
            <v>195.852</v>
          </cell>
          <cell r="BO7">
            <v>213.989</v>
          </cell>
          <cell r="BP7">
            <v>230.864</v>
          </cell>
          <cell r="BQ7">
            <v>233.113</v>
          </cell>
          <cell r="BR7">
            <v>284.62099999999998</v>
          </cell>
          <cell r="BS7">
            <v>213.29900000000001</v>
          </cell>
          <cell r="BT7">
            <v>427.08199999999999</v>
          </cell>
          <cell r="BU7">
            <v>474.09800000000001</v>
          </cell>
          <cell r="BV7">
            <v>545.50699999999995</v>
          </cell>
          <cell r="BW7">
            <v>714.18599999999992</v>
          </cell>
          <cell r="BX7">
            <v>762.80008692908496</v>
          </cell>
          <cell r="BY7">
            <v>1039.3105199771494</v>
          </cell>
          <cell r="BZ7">
            <v>1318.3103282154107</v>
          </cell>
          <cell r="CA7">
            <v>1638.1359641583144</v>
          </cell>
          <cell r="CB7">
            <v>2001.5669003094515</v>
          </cell>
          <cell r="CC7"/>
        </row>
        <row r="8">
          <cell r="A8" t="str">
            <v>Debt</v>
          </cell>
          <cell r="B8"/>
          <cell r="C8">
            <v>42.298999999999999</v>
          </cell>
          <cell r="D8">
            <v>41.555999999999997</v>
          </cell>
          <cell r="E8">
            <v>41.817</v>
          </cell>
          <cell r="F8">
            <v>35.891999999999996</v>
          </cell>
          <cell r="G8">
            <v>40.645000000000003</v>
          </cell>
          <cell r="H8">
            <v>41.646000000000001</v>
          </cell>
          <cell r="I8">
            <v>37.605000000000004</v>
          </cell>
          <cell r="J8">
            <v>36.939</v>
          </cell>
          <cell r="K8">
            <v>35.305999999999997</v>
          </cell>
          <cell r="L8">
            <v>32.363999999999997</v>
          </cell>
          <cell r="M8">
            <v>32.293999999999997</v>
          </cell>
          <cell r="N8">
            <v>29.657000000000004</v>
          </cell>
          <cell r="O8">
            <v>27.304000000000002</v>
          </cell>
          <cell r="P8">
            <v>24.427999999999997</v>
          </cell>
          <cell r="Q8">
            <v>23.113</v>
          </cell>
          <cell r="R8">
            <v>23.132000000000001</v>
          </cell>
          <cell r="S8">
            <v>27.752000000000002</v>
          </cell>
          <cell r="T8">
            <v>25.282</v>
          </cell>
          <cell r="U8">
            <v>25.222000000000001</v>
          </cell>
          <cell r="V8">
            <v>21.905000000000001</v>
          </cell>
          <cell r="W8">
            <v>29.288</v>
          </cell>
          <cell r="X8">
            <v>27.347000000000001</v>
          </cell>
          <cell r="Y8">
            <v>27.71</v>
          </cell>
          <cell r="Z8">
            <v>26.018000000000001</v>
          </cell>
          <cell r="AA8">
            <v>37.692</v>
          </cell>
          <cell r="AB8">
            <v>34.750999999999998</v>
          </cell>
          <cell r="AC8">
            <v>31.196999999999999</v>
          </cell>
          <cell r="AD8">
            <v>24.648</v>
          </cell>
          <cell r="AE8">
            <v>25.513999999999999</v>
          </cell>
          <cell r="AF8">
            <v>25.481999999999999</v>
          </cell>
          <cell r="AG8">
            <v>123.253</v>
          </cell>
          <cell r="AH8">
            <v>117.938</v>
          </cell>
          <cell r="AI8">
            <v>320.596</v>
          </cell>
          <cell r="AJ8">
            <v>350.92600000000004</v>
          </cell>
          <cell r="AK8">
            <v>364.54099999999994</v>
          </cell>
          <cell r="AL8">
            <v>368.17500000000001</v>
          </cell>
          <cell r="AM8">
            <v>489.42899999999997</v>
          </cell>
          <cell r="AN8">
            <v>491.36599999999999</v>
          </cell>
          <cell r="AO8">
            <v>485.62900000000002</v>
          </cell>
          <cell r="AP8">
            <v>477.71499999999997</v>
          </cell>
          <cell r="AQ8">
            <v>489.87600000000003</v>
          </cell>
          <cell r="AR8">
            <v>485.56200000000001</v>
          </cell>
          <cell r="AS8">
            <v>479.66800000000001</v>
          </cell>
          <cell r="AT8">
            <v>469.93400000000003</v>
          </cell>
          <cell r="AU8">
            <v>478.15800000000002</v>
          </cell>
          <cell r="AV8">
            <v>477.6</v>
          </cell>
          <cell r="AW8">
            <v>475.18200000000002</v>
          </cell>
          <cell r="AX8">
            <v>470.27300000000002</v>
          </cell>
          <cell r="AY8">
            <v>470.27300000000002</v>
          </cell>
          <cell r="AZ8">
            <v>470.27300000000002</v>
          </cell>
          <cell r="BA8">
            <v>470.27300000000002</v>
          </cell>
          <cell r="BB8">
            <v>470.27300000000002</v>
          </cell>
          <cell r="BC8">
            <v>470.27300000000002</v>
          </cell>
          <cell r="BD8">
            <v>470.27300000000002</v>
          </cell>
          <cell r="BE8">
            <v>470.27300000000002</v>
          </cell>
          <cell r="BF8">
            <v>470.27300000000002</v>
          </cell>
          <cell r="BG8"/>
          <cell r="BH8">
            <v>22.402000000000001</v>
          </cell>
          <cell r="BI8">
            <v>20.612000000000002</v>
          </cell>
          <cell r="BJ8">
            <v>24.207999999999998</v>
          </cell>
          <cell r="BK8">
            <v>32.996000000000002</v>
          </cell>
          <cell r="BL8">
            <v>35.891999999999996</v>
          </cell>
          <cell r="BM8">
            <v>36.939</v>
          </cell>
          <cell r="BN8">
            <v>29.657000000000004</v>
          </cell>
          <cell r="BO8">
            <v>23.132000000000001</v>
          </cell>
          <cell r="BP8">
            <v>21.905000000000001</v>
          </cell>
          <cell r="BQ8">
            <v>26.018000000000001</v>
          </cell>
          <cell r="BR8">
            <v>24.648</v>
          </cell>
          <cell r="BS8">
            <v>117.938</v>
          </cell>
          <cell r="BT8">
            <v>368.17500000000001</v>
          </cell>
          <cell r="BU8">
            <v>477.71499999999997</v>
          </cell>
          <cell r="BV8">
            <v>469.93400000000003</v>
          </cell>
          <cell r="BW8">
            <v>470.27300000000002</v>
          </cell>
          <cell r="BX8">
            <v>470.27300000000002</v>
          </cell>
          <cell r="BY8">
            <v>470.27300000000002</v>
          </cell>
          <cell r="BZ8">
            <v>470.27300000000002</v>
          </cell>
          <cell r="CA8">
            <v>470.27300000000002</v>
          </cell>
          <cell r="CB8">
            <v>470.27300000000002</v>
          </cell>
          <cell r="CC8"/>
        </row>
        <row r="9">
          <cell r="A9" t="str">
            <v>Operating Lease Liabilities</v>
          </cell>
          <cell r="B9"/>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25.418999999999997</v>
          </cell>
          <cell r="AF9">
            <v>23.402000000000001</v>
          </cell>
          <cell r="AG9">
            <v>121.244</v>
          </cell>
          <cell r="AH9">
            <v>117.233</v>
          </cell>
          <cell r="AI9">
            <v>112.279</v>
          </cell>
          <cell r="AJ9">
            <v>108.18100000000001</v>
          </cell>
          <cell r="AK9">
            <v>103.85899999999999</v>
          </cell>
          <cell r="AL9">
            <v>98.106999999999999</v>
          </cell>
          <cell r="AM9">
            <v>99.590999999999994</v>
          </cell>
          <cell r="AN9">
            <v>94.253</v>
          </cell>
          <cell r="AO9">
            <v>90.132000000000005</v>
          </cell>
          <cell r="AP9">
            <v>87.956999999999994</v>
          </cell>
          <cell r="AQ9">
            <v>82.468999999999994</v>
          </cell>
          <cell r="AR9">
            <v>79.108000000000004</v>
          </cell>
          <cell r="AS9">
            <v>76.471000000000004</v>
          </cell>
          <cell r="AT9">
            <v>73.873999999999995</v>
          </cell>
          <cell r="AU9">
            <v>69.707999999999998</v>
          </cell>
          <cell r="AV9">
            <v>64.38</v>
          </cell>
          <cell r="AW9">
            <v>61.271000000000001</v>
          </cell>
          <cell r="AX9">
            <v>57.94</v>
          </cell>
          <cell r="AY9">
            <v>57.94</v>
          </cell>
          <cell r="AZ9">
            <v>57.94</v>
          </cell>
          <cell r="BA9">
            <v>57.94</v>
          </cell>
          <cell r="BB9">
            <v>57.94</v>
          </cell>
          <cell r="BC9">
            <v>57.94</v>
          </cell>
          <cell r="BD9">
            <v>57.94</v>
          </cell>
          <cell r="BE9">
            <v>57.94</v>
          </cell>
          <cell r="BF9">
            <v>57.94</v>
          </cell>
          <cell r="BG9"/>
          <cell r="BH9">
            <v>0</v>
          </cell>
          <cell r="BI9">
            <v>0</v>
          </cell>
          <cell r="BJ9">
            <v>0</v>
          </cell>
          <cell r="BK9">
            <v>0</v>
          </cell>
          <cell r="BL9">
            <v>0</v>
          </cell>
          <cell r="BM9">
            <v>0</v>
          </cell>
          <cell r="BN9">
            <v>0</v>
          </cell>
          <cell r="BO9">
            <v>0</v>
          </cell>
          <cell r="BP9">
            <v>0</v>
          </cell>
          <cell r="BQ9">
            <v>0</v>
          </cell>
          <cell r="BR9">
            <v>0</v>
          </cell>
          <cell r="BS9">
            <v>117.233</v>
          </cell>
          <cell r="BT9">
            <v>98.106999999999999</v>
          </cell>
          <cell r="BU9">
            <v>87.956999999999994</v>
          </cell>
          <cell r="BV9">
            <v>73.873999999999995</v>
          </cell>
          <cell r="BW9">
            <v>57.94</v>
          </cell>
          <cell r="BX9">
            <v>57.94</v>
          </cell>
          <cell r="BY9">
            <v>57.94</v>
          </cell>
          <cell r="BZ9">
            <v>57.94</v>
          </cell>
          <cell r="CA9">
            <v>57.94</v>
          </cell>
          <cell r="CB9">
            <v>57.94</v>
          </cell>
          <cell r="CC9"/>
        </row>
        <row r="10">
          <cell r="A10" t="str">
            <v>Other EV Components</v>
          </cell>
          <cell r="B10"/>
          <cell r="C10">
            <v>21.268000000000001</v>
          </cell>
          <cell r="D10">
            <v>21.332999999999998</v>
          </cell>
          <cell r="E10">
            <v>21.398</v>
          </cell>
          <cell r="F10">
            <v>18.795999999999999</v>
          </cell>
          <cell r="G10">
            <v>18.649000000000001</v>
          </cell>
          <cell r="H10">
            <v>18.622</v>
          </cell>
          <cell r="I10">
            <v>18.587</v>
          </cell>
          <cell r="J10">
            <v>16.800999999999998</v>
          </cell>
          <cell r="K10">
            <v>19.800999999999998</v>
          </cell>
          <cell r="L10">
            <v>19.800999999999998</v>
          </cell>
          <cell r="M10">
            <v>19.800999999999998</v>
          </cell>
          <cell r="N10">
            <v>9.6010000000000009</v>
          </cell>
          <cell r="O10">
            <v>9.6010000000000009</v>
          </cell>
          <cell r="P10">
            <v>9.8010000000000002</v>
          </cell>
          <cell r="Q10">
            <v>9.8010000000000002</v>
          </cell>
          <cell r="R10">
            <v>7.5019999999999998</v>
          </cell>
          <cell r="S10">
            <v>9.9019999999999992</v>
          </cell>
          <cell r="T10">
            <v>0.7</v>
          </cell>
          <cell r="U10">
            <v>0.7</v>
          </cell>
          <cell r="V10">
            <v>0.7</v>
          </cell>
          <cell r="W10">
            <v>0.7</v>
          </cell>
          <cell r="X10">
            <v>0.5</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cell r="BH10">
            <v>4.4139999999999997</v>
          </cell>
          <cell r="BI10">
            <v>21.515000000000001</v>
          </cell>
          <cell r="BJ10">
            <v>21.326000000000001</v>
          </cell>
          <cell r="BK10">
            <v>21.353999999999999</v>
          </cell>
          <cell r="BL10">
            <v>18.795999999999999</v>
          </cell>
          <cell r="BM10">
            <v>16.800999999999998</v>
          </cell>
          <cell r="BN10">
            <v>9.6010000000000009</v>
          </cell>
          <cell r="BO10">
            <v>7.5019999999999998</v>
          </cell>
          <cell r="BP10">
            <v>0.7</v>
          </cell>
          <cell r="BQ10">
            <v>0</v>
          </cell>
          <cell r="BR10">
            <v>0</v>
          </cell>
          <cell r="BS10">
            <v>0</v>
          </cell>
          <cell r="BT10">
            <v>0</v>
          </cell>
          <cell r="BU10">
            <v>0</v>
          </cell>
          <cell r="BV10">
            <v>0</v>
          </cell>
          <cell r="BW10">
            <v>0</v>
          </cell>
          <cell r="BX10">
            <v>0</v>
          </cell>
          <cell r="BY10">
            <v>0</v>
          </cell>
          <cell r="BZ10">
            <v>0</v>
          </cell>
          <cell r="CA10">
            <v>0</v>
          </cell>
          <cell r="CB10">
            <v>0</v>
          </cell>
          <cell r="CC10"/>
        </row>
        <row r="11">
          <cell r="A11" t="str">
            <v>Enterprise Value - EoP</v>
          </cell>
          <cell r="B11"/>
          <cell r="C11">
            <v>737.41343999999992</v>
          </cell>
          <cell r="D11">
            <v>699.48461231999988</v>
          </cell>
          <cell r="E11">
            <v>846.97476527000015</v>
          </cell>
          <cell r="F11">
            <v>979.04948194000031</v>
          </cell>
          <cell r="G11">
            <v>1233.7142387200001</v>
          </cell>
          <cell r="H11">
            <v>819.11606999999981</v>
          </cell>
          <cell r="I11">
            <v>727.97881970000003</v>
          </cell>
          <cell r="J11">
            <v>785.95424351999998</v>
          </cell>
          <cell r="K11">
            <v>551.19225100000017</v>
          </cell>
          <cell r="L11">
            <v>365.69020424999997</v>
          </cell>
          <cell r="M11">
            <v>503.26264996000015</v>
          </cell>
          <cell r="N11">
            <v>335.59531080000005</v>
          </cell>
          <cell r="O11">
            <v>358.96829398</v>
          </cell>
          <cell r="P11">
            <v>195.8353256800001</v>
          </cell>
          <cell r="Q11">
            <v>223.34611054999996</v>
          </cell>
          <cell r="R11">
            <v>286.42280524999995</v>
          </cell>
          <cell r="S11">
            <v>452.53551890000017</v>
          </cell>
          <cell r="T11">
            <v>510.13189311999997</v>
          </cell>
          <cell r="U11">
            <v>562.3220123000001</v>
          </cell>
          <cell r="V11">
            <v>506.32885809999999</v>
          </cell>
          <cell r="W11">
            <v>595.56758048000017</v>
          </cell>
          <cell r="X11">
            <v>482.77907550000003</v>
          </cell>
          <cell r="Y11">
            <v>377.96009869999983</v>
          </cell>
          <cell r="Z11">
            <v>428.65528011000004</v>
          </cell>
          <cell r="AA11">
            <v>590.42332090000002</v>
          </cell>
          <cell r="AB11">
            <v>809.18000198000004</v>
          </cell>
          <cell r="AC11">
            <v>1214.9220813899999</v>
          </cell>
          <cell r="AD11">
            <v>1000.5071464800001</v>
          </cell>
          <cell r="AE11">
            <v>988.07368104000011</v>
          </cell>
          <cell r="AF11">
            <v>624.27126810000004</v>
          </cell>
          <cell r="AG11">
            <v>831.45652415000018</v>
          </cell>
          <cell r="AH11">
            <v>1115.1936654400001</v>
          </cell>
          <cell r="AI11">
            <v>1262.9163361199999</v>
          </cell>
          <cell r="AJ11">
            <v>1081.8001023199997</v>
          </cell>
          <cell r="AK11">
            <v>1367.9206303999999</v>
          </cell>
          <cell r="AL11">
            <v>1409.8508202400001</v>
          </cell>
          <cell r="AM11">
            <v>1804.4186123699997</v>
          </cell>
          <cell r="AN11">
            <v>1643.9794139099999</v>
          </cell>
          <cell r="AO11">
            <v>1682.4746190400006</v>
          </cell>
          <cell r="AP11">
            <v>1840.0250376799995</v>
          </cell>
          <cell r="AQ11">
            <v>2092.1725612899995</v>
          </cell>
          <cell r="AR11">
            <v>1466.5378346399998</v>
          </cell>
          <cell r="AS11">
            <v>1737.1133574599999</v>
          </cell>
          <cell r="AT11">
            <v>1587.0052787000004</v>
          </cell>
          <cell r="AU11">
            <v>2092.5575530200003</v>
          </cell>
          <cell r="AV11">
            <v>2578.8215529700001</v>
          </cell>
          <cell r="AW11">
            <v>2706.1510621000002</v>
          </cell>
          <cell r="AX11">
            <v>2915.895940500001</v>
          </cell>
          <cell r="AY11">
            <v>3667.3040303631733</v>
          </cell>
          <cell r="AZ11">
            <v>3500.9037219455909</v>
          </cell>
          <cell r="BA11">
            <v>3437.7492791953773</v>
          </cell>
          <cell r="BB11">
            <v>3294.2342489544494</v>
          </cell>
          <cell r="BC11">
            <v>3414.3817867572807</v>
          </cell>
          <cell r="BD11">
            <v>3242.0265713175104</v>
          </cell>
          <cell r="BE11">
            <v>3171.7107256693253</v>
          </cell>
          <cell r="BF11">
            <v>3019.1355561841337</v>
          </cell>
          <cell r="BG11"/>
          <cell r="BH11">
            <v>605.10259936</v>
          </cell>
          <cell r="BI11">
            <v>663.98346143999993</v>
          </cell>
          <cell r="BJ11">
            <v>1121.0491590400004</v>
          </cell>
          <cell r="BK11">
            <v>875.9271073000001</v>
          </cell>
          <cell r="BL11">
            <v>979.04948194000031</v>
          </cell>
          <cell r="BM11">
            <v>785.95424351999998</v>
          </cell>
          <cell r="BN11">
            <v>335.59531080000005</v>
          </cell>
          <cell r="BO11">
            <v>286.42280524999995</v>
          </cell>
          <cell r="BP11">
            <v>506.32885809999999</v>
          </cell>
          <cell r="BQ11">
            <v>428.65528011000004</v>
          </cell>
          <cell r="BR11">
            <v>1000.5071464800001</v>
          </cell>
          <cell r="BS11">
            <v>1115.1936654400001</v>
          </cell>
          <cell r="BT11">
            <v>1409.8508202400001</v>
          </cell>
          <cell r="BU11">
            <v>1840.0250376799995</v>
          </cell>
          <cell r="BV11">
            <v>1587.0052787000004</v>
          </cell>
          <cell r="BW11">
            <v>2915.895940500001</v>
          </cell>
          <cell r="BX11">
            <v>3294.2342489544494</v>
          </cell>
          <cell r="BY11">
            <v>3019.1355561841337</v>
          </cell>
          <cell r="BZ11">
            <v>2741.547841176337</v>
          </cell>
          <cell r="CA11">
            <v>2423.1348633011894</v>
          </cell>
          <cell r="CB11">
            <v>2061.1171502810362</v>
          </cell>
          <cell r="CC11"/>
        </row>
        <row r="38">
          <cell r="A38" t="str">
            <v>Net Revenue</v>
          </cell>
          <cell r="B38"/>
          <cell r="C38">
            <v>221.096</v>
          </cell>
          <cell r="D38">
            <v>206.02799999999999</v>
          </cell>
          <cell r="E38">
            <v>218.00899999999999</v>
          </cell>
          <cell r="F38">
            <v>203.08699999999999</v>
          </cell>
          <cell r="G38">
            <v>228.36600000000001</v>
          </cell>
          <cell r="H38">
            <v>223.91900000000001</v>
          </cell>
          <cell r="I38">
            <v>235.22200000000001</v>
          </cell>
          <cell r="J38">
            <v>232.04600000000002</v>
          </cell>
          <cell r="K38">
            <v>236.71199999999999</v>
          </cell>
          <cell r="L38">
            <v>231.304</v>
          </cell>
          <cell r="M38">
            <v>244.62299999999999</v>
          </cell>
          <cell r="N38">
            <v>235.65500000000009</v>
          </cell>
          <cell r="O38">
            <v>221.23</v>
          </cell>
          <cell r="P38">
            <v>208.81100000000001</v>
          </cell>
          <cell r="Q38">
            <v>221.34</v>
          </cell>
          <cell r="R38">
            <v>221.31899999999999</v>
          </cell>
          <cell r="S38">
            <v>229.13800000000001</v>
          </cell>
          <cell r="T38">
            <v>221.09</v>
          </cell>
          <cell r="U38">
            <v>222.53299999999999</v>
          </cell>
          <cell r="V38">
            <v>215.75799999999995</v>
          </cell>
          <cell r="W38">
            <v>228.785</v>
          </cell>
          <cell r="X38">
            <v>217.21100000000001</v>
          </cell>
          <cell r="Y38">
            <v>232.864</v>
          </cell>
          <cell r="Z38">
            <v>238.874</v>
          </cell>
          <cell r="AA38">
            <v>251.31399999999999</v>
          </cell>
          <cell r="AB38">
            <v>254.87200000000001</v>
          </cell>
          <cell r="AC38">
            <v>253.25200000000001</v>
          </cell>
          <cell r="AD38">
            <v>256.31399999999996</v>
          </cell>
          <cell r="AE38">
            <v>257.12099999999998</v>
          </cell>
          <cell r="AF38">
            <v>257.55900000000003</v>
          </cell>
          <cell r="AG38">
            <v>257.154</v>
          </cell>
          <cell r="AH38">
            <v>268.93100000000015</v>
          </cell>
          <cell r="AI38">
            <v>370.96</v>
          </cell>
          <cell r="AJ38">
            <v>376.14499999999998</v>
          </cell>
          <cell r="AK38">
            <v>392.14499999999998</v>
          </cell>
          <cell r="AL38">
            <v>397.51000000000005</v>
          </cell>
          <cell r="AM38">
            <v>400.226</v>
          </cell>
          <cell r="AN38">
            <v>409.50700000000001</v>
          </cell>
          <cell r="AO38">
            <v>421.72199999999998</v>
          </cell>
          <cell r="AP38">
            <v>455.2109999999999</v>
          </cell>
          <cell r="AQ38">
            <v>425.15</v>
          </cell>
          <cell r="AR38">
            <v>458.435</v>
          </cell>
          <cell r="AS38">
            <v>470.28399999999999</v>
          </cell>
          <cell r="AT38">
            <v>483.48900000000015</v>
          </cell>
          <cell r="AU38">
            <v>480.18099999999998</v>
          </cell>
          <cell r="AV38">
            <v>504.86799999999999</v>
          </cell>
          <cell r="AW38">
            <v>520.83699999999999</v>
          </cell>
          <cell r="AX38">
            <v>534.18299999999999</v>
          </cell>
          <cell r="AY38">
            <v>527.48770880000006</v>
          </cell>
          <cell r="AZ38">
            <v>554.95119680000005</v>
          </cell>
          <cell r="BA38">
            <v>572.67161120000003</v>
          </cell>
          <cell r="BB38">
            <v>587.64120479999997</v>
          </cell>
          <cell r="BC38">
            <v>563.76500675456009</v>
          </cell>
          <cell r="BD38">
            <v>593.35455868416011</v>
          </cell>
          <cell r="BE38">
            <v>612.41644956543996</v>
          </cell>
          <cell r="BF38">
            <v>628.62832629375998</v>
          </cell>
          <cell r="BG38"/>
          <cell r="BH38">
            <v>315.57299999999998</v>
          </cell>
          <cell r="BI38">
            <v>384.47</v>
          </cell>
          <cell r="BJ38">
            <v>522.43399999999997</v>
          </cell>
          <cell r="BK38">
            <v>708.40700000000004</v>
          </cell>
          <cell r="BL38">
            <v>848.22</v>
          </cell>
          <cell r="BM38">
            <v>919.553</v>
          </cell>
          <cell r="BN38">
            <v>948.29399999999998</v>
          </cell>
          <cell r="BO38">
            <v>872.7</v>
          </cell>
          <cell r="BP38">
            <v>888.51900000000001</v>
          </cell>
          <cell r="BQ38">
            <v>917.73400000000004</v>
          </cell>
          <cell r="BR38">
            <v>1015.752</v>
          </cell>
          <cell r="BS38">
            <v>1040.7650000000001</v>
          </cell>
          <cell r="BT38">
            <v>1536.76</v>
          </cell>
          <cell r="BU38">
            <v>1686.6659999999999</v>
          </cell>
          <cell r="BV38">
            <v>1837.3579999999999</v>
          </cell>
          <cell r="BW38">
            <v>2040.069</v>
          </cell>
          <cell r="BX38">
            <v>2242.7517215999997</v>
          </cell>
          <cell r="BY38">
            <v>2398.1643412979201</v>
          </cell>
          <cell r="BZ38">
            <v>2663.4974355485856</v>
          </cell>
          <cell r="CA38">
            <v>2989.9420231903759</v>
          </cell>
          <cell r="CB38">
            <v>3288.5546480717371</v>
          </cell>
          <cell r="CC38"/>
        </row>
        <row r="39">
          <cell r="A39" t="str">
            <v>COGS</v>
          </cell>
          <cell r="B39"/>
          <cell r="C39">
            <v>118.648</v>
          </cell>
          <cell r="D39">
            <v>122.79900000000001</v>
          </cell>
          <cell r="E39">
            <v>127.759</v>
          </cell>
          <cell r="F39">
            <v>129.19200000000001</v>
          </cell>
          <cell r="G39">
            <v>132.90199999999999</v>
          </cell>
          <cell r="H39">
            <v>153.672</v>
          </cell>
          <cell r="I39">
            <v>140.59200000000001</v>
          </cell>
          <cell r="J39">
            <v>142.05300000000005</v>
          </cell>
          <cell r="K39">
            <v>146.84200000000001</v>
          </cell>
          <cell r="L39">
            <v>145.029</v>
          </cell>
          <cell r="M39">
            <v>148.98500000000001</v>
          </cell>
          <cell r="N39">
            <v>166.89999999999995</v>
          </cell>
          <cell r="O39">
            <v>139.00299999999999</v>
          </cell>
          <cell r="P39">
            <v>129.61600000000001</v>
          </cell>
          <cell r="Q39">
            <v>134.755</v>
          </cell>
          <cell r="R39">
            <v>143.13600000000002</v>
          </cell>
          <cell r="S39">
            <v>144.09899999999999</v>
          </cell>
          <cell r="T39">
            <v>137.542</v>
          </cell>
          <cell r="U39">
            <v>136.43100000000001</v>
          </cell>
          <cell r="V39">
            <v>139.24399999999997</v>
          </cell>
          <cell r="W39">
            <v>147.36699999999999</v>
          </cell>
          <cell r="X39">
            <v>139.16300000000001</v>
          </cell>
          <cell r="Y39">
            <v>148.87799999999999</v>
          </cell>
          <cell r="Z39">
            <v>157.08700000000002</v>
          </cell>
          <cell r="AA39">
            <v>158.98500000000001</v>
          </cell>
          <cell r="AB39">
            <v>160.32900000000001</v>
          </cell>
          <cell r="AC39">
            <v>168.26</v>
          </cell>
          <cell r="AD39">
            <v>175.863</v>
          </cell>
          <cell r="AE39">
            <v>169.358</v>
          </cell>
          <cell r="AF39">
            <v>167.47</v>
          </cell>
          <cell r="AG39">
            <v>178.96799999999999</v>
          </cell>
          <cell r="AH39">
            <v>177.43599999999998</v>
          </cell>
          <cell r="AI39">
            <v>241.06899999999999</v>
          </cell>
          <cell r="AJ39">
            <v>246.75400000000002</v>
          </cell>
          <cell r="AK39">
            <v>253.12799999999999</v>
          </cell>
          <cell r="AL39">
            <v>260.90899999999999</v>
          </cell>
          <cell r="AM39">
            <v>273.82400000000001</v>
          </cell>
          <cell r="AN39">
            <v>261.95</v>
          </cell>
          <cell r="AO39">
            <v>266.88299999999998</v>
          </cell>
          <cell r="AP39">
            <v>287.53399999999993</v>
          </cell>
          <cell r="AQ39">
            <v>295.50099999999998</v>
          </cell>
          <cell r="AR39">
            <v>288.34699999999998</v>
          </cell>
          <cell r="AS39">
            <v>295.03199999999998</v>
          </cell>
          <cell r="AT39">
            <v>311.40800000000013</v>
          </cell>
          <cell r="AU39">
            <v>307.29300000000001</v>
          </cell>
          <cell r="AV39">
            <v>303.69400000000002</v>
          </cell>
          <cell r="AW39">
            <v>319.50799999999998</v>
          </cell>
          <cell r="AX39">
            <v>345.97099999999989</v>
          </cell>
          <cell r="AY39">
            <v>332.31725654400003</v>
          </cell>
          <cell r="AZ39">
            <v>338.52023004800003</v>
          </cell>
          <cell r="BA39">
            <v>349.329682832</v>
          </cell>
          <cell r="BB39">
            <v>364.337546976</v>
          </cell>
          <cell r="BC39">
            <v>349.53430418782727</v>
          </cell>
          <cell r="BD39">
            <v>356.01273521049609</v>
          </cell>
          <cell r="BE39">
            <v>367.44986973926393</v>
          </cell>
          <cell r="BF39">
            <v>383.46327903919359</v>
          </cell>
          <cell r="BG39"/>
          <cell r="BH39">
            <v>196.976</v>
          </cell>
          <cell r="BI39">
            <v>222.029</v>
          </cell>
          <cell r="BJ39">
            <v>307.11099999999999</v>
          </cell>
          <cell r="BK39">
            <v>408.56</v>
          </cell>
          <cell r="BL39">
            <v>498.39800000000002</v>
          </cell>
          <cell r="BM39">
            <v>569.21900000000005</v>
          </cell>
          <cell r="BN39">
            <v>607.75599999999997</v>
          </cell>
          <cell r="BO39">
            <v>546.51</v>
          </cell>
          <cell r="BP39">
            <v>557.31600000000003</v>
          </cell>
          <cell r="BQ39">
            <v>592.495</v>
          </cell>
          <cell r="BR39">
            <v>663.43700000000001</v>
          </cell>
          <cell r="BS39">
            <v>693.23199999999997</v>
          </cell>
          <cell r="BT39">
            <v>1001.86</v>
          </cell>
          <cell r="BU39">
            <v>1090.191</v>
          </cell>
          <cell r="BV39">
            <v>1190.288</v>
          </cell>
          <cell r="BW39">
            <v>1276.4659999999999</v>
          </cell>
          <cell r="BX39">
            <v>1384.5047164</v>
          </cell>
          <cell r="BY39">
            <v>1456.460188176781</v>
          </cell>
          <cell r="BZ39">
            <v>1598.0984613291514</v>
          </cell>
          <cell r="CA39">
            <v>1793.9652139142256</v>
          </cell>
          <cell r="CB39">
            <v>1973.1327888430421</v>
          </cell>
          <cell r="CC39"/>
        </row>
        <row r="40">
          <cell r="A40" t="str">
            <v>SG&amp;A</v>
          </cell>
          <cell r="B40"/>
          <cell r="C40">
            <v>93.787000000000006</v>
          </cell>
          <cell r="D40">
            <v>66.956999999999994</v>
          </cell>
          <cell r="E40">
            <v>70.897999999999996</v>
          </cell>
          <cell r="F40">
            <v>72.47399999999999</v>
          </cell>
          <cell r="G40">
            <v>103.928</v>
          </cell>
          <cell r="H40">
            <v>79.155000000000001</v>
          </cell>
          <cell r="I40">
            <v>67.245000000000005</v>
          </cell>
          <cell r="J40">
            <v>77.150000000000006</v>
          </cell>
          <cell r="K40">
            <v>103.02800000000001</v>
          </cell>
          <cell r="L40">
            <v>65.802000000000007</v>
          </cell>
          <cell r="M40">
            <v>68.207999999999998</v>
          </cell>
          <cell r="N40">
            <v>85.073000000000008</v>
          </cell>
          <cell r="O40">
            <v>102.68299999999999</v>
          </cell>
          <cell r="P40">
            <v>64.468000000000004</v>
          </cell>
          <cell r="Q40">
            <v>67.451000000000008</v>
          </cell>
          <cell r="R40">
            <v>77.673999999999978</v>
          </cell>
          <cell r="S40">
            <v>107.708</v>
          </cell>
          <cell r="T40">
            <v>65.224999999999994</v>
          </cell>
          <cell r="U40">
            <v>73.338999999999999</v>
          </cell>
          <cell r="V40">
            <v>71.802000000000007</v>
          </cell>
          <cell r="W40">
            <v>99.18</v>
          </cell>
          <cell r="X40">
            <v>64.334000000000003</v>
          </cell>
          <cell r="Y40">
            <v>64.269000000000005</v>
          </cell>
          <cell r="Z40">
            <v>71.91100000000003</v>
          </cell>
          <cell r="AA40">
            <v>106.081</v>
          </cell>
          <cell r="AB40">
            <v>61.253</v>
          </cell>
          <cell r="AC40">
            <v>61.725000000000001</v>
          </cell>
          <cell r="AD40">
            <v>77.77</v>
          </cell>
          <cell r="AE40">
            <v>107.151</v>
          </cell>
          <cell r="AF40">
            <v>59.783999999999999</v>
          </cell>
          <cell r="AG40">
            <v>63.686999999999998</v>
          </cell>
          <cell r="AH40">
            <v>84.454000000000022</v>
          </cell>
          <cell r="AI40">
            <v>117.827</v>
          </cell>
          <cell r="AJ40">
            <v>90.939000000000007</v>
          </cell>
          <cell r="AK40">
            <v>100.464</v>
          </cell>
          <cell r="AL40">
            <v>115.214</v>
          </cell>
          <cell r="AM40">
            <v>133.37899999999999</v>
          </cell>
          <cell r="AN40">
            <v>90.641999999999996</v>
          </cell>
          <cell r="AO40">
            <v>94.245000000000005</v>
          </cell>
          <cell r="AP40">
            <v>121.58099999999999</v>
          </cell>
          <cell r="AQ40">
            <v>158.36799999999999</v>
          </cell>
          <cell r="AR40">
            <v>102.015</v>
          </cell>
          <cell r="AS40">
            <v>103.053</v>
          </cell>
          <cell r="AT40">
            <v>118.13500000000005</v>
          </cell>
          <cell r="AU40">
            <v>169.56800000000001</v>
          </cell>
          <cell r="AV40">
            <v>116.88500000000001</v>
          </cell>
          <cell r="AW40">
            <v>113.01600000000001</v>
          </cell>
          <cell r="AX40">
            <v>114.53400000000002</v>
          </cell>
          <cell r="AY40">
            <v>184.62069808000001</v>
          </cell>
          <cell r="AZ40">
            <v>116.53975132800001</v>
          </cell>
          <cell r="BA40">
            <v>120.261038352</v>
          </cell>
          <cell r="BB40">
            <v>129.28106505599999</v>
          </cell>
          <cell r="BC40">
            <v>194.49892733032323</v>
          </cell>
          <cell r="BD40">
            <v>136.47154849735682</v>
          </cell>
          <cell r="BE40">
            <v>128.6074544087424</v>
          </cell>
          <cell r="BF40">
            <v>144.58451504756479</v>
          </cell>
          <cell r="BG40"/>
          <cell r="BH40">
            <v>96.25800000000001</v>
          </cell>
          <cell r="BI40">
            <v>126.97399999999999</v>
          </cell>
          <cell r="BJ40">
            <v>191.10900000000001</v>
          </cell>
          <cell r="BK40">
            <v>270.86700000000002</v>
          </cell>
          <cell r="BL40">
            <v>304.11599999999999</v>
          </cell>
          <cell r="BM40">
            <v>327.47800000000001</v>
          </cell>
          <cell r="BN40">
            <v>322.11099999999999</v>
          </cell>
          <cell r="BO40">
            <v>312.27600000000001</v>
          </cell>
          <cell r="BP40">
            <v>318.07400000000001</v>
          </cell>
          <cell r="BQ40">
            <v>299.69400000000002</v>
          </cell>
          <cell r="BR40">
            <v>306.82900000000001</v>
          </cell>
          <cell r="BS40">
            <v>315.07600000000002</v>
          </cell>
          <cell r="BT40">
            <v>424.44400000000002</v>
          </cell>
          <cell r="BU40">
            <v>439.84699999999998</v>
          </cell>
          <cell r="BV40">
            <v>481.57100000000003</v>
          </cell>
          <cell r="BW40">
            <v>514.00300000000004</v>
          </cell>
          <cell r="BX40">
            <v>550.70255281599998</v>
          </cell>
          <cell r="BY40">
            <v>604.16244528398727</v>
          </cell>
          <cell r="BZ40">
            <v>692.50933324263224</v>
          </cell>
          <cell r="CA40">
            <v>756.45533186716511</v>
          </cell>
          <cell r="CB40">
            <v>828.71577131407776</v>
          </cell>
          <cell r="CC40"/>
        </row>
        <row r="41">
          <cell r="A41" t="str">
            <v>EBIT</v>
          </cell>
          <cell r="B41"/>
          <cell r="C41">
            <v>8.6610000000000014</v>
          </cell>
          <cell r="D41">
            <v>16.271999999999991</v>
          </cell>
          <cell r="E41">
            <v>19.35199999999999</v>
          </cell>
          <cell r="F41">
            <v>1.4209999999999923</v>
          </cell>
          <cell r="G41">
            <v>-8.4639999999999702</v>
          </cell>
          <cell r="H41">
            <v>-8.907999999999987</v>
          </cell>
          <cell r="I41">
            <v>27.384999999999991</v>
          </cell>
          <cell r="J41">
            <v>12.842999999999961</v>
          </cell>
          <cell r="K41">
            <v>-13.15800000000003</v>
          </cell>
          <cell r="L41">
            <v>20.472999999999999</v>
          </cell>
          <cell r="M41">
            <v>27.429999999999978</v>
          </cell>
          <cell r="N41">
            <v>-16.31799999999987</v>
          </cell>
          <cell r="O41">
            <v>-20.455999999999989</v>
          </cell>
          <cell r="P41">
            <v>14.72699999999999</v>
          </cell>
          <cell r="Q41">
            <v>19.134</v>
          </cell>
          <cell r="R41">
            <v>0.50899999999998613</v>
          </cell>
          <cell r="S41">
            <v>-22.668999999999983</v>
          </cell>
          <cell r="T41">
            <v>18.323000000000008</v>
          </cell>
          <cell r="U41">
            <v>12.762999999999977</v>
          </cell>
          <cell r="V41">
            <v>4.7119999999999749</v>
          </cell>
          <cell r="W41">
            <v>-17.761999999999986</v>
          </cell>
          <cell r="X41">
            <v>13.713999999999999</v>
          </cell>
          <cell r="Y41">
            <v>19.717000000000013</v>
          </cell>
          <cell r="Z41">
            <v>9.8759999999999479</v>
          </cell>
          <cell r="AA41">
            <v>-13.752000000000024</v>
          </cell>
          <cell r="AB41">
            <v>33.290000000000006</v>
          </cell>
          <cell r="AC41">
            <v>23.267000000000017</v>
          </cell>
          <cell r="AD41">
            <v>2.680999999999969</v>
          </cell>
          <cell r="AE41">
            <v>-19.388000000000019</v>
          </cell>
          <cell r="AF41">
            <v>30.305000000000028</v>
          </cell>
          <cell r="AG41">
            <v>14.499000000000009</v>
          </cell>
          <cell r="AH41">
            <v>7.0410000000001531</v>
          </cell>
          <cell r="AI41">
            <v>12.063999999999993</v>
          </cell>
          <cell r="AJ41">
            <v>38.451999999999956</v>
          </cell>
          <cell r="AK41">
            <v>38.552999999999997</v>
          </cell>
          <cell r="AL41">
            <v>21.387000000000057</v>
          </cell>
          <cell r="AM41">
            <v>-6.9770000000000039</v>
          </cell>
          <cell r="AN41">
            <v>56.91500000000002</v>
          </cell>
          <cell r="AO41">
            <v>60.593999999999994</v>
          </cell>
          <cell r="AP41">
            <v>46.095999999999975</v>
          </cell>
          <cell r="AQ41">
            <v>-28.718999999999994</v>
          </cell>
          <cell r="AR41">
            <v>68.073000000000022</v>
          </cell>
          <cell r="AS41">
            <v>72.199000000000012</v>
          </cell>
          <cell r="AT41">
            <v>53.94599999999997</v>
          </cell>
          <cell r="AU41">
            <v>3.3199999999999648</v>
          </cell>
          <cell r="AV41">
            <v>84.288999999999973</v>
          </cell>
          <cell r="AW41">
            <v>88.313000000000002</v>
          </cell>
          <cell r="AX41">
            <v>73.678000000000083</v>
          </cell>
          <cell r="AY41">
            <v>10.549754176000022</v>
          </cell>
          <cell r="AZ41">
            <v>99.891215424000009</v>
          </cell>
          <cell r="BA41">
            <v>103.08089001600003</v>
          </cell>
          <cell r="BB41">
            <v>94.022592767999981</v>
          </cell>
          <cell r="BC41">
            <v>19.73177523640959</v>
          </cell>
          <cell r="BD41">
            <v>100.8702749763072</v>
          </cell>
          <cell r="BE41">
            <v>116.35912541743363</v>
          </cell>
          <cell r="BF41">
            <v>100.5805322070016</v>
          </cell>
          <cell r="BG41"/>
          <cell r="BH41">
            <v>22.33899999999997</v>
          </cell>
          <cell r="BI41">
            <v>35.467000000000041</v>
          </cell>
          <cell r="BJ41">
            <v>24.21399999999997</v>
          </cell>
          <cell r="BK41">
            <v>28.980000000000018</v>
          </cell>
          <cell r="BL41">
            <v>45.706000000000017</v>
          </cell>
          <cell r="BM41">
            <v>22.855999999999938</v>
          </cell>
          <cell r="BN41">
            <v>18.427000000000021</v>
          </cell>
          <cell r="BO41">
            <v>13.914000000000044</v>
          </cell>
          <cell r="BP41">
            <v>13.128999999999962</v>
          </cell>
          <cell r="BQ41">
            <v>25.545000000000016</v>
          </cell>
          <cell r="BR41">
            <v>45.485999999999933</v>
          </cell>
          <cell r="BS41">
            <v>32.457000000000107</v>
          </cell>
          <cell r="BT41">
            <v>110.45599999999996</v>
          </cell>
          <cell r="BU41">
            <v>156.62799999999993</v>
          </cell>
          <cell r="BV41">
            <v>165.49899999999991</v>
          </cell>
          <cell r="BW41">
            <v>249.60000000000002</v>
          </cell>
          <cell r="BX41">
            <v>307.54445238399967</v>
          </cell>
          <cell r="BY41">
            <v>337.54170783715188</v>
          </cell>
          <cell r="BZ41">
            <v>372.88964097680196</v>
          </cell>
          <cell r="CA41">
            <v>439.52147740898522</v>
          </cell>
          <cell r="CB41">
            <v>486.70608791461723</v>
          </cell>
          <cell r="CC41"/>
        </row>
        <row r="42">
          <cell r="A42" t="str">
            <v>Interest expense, net</v>
          </cell>
          <cell r="B42"/>
          <cell r="C42">
            <v>0.22800000000000001</v>
          </cell>
          <cell r="D42">
            <v>0.27200000000000002</v>
          </cell>
          <cell r="E42">
            <v>0.30599999999999999</v>
          </cell>
          <cell r="F42">
            <v>-1.657</v>
          </cell>
          <cell r="G42">
            <v>8.4000000000000005E-2</v>
          </cell>
          <cell r="H42">
            <v>2.8000000000000001E-2</v>
          </cell>
          <cell r="I42">
            <v>1.2E-2</v>
          </cell>
          <cell r="J42">
            <v>-5.4999999999999993E-2</v>
          </cell>
          <cell r="K42">
            <v>-3.1E-2</v>
          </cell>
          <cell r="L42">
            <v>-0.151</v>
          </cell>
          <cell r="M42">
            <v>0.315</v>
          </cell>
          <cell r="N42">
            <v>3.1579999999999999</v>
          </cell>
          <cell r="O42">
            <v>0.30499999999999999</v>
          </cell>
          <cell r="P42">
            <v>0.19</v>
          </cell>
          <cell r="Q42">
            <v>0.10100000000000001</v>
          </cell>
          <cell r="R42">
            <v>2.1000000000000019E-2</v>
          </cell>
          <cell r="S42">
            <v>-0.34200000000000003</v>
          </cell>
          <cell r="T42">
            <v>-0.26400000000000001</v>
          </cell>
          <cell r="U42">
            <v>-0.64100000000000001</v>
          </cell>
          <cell r="V42">
            <v>-0.56099999999999994</v>
          </cell>
          <cell r="W42">
            <v>-0.23499999999999999</v>
          </cell>
          <cell r="X42">
            <v>-3.9E-2</v>
          </cell>
          <cell r="Y42">
            <v>-0.26100000000000001</v>
          </cell>
          <cell r="Z42">
            <v>-0.42999999999999994</v>
          </cell>
          <cell r="AA42">
            <v>-0.316</v>
          </cell>
          <cell r="AB42">
            <v>-0.47699999999999998</v>
          </cell>
          <cell r="AC42">
            <v>-0.754</v>
          </cell>
          <cell r="AD42">
            <v>-1.2140000000000002</v>
          </cell>
          <cell r="AE42">
            <v>-0.91</v>
          </cell>
          <cell r="AF42">
            <v>-0.441</v>
          </cell>
          <cell r="AG42">
            <v>7.5999999999999998E-2</v>
          </cell>
          <cell r="AH42">
            <v>0.57700000000000018</v>
          </cell>
          <cell r="AI42">
            <v>2.1070000000000002</v>
          </cell>
          <cell r="AJ42">
            <v>5.024</v>
          </cell>
          <cell r="AK42">
            <v>5.3710000000000004</v>
          </cell>
          <cell r="AL42">
            <v>5.4769999999999985</v>
          </cell>
          <cell r="AM42">
            <v>1.9930000000000001</v>
          </cell>
          <cell r="AN42">
            <v>1.875</v>
          </cell>
          <cell r="AO42">
            <v>2.3730000000000002</v>
          </cell>
          <cell r="AP42">
            <v>2.0359999999999987</v>
          </cell>
          <cell r="AQ42">
            <v>2.0459999999999998</v>
          </cell>
          <cell r="AR42">
            <v>2.0819999999999999</v>
          </cell>
          <cell r="AS42">
            <v>2.206</v>
          </cell>
          <cell r="AT42">
            <v>2.0700000000000007</v>
          </cell>
          <cell r="AU42">
            <v>2.0680000000000001</v>
          </cell>
          <cell r="AV42">
            <v>2.0219999999999998</v>
          </cell>
          <cell r="AW42">
            <v>2.4039999999999999</v>
          </cell>
          <cell r="AX42">
            <v>2.3179999999999992</v>
          </cell>
          <cell r="AY42">
            <v>3.5117937534246582</v>
          </cell>
          <cell r="AZ42">
            <v>5.1527416923369573</v>
          </cell>
          <cell r="BA42">
            <v>4.2183815892100611</v>
          </cell>
          <cell r="BB42">
            <v>3.9485861865549547</v>
          </cell>
          <cell r="BC42">
            <v>3.2667254795903666</v>
          </cell>
          <cell r="BD42">
            <v>3.8706218259777825</v>
          </cell>
          <cell r="BE42">
            <v>2.9347665330998787</v>
          </cell>
          <cell r="BF42">
            <v>2.6149991240566566</v>
          </cell>
          <cell r="BG42"/>
          <cell r="BH42">
            <v>0.98199999999999998</v>
          </cell>
          <cell r="BI42">
            <v>1.331</v>
          </cell>
          <cell r="BJ42">
            <v>1.2070000000000001</v>
          </cell>
          <cell r="BK42">
            <v>0.98899999999999999</v>
          </cell>
          <cell r="BL42">
            <v>-0.85099999999999998</v>
          </cell>
          <cell r="BM42">
            <v>6.9000000000000006E-2</v>
          </cell>
          <cell r="BN42">
            <v>3.2909999999999999</v>
          </cell>
          <cell r="BO42">
            <v>0.61699999999999999</v>
          </cell>
          <cell r="BP42">
            <v>-1.8080000000000001</v>
          </cell>
          <cell r="BQ42">
            <v>-0.96499999999999997</v>
          </cell>
          <cell r="BR42">
            <v>-2.7610000000000001</v>
          </cell>
          <cell r="BS42">
            <v>-0.69799999999999995</v>
          </cell>
          <cell r="BT42">
            <v>17.978999999999999</v>
          </cell>
          <cell r="BU42">
            <v>8.2769999999999992</v>
          </cell>
          <cell r="BV42">
            <v>8.4039999999999999</v>
          </cell>
          <cell r="BW42">
            <v>8.8119999999999994</v>
          </cell>
          <cell r="BX42">
            <v>16.831503221526631</v>
          </cell>
          <cell r="BY42">
            <v>12.687112962724683</v>
          </cell>
          <cell r="BZ42">
            <v>8.645402833534078</v>
          </cell>
          <cell r="CA42">
            <v>3.3916324044620865</v>
          </cell>
          <cell r="CB42">
            <v>-2.6309182172968768</v>
          </cell>
          <cell r="CC42"/>
        </row>
        <row r="43">
          <cell r="A43" t="str">
            <v>Other Items</v>
          </cell>
          <cell r="B43"/>
          <cell r="C43">
            <v>0</v>
          </cell>
          <cell r="D43">
            <v>0</v>
          </cell>
          <cell r="E43">
            <v>0</v>
          </cell>
          <cell r="F43">
            <v>0</v>
          </cell>
          <cell r="G43">
            <v>0</v>
          </cell>
          <cell r="H43">
            <v>0</v>
          </cell>
          <cell r="I43">
            <v>0</v>
          </cell>
          <cell r="J43">
            <v>-6.4039999999999999</v>
          </cell>
          <cell r="K43">
            <v>0</v>
          </cell>
          <cell r="L43">
            <v>0</v>
          </cell>
          <cell r="M43">
            <v>0</v>
          </cell>
          <cell r="N43">
            <v>0</v>
          </cell>
          <cell r="O43">
            <v>0</v>
          </cell>
          <cell r="P43">
            <v>0</v>
          </cell>
          <cell r="Q43">
            <v>0</v>
          </cell>
          <cell r="R43">
            <v>0</v>
          </cell>
          <cell r="S43">
            <v>0</v>
          </cell>
          <cell r="T43">
            <v>0</v>
          </cell>
          <cell r="U43">
            <v>0</v>
          </cell>
          <cell r="V43">
            <v>10</v>
          </cell>
          <cell r="W43">
            <v>0</v>
          </cell>
          <cell r="X43">
            <v>0</v>
          </cell>
          <cell r="Y43">
            <v>0</v>
          </cell>
          <cell r="Z43">
            <v>0</v>
          </cell>
          <cell r="AA43">
            <v>-0.193</v>
          </cell>
          <cell r="AB43">
            <v>0.78900000000000003</v>
          </cell>
          <cell r="AC43">
            <v>-0.55600000000000005</v>
          </cell>
          <cell r="AD43">
            <v>-0.15399999999999997</v>
          </cell>
          <cell r="AE43">
            <v>8.0000000000000002E-3</v>
          </cell>
          <cell r="AF43">
            <v>-0.36499999999999999</v>
          </cell>
          <cell r="AG43">
            <v>1.093</v>
          </cell>
          <cell r="AH43">
            <v>-1.008</v>
          </cell>
          <cell r="AI43">
            <v>-0.42899999999999999</v>
          </cell>
          <cell r="AJ43">
            <v>-1.361</v>
          </cell>
          <cell r="AK43">
            <v>-0.48599999999999999</v>
          </cell>
          <cell r="AL43">
            <v>-0.55299999999999994</v>
          </cell>
          <cell r="AM43">
            <v>8.8999999999999996E-2</v>
          </cell>
          <cell r="AN43">
            <v>-3.8839999999999999</v>
          </cell>
          <cell r="AO43">
            <v>-0.496</v>
          </cell>
          <cell r="AP43">
            <v>5.5679999999999996</v>
          </cell>
          <cell r="AQ43">
            <v>-1.0369999999999999</v>
          </cell>
          <cell r="AR43">
            <v>-3.97</v>
          </cell>
          <cell r="AS43">
            <v>-4.5869999999999997</v>
          </cell>
          <cell r="AT43">
            <v>-5.8579999999999997</v>
          </cell>
          <cell r="AU43">
            <v>-5.165</v>
          </cell>
          <cell r="AV43">
            <v>-6.5380000000000003</v>
          </cell>
          <cell r="AW43">
            <v>-7.6779999999999999</v>
          </cell>
          <cell r="AX43">
            <v>-7.5189999999999975</v>
          </cell>
          <cell r="AY43">
            <v>-3</v>
          </cell>
          <cell r="AZ43">
            <v>-5</v>
          </cell>
          <cell r="BA43">
            <v>-5</v>
          </cell>
          <cell r="BB43">
            <v>-5</v>
          </cell>
          <cell r="BC43">
            <v>-3</v>
          </cell>
          <cell r="BD43">
            <v>-3</v>
          </cell>
          <cell r="BE43">
            <v>-3</v>
          </cell>
          <cell r="BF43">
            <v>-3</v>
          </cell>
          <cell r="BG43"/>
          <cell r="BH43">
            <v>0</v>
          </cell>
          <cell r="BI43">
            <v>0</v>
          </cell>
          <cell r="BJ43">
            <v>0</v>
          </cell>
          <cell r="BK43">
            <v>0</v>
          </cell>
          <cell r="BL43">
            <v>0</v>
          </cell>
          <cell r="BM43">
            <v>-6.4039999999999999</v>
          </cell>
          <cell r="BN43">
            <v>0</v>
          </cell>
          <cell r="BO43">
            <v>0</v>
          </cell>
          <cell r="BP43">
            <v>10</v>
          </cell>
          <cell r="BQ43">
            <v>0</v>
          </cell>
          <cell r="BR43">
            <v>-0.114</v>
          </cell>
          <cell r="BS43">
            <v>-0.27200000000000002</v>
          </cell>
          <cell r="BT43">
            <v>-2.8290000000000002</v>
          </cell>
          <cell r="BU43">
            <v>1.2769999999999999</v>
          </cell>
          <cell r="BV43">
            <v>-15.452</v>
          </cell>
          <cell r="BW43">
            <v>-26.9</v>
          </cell>
          <cell r="BX43">
            <v>-18</v>
          </cell>
          <cell r="BY43">
            <v>-12</v>
          </cell>
          <cell r="BZ43">
            <v>-8</v>
          </cell>
          <cell r="CA43">
            <v>-8</v>
          </cell>
          <cell r="CB43">
            <v>-8</v>
          </cell>
          <cell r="CC43"/>
        </row>
        <row r="44">
          <cell r="A44" t="str">
            <v>EBT</v>
          </cell>
          <cell r="B44"/>
          <cell r="C44">
            <v>8.4330000000000016</v>
          </cell>
          <cell r="D44">
            <v>15.999999999999991</v>
          </cell>
          <cell r="E44">
            <v>19.045999999999989</v>
          </cell>
          <cell r="F44">
            <v>3.0779999999999923</v>
          </cell>
          <cell r="G44">
            <v>-8.5479999999999698</v>
          </cell>
          <cell r="H44">
            <v>-8.9359999999999875</v>
          </cell>
          <cell r="I44">
            <v>27.37299999999999</v>
          </cell>
          <cell r="J44">
            <v>19.301999999999961</v>
          </cell>
          <cell r="K44">
            <v>-13.127000000000029</v>
          </cell>
          <cell r="L44">
            <v>20.623999999999999</v>
          </cell>
          <cell r="M44">
            <v>27.114999999999977</v>
          </cell>
          <cell r="N44">
            <v>-19.475999999999871</v>
          </cell>
          <cell r="O44">
            <v>-20.760999999999989</v>
          </cell>
          <cell r="P44">
            <v>14.53699999999999</v>
          </cell>
          <cell r="Q44">
            <v>19.033000000000001</v>
          </cell>
          <cell r="R44">
            <v>0.48799999999998611</v>
          </cell>
          <cell r="S44">
            <v>-22.326999999999984</v>
          </cell>
          <cell r="T44">
            <v>18.587000000000007</v>
          </cell>
          <cell r="U44">
            <v>13.403999999999977</v>
          </cell>
          <cell r="V44">
            <v>-4.7270000000000252</v>
          </cell>
          <cell r="W44">
            <v>-17.526999999999987</v>
          </cell>
          <cell r="X44">
            <v>13.752999999999998</v>
          </cell>
          <cell r="Y44">
            <v>19.978000000000012</v>
          </cell>
          <cell r="Z44">
            <v>10.305999999999948</v>
          </cell>
          <cell r="AA44">
            <v>-13.243000000000023</v>
          </cell>
          <cell r="AB44">
            <v>32.978000000000002</v>
          </cell>
          <cell r="AC44">
            <v>24.577000000000019</v>
          </cell>
          <cell r="AD44">
            <v>4.0489999999999693</v>
          </cell>
          <cell r="AE44">
            <v>-18.486000000000018</v>
          </cell>
          <cell r="AF44">
            <v>31.111000000000026</v>
          </cell>
          <cell r="AG44">
            <v>13.330000000000009</v>
          </cell>
          <cell r="AH44">
            <v>7.4720000000001532</v>
          </cell>
          <cell r="AI44">
            <v>10.385999999999994</v>
          </cell>
          <cell r="AJ44">
            <v>34.788999999999952</v>
          </cell>
          <cell r="AK44">
            <v>33.667999999999992</v>
          </cell>
          <cell r="AL44">
            <v>16.463000000000058</v>
          </cell>
          <cell r="AM44">
            <v>-9.0590000000000046</v>
          </cell>
          <cell r="AN44">
            <v>58.924000000000021</v>
          </cell>
          <cell r="AO44">
            <v>58.716999999999999</v>
          </cell>
          <cell r="AP44">
            <v>38.491999999999976</v>
          </cell>
          <cell r="AQ44">
            <v>-29.727999999999994</v>
          </cell>
          <cell r="AR44">
            <v>69.961000000000027</v>
          </cell>
          <cell r="AS44">
            <v>74.580000000000013</v>
          </cell>
          <cell r="AT44">
            <v>57.733999999999966</v>
          </cell>
          <cell r="AU44">
            <v>6.4169999999999643</v>
          </cell>
          <cell r="AV44">
            <v>88.804999999999964</v>
          </cell>
          <cell r="AW44">
            <v>93.587000000000003</v>
          </cell>
          <cell r="AX44">
            <v>78.879000000000076</v>
          </cell>
          <cell r="AY44">
            <v>10.037960422575363</v>
          </cell>
          <cell r="AZ44">
            <v>99.738473731663049</v>
          </cell>
          <cell r="BA44">
            <v>103.86250842678996</v>
          </cell>
          <cell r="BB44">
            <v>95.074006581445033</v>
          </cell>
          <cell r="BC44">
            <v>19.465049756819223</v>
          </cell>
          <cell r="BD44">
            <v>99.999653150329422</v>
          </cell>
          <cell r="BE44">
            <v>116.42435888433376</v>
          </cell>
          <cell r="BF44">
            <v>100.96553308294494</v>
          </cell>
          <cell r="BG44"/>
          <cell r="BH44">
            <v>21.356999999999971</v>
          </cell>
          <cell r="BI44">
            <v>34.136000000000038</v>
          </cell>
          <cell r="BJ44">
            <v>23.006999999999969</v>
          </cell>
          <cell r="BK44">
            <v>27.991000000000017</v>
          </cell>
          <cell r="BL44">
            <v>46.557000000000016</v>
          </cell>
          <cell r="BM44">
            <v>29.190999999999939</v>
          </cell>
          <cell r="BN44">
            <v>15.136000000000021</v>
          </cell>
          <cell r="BO44">
            <v>13.297000000000043</v>
          </cell>
          <cell r="BP44">
            <v>4.9369999999999621</v>
          </cell>
          <cell r="BQ44">
            <v>26.510000000000016</v>
          </cell>
          <cell r="BR44">
            <v>48.360999999999933</v>
          </cell>
          <cell r="BS44">
            <v>33.427000000000106</v>
          </cell>
          <cell r="BT44">
            <v>95.305999999999955</v>
          </cell>
          <cell r="BU44">
            <v>147.07399999999996</v>
          </cell>
          <cell r="BV44">
            <v>172.54699999999991</v>
          </cell>
          <cell r="BW44">
            <v>267.68799999999999</v>
          </cell>
          <cell r="BX44">
            <v>308.71294916247302</v>
          </cell>
          <cell r="BY44">
            <v>336.85459487442722</v>
          </cell>
          <cell r="BZ44">
            <v>372.24423814326786</v>
          </cell>
          <cell r="CA44">
            <v>444.12984500452313</v>
          </cell>
          <cell r="CB44">
            <v>497.33700613191411</v>
          </cell>
          <cell r="CC44"/>
        </row>
        <row r="45">
          <cell r="A45" t="str">
            <v>Income from equity method investments</v>
          </cell>
          <cell r="B45"/>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9.7000000000000003E-2</v>
          </cell>
          <cell r="AB45">
            <v>0.192</v>
          </cell>
          <cell r="AC45">
            <v>0.27300000000000002</v>
          </cell>
          <cell r="AD45">
            <v>6.9999999999999951E-2</v>
          </cell>
          <cell r="AE45">
            <v>6.2E-2</v>
          </cell>
          <cell r="AF45">
            <v>0.125</v>
          </cell>
          <cell r="AG45">
            <v>0.157</v>
          </cell>
          <cell r="AH45">
            <v>3.6000000000000032E-2</v>
          </cell>
          <cell r="AI45">
            <v>9.6000000000000002E-2</v>
          </cell>
          <cell r="AJ45">
            <v>-0.35399999999999998</v>
          </cell>
          <cell r="AK45">
            <v>-0.39600000000000002</v>
          </cell>
          <cell r="AL45">
            <v>-3.0000000000000027E-2</v>
          </cell>
          <cell r="AM45">
            <v>-0.28299999999999997</v>
          </cell>
          <cell r="AN45">
            <v>0.99199999999999999</v>
          </cell>
          <cell r="AO45">
            <v>-0.91800000000000004</v>
          </cell>
          <cell r="AP45">
            <v>6.4999999999999974E-2</v>
          </cell>
          <cell r="AQ45">
            <v>0.45100000000000001</v>
          </cell>
          <cell r="AR45">
            <v>0.39600000000000002</v>
          </cell>
          <cell r="AS45">
            <v>-0.40699999999999997</v>
          </cell>
          <cell r="AT45">
            <v>-0.10599999999999998</v>
          </cell>
          <cell r="AU45">
            <v>3.0000000000000001E-3</v>
          </cell>
          <cell r="AV45">
            <v>-0.221</v>
          </cell>
          <cell r="AW45">
            <v>-0.75700000000000001</v>
          </cell>
          <cell r="AX45">
            <v>-2.0000000000000018E-3</v>
          </cell>
          <cell r="AY45">
            <v>0</v>
          </cell>
          <cell r="AZ45">
            <v>0</v>
          </cell>
          <cell r="BA45">
            <v>0</v>
          </cell>
          <cell r="BB45">
            <v>0</v>
          </cell>
          <cell r="BC45">
            <v>0</v>
          </cell>
          <cell r="BD45">
            <v>0</v>
          </cell>
          <cell r="BE45">
            <v>0</v>
          </cell>
          <cell r="BF45">
            <v>0</v>
          </cell>
          <cell r="BG45"/>
          <cell r="BH45">
            <v>0</v>
          </cell>
          <cell r="BI45">
            <v>0</v>
          </cell>
          <cell r="BJ45">
            <v>0</v>
          </cell>
          <cell r="BK45">
            <v>0</v>
          </cell>
          <cell r="BL45">
            <v>0</v>
          </cell>
          <cell r="BM45">
            <v>0</v>
          </cell>
          <cell r="BN45">
            <v>0</v>
          </cell>
          <cell r="BO45">
            <v>0</v>
          </cell>
          <cell r="BP45">
            <v>0</v>
          </cell>
          <cell r="BQ45">
            <v>0</v>
          </cell>
          <cell r="BR45">
            <v>0.63200000000000001</v>
          </cell>
          <cell r="BS45">
            <v>0.38</v>
          </cell>
          <cell r="BT45">
            <v>-0.68400000000000005</v>
          </cell>
          <cell r="BU45">
            <v>-0.14399999999999999</v>
          </cell>
          <cell r="BV45">
            <v>0.33400000000000002</v>
          </cell>
          <cell r="BW45">
            <v>-0.97699999999999998</v>
          </cell>
          <cell r="BX45">
            <v>0</v>
          </cell>
          <cell r="BY45">
            <v>0</v>
          </cell>
          <cell r="BZ45">
            <v>0</v>
          </cell>
          <cell r="CA45">
            <v>0</v>
          </cell>
          <cell r="CB45">
            <v>0</v>
          </cell>
          <cell r="CC45"/>
        </row>
        <row r="46">
          <cell r="A46" t="str">
            <v>Tax</v>
          </cell>
          <cell r="B46"/>
          <cell r="C46">
            <v>3.8889999999999998</v>
          </cell>
          <cell r="D46">
            <v>6.68</v>
          </cell>
          <cell r="E46">
            <v>7.6260000000000003</v>
          </cell>
          <cell r="F46">
            <v>1.827999999999999</v>
          </cell>
          <cell r="G46">
            <v>-3.45</v>
          </cell>
          <cell r="H46">
            <v>-4.6849999999999996</v>
          </cell>
          <cell r="I46">
            <v>11.861000000000001</v>
          </cell>
          <cell r="J46">
            <v>7.3489999999999984</v>
          </cell>
          <cell r="K46">
            <v>-6.5379999999999994</v>
          </cell>
          <cell r="L46">
            <v>8.6630000000000003</v>
          </cell>
          <cell r="M46">
            <v>10.586000000000002</v>
          </cell>
          <cell r="N46">
            <v>-6.9009999999999998</v>
          </cell>
          <cell r="O46">
            <v>-8.0969999999999995</v>
          </cell>
          <cell r="P46">
            <v>6.6529999999999996</v>
          </cell>
          <cell r="Q46">
            <v>5.3680000000000003</v>
          </cell>
          <cell r="R46">
            <v>0.82200000000000006</v>
          </cell>
          <cell r="S46">
            <v>-8.6900000000000013</v>
          </cell>
          <cell r="T46">
            <v>7.6879999999999997</v>
          </cell>
          <cell r="U46">
            <v>4.5219999999999994</v>
          </cell>
          <cell r="V46">
            <v>1.8759999999999986</v>
          </cell>
          <cell r="W46">
            <v>-9.3679999999999986</v>
          </cell>
          <cell r="X46">
            <v>0.56399999999999917</v>
          </cell>
          <cell r="Y46">
            <v>6.9349999999999987</v>
          </cell>
          <cell r="Z46">
            <v>0.95900000000000141</v>
          </cell>
          <cell r="AA46">
            <v>-5.0579999999999998</v>
          </cell>
          <cell r="AB46">
            <v>9.0739999999999998</v>
          </cell>
          <cell r="AC46">
            <v>5.8419999999999996</v>
          </cell>
          <cell r="AD46">
            <v>0.66199999999999992</v>
          </cell>
          <cell r="AE46">
            <v>-8.8179999999999996</v>
          </cell>
          <cell r="AF46">
            <v>10.391999999999999</v>
          </cell>
          <cell r="AG46">
            <v>4.4189999999999996</v>
          </cell>
          <cell r="AH46">
            <v>2.5480000000000014</v>
          </cell>
          <cell r="AI46">
            <v>-2.3759999999999994</v>
          </cell>
          <cell r="AJ46">
            <v>10.641999999999999</v>
          </cell>
          <cell r="AK46">
            <v>10.275</v>
          </cell>
          <cell r="AL46">
            <v>5.9980000000000011</v>
          </cell>
          <cell r="AM46">
            <v>-2.8929999999999989</v>
          </cell>
          <cell r="AN46">
            <v>15.928000000000001</v>
          </cell>
          <cell r="AO46">
            <v>16.716000000000001</v>
          </cell>
          <cell r="AP46">
            <v>10.337</v>
          </cell>
          <cell r="AQ46">
            <v>-7.5069999999999979</v>
          </cell>
          <cell r="AR46">
            <v>18.86</v>
          </cell>
          <cell r="AS46">
            <v>19.524999999999999</v>
          </cell>
          <cell r="AT46">
            <v>14.468</v>
          </cell>
          <cell r="AU46">
            <v>1.5359999999999996</v>
          </cell>
          <cell r="AV46">
            <v>22.19</v>
          </cell>
          <cell r="AW46">
            <v>24.657</v>
          </cell>
          <cell r="AX46">
            <v>16.099</v>
          </cell>
          <cell r="AY46">
            <v>2.4091105014180871</v>
          </cell>
          <cell r="AZ46">
            <v>23.937233695599133</v>
          </cell>
          <cell r="BA46">
            <v>24.927002022429591</v>
          </cell>
          <cell r="BB46">
            <v>22.817761579546815</v>
          </cell>
          <cell r="BC46">
            <v>4.6716119416366197</v>
          </cell>
          <cell r="BD46">
            <v>23.99991675607907</v>
          </cell>
          <cell r="BE46">
            <v>27.941846132240094</v>
          </cell>
          <cell r="BF46">
            <v>24.231727939906786</v>
          </cell>
          <cell r="BG46"/>
          <cell r="BH46">
            <v>9.6280000000000001</v>
          </cell>
          <cell r="BI46">
            <v>13.249000000000001</v>
          </cell>
          <cell r="BJ46">
            <v>11.342000000000001</v>
          </cell>
          <cell r="BK46">
            <v>11.882</v>
          </cell>
          <cell r="BL46">
            <v>20.023</v>
          </cell>
          <cell r="BM46">
            <v>11.074999999999999</v>
          </cell>
          <cell r="BN46">
            <v>5.81</v>
          </cell>
          <cell r="BO46">
            <v>4.7460000000000004</v>
          </cell>
          <cell r="BP46">
            <v>5.3959999999999999</v>
          </cell>
          <cell r="BQ46">
            <v>-0.91000000000000014</v>
          </cell>
          <cell r="BR46">
            <v>10.52</v>
          </cell>
          <cell r="BS46">
            <v>8.5410000000000004</v>
          </cell>
          <cell r="BT46">
            <v>24.539000000000001</v>
          </cell>
          <cell r="BU46">
            <v>40.088000000000001</v>
          </cell>
          <cell r="BV46">
            <v>45.345999999999997</v>
          </cell>
          <cell r="BW46">
            <v>64.481999999999999</v>
          </cell>
          <cell r="BX46">
            <v>74.091107798993633</v>
          </cell>
          <cell r="BY46">
            <v>80.845102769862564</v>
          </cell>
          <cell r="BZ46">
            <v>96.783501917249637</v>
          </cell>
          <cell r="CA46">
            <v>115.47375970117601</v>
          </cell>
          <cell r="CB46">
            <v>129.30762159429767</v>
          </cell>
          <cell r="CC46"/>
        </row>
        <row r="47">
          <cell r="A47" t="str">
            <v>Discontinued Operations</v>
          </cell>
          <cell r="B47"/>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row>
        <row r="48">
          <cell r="A48" t="str">
            <v>Net Income to NCI</v>
          </cell>
          <cell r="B48"/>
          <cell r="C48">
            <v>0.187</v>
          </cell>
          <cell r="D48">
            <v>-0.191</v>
          </cell>
          <cell r="E48">
            <v>-0.55500000000000005</v>
          </cell>
          <cell r="F48">
            <v>-1.0179999999999998</v>
          </cell>
          <cell r="G48">
            <v>-5.8000000000000003E-2</v>
          </cell>
          <cell r="H48">
            <v>-0.58599999999999997</v>
          </cell>
          <cell r="I48">
            <v>-0.437</v>
          </cell>
          <cell r="J48">
            <v>-0.40299999999999997</v>
          </cell>
          <cell r="K48">
            <v>0.187</v>
          </cell>
          <cell r="L48">
            <v>-0.37</v>
          </cell>
          <cell r="M48">
            <v>-0.48399999999999999</v>
          </cell>
          <cell r="N48">
            <v>-0.99499999999999988</v>
          </cell>
          <cell r="O48">
            <v>0.129</v>
          </cell>
          <cell r="P48">
            <v>-0.65400000000000003</v>
          </cell>
          <cell r="Q48">
            <v>-0.60799999999999998</v>
          </cell>
          <cell r="R48">
            <v>0.64900000000000002</v>
          </cell>
          <cell r="S48">
            <v>0.19600000000000001</v>
          </cell>
          <cell r="T48">
            <v>-0.753</v>
          </cell>
          <cell r="U48">
            <v>-0.23300000000000001</v>
          </cell>
          <cell r="V48">
            <v>-0.12000000000000005</v>
          </cell>
          <cell r="W48">
            <v>-0.10299999999999999</v>
          </cell>
          <cell r="X48">
            <v>-7.0000000000000007E-2</v>
          </cell>
          <cell r="Y48">
            <v>-2.7E-2</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cell r="BH48">
            <v>-0.58599999999999997</v>
          </cell>
          <cell r="BI48">
            <v>-0.63800000000000001</v>
          </cell>
          <cell r="BJ48">
            <v>-1.127</v>
          </cell>
          <cell r="BK48">
            <v>-1.4339999999999999</v>
          </cell>
          <cell r="BL48">
            <v>-1.577</v>
          </cell>
          <cell r="BM48">
            <v>-1.484</v>
          </cell>
          <cell r="BN48">
            <v>-1.6619999999999999</v>
          </cell>
          <cell r="BO48">
            <v>-0.48399999999999999</v>
          </cell>
          <cell r="BP48">
            <v>-0.91</v>
          </cell>
          <cell r="BQ48">
            <v>-0.2</v>
          </cell>
          <cell r="BR48">
            <v>0</v>
          </cell>
          <cell r="BS48">
            <v>0</v>
          </cell>
          <cell r="BT48">
            <v>0</v>
          </cell>
          <cell r="BU48">
            <v>0</v>
          </cell>
          <cell r="BV48">
            <v>0</v>
          </cell>
          <cell r="BW48">
            <v>0</v>
          </cell>
          <cell r="BX48">
            <v>0</v>
          </cell>
          <cell r="BY48">
            <v>0</v>
          </cell>
          <cell r="BZ48">
            <v>0</v>
          </cell>
          <cell r="CA48">
            <v>0</v>
          </cell>
          <cell r="CB48">
            <v>0</v>
          </cell>
          <cell r="CC48"/>
        </row>
        <row r="49">
          <cell r="A49" t="str">
            <v>Earnings to Preferred and Other Securities</v>
          </cell>
          <cell r="B49"/>
          <cell r="C49">
            <v>0.309</v>
          </cell>
          <cell r="D49">
            <v>0.67500000000000004</v>
          </cell>
          <cell r="E49">
            <v>0.84399999999999997</v>
          </cell>
          <cell r="F49">
            <v>0.15700000000000025</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cell r="BH49">
            <v>0</v>
          </cell>
          <cell r="BI49">
            <v>0</v>
          </cell>
          <cell r="BJ49">
            <v>1.0309999999999999</v>
          </cell>
          <cell r="BK49">
            <v>1.252</v>
          </cell>
          <cell r="BL49">
            <v>1.9850000000000001</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row>
        <row r="50">
          <cell r="A50" t="str">
            <v>Net Income to Common Shareholders</v>
          </cell>
          <cell r="B50"/>
          <cell r="C50">
            <v>4.0480000000000018</v>
          </cell>
          <cell r="D50">
            <v>8.8359999999999914</v>
          </cell>
          <cell r="E50">
            <v>11.130999999999988</v>
          </cell>
          <cell r="F50">
            <v>2.1109999999999927</v>
          </cell>
          <cell r="G50">
            <v>-5.0399999999999698</v>
          </cell>
          <cell r="H50">
            <v>-3.664999999999988</v>
          </cell>
          <cell r="I50">
            <v>15.948999999999989</v>
          </cell>
          <cell r="J50">
            <v>12.355999999999963</v>
          </cell>
          <cell r="K50">
            <v>-6.77600000000003</v>
          </cell>
          <cell r="L50">
            <v>12.330999999999998</v>
          </cell>
          <cell r="M50">
            <v>17.012999999999977</v>
          </cell>
          <cell r="N50">
            <v>-11.579999999999872</v>
          </cell>
          <cell r="O50">
            <v>-12.792999999999989</v>
          </cell>
          <cell r="P50">
            <v>8.5379999999999914</v>
          </cell>
          <cell r="Q50">
            <v>14.273000000000001</v>
          </cell>
          <cell r="R50">
            <v>-0.98300000000001397</v>
          </cell>
          <cell r="S50">
            <v>-13.832999999999982</v>
          </cell>
          <cell r="T50">
            <v>11.652000000000008</v>
          </cell>
          <cell r="U50">
            <v>9.1149999999999771</v>
          </cell>
          <cell r="V50">
            <v>-6.4830000000000236</v>
          </cell>
          <cell r="W50">
            <v>-8.0559999999999885</v>
          </cell>
          <cell r="X50">
            <v>13.259</v>
          </cell>
          <cell r="Y50">
            <v>13.070000000000013</v>
          </cell>
          <cell r="Z50">
            <v>9.3469999999999462</v>
          </cell>
          <cell r="AA50">
            <v>-8.2820000000000231</v>
          </cell>
          <cell r="AB50">
            <v>23.712000000000003</v>
          </cell>
          <cell r="AC50">
            <v>18.462000000000021</v>
          </cell>
          <cell r="AD50">
            <v>3.3169999999999695</v>
          </cell>
          <cell r="AE50">
            <v>-9.73000000000002</v>
          </cell>
          <cell r="AF50">
            <v>20.594000000000026</v>
          </cell>
          <cell r="AG50">
            <v>8.7540000000000084</v>
          </cell>
          <cell r="AH50">
            <v>4.8880000000001509</v>
          </cell>
          <cell r="AI50">
            <v>12.665999999999993</v>
          </cell>
          <cell r="AJ50">
            <v>24.500999999999951</v>
          </cell>
          <cell r="AK50">
            <v>23.788999999999994</v>
          </cell>
          <cell r="AL50">
            <v>10.495000000000058</v>
          </cell>
          <cell r="AM50">
            <v>-5.8830000000000062</v>
          </cell>
          <cell r="AN50">
            <v>42.004000000000019</v>
          </cell>
          <cell r="AO50">
            <v>42.918999999999997</v>
          </cell>
          <cell r="AP50">
            <v>28.089999999999979</v>
          </cell>
          <cell r="AQ50">
            <v>-22.671999999999997</v>
          </cell>
          <cell r="AR50">
            <v>50.705000000000027</v>
          </cell>
          <cell r="AS50">
            <v>55.46200000000001</v>
          </cell>
          <cell r="AT50">
            <v>43.371999999999971</v>
          </cell>
          <cell r="AU50">
            <v>4.8779999999999646</v>
          </cell>
          <cell r="AV50">
            <v>66.83599999999997</v>
          </cell>
          <cell r="AW50">
            <v>69.687000000000012</v>
          </cell>
          <cell r="AX50">
            <v>62.782000000000068</v>
          </cell>
          <cell r="AY50">
            <v>7.6288499211572756</v>
          </cell>
          <cell r="AZ50">
            <v>75.801240036063916</v>
          </cell>
          <cell r="BA50">
            <v>78.935506404360368</v>
          </cell>
          <cell r="BB50">
            <v>72.256245001898222</v>
          </cell>
          <cell r="BC50">
            <v>14.793437815182603</v>
          </cell>
          <cell r="BD50">
            <v>75.999736394250348</v>
          </cell>
          <cell r="BE50">
            <v>88.482512752093669</v>
          </cell>
          <cell r="BF50">
            <v>76.733805143038154</v>
          </cell>
          <cell r="BG50"/>
          <cell r="BH50">
            <v>12.314999999999971</v>
          </cell>
          <cell r="BI50">
            <v>21.525000000000038</v>
          </cell>
          <cell r="BJ50">
            <v>11.760999999999969</v>
          </cell>
          <cell r="BK50">
            <v>16.291000000000018</v>
          </cell>
          <cell r="BL50">
            <v>26.126000000000019</v>
          </cell>
          <cell r="BM50">
            <v>19.599999999999937</v>
          </cell>
          <cell r="BN50">
            <v>10.988000000000021</v>
          </cell>
          <cell r="BO50">
            <v>9.0350000000000428</v>
          </cell>
          <cell r="BP50">
            <v>0.45099999999996221</v>
          </cell>
          <cell r="BQ50">
            <v>27.620000000000015</v>
          </cell>
          <cell r="BR50">
            <v>37.208999999999932</v>
          </cell>
          <cell r="BS50">
            <v>24.506000000000103</v>
          </cell>
          <cell r="BT50">
            <v>71.450999999999951</v>
          </cell>
          <cell r="BU50">
            <v>107.12999999999997</v>
          </cell>
          <cell r="BV50">
            <v>126.8669999999999</v>
          </cell>
          <cell r="BW50">
            <v>204.18299999999996</v>
          </cell>
          <cell r="BX50">
            <v>234.6218413634794</v>
          </cell>
          <cell r="BY50">
            <v>256.00949210456463</v>
          </cell>
          <cell r="BZ50">
            <v>275.46073622601824</v>
          </cell>
          <cell r="CA50">
            <v>328.65608530334714</v>
          </cell>
          <cell r="CB50">
            <v>368.02938453761647</v>
          </cell>
          <cell r="CC50"/>
        </row>
        <row r="52">
          <cell r="A52" t="str">
            <v>Adjusted Shares Outstanding - WAD</v>
          </cell>
          <cell r="B52"/>
          <cell r="C52">
            <v>38.779252</v>
          </cell>
          <cell r="D52">
            <v>38.868518999999999</v>
          </cell>
          <cell r="E52">
            <v>39.033352999999998</v>
          </cell>
          <cell r="F52">
            <v>39.475382000000003</v>
          </cell>
          <cell r="G52">
            <v>37.868927999999997</v>
          </cell>
          <cell r="H52">
            <v>39.977227999999997</v>
          </cell>
          <cell r="I52">
            <v>39.596798</v>
          </cell>
          <cell r="J52">
            <v>38.742379</v>
          </cell>
          <cell r="K52">
            <v>37.695681</v>
          </cell>
          <cell r="L52">
            <v>37.160829</v>
          </cell>
          <cell r="M52">
            <v>37.408911000000003</v>
          </cell>
          <cell r="N52">
            <v>37.318085000000004</v>
          </cell>
          <cell r="O52">
            <v>37.433492999999999</v>
          </cell>
          <cell r="P52">
            <v>37.680878999999997</v>
          </cell>
          <cell r="Q52">
            <v>38.999870999999999</v>
          </cell>
          <cell r="R52">
            <v>37.168812000000003</v>
          </cell>
          <cell r="S52">
            <v>37.938704999999999</v>
          </cell>
          <cell r="T52">
            <v>39.007275999999997</v>
          </cell>
          <cell r="U52">
            <v>39.328127000000002</v>
          </cell>
          <cell r="V52">
            <v>38.757311999999999</v>
          </cell>
          <cell r="W52">
            <v>39.108172000000003</v>
          </cell>
          <cell r="X52">
            <v>40.685667000000002</v>
          </cell>
          <cell r="Y52">
            <v>40.766202999999997</v>
          </cell>
          <cell r="Z52">
            <v>39.976593000000001</v>
          </cell>
          <cell r="AA52">
            <v>38.434049000000002</v>
          </cell>
          <cell r="AB52">
            <v>40.32526</v>
          </cell>
          <cell r="AC52">
            <v>41.753323000000002</v>
          </cell>
          <cell r="AD52">
            <v>41.667000000000002</v>
          </cell>
          <cell r="AE52">
            <v>39.288556999999997</v>
          </cell>
          <cell r="AF52">
            <v>39.973933000000002</v>
          </cell>
          <cell r="AG52">
            <v>39.938898000000002</v>
          </cell>
          <cell r="AH52">
            <v>41.166794000000003</v>
          </cell>
          <cell r="AI52">
            <v>42.189672999999999</v>
          </cell>
          <cell r="AJ52">
            <v>41.102424999999997</v>
          </cell>
          <cell r="AK52">
            <v>41.690508999999999</v>
          </cell>
          <cell r="AL52">
            <v>42.251632999999998</v>
          </cell>
          <cell r="AM52">
            <v>40.559066000000001</v>
          </cell>
          <cell r="AN52">
            <v>41.963399000000003</v>
          </cell>
          <cell r="AO52">
            <v>42.136042000000003</v>
          </cell>
          <cell r="AP52">
            <v>42.574711999999998</v>
          </cell>
          <cell r="AQ52">
            <v>42.076627999999999</v>
          </cell>
          <cell r="AR52">
            <v>42.547333999999999</v>
          </cell>
          <cell r="AS52">
            <v>42.714089999999999</v>
          </cell>
          <cell r="AT52">
            <v>42.849355000000003</v>
          </cell>
          <cell r="AU52">
            <v>42.982385000000001</v>
          </cell>
          <cell r="AV52">
            <v>43.463763</v>
          </cell>
          <cell r="AW52">
            <v>43.655841000000002</v>
          </cell>
          <cell r="AX52">
            <v>44.248688999999999</v>
          </cell>
          <cell r="AY52">
            <v>44.000834883040824</v>
          </cell>
          <cell r="AZ52">
            <v>44.005728942519951</v>
          </cell>
          <cell r="BA52">
            <v>44.010129515414206</v>
          </cell>
          <cell r="BB52">
            <v>44.014530528365754</v>
          </cell>
          <cell r="BC52">
            <v>44.018931981418589</v>
          </cell>
          <cell r="BD52">
            <v>44.023333874616725</v>
          </cell>
          <cell r="BE52">
            <v>44.027736208004185</v>
          </cell>
          <cell r="BF52">
            <v>44.032138981624989</v>
          </cell>
          <cell r="BG52"/>
          <cell r="BH52">
            <v>29.639973999999999</v>
          </cell>
          <cell r="BI52">
            <v>30.248683</v>
          </cell>
          <cell r="BJ52">
            <v>34.635593999999998</v>
          </cell>
          <cell r="BK52">
            <v>38.740862999999997</v>
          </cell>
          <cell r="BL52">
            <v>39.017344999999999</v>
          </cell>
          <cell r="BM52">
            <v>39.230516000000001</v>
          </cell>
          <cell r="BN52">
            <v>37.625425</v>
          </cell>
          <cell r="BO52">
            <v>38.850388000000002</v>
          </cell>
          <cell r="BP52">
            <v>39.500934000000001</v>
          </cell>
          <cell r="BQ52">
            <v>40.637743999999998</v>
          </cell>
          <cell r="BR52">
            <v>40.944800000000001</v>
          </cell>
          <cell r="BS52">
            <v>40.663224</v>
          </cell>
          <cell r="BT52">
            <v>41.868580000000001</v>
          </cell>
          <cell r="BU52">
            <v>42.441524000000001</v>
          </cell>
          <cell r="BV52">
            <v>42.728107999999999</v>
          </cell>
          <cell r="BW52">
            <v>43.535440999999999</v>
          </cell>
          <cell r="BX52">
            <v>44.007774812110007</v>
          </cell>
          <cell r="BY52">
            <v>44.025505109050691</v>
          </cell>
          <cell r="BZ52">
            <v>44.043147346594921</v>
          </cell>
          <cell r="CA52">
            <v>44.060764605533564</v>
          </cell>
          <cell r="CB52">
            <v>44.078388911375768</v>
          </cell>
          <cell r="CC52"/>
        </row>
        <row r="55">
          <cell r="A55" t="str">
            <v>Adjusted EBITDA</v>
          </cell>
          <cell r="B55"/>
          <cell r="C55">
            <v>27.194000000000003</v>
          </cell>
          <cell r="D55">
            <v>35.41299999999999</v>
          </cell>
          <cell r="E55">
            <v>39.686999999999991</v>
          </cell>
          <cell r="F55">
            <v>23.522999999999985</v>
          </cell>
          <cell r="G55">
            <v>12.166000000000029</v>
          </cell>
          <cell r="H55">
            <v>34.146000000000015</v>
          </cell>
          <cell r="I55">
            <v>49.390999999999991</v>
          </cell>
          <cell r="J55">
            <v>36.247999999999955</v>
          </cell>
          <cell r="K55">
            <v>7.8949999999999694</v>
          </cell>
          <cell r="L55">
            <v>42.897999999999996</v>
          </cell>
          <cell r="M55">
            <v>49.695999999999984</v>
          </cell>
          <cell r="N55">
            <v>23.038000000000128</v>
          </cell>
          <cell r="O55">
            <v>0.69600000000001216</v>
          </cell>
          <cell r="P55">
            <v>36.150999999999982</v>
          </cell>
          <cell r="Q55">
            <v>40.939000000000007</v>
          </cell>
          <cell r="R55">
            <v>22.96899999999998</v>
          </cell>
          <cell r="S55">
            <v>-0.29499999999998394</v>
          </cell>
          <cell r="T55">
            <v>41.616000000000007</v>
          </cell>
          <cell r="U55">
            <v>37.97799999999998</v>
          </cell>
          <cell r="V55">
            <v>30.70799999999997</v>
          </cell>
          <cell r="W55">
            <v>5.9530000000000136</v>
          </cell>
          <cell r="X55">
            <v>39.480999999999995</v>
          </cell>
          <cell r="Y55">
            <v>42.700000000000017</v>
          </cell>
          <cell r="Z55">
            <v>33.48799999999995</v>
          </cell>
          <cell r="AA55">
            <v>8.7829999999999764</v>
          </cell>
          <cell r="AB55">
            <v>55.14</v>
          </cell>
          <cell r="AC55">
            <v>44.255000000000024</v>
          </cell>
          <cell r="AD55">
            <v>25.383999999999972</v>
          </cell>
          <cell r="AE55">
            <v>3.2799999999999834</v>
          </cell>
          <cell r="AF55">
            <v>53.712000000000018</v>
          </cell>
          <cell r="AG55">
            <v>38.999000000000009</v>
          </cell>
          <cell r="AH55">
            <v>32.166000000000153</v>
          </cell>
          <cell r="AI55">
            <v>39.233999999999995</v>
          </cell>
          <cell r="AJ55">
            <v>70.686999999999955</v>
          </cell>
          <cell r="AK55">
            <v>75.006999999999991</v>
          </cell>
          <cell r="AL55">
            <v>54.938000000000052</v>
          </cell>
          <cell r="AM55">
            <v>25.455999999999992</v>
          </cell>
          <cell r="AN55">
            <v>82.697000000000031</v>
          </cell>
          <cell r="AO55">
            <v>90.306999999999988</v>
          </cell>
          <cell r="AP55">
            <v>74.651999999999987</v>
          </cell>
          <cell r="AQ55">
            <v>3.0420000000000051</v>
          </cell>
          <cell r="AR55">
            <v>100.47700000000003</v>
          </cell>
          <cell r="AS55">
            <v>103.88600000000002</v>
          </cell>
          <cell r="AT55">
            <v>88.771999999999977</v>
          </cell>
          <cell r="AU55">
            <v>39.762999999999963</v>
          </cell>
          <cell r="AV55">
            <v>118.34799999999998</v>
          </cell>
          <cell r="AW55">
            <v>120.54700000000001</v>
          </cell>
          <cell r="AX55">
            <v>112.0870000000001</v>
          </cell>
          <cell r="AY55">
            <v>45.181195819835636</v>
          </cell>
          <cell r="AZ55">
            <v>132.83889517725353</v>
          </cell>
          <cell r="BA55">
            <v>133.16417040271276</v>
          </cell>
          <cell r="BB55">
            <v>123.34956263723276</v>
          </cell>
          <cell r="BC55">
            <v>49.452266506736265</v>
          </cell>
          <cell r="BD55">
            <v>129.87939914086641</v>
          </cell>
          <cell r="BE55">
            <v>143.35176305343165</v>
          </cell>
          <cell r="BF55">
            <v>127.38679559105231</v>
          </cell>
          <cell r="BG55"/>
          <cell r="BH55">
            <v>45.96399999999997</v>
          </cell>
          <cell r="BI55">
            <v>67.162000000000035</v>
          </cell>
          <cell r="BJ55">
            <v>76.613999999999976</v>
          </cell>
          <cell r="BK55">
            <v>97.080000000000013</v>
          </cell>
          <cell r="BL55">
            <v>125.81700000000001</v>
          </cell>
          <cell r="BM55">
            <v>131.95099999999994</v>
          </cell>
          <cell r="BN55">
            <v>123.52700000000002</v>
          </cell>
          <cell r="BO55">
            <v>100.75500000000004</v>
          </cell>
          <cell r="BP55">
            <v>110.00699999999996</v>
          </cell>
          <cell r="BQ55">
            <v>121.62200000000001</v>
          </cell>
          <cell r="BR55">
            <v>133.56199999999995</v>
          </cell>
          <cell r="BS55">
            <v>128.1570000000001</v>
          </cell>
          <cell r="BT55">
            <v>239.86599999999996</v>
          </cell>
          <cell r="BU55">
            <v>273.11199999999997</v>
          </cell>
          <cell r="BV55">
            <v>296.17699999999991</v>
          </cell>
          <cell r="BW55">
            <v>390.745</v>
          </cell>
          <cell r="BX55">
            <v>434.53382403703472</v>
          </cell>
          <cell r="BY55">
            <v>450.07022429208666</v>
          </cell>
          <cell r="BZ55">
            <v>480.92759413502267</v>
          </cell>
          <cell r="CA55">
            <v>542.95204147643358</v>
          </cell>
          <cell r="CB55">
            <v>589.11463131508901</v>
          </cell>
          <cell r="CC55"/>
        </row>
        <row r="56">
          <cell r="A56" t="str">
            <v>Adjusted EBIT</v>
          </cell>
          <cell r="B56"/>
          <cell r="C56">
            <v>11.533000000000001</v>
          </cell>
          <cell r="D56">
            <v>19.179999999999993</v>
          </cell>
          <cell r="E56">
            <v>23.404999999999987</v>
          </cell>
          <cell r="F56">
            <v>5.9619999999999926</v>
          </cell>
          <cell r="G56">
            <v>-4.7839999999999705</v>
          </cell>
          <cell r="H56">
            <v>-0.3779999999999859</v>
          </cell>
          <cell r="I56">
            <v>31.373999999999992</v>
          </cell>
          <cell r="J56">
            <v>19.471999999999959</v>
          </cell>
          <cell r="K56">
            <v>-8.9850000000000296</v>
          </cell>
          <cell r="L56">
            <v>25.268999999999998</v>
          </cell>
          <cell r="M56">
            <v>31.931999999999981</v>
          </cell>
          <cell r="N56">
            <v>-8.4899999999998705</v>
          </cell>
          <cell r="O56">
            <v>-15.868999999999989</v>
          </cell>
          <cell r="P56">
            <v>19.68099999999999</v>
          </cell>
          <cell r="Q56">
            <v>23.352</v>
          </cell>
          <cell r="R56">
            <v>5.3659999999999854</v>
          </cell>
          <cell r="S56">
            <v>-17.974999999999984</v>
          </cell>
          <cell r="T56">
            <v>22.921000000000006</v>
          </cell>
          <cell r="U56">
            <v>18.027999999999977</v>
          </cell>
          <cell r="V56">
            <v>12.752999999999973</v>
          </cell>
          <cell r="W56">
            <v>-14.682999999999986</v>
          </cell>
          <cell r="X56">
            <v>20.930999999999997</v>
          </cell>
          <cell r="Y56">
            <v>24.274000000000015</v>
          </cell>
          <cell r="Z56">
            <v>15.839999999999948</v>
          </cell>
          <cell r="AA56">
            <v>-9.7280000000000229</v>
          </cell>
          <cell r="AB56">
            <v>37.430000000000007</v>
          </cell>
          <cell r="AC56">
            <v>27.21700000000002</v>
          </cell>
          <cell r="AD56">
            <v>7.2429999999999666</v>
          </cell>
          <cell r="AE56">
            <v>-13.123000000000019</v>
          </cell>
          <cell r="AF56">
            <v>37.224000000000025</v>
          </cell>
          <cell r="AG56">
            <v>22.350000000000009</v>
          </cell>
          <cell r="AH56">
            <v>15.628000000000155</v>
          </cell>
          <cell r="AI56">
            <v>23.008999999999993</v>
          </cell>
          <cell r="AJ56">
            <v>50.049999999999955</v>
          </cell>
          <cell r="AK56">
            <v>54.905999999999999</v>
          </cell>
          <cell r="AL56">
            <v>33.466000000000051</v>
          </cell>
          <cell r="AM56">
            <v>4.5219999999999958</v>
          </cell>
          <cell r="AN56">
            <v>60.731000000000023</v>
          </cell>
          <cell r="AO56">
            <v>69.439999999999984</v>
          </cell>
          <cell r="AP56">
            <v>53.472999999999978</v>
          </cell>
          <cell r="AQ56">
            <v>-19.919999999999995</v>
          </cell>
          <cell r="AR56">
            <v>76.293000000000035</v>
          </cell>
          <cell r="AS56">
            <v>80.224000000000018</v>
          </cell>
          <cell r="AT56">
            <v>64.429999999999978</v>
          </cell>
          <cell r="AU56">
            <v>14.760999999999964</v>
          </cell>
          <cell r="AV56">
            <v>94.87299999999999</v>
          </cell>
          <cell r="AW56">
            <v>96.410000000000011</v>
          </cell>
          <cell r="AX56">
            <v>87.896000000000086</v>
          </cell>
          <cell r="AY56">
            <v>22.049754176000022</v>
          </cell>
          <cell r="AZ56">
            <v>111.39121542400001</v>
          </cell>
          <cell r="BA56">
            <v>113.58089001600003</v>
          </cell>
          <cell r="BB56">
            <v>104.52259276800001</v>
          </cell>
          <cell r="BC56">
            <v>31.231775236409618</v>
          </cell>
          <cell r="BD56">
            <v>112.37027497630723</v>
          </cell>
          <cell r="BE56">
            <v>126.8591254174336</v>
          </cell>
          <cell r="BF56">
            <v>111.0805322070016</v>
          </cell>
          <cell r="BG56"/>
          <cell r="BH56">
            <v>25.128999999999969</v>
          </cell>
          <cell r="BI56">
            <v>41.401000000000032</v>
          </cell>
          <cell r="BJ56">
            <v>33.679999999999971</v>
          </cell>
          <cell r="BK56">
            <v>39.047000000000018</v>
          </cell>
          <cell r="BL56">
            <v>60.08000000000002</v>
          </cell>
          <cell r="BM56">
            <v>45.683999999999941</v>
          </cell>
          <cell r="BN56">
            <v>39.72600000000002</v>
          </cell>
          <cell r="BO56">
            <v>32.530000000000044</v>
          </cell>
          <cell r="BP56">
            <v>35.726999999999961</v>
          </cell>
          <cell r="BQ56">
            <v>46.362000000000016</v>
          </cell>
          <cell r="BR56">
            <v>62.161999999999935</v>
          </cell>
          <cell r="BS56">
            <v>62.079000000000107</v>
          </cell>
          <cell r="BT56">
            <v>161.43099999999995</v>
          </cell>
          <cell r="BU56">
            <v>188.16599999999994</v>
          </cell>
          <cell r="BV56">
            <v>201.0269999999999</v>
          </cell>
          <cell r="BW56">
            <v>293.94</v>
          </cell>
          <cell r="BX56">
            <v>351.54445238400001</v>
          </cell>
          <cell r="BY56">
            <v>381.5417078371521</v>
          </cell>
          <cell r="BZ56">
            <v>416.88964097680196</v>
          </cell>
          <cell r="CA56">
            <v>483.52147740898522</v>
          </cell>
          <cell r="CB56">
            <v>530.70608791461723</v>
          </cell>
          <cell r="CC56"/>
        </row>
        <row r="57">
          <cell r="A57" t="str">
            <v>Adjusted Net Income</v>
          </cell>
          <cell r="B57"/>
          <cell r="C57">
            <v>4.0480000000000018</v>
          </cell>
          <cell r="D57">
            <v>8.8359999999999914</v>
          </cell>
          <cell r="E57">
            <v>11.130999999999988</v>
          </cell>
          <cell r="F57">
            <v>2.1109999999999927</v>
          </cell>
          <cell r="G57">
            <v>-5.0399999999999698</v>
          </cell>
          <cell r="H57">
            <v>-3.664999999999988</v>
          </cell>
          <cell r="I57">
            <v>15.948999999999989</v>
          </cell>
          <cell r="J57">
            <v>12.355999999999963</v>
          </cell>
          <cell r="K57">
            <v>-6.77600000000003</v>
          </cell>
          <cell r="L57">
            <v>12.330999999999998</v>
          </cell>
          <cell r="M57">
            <v>17.012999999999977</v>
          </cell>
          <cell r="N57">
            <v>-11.579999999999872</v>
          </cell>
          <cell r="O57">
            <v>-12.792999999999989</v>
          </cell>
          <cell r="P57">
            <v>8.5379999999999914</v>
          </cell>
          <cell r="Q57">
            <v>14.273000000000001</v>
          </cell>
          <cell r="R57">
            <v>-0.98300000000001397</v>
          </cell>
          <cell r="S57">
            <v>-13.832999999999982</v>
          </cell>
          <cell r="T57">
            <v>11.652000000000008</v>
          </cell>
          <cell r="U57">
            <v>9.1149999999999771</v>
          </cell>
          <cell r="V57">
            <v>-6.4830000000000236</v>
          </cell>
          <cell r="W57">
            <v>-8.0559999999999885</v>
          </cell>
          <cell r="X57">
            <v>13.259</v>
          </cell>
          <cell r="Y57">
            <v>13.070000000000013</v>
          </cell>
          <cell r="Z57">
            <v>9.3469999999999462</v>
          </cell>
          <cell r="AA57">
            <v>-8.2820000000000231</v>
          </cell>
          <cell r="AB57">
            <v>23.71200000000001</v>
          </cell>
          <cell r="AC57">
            <v>18.462000000000018</v>
          </cell>
          <cell r="AD57">
            <v>3.3169999999999695</v>
          </cell>
          <cell r="AE57">
            <v>-9.7300000000000182</v>
          </cell>
          <cell r="AF57">
            <v>20.59400000000003</v>
          </cell>
          <cell r="AG57">
            <v>8.7540000000000084</v>
          </cell>
          <cell r="AH57">
            <v>4.8880000000001527</v>
          </cell>
          <cell r="AI57">
            <v>12.665999999999991</v>
          </cell>
          <cell r="AJ57">
            <v>24.500999999999959</v>
          </cell>
          <cell r="AK57">
            <v>23.789000000000001</v>
          </cell>
          <cell r="AL57">
            <v>10.495000000000056</v>
          </cell>
          <cell r="AM57">
            <v>-5.8830000000000053</v>
          </cell>
          <cell r="AN57">
            <v>42.004000000000026</v>
          </cell>
          <cell r="AO57">
            <v>42.91899999999999</v>
          </cell>
          <cell r="AP57">
            <v>28.089999999999975</v>
          </cell>
          <cell r="AQ57">
            <v>-22.671999999999997</v>
          </cell>
          <cell r="AR57">
            <v>50.705000000000027</v>
          </cell>
          <cell r="AS57">
            <v>55.46200000000001</v>
          </cell>
          <cell r="AT57">
            <v>43.371999999999964</v>
          </cell>
          <cell r="AU57">
            <v>4.8779999999999646</v>
          </cell>
          <cell r="AV57">
            <v>66.835999999999984</v>
          </cell>
          <cell r="AW57">
            <v>69.687000000000012</v>
          </cell>
          <cell r="AX57">
            <v>62.782000000000075</v>
          </cell>
          <cell r="AY57">
            <v>7.6288499211572756</v>
          </cell>
          <cell r="AZ57">
            <v>75.801240036063916</v>
          </cell>
          <cell r="BA57">
            <v>78.935506404360368</v>
          </cell>
          <cell r="BB57">
            <v>72.25624500189825</v>
          </cell>
          <cell r="BC57">
            <v>14.793437815182632</v>
          </cell>
          <cell r="BD57">
            <v>75.999736394250377</v>
          </cell>
          <cell r="BE57">
            <v>88.482512752093641</v>
          </cell>
          <cell r="BF57">
            <v>76.733805143038154</v>
          </cell>
          <cell r="BG57"/>
          <cell r="BH57">
            <v>12.314999999999971</v>
          </cell>
          <cell r="BI57">
            <v>21.525000000000038</v>
          </cell>
          <cell r="BJ57">
            <v>11.760999999999969</v>
          </cell>
          <cell r="BK57">
            <v>16.291000000000015</v>
          </cell>
          <cell r="BL57">
            <v>26.126000000000015</v>
          </cell>
          <cell r="BM57">
            <v>19.599999999999937</v>
          </cell>
          <cell r="BN57">
            <v>10.988000000000021</v>
          </cell>
          <cell r="BO57">
            <v>9.0350000000000428</v>
          </cell>
          <cell r="BP57">
            <v>0.45099999999996221</v>
          </cell>
          <cell r="BQ57">
            <v>27.620000000000015</v>
          </cell>
          <cell r="BR57">
            <v>37.208999999999939</v>
          </cell>
          <cell r="BS57">
            <v>24.506000000000107</v>
          </cell>
          <cell r="BT57">
            <v>71.450999999999951</v>
          </cell>
          <cell r="BU57">
            <v>107.12999999999994</v>
          </cell>
          <cell r="BV57">
            <v>126.8669999999999</v>
          </cell>
          <cell r="BW57">
            <v>204.18300000000005</v>
          </cell>
          <cell r="BX57">
            <v>234.6218413634794</v>
          </cell>
          <cell r="BY57">
            <v>256.00949210456463</v>
          </cell>
          <cell r="BZ57">
            <v>275.46073622601824</v>
          </cell>
          <cell r="CA57">
            <v>328.65608530334714</v>
          </cell>
          <cell r="CB57">
            <v>368.02938453761647</v>
          </cell>
          <cell r="CC57"/>
        </row>
        <row r="58">
          <cell r="A58" t="str">
            <v>Adjusted Earnings Per Share - WAD</v>
          </cell>
          <cell r="B58"/>
          <cell r="C58">
            <v>0.10438571636193503</v>
          </cell>
          <cell r="D58">
            <v>0.22733050363971913</v>
          </cell>
          <cell r="E58">
            <v>0.28516638065912475</v>
          </cell>
          <cell r="F58">
            <v>5.3476366612487565E-2</v>
          </cell>
          <cell r="G58">
            <v>-0.13309064360100106</v>
          </cell>
          <cell r="H58">
            <v>-9.1677191825305857E-2</v>
          </cell>
          <cell r="I58">
            <v>0.4027850938856215</v>
          </cell>
          <cell r="J58">
            <v>0.31892723985793342</v>
          </cell>
          <cell r="K58">
            <v>-0.17975534120208705</v>
          </cell>
          <cell r="L58">
            <v>0.33182790405456236</v>
          </cell>
          <cell r="M58">
            <v>0.45478469020389223</v>
          </cell>
          <cell r="N58">
            <v>-0.31030531175433762</v>
          </cell>
          <cell r="O58">
            <v>-0.34175277204293997</v>
          </cell>
          <cell r="P58">
            <v>0.22658707085893595</v>
          </cell>
          <cell r="Q58">
            <v>0.36597556950893512</v>
          </cell>
          <cell r="R58">
            <v>-2.6446903925797089E-2</v>
          </cell>
          <cell r="S58">
            <v>-0.36461444849000468</v>
          </cell>
          <cell r="T58">
            <v>0.29871350155289</v>
          </cell>
          <cell r="U58">
            <v>0.23176796596491811</v>
          </cell>
          <cell r="V58">
            <v>-0.16727166218338424</v>
          </cell>
          <cell r="W58">
            <v>-0.20599275261446603</v>
          </cell>
          <cell r="X58">
            <v>0.32588872145072612</v>
          </cell>
          <cell r="Y58">
            <v>0.32060871599937857</v>
          </cell>
          <cell r="Z58">
            <v>0.23381182083225416</v>
          </cell>
          <cell r="AA58">
            <v>-0.21548601345645427</v>
          </cell>
          <cell r="AB58">
            <v>0.58801852734489524</v>
          </cell>
          <cell r="AC58">
            <v>0.44216839938703839</v>
          </cell>
          <cell r="AD58">
            <v>7.9607363141094137E-2</v>
          </cell>
          <cell r="AE58">
            <v>-0.24765480697089534</v>
          </cell>
          <cell r="AF58">
            <v>0.51518573366298559</v>
          </cell>
          <cell r="AG58">
            <v>0.21918481576532253</v>
          </cell>
          <cell r="AH58">
            <v>0.11873647483940945</v>
          </cell>
          <cell r="AI58">
            <v>0.30021564755906005</v>
          </cell>
          <cell r="AJ58">
            <v>0.59609621573422888</v>
          </cell>
          <cell r="AK58">
            <v>0.57060948812114531</v>
          </cell>
          <cell r="AL58">
            <v>0.24839276626302365</v>
          </cell>
          <cell r="AM58">
            <v>-0.14504771880101985</v>
          </cell>
          <cell r="AN58">
            <v>1.0009675336356816</v>
          </cell>
          <cell r="AO58">
            <v>1.0185816693461618</v>
          </cell>
          <cell r="AP58">
            <v>0.65978132746969553</v>
          </cell>
          <cell r="AQ58">
            <v>-0.53882644778474165</v>
          </cell>
          <cell r="AR58">
            <v>1.1917315430386315</v>
          </cell>
          <cell r="AS58">
            <v>1.2984474209798222</v>
          </cell>
          <cell r="AT58">
            <v>1.0121972664466001</v>
          </cell>
          <cell r="AU58">
            <v>0.11348835110010681</v>
          </cell>
          <cell r="AV58">
            <v>1.5377407611945608</v>
          </cell>
          <cell r="AW58">
            <v>1.5962812398918167</v>
          </cell>
          <cell r="AX58">
            <v>1.4188442961553069</v>
          </cell>
          <cell r="AY58">
            <v>0.17337966294129686</v>
          </cell>
          <cell r="AZ58">
            <v>1.7225311762265112</v>
          </cell>
          <cell r="BA58">
            <v>1.793575871589149</v>
          </cell>
          <cell r="BB58">
            <v>1.6416452506594781</v>
          </cell>
          <cell r="BC58">
            <v>0.3360698942315839</v>
          </cell>
          <cell r="BD58">
            <v>1.7263512257092102</v>
          </cell>
          <cell r="BE58">
            <v>2.0096993480216145</v>
          </cell>
          <cell r="BF58">
            <v>1.7426772107314583</v>
          </cell>
          <cell r="BG58"/>
          <cell r="BH58">
            <v>0.41548619442108725</v>
          </cell>
          <cell r="BI58">
            <v>0.71160122905185785</v>
          </cell>
          <cell r="BJ58">
            <v>0.33956397571815772</v>
          </cell>
          <cell r="BK58">
            <v>0.42051205725592677</v>
          </cell>
          <cell r="BL58">
            <v>0.66959963575174108</v>
          </cell>
          <cell r="BM58">
            <v>0.49961106807771627</v>
          </cell>
          <cell r="BN58">
            <v>0.29203656835770014</v>
          </cell>
          <cell r="BO58">
            <v>0.23255880996606887</v>
          </cell>
          <cell r="BP58">
            <v>1.1417451546840948E-2</v>
          </cell>
          <cell r="BQ58">
            <v>0.67966371361559874</v>
          </cell>
          <cell r="BR58">
            <v>0.90876008675094122</v>
          </cell>
          <cell r="BS58">
            <v>0.60265757579871448</v>
          </cell>
          <cell r="BT58">
            <v>1.7065541749923199</v>
          </cell>
          <cell r="BU58">
            <v>2.5241789149701583</v>
          </cell>
          <cell r="BV58">
            <v>2.9691696154671745</v>
          </cell>
          <cell r="BW58">
            <v>4.6900409255071072</v>
          </cell>
          <cell r="BX58">
            <v>5.3313725214508336</v>
          </cell>
          <cell r="BY58">
            <v>5.8150268002702514</v>
          </cell>
          <cell r="BZ58">
            <v>6.2543381393317876</v>
          </cell>
          <cell r="CA58">
            <v>7.4591552880603311</v>
          </cell>
          <cell r="CB58">
            <v>8.3494291335733308</v>
          </cell>
          <cell r="CC58"/>
        </row>
        <row r="71">
          <cell r="A71" t="str">
            <v>Operating Cash Flow after WC</v>
          </cell>
          <cell r="B71"/>
          <cell r="C71">
            <v>-17.214000000000002</v>
          </cell>
          <cell r="D71">
            <v>49.266000000000005</v>
          </cell>
          <cell r="E71">
            <v>27.163999999999994</v>
          </cell>
          <cell r="F71">
            <v>36.076999999999998</v>
          </cell>
          <cell r="G71">
            <v>-3.9130000000000233</v>
          </cell>
          <cell r="H71">
            <v>24.465000000000003</v>
          </cell>
          <cell r="I71">
            <v>60.953999999999994</v>
          </cell>
          <cell r="J71">
            <v>41.366999999999997</v>
          </cell>
          <cell r="K71">
            <v>-27.410000000000004</v>
          </cell>
          <cell r="L71">
            <v>34.419000000000011</v>
          </cell>
          <cell r="M71">
            <v>38.730000000000004</v>
          </cell>
          <cell r="N71">
            <v>74.346000000000018</v>
          </cell>
          <cell r="O71">
            <v>-23.940999999999999</v>
          </cell>
          <cell r="P71">
            <v>36.89</v>
          </cell>
          <cell r="Q71">
            <v>48.172999999999995</v>
          </cell>
          <cell r="R71">
            <v>60.655999999999977</v>
          </cell>
          <cell r="S71">
            <v>-59.929999999999993</v>
          </cell>
          <cell r="T71">
            <v>70.180999999999983</v>
          </cell>
          <cell r="U71">
            <v>27.123999999999995</v>
          </cell>
          <cell r="V71">
            <v>51.352999999999987</v>
          </cell>
          <cell r="W71">
            <v>-60.222000000000016</v>
          </cell>
          <cell r="X71">
            <v>57.484999999999999</v>
          </cell>
          <cell r="Y71">
            <v>56.147999999999996</v>
          </cell>
          <cell r="Z71">
            <v>50.216000000000008</v>
          </cell>
          <cell r="AA71">
            <v>-49.091999999999992</v>
          </cell>
          <cell r="AB71">
            <v>73.977000000000004</v>
          </cell>
          <cell r="AC71">
            <v>48.411000000000001</v>
          </cell>
          <cell r="AD71">
            <v>68.31</v>
          </cell>
          <cell r="AE71">
            <v>-86.813999999999993</v>
          </cell>
          <cell r="AF71">
            <v>65.549000000000007</v>
          </cell>
          <cell r="AG71">
            <v>24.290000000000006</v>
          </cell>
          <cell r="AH71">
            <v>77.39</v>
          </cell>
          <cell r="AI71">
            <v>-114.533</v>
          </cell>
          <cell r="AJ71">
            <v>34.575999999999993</v>
          </cell>
          <cell r="AK71">
            <v>91.079000000000022</v>
          </cell>
          <cell r="AL71">
            <v>123.02799999999999</v>
          </cell>
          <cell r="AM71">
            <v>-131.51</v>
          </cell>
          <cell r="AN71">
            <v>119.84200000000001</v>
          </cell>
          <cell r="AO71">
            <v>93.070999999999984</v>
          </cell>
          <cell r="AP71">
            <v>125.48099999999999</v>
          </cell>
          <cell r="AQ71">
            <v>-143.14599999999999</v>
          </cell>
          <cell r="AR71">
            <v>164.32800000000003</v>
          </cell>
          <cell r="AS71">
            <v>85.038000000000011</v>
          </cell>
          <cell r="AT71">
            <v>96.93</v>
          </cell>
          <cell r="AU71">
            <v>-135.30500000000004</v>
          </cell>
          <cell r="AV71">
            <v>173.334</v>
          </cell>
          <cell r="AW71">
            <v>68.566000000000003</v>
          </cell>
          <cell r="AX71">
            <v>172.202</v>
          </cell>
          <cell r="AY71">
            <v>-93.942129186407158</v>
          </cell>
          <cell r="AZ71">
            <v>184.75308470770042</v>
          </cell>
          <cell r="BA71">
            <v>81.507254317960303</v>
          </cell>
          <cell r="BB71">
            <v>161.86787708983135</v>
          </cell>
          <cell r="BC71">
            <v>-101.79465566924287</v>
          </cell>
          <cell r="BD71">
            <v>190.70813286157144</v>
          </cell>
          <cell r="BE71">
            <v>88.668798361729472</v>
          </cell>
          <cell r="BF71">
            <v>170.92815749400643</v>
          </cell>
          <cell r="BG71"/>
          <cell r="BH71">
            <v>-9.355000000000004</v>
          </cell>
          <cell r="BI71">
            <v>54.68</v>
          </cell>
          <cell r="BJ71">
            <v>67.212999999999994</v>
          </cell>
          <cell r="BK71">
            <v>32.990999999999985</v>
          </cell>
          <cell r="BL71">
            <v>95.292999999999978</v>
          </cell>
          <cell r="BM71">
            <v>122.873</v>
          </cell>
          <cell r="BN71">
            <v>120.08500000000002</v>
          </cell>
          <cell r="BO71">
            <v>121.77799999999999</v>
          </cell>
          <cell r="BP71">
            <v>88.727999999999994</v>
          </cell>
          <cell r="BQ71">
            <v>103.627</v>
          </cell>
          <cell r="BR71">
            <v>141.60599999999999</v>
          </cell>
          <cell r="BS71">
            <v>80.414999999999992</v>
          </cell>
          <cell r="BT71">
            <v>134.15</v>
          </cell>
          <cell r="BU71">
            <v>206.88399999999996</v>
          </cell>
          <cell r="BV71">
            <v>203.15000000000003</v>
          </cell>
          <cell r="BW71">
            <v>278.79699999999991</v>
          </cell>
          <cell r="BX71">
            <v>334.18608692908487</v>
          </cell>
          <cell r="BY71">
            <v>348.5104330480645</v>
          </cell>
          <cell r="BZ71">
            <v>350.99980823826127</v>
          </cell>
          <cell r="CA71">
            <v>391.82563594290383</v>
          </cell>
          <cell r="CB71">
            <v>435.43093615113713</v>
          </cell>
          <cell r="CC71"/>
        </row>
        <row r="73">
          <cell r="A73" t="str">
            <v>Core FCF, Pre Div</v>
          </cell>
          <cell r="B73"/>
          <cell r="C73">
            <v>-32.457999999999998</v>
          </cell>
          <cell r="D73">
            <v>38.725000000000009</v>
          </cell>
          <cell r="E73">
            <v>16.219999999999992</v>
          </cell>
          <cell r="F73">
            <v>22.460999999999999</v>
          </cell>
          <cell r="G73">
            <v>-16.515000000000022</v>
          </cell>
          <cell r="H73">
            <v>13.457000000000004</v>
          </cell>
          <cell r="I73">
            <v>48.43099999999999</v>
          </cell>
          <cell r="J73">
            <v>28.130999999999997</v>
          </cell>
          <cell r="K73">
            <v>-46.004000000000005</v>
          </cell>
          <cell r="L73">
            <v>21.966000000000012</v>
          </cell>
          <cell r="M73">
            <v>24.497000000000003</v>
          </cell>
          <cell r="N73">
            <v>57.886000000000017</v>
          </cell>
          <cell r="O73">
            <v>-38.131999999999998</v>
          </cell>
          <cell r="P73">
            <v>25.265000000000001</v>
          </cell>
          <cell r="Q73">
            <v>33.003999999999991</v>
          </cell>
          <cell r="R73">
            <v>38.740999999999978</v>
          </cell>
          <cell r="S73">
            <v>-73.957999999999998</v>
          </cell>
          <cell r="T73">
            <v>60.345999999999982</v>
          </cell>
          <cell r="U73">
            <v>17.823999999999998</v>
          </cell>
          <cell r="V73">
            <v>36.291999999999987</v>
          </cell>
          <cell r="W73">
            <v>-75.744000000000014</v>
          </cell>
          <cell r="X73">
            <v>49.238</v>
          </cell>
          <cell r="Y73">
            <v>46.715000000000003</v>
          </cell>
          <cell r="Z73">
            <v>40.215000000000003</v>
          </cell>
          <cell r="AA73">
            <v>-66.831999999999994</v>
          </cell>
          <cell r="AB73">
            <v>64.441000000000003</v>
          </cell>
          <cell r="AC73">
            <v>38.963999999999999</v>
          </cell>
          <cell r="AD73">
            <v>56.626999999999995</v>
          </cell>
          <cell r="AE73">
            <v>-103.78399999999999</v>
          </cell>
          <cell r="AF73">
            <v>56.212000000000003</v>
          </cell>
          <cell r="AG73">
            <v>14.816000000000006</v>
          </cell>
          <cell r="AH73">
            <v>68.174000000000007</v>
          </cell>
          <cell r="AI73">
            <v>-127.331</v>
          </cell>
          <cell r="AJ73">
            <v>23.819999999999993</v>
          </cell>
          <cell r="AK73">
            <v>79.735000000000014</v>
          </cell>
          <cell r="AL73">
            <v>105.663</v>
          </cell>
          <cell r="AM73">
            <v>-146.85399999999998</v>
          </cell>
          <cell r="AN73">
            <v>105.69000000000001</v>
          </cell>
          <cell r="AO73">
            <v>74.634999999999991</v>
          </cell>
          <cell r="AP73">
            <v>105.78699999999999</v>
          </cell>
          <cell r="AQ73">
            <v>-159.99699999999999</v>
          </cell>
          <cell r="AR73">
            <v>147.43000000000004</v>
          </cell>
          <cell r="AS73">
            <v>69.836000000000013</v>
          </cell>
          <cell r="AT73">
            <v>79.332999999999998</v>
          </cell>
          <cell r="AU73">
            <v>-151.45400000000004</v>
          </cell>
          <cell r="AV73">
            <v>160.64699999999999</v>
          </cell>
          <cell r="AW73">
            <v>52.238</v>
          </cell>
          <cell r="AX73">
            <v>155.77699999999999</v>
          </cell>
          <cell r="AY73">
            <v>-111.94212918640716</v>
          </cell>
          <cell r="AZ73">
            <v>166.75308470770042</v>
          </cell>
          <cell r="BA73">
            <v>63.507254317960303</v>
          </cell>
          <cell r="BB73">
            <v>143.86787708983135</v>
          </cell>
          <cell r="BC73">
            <v>-119.79465566924287</v>
          </cell>
          <cell r="BD73">
            <v>172.70813286157144</v>
          </cell>
          <cell r="BE73">
            <v>70.668798361729472</v>
          </cell>
          <cell r="BF73">
            <v>152.92815749400643</v>
          </cell>
          <cell r="BG73"/>
          <cell r="BH73">
            <v>-37.225000000000001</v>
          </cell>
          <cell r="BI73">
            <v>30.419</v>
          </cell>
          <cell r="BJ73">
            <v>19.563999999999993</v>
          </cell>
          <cell r="BK73">
            <v>-15.609000000000023</v>
          </cell>
          <cell r="BL73">
            <v>44.947999999999979</v>
          </cell>
          <cell r="BM73">
            <v>73.504000000000005</v>
          </cell>
          <cell r="BN73">
            <v>58.345000000000013</v>
          </cell>
          <cell r="BO73">
            <v>58.877999999999986</v>
          </cell>
          <cell r="BP73">
            <v>40.503999999999991</v>
          </cell>
          <cell r="BQ73">
            <v>60.423999999999992</v>
          </cell>
          <cell r="BR73">
            <v>93.199999999999989</v>
          </cell>
          <cell r="BS73">
            <v>35.417999999999992</v>
          </cell>
          <cell r="BT73">
            <v>81.887</v>
          </cell>
          <cell r="BU73">
            <v>139.25799999999995</v>
          </cell>
          <cell r="BV73">
            <v>136.60200000000003</v>
          </cell>
          <cell r="BW73">
            <v>217.20799999999991</v>
          </cell>
          <cell r="BX73">
            <v>262.18608692908487</v>
          </cell>
          <cell r="BY73">
            <v>276.5104330480645</v>
          </cell>
          <cell r="BZ73">
            <v>278.99980823826127</v>
          </cell>
          <cell r="CA73">
            <v>319.82563594290383</v>
          </cell>
          <cell r="CB73">
            <v>363.43093615113713</v>
          </cell>
          <cell r="CC73"/>
        </row>
        <row r="81">
          <cell r="A81" t="str">
            <v>Change in Cash Position</v>
          </cell>
          <cell r="B81"/>
          <cell r="C81">
            <v>-36.713999999999999</v>
          </cell>
          <cell r="D81">
            <v>35.254000000000012</v>
          </cell>
          <cell r="E81">
            <v>13.775999999999993</v>
          </cell>
          <cell r="F81">
            <v>24.511999999999997</v>
          </cell>
          <cell r="G81">
            <v>-18.006000000000022</v>
          </cell>
          <cell r="H81">
            <v>-0.58499999999999519</v>
          </cell>
          <cell r="I81">
            <v>22.442999999999994</v>
          </cell>
          <cell r="J81">
            <v>10.776999999999994</v>
          </cell>
          <cell r="K81">
            <v>-86.913000000000011</v>
          </cell>
          <cell r="L81">
            <v>15.038000000000013</v>
          </cell>
          <cell r="M81">
            <v>18.616000000000007</v>
          </cell>
          <cell r="N81">
            <v>53.00200000000001</v>
          </cell>
          <cell r="O81">
            <v>-44.988</v>
          </cell>
          <cell r="P81">
            <v>20.413000000000004</v>
          </cell>
          <cell r="Q81">
            <v>28.230999999999991</v>
          </cell>
          <cell r="R81">
            <v>14.480999999999979</v>
          </cell>
          <cell r="S81">
            <v>-78.900999999999996</v>
          </cell>
          <cell r="T81">
            <v>47.057999999999986</v>
          </cell>
          <cell r="U81">
            <v>12.561999999999999</v>
          </cell>
          <cell r="V81">
            <v>36.155999999999985</v>
          </cell>
          <cell r="W81">
            <v>-83.522000000000006</v>
          </cell>
          <cell r="X81">
            <v>42.16</v>
          </cell>
          <cell r="Y81">
            <v>38.404999999999994</v>
          </cell>
          <cell r="Z81">
            <v>5.206000000000004</v>
          </cell>
          <cell r="AA81">
            <v>-88.063999999999993</v>
          </cell>
          <cell r="AB81">
            <v>60.225999999999999</v>
          </cell>
          <cell r="AC81">
            <v>30.75</v>
          </cell>
          <cell r="AD81">
            <v>48.596000000000004</v>
          </cell>
          <cell r="AE81">
            <v>-117.17699999999999</v>
          </cell>
          <cell r="AF81">
            <v>45.696999999999996</v>
          </cell>
          <cell r="AG81">
            <v>-61.607000000000028</v>
          </cell>
          <cell r="AH81">
            <v>61.765000000000001</v>
          </cell>
          <cell r="AI81">
            <v>96.485000000000014</v>
          </cell>
          <cell r="AJ81">
            <v>-50.605999999999987</v>
          </cell>
          <cell r="AK81">
            <v>70.855000000000004</v>
          </cell>
          <cell r="AL81">
            <v>56.549000000000007</v>
          </cell>
          <cell r="AM81">
            <v>-167.55799999999999</v>
          </cell>
          <cell r="AN81">
            <v>38.466999999999999</v>
          </cell>
          <cell r="AO81">
            <v>51.073</v>
          </cell>
          <cell r="AP81">
            <v>80.833999999999989</v>
          </cell>
          <cell r="AQ81">
            <v>-194.87399999999997</v>
          </cell>
          <cell r="AR81">
            <v>123.75500000000004</v>
          </cell>
          <cell r="AS81">
            <v>55.399000000000008</v>
          </cell>
          <cell r="AT81">
            <v>37.129000000000005</v>
          </cell>
          <cell r="AU81">
            <v>-156.18100000000004</v>
          </cell>
          <cell r="AV81">
            <v>99.760999999999996</v>
          </cell>
          <cell r="AW81">
            <v>22.189999999999984</v>
          </cell>
          <cell r="AX81">
            <v>124.03700000000002</v>
          </cell>
          <cell r="AY81">
            <v>-111.94212918640716</v>
          </cell>
          <cell r="AZ81">
            <v>166.75308470770042</v>
          </cell>
          <cell r="BA81">
            <v>63.507254317960303</v>
          </cell>
          <cell r="BB81">
            <v>143.86787708983135</v>
          </cell>
          <cell r="BC81">
            <v>-119.79465566924287</v>
          </cell>
          <cell r="BD81">
            <v>172.70813286157144</v>
          </cell>
          <cell r="BE81">
            <v>70.668798361729472</v>
          </cell>
          <cell r="BF81">
            <v>152.92815749400643</v>
          </cell>
          <cell r="BG81"/>
          <cell r="BH81">
            <v>-22.221</v>
          </cell>
          <cell r="BI81">
            <v>32.29</v>
          </cell>
          <cell r="BJ81">
            <v>111.348</v>
          </cell>
          <cell r="BK81">
            <v>-48.447000000000024</v>
          </cell>
          <cell r="BL81">
            <v>36.827999999999982</v>
          </cell>
          <cell r="BM81">
            <v>14.629000000000008</v>
          </cell>
          <cell r="BN81">
            <v>-0.25699999999999035</v>
          </cell>
          <cell r="BO81">
            <v>18.136999999999979</v>
          </cell>
          <cell r="BP81">
            <v>16.874999999999986</v>
          </cell>
          <cell r="BQ81">
            <v>2.2489999999999979</v>
          </cell>
          <cell r="BR81">
            <v>51.507999999999988</v>
          </cell>
          <cell r="BS81">
            <v>-71.321999999999989</v>
          </cell>
          <cell r="BT81">
            <v>173.28300000000004</v>
          </cell>
          <cell r="BU81">
            <v>2.8159999999999386</v>
          </cell>
          <cell r="BV81">
            <v>21.409000000000034</v>
          </cell>
          <cell r="BW81">
            <v>89.806999999999931</v>
          </cell>
          <cell r="BX81">
            <v>262.18608692908487</v>
          </cell>
          <cell r="BY81">
            <v>276.5104330480645</v>
          </cell>
          <cell r="BZ81">
            <v>278.99980823826127</v>
          </cell>
          <cell r="CA81">
            <v>319.82563594290383</v>
          </cell>
          <cell r="CB81">
            <v>363.43093615113713</v>
          </cell>
          <cell r="CC81"/>
        </row>
        <row r="83">
          <cell r="A83" t="str">
            <v>Operating Cash Flow Per Share</v>
          </cell>
          <cell r="B83"/>
          <cell r="C83">
            <v>-0.44389716439089649</v>
          </cell>
          <cell r="D83">
            <v>1.2675039149292002</v>
          </cell>
          <cell r="E83">
            <v>0.69591766815420641</v>
          </cell>
          <cell r="F83">
            <v>0.9139113587298533</v>
          </cell>
          <cell r="G83">
            <v>-0.10333009690688956</v>
          </cell>
          <cell r="H83">
            <v>0.61197339645460169</v>
          </cell>
          <cell r="I83">
            <v>1.5393668952726933</v>
          </cell>
          <cell r="J83">
            <v>1.0677454784075082</v>
          </cell>
          <cell r="K83">
            <v>-0.72713900565956091</v>
          </cell>
          <cell r="L83">
            <v>0.92621722728521505</v>
          </cell>
          <cell r="M83">
            <v>1.0353148211130765</v>
          </cell>
          <cell r="N83">
            <v>1.9922244134445808</v>
          </cell>
          <cell r="O83">
            <v>-0.63956094078637016</v>
          </cell>
          <cell r="P83">
            <v>0.97901113187938116</v>
          </cell>
          <cell r="Q83">
            <v>1.2352092138971433</v>
          </cell>
          <cell r="R83">
            <v>1.6319058031771361</v>
          </cell>
          <cell r="S83">
            <v>-1.5796532854771925</v>
          </cell>
          <cell r="T83">
            <v>1.7991771586408645</v>
          </cell>
          <cell r="U83">
            <v>0.68968451002001685</v>
          </cell>
          <cell r="V83">
            <v>1.32498868858604</v>
          </cell>
          <cell r="W83">
            <v>-1.5398827641445376</v>
          </cell>
          <cell r="X83">
            <v>1.4129054342405152</v>
          </cell>
          <cell r="Y83">
            <v>1.3773173822443066</v>
          </cell>
          <cell r="Z83">
            <v>1.2561350588330529</v>
          </cell>
          <cell r="AA83">
            <v>-1.2773049230384232</v>
          </cell>
          <cell r="AB83">
            <v>1.8345077006323085</v>
          </cell>
          <cell r="AC83">
            <v>1.1594526260820006</v>
          </cell>
          <cell r="AD83">
            <v>1.6394268845849234</v>
          </cell>
          <cell r="AE83">
            <v>-2.2096510187431928</v>
          </cell>
          <cell r="AF83">
            <v>1.6397936125024275</v>
          </cell>
          <cell r="AG83">
            <v>0.60817902386790956</v>
          </cell>
          <cell r="AH83">
            <v>1.8799132135477927</v>
          </cell>
          <cell r="AI83">
            <v>-2.7147164662783712</v>
          </cell>
          <cell r="AJ83">
            <v>0.84121557304708894</v>
          </cell>
          <cell r="AK83">
            <v>2.1846459106555889</v>
          </cell>
          <cell r="AL83">
            <v>2.9117927820683285</v>
          </cell>
          <cell r="AM83">
            <v>-3.2424316674353397</v>
          </cell>
          <cell r="AN83">
            <v>2.855869706836665</v>
          </cell>
          <cell r="AO83">
            <v>2.2088216069273896</v>
          </cell>
          <cell r="AP83">
            <v>2.9473129495274097</v>
          </cell>
          <cell r="AQ83">
            <v>-3.4020311703684998</v>
          </cell>
          <cell r="AR83">
            <v>3.8622396411488444</v>
          </cell>
          <cell r="AS83">
            <v>1.9908653093159661</v>
          </cell>
          <cell r="AT83">
            <v>2.2621110632820494</v>
          </cell>
          <cell r="AU83">
            <v>-3.1479174550225641</v>
          </cell>
          <cell r="AV83">
            <v>3.9880118065248977</v>
          </cell>
          <cell r="AW83">
            <v>1.5706031181486115</v>
          </cell>
          <cell r="AX83">
            <v>3.8916859209094308</v>
          </cell>
          <cell r="AY83">
            <v>-2.1350078796485548</v>
          </cell>
          <cell r="AZ83">
            <v>4.1983870997574861</v>
          </cell>
          <cell r="BA83">
            <v>1.852011235036539</v>
          </cell>
          <cell r="BB83">
            <v>3.6776009001280481</v>
          </cell>
          <cell r="BC83">
            <v>-2.312519888311074</v>
          </cell>
          <cell r="BD83">
            <v>4.3319784322725097</v>
          </cell>
          <cell r="BE83">
            <v>2.0139304447274671</v>
          </cell>
          <cell r="BF83">
            <v>3.8818953938471239</v>
          </cell>
          <cell r="BG83"/>
          <cell r="BH83">
            <v>-0.31562105958662462</v>
          </cell>
          <cell r="BI83">
            <v>1.8076820071802795</v>
          </cell>
          <cell r="BJ83">
            <v>1.9405759289128981</v>
          </cell>
          <cell r="BK83">
            <v>0.85158144257137447</v>
          </cell>
          <cell r="BL83">
            <v>2.442324048445633</v>
          </cell>
          <cell r="BM83">
            <v>3.1320770799955828</v>
          </cell>
          <cell r="BN83">
            <v>3.1915918557730585</v>
          </cell>
          <cell r="BO83">
            <v>3.1345375495348975</v>
          </cell>
          <cell r="BP83">
            <v>2.2462253677343424</v>
          </cell>
          <cell r="BQ83">
            <v>2.5500185246503841</v>
          </cell>
          <cell r="BR83">
            <v>3.4584611476915259</v>
          </cell>
          <cell r="BS83">
            <v>1.9775854467417535</v>
          </cell>
          <cell r="BT83">
            <v>3.2040733170315305</v>
          </cell>
          <cell r="BU83">
            <v>4.8745657672424763</v>
          </cell>
          <cell r="BV83">
            <v>4.7544815230292912</v>
          </cell>
          <cell r="BW83">
            <v>6.4039089439796859</v>
          </cell>
          <cell r="BX83">
            <v>7.5937965133634506</v>
          </cell>
          <cell r="BY83">
            <v>7.916102999495588</v>
          </cell>
          <cell r="BZ83">
            <v>7.9694533516437689</v>
          </cell>
          <cell r="CA83">
            <v>8.8928469455950996</v>
          </cell>
          <cell r="CB83">
            <v>9.8785583344848824</v>
          </cell>
          <cell r="CC83"/>
        </row>
        <row r="93">
          <cell r="A93" t="str">
            <v>LTM EBITDA</v>
          </cell>
          <cell r="B93"/>
          <cell r="C93"/>
          <cell r="D93"/>
          <cell r="E93"/>
          <cell r="F93">
            <v>125.81699999999996</v>
          </cell>
          <cell r="G93">
            <v>110.78899999999999</v>
          </cell>
          <cell r="H93">
            <v>109.52200000000002</v>
          </cell>
          <cell r="I93">
            <v>119.22600000000001</v>
          </cell>
          <cell r="J93">
            <v>131.95099999999999</v>
          </cell>
          <cell r="K93">
            <v>127.67999999999992</v>
          </cell>
          <cell r="L93">
            <v>136.4319999999999</v>
          </cell>
          <cell r="M93">
            <v>136.73699999999991</v>
          </cell>
          <cell r="N93">
            <v>123.52700000000007</v>
          </cell>
          <cell r="O93">
            <v>116.32800000000012</v>
          </cell>
          <cell r="P93">
            <v>109.5810000000001</v>
          </cell>
          <cell r="Q93">
            <v>100.82400000000013</v>
          </cell>
          <cell r="R93">
            <v>100.75499999999998</v>
          </cell>
          <cell r="S93">
            <v>99.763999999999982</v>
          </cell>
          <cell r="T93">
            <v>105.22900000000001</v>
          </cell>
          <cell r="U93">
            <v>102.26799999999999</v>
          </cell>
          <cell r="V93">
            <v>110.00699999999998</v>
          </cell>
          <cell r="W93">
            <v>116.25499999999997</v>
          </cell>
          <cell r="X93">
            <v>114.11999999999996</v>
          </cell>
          <cell r="Y93">
            <v>118.842</v>
          </cell>
          <cell r="Z93">
            <v>121.62199999999997</v>
          </cell>
          <cell r="AA93">
            <v>124.45199999999994</v>
          </cell>
          <cell r="AB93">
            <v>140.11099999999993</v>
          </cell>
          <cell r="AC93">
            <v>141.66599999999994</v>
          </cell>
          <cell r="AD93">
            <v>133.56199999999998</v>
          </cell>
          <cell r="AE93">
            <v>128.05899999999997</v>
          </cell>
          <cell r="AF93">
            <v>126.631</v>
          </cell>
          <cell r="AG93">
            <v>121.37499999999999</v>
          </cell>
          <cell r="AH93">
            <v>128.15700000000015</v>
          </cell>
          <cell r="AI93">
            <v>164.11100000000016</v>
          </cell>
          <cell r="AJ93">
            <v>181.08600000000013</v>
          </cell>
          <cell r="AK93">
            <v>217.09400000000011</v>
          </cell>
          <cell r="AL93">
            <v>239.86599999999999</v>
          </cell>
          <cell r="AM93">
            <v>226.08799999999999</v>
          </cell>
          <cell r="AN93">
            <v>238.09800000000007</v>
          </cell>
          <cell r="AO93">
            <v>253.39800000000005</v>
          </cell>
          <cell r="AP93">
            <v>273.11200000000002</v>
          </cell>
          <cell r="AQ93">
            <v>250.69800000000001</v>
          </cell>
          <cell r="AR93">
            <v>268.47800000000001</v>
          </cell>
          <cell r="AS93">
            <v>282.05700000000002</v>
          </cell>
          <cell r="AT93">
            <v>296.17700000000008</v>
          </cell>
          <cell r="AU93">
            <v>332.89800000000002</v>
          </cell>
          <cell r="AV93">
            <v>350.76899999999995</v>
          </cell>
          <cell r="AW93">
            <v>367.42999999999995</v>
          </cell>
          <cell r="AX93">
            <v>390.74500000000006</v>
          </cell>
          <cell r="AY93">
            <v>396.16319581983578</v>
          </cell>
          <cell r="AZ93">
            <v>410.65409099708927</v>
          </cell>
          <cell r="BA93">
            <v>423.27126139980203</v>
          </cell>
          <cell r="BB93">
            <v>434.53382403703466</v>
          </cell>
          <cell r="BC93">
            <v>438.80489472393538</v>
          </cell>
          <cell r="BD93">
            <v>435.84539868754825</v>
          </cell>
          <cell r="BE93">
            <v>446.03299133826715</v>
          </cell>
          <cell r="BF93">
            <v>450.07022429208666</v>
          </cell>
          <cell r="BG93"/>
          <cell r="BH93">
            <v>45.96399999999997</v>
          </cell>
          <cell r="BI93">
            <v>67.162000000000035</v>
          </cell>
          <cell r="BJ93">
            <v>76.613999999999976</v>
          </cell>
          <cell r="BK93">
            <v>97.080000000000013</v>
          </cell>
          <cell r="BL93">
            <v>125.81700000000001</v>
          </cell>
          <cell r="BM93">
            <v>131.95099999999994</v>
          </cell>
          <cell r="BN93">
            <v>123.52700000000002</v>
          </cell>
          <cell r="BO93">
            <v>100.75500000000004</v>
          </cell>
          <cell r="BP93">
            <v>110.00699999999996</v>
          </cell>
          <cell r="BQ93">
            <v>121.62200000000001</v>
          </cell>
          <cell r="BR93">
            <v>133.56199999999995</v>
          </cell>
          <cell r="BS93">
            <v>128.1570000000001</v>
          </cell>
          <cell r="BT93">
            <v>239.86599999999996</v>
          </cell>
          <cell r="BU93">
            <v>273.11199999999997</v>
          </cell>
          <cell r="BV93">
            <v>296.17699999999991</v>
          </cell>
          <cell r="BW93">
            <v>390.745</v>
          </cell>
          <cell r="BX93">
            <v>434.53382403703472</v>
          </cell>
          <cell r="BY93">
            <v>450.07022429208666</v>
          </cell>
          <cell r="BZ93">
            <v>480.92759413502267</v>
          </cell>
          <cell r="CA93">
            <v>542.95204147643358</v>
          </cell>
          <cell r="CB93">
            <v>589.11463131508901</v>
          </cell>
          <cell r="CC93"/>
        </row>
        <row r="94">
          <cell r="A94" t="str">
            <v>LTM Cash Flow</v>
          </cell>
          <cell r="B94"/>
          <cell r="C94"/>
          <cell r="D94"/>
          <cell r="E94"/>
          <cell r="F94">
            <v>95.293000000000006</v>
          </cell>
          <cell r="G94">
            <v>108.59399999999997</v>
          </cell>
          <cell r="H94">
            <v>83.792999999999978</v>
          </cell>
          <cell r="I94">
            <v>117.58299999999997</v>
          </cell>
          <cell r="J94">
            <v>122.87299999999998</v>
          </cell>
          <cell r="K94">
            <v>99.375999999999991</v>
          </cell>
          <cell r="L94">
            <v>109.33</v>
          </cell>
          <cell r="M94">
            <v>87.106000000000009</v>
          </cell>
          <cell r="N94">
            <v>120.08500000000004</v>
          </cell>
          <cell r="O94">
            <v>123.55400000000003</v>
          </cell>
          <cell r="P94">
            <v>126.02500000000002</v>
          </cell>
          <cell r="Q94">
            <v>135.46800000000002</v>
          </cell>
          <cell r="R94">
            <v>121.77799999999999</v>
          </cell>
          <cell r="S94">
            <v>85.788999999999987</v>
          </cell>
          <cell r="T94">
            <v>119.07999999999996</v>
          </cell>
          <cell r="U94">
            <v>98.030999999999963</v>
          </cell>
          <cell r="V94">
            <v>88.727999999999966</v>
          </cell>
          <cell r="W94">
            <v>88.43599999999995</v>
          </cell>
          <cell r="X94">
            <v>75.739999999999966</v>
          </cell>
          <cell r="Y94">
            <v>104.76399999999997</v>
          </cell>
          <cell r="Z94">
            <v>103.62699999999998</v>
          </cell>
          <cell r="AA94">
            <v>114.75700000000001</v>
          </cell>
          <cell r="AB94">
            <v>131.24900000000002</v>
          </cell>
          <cell r="AC94">
            <v>123.51200000000003</v>
          </cell>
          <cell r="AD94">
            <v>141.60600000000002</v>
          </cell>
          <cell r="AE94">
            <v>103.88400000000001</v>
          </cell>
          <cell r="AF94">
            <v>95.456000000000017</v>
          </cell>
          <cell r="AG94">
            <v>71.335000000000022</v>
          </cell>
          <cell r="AH94">
            <v>80.41500000000002</v>
          </cell>
          <cell r="AI94">
            <v>52.696000000000012</v>
          </cell>
          <cell r="AJ94">
            <v>21.722999999999999</v>
          </cell>
          <cell r="AK94">
            <v>88.512000000000015</v>
          </cell>
          <cell r="AL94">
            <v>134.15000000000003</v>
          </cell>
          <cell r="AM94">
            <v>117.17300000000002</v>
          </cell>
          <cell r="AN94">
            <v>202.43900000000002</v>
          </cell>
          <cell r="AO94">
            <v>204.43100000000001</v>
          </cell>
          <cell r="AP94">
            <v>206.88400000000001</v>
          </cell>
          <cell r="AQ94">
            <v>195.24799999999999</v>
          </cell>
          <cell r="AR94">
            <v>239.73400000000004</v>
          </cell>
          <cell r="AS94">
            <v>231.70100000000005</v>
          </cell>
          <cell r="AT94">
            <v>203.15000000000006</v>
          </cell>
          <cell r="AU94">
            <v>210.99100000000001</v>
          </cell>
          <cell r="AV94">
            <v>219.99699999999999</v>
          </cell>
          <cell r="AW94">
            <v>203.52499999999998</v>
          </cell>
          <cell r="AX94">
            <v>278.79699999999991</v>
          </cell>
          <cell r="AY94">
            <v>320.15987081359287</v>
          </cell>
          <cell r="AZ94">
            <v>331.57895552129332</v>
          </cell>
          <cell r="BA94">
            <v>344.5202098392536</v>
          </cell>
          <cell r="BB94">
            <v>334.18608692908492</v>
          </cell>
          <cell r="BC94">
            <v>326.33356044624918</v>
          </cell>
          <cell r="BD94">
            <v>332.28860860012026</v>
          </cell>
          <cell r="BE94">
            <v>339.4501526438894</v>
          </cell>
          <cell r="BF94">
            <v>348.51043304806456</v>
          </cell>
          <cell r="BG94"/>
          <cell r="BH94">
            <v>-9.355000000000004</v>
          </cell>
          <cell r="BI94">
            <v>54.68</v>
          </cell>
          <cell r="BJ94">
            <v>67.212999999999994</v>
          </cell>
          <cell r="BK94">
            <v>32.990999999999985</v>
          </cell>
          <cell r="BL94">
            <v>95.292999999999978</v>
          </cell>
          <cell r="BM94">
            <v>122.873</v>
          </cell>
          <cell r="BN94">
            <v>120.08500000000002</v>
          </cell>
          <cell r="BO94">
            <v>121.77799999999999</v>
          </cell>
          <cell r="BP94">
            <v>88.727999999999994</v>
          </cell>
          <cell r="BQ94">
            <v>103.627</v>
          </cell>
          <cell r="BR94">
            <v>141.60599999999999</v>
          </cell>
          <cell r="BS94">
            <v>80.414999999999992</v>
          </cell>
          <cell r="BT94">
            <v>134.15</v>
          </cell>
          <cell r="BU94">
            <v>206.88399999999996</v>
          </cell>
          <cell r="BV94">
            <v>203.15000000000003</v>
          </cell>
          <cell r="BW94">
            <v>278.79699999999991</v>
          </cell>
          <cell r="BX94">
            <v>334.18608692908487</v>
          </cell>
          <cell r="BY94">
            <v>348.5104330480645</v>
          </cell>
          <cell r="BZ94">
            <v>350.99980823826127</v>
          </cell>
          <cell r="CA94">
            <v>391.82563594290383</v>
          </cell>
          <cell r="CB94">
            <v>435.43093615113713</v>
          </cell>
          <cell r="CC94"/>
        </row>
        <row r="100">
          <cell r="A100" t="str">
            <v>Average Shareholder's Equity</v>
          </cell>
          <cell r="B100"/>
          <cell r="C100"/>
          <cell r="D100"/>
          <cell r="E100"/>
          <cell r="F100">
            <v>505.11275000000006</v>
          </cell>
          <cell r="G100">
            <v>518.56275000000005</v>
          </cell>
          <cell r="H100">
            <v>527.39750000000004</v>
          </cell>
          <cell r="I100">
            <v>531.47</v>
          </cell>
          <cell r="J100">
            <v>531.16200000000003</v>
          </cell>
          <cell r="K100">
            <v>521.96175000000005</v>
          </cell>
          <cell r="L100">
            <v>517.73675000000003</v>
          </cell>
          <cell r="M100">
            <v>518.82825000000003</v>
          </cell>
          <cell r="N100">
            <v>520.83024999999998</v>
          </cell>
          <cell r="O100">
            <v>527.29575</v>
          </cell>
          <cell r="P100">
            <v>532.67499999999995</v>
          </cell>
          <cell r="Q100">
            <v>537.10900000000004</v>
          </cell>
          <cell r="R100">
            <v>542.55449999999996</v>
          </cell>
          <cell r="S100">
            <v>547.48050000000001</v>
          </cell>
          <cell r="T100">
            <v>553.56650000000002</v>
          </cell>
          <cell r="U100">
            <v>558.52299999999991</v>
          </cell>
          <cell r="V100">
            <v>562.42950000000008</v>
          </cell>
          <cell r="W100">
            <v>568.2115</v>
          </cell>
          <cell r="X100">
            <v>574.76024999999993</v>
          </cell>
          <cell r="Y100">
            <v>581.62299999999993</v>
          </cell>
          <cell r="Z100">
            <v>584.83375000000001</v>
          </cell>
          <cell r="AA100">
            <v>587.03975000000003</v>
          </cell>
          <cell r="AB100">
            <v>591.56825000000003</v>
          </cell>
          <cell r="AC100">
            <v>597.89525000000003</v>
          </cell>
          <cell r="AD100">
            <v>609.43925000000013</v>
          </cell>
          <cell r="AE100">
            <v>621.69325000000003</v>
          </cell>
          <cell r="AF100">
            <v>633.47825000000012</v>
          </cell>
          <cell r="AG100">
            <v>643.4502500000001</v>
          </cell>
          <cell r="AH100">
            <v>653.94124999999997</v>
          </cell>
          <cell r="AI100">
            <v>677.51850000000002</v>
          </cell>
          <cell r="AJ100">
            <v>702.85174999999981</v>
          </cell>
          <cell r="AK100">
            <v>733.3895</v>
          </cell>
          <cell r="AL100">
            <v>765.71924999999987</v>
          </cell>
          <cell r="AM100">
            <v>765.94049999999993</v>
          </cell>
          <cell r="AN100">
            <v>761.39150000000006</v>
          </cell>
          <cell r="AO100">
            <v>759.83924999999999</v>
          </cell>
          <cell r="AP100">
            <v>761.8225000000001</v>
          </cell>
          <cell r="AQ100">
            <v>778.55175000000008</v>
          </cell>
          <cell r="AR100">
            <v>805.46825000000013</v>
          </cell>
          <cell r="AS100">
            <v>835.16600000000017</v>
          </cell>
          <cell r="AT100">
            <v>868.8447500000002</v>
          </cell>
          <cell r="AU100">
            <v>911.76224999999999</v>
          </cell>
          <cell r="AV100">
            <v>959.45699999999999</v>
          </cell>
          <cell r="AW100">
            <v>1010.4185</v>
          </cell>
          <cell r="AX100">
            <v>1067.6007500000001</v>
          </cell>
          <cell r="AY100">
            <v>1125.8909624802893</v>
          </cell>
          <cell r="AZ100">
            <v>1186.5852349695947</v>
          </cell>
          <cell r="BA100">
            <v>1251.13113405999</v>
          </cell>
          <cell r="BB100">
            <v>1317.2865944008599</v>
          </cell>
          <cell r="BC100">
            <v>1385.2332017152364</v>
          </cell>
          <cell r="BD100">
            <v>1453.2294331191592</v>
          </cell>
          <cell r="BE100">
            <v>1523.6124161100156</v>
          </cell>
          <cell r="BF100">
            <v>1595.1147891361566</v>
          </cell>
          <cell r="BG100"/>
          <cell r="BH100">
            <v>182.28599999999997</v>
          </cell>
          <cell r="BI100">
            <v>202.06849999999997</v>
          </cell>
          <cell r="BJ100">
            <v>335.23600000000005</v>
          </cell>
          <cell r="BK100">
            <v>461.05750000000006</v>
          </cell>
          <cell r="BL100">
            <v>501.82800000000003</v>
          </cell>
          <cell r="BM100">
            <v>529.54600000000005</v>
          </cell>
          <cell r="BN100">
            <v>532.93399999999997</v>
          </cell>
          <cell r="BO100">
            <v>547.82899999999995</v>
          </cell>
          <cell r="BP100">
            <v>566.53300000000013</v>
          </cell>
          <cell r="BQ100">
            <v>580.76750000000015</v>
          </cell>
          <cell r="BR100">
            <v>610.27700000000004</v>
          </cell>
          <cell r="BS100">
            <v>654.34699999999998</v>
          </cell>
          <cell r="BT100">
            <v>739.98849999999993</v>
          </cell>
          <cell r="BU100">
            <v>808.61449999999991</v>
          </cell>
          <cell r="BV100">
            <v>879.93849999999998</v>
          </cell>
          <cell r="BW100">
            <v>1061.6605</v>
          </cell>
          <cell r="BX100">
            <v>1308.3359206817399</v>
          </cell>
          <cell r="BY100">
            <v>1583.6515874157622</v>
          </cell>
          <cell r="BZ100">
            <v>1879.3867015810538</v>
          </cell>
          <cell r="CA100">
            <v>2211.4451123457366</v>
          </cell>
          <cell r="CB100">
            <v>2589.7878472662183</v>
          </cell>
          <cell r="CC100"/>
        </row>
        <row r="105">
          <cell r="A105" t="str">
            <v>Average Total Assets</v>
          </cell>
          <cell r="B105"/>
          <cell r="C105"/>
          <cell r="D105"/>
          <cell r="E105"/>
          <cell r="F105">
            <v>724.25525000000005</v>
          </cell>
          <cell r="G105">
            <v>743.95500000000004</v>
          </cell>
          <cell r="H105">
            <v>751.4994999999999</v>
          </cell>
          <cell r="I105">
            <v>750.83375000000001</v>
          </cell>
          <cell r="J105">
            <v>749.02650000000006</v>
          </cell>
          <cell r="K105">
            <v>732.25650000000007</v>
          </cell>
          <cell r="L105">
            <v>723.85524999999996</v>
          </cell>
          <cell r="M105">
            <v>725.46724999999992</v>
          </cell>
          <cell r="N105">
            <v>724.70024999999998</v>
          </cell>
          <cell r="O105">
            <v>726.24874999999997</v>
          </cell>
          <cell r="P105">
            <v>726.17600000000004</v>
          </cell>
          <cell r="Q105">
            <v>723.72675000000004</v>
          </cell>
          <cell r="R105">
            <v>730.09075000000007</v>
          </cell>
          <cell r="S105">
            <v>735.97924999999998</v>
          </cell>
          <cell r="T105">
            <v>741.60349999999994</v>
          </cell>
          <cell r="U105">
            <v>744.48099999999999</v>
          </cell>
          <cell r="V105">
            <v>744.78825000000006</v>
          </cell>
          <cell r="W105">
            <v>745.1567500000001</v>
          </cell>
          <cell r="X105">
            <v>747.94875000000002</v>
          </cell>
          <cell r="Y105">
            <v>751.87575000000004</v>
          </cell>
          <cell r="Z105">
            <v>753.54549999999995</v>
          </cell>
          <cell r="AA105">
            <v>759.13625000000002</v>
          </cell>
          <cell r="AB105">
            <v>767.89799999999991</v>
          </cell>
          <cell r="AC105">
            <v>779.86950000000002</v>
          </cell>
          <cell r="AD105">
            <v>799.28025000000002</v>
          </cell>
          <cell r="AE105">
            <v>806.45400000000006</v>
          </cell>
          <cell r="AF105">
            <v>817.26575000000003</v>
          </cell>
          <cell r="AG105">
            <v>874.0145</v>
          </cell>
          <cell r="AH105">
            <v>937.42875000000004</v>
          </cell>
          <cell r="AI105">
            <v>1085.1735000000001</v>
          </cell>
          <cell r="AJ105">
            <v>1246.4245000000001</v>
          </cell>
          <cell r="AK105">
            <v>1370.96525</v>
          </cell>
          <cell r="AL105">
            <v>1496.9737500000001</v>
          </cell>
          <cell r="AM105">
            <v>1538.4459999999999</v>
          </cell>
          <cell r="AN105">
            <v>1551.8937500000002</v>
          </cell>
          <cell r="AO105">
            <v>1561.9847500000001</v>
          </cell>
          <cell r="AP105">
            <v>1578.54675</v>
          </cell>
          <cell r="AQ105">
            <v>1591.48</v>
          </cell>
          <cell r="AR105">
            <v>1614.8664999999999</v>
          </cell>
          <cell r="AS105">
            <v>1646.1954999999998</v>
          </cell>
          <cell r="AT105">
            <v>1675.4757500000001</v>
          </cell>
          <cell r="AU105">
            <v>1711.8624999999997</v>
          </cell>
          <cell r="AV105">
            <v>1752.5887499999999</v>
          </cell>
          <cell r="AW105">
            <v>1800.68</v>
          </cell>
          <cell r="AX105">
            <v>1840.6297500000001</v>
          </cell>
          <cell r="AY105">
            <v>1900.9322499419284</v>
          </cell>
          <cell r="AZ105">
            <v>1963.7701456258085</v>
          </cell>
          <cell r="BA105">
            <v>2032.6236726211787</v>
          </cell>
          <cell r="BB105">
            <v>2104.5777239004665</v>
          </cell>
          <cell r="BC105">
            <v>2179.633066092159</v>
          </cell>
          <cell r="BD105">
            <v>2252.9497886953236</v>
          </cell>
          <cell r="BE105">
            <v>2329.1838631407427</v>
          </cell>
          <cell r="BF105">
            <v>2405.3828180735859</v>
          </cell>
          <cell r="BG105"/>
          <cell r="BH105">
            <v>240.67599999999999</v>
          </cell>
          <cell r="BI105">
            <v>274.279</v>
          </cell>
          <cell r="BJ105">
            <v>444.98849999999993</v>
          </cell>
          <cell r="BK105">
            <v>615.46499999999992</v>
          </cell>
          <cell r="BL105">
            <v>683.86549999999988</v>
          </cell>
          <cell r="BM105">
            <v>715.28149999999994</v>
          </cell>
          <cell r="BN105">
            <v>710.13300000000004</v>
          </cell>
          <cell r="BO105">
            <v>721.327</v>
          </cell>
          <cell r="BP105">
            <v>734.66949999999997</v>
          </cell>
          <cell r="BQ105">
            <v>738.62349999999992</v>
          </cell>
          <cell r="BR105">
            <v>780.78449999999998</v>
          </cell>
          <cell r="BS105">
            <v>946.43449999999996</v>
          </cell>
          <cell r="BT105">
            <v>1325.28</v>
          </cell>
          <cell r="BU105">
            <v>1610.421</v>
          </cell>
          <cell r="BV105">
            <v>1702.1055000000001</v>
          </cell>
          <cell r="BW105">
            <v>1840.5655000000002</v>
          </cell>
          <cell r="BX105">
            <v>2064.3731025585753</v>
          </cell>
          <cell r="BY105">
            <v>2360.6791149828359</v>
          </cell>
          <cell r="BZ105">
            <v>2682.6910822451555</v>
          </cell>
          <cell r="CA105">
            <v>3052.267024798261</v>
          </cell>
          <cell r="CB105">
            <v>3471.0289748934092</v>
          </cell>
          <cell r="CC105"/>
        </row>
        <row r="108">
          <cell r="A108" t="str">
            <v>Average Book Value of Debt</v>
          </cell>
          <cell r="B108"/>
          <cell r="C108"/>
          <cell r="D108"/>
          <cell r="E108"/>
          <cell r="F108">
            <v>40.390999999999998</v>
          </cell>
          <cell r="G108">
            <v>39.977500000000006</v>
          </cell>
          <cell r="H108">
            <v>40</v>
          </cell>
          <cell r="I108">
            <v>38.947000000000003</v>
          </cell>
          <cell r="J108">
            <v>39.208750000000009</v>
          </cell>
          <cell r="K108">
            <v>37.874000000000002</v>
          </cell>
          <cell r="L108">
            <v>35.5535</v>
          </cell>
          <cell r="M108">
            <v>34.225749999999991</v>
          </cell>
          <cell r="N108">
            <v>32.405249999999995</v>
          </cell>
          <cell r="O108">
            <v>30.40475</v>
          </cell>
          <cell r="P108">
            <v>28.420750000000002</v>
          </cell>
          <cell r="Q108">
            <v>26.125500000000002</v>
          </cell>
          <cell r="R108">
            <v>24.494250000000001</v>
          </cell>
          <cell r="S108">
            <v>24.606250000000003</v>
          </cell>
          <cell r="T108">
            <v>24.819750000000006</v>
          </cell>
          <cell r="U108">
            <v>25.347000000000008</v>
          </cell>
          <cell r="V108">
            <v>25.040250000000007</v>
          </cell>
          <cell r="W108">
            <v>25.424250000000004</v>
          </cell>
          <cell r="X108">
            <v>25.940500000000004</v>
          </cell>
          <cell r="Y108">
            <v>26.562500000000004</v>
          </cell>
          <cell r="Z108">
            <v>27.590750000000003</v>
          </cell>
          <cell r="AA108">
            <v>29.691750000000006</v>
          </cell>
          <cell r="AB108">
            <v>31.542750000000005</v>
          </cell>
          <cell r="AC108">
            <v>32.414500000000004</v>
          </cell>
          <cell r="AD108">
            <v>32.07200000000001</v>
          </cell>
          <cell r="AE108">
            <v>35.382250000000006</v>
          </cell>
          <cell r="AF108">
            <v>38.915500000000002</v>
          </cell>
          <cell r="AG108">
            <v>92.240499999999997</v>
          </cell>
          <cell r="AH108">
            <v>144.87125</v>
          </cell>
          <cell r="AI108">
            <v>240.35675000000003</v>
          </cell>
          <cell r="AJ108">
            <v>342.91250000000002</v>
          </cell>
          <cell r="AK108">
            <v>398.88825000000003</v>
          </cell>
          <cell r="AL108">
            <v>456.66600000000005</v>
          </cell>
          <cell r="AM108">
            <v>495.70225000000005</v>
          </cell>
          <cell r="AN108">
            <v>527.33025000000009</v>
          </cell>
          <cell r="AO108">
            <v>554.17050000000006</v>
          </cell>
          <cell r="AP108">
            <v>579.01800000000003</v>
          </cell>
          <cell r="AQ108">
            <v>574.84924999999998</v>
          </cell>
          <cell r="AR108">
            <v>569.61200000000008</v>
          </cell>
          <cell r="AS108">
            <v>564.70650000000001</v>
          </cell>
          <cell r="AT108">
            <v>559.24050000000011</v>
          </cell>
          <cell r="AU108">
            <v>553.12075000000004</v>
          </cell>
          <cell r="AV108">
            <v>547.44825000000003</v>
          </cell>
          <cell r="AW108">
            <v>542.52674999999999</v>
          </cell>
          <cell r="AX108">
            <v>538.62799999999993</v>
          </cell>
          <cell r="AY108">
            <v>533.71474999999998</v>
          </cell>
          <cell r="AZ108">
            <v>530.27299999999991</v>
          </cell>
          <cell r="BA108">
            <v>528.21299999999997</v>
          </cell>
          <cell r="BB108">
            <v>528.21299999999997</v>
          </cell>
          <cell r="BC108">
            <v>528.21299999999997</v>
          </cell>
          <cell r="BD108">
            <v>528.21299999999997</v>
          </cell>
          <cell r="BE108">
            <v>528.21299999999997</v>
          </cell>
          <cell r="BF108">
            <v>528.21299999999997</v>
          </cell>
          <cell r="BG108"/>
          <cell r="BH108">
            <v>22.402000000000001</v>
          </cell>
          <cell r="BI108">
            <v>21.507000000000005</v>
          </cell>
          <cell r="BJ108">
            <v>22.410000000000004</v>
          </cell>
          <cell r="BK108">
            <v>28.602000000000004</v>
          </cell>
          <cell r="BL108">
            <v>34.444000000000003</v>
          </cell>
          <cell r="BM108">
            <v>36.415499999999994</v>
          </cell>
          <cell r="BN108">
            <v>33.298000000000002</v>
          </cell>
          <cell r="BO108">
            <v>26.394500000000008</v>
          </cell>
          <cell r="BP108">
            <v>22.518500000000003</v>
          </cell>
          <cell r="BQ108">
            <v>23.961500000000001</v>
          </cell>
          <cell r="BR108">
            <v>25.333000000000013</v>
          </cell>
          <cell r="BS108">
            <v>129.90950000000001</v>
          </cell>
          <cell r="BT108">
            <v>350.72649999999999</v>
          </cell>
          <cell r="BU108">
            <v>515.97700000000009</v>
          </cell>
          <cell r="BV108">
            <v>554.74</v>
          </cell>
          <cell r="BW108">
            <v>536.01049999999998</v>
          </cell>
          <cell r="BX108">
            <v>528.21299999999997</v>
          </cell>
          <cell r="BY108">
            <v>528.21299999999997</v>
          </cell>
          <cell r="BZ108">
            <v>528.21299999999997</v>
          </cell>
          <cell r="CA108">
            <v>528.21299999999997</v>
          </cell>
          <cell r="CB108">
            <v>528.21299999999997</v>
          </cell>
          <cell r="CC108"/>
        </row>
        <row r="114">
          <cell r="A114" t="str">
            <v>Average Current Liabilities</v>
          </cell>
          <cell r="B114"/>
          <cell r="C114"/>
          <cell r="D114"/>
          <cell r="E114"/>
          <cell r="F114">
            <v>133.495</v>
          </cell>
          <cell r="G114">
            <v>139.03750000000002</v>
          </cell>
          <cell r="H114">
            <v>138.84225000000001</v>
          </cell>
          <cell r="I114">
            <v>137.80100000000002</v>
          </cell>
          <cell r="J114">
            <v>138.94425000000001</v>
          </cell>
          <cell r="K114">
            <v>134.61475000000002</v>
          </cell>
          <cell r="L114">
            <v>132.79399999999998</v>
          </cell>
          <cell r="M114">
            <v>133.63150000000002</v>
          </cell>
          <cell r="N114">
            <v>132.85575</v>
          </cell>
          <cell r="O114">
            <v>130.94925000000001</v>
          </cell>
          <cell r="P114">
            <v>128.11150000000001</v>
          </cell>
          <cell r="Q114">
            <v>124.47924999999999</v>
          </cell>
          <cell r="R114">
            <v>127.568</v>
          </cell>
          <cell r="S114">
            <v>127.09474999999999</v>
          </cell>
          <cell r="T114">
            <v>129.3365</v>
          </cell>
          <cell r="U114">
            <v>129.81299999999999</v>
          </cell>
          <cell r="V114">
            <v>128.49775</v>
          </cell>
          <cell r="W114">
            <v>126.48075</v>
          </cell>
          <cell r="X114">
            <v>124.55475</v>
          </cell>
          <cell r="Y114">
            <v>124.55425</v>
          </cell>
          <cell r="Z114">
            <v>124.1725</v>
          </cell>
          <cell r="AA114">
            <v>128.83099999999999</v>
          </cell>
          <cell r="AB114">
            <v>134.63024999999999</v>
          </cell>
          <cell r="AC114">
            <v>141.05074999999999</v>
          </cell>
          <cell r="AD114">
            <v>150.89150000000001</v>
          </cell>
          <cell r="AE114">
            <v>146.23599999999999</v>
          </cell>
          <cell r="AF114">
            <v>144.43699999999998</v>
          </cell>
          <cell r="AG114">
            <v>171.64449999999999</v>
          </cell>
          <cell r="AH114">
            <v>201.10174999999998</v>
          </cell>
          <cell r="AI114">
            <v>225.17474999999999</v>
          </cell>
          <cell r="AJ114">
            <v>248.90999999999997</v>
          </cell>
          <cell r="AK114">
            <v>248.20574999999997</v>
          </cell>
          <cell r="AL114">
            <v>256.41275000000002</v>
          </cell>
          <cell r="AM114">
            <v>268.57275000000004</v>
          </cell>
          <cell r="AN114">
            <v>270.96949999999998</v>
          </cell>
          <cell r="AO114">
            <v>269.81375000000003</v>
          </cell>
          <cell r="AP114">
            <v>268.77099999999996</v>
          </cell>
          <cell r="AQ114">
            <v>269.92374999999998</v>
          </cell>
          <cell r="AR114">
            <v>272.68875000000003</v>
          </cell>
          <cell r="AS114">
            <v>281.20574999999997</v>
          </cell>
          <cell r="AT114">
            <v>282.97125000000005</v>
          </cell>
          <cell r="AU114">
            <v>285.44400000000002</v>
          </cell>
          <cell r="AV114">
            <v>283.35500000000002</v>
          </cell>
          <cell r="AW114">
            <v>282.7835</v>
          </cell>
          <cell r="AX114">
            <v>266.56975</v>
          </cell>
          <cell r="AY114">
            <v>271.02094256058285</v>
          </cell>
          <cell r="AZ114">
            <v>275.00412466977207</v>
          </cell>
          <cell r="BA114">
            <v>280.49890521829428</v>
          </cell>
          <cell r="BB114">
            <v>285.52571378380571</v>
          </cell>
          <cell r="BC114">
            <v>291.83909856488037</v>
          </cell>
          <cell r="BD114">
            <v>296.36358671933345</v>
          </cell>
          <cell r="BE114">
            <v>301.38727050296421</v>
          </cell>
          <cell r="BF114">
            <v>305.24171592247978</v>
          </cell>
          <cell r="BG114"/>
          <cell r="BH114">
            <v>41.149000000000008</v>
          </cell>
          <cell r="BI114">
            <v>47.541500000000013</v>
          </cell>
          <cell r="BJ114">
            <v>68.793000000000006</v>
          </cell>
          <cell r="BK114">
            <v>90.632499999999993</v>
          </cell>
          <cell r="BL114">
            <v>103.4</v>
          </cell>
          <cell r="BM114">
            <v>111.47350000000002</v>
          </cell>
          <cell r="BN114">
            <v>112.2085</v>
          </cell>
          <cell r="BO114">
            <v>116.83449999999999</v>
          </cell>
          <cell r="BP114">
            <v>120.3815</v>
          </cell>
          <cell r="BQ114">
            <v>116.9875</v>
          </cell>
          <cell r="BR114">
            <v>135.90549999999999</v>
          </cell>
          <cell r="BS114">
            <v>214.50149999999999</v>
          </cell>
          <cell r="BT114">
            <v>289.83000000000004</v>
          </cell>
          <cell r="BU114">
            <v>304.1585</v>
          </cell>
          <cell r="BV114">
            <v>305.60399999999998</v>
          </cell>
          <cell r="BW114">
            <v>276.70749999999998</v>
          </cell>
          <cell r="BX114">
            <v>254.33361713102295</v>
          </cell>
          <cell r="BY114">
            <v>272.09612510107706</v>
          </cell>
          <cell r="BZ114">
            <v>292.96626284230018</v>
          </cell>
          <cell r="CA114">
            <v>322.32005379924493</v>
          </cell>
          <cell r="CB114">
            <v>353.32460046254664</v>
          </cell>
          <cell r="CC114"/>
        </row>
      </sheetData>
      <sheetData sheetId="4">
        <row r="7">
          <cell r="F7" t="str">
            <v>FY2024</v>
          </cell>
        </row>
      </sheetData>
    </sheetDataSet>
  </externalBook>
</externalLink>
</file>

<file path=xl/persons/person.xml><?xml version="1.0" encoding="utf-8"?>
<personList xmlns="http://schemas.microsoft.com/office/spreadsheetml/2018/threadedcomments" xmlns:x="http://schemas.openxmlformats.org/spreadsheetml/2006/main">
  <person displayName="Dan Berring" id="{30EF1CDD-D2B7-4941-9A3C-90FFE426E3BA}" userId="S::dberring@catrockcap.com::0657c977-a13c-4668-bf06-1540a84f18b4"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40" dT="2023-12-12T16:18:11.84" personId="{30EF1CDD-D2B7-4941-9A3C-90FFE426E3BA}" id="{7F143131-211E-4C0A-9846-8ADB0BE9E1AE}">
    <text>10.4 Per 10K</text>
  </threadedComment>
  <threadedComment ref="K40" dT="2023-12-12T16:18:11.84" personId="{30EF1CDD-D2B7-4941-9A3C-90FFE426E3BA}" id="{6BD2BA67-CB0C-4C57-8DBF-5B05711D04E3}">
    <text>Per 10K</text>
  </threadedComment>
  <threadedComment ref="L40" dT="2023-12-12T16:18:11.84" personId="{30EF1CDD-D2B7-4941-9A3C-90FFE426E3BA}" id="{9EC8F043-2D22-496B-9F1A-8C66A60908AB}">
    <text>Per 10K</text>
  </threadedComment>
  <threadedComment ref="M40" dT="2023-12-12T16:18:11.84" personId="{30EF1CDD-D2B7-4941-9A3C-90FFE426E3BA}" id="{3FBFB28B-5198-48A3-A24D-78E628EE0833}">
    <text>Per 10K</text>
  </threadedComment>
</ThreadedComments>
</file>

<file path=xl/threadedComments/threadedComment2.xml><?xml version="1.0" encoding="utf-8"?>
<ThreadedComments xmlns="http://schemas.microsoft.com/office/spreadsheetml/2018/threadedcomments" xmlns:x="http://schemas.openxmlformats.org/spreadsheetml/2006/main">
  <threadedComment ref="J40" dT="2023-12-12T16:18:11.84" personId="{30EF1CDD-D2B7-4941-9A3C-90FFE426E3BA}" id="{983D10C2-CD32-4BE2-BE73-3580A1DF1335}">
    <text>Per 10K</text>
  </threadedComment>
  <threadedComment ref="K40" dT="2023-12-12T16:18:11.84" personId="{30EF1CDD-D2B7-4941-9A3C-90FFE426E3BA}" id="{54C88CE6-46E7-4728-AD2F-C00081918B11}">
    <text>Per 10K</text>
  </threadedComment>
  <threadedComment ref="L40" dT="2023-12-12T16:18:11.84" personId="{30EF1CDD-D2B7-4941-9A3C-90FFE426E3BA}" id="{AF214056-ADFD-42B7-8E0E-9A5B180D7070}">
    <text>Per 10K</text>
  </threadedComment>
  <threadedComment ref="M40" dT="2023-12-12T16:18:11.84" personId="{30EF1CDD-D2B7-4941-9A3C-90FFE426E3BA}" id="{BC116439-B644-448A-AD5E-7979F4FC9233}">
    <text>Per 10K</text>
  </threadedComment>
</ThreadedComments>
</file>

<file path=xl/threadedComments/threadedComment3.xml><?xml version="1.0" encoding="utf-8"?>
<ThreadedComments xmlns="http://schemas.microsoft.com/office/spreadsheetml/2018/threadedcomments" xmlns:x="http://schemas.openxmlformats.org/spreadsheetml/2006/main">
  <threadedComment ref="J36" dT="2023-12-12T16:18:11.84" personId="{30EF1CDD-D2B7-4941-9A3C-90FFE426E3BA}" id="{E2E0050B-11D5-4E8C-87EF-148873A2DFE3}">
    <text>10M - Per 10K</text>
  </threadedComment>
  <threadedComment ref="K36" dT="2023-12-12T16:18:11.84" personId="{30EF1CDD-D2B7-4941-9A3C-90FFE426E3BA}" id="{BE083780-2616-4EF5-BBE1-F680A1F4C35D}">
    <text>Per 10K</text>
  </threadedComment>
  <threadedComment ref="L36" dT="2023-12-12T16:18:11.84" personId="{30EF1CDD-D2B7-4941-9A3C-90FFE426E3BA}" id="{3AF5DB3B-5406-463E-806E-036CDBF1C31E}">
    <text>Per 10K</text>
  </threadedComment>
  <threadedComment ref="M36" dT="2023-12-12T16:18:11.84" personId="{30EF1CDD-D2B7-4941-9A3C-90FFE426E3BA}" id="{08AF6CAE-2EB3-4131-8BC8-573F016BEC74}">
    <text>Per 10K</text>
  </threadedComment>
</ThreadedComments>
</file>

<file path=xl/threadedComments/threadedComment4.xml><?xml version="1.0" encoding="utf-8"?>
<ThreadedComments xmlns="http://schemas.microsoft.com/office/spreadsheetml/2018/threadedcomments" xmlns:x="http://schemas.openxmlformats.org/spreadsheetml/2006/main">
  <threadedComment ref="I5" dT="2023-12-12T13:39:53.05" personId="{30EF1CDD-D2B7-4941-9A3C-90FFE426E3BA}" id="{9F64BA82-8FAE-4635-8ABD-5DAFB3703F4F}">
    <text>27 Jan 2020 - Galvanize closes</text>
  </threadedComment>
  <threadedComment ref="L5" dT="2023-12-12T13:42:01.43" personId="{30EF1CDD-D2B7-4941-9A3C-90FFE426E3BA}" id="{090E0CA4-6534-46E1-B869-EF1444017118}">
    <text>Tech Elevator and MedCerts 17 November 2020</text>
  </threadedComment>
  <threadedComment ref="AU48" dT="2024-04-23T22:25:23.00" personId="{30EF1CDD-D2B7-4941-9A3C-90FFE426E3BA}" id="{57BBA19B-4A65-4770-BADD-981441AA010A}">
    <text>28-31 Q3 SBC guide</text>
  </threadedComment>
  <threadedComment ref="AV48" dT="2024-10-22T21:41:22.75" personId="{30EF1CDD-D2B7-4941-9A3C-90FFE426E3BA}" id="{D8B384EB-1592-44AC-BB00-E82063CF83C4}">
    <text>1Q25 guide = 35-39</text>
  </threadedComment>
  <threadedComment ref="AU71" dT="2023-12-12T16:21:14.77" personId="{30EF1CDD-D2B7-4941-9A3C-90FFE426E3BA}" id="{0C35DD62-A936-4161-A97F-5077452CE394}">
    <text>Per 10K</text>
  </threadedComment>
  <threadedComment ref="A244" dT="2024-12-04T17:37:12.11" personId="{30EF1CDD-D2B7-4941-9A3C-90FFE426E3BA}" id="{56869D50-1EE6-49D7-AEBD-D7C79F8EEBE3}">
    <text>10K: “Advertising and marketing costs consist primarily of internet advertising, online marketing, direct mail, print media and television commercials and are expensed when incurred”</text>
  </threadedComment>
  <threadedComment ref="A245" dT="2024-12-04T17:37:12.11" personId="{30EF1CDD-D2B7-4941-9A3C-90FFE426E3BA}" id="{6C5B6D10-575E-4EDC-B415-2678ADFC6DC3}">
    <text>10K: “Advertising and marketing costs consist primarily of internet advertising, online marketing, direct mail, print media and television commercials and are expensed when incurred”</text>
  </threadedComment>
  <threadedComment ref="A268" dT="2024-10-16T19:51:21.21" personId="{30EF1CDD-D2B7-4941-9A3C-90FFE426E3BA}" id="{FFA10F36-229E-4093-A708-0C7325BA383F}">
    <text>10K -  For the years ended June 30, 2024, 2023 and 2022, the Company’s revenues included a reduction for net school operating losses at the schools of $ 17.0 million, $ 23.8  million, and $ 36.3  million, respectively. Because the Company has agreed to absorb any operating losses of the schools, the Company records the expenses incurred by the school as both revenue and expenses in the consolidated statements of operations. Amounts recorded as revenues and expenses for the years ended June 30, 2024, 2023 and 2022, were $ 576.4 million, $ 503.2  million and $ 460.5  million, respectively.</text>
  </threadedComment>
  <threadedComment ref="A269" dT="2024-10-16T19:51:21.21" personId="{30EF1CDD-D2B7-4941-9A3C-90FFE426E3BA}" id="{19475E31-5579-4CB7-854F-2937C257A806}">
    <text>10K -  For the years ended June 30, 2024, 2023 and 2022, the Company’s revenues included a reduction for net school operating losses at the schools of $ 17.0 million, $ 23.8  million, and $ 36.3  million, respectively. Because the Company has agreed to absorb any operating losses of the schools, the Company records the expenses incurred by the school as both revenue and expenses in the consolidated statements of operations. Amounts recorded as revenues and expenses for the years ended June 30, 2024, 2023 and 2022, were $ 576.4 million, $ 503.2  million and $ 460.5  million, respectively.</text>
  </threadedComment>
  <threadedComment ref="M338" dT="2024-03-18T20:05:06.78" personId="{30EF1CDD-D2B7-4941-9A3C-90FFE426E3BA}" id="{DFC748FA-A1AF-4236-964E-885FA5F288F2}">
    <text>Marketable securities not listed as part of 'Other Current Assets'</text>
  </threadedComment>
</ThreadedComments>
</file>

<file path=xl/threadedComments/threadedComment5.xml><?xml version="1.0" encoding="utf-8"?>
<ThreadedComments xmlns="http://schemas.microsoft.com/office/spreadsheetml/2018/threadedcomments" xmlns:x="http://schemas.openxmlformats.org/spreadsheetml/2006/main">
  <threadedComment ref="J69" dT="2024-12-06T22:33:24.78" personId="{30EF1CDD-D2B7-4941-9A3C-90FFE426E3BA}" id="{ED50594B-1B8E-4968-B23F-45D786A8C37A}">
    <text>“This Agreement will become effective upon the date of full execution for the benefit of the Fiscal Year commencing on July 1, 2019 (“Effective Date”) and will terminate on June 30, 2031 (“Initial Term”) unless sooner terminated under Section 12 of this Agreement.” https://go.boarddocs.com/fl/hendry/Board.nsf/goto?open&amp;id=CDMJEM4CD8DF#</text>
    <extLst>
      <x:ext xmlns:xltc2="http://schemas.microsoft.com/office/spreadsheetml/2020/threadedcomments2" uri="{F7C98A9C-CBB3-438F-8F68-D28B6AF4A901}">
        <xltc2:checksum>243580316</xltc2:checksum>
        <xltc2:hyperlink startIndex="266" length="71" url="https://go.boarddocs.com/fl/hendry/Board.nsf/goto?open&amp;id=CDMJEM4CD8DF#"/>
      </x:ext>
    </extLst>
  </threadedComment>
  <threadedComment ref="J324" dT="2024-12-06T16:56:09.46" personId="{30EF1CDD-D2B7-4941-9A3C-90FFE426E3BA}" id="{2FEB6213-D7B6-469B-A5A3-D1706BD6C4E6}">
    <text>https://www.roscoe.esc14.net/page/open/1078/0/Roscoe%20Collegiate%20ISD%20audit%202022%201.pdf</text>
    <extLst>
      <x:ext xmlns:xltc2="http://schemas.microsoft.com/office/spreadsheetml/2020/threadedcomments2" uri="{F7C98A9C-CBB3-438F-8F68-D28B6AF4A901}">
        <xltc2:checksum>579497864</xltc2:checksum>
        <xltc2:hyperlink startIndex="0" length="94" url="https://www.roscoe.esc14.net/page/open/1078/0/Roscoe%20Collegiate%20ISD%20audit%202022%201.pdf"/>
      </x:ext>
    </extLst>
  </threadedComment>
  <threadedComment ref="AB324" dT="2024-12-06T16:46:46.80" personId="{30EF1CDD-D2B7-4941-9A3C-90FFE426E3BA}" id="{1D4D4DAE-366C-4472-8E4E-55AEBBC5B13D}">
    <text>https://www.roscoe.esc14.net/page/open/1078/0/Roscoe%20Collegiate%20ISD%20audit%202022%201.pdf</text>
    <extLst>
      <x:ext xmlns:xltc2="http://schemas.microsoft.com/office/spreadsheetml/2020/threadedcomments2" uri="{F7C98A9C-CBB3-438F-8F68-D28B6AF4A901}">
        <xltc2:checksum>579497864</xltc2:checksum>
        <xltc2:hyperlink startIndex="0" length="94" url="https://www.roscoe.esc14.net/page/open/1078/0/Roscoe%20Collegiate%20ISD%20audit%202022%201.pdf"/>
      </x:ext>
    </extLst>
  </threadedComment>
  <threadedComment ref="J325" dT="2024-12-06T16:24:23.56" personId="{30EF1CDD-D2B7-4941-9A3C-90FFE426E3BA}" id="{4B65E6C3-06DE-4579-8287-82725FF93111}">
    <text>“The 2023-24 year will be the sixth year of the contract with Stride K12 Virtual Schools LLC, with seven years remaining in the current contract period.“ https://www.hisd.com/site/handlers/filedownload.ashx?moduleinstanceid=52&amp;dataid=28758&amp;FileName=2022-23%20Final%20Auit%20Report.pdf</text>
    <extLst>
      <x:ext xmlns:xltc2="http://schemas.microsoft.com/office/spreadsheetml/2020/threadedcomments2" uri="{F7C98A9C-CBB3-438F-8F68-D28B6AF4A901}">
        <xltc2:checksum>2014584263</xltc2:checksum>
        <xltc2:hyperlink startIndex="154" length="130" url="https://www.hisd.com/site/handlers/filedownload.ashx?moduleinstanceid=52&amp;dataid=28758&amp;FileName=2022-23%20Final%20Auit%20Report.pdf"/>
      </x:ext>
    </extLs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upport@canalyst.com?subject=Canalyst%20Support:%20K12%20Inc.%20LRN%20US&amp;body=Model%20Version:%20Q3-2019.20" TargetMode="External"/><Relationship Id="rId1" Type="http://schemas.openxmlformats.org/officeDocument/2006/relationships/hyperlink" Target="mailto:support@canalyst.com?subject=Canalyst%20Support:%20K12%20Inc.%20LRN%20US&amp;body=Model%20Version:%20Q2-2019.25" TargetMode="Externa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9.bin"/><Relationship Id="rId1" Type="http://schemas.openxmlformats.org/officeDocument/2006/relationships/hyperlink" Target="http://investors.k12.com/phoenix.zhtml?c=214389&amp;p=irol-irhome" TargetMode="External"/><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17" Type="http://schemas.openxmlformats.org/officeDocument/2006/relationships/hyperlink" Target="https://s26.q4cdn.com/126400783/files/doc_financials/2022/q2/Q2-FY22-Earnings-Presentation-vF.pdf" TargetMode="External"/><Relationship Id="rId21" Type="http://schemas.openxmlformats.org/officeDocument/2006/relationships/hyperlink" Target="http://investors.k12.com/node/16126/pdf" TargetMode="External"/><Relationship Id="rId42" Type="http://schemas.openxmlformats.org/officeDocument/2006/relationships/hyperlink" Target="http://investors.k12.com/news-releases/news-release-details/k12-inc-announces-first-quarter-revenues-increased-443-3710" TargetMode="External"/><Relationship Id="rId63" Type="http://schemas.openxmlformats.org/officeDocument/2006/relationships/hyperlink" Target="https://investors.stridelearning.com/news/news-details/2021/Stride-Guides-to-Revenue-and-Profitability-Growth-for-Fiscal-2022-Driven-by-Career-Learning-Demand/default.aspx" TargetMode="External"/><Relationship Id="rId84" Type="http://schemas.openxmlformats.org/officeDocument/2006/relationships/hyperlink" Target="https://s26.q4cdn.com/126400783/files/doc_presentations/2021/12/Company-Overview_Fall-2021_vF.pdf" TargetMode="External"/><Relationship Id="rId138" Type="http://schemas.openxmlformats.org/officeDocument/2006/relationships/hyperlink" Target="https://s26.q4cdn.com/126400783/files/doc_presentations/Q3-FY22-Earnings-Presentation-vF.pdf" TargetMode="External"/><Relationship Id="rId159" Type="http://schemas.openxmlformats.org/officeDocument/2006/relationships/hyperlink" Target="https://s26.q4cdn.com/126400783/files/doc_financials/2022/q4/Q4-FY22-Earnings-Presentation-vF.pdf" TargetMode="External"/><Relationship Id="rId170" Type="http://schemas.openxmlformats.org/officeDocument/2006/relationships/hyperlink" Target="https://s26.q4cdn.com/126400783/files/doc_news/Stride-Guides-to-Seventh-Straight-Year-of-Revenue-Growth-2022.pdf" TargetMode="External"/><Relationship Id="rId191" Type="http://schemas.openxmlformats.org/officeDocument/2006/relationships/hyperlink" Target="https://s26.q4cdn.com/126400783/files/doc_financials/2023/q2/Q2-FY23-Earnings-Presentation-vF.pdf" TargetMode="External"/><Relationship Id="rId205" Type="http://schemas.openxmlformats.org/officeDocument/2006/relationships/hyperlink" Target="https://s26.q4cdn.com/126400783/files/doc_news/Stride-Achieves-Record-Q1-Revenue-2023.pdf" TargetMode="External"/><Relationship Id="rId226" Type="http://schemas.openxmlformats.org/officeDocument/2006/relationships/hyperlink" Target="https://s26.q4cdn.com/126400783/files/doc_news/Another-Quarter-of-Record-Revenue-and-Profitability-for-Stride-2024.pdf" TargetMode="External"/><Relationship Id="rId107" Type="http://schemas.openxmlformats.org/officeDocument/2006/relationships/hyperlink" Target="https://s26.q4cdn.com/126400783/files/doc_financials/2022/q2/Q2-FY22-Earnings-Presentation-vF.pdf" TargetMode="External"/><Relationship Id="rId11" Type="http://schemas.openxmlformats.org/officeDocument/2006/relationships/hyperlink" Target="http://investors.k12.com/phoenix.zhtml?c=214389&amp;p=irol-newsArticle&amp;ID=2373056" TargetMode="External"/><Relationship Id="rId32" Type="http://schemas.openxmlformats.org/officeDocument/2006/relationships/hyperlink" Target="http://investors.k12.com/node/16261/pdf" TargetMode="External"/><Relationship Id="rId53" Type="http://schemas.openxmlformats.org/officeDocument/2006/relationships/hyperlink" Target="http://investors.k12.com/news-releases/news-release-details/k12-inc-announces-first-quarter-revenues-increased-443-3710" TargetMode="External"/><Relationship Id="rId74" Type="http://schemas.openxmlformats.org/officeDocument/2006/relationships/hyperlink" Target="https://investors.stridelearning.com/news/news-details/2021/Stride-Guides-to-Revenue-and-Profitability-Growth-for-Fiscal-2022-Driven-by-Career-Learning-Demand/default.aspx" TargetMode="External"/><Relationship Id="rId128" Type="http://schemas.openxmlformats.org/officeDocument/2006/relationships/hyperlink" Target="https://investors.stridelearning.com/news/news-details/2022/Strides-Career-Learning-Business-Continues-to-Drive-Growth/default.aspx" TargetMode="External"/><Relationship Id="rId149" Type="http://schemas.openxmlformats.org/officeDocument/2006/relationships/hyperlink" Target="https://s26.q4cdn.com/126400783/files/doc_financials/2022/q4/Q4-FY22-Earnings-Presentation-vF.pdf" TargetMode="External"/><Relationship Id="rId5" Type="http://schemas.openxmlformats.org/officeDocument/2006/relationships/hyperlink" Target="http://investors.k12.com/phoenix.zhtml?c=214389&amp;p=irol-newsArticle&amp;ID=2384440" TargetMode="External"/><Relationship Id="rId95" Type="http://schemas.openxmlformats.org/officeDocument/2006/relationships/hyperlink" Target="https://s26.q4cdn.com/126400783/files/doc_presentations/2021/12/Company-Overview_Fall-2021_vF.pdf" TargetMode="External"/><Relationship Id="rId160" Type="http://schemas.openxmlformats.org/officeDocument/2006/relationships/hyperlink" Target="https://s26.q4cdn.com/126400783/files/doc_news/Stride-Guides-to-Seventh-Straight-Year-of-Revenue-Growth-2022.pdf" TargetMode="External"/><Relationship Id="rId181" Type="http://schemas.openxmlformats.org/officeDocument/2006/relationships/hyperlink" Target="https://s26.q4cdn.com/126400783/files/doc_news/Stride-Achieves-Record-Enrollment-Growth-over-First-Quarter-2023.pdf" TargetMode="External"/><Relationship Id="rId216" Type="http://schemas.openxmlformats.org/officeDocument/2006/relationships/hyperlink" Target="https://s26.q4cdn.com/126400783/files/doc_news/Stride-Achieves-Record-Q1-Revenue-2023.pdf" TargetMode="External"/><Relationship Id="rId237" Type="http://schemas.openxmlformats.org/officeDocument/2006/relationships/hyperlink" Target="https://investors.stridelearning.com/news/news-details/2024/Stride-Posts-Another-Record-Quarter/default.aspx" TargetMode="External"/><Relationship Id="rId22" Type="http://schemas.openxmlformats.org/officeDocument/2006/relationships/hyperlink" Target="http://investors.k12.com/node/16126/pdf" TargetMode="External"/><Relationship Id="rId43" Type="http://schemas.openxmlformats.org/officeDocument/2006/relationships/hyperlink" Target="http://investors.k12.com/news-releases/news-release-details/k12-inc-announces-first-quarter-revenues-increased-443-3710" TargetMode="External"/><Relationship Id="rId64" Type="http://schemas.openxmlformats.org/officeDocument/2006/relationships/hyperlink" Target="https://investors.stridelearning.com/news/news-details/2021/Stride-Guides-to-Revenue-and-Profitability-Growth-for-Fiscal-2022-Driven-by-Career-Learning-Demand/default.aspx" TargetMode="External"/><Relationship Id="rId118" Type="http://schemas.openxmlformats.org/officeDocument/2006/relationships/hyperlink" Target="https://s26.q4cdn.com/126400783/files/doc_financials/2022/q2/Q2-FY22-Earnings-Presentation-vF.pdf" TargetMode="External"/><Relationship Id="rId139" Type="http://schemas.openxmlformats.org/officeDocument/2006/relationships/hyperlink" Target="https://s26.q4cdn.com/126400783/files/doc_presentations/Q3-FY22-Earnings-Presentation-vF.pdf" TargetMode="External"/><Relationship Id="rId85" Type="http://schemas.openxmlformats.org/officeDocument/2006/relationships/hyperlink" Target="https://s26.q4cdn.com/126400783/files/doc_presentations/2021/12/Company-Overview_Fall-2021_vF.pdf" TargetMode="External"/><Relationship Id="rId150" Type="http://schemas.openxmlformats.org/officeDocument/2006/relationships/hyperlink" Target="https://s26.q4cdn.com/126400783/files/doc_financials/2022/q4/Q4-FY22-Earnings-Presentation-vF.pdf" TargetMode="External"/><Relationship Id="rId171" Type="http://schemas.openxmlformats.org/officeDocument/2006/relationships/hyperlink" Target="https://s26.q4cdn.com/126400783/files/doc_news/Stride-Guides-to-Seventh-Straight-Year-of-Revenue-Growth-2022.pdf" TargetMode="External"/><Relationship Id="rId192" Type="http://schemas.openxmlformats.org/officeDocument/2006/relationships/hyperlink" Target="https://s26.q4cdn.com/126400783/files/doc_news/Stride-Posts-Record-Quarterly-Revenue-and-Profitability-2023.pdf" TargetMode="External"/><Relationship Id="rId206" Type="http://schemas.openxmlformats.org/officeDocument/2006/relationships/hyperlink" Target="https://s26.q4cdn.com/126400783/files/doc_news/Stride-Achieves-Record-Q1-Revenue-2023.pdf" TargetMode="External"/><Relationship Id="rId227" Type="http://schemas.openxmlformats.org/officeDocument/2006/relationships/hyperlink" Target="https://s26.q4cdn.com/126400783/files/doc_news/Another-Quarter-of-Record-Revenue-and-Profitability-for-Stride-2024.pdf" TargetMode="External"/><Relationship Id="rId12" Type="http://schemas.openxmlformats.org/officeDocument/2006/relationships/hyperlink" Target="http://investors.k12.com/phoenix.zhtml?c=214389&amp;p=irol-newsArticle&amp;ID=2373056" TargetMode="External"/><Relationship Id="rId33" Type="http://schemas.openxmlformats.org/officeDocument/2006/relationships/hyperlink" Target="http://investors.k12.com/node/16261/pdf" TargetMode="External"/><Relationship Id="rId108" Type="http://schemas.openxmlformats.org/officeDocument/2006/relationships/hyperlink" Target="https://s26.q4cdn.com/126400783/files/doc_financials/2022/q2/Q2-FY22-Earnings-Presentation-vF.pdf" TargetMode="External"/><Relationship Id="rId129" Type="http://schemas.openxmlformats.org/officeDocument/2006/relationships/hyperlink" Target="https://investors.stridelearning.com/news/news-details/2022/Strides-Career-Learning-Business-Continues-to-Drive-Growth/default.aspx" TargetMode="External"/><Relationship Id="rId54" Type="http://schemas.openxmlformats.org/officeDocument/2006/relationships/hyperlink" Target="http://investors.k12.com/news-releases/news-release-details/k12-inc-announces-first-quarter-revenues-increased-443-3710" TargetMode="External"/><Relationship Id="rId75" Type="http://schemas.openxmlformats.org/officeDocument/2006/relationships/hyperlink" Target="https://s26.q4cdn.com/126400783/files/doc_presentations/2021/12/Company-Overview_Fall-2021_vF.pdf" TargetMode="External"/><Relationship Id="rId96" Type="http://schemas.openxmlformats.org/officeDocument/2006/relationships/hyperlink" Target="https://s26.q4cdn.com/126400783/files/doc_presentations/2021/12/Company-Overview_Fall-2021_vF.pdf" TargetMode="External"/><Relationship Id="rId140" Type="http://schemas.openxmlformats.org/officeDocument/2006/relationships/hyperlink" Target="https://s26.q4cdn.com/126400783/files/doc_presentations/Q3-FY22-Earnings-Presentation-vF.pdf" TargetMode="External"/><Relationship Id="rId161" Type="http://schemas.openxmlformats.org/officeDocument/2006/relationships/hyperlink" Target="https://s26.q4cdn.com/126400783/files/doc_news/Stride-Guides-to-Seventh-Straight-Year-of-Revenue-Growth-2022.pdf" TargetMode="External"/><Relationship Id="rId182" Type="http://schemas.openxmlformats.org/officeDocument/2006/relationships/hyperlink" Target="https://s26.q4cdn.com/126400783/files/doc_news/Stride-Achieves-Record-Enrollment-Growth-over-First-Quarter-2023.pdf" TargetMode="External"/><Relationship Id="rId217" Type="http://schemas.openxmlformats.org/officeDocument/2006/relationships/hyperlink" Target="https://s26.q4cdn.com/126400783/files/doc_presentations/2023/10/Q1-FY24-Earnings-Presentation-vF2.pdf" TargetMode="External"/><Relationship Id="rId6" Type="http://schemas.openxmlformats.org/officeDocument/2006/relationships/hyperlink" Target="http://investors.k12.com/phoenix.zhtml?c=214389&amp;p=irol-newsArticle&amp;ID=2384440" TargetMode="External"/><Relationship Id="rId238" Type="http://schemas.openxmlformats.org/officeDocument/2006/relationships/hyperlink" Target="https://s26.q4cdn.com/126400783/files/doc_financials/2024/q3/Q3-FY24-Earnings-Presentation-vF.pdf" TargetMode="External"/><Relationship Id="rId23" Type="http://schemas.openxmlformats.org/officeDocument/2006/relationships/hyperlink" Target="http://investors.k12.com/node/16126/pdf" TargetMode="External"/><Relationship Id="rId119" Type="http://schemas.openxmlformats.org/officeDocument/2006/relationships/hyperlink" Target="https://s26.q4cdn.com/126400783/files/doc_financials/2022/q2/Q2-FY22-Earnings-Presentation-vF.pdf" TargetMode="External"/><Relationship Id="rId44" Type="http://schemas.openxmlformats.org/officeDocument/2006/relationships/hyperlink" Target="https://s26.q4cdn.com/126400783/files/doc_news/Stride-Inc.-Expands-Ability-to-Meet-Demands-of-IT-Skills-Gap-with-Acquisition-of-Tech-Elevator-2020.pdf" TargetMode="External"/><Relationship Id="rId65" Type="http://schemas.openxmlformats.org/officeDocument/2006/relationships/hyperlink" Target="https://investors.stridelearning.com/news/news-details/2021/Stride-Guides-to-Revenue-and-Profitability-Growth-for-Fiscal-2022-Driven-by-Career-Learning-Demand/default.aspx" TargetMode="External"/><Relationship Id="rId86" Type="http://schemas.openxmlformats.org/officeDocument/2006/relationships/hyperlink" Target="https://s26.q4cdn.com/126400783/files/doc_presentations/2021/12/Company-Overview_Fall-2021_vF.pdf" TargetMode="External"/><Relationship Id="rId130" Type="http://schemas.openxmlformats.org/officeDocument/2006/relationships/hyperlink" Target="https://investors.stridelearning.com/news/news-details/2022/Strides-Career-Learning-Business-Continues-to-Drive-Growth/default.aspx" TargetMode="External"/><Relationship Id="rId151" Type="http://schemas.openxmlformats.org/officeDocument/2006/relationships/hyperlink" Target="https://s26.q4cdn.com/126400783/files/doc_financials/2022/q4/Q4-FY22-Earnings-Presentation-vF.pdf" TargetMode="External"/><Relationship Id="rId172" Type="http://schemas.openxmlformats.org/officeDocument/2006/relationships/hyperlink" Target="https://s26.q4cdn.com/126400783/files/doc_news/Stride-Guides-to-Seventh-Straight-Year-of-Revenue-Growth-2022.pdf" TargetMode="External"/><Relationship Id="rId193" Type="http://schemas.openxmlformats.org/officeDocument/2006/relationships/hyperlink" Target="https://s26.q4cdn.com/126400783/files/doc_news/Stride-Posts-Record-Quarterly-Revenue-and-Profitability-2023.pdf" TargetMode="External"/><Relationship Id="rId207" Type="http://schemas.openxmlformats.org/officeDocument/2006/relationships/hyperlink" Target="https://s26.q4cdn.com/126400783/files/doc_news/Stride-Achieves-Record-Q1-Revenue-2023.pdf" TargetMode="External"/><Relationship Id="rId228" Type="http://schemas.openxmlformats.org/officeDocument/2006/relationships/hyperlink" Target="https://s26.q4cdn.com/126400783/files/doc_news/Another-Quarter-of-Record-Revenue-and-Profitability-for-Stride-2024.pdf" TargetMode="External"/><Relationship Id="rId13" Type="http://schemas.openxmlformats.org/officeDocument/2006/relationships/hyperlink" Target="http://investors.k12.com/phoenix.zhtml?c=214389&amp;p=irol-newsArticle&amp;ID=2373056" TargetMode="External"/><Relationship Id="rId109" Type="http://schemas.openxmlformats.org/officeDocument/2006/relationships/hyperlink" Target="https://s26.q4cdn.com/126400783/files/doc_financials/2022/q2/Q2-FY22-Earnings-Presentation-vF.pdf" TargetMode="External"/><Relationship Id="rId34" Type="http://schemas.openxmlformats.org/officeDocument/2006/relationships/hyperlink" Target="http://investors.k12.com/node/16261/pdf" TargetMode="External"/><Relationship Id="rId55" Type="http://schemas.openxmlformats.org/officeDocument/2006/relationships/hyperlink" Target="https://investors.stridelearning.com/news/news-details/2021/Stride-Inc.-Announces-Second-Quarter-Revenues-Increased-46-to-376.1-Million/default.aspx" TargetMode="External"/><Relationship Id="rId76" Type="http://schemas.openxmlformats.org/officeDocument/2006/relationships/hyperlink" Target="https://s26.q4cdn.com/126400783/files/doc_presentations/2021/12/Company-Overview_Fall-2021_vF.pdf" TargetMode="External"/><Relationship Id="rId97" Type="http://schemas.openxmlformats.org/officeDocument/2006/relationships/hyperlink" Target="https://s26.q4cdn.com/126400783/files/doc_presentations/2021/12/Company-Overview_Fall-2021_vF.pdf" TargetMode="External"/><Relationship Id="rId120" Type="http://schemas.openxmlformats.org/officeDocument/2006/relationships/hyperlink" Target="https://s26.q4cdn.com/126400783/files/doc_financials/2022/q2/Q2-FY22-Earnings-Presentation-vF.pdf" TargetMode="External"/><Relationship Id="rId141" Type="http://schemas.openxmlformats.org/officeDocument/2006/relationships/hyperlink" Target="https://s26.q4cdn.com/126400783/files/doc_presentations/Q3-FY22-Earnings-Presentation-vF.pdf" TargetMode="External"/><Relationship Id="rId7" Type="http://schemas.openxmlformats.org/officeDocument/2006/relationships/hyperlink" Target="http://investors.k12.com/phoenix.zhtml?c=214389&amp;p=irol-newsArticle&amp;ID=2373056" TargetMode="External"/><Relationship Id="rId162" Type="http://schemas.openxmlformats.org/officeDocument/2006/relationships/hyperlink" Target="https://s26.q4cdn.com/126400783/files/doc_news/Stride-Guides-to-Seventh-Straight-Year-of-Revenue-Growth-2022.pdf" TargetMode="External"/><Relationship Id="rId183" Type="http://schemas.openxmlformats.org/officeDocument/2006/relationships/hyperlink" Target="https://s26.q4cdn.com/126400783/files/doc_news/Stride-Achieves-Record-Enrollment-Growth-over-First-Quarter-2023.pdf" TargetMode="External"/><Relationship Id="rId218" Type="http://schemas.openxmlformats.org/officeDocument/2006/relationships/hyperlink" Target="https://s26.q4cdn.com/126400783/files/doc_news/Another-Quarter-of-Record-Revenue-and-Profitability-for-Stride-2024.pdf" TargetMode="External"/><Relationship Id="rId239" Type="http://schemas.openxmlformats.org/officeDocument/2006/relationships/hyperlink" Target="https://s26.q4cdn.com/126400783/files/doc_financials/2024/q3/Q3-FY24-Earnings-Presentation-vF.pdf" TargetMode="External"/><Relationship Id="rId24" Type="http://schemas.openxmlformats.org/officeDocument/2006/relationships/hyperlink" Target="http://investors.k12.com/node/16261/pdf" TargetMode="External"/><Relationship Id="rId45" Type="http://schemas.openxmlformats.org/officeDocument/2006/relationships/hyperlink" Target="https://s26.q4cdn.com/126400783/files/doc_news/Stride-Inc.-Expands-Ability-to-Meet-Demands-of-IT-Skills-Gap-with-Acquisition-of-Tech-Elevator-2020.pdf" TargetMode="External"/><Relationship Id="rId66" Type="http://schemas.openxmlformats.org/officeDocument/2006/relationships/hyperlink" Target="https://investors.stridelearning.com/news/news-details/2021/Stride-Guides-to-Revenue-and-Profitability-Growth-for-Fiscal-2022-Driven-by-Career-Learning-Demand/default.aspx" TargetMode="External"/><Relationship Id="rId87" Type="http://schemas.openxmlformats.org/officeDocument/2006/relationships/hyperlink" Target="https://s26.q4cdn.com/126400783/files/doc_presentations/2021/12/Company-Overview_Fall-2021_vF.pdf" TargetMode="External"/><Relationship Id="rId110" Type="http://schemas.openxmlformats.org/officeDocument/2006/relationships/hyperlink" Target="https://s26.q4cdn.com/126400783/files/doc_financials/2022/q2/Q2-FY22-Earnings-Presentation-vF.pdf" TargetMode="External"/><Relationship Id="rId131" Type="http://schemas.openxmlformats.org/officeDocument/2006/relationships/hyperlink" Target="https://s26.q4cdn.com/126400783/files/doc_presentations/Q3-FY22-Earnings-Presentation-vF.pdf" TargetMode="External"/><Relationship Id="rId152" Type="http://schemas.openxmlformats.org/officeDocument/2006/relationships/hyperlink" Target="https://s26.q4cdn.com/126400783/files/doc_financials/2022/q4/Q4-FY22-Earnings-Presentation-vF.pdf" TargetMode="External"/><Relationship Id="rId173" Type="http://schemas.openxmlformats.org/officeDocument/2006/relationships/hyperlink" Target="https://s26.q4cdn.com/126400783/files/doc_financials/2023/q1/Q1-FY23-Earnings-Presentation-vF.pdf" TargetMode="External"/><Relationship Id="rId194" Type="http://schemas.openxmlformats.org/officeDocument/2006/relationships/hyperlink" Target="https://s26.q4cdn.com/126400783/files/doc_news/Stride-Posts-Record-Quarterly-Revenue-and-Profitability-2023.pdf" TargetMode="External"/><Relationship Id="rId208" Type="http://schemas.openxmlformats.org/officeDocument/2006/relationships/hyperlink" Target="https://s26.q4cdn.com/126400783/files/doc_news/Stride-Achieves-Record-Q1-Revenue-2023.pdf" TargetMode="External"/><Relationship Id="rId229" Type="http://schemas.openxmlformats.org/officeDocument/2006/relationships/hyperlink" Target="https://s26.q4cdn.com/126400783/files/doc_news/Another-Quarter-of-Record-Revenue-and-Profitability-for-Stride-2024.pdf" TargetMode="External"/><Relationship Id="rId240" Type="http://schemas.openxmlformats.org/officeDocument/2006/relationships/hyperlink" Target="https://s26.q4cdn.com/126400783/files/doc_presentations/2024/Q4-FY24-Earnings-Presentation-vF.pdf" TargetMode="External"/><Relationship Id="rId14" Type="http://schemas.openxmlformats.org/officeDocument/2006/relationships/hyperlink" Target="http://investors.k12.com/phoenix.zhtml?c=214389&amp;p=irol-newsArticle&amp;ID=2344342" TargetMode="External"/><Relationship Id="rId35" Type="http://schemas.openxmlformats.org/officeDocument/2006/relationships/hyperlink" Target="https://k12.gcs-web.com/news-releases/news-release-details/k12-inc-reports-third-quarter-fiscal-2020-revenues-2572-million" TargetMode="External"/><Relationship Id="rId56" Type="http://schemas.openxmlformats.org/officeDocument/2006/relationships/hyperlink" Target="http://investors.k12.com/news-releases/news-release-details/k12-inc-announces-first-quarter-revenues-increased-443-3710" TargetMode="External"/><Relationship Id="rId77" Type="http://schemas.openxmlformats.org/officeDocument/2006/relationships/hyperlink" Target="https://s26.q4cdn.com/126400783/files/doc_presentations/2021/12/Company-Overview_Fall-2021_vF.pdf" TargetMode="External"/><Relationship Id="rId100" Type="http://schemas.openxmlformats.org/officeDocument/2006/relationships/hyperlink" Target="https://s26.q4cdn.com/126400783/files/doc_financials/2022/q2/Q2-FY22-Earnings-Presentation-vF.pdf" TargetMode="External"/><Relationship Id="rId8" Type="http://schemas.openxmlformats.org/officeDocument/2006/relationships/hyperlink" Target="http://investors.k12.com/phoenix.zhtml?c=214389&amp;p=irol-newsArticle&amp;ID=2373056" TargetMode="External"/><Relationship Id="rId98" Type="http://schemas.openxmlformats.org/officeDocument/2006/relationships/hyperlink" Target="https://s26.q4cdn.com/126400783/files/doc_presentations/2021/12/Company-Overview_Fall-2021_vF.pdf" TargetMode="External"/><Relationship Id="rId121" Type="http://schemas.openxmlformats.org/officeDocument/2006/relationships/hyperlink" Target="https://s26.q4cdn.com/126400783/files/doc_financials/2022/q2/Q2-FY22-Earnings-Presentation-vF.pdf" TargetMode="External"/><Relationship Id="rId142" Type="http://schemas.openxmlformats.org/officeDocument/2006/relationships/hyperlink" Target="https://s26.q4cdn.com/126400783/files/doc_presentations/Q3-FY22-Earnings-Presentation-vF.pdf" TargetMode="External"/><Relationship Id="rId163" Type="http://schemas.openxmlformats.org/officeDocument/2006/relationships/hyperlink" Target="https://s26.q4cdn.com/126400783/files/doc_news/Stride-Guides-to-Seventh-Straight-Year-of-Revenue-Growth-2022.pdf" TargetMode="External"/><Relationship Id="rId184" Type="http://schemas.openxmlformats.org/officeDocument/2006/relationships/hyperlink" Target="https://s26.q4cdn.com/126400783/files/doc_news/Stride-Achieves-Record-Enrollment-Growth-over-First-Quarter-2023.pdf" TargetMode="External"/><Relationship Id="rId219" Type="http://schemas.openxmlformats.org/officeDocument/2006/relationships/hyperlink" Target="https://s26.q4cdn.com/126400783/files/doc_news/Another-Quarter-of-Record-Revenue-and-Profitability-for-Stride-2024.pdf" TargetMode="External"/><Relationship Id="rId230" Type="http://schemas.openxmlformats.org/officeDocument/2006/relationships/hyperlink" Target="https://s26.q4cdn.com/126400783/files/doc_news/Another-Quarter-of-Record-Revenue-and-Profitability-for-Stride-2024.pdf" TargetMode="External"/><Relationship Id="rId25" Type="http://schemas.openxmlformats.org/officeDocument/2006/relationships/hyperlink" Target="http://investors.k12.com/node/16261/pdf" TargetMode="External"/><Relationship Id="rId46" Type="http://schemas.openxmlformats.org/officeDocument/2006/relationships/hyperlink" Target="https://s26.q4cdn.com/126400783/files/doc_news/Stride-Inc.-Expands-Ability-to-Meet-Demands-of-IT-Skills-Gap-with-Acquisition-of-Tech-Elevator-2020.pdf" TargetMode="External"/><Relationship Id="rId67" Type="http://schemas.openxmlformats.org/officeDocument/2006/relationships/hyperlink" Target="https://investors.stridelearning.com/news/news-details/2021/Stride-Guides-to-Revenue-and-Profitability-Growth-for-Fiscal-2022-Driven-by-Career-Learning-Demand/default.aspx" TargetMode="External"/><Relationship Id="rId88" Type="http://schemas.openxmlformats.org/officeDocument/2006/relationships/hyperlink" Target="https://s26.q4cdn.com/126400783/files/doc_presentations/2021/12/Company-Overview_Fall-2021_vF.pdf" TargetMode="External"/><Relationship Id="rId111" Type="http://schemas.openxmlformats.org/officeDocument/2006/relationships/hyperlink" Target="https://s26.q4cdn.com/126400783/files/doc_financials/2022/q2/Q2-FY22-Earnings-Presentation-vF.pdf" TargetMode="External"/><Relationship Id="rId132" Type="http://schemas.openxmlformats.org/officeDocument/2006/relationships/hyperlink" Target="https://s26.q4cdn.com/126400783/files/doc_presentations/Q3-FY22-Earnings-Presentation-vF.pdf" TargetMode="External"/><Relationship Id="rId153" Type="http://schemas.openxmlformats.org/officeDocument/2006/relationships/hyperlink" Target="https://s26.q4cdn.com/126400783/files/doc_financials/2022/q4/Q4-FY22-Earnings-Presentation-vF.pdf" TargetMode="External"/><Relationship Id="rId174" Type="http://schemas.openxmlformats.org/officeDocument/2006/relationships/hyperlink" Target="https://s26.q4cdn.com/126400783/files/doc_financials/2023/q1/Q1-FY23-Earnings-Presentation-vF.pdf" TargetMode="External"/><Relationship Id="rId195" Type="http://schemas.openxmlformats.org/officeDocument/2006/relationships/hyperlink" Target="https://s26.q4cdn.com/126400783/files/doc_news/Stride-Posts-Record-Quarterly-Revenue-and-Profitability-2023.pdf" TargetMode="External"/><Relationship Id="rId209" Type="http://schemas.openxmlformats.org/officeDocument/2006/relationships/hyperlink" Target="https://s26.q4cdn.com/126400783/files/doc_news/Stride-Achieves-Record-Q1-Revenue-2023.pdf" TargetMode="External"/><Relationship Id="rId220" Type="http://schemas.openxmlformats.org/officeDocument/2006/relationships/hyperlink" Target="https://s26.q4cdn.com/126400783/files/doc_news/Another-Quarter-of-Record-Revenue-and-Profitability-for-Stride-2024.pdf" TargetMode="External"/><Relationship Id="rId241" Type="http://schemas.openxmlformats.org/officeDocument/2006/relationships/hyperlink" Target="https://s26.q4cdn.com/126400783/files/doc_presentations/2024/Q4-FY24-Earnings-Presentation-vF.pdf" TargetMode="External"/><Relationship Id="rId15" Type="http://schemas.openxmlformats.org/officeDocument/2006/relationships/hyperlink" Target="http://investors.k12.com/phoenix.zhtml?c=214389&amp;p=irol-newsArticle&amp;ID=2344342" TargetMode="External"/><Relationship Id="rId36" Type="http://schemas.openxmlformats.org/officeDocument/2006/relationships/hyperlink" Target="https://k12.gcs-web.com/news-releases/news-release-details/k12-inc-reports-third-quarter-fiscal-2020-revenues-2572-million" TargetMode="External"/><Relationship Id="rId57" Type="http://schemas.openxmlformats.org/officeDocument/2006/relationships/hyperlink" Target="http://investors.k12.com/news-releases/news-release-details/k12-inc-announces-first-quarter-revenues-increased-443-3710" TargetMode="External"/><Relationship Id="rId10" Type="http://schemas.openxmlformats.org/officeDocument/2006/relationships/hyperlink" Target="http://investors.k12.com/phoenix.zhtml?c=214389&amp;p=irol-newsArticle&amp;ID=2373056" TargetMode="External"/><Relationship Id="rId31" Type="http://schemas.openxmlformats.org/officeDocument/2006/relationships/hyperlink" Target="http://investors.k12.com/node/16261/pdf" TargetMode="External"/><Relationship Id="rId52" Type="http://schemas.openxmlformats.org/officeDocument/2006/relationships/hyperlink" Target="https://s26.q4cdn.com/126400783/files/doc_presentations/NewCo_IRDay_Presentation_Working_V21_IR-Website-4.pdf" TargetMode="External"/><Relationship Id="rId73" Type="http://schemas.openxmlformats.org/officeDocument/2006/relationships/hyperlink" Target="https://investors.stridelearning.com/news/news-details/2021/Stride-Guides-to-Revenue-and-Profitability-Growth-for-Fiscal-2022-Driven-by-Career-Learning-Demand/default.aspx" TargetMode="External"/><Relationship Id="rId78" Type="http://schemas.openxmlformats.org/officeDocument/2006/relationships/hyperlink" Target="https://s26.q4cdn.com/126400783/files/doc_presentations/2021/12/Company-Overview_Fall-2021_vF.pdf" TargetMode="External"/><Relationship Id="rId94" Type="http://schemas.openxmlformats.org/officeDocument/2006/relationships/hyperlink" Target="https://s26.q4cdn.com/126400783/files/doc_presentations/2021/12/Company-Overview_Fall-2021_vF.pdf" TargetMode="External"/><Relationship Id="rId99" Type="http://schemas.openxmlformats.org/officeDocument/2006/relationships/hyperlink" Target="https://s26.q4cdn.com/126400783/files/doc_financials/2022/q2/Q2-FY22-Earnings-Presentation-vF.pdf" TargetMode="External"/><Relationship Id="rId101" Type="http://schemas.openxmlformats.org/officeDocument/2006/relationships/hyperlink" Target="https://s26.q4cdn.com/126400783/files/doc_financials/2022/q2/Q2-FY22-Earnings-Presentation-vF.pdf" TargetMode="External"/><Relationship Id="rId122" Type="http://schemas.openxmlformats.org/officeDocument/2006/relationships/hyperlink" Target="https://s26.q4cdn.com/126400783/files/doc_financials/2022/q2/Q2-FY22-Earnings-Presentation-vF.pdf" TargetMode="External"/><Relationship Id="rId143" Type="http://schemas.openxmlformats.org/officeDocument/2006/relationships/hyperlink" Target="https://s26.q4cdn.com/126400783/files/doc_presentations/Q3-FY22-Earnings-Presentation-vF.pdf" TargetMode="External"/><Relationship Id="rId148" Type="http://schemas.openxmlformats.org/officeDocument/2006/relationships/hyperlink" Target="https://s26.q4cdn.com/126400783/files/doc_financials/2022/q4/Q4-FY22-Earnings-Presentation-vF.pdf" TargetMode="External"/><Relationship Id="rId164" Type="http://schemas.openxmlformats.org/officeDocument/2006/relationships/hyperlink" Target="https://s26.q4cdn.com/126400783/files/doc_news/Stride-Guides-to-Seventh-Straight-Year-of-Revenue-Growth-2022.pdf" TargetMode="External"/><Relationship Id="rId169" Type="http://schemas.openxmlformats.org/officeDocument/2006/relationships/hyperlink" Target="https://s26.q4cdn.com/126400783/files/doc_news/Stride-Guides-to-Seventh-Straight-Year-of-Revenue-Growth-2022.pdf" TargetMode="External"/><Relationship Id="rId185" Type="http://schemas.openxmlformats.org/officeDocument/2006/relationships/hyperlink" Target="https://s26.q4cdn.com/126400783/files/doc_news/Stride-Achieves-Record-Enrollment-Growth-over-First-Quarter-2023.pdf" TargetMode="External"/><Relationship Id="rId4" Type="http://schemas.openxmlformats.org/officeDocument/2006/relationships/hyperlink" Target="http://investors.k12.com/phoenix.zhtml?c=214389&amp;p=irol-newsArticle&amp;ID=2384440" TargetMode="External"/><Relationship Id="rId9" Type="http://schemas.openxmlformats.org/officeDocument/2006/relationships/hyperlink" Target="http://investors.k12.com/phoenix.zhtml?c=214389&amp;p=irol-newsArticle&amp;ID=2373056" TargetMode="External"/><Relationship Id="rId180" Type="http://schemas.openxmlformats.org/officeDocument/2006/relationships/hyperlink" Target="https://s26.q4cdn.com/126400783/files/doc_news/Stride-Achieves-Record-Enrollment-Growth-over-First-Quarter-2023.pdf" TargetMode="External"/><Relationship Id="rId210" Type="http://schemas.openxmlformats.org/officeDocument/2006/relationships/hyperlink" Target="https://s26.q4cdn.com/126400783/files/doc_news/Stride-Achieves-Record-Q1-Revenue-2023.pdf" TargetMode="External"/><Relationship Id="rId215" Type="http://schemas.openxmlformats.org/officeDocument/2006/relationships/hyperlink" Target="https://s26.q4cdn.com/126400783/files/doc_news/Stride-Achieves-Record-Q1-Revenue-2023.pdf" TargetMode="External"/><Relationship Id="rId236" Type="http://schemas.openxmlformats.org/officeDocument/2006/relationships/hyperlink" Target="https://investors.stridelearning.com/news/news-details/2024/Stride-Posts-Another-Record-Quarter/default.aspx" TargetMode="External"/><Relationship Id="rId26" Type="http://schemas.openxmlformats.org/officeDocument/2006/relationships/hyperlink" Target="http://investors.k12.com/node/16261/pdf" TargetMode="External"/><Relationship Id="rId231" Type="http://schemas.openxmlformats.org/officeDocument/2006/relationships/hyperlink" Target="https://investors.stridelearning.com/news/news-details/2024/Stride-Posts-Another-Record-Quarter/default.aspx" TargetMode="External"/><Relationship Id="rId47" Type="http://schemas.openxmlformats.org/officeDocument/2006/relationships/hyperlink" Target="https://s26.q4cdn.com/126400783/files/doc_news/Stride-Inc.-Expands-Ability-to-Meet-Demands-of-IT-Skills-Gap-with-Acquisition-of-Tech-Elevator-2020.pdf" TargetMode="External"/><Relationship Id="rId68" Type="http://schemas.openxmlformats.org/officeDocument/2006/relationships/hyperlink" Target="https://investors.stridelearning.com/news/news-details/2021/Stride-Guides-to-Revenue-and-Profitability-Growth-for-Fiscal-2022-Driven-by-Career-Learning-Demand/default.aspx" TargetMode="External"/><Relationship Id="rId89" Type="http://schemas.openxmlformats.org/officeDocument/2006/relationships/hyperlink" Target="https://s26.q4cdn.com/126400783/files/doc_presentations/2021/12/Company-Overview_Fall-2021_vF.pdf" TargetMode="External"/><Relationship Id="rId112" Type="http://schemas.openxmlformats.org/officeDocument/2006/relationships/hyperlink" Target="https://s26.q4cdn.com/126400783/files/doc_financials/2022/q2/Q2-FY22-Earnings-Presentation-vF.pdf" TargetMode="External"/><Relationship Id="rId133" Type="http://schemas.openxmlformats.org/officeDocument/2006/relationships/hyperlink" Target="https://s26.q4cdn.com/126400783/files/doc_presentations/Q3-FY22-Earnings-Presentation-vF.pdf" TargetMode="External"/><Relationship Id="rId154" Type="http://schemas.openxmlformats.org/officeDocument/2006/relationships/hyperlink" Target="https://s26.q4cdn.com/126400783/files/doc_financials/2022/q4/Q4-FY22-Earnings-Presentation-vF.pdf" TargetMode="External"/><Relationship Id="rId175" Type="http://schemas.openxmlformats.org/officeDocument/2006/relationships/hyperlink" Target="https://s26.q4cdn.com/126400783/files/doc_financials/2023/q1/Q1-FY23-Earnings-Presentation-vF.pdf" TargetMode="External"/><Relationship Id="rId196" Type="http://schemas.openxmlformats.org/officeDocument/2006/relationships/hyperlink" Target="https://s26.q4cdn.com/126400783/files/doc_news/Stride-Posts-Record-Quarterly-Revenue-and-Profitability-2023.pdf" TargetMode="External"/><Relationship Id="rId200" Type="http://schemas.openxmlformats.org/officeDocument/2006/relationships/hyperlink" Target="https://s26.q4cdn.com/126400783/files/doc_financials/2023/q3/Q3-FY23-Earnings-Presentation-vF.pdf" TargetMode="External"/><Relationship Id="rId16" Type="http://schemas.openxmlformats.org/officeDocument/2006/relationships/hyperlink" Target="http://investors.k12.com/phoenix.zhtml?c=214389&amp;p=irol-newsArticle&amp;ID=2344342" TargetMode="External"/><Relationship Id="rId221" Type="http://schemas.openxmlformats.org/officeDocument/2006/relationships/hyperlink" Target="https://s26.q4cdn.com/126400783/files/doc_news/Another-Quarter-of-Record-Revenue-and-Profitability-for-Stride-2024.pdf" TargetMode="External"/><Relationship Id="rId242" Type="http://schemas.openxmlformats.org/officeDocument/2006/relationships/hyperlink" Target="https://s26.q4cdn.com/126400783/files/doc_presentations/2024/Q4-FY24-Earnings-Presentation-vF.pdf" TargetMode="External"/><Relationship Id="rId37" Type="http://schemas.openxmlformats.org/officeDocument/2006/relationships/hyperlink" Target="https://k12.gcs-web.com/news-releases/news-release-details/k12-inc-reports-third-quarter-fiscal-2020-revenues-2572-million" TargetMode="External"/><Relationship Id="rId58" Type="http://schemas.openxmlformats.org/officeDocument/2006/relationships/hyperlink" Target="https://investors.stridelearning.com/news/news-details/2021/Stride-Inc.-Announces-Second-Quarter-Revenues-Increased-46-to-376.1-Million/default.aspx" TargetMode="External"/><Relationship Id="rId79" Type="http://schemas.openxmlformats.org/officeDocument/2006/relationships/hyperlink" Target="https://s26.q4cdn.com/126400783/files/doc_presentations/2021/12/Company-Overview_Fall-2021_vF.pdf" TargetMode="External"/><Relationship Id="rId102" Type="http://schemas.openxmlformats.org/officeDocument/2006/relationships/hyperlink" Target="https://s26.q4cdn.com/126400783/files/doc_financials/2022/q2/Q2-FY22-Earnings-Presentation-vF.pdf" TargetMode="External"/><Relationship Id="rId123" Type="http://schemas.openxmlformats.org/officeDocument/2006/relationships/hyperlink" Target="https://s26.q4cdn.com/126400783/files/doc_financials/2022/q2/Q2-FY22-Earnings-Presentation-vF.pdf" TargetMode="External"/><Relationship Id="rId144" Type="http://schemas.openxmlformats.org/officeDocument/2006/relationships/hyperlink" Target="https://investors.stridelearning.com/news/news-details/2022/Strides-Career-Learning-Business-Continues-to-Drive-Growth/default.aspx" TargetMode="External"/><Relationship Id="rId90" Type="http://schemas.openxmlformats.org/officeDocument/2006/relationships/hyperlink" Target="https://s26.q4cdn.com/126400783/files/doc_presentations/2021/12/Company-Overview_Fall-2021_vF.pdf" TargetMode="External"/><Relationship Id="rId165" Type="http://schemas.openxmlformats.org/officeDocument/2006/relationships/hyperlink" Target="https://s26.q4cdn.com/126400783/files/doc_news/Stride-Guides-to-Seventh-Straight-Year-of-Revenue-Growth-2022.pdf" TargetMode="External"/><Relationship Id="rId186" Type="http://schemas.openxmlformats.org/officeDocument/2006/relationships/hyperlink" Target="https://s26.q4cdn.com/126400783/files/doc_news/Stride-Achieves-Record-Enrollment-Growth-over-First-Quarter-2023.pdf" TargetMode="External"/><Relationship Id="rId211" Type="http://schemas.openxmlformats.org/officeDocument/2006/relationships/hyperlink" Target="https://s26.q4cdn.com/126400783/files/doc_news/Stride-Achieves-Record-Q1-Revenue-2023.pdf" TargetMode="External"/><Relationship Id="rId232" Type="http://schemas.openxmlformats.org/officeDocument/2006/relationships/hyperlink" Target="https://investors.stridelearning.com/news/news-details/2024/Stride-Posts-Another-Record-Quarter/default.aspx" TargetMode="External"/><Relationship Id="rId27" Type="http://schemas.openxmlformats.org/officeDocument/2006/relationships/hyperlink" Target="http://investors.k12.com/node/16261/pdf" TargetMode="External"/><Relationship Id="rId48" Type="http://schemas.openxmlformats.org/officeDocument/2006/relationships/hyperlink" Target="https://s26.q4cdn.com/126400783/files/doc_presentations/NewCo_IRDay_Presentation_Working_V21_IR-Website-4.pdf" TargetMode="External"/><Relationship Id="rId69" Type="http://schemas.openxmlformats.org/officeDocument/2006/relationships/hyperlink" Target="https://investors.stridelearning.com/news/news-details/2021/Stride-Guides-to-Revenue-and-Profitability-Growth-for-Fiscal-2022-Driven-by-Career-Learning-Demand/default.aspx" TargetMode="External"/><Relationship Id="rId113" Type="http://schemas.openxmlformats.org/officeDocument/2006/relationships/hyperlink" Target="https://s26.q4cdn.com/126400783/files/doc_financials/2022/q2/Q2-FY22-Earnings-Presentation-vF.pdf" TargetMode="External"/><Relationship Id="rId134" Type="http://schemas.openxmlformats.org/officeDocument/2006/relationships/hyperlink" Target="https://s26.q4cdn.com/126400783/files/doc_presentations/Q3-FY22-Earnings-Presentation-vF.pdf" TargetMode="External"/><Relationship Id="rId80" Type="http://schemas.openxmlformats.org/officeDocument/2006/relationships/hyperlink" Target="https://s26.q4cdn.com/126400783/files/doc_presentations/2021/12/Company-Overview_Fall-2021_vF.pdf" TargetMode="External"/><Relationship Id="rId155" Type="http://schemas.openxmlformats.org/officeDocument/2006/relationships/hyperlink" Target="https://s26.q4cdn.com/126400783/files/doc_financials/2022/q4/Q4-FY22-Earnings-Presentation-vF.pdf" TargetMode="External"/><Relationship Id="rId176" Type="http://schemas.openxmlformats.org/officeDocument/2006/relationships/hyperlink" Target="https://s26.q4cdn.com/126400783/files/doc_financials/2023/q1/Q1-FY23-Earnings-Presentation-vF.pdf" TargetMode="External"/><Relationship Id="rId197" Type="http://schemas.openxmlformats.org/officeDocument/2006/relationships/hyperlink" Target="https://s26.q4cdn.com/126400783/files/doc_news/Stride-Posts-Record-Quarterly-Revenue-and-Profitability-2023.pdf" TargetMode="External"/><Relationship Id="rId201" Type="http://schemas.openxmlformats.org/officeDocument/2006/relationships/hyperlink" Target="https://s26.q4cdn.com/126400783/files/doc_financials/2023/q4/Q4-FY23-Earnings-Presentation-vF.pdf" TargetMode="External"/><Relationship Id="rId222" Type="http://schemas.openxmlformats.org/officeDocument/2006/relationships/hyperlink" Target="https://s26.q4cdn.com/126400783/files/doc_news/Another-Quarter-of-Record-Revenue-and-Profitability-for-Stride-2024.pdf" TargetMode="External"/><Relationship Id="rId243" Type="http://schemas.openxmlformats.org/officeDocument/2006/relationships/printerSettings" Target="../printerSettings/printerSettings10.bin"/><Relationship Id="rId17" Type="http://schemas.openxmlformats.org/officeDocument/2006/relationships/hyperlink" Target="http://investors.k12.com/node/16126/pdf" TargetMode="External"/><Relationship Id="rId38" Type="http://schemas.openxmlformats.org/officeDocument/2006/relationships/hyperlink" Target="http://investors.k12.com/news-releases/news-release-details/k12-inc-reports-full-year-fiscal-2020-revenues-104-billion" TargetMode="External"/><Relationship Id="rId59" Type="http://schemas.openxmlformats.org/officeDocument/2006/relationships/hyperlink" Target="https://s26.q4cdn.com/126400783/files/doc_financials/2021/q2/Q2-FY21-Earnings-Presentation-vFinal.pdf" TargetMode="External"/><Relationship Id="rId103" Type="http://schemas.openxmlformats.org/officeDocument/2006/relationships/hyperlink" Target="https://s26.q4cdn.com/126400783/files/doc_financials/2022/q2/Q2-FY22-Earnings-Presentation-vF.pdf" TargetMode="External"/><Relationship Id="rId124" Type="http://schemas.openxmlformats.org/officeDocument/2006/relationships/hyperlink" Target="https://s26.q4cdn.com/126400783/files/doc_financials/2022/q2/Q2-FY22-Earnings-Presentation-vF.pdf" TargetMode="External"/><Relationship Id="rId70" Type="http://schemas.openxmlformats.org/officeDocument/2006/relationships/hyperlink" Target="https://investors.stridelearning.com/news/news-details/2021/Stride-Guides-to-Revenue-and-Profitability-Growth-for-Fiscal-2022-Driven-by-Career-Learning-Demand/default.aspx" TargetMode="External"/><Relationship Id="rId91" Type="http://schemas.openxmlformats.org/officeDocument/2006/relationships/hyperlink" Target="https://s26.q4cdn.com/126400783/files/doc_presentations/2021/12/Company-Overview_Fall-2021_vF.pdf" TargetMode="External"/><Relationship Id="rId145" Type="http://schemas.openxmlformats.org/officeDocument/2006/relationships/hyperlink" Target="https://investors.stridelearning.com/news/news-details/2022/Strides-Career-Learning-Business-Continues-to-Drive-Growth/default.aspx" TargetMode="External"/><Relationship Id="rId166" Type="http://schemas.openxmlformats.org/officeDocument/2006/relationships/hyperlink" Target="https://s26.q4cdn.com/126400783/files/doc_news/Stride-Guides-to-Seventh-Straight-Year-of-Revenue-Growth-2022.pdf" TargetMode="External"/><Relationship Id="rId187" Type="http://schemas.openxmlformats.org/officeDocument/2006/relationships/hyperlink" Target="https://s26.q4cdn.com/126400783/files/doc_news/Stride-Achieves-Record-Enrollment-Growth-over-First-Quarter-2023.pdf" TargetMode="External"/><Relationship Id="rId1" Type="http://schemas.openxmlformats.org/officeDocument/2006/relationships/hyperlink" Target="http://investors.k12.com/phoenix.zhtml?c=214389&amp;p=irol-newsArticle&amp;ID=2395415" TargetMode="External"/><Relationship Id="rId212" Type="http://schemas.openxmlformats.org/officeDocument/2006/relationships/hyperlink" Target="https://s26.q4cdn.com/126400783/files/doc_news/Stride-Achieves-Record-Q1-Revenue-2023.pdf" TargetMode="External"/><Relationship Id="rId233" Type="http://schemas.openxmlformats.org/officeDocument/2006/relationships/hyperlink" Target="https://investors.stridelearning.com/news/news-details/2024/Stride-Posts-Another-Record-Quarter/default.aspx" TargetMode="External"/><Relationship Id="rId28" Type="http://schemas.openxmlformats.org/officeDocument/2006/relationships/hyperlink" Target="http://investors.k12.com/node/16261/pdf" TargetMode="External"/><Relationship Id="rId49" Type="http://schemas.openxmlformats.org/officeDocument/2006/relationships/hyperlink" Target="https://s26.q4cdn.com/126400783/files/doc_presentations/NewCo_IRDay_Presentation_Working_V21_IR-Website-4.pdf" TargetMode="External"/><Relationship Id="rId114" Type="http://schemas.openxmlformats.org/officeDocument/2006/relationships/hyperlink" Target="https://s26.q4cdn.com/126400783/files/doc_financials/2022/q2/Q2-FY22-Earnings-Presentation-vF.pdf" TargetMode="External"/><Relationship Id="rId60" Type="http://schemas.openxmlformats.org/officeDocument/2006/relationships/hyperlink" Target="https://investors.stridelearning.com/news/news-details/2021/Stride-Inc.-Posts-Revenue-Of-392.1-Million--Career-Learning-Revenue-Grows-191-Year-over-Year/default.aspx" TargetMode="External"/><Relationship Id="rId81" Type="http://schemas.openxmlformats.org/officeDocument/2006/relationships/hyperlink" Target="https://s26.q4cdn.com/126400783/files/doc_presentations/2021/12/Company-Overview_Fall-2021_vF.pdf" TargetMode="External"/><Relationship Id="rId135" Type="http://schemas.openxmlformats.org/officeDocument/2006/relationships/hyperlink" Target="https://s26.q4cdn.com/126400783/files/doc_presentations/Q3-FY22-Earnings-Presentation-vF.pdf" TargetMode="External"/><Relationship Id="rId156" Type="http://schemas.openxmlformats.org/officeDocument/2006/relationships/hyperlink" Target="https://s26.q4cdn.com/126400783/files/doc_financials/2022/q4/Q4-FY22-Earnings-Presentation-vF.pdf" TargetMode="External"/><Relationship Id="rId177" Type="http://schemas.openxmlformats.org/officeDocument/2006/relationships/hyperlink" Target="https://s26.q4cdn.com/126400783/files/doc_news/Stride-Achieves-Record-Enrollment-Growth-over-First-Quarter-2023.pdf" TargetMode="External"/><Relationship Id="rId198" Type="http://schemas.openxmlformats.org/officeDocument/2006/relationships/hyperlink" Target="https://s26.q4cdn.com/126400783/files/doc_news/Stride-Posts-Record-Quarterly-Revenue-and-Profitability-2023.pdf" TargetMode="External"/><Relationship Id="rId202" Type="http://schemas.openxmlformats.org/officeDocument/2006/relationships/hyperlink" Target="https://s26.q4cdn.com/126400783/files/doc_financials/2023/q4/Q4-FY23-Earnings-Presentation-vF.pdf" TargetMode="External"/><Relationship Id="rId223" Type="http://schemas.openxmlformats.org/officeDocument/2006/relationships/hyperlink" Target="https://s26.q4cdn.com/126400783/files/doc_news/Another-Quarter-of-Record-Revenue-and-Profitability-for-Stride-2024.pdf" TargetMode="External"/><Relationship Id="rId244" Type="http://schemas.openxmlformats.org/officeDocument/2006/relationships/vmlDrawing" Target="../drawings/vmlDrawing6.vml"/><Relationship Id="rId18" Type="http://schemas.openxmlformats.org/officeDocument/2006/relationships/hyperlink" Target="http://investors.k12.com/node/16126/pdf" TargetMode="External"/><Relationship Id="rId39" Type="http://schemas.openxmlformats.org/officeDocument/2006/relationships/hyperlink" Target="http://investors.k12.com/news-releases/news-release-details/k12-inc-reports-full-year-fiscal-2020-revenues-104-billion" TargetMode="External"/><Relationship Id="rId50" Type="http://schemas.openxmlformats.org/officeDocument/2006/relationships/hyperlink" Target="https://s26.q4cdn.com/126400783/files/doc_presentations/NewCo_IRDay_Presentation_Working_V21_IR-Website-4.pdf" TargetMode="External"/><Relationship Id="rId104" Type="http://schemas.openxmlformats.org/officeDocument/2006/relationships/hyperlink" Target="https://s26.q4cdn.com/126400783/files/doc_financials/2022/q2/Q2-FY22-Earnings-Presentation-vF.pdf" TargetMode="External"/><Relationship Id="rId125" Type="http://schemas.openxmlformats.org/officeDocument/2006/relationships/hyperlink" Target="https://s26.q4cdn.com/126400783/files/doc_financials/2022/q2/Q2-FY22-Earnings-Presentation-vF.pdf" TargetMode="External"/><Relationship Id="rId146" Type="http://schemas.openxmlformats.org/officeDocument/2006/relationships/hyperlink" Target="https://investors.stridelearning.com/news/news-details/2022/Strides-Career-Learning-Business-Continues-to-Drive-Growth/default.aspx" TargetMode="External"/><Relationship Id="rId167" Type="http://schemas.openxmlformats.org/officeDocument/2006/relationships/hyperlink" Target="https://s26.q4cdn.com/126400783/files/doc_news/Stride-Guides-to-Seventh-Straight-Year-of-Revenue-Growth-2022.pdf" TargetMode="External"/><Relationship Id="rId188" Type="http://schemas.openxmlformats.org/officeDocument/2006/relationships/hyperlink" Target="https://s26.q4cdn.com/126400783/files/doc_news/Stride-Achieves-Record-Enrollment-Growth-over-First-Quarter-2023.pdf" TargetMode="External"/><Relationship Id="rId71" Type="http://schemas.openxmlformats.org/officeDocument/2006/relationships/hyperlink" Target="https://investors.stridelearning.com/news/news-details/2021/Stride-Guides-to-Revenue-and-Profitability-Growth-for-Fiscal-2022-Driven-by-Career-Learning-Demand/default.aspx" TargetMode="External"/><Relationship Id="rId92" Type="http://schemas.openxmlformats.org/officeDocument/2006/relationships/hyperlink" Target="https://s26.q4cdn.com/126400783/files/doc_presentations/2021/12/Company-Overview_Fall-2021_vF.pdf" TargetMode="External"/><Relationship Id="rId213" Type="http://schemas.openxmlformats.org/officeDocument/2006/relationships/hyperlink" Target="https://s26.q4cdn.com/126400783/files/doc_news/Stride-Achieves-Record-Q1-Revenue-2023.pdf" TargetMode="External"/><Relationship Id="rId234" Type="http://schemas.openxmlformats.org/officeDocument/2006/relationships/hyperlink" Target="https://investors.stridelearning.com/news/news-details/2024/Stride-Posts-Another-Record-Quarter/default.aspx" TargetMode="External"/><Relationship Id="rId2" Type="http://schemas.openxmlformats.org/officeDocument/2006/relationships/hyperlink" Target="http://investors.k12.com/phoenix.zhtml?c=214389&amp;p=irol-newsArticle&amp;ID=2395415" TargetMode="External"/><Relationship Id="rId29" Type="http://schemas.openxmlformats.org/officeDocument/2006/relationships/hyperlink" Target="http://investors.k12.com/node/16261/pdf" TargetMode="External"/><Relationship Id="rId40" Type="http://schemas.openxmlformats.org/officeDocument/2006/relationships/hyperlink" Target="http://investors.k12.com/news-releases/news-release-details/k12-inc-reports-full-year-fiscal-2020-revenues-104-billion" TargetMode="External"/><Relationship Id="rId115" Type="http://schemas.openxmlformats.org/officeDocument/2006/relationships/hyperlink" Target="https://s26.q4cdn.com/126400783/files/doc_financials/2022/q2/Q2-FY22-Earnings-Presentation-vF.pdf" TargetMode="External"/><Relationship Id="rId136" Type="http://schemas.openxmlformats.org/officeDocument/2006/relationships/hyperlink" Target="https://s26.q4cdn.com/126400783/files/doc_presentations/Q3-FY22-Earnings-Presentation-vF.pdf" TargetMode="External"/><Relationship Id="rId157" Type="http://schemas.openxmlformats.org/officeDocument/2006/relationships/hyperlink" Target="https://s26.q4cdn.com/126400783/files/doc_financials/2022/q4/Q4-FY22-Earnings-Presentation-vF.pdf" TargetMode="External"/><Relationship Id="rId178" Type="http://schemas.openxmlformats.org/officeDocument/2006/relationships/hyperlink" Target="https://s26.q4cdn.com/126400783/files/doc_news/Stride-Achieves-Record-Enrollment-Growth-over-First-Quarter-2023.pdf" TargetMode="External"/><Relationship Id="rId61" Type="http://schemas.openxmlformats.org/officeDocument/2006/relationships/hyperlink" Target="https://investors.stridelearning.com/news/news-details/2021/Stride-Inc.-Posts-Revenue-Of-392.1-Million--Career-Learning-Revenue-Grows-191-Year-over-Year/default.aspx" TargetMode="External"/><Relationship Id="rId82" Type="http://schemas.openxmlformats.org/officeDocument/2006/relationships/hyperlink" Target="https://s26.q4cdn.com/126400783/files/doc_presentations/2021/12/Company-Overview_Fall-2021_vF.pdf" TargetMode="External"/><Relationship Id="rId199" Type="http://schemas.openxmlformats.org/officeDocument/2006/relationships/hyperlink" Target="https://s26.q4cdn.com/126400783/files/doc_financials/2023/q3/Q3-FY23-Earnings-Presentation-vF.pdf" TargetMode="External"/><Relationship Id="rId203" Type="http://schemas.openxmlformats.org/officeDocument/2006/relationships/hyperlink" Target="https://s26.q4cdn.com/126400783/files/doc_financials/2023/q4/Q4-FY23-Earnings-Presentation-vF.pdf" TargetMode="External"/><Relationship Id="rId19" Type="http://schemas.openxmlformats.org/officeDocument/2006/relationships/hyperlink" Target="http://investors.k12.com/node/16126/pdf" TargetMode="External"/><Relationship Id="rId224" Type="http://schemas.openxmlformats.org/officeDocument/2006/relationships/hyperlink" Target="https://s26.q4cdn.com/126400783/files/doc_news/Another-Quarter-of-Record-Revenue-and-Profitability-for-Stride-2024.pdf" TargetMode="External"/><Relationship Id="rId245" Type="http://schemas.openxmlformats.org/officeDocument/2006/relationships/comments" Target="../comments6.xml"/><Relationship Id="rId30" Type="http://schemas.openxmlformats.org/officeDocument/2006/relationships/hyperlink" Target="http://investors.k12.com/node/16261/pdf" TargetMode="External"/><Relationship Id="rId105" Type="http://schemas.openxmlformats.org/officeDocument/2006/relationships/hyperlink" Target="https://s26.q4cdn.com/126400783/files/doc_financials/2022/q2/Q2-FY22-Earnings-Presentation-vF.pdf" TargetMode="External"/><Relationship Id="rId126" Type="http://schemas.openxmlformats.org/officeDocument/2006/relationships/hyperlink" Target="https://s26.q4cdn.com/126400783/files/doc_financials/2022/q2/Q2-FY22-Earnings-Presentation-vF.pdf" TargetMode="External"/><Relationship Id="rId147" Type="http://schemas.openxmlformats.org/officeDocument/2006/relationships/hyperlink" Target="https://s26.q4cdn.com/126400783/files/doc_financials/2022/q4/Q4-FY22-Earnings-Presentation-vF.pdf" TargetMode="External"/><Relationship Id="rId168" Type="http://schemas.openxmlformats.org/officeDocument/2006/relationships/hyperlink" Target="https://s26.q4cdn.com/126400783/files/doc_news/Stride-Guides-to-Seventh-Straight-Year-of-Revenue-Growth-2022.pdf" TargetMode="External"/><Relationship Id="rId51" Type="http://schemas.openxmlformats.org/officeDocument/2006/relationships/hyperlink" Target="https://s26.q4cdn.com/126400783/files/doc_presentations/NewCo_IRDay_Presentation_Working_V21_IR-Website-4.pdf" TargetMode="External"/><Relationship Id="rId72" Type="http://schemas.openxmlformats.org/officeDocument/2006/relationships/hyperlink" Target="https://investors.stridelearning.com/news/news-details/2021/Stride-Guides-to-Revenue-and-Profitability-Growth-for-Fiscal-2022-Driven-by-Career-Learning-Demand/default.aspx" TargetMode="External"/><Relationship Id="rId93" Type="http://schemas.openxmlformats.org/officeDocument/2006/relationships/hyperlink" Target="https://s26.q4cdn.com/126400783/files/doc_presentations/2021/12/Company-Overview_Fall-2021_vF.pdf" TargetMode="External"/><Relationship Id="rId189" Type="http://schemas.openxmlformats.org/officeDocument/2006/relationships/hyperlink" Target="https://s26.q4cdn.com/126400783/files/doc_news/Stride-Achieves-Record-Enrollment-Growth-over-First-Quarter-2023.pdf" TargetMode="External"/><Relationship Id="rId3" Type="http://schemas.openxmlformats.org/officeDocument/2006/relationships/hyperlink" Target="http://investors.k12.com/phoenix.zhtml?c=214389&amp;p=irol-newsArticle&amp;ID=2395415" TargetMode="External"/><Relationship Id="rId214" Type="http://schemas.openxmlformats.org/officeDocument/2006/relationships/hyperlink" Target="https://s26.q4cdn.com/126400783/files/doc_news/Stride-Achieves-Record-Q1-Revenue-2023.pdf" TargetMode="External"/><Relationship Id="rId235" Type="http://schemas.openxmlformats.org/officeDocument/2006/relationships/hyperlink" Target="https://investors.stridelearning.com/news/news-details/2024/Stride-Posts-Another-Record-Quarter/default.aspx" TargetMode="External"/><Relationship Id="rId116" Type="http://schemas.openxmlformats.org/officeDocument/2006/relationships/hyperlink" Target="https://s26.q4cdn.com/126400783/files/doc_financials/2022/q2/Q2-FY22-Earnings-Presentation-vF.pdf" TargetMode="External"/><Relationship Id="rId137" Type="http://schemas.openxmlformats.org/officeDocument/2006/relationships/hyperlink" Target="https://s26.q4cdn.com/126400783/files/doc_presentations/Q3-FY22-Earnings-Presentation-vF.pdf" TargetMode="External"/><Relationship Id="rId158" Type="http://schemas.openxmlformats.org/officeDocument/2006/relationships/hyperlink" Target="https://s26.q4cdn.com/126400783/files/doc_financials/2022/q4/Q4-FY22-Earnings-Presentation-vF.pdf" TargetMode="External"/><Relationship Id="rId20" Type="http://schemas.openxmlformats.org/officeDocument/2006/relationships/hyperlink" Target="http://investors.k12.com/node/16126/pdf" TargetMode="External"/><Relationship Id="rId41" Type="http://schemas.openxmlformats.org/officeDocument/2006/relationships/hyperlink" Target="http://investors.k12.com/news-releases/news-release-details/k12-inc-announces-first-quarter-revenues-increased-443-3710" TargetMode="External"/><Relationship Id="rId62" Type="http://schemas.openxmlformats.org/officeDocument/2006/relationships/hyperlink" Target="https://investors.stridelearning.com/news/news-details/2021/Stride-Guides-to-Revenue-and-Profitability-Growth-for-Fiscal-2022-Driven-by-Career-Learning-Demand/default.aspx" TargetMode="External"/><Relationship Id="rId83" Type="http://schemas.openxmlformats.org/officeDocument/2006/relationships/hyperlink" Target="https://s26.q4cdn.com/126400783/files/doc_presentations/2021/12/Company-Overview_Fall-2021_vF.pdf" TargetMode="External"/><Relationship Id="rId179" Type="http://schemas.openxmlformats.org/officeDocument/2006/relationships/hyperlink" Target="https://s26.q4cdn.com/126400783/files/doc_news/Stride-Achieves-Record-Enrollment-Growth-over-First-Quarter-2023.pdf" TargetMode="External"/><Relationship Id="rId190" Type="http://schemas.openxmlformats.org/officeDocument/2006/relationships/hyperlink" Target="https://s26.q4cdn.com/126400783/files/doc_financials/2023/q2/Q2-FY23-Earnings-Presentation-vF.pdf" TargetMode="External"/><Relationship Id="rId204" Type="http://schemas.openxmlformats.org/officeDocument/2006/relationships/hyperlink" Target="https://s26.q4cdn.com/126400783/files/doc_news/Stride-Achieves-Record-Q1-Revenue-2023.pdf" TargetMode="External"/><Relationship Id="rId225" Type="http://schemas.openxmlformats.org/officeDocument/2006/relationships/hyperlink" Target="https://s26.q4cdn.com/126400783/files/doc_news/Another-Quarter-of-Record-Revenue-and-Profitability-for-Stride-2024.pdf" TargetMode="External"/><Relationship Id="rId106" Type="http://schemas.openxmlformats.org/officeDocument/2006/relationships/hyperlink" Target="https://s26.q4cdn.com/126400783/files/doc_financials/2022/q2/Q2-FY22-Earnings-Presentation-vF.pdf" TargetMode="External"/><Relationship Id="rId127" Type="http://schemas.openxmlformats.org/officeDocument/2006/relationships/hyperlink" Target="https://investors.stridelearning.com/news/news-details/2022/Strides-Career-Learning-Business-Continues-to-Drive-Growth/default.aspx"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6" Type="http://schemas.openxmlformats.org/officeDocument/2006/relationships/hyperlink" Target="https://nces.ed.gov/ccd/schoolsearch/school_detail.asp?Search=1&amp;InstName=Texas+Virtual+Academy+at+Hallsville&amp;SchoolType=1&amp;SchoolType=2&amp;SchoolType=3&amp;SchoolType=4&amp;SpecificSchlTypes=all&amp;IncGrade=-1&amp;LoGrade=-1&amp;HiGrade=-1&amp;ID=482217012918" TargetMode="External"/><Relationship Id="rId117" Type="http://schemas.openxmlformats.org/officeDocument/2006/relationships/printerSettings" Target="../printerSettings/printerSettings17.bin"/><Relationship Id="rId21" Type="http://schemas.openxmlformats.org/officeDocument/2006/relationships/hyperlink" Target="https://nces.ed.gov/ccd/schoolsearch/school_detail.asp?Search=1&amp;InstName=Insight+School+of+Oregon+-+Painted+Hills&amp;SchoolType=1&amp;SchoolType=2&amp;SchoolType=3&amp;SchoolType=4&amp;SpecificSchlTypes=all&amp;IncGrade=-1&amp;LoGrade=-1&amp;HiGrade=-1&amp;ID=410828001813" TargetMode="External"/><Relationship Id="rId42" Type="http://schemas.openxmlformats.org/officeDocument/2006/relationships/hyperlink" Target="https://nces.ed.gov/ccd/schoolsearch/school_detail.asp?Search=1&amp;InstName=Highpoint+Virtual+Academy+of+Michigan&amp;SchoolType=1&amp;SchoolType=2&amp;SchoolType=3&amp;SchoolType=4&amp;SpecificSchlTypes=all&amp;IncGrade=-1&amp;LoGrade=-1&amp;HiGrade=-1&amp;ID=260110708801" TargetMode="External"/><Relationship Id="rId47" Type="http://schemas.openxmlformats.org/officeDocument/2006/relationships/hyperlink" Target="https://nces.ed.gov/transfer.asp?location=www.flcca.k12.com" TargetMode="External"/><Relationship Id="rId63" Type="http://schemas.openxmlformats.org/officeDocument/2006/relationships/hyperlink" Target="https://nces.ed.gov/ccd/schoolsearch/school_detail.asp?Search=1&amp;InstName=Destinations+Career+Academy+of+Georgia&amp;State=13&amp;SchoolType=1&amp;SchoolType=2&amp;SchoolType=3&amp;SchoolType=4&amp;SpecificSchlTypes=all&amp;IncGrade=-1&amp;LoGrade=-1&amp;HiGrade=-1&amp;ID=130585304460" TargetMode="External"/><Relationship Id="rId68" Type="http://schemas.openxmlformats.org/officeDocument/2006/relationships/hyperlink" Target="https://nces.ed.gov/ccd/schoolsearch/school_detail.asp?Search=1&amp;InstName=Indiana+Digital&amp;State=18&amp;SchoolType=1&amp;SchoolType=2&amp;SchoolType=3&amp;SchoolType=4&amp;SpecificSchlTypes=all&amp;IncGrade=-1&amp;LoGrade=-1&amp;HiGrade=-1&amp;ID=181173002660" TargetMode="External"/><Relationship Id="rId84" Type="http://schemas.openxmlformats.org/officeDocument/2006/relationships/hyperlink" Target="https://nces.ed.gov/transfer.asp?location=www.k12.com/wiva" TargetMode="External"/><Relationship Id="rId89" Type="http://schemas.openxmlformats.org/officeDocument/2006/relationships/hyperlink" Target="https://nces.ed.gov/transfer.asp?location=www.friendshipschools.org" TargetMode="External"/><Relationship Id="rId112" Type="http://schemas.openxmlformats.org/officeDocument/2006/relationships/hyperlink" Target="https://nces.ed.gov/transfer.asp?location=tnva.k12.com/" TargetMode="External"/><Relationship Id="rId16" Type="http://schemas.openxmlformats.org/officeDocument/2006/relationships/hyperlink" Target="https://nces.ed.gov/transfer.asp?location=odls.k12.com/" TargetMode="External"/><Relationship Id="rId107" Type="http://schemas.openxmlformats.org/officeDocument/2006/relationships/hyperlink" Target="https://nces.ed.gov/transfer.asp?location=www.bved.net" TargetMode="External"/><Relationship Id="rId11" Type="http://schemas.openxmlformats.org/officeDocument/2006/relationships/hyperlink" Target="https://nces.ed.gov/transfer.asp?location=www.caliva.org" TargetMode="External"/><Relationship Id="rId32" Type="http://schemas.openxmlformats.org/officeDocument/2006/relationships/hyperlink" Target="https://nces.ed.gov/ccd/schoolsearch/school_detail.asp?Search=1&amp;InstName=West+Virginia+Virtual+Academy&amp;SchoolType=1&amp;SchoolType=2&amp;SchoolType=3&amp;SchoolType=4&amp;SpecificSchlTypes=all&amp;IncGrade=-1&amp;LoGrade=-1&amp;HiGrade=-1&amp;ID=540006401606" TargetMode="External"/><Relationship Id="rId37" Type="http://schemas.openxmlformats.org/officeDocument/2006/relationships/hyperlink" Target="https://nces.ed.gov/transfer.asp?location=mn.insightschools.net/" TargetMode="External"/><Relationship Id="rId53" Type="http://schemas.openxmlformats.org/officeDocument/2006/relationships/hyperlink" Target="https://nces.ed.gov/ccd/schoolsearch/school_detail.asp?Search=1&amp;InstName=Monroe+Virtual+Instruction+Program&amp;State=12&amp;SchoolType=1&amp;SchoolType=2&amp;SchoolType=3&amp;SchoolType=4&amp;SpecificSchlTypes=all&amp;IncGrade=-1&amp;LoGrade=-1&amp;HiGrade=-1&amp;ID=120132007723" TargetMode="External"/><Relationship Id="rId58" Type="http://schemas.openxmlformats.org/officeDocument/2006/relationships/hyperlink" Target="https://nces.ed.gov/ccd/schoolsearch/school_detail.asp?Search=1&amp;InstName=Palm+Beach+Virtual&amp;State=12&amp;SchoolType=1&amp;SchoolType=2&amp;SchoolType=3&amp;SchoolType=4&amp;SpecificSchlTypes=all&amp;IncGrade=-1&amp;LoGrade=-1&amp;HiGrade=-1&amp;ID=120150007579" TargetMode="External"/><Relationship Id="rId74" Type="http://schemas.openxmlformats.org/officeDocument/2006/relationships/hyperlink" Target="https://nces.ed.gov/ccd/schoolsearch/school_detail.asp?Search=1&amp;InstName=Kentucky+Virtual+Academy&amp;State=21&amp;SchoolType=1&amp;SchoolType=2&amp;SchoolType=3&amp;SchoolType=4&amp;SpecificSchlTypes=all&amp;IncGrade=-1&amp;LoGrade=-1&amp;HiGrade=-1&amp;ID=210129002566" TargetMode="External"/><Relationship Id="rId79" Type="http://schemas.openxmlformats.org/officeDocument/2006/relationships/hyperlink" Target="https://cva.k12.com/" TargetMode="External"/><Relationship Id="rId102" Type="http://schemas.openxmlformats.org/officeDocument/2006/relationships/hyperlink" Target="https://nces.ed.gov/ccd/schoolsearch/school_detail.asp?Search=1&amp;InstName=Dixie+Virtual+Instruction+Program&amp;State=12&amp;SchoolType=1&amp;SchoolType=2&amp;SchoolType=3&amp;SchoolType=4&amp;SpecificSchlTypes=all&amp;IncGrade=-1&amp;LoGrade=-1&amp;HiGrade=-1&amp;ID=120045007674" TargetMode="External"/><Relationship Id="rId5" Type="http://schemas.openxmlformats.org/officeDocument/2006/relationships/hyperlink" Target="https://nces.ed.gov/ccd/schoolsearch/school_detail.asp?Search=1&amp;InstName=Arizona+Virtual+Academy&amp;SchoolType=1&amp;SchoolType=2&amp;SchoolType=3&amp;SchoolType=4&amp;SpecificSchlTypes=all&amp;IncGrade=-1&amp;LoGrade=-1&amp;HiGrade=-1&amp;ID=040043202200" TargetMode="External"/><Relationship Id="rId90" Type="http://schemas.openxmlformats.org/officeDocument/2006/relationships/hyperlink" Target="https://nces.ed.gov/transfer.asp?location=www.bakerk12.org" TargetMode="External"/><Relationship Id="rId95" Type="http://schemas.openxmlformats.org/officeDocument/2006/relationships/hyperlink" Target="http://www.gilchristschools.org/" TargetMode="External"/><Relationship Id="rId22" Type="http://schemas.openxmlformats.org/officeDocument/2006/relationships/hyperlink" Target="https://nces.ed.gov/ccd/schoolsearch/school_detail.asp?Search=1&amp;InstName=Destinations+Career+Academy+of+Oregon&amp;SchoolType=1&amp;SchoolType=2&amp;SchoolType=3&amp;SchoolType=4&amp;SpecificSchlTypes=all&amp;IncGrade=-1&amp;LoGrade=-1&amp;HiGrade=-1&amp;ID=410828001864" TargetMode="External"/><Relationship Id="rId27" Type="http://schemas.openxmlformats.org/officeDocument/2006/relationships/hyperlink" Target="https://nces.ed.gov/ccd/schoolsearch/school_detail.asp?Search=1&amp;InstName=Texas+Online+Preparatory+School&amp;SchoolType=1&amp;SchoolType=2&amp;SchoolType=3&amp;SchoolType=4&amp;SpecificSchlTypes=all&amp;IncGrade=-1&amp;LoGrade=-1&amp;HiGrade=-1&amp;ID=482403012936" TargetMode="External"/><Relationship Id="rId43" Type="http://schemas.openxmlformats.org/officeDocument/2006/relationships/hyperlink" Target="https://nces.ed.gov/transfer.asp?location=mvca.k12.com/" TargetMode="External"/><Relationship Id="rId48" Type="http://schemas.openxmlformats.org/officeDocument/2006/relationships/hyperlink" Target="https://nces.ed.gov/ccd/schoolsearch/school_detail.asp?Search=1&amp;InstName=Flagler+Virtual+Instruction+Program&amp;State=12&amp;SchoolType=1&amp;SchoolType=2&amp;SchoolType=3&amp;SchoolType=4&amp;SpecificSchlTypes=all&amp;IncGrade=-1&amp;LoGrade=-1&amp;HiGrade=-1&amp;ID=120054007682" TargetMode="External"/><Relationship Id="rId64" Type="http://schemas.openxmlformats.org/officeDocument/2006/relationships/hyperlink" Target="https://nces.ed.gov/ccd/schoolsearch/school_detail.asp?Search=1&amp;InstName=Idaho+Technical+Career+Academy&amp;State=16&amp;SchoolType=1&amp;SchoolType=2&amp;SchoolType=3&amp;SchoolType=4&amp;SpecificSchlTypes=all&amp;IncGrade=-1&amp;LoGrade=-1&amp;HiGrade=-1&amp;ID=160017101069" TargetMode="External"/><Relationship Id="rId69" Type="http://schemas.openxmlformats.org/officeDocument/2006/relationships/hyperlink" Target="https://nces.ed.gov/ccd/schoolsearch/school_detail.asp?Search=1&amp;InstName=Iowa+Virtual+Academy&amp;State=19&amp;SchoolType=1&amp;SchoolType=2&amp;SchoolType=3&amp;SchoolType=4&amp;SpecificSchlTypes=all&amp;IncGrade=-1&amp;LoGrade=-1&amp;HiGrade=-1&amp;ID=191335002206" TargetMode="External"/><Relationship Id="rId113" Type="http://schemas.openxmlformats.org/officeDocument/2006/relationships/hyperlink" Target="https://nces.ed.gov/ccd/schoolsearch/school_detail.asp?Search=1&amp;DistrictID=4704290&amp;ID=470429002280" TargetMode="External"/><Relationship Id="rId118" Type="http://schemas.openxmlformats.org/officeDocument/2006/relationships/vmlDrawing" Target="../drawings/vmlDrawing7.vml"/><Relationship Id="rId80" Type="http://schemas.openxmlformats.org/officeDocument/2006/relationships/hyperlink" Target="https://nces.ed.gov/transfer.asp?location=www.conecuh.k12.al.us/?DivisionID=21021" TargetMode="External"/><Relationship Id="rId85" Type="http://schemas.openxmlformats.org/officeDocument/2006/relationships/hyperlink" Target="https://nces.ed.gov/transfer.asp?location=lonestarvirtual.org/" TargetMode="External"/><Relationship Id="rId12" Type="http://schemas.openxmlformats.org/officeDocument/2006/relationships/hyperlink" Target="https://nces.ed.gov/ccd/schoolsearch/school_detail.asp?Search=1&amp;InstName=Insight+School+of+California&amp;SchoolType=1&amp;SchoolType=2&amp;SchoolType=3&amp;SchoolType=4&amp;SpecificSchlTypes=all&amp;IncGrade=-1&amp;LoGrade=-1&amp;HiGrade=-1&amp;ID=060174513167" TargetMode="External"/><Relationship Id="rId17" Type="http://schemas.openxmlformats.org/officeDocument/2006/relationships/hyperlink" Target="https://nces.ed.gov/ccd/schoolsearch/school_detail.asp?Search=1&amp;InstName=Ohio+Digital+Learning+School&amp;SchoolType=1&amp;SchoolType=2&amp;SchoolType=3&amp;SchoolType=4&amp;SpecificSchlTypes=all&amp;IncGrade=-1&amp;LoGrade=-1&amp;HiGrade=-1&amp;ID=390161506004" TargetMode="External"/><Relationship Id="rId33" Type="http://schemas.openxmlformats.org/officeDocument/2006/relationships/hyperlink" Target="https://nces.ed.gov/transfer.asp?location=www.widca.k12.com" TargetMode="External"/><Relationship Id="rId38" Type="http://schemas.openxmlformats.org/officeDocument/2006/relationships/hyperlink" Target="https://nces.ed.gov/ccd/schoolsearch/school_detail.asp?Search=1&amp;InstName=Insight+School+of+Minnesota&amp;SchoolType=1&amp;SchoolType=2&amp;SchoolType=3&amp;SchoolType=4&amp;SpecificSchlTypes=all&amp;IncGrade=-1&amp;LoGrade=-1&amp;HiGrade=-1&amp;ID=270624004306" TargetMode="External"/><Relationship Id="rId59" Type="http://schemas.openxmlformats.org/officeDocument/2006/relationships/hyperlink" Target="https://nces.ed.gov/ccd/schoolsearch/school_detail.asp?Search=1&amp;InstName=St.+Lucie+Virtual&amp;State=12&amp;SchoolType=1&amp;SchoolType=2&amp;SchoolType=3&amp;SchoolType=4&amp;SpecificSchlTypes=all&amp;IncGrade=-1&amp;LoGrade=-1&amp;HiGrade=-1&amp;ID=120177007766" TargetMode="External"/><Relationship Id="rId103" Type="http://schemas.openxmlformats.org/officeDocument/2006/relationships/hyperlink" Target="http://www.dixie.k12.fl.us/" TargetMode="External"/><Relationship Id="rId108" Type="http://schemas.openxmlformats.org/officeDocument/2006/relationships/hyperlink" Target="https://nces.ed.gov/transfer.asp?location=www.bved.net" TargetMode="External"/><Relationship Id="rId54" Type="http://schemas.openxmlformats.org/officeDocument/2006/relationships/hyperlink" Target="https://nces.ed.gov/ccd/schoolsearch/school_detail.asp?Search=1&amp;InstName=Monroe+Virtual+Instruction+Program&amp;State=12&amp;SchoolType=1&amp;SchoolType=2&amp;SchoolType=3&amp;SchoolType=4&amp;SpecificSchlTypes=all&amp;IncGrade=-1&amp;LoGrade=-1&amp;HiGrade=-1&amp;ID=120132007723" TargetMode="External"/><Relationship Id="rId70" Type="http://schemas.openxmlformats.org/officeDocument/2006/relationships/hyperlink" Target="http://www.usd230.org/ourschools/insightschoolofkansas/" TargetMode="External"/><Relationship Id="rId75" Type="http://schemas.openxmlformats.org/officeDocument/2006/relationships/hyperlink" Target="https://nces.ed.gov/ccd/schoolsearch/school_detail.asp?Search=1&amp;InstName=Louisiana+Virtual+Charter+Academy&amp;State=22&amp;SchoolType=1&amp;SchoolType=2&amp;SchoolType=3&amp;SchoolType=4&amp;SpecificSchlTypes=all&amp;IncGrade=-1&amp;LoGrade=-1&amp;HiGrade=-1&amp;ID=220023302320" TargetMode="External"/><Relationship Id="rId91" Type="http://schemas.openxmlformats.org/officeDocument/2006/relationships/hyperlink" Target="https://nces.ed.gov/ccd/schoolsearch/school_detail.asp?Search=1&amp;InstName=Indian+River+Virtual+Instruction+Program&amp;State=12&amp;SchoolType=1&amp;SchoolType=2&amp;SchoolType=3&amp;SchoolType=4&amp;SpecificSchlTypes=all&amp;IncGrade=-1&amp;LoGrade=-1&amp;HiGrade=-1&amp;ID=120093007737" TargetMode="External"/><Relationship Id="rId96" Type="http://schemas.openxmlformats.org/officeDocument/2006/relationships/hyperlink" Target="https://nces.ed.gov/ccd/schoolsearch/school_detail.asp?Search=1&amp;InstName=Gadsden+Virtual+Instruction+Program&amp;State=12&amp;SchoolType=1&amp;SchoolType=2&amp;SchoolType=3&amp;SchoolType=4&amp;SpecificSchlTypes=all&amp;IncGrade=-1&amp;LoGrade=-1&amp;HiGrade=-1&amp;ID=120060007756" TargetMode="External"/><Relationship Id="rId1" Type="http://schemas.openxmlformats.org/officeDocument/2006/relationships/hyperlink" Target="https://nces.ed.gov/ccd/schoolsearch/school_detail.asp?Search=1&amp;InstName=Alabama+Virtual+Academy&amp;SchoolType=1&amp;SchoolType=2&amp;SchoolType=3&amp;SchoolType=4&amp;SpecificSchlTypes=all&amp;IncGrade=-1&amp;LoGrade=-1&amp;HiGrade=-1&amp;ID=010141002439" TargetMode="External"/><Relationship Id="rId6" Type="http://schemas.openxmlformats.org/officeDocument/2006/relationships/hyperlink" Target="https://azva.k12.com/" TargetMode="External"/><Relationship Id="rId23" Type="http://schemas.openxmlformats.org/officeDocument/2006/relationships/hyperlink" Target="https://nces.ed.gov/ccd/schoolsearch/school_detail.asp?Search=1&amp;InstName=Cyber+Academy+of+South+Carolina&amp;SchoolType=1&amp;SchoolType=2&amp;SchoolType=3&amp;SchoolType=4&amp;SpecificSchlTypes=all&amp;IncGrade=-1&amp;LoGrade=-1&amp;HiGrade=-1&amp;ID=450390901616" TargetMode="External"/><Relationship Id="rId28" Type="http://schemas.openxmlformats.org/officeDocument/2006/relationships/hyperlink" Target="https://nces.ed.gov/ccd/schoolsearch/school_detail.asp?Search=1&amp;InstName=Digital+Academy+of+Texas&amp;SchoolType=1&amp;SchoolType=2&amp;SchoolType=3&amp;SchoolType=4&amp;SpecificSchlTypes=all&amp;IncGrade=-1&amp;LoGrade=-1&amp;HiGrade=-1&amp;ID=484248013901" TargetMode="External"/><Relationship Id="rId49" Type="http://schemas.openxmlformats.org/officeDocument/2006/relationships/hyperlink" Target="https://nces.ed.gov/ccd/schoolsearch/school_detail.asp?Search=1&amp;InstName=Miami-Dade+Online+Academy&amp;SchoolType=1&amp;SchoolType=2&amp;SchoolType=3&amp;SchoolType=4&amp;SpecificSchlTypes=all&amp;IncGrade=-1&amp;LoGrade=-1&amp;HiGrade=-1&amp;ID=120039007580" TargetMode="External"/><Relationship Id="rId114" Type="http://schemas.openxmlformats.org/officeDocument/2006/relationships/hyperlink" Target="https://nces.ed.gov/transfer.asp?location=tnva.k12.com/" TargetMode="External"/><Relationship Id="rId119" Type="http://schemas.openxmlformats.org/officeDocument/2006/relationships/comments" Target="../comments7.xml"/><Relationship Id="rId10" Type="http://schemas.openxmlformats.org/officeDocument/2006/relationships/hyperlink" Target="https://nces.ed.gov/ccd/schoolsearch/school_detail.asp?Search=1&amp;InstName=IQ+Academy+California-Los+Angeles&amp;SchoolType=1&amp;SchoolType=2&amp;SchoolType=3&amp;SchoolType=4&amp;SpecificSchlTypes=all&amp;IncGrade=-1&amp;LoGrade=-1&amp;HiGrade=-1&amp;ID=060196412477" TargetMode="External"/><Relationship Id="rId31" Type="http://schemas.openxmlformats.org/officeDocument/2006/relationships/hyperlink" Target="https://nces.ed.gov/ccd/schoolsearch/school_detail.asp?Search=1&amp;InstName=Insight+School+of+Washington&amp;SchoolType=1&amp;SchoolType=2&amp;SchoolType=3&amp;SchoolType=4&amp;SpecificSchlTypes=all&amp;IncGrade=-1&amp;LoGrade=-1&amp;HiGrade=-1&amp;ID=530702003078" TargetMode="External"/><Relationship Id="rId44" Type="http://schemas.openxmlformats.org/officeDocument/2006/relationships/hyperlink" Target="https://nces.ed.gov/ccd/schoolsearch/school_detail.asp?Search=1&amp;InstName=Michigan+Virtual+Charter+Academy&amp;SchoolType=1&amp;SchoolType=2&amp;SchoolType=3&amp;SchoolType=4&amp;SpecificSchlTypes=all&amp;IncGrade=-1&amp;LoGrade=-1&amp;HiGrade=-1&amp;ID=260097208180" TargetMode="External"/><Relationship Id="rId52" Type="http://schemas.openxmlformats.org/officeDocument/2006/relationships/hyperlink" Target="https://nces.ed.gov/ccd/schoolsearch/school_detail.asp?Search=1&amp;InstName=Lake+Virtual+Instruction+Program&amp;State=12&amp;SchoolType=1&amp;SchoolType=2&amp;SchoolType=3&amp;SchoolType=4&amp;SpecificSchlTypes=all&amp;IncGrade=-1&amp;LoGrade=-1&amp;HiGrade=-1&amp;ID=120105007681" TargetMode="External"/><Relationship Id="rId60" Type="http://schemas.openxmlformats.org/officeDocument/2006/relationships/hyperlink" Target="https://nces.ed.gov/ccd/schoolsearch/school_detail.asp?Search=1&amp;InstName=St.+Lucie+Virtual&amp;State=12&amp;SchoolType=1&amp;SchoolType=2&amp;SchoolType=3&amp;SchoolType=4&amp;SpecificSchlTypes=all&amp;IncGrade=-1&amp;LoGrade=-1&amp;HiGrade=-1&amp;ID=120177007766" TargetMode="External"/><Relationship Id="rId65" Type="http://schemas.openxmlformats.org/officeDocument/2006/relationships/hyperlink" Target="https://nces.ed.gov/ccd/schoolsearch/school_detail.asp?Search=1&amp;InstName=Idaho+Virtual+Academy&amp;State=16&amp;SchoolType=1&amp;SchoolType=2&amp;SchoolType=3&amp;SchoolType=4&amp;SpecificSchlTypes=all&amp;IncGrade=-1&amp;LoGrade=-1&amp;HiGrade=-1&amp;ID=160000400859" TargetMode="External"/><Relationship Id="rId73" Type="http://schemas.openxmlformats.org/officeDocument/2006/relationships/hyperlink" Target="https://nces.ed.gov/ccd/schoolsearch/school_detail.asp?Search=1&amp;InstName=Insight+School+of+Kansas&amp;State=20&amp;SchoolType=1&amp;SchoolType=2&amp;SchoolType=3&amp;SchoolType=4&amp;SpecificSchlTypes=all&amp;IncGrade=-1&amp;LoGrade=-1&amp;HiGrade=-1&amp;ID=201185001918" TargetMode="External"/><Relationship Id="rId78" Type="http://schemas.openxmlformats.org/officeDocument/2006/relationships/hyperlink" Target="https://ordca.k12.com/" TargetMode="External"/><Relationship Id="rId81" Type="http://schemas.openxmlformats.org/officeDocument/2006/relationships/hyperlink" Target="http://insightpa.k12.com/" TargetMode="External"/><Relationship Id="rId86" Type="http://schemas.openxmlformats.org/officeDocument/2006/relationships/hyperlink" Target="https://nces.ed.gov/transfer.asp?location=www.caliva.org" TargetMode="External"/><Relationship Id="rId94" Type="http://schemas.openxmlformats.org/officeDocument/2006/relationships/hyperlink" Target="https://nces.ed.gov/ccd/schoolsearch/school_detail.asp?Search=1&amp;InstName=Gilchrist+Virtual+Instruction+Program&amp;State=12&amp;SchoolType=1&amp;SchoolType=2&amp;SchoolType=3&amp;SchoolType=4&amp;SpecificSchlTypes=all&amp;IncGrade=-1&amp;LoGrade=-1&amp;HiGrade=-1&amp;ID=120063007742" TargetMode="External"/><Relationship Id="rId99" Type="http://schemas.openxmlformats.org/officeDocument/2006/relationships/hyperlink" Target="http://flvsft.com/" TargetMode="External"/><Relationship Id="rId101" Type="http://schemas.openxmlformats.org/officeDocument/2006/relationships/hyperlink" Target="http://www.flaglerschools.com/" TargetMode="External"/><Relationship Id="rId4" Type="http://schemas.openxmlformats.org/officeDocument/2006/relationships/hyperlink" Target="https://nces.ed.gov/ccd/schoolsearch/school_detail.asp?Search=1&amp;InstName=Insight+Academy+of+Arizona&amp;SchoolType=1&amp;SchoolType=2&amp;SchoolType=3&amp;SchoolType=4&amp;SpecificSchlTypes=all&amp;IncGrade=-1&amp;LoGrade=-1&amp;HiGrade=-1&amp;ID=040043203324" TargetMode="External"/><Relationship Id="rId9" Type="http://schemas.openxmlformats.org/officeDocument/2006/relationships/hyperlink" Target="http://iqca.k12start.com/" TargetMode="External"/><Relationship Id="rId13" Type="http://schemas.openxmlformats.org/officeDocument/2006/relationships/hyperlink" Target="https://nces.ed.gov/ccd/schoolsearch/school_detail.asp?Search=1&amp;InstName=Destinations+Career+Academy+of+Colorado&amp;SchoolType=1&amp;SchoolType=2&amp;SchoolType=3&amp;SchoolType=4&amp;SpecificSchlTypes=all&amp;IncGrade=-1&amp;LoGrade=-1&amp;HiGrade=-1&amp;ID=080486006387" TargetMode="External"/><Relationship Id="rId18" Type="http://schemas.openxmlformats.org/officeDocument/2006/relationships/hyperlink" Target="https://nces.ed.gov/ccd/schoolsearch/school_detail.asp?Search=1&amp;InstName=Insight+School+of+Oklahoma&amp;SchoolType=1&amp;SchoolType=2&amp;SchoolType=3&amp;SchoolType=4&amp;SpecificSchlTypes=all&amp;IncGrade=-1&amp;LoGrade=-1&amp;HiGrade=-1&amp;ID=400078502792" TargetMode="External"/><Relationship Id="rId39" Type="http://schemas.openxmlformats.org/officeDocument/2006/relationships/hyperlink" Target="https://nces.ed.gov/ccd/schoolsearch/school_detail.asp?Search=1&amp;InstName=Michigan+Great+Lakes+Virtual+Academy&amp;SchoolType=1&amp;SchoolType=2&amp;SchoolType=3&amp;SchoolType=4&amp;SpecificSchlTypes=all&amp;IncGrade=-1&amp;LoGrade=-1&amp;HiGrade=-1&amp;ID=260107008516" TargetMode="External"/><Relationship Id="rId109" Type="http://schemas.openxmlformats.org/officeDocument/2006/relationships/hyperlink" Target="https://nces.ed.gov/transfer.asp?location=www.jcsb.org" TargetMode="External"/><Relationship Id="rId34" Type="http://schemas.openxmlformats.org/officeDocument/2006/relationships/hyperlink" Target="https://nces.ed.gov/transfer.asp?location=www.wiva.k12.com" TargetMode="External"/><Relationship Id="rId50" Type="http://schemas.openxmlformats.org/officeDocument/2006/relationships/hyperlink" Target="https://nces.ed.gov/ccd/schoolsearch/school_detail.asp?Search=1&amp;InstName=Bay+Virtual+Instruction+Program&amp;SchoolType=1&amp;SchoolType=2&amp;SchoolType=3&amp;SchoolType=4&amp;SpecificSchlTypes=all&amp;IncGrade=-1&amp;LoGrade=-1&amp;HiGrade=-1&amp;ID=120009007771" TargetMode="External"/><Relationship Id="rId55" Type="http://schemas.openxmlformats.org/officeDocument/2006/relationships/hyperlink" Target="http://pbv.palmbeachschools.org/" TargetMode="External"/><Relationship Id="rId76" Type="http://schemas.openxmlformats.org/officeDocument/2006/relationships/hyperlink" Target="https://nces.ed.gov/transfer.asp?location=www.mainevirtualacademy.org" TargetMode="External"/><Relationship Id="rId97" Type="http://schemas.openxmlformats.org/officeDocument/2006/relationships/hyperlink" Target="http://www.gadsdenschools.org/" TargetMode="External"/><Relationship Id="rId104" Type="http://schemas.openxmlformats.org/officeDocument/2006/relationships/hyperlink" Target="https://nces.ed.gov/ccd/schoolsearch/school_detail.asp?Search=1&amp;InstName=Calhoun+Virtual+Instruction+Program&amp;SchoolType=1&amp;SchoolType=2&amp;SchoolType=3&amp;SchoolType=4&amp;SpecificSchlTypes=all&amp;IncGrade=-1&amp;LoGrade=-1&amp;HiGrade=-1&amp;ID=120021007757" TargetMode="External"/><Relationship Id="rId120" Type="http://schemas.microsoft.com/office/2017/10/relationships/threadedComment" Target="../threadedComments/threadedComment5.xml"/><Relationship Id="rId7" Type="http://schemas.openxmlformats.org/officeDocument/2006/relationships/hyperlink" Target="http://www.arva.org/" TargetMode="External"/><Relationship Id="rId71" Type="http://schemas.openxmlformats.org/officeDocument/2006/relationships/hyperlink" Target="https://nces.ed.gov/ccd/schoolsearch/school_detail.asp?Search=1&amp;InstName=Iowa+Virtual+Academy&amp;State=19&amp;SchoolType=1&amp;SchoolType=2&amp;SchoolType=3&amp;SchoolType=4&amp;SpecificSchlTypes=all&amp;IncGrade=-1&amp;LoGrade=-1&amp;HiGrade=-1&amp;ID=191335002206" TargetMode="External"/><Relationship Id="rId92" Type="http://schemas.openxmlformats.org/officeDocument/2006/relationships/hyperlink" Target="http://www.indianriverschools.org/" TargetMode="External"/><Relationship Id="rId2" Type="http://schemas.openxmlformats.org/officeDocument/2006/relationships/hyperlink" Target="https://nces.ed.gov/ccd/schoolsearch/school_detail.asp?Search=1&amp;InstName=Alabama+Destinations+Career+Academy&amp;SchoolType=1&amp;SchoolType=2&amp;SchoolType=3&amp;SchoolType=4&amp;SpecificSchlTypes=all&amp;IncGrade=-1&amp;LoGrade=-1&amp;HiGrade=-1&amp;ID=010018802514" TargetMode="External"/><Relationship Id="rId29" Type="http://schemas.openxmlformats.org/officeDocument/2006/relationships/hyperlink" Target="https://nces.ed.gov/surveys/pss/privateschoolsearch/school_detail.asp?Search=1&amp;SchoolName=keystone+school&amp;NumOfStudentsRange=more&amp;IncGrade=-1&amp;LoGrade=-1&amp;HiGrade=-1&amp;ID=A1904293" TargetMode="External"/><Relationship Id="rId24" Type="http://schemas.openxmlformats.org/officeDocument/2006/relationships/hyperlink" Target="https://nces.ed.gov/ccd/schoolsearch/school_detail.asp?Search=1&amp;InstName=Heron+Virtual+Academy+of+South+Carolina&amp;SchoolType=1&amp;SchoolType=2&amp;SchoolType=3&amp;SchoolType=4&amp;SpecificSchlTypes=all&amp;IncGrade=-1&amp;LoGrade=-1&amp;HiGrade=-1&amp;ID=450390901784" TargetMode="External"/><Relationship Id="rId40" Type="http://schemas.openxmlformats.org/officeDocument/2006/relationships/hyperlink" Target="https://nces.ed.gov/ccd/schoolsearch/school_detail.asp?Search=1&amp;InstName=Insight+School+of+Michigan&amp;SchoolType=1&amp;SchoolType=2&amp;SchoolType=3&amp;SchoolType=4&amp;SpecificSchlTypes=all&amp;IncGrade=-1&amp;LoGrade=-1&amp;HiGrade=-1&amp;ID=260107708627" TargetMode="External"/><Relationship Id="rId45" Type="http://schemas.openxmlformats.org/officeDocument/2006/relationships/hyperlink" Target="https://daof.k12.com/" TargetMode="External"/><Relationship Id="rId66" Type="http://schemas.openxmlformats.org/officeDocument/2006/relationships/hyperlink" Target="https://nces.ed.gov/ccd/schoolsearch/school_detail.asp?Search=1&amp;InstName=Indiana+Gateway&amp;State=18&amp;SchoolType=1&amp;SchoolType=2&amp;SchoolType=3&amp;SchoolType=4&amp;SpecificSchlTypes=all&amp;IncGrade=-1&amp;LoGrade=-1&amp;HiGrade=-1&amp;ID=180192002690" TargetMode="External"/><Relationship Id="rId87" Type="http://schemas.openxmlformats.org/officeDocument/2006/relationships/hyperlink" Target="https://nces.ed.gov/transfer.asp?location=ppos.k12.com/" TargetMode="External"/><Relationship Id="rId110" Type="http://schemas.openxmlformats.org/officeDocument/2006/relationships/hyperlink" Target="https://nces.ed.gov/transfer.asp?location=ocvs.ocps.net/" TargetMode="External"/><Relationship Id="rId115" Type="http://schemas.openxmlformats.org/officeDocument/2006/relationships/hyperlink" Target="https://nces.ed.gov/transfer.asp?location=www.k12.ttu.edu" TargetMode="External"/><Relationship Id="rId61" Type="http://schemas.openxmlformats.org/officeDocument/2006/relationships/hyperlink" Target="http://www.wcsdschools.com/" TargetMode="External"/><Relationship Id="rId82" Type="http://schemas.openxmlformats.org/officeDocument/2006/relationships/hyperlink" Target="http://www.agora.org/" TargetMode="External"/><Relationship Id="rId19" Type="http://schemas.openxmlformats.org/officeDocument/2006/relationships/hyperlink" Target="https://nces.ed.gov/transfer.asp?location=ok.insightschools.net" TargetMode="External"/><Relationship Id="rId14" Type="http://schemas.openxmlformats.org/officeDocument/2006/relationships/hyperlink" Target="https://nces.ed.gov/ccd/schoolsearch/school_detail.asp?Search=1&amp;InstName=Ohio+Virtual+Academy&amp;SchoolType=1&amp;SchoolType=2&amp;SchoolType=3&amp;SchoolType=4&amp;SpecificSchlTypes=all&amp;IncGrade=-1&amp;LoGrade=-1&amp;HiGrade=-1&amp;ID=390018004704" TargetMode="External"/><Relationship Id="rId30" Type="http://schemas.openxmlformats.org/officeDocument/2006/relationships/hyperlink" Target="https://nces.ed.gov/ccd/schoolsearch/school_detail.asp?Search=1&amp;InstName=Utah+Virtual+Academy&amp;SchoolType=1&amp;SchoolType=2&amp;SchoolType=3&amp;SchoolType=4&amp;SpecificSchlTypes=all&amp;IncGrade=-1&amp;LoGrade=-1&amp;HiGrade=-1&amp;ID=490013001196" TargetMode="External"/><Relationship Id="rId35" Type="http://schemas.openxmlformats.org/officeDocument/2006/relationships/hyperlink" Target="https://nces.ed.gov/ccd/schoolsearch/school_detail.asp?Search=1&amp;InstName=Insight+Wisconsin&amp;SchoolType=1&amp;SchoolType=2&amp;SchoolType=3&amp;SchoolType=4&amp;SpecificSchlTypes=all&amp;IncGrade=-1&amp;LoGrade=-1&amp;HiGrade=-1&amp;ID=550891003067" TargetMode="External"/><Relationship Id="rId56" Type="http://schemas.openxmlformats.org/officeDocument/2006/relationships/hyperlink" Target="https://nces.ed.gov/ccd/schoolsearch/school_detail.asp?Search=1&amp;InstName=Palm+Beach+Virtual&amp;State=12&amp;SchoolType=1&amp;SchoolType=2&amp;SchoolType=3&amp;SchoolType=4&amp;SpecificSchlTypes=all&amp;IncGrade=-1&amp;LoGrade=-1&amp;HiGrade=-1&amp;ID=120150007579" TargetMode="External"/><Relationship Id="rId77" Type="http://schemas.openxmlformats.org/officeDocument/2006/relationships/hyperlink" Target="https://nces.ed.gov/ccd/schoolsearch/school_detail.asp?Search=1&amp;InstName=Maine+Virtual+Academy&amp;SchoolType=1&amp;SchoolType=2&amp;SchoolType=3&amp;SchoolType=4&amp;SpecificSchlTypes=all&amp;IncGrade=-1&amp;LoGrade=-1&amp;HiGrade=-1&amp;ID=231482123147" TargetMode="External"/><Relationship Id="rId100" Type="http://schemas.openxmlformats.org/officeDocument/2006/relationships/hyperlink" Target="https://nces.ed.gov/ccd/schoolsearch/school_detail.asp?Search=1&amp;InstName=Flagler+Virtual+Instruction+Program&amp;State=12&amp;SchoolType=1&amp;SchoolType=2&amp;SchoolType=3&amp;SchoolType=4&amp;SpecificSchlTypes=all&amp;IncGrade=-1&amp;LoGrade=-1&amp;HiGrade=-1&amp;ID=120054007682" TargetMode="External"/><Relationship Id="rId105" Type="http://schemas.openxmlformats.org/officeDocument/2006/relationships/hyperlink" Target="https://nces.ed.gov/transfer.asp?location=www.calhounflschools.org" TargetMode="External"/><Relationship Id="rId8" Type="http://schemas.openxmlformats.org/officeDocument/2006/relationships/hyperlink" Target="https://nces.ed.gov/ccd/schoolsearch/school_detail.asp?Search=1&amp;InstName=Arkansas+Virtual+Academy&amp;SchoolType=1&amp;SchoolType=2&amp;SchoolType=3&amp;SchoolType=4&amp;SpecificSchlTypes=all&amp;IncGrade=-1&amp;LoGrade=-1&amp;HiGrade=-1&amp;ID=050039401604" TargetMode="External"/><Relationship Id="rId51" Type="http://schemas.openxmlformats.org/officeDocument/2006/relationships/hyperlink" Target="http://lcvs.lake.k12.fl.us/" TargetMode="External"/><Relationship Id="rId72" Type="http://schemas.openxmlformats.org/officeDocument/2006/relationships/hyperlink" Target="http://www.usd230.org/ourschools/insightschoolofkansas/" TargetMode="External"/><Relationship Id="rId93" Type="http://schemas.openxmlformats.org/officeDocument/2006/relationships/hyperlink" Target="https://nces.ed.gov/ccd/schoolsearch/school_detail.asp?Search=1&amp;InstName=Hamilton+Virtual+Instruction+Program&amp;State=12&amp;SchoolType=1&amp;SchoolType=2&amp;SchoolType=3&amp;SchoolType=4&amp;SpecificSchlTypes=all&amp;IncGrade=-1&amp;LoGrade=-1&amp;HiGrade=-1&amp;ID=120072007749" TargetMode="External"/><Relationship Id="rId98" Type="http://schemas.openxmlformats.org/officeDocument/2006/relationships/hyperlink" Target="https://nces.ed.gov/ccd/schoolsearch/school_detail.asp?Search=1&amp;InstName=Franklin+Virtual+Instruction+Program&amp;State=12&amp;SchoolType=1&amp;SchoolType=2&amp;SchoolType=3&amp;SchoolType=4&amp;SpecificSchlTypes=all&amp;IncGrade=-1&amp;LoGrade=-1&amp;HiGrade=-1&amp;ID=120057007934" TargetMode="External"/><Relationship Id="rId3" Type="http://schemas.openxmlformats.org/officeDocument/2006/relationships/hyperlink" Target="http://www.chickasawschools.com/" TargetMode="External"/><Relationship Id="rId25" Type="http://schemas.openxmlformats.org/officeDocument/2006/relationships/hyperlink" Target="https://nces.ed.gov/transfer.asp?location=hisd.com" TargetMode="External"/><Relationship Id="rId46" Type="http://schemas.openxmlformats.org/officeDocument/2006/relationships/hyperlink" Target="https://nces.ed.gov/ccd/schoolsearch/school_detail.asp?Search=1&amp;InstName=Digital+Academy+of+Florida&amp;SchoolType=1&amp;SchoolType=2&amp;SchoolType=3&amp;SchoolType=4&amp;SpecificSchlTypes=all&amp;IncGrade=-1&amp;LoGrade=-1&amp;HiGrade=-1&amp;ID=120078007725" TargetMode="External"/><Relationship Id="rId67" Type="http://schemas.openxmlformats.org/officeDocument/2006/relationships/hyperlink" Target="https://nces.ed.gov/ccd/schoolsearch/school_detail.asp?Search=1&amp;InstName=Indiana+Digital&amp;State=18&amp;SchoolType=1&amp;SchoolType=2&amp;SchoolType=3&amp;SchoolType=4&amp;SpecificSchlTypes=all&amp;IncGrade=-1&amp;LoGrade=-1&amp;HiGrade=-1&amp;ID=181173002660" TargetMode="External"/><Relationship Id="rId116" Type="http://schemas.openxmlformats.org/officeDocument/2006/relationships/hyperlink" Target="https://nces.ed.gov/transfer.asp?location=www.salem.k12.va.us/" TargetMode="External"/><Relationship Id="rId20" Type="http://schemas.openxmlformats.org/officeDocument/2006/relationships/hyperlink" Target="https://nces.ed.gov/transfer.asp?location=or-ph.insightschools.net" TargetMode="External"/><Relationship Id="rId41" Type="http://schemas.openxmlformats.org/officeDocument/2006/relationships/hyperlink" Target="http://mi.insightschools.net/who-we-are/transparency-reporting" TargetMode="External"/><Relationship Id="rId62" Type="http://schemas.openxmlformats.org/officeDocument/2006/relationships/hyperlink" Target="https://nces.ed.gov/ccd/schoolsearch/school_detail.asp?Search=1&amp;InstName=Washington+Virtual+Instruction+Program&amp;State=12&amp;SchoolType=1&amp;SchoolType=2&amp;SchoolType=3&amp;SchoolType=4&amp;SpecificSchlTypes=all&amp;IncGrade=-1&amp;LoGrade=-1&amp;HiGrade=-1&amp;ID=120201007667" TargetMode="External"/><Relationship Id="rId83" Type="http://schemas.openxmlformats.org/officeDocument/2006/relationships/hyperlink" Target="https://nces.ed.gov/transfer.asp?location=wiva.k12.com" TargetMode="External"/><Relationship Id="rId88" Type="http://schemas.openxmlformats.org/officeDocument/2006/relationships/hyperlink" Target="https://nces.ed.gov/ccd/schoolsearch/school_detail.asp?Search=1&amp;InstName=Ohio+Virtual+Academy&amp;SchoolType=1&amp;SchoolType=2&amp;SchoolType=3&amp;SchoolType=4&amp;SpecificSchlTypes=all&amp;IncGrade=-1&amp;LoGrade=-1&amp;HiGrade=-1&amp;ID=390018004704" TargetMode="External"/><Relationship Id="rId111" Type="http://schemas.openxmlformats.org/officeDocument/2006/relationships/hyperlink" Target="https://nces.ed.gov/transfer.asp?location=www.pinespringsprep.org" TargetMode="External"/><Relationship Id="rId15" Type="http://schemas.openxmlformats.org/officeDocument/2006/relationships/hyperlink" Target="https://nces.ed.gov/transfer.asp?location=ohva.k12.com/" TargetMode="External"/><Relationship Id="rId36" Type="http://schemas.openxmlformats.org/officeDocument/2006/relationships/hyperlink" Target="https://nces.ed.gov/ccd/schoolsearch/school_detail.asp?Search=1&amp;InstName=Missouri+Digital+Academy&amp;SchoolType=1&amp;SchoolType=2&amp;SchoolType=3&amp;SchoolType=4&amp;SpecificSchlTypes=all&amp;IncGrade=-1&amp;LoGrade=-1&amp;HiGrade=-1&amp;ID=291788003413" TargetMode="External"/><Relationship Id="rId57" Type="http://schemas.openxmlformats.org/officeDocument/2006/relationships/hyperlink" Target="http://schools.polk-fl.net/pvs" TargetMode="External"/><Relationship Id="rId106" Type="http://schemas.openxmlformats.org/officeDocument/2006/relationships/hyperlink" Target="https://nces.ed.gov/transfer.asp?location=bradfordschools.org"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s26.q4cdn.com/126400783/files/doc_financials/2022/q2/Q2-FY22-Earnings-Presentation-vF.pdf" TargetMode="External"/><Relationship Id="rId21" Type="http://schemas.openxmlformats.org/officeDocument/2006/relationships/hyperlink" Target="http://investors.k12.com/node/16126/pdf" TargetMode="External"/><Relationship Id="rId42" Type="http://schemas.openxmlformats.org/officeDocument/2006/relationships/hyperlink" Target="http://investors.k12.com/news-releases/news-release-details/k12-inc-announces-first-quarter-revenues-increased-443-3710" TargetMode="External"/><Relationship Id="rId63" Type="http://schemas.openxmlformats.org/officeDocument/2006/relationships/hyperlink" Target="https://investors.stridelearning.com/news/news-details/2021/Stride-Guides-to-Revenue-and-Profitability-Growth-for-Fiscal-2022-Driven-by-Career-Learning-Demand/default.aspx" TargetMode="External"/><Relationship Id="rId84" Type="http://schemas.openxmlformats.org/officeDocument/2006/relationships/hyperlink" Target="https://s26.q4cdn.com/126400783/files/doc_presentations/2021/12/Company-Overview_Fall-2021_vF.pdf" TargetMode="External"/><Relationship Id="rId138" Type="http://schemas.openxmlformats.org/officeDocument/2006/relationships/hyperlink" Target="https://s26.q4cdn.com/126400783/files/doc_presentations/Q3-FY22-Earnings-Presentation-vF.pdf" TargetMode="External"/><Relationship Id="rId159" Type="http://schemas.openxmlformats.org/officeDocument/2006/relationships/hyperlink" Target="https://s26.q4cdn.com/126400783/files/doc_financials/2022/q4/Q4-FY22-Earnings-Presentation-vF.pdf" TargetMode="External"/><Relationship Id="rId170" Type="http://schemas.openxmlformats.org/officeDocument/2006/relationships/hyperlink" Target="https://s26.q4cdn.com/126400783/files/doc_news/Stride-Guides-to-Seventh-Straight-Year-of-Revenue-Growth-2022.pdf" TargetMode="External"/><Relationship Id="rId191" Type="http://schemas.openxmlformats.org/officeDocument/2006/relationships/hyperlink" Target="https://s26.q4cdn.com/126400783/files/doc_financials/2023/q2/Q2-FY23-Earnings-Presentation-vF.pdf" TargetMode="External"/><Relationship Id="rId205" Type="http://schemas.openxmlformats.org/officeDocument/2006/relationships/hyperlink" Target="https://s26.q4cdn.com/126400783/files/doc_news/Stride-Achieves-Record-Q1-Revenue-2023.pdf" TargetMode="External"/><Relationship Id="rId107" Type="http://schemas.openxmlformats.org/officeDocument/2006/relationships/hyperlink" Target="https://s26.q4cdn.com/126400783/files/doc_financials/2022/q2/Q2-FY22-Earnings-Presentation-vF.pdf" TargetMode="External"/><Relationship Id="rId11" Type="http://schemas.openxmlformats.org/officeDocument/2006/relationships/hyperlink" Target="http://investors.k12.com/phoenix.zhtml?c=214389&amp;p=irol-newsArticle&amp;ID=2373056" TargetMode="External"/><Relationship Id="rId32" Type="http://schemas.openxmlformats.org/officeDocument/2006/relationships/hyperlink" Target="http://investors.k12.com/node/16261/pdf" TargetMode="External"/><Relationship Id="rId53" Type="http://schemas.openxmlformats.org/officeDocument/2006/relationships/hyperlink" Target="http://investors.k12.com/news-releases/news-release-details/k12-inc-announces-first-quarter-revenues-increased-443-3710" TargetMode="External"/><Relationship Id="rId74" Type="http://schemas.openxmlformats.org/officeDocument/2006/relationships/hyperlink" Target="https://investors.stridelearning.com/news/news-details/2021/Stride-Guides-to-Revenue-and-Profitability-Growth-for-Fiscal-2022-Driven-by-Career-Learning-Demand/default.aspx" TargetMode="External"/><Relationship Id="rId128" Type="http://schemas.openxmlformats.org/officeDocument/2006/relationships/hyperlink" Target="https://investors.stridelearning.com/news/news-details/2022/Strides-Career-Learning-Business-Continues-to-Drive-Growth/default.aspx" TargetMode="External"/><Relationship Id="rId149" Type="http://schemas.openxmlformats.org/officeDocument/2006/relationships/hyperlink" Target="https://s26.q4cdn.com/126400783/files/doc_financials/2022/q4/Q4-FY22-Earnings-Presentation-vF.pdf" TargetMode="External"/><Relationship Id="rId5" Type="http://schemas.openxmlformats.org/officeDocument/2006/relationships/hyperlink" Target="http://investors.k12.com/phoenix.zhtml?c=214389&amp;p=irol-newsArticle&amp;ID=2384440" TargetMode="External"/><Relationship Id="rId95" Type="http://schemas.openxmlformats.org/officeDocument/2006/relationships/hyperlink" Target="https://s26.q4cdn.com/126400783/files/doc_presentations/2021/12/Company-Overview_Fall-2021_vF.pdf" TargetMode="External"/><Relationship Id="rId160" Type="http://schemas.openxmlformats.org/officeDocument/2006/relationships/hyperlink" Target="https://s26.q4cdn.com/126400783/files/doc_news/Stride-Guides-to-Seventh-Straight-Year-of-Revenue-Growth-2022.pdf" TargetMode="External"/><Relationship Id="rId181" Type="http://schemas.openxmlformats.org/officeDocument/2006/relationships/hyperlink" Target="https://s26.q4cdn.com/126400783/files/doc_news/Stride-Achieves-Record-Enrollment-Growth-over-First-Quarter-2023.pdf" TargetMode="External"/><Relationship Id="rId216" Type="http://schemas.openxmlformats.org/officeDocument/2006/relationships/hyperlink" Target="https://s26.q4cdn.com/126400783/files/doc_news/Stride-Achieves-Record-Q1-Revenue-2023.pdf" TargetMode="External"/><Relationship Id="rId22" Type="http://schemas.openxmlformats.org/officeDocument/2006/relationships/hyperlink" Target="http://investors.k12.com/node/16126/pdf" TargetMode="External"/><Relationship Id="rId43" Type="http://schemas.openxmlformats.org/officeDocument/2006/relationships/hyperlink" Target="http://investors.k12.com/news-releases/news-release-details/k12-inc-announces-first-quarter-revenues-increased-443-3710" TargetMode="External"/><Relationship Id="rId64" Type="http://schemas.openxmlformats.org/officeDocument/2006/relationships/hyperlink" Target="https://investors.stridelearning.com/news/news-details/2021/Stride-Guides-to-Revenue-and-Profitability-Growth-for-Fiscal-2022-Driven-by-Career-Learning-Demand/default.aspx" TargetMode="External"/><Relationship Id="rId118" Type="http://schemas.openxmlformats.org/officeDocument/2006/relationships/hyperlink" Target="https://s26.q4cdn.com/126400783/files/doc_financials/2022/q2/Q2-FY22-Earnings-Presentation-vF.pdf" TargetMode="External"/><Relationship Id="rId139" Type="http://schemas.openxmlformats.org/officeDocument/2006/relationships/hyperlink" Target="https://s26.q4cdn.com/126400783/files/doc_presentations/Q3-FY22-Earnings-Presentation-vF.pdf" TargetMode="External"/><Relationship Id="rId85" Type="http://schemas.openxmlformats.org/officeDocument/2006/relationships/hyperlink" Target="https://s26.q4cdn.com/126400783/files/doc_presentations/2021/12/Company-Overview_Fall-2021_vF.pdf" TargetMode="External"/><Relationship Id="rId150" Type="http://schemas.openxmlformats.org/officeDocument/2006/relationships/hyperlink" Target="https://s26.q4cdn.com/126400783/files/doc_financials/2022/q4/Q4-FY22-Earnings-Presentation-vF.pdf" TargetMode="External"/><Relationship Id="rId171" Type="http://schemas.openxmlformats.org/officeDocument/2006/relationships/hyperlink" Target="https://s26.q4cdn.com/126400783/files/doc_news/Stride-Guides-to-Seventh-Straight-Year-of-Revenue-Growth-2022.pdf" TargetMode="External"/><Relationship Id="rId192" Type="http://schemas.openxmlformats.org/officeDocument/2006/relationships/hyperlink" Target="https://s26.q4cdn.com/126400783/files/doc_news/Stride-Posts-Record-Quarterly-Revenue-and-Profitability-2023.pdf" TargetMode="External"/><Relationship Id="rId206" Type="http://schemas.openxmlformats.org/officeDocument/2006/relationships/hyperlink" Target="https://s26.q4cdn.com/126400783/files/doc_news/Stride-Achieves-Record-Q1-Revenue-2023.pdf" TargetMode="External"/><Relationship Id="rId12" Type="http://schemas.openxmlformats.org/officeDocument/2006/relationships/hyperlink" Target="http://investors.k12.com/phoenix.zhtml?c=214389&amp;p=irol-newsArticle&amp;ID=2373056" TargetMode="External"/><Relationship Id="rId33" Type="http://schemas.openxmlformats.org/officeDocument/2006/relationships/hyperlink" Target="http://investors.k12.com/node/16261/pdf" TargetMode="External"/><Relationship Id="rId108" Type="http://schemas.openxmlformats.org/officeDocument/2006/relationships/hyperlink" Target="https://s26.q4cdn.com/126400783/files/doc_financials/2022/q2/Q2-FY22-Earnings-Presentation-vF.pdf" TargetMode="External"/><Relationship Id="rId129" Type="http://schemas.openxmlformats.org/officeDocument/2006/relationships/hyperlink" Target="https://investors.stridelearning.com/news/news-details/2022/Strides-Career-Learning-Business-Continues-to-Drive-Growth/default.aspx" TargetMode="External"/><Relationship Id="rId54" Type="http://schemas.openxmlformats.org/officeDocument/2006/relationships/hyperlink" Target="http://investors.k12.com/news-releases/news-release-details/k12-inc-announces-first-quarter-revenues-increased-443-3710" TargetMode="External"/><Relationship Id="rId75" Type="http://schemas.openxmlformats.org/officeDocument/2006/relationships/hyperlink" Target="https://s26.q4cdn.com/126400783/files/doc_presentations/2021/12/Company-Overview_Fall-2021_vF.pdf" TargetMode="External"/><Relationship Id="rId96" Type="http://schemas.openxmlformats.org/officeDocument/2006/relationships/hyperlink" Target="https://s26.q4cdn.com/126400783/files/doc_presentations/2021/12/Company-Overview_Fall-2021_vF.pdf" TargetMode="External"/><Relationship Id="rId140" Type="http://schemas.openxmlformats.org/officeDocument/2006/relationships/hyperlink" Target="https://s26.q4cdn.com/126400783/files/doc_presentations/Q3-FY22-Earnings-Presentation-vF.pdf" TargetMode="External"/><Relationship Id="rId161" Type="http://schemas.openxmlformats.org/officeDocument/2006/relationships/hyperlink" Target="https://s26.q4cdn.com/126400783/files/doc_news/Stride-Guides-to-Seventh-Straight-Year-of-Revenue-Growth-2022.pdf" TargetMode="External"/><Relationship Id="rId182" Type="http://schemas.openxmlformats.org/officeDocument/2006/relationships/hyperlink" Target="https://s26.q4cdn.com/126400783/files/doc_news/Stride-Achieves-Record-Enrollment-Growth-over-First-Quarter-2023.pdf" TargetMode="External"/><Relationship Id="rId217" Type="http://schemas.openxmlformats.org/officeDocument/2006/relationships/hyperlink" Target="https://s26.q4cdn.com/126400783/files/doc_presentations/2023/10/Q1-FY24-Earnings-Presentation-vF2.pdf" TargetMode="External"/><Relationship Id="rId6" Type="http://schemas.openxmlformats.org/officeDocument/2006/relationships/hyperlink" Target="http://investors.k12.com/phoenix.zhtml?c=214389&amp;p=irol-newsArticle&amp;ID=2384440" TargetMode="External"/><Relationship Id="rId23" Type="http://schemas.openxmlformats.org/officeDocument/2006/relationships/hyperlink" Target="http://investors.k12.com/node/16126/pdf" TargetMode="External"/><Relationship Id="rId119" Type="http://schemas.openxmlformats.org/officeDocument/2006/relationships/hyperlink" Target="https://s26.q4cdn.com/126400783/files/doc_financials/2022/q2/Q2-FY22-Earnings-Presentation-vF.pdf" TargetMode="External"/><Relationship Id="rId44" Type="http://schemas.openxmlformats.org/officeDocument/2006/relationships/hyperlink" Target="https://s26.q4cdn.com/126400783/files/doc_news/Stride-Inc.-Expands-Ability-to-Meet-Demands-of-IT-Skills-Gap-with-Acquisition-of-Tech-Elevator-2020.pdf" TargetMode="External"/><Relationship Id="rId65" Type="http://schemas.openxmlformats.org/officeDocument/2006/relationships/hyperlink" Target="https://investors.stridelearning.com/news/news-details/2021/Stride-Guides-to-Revenue-and-Profitability-Growth-for-Fiscal-2022-Driven-by-Career-Learning-Demand/default.aspx" TargetMode="External"/><Relationship Id="rId86" Type="http://schemas.openxmlformats.org/officeDocument/2006/relationships/hyperlink" Target="https://s26.q4cdn.com/126400783/files/doc_presentations/2021/12/Company-Overview_Fall-2021_vF.pdf" TargetMode="External"/><Relationship Id="rId130" Type="http://schemas.openxmlformats.org/officeDocument/2006/relationships/hyperlink" Target="https://investors.stridelearning.com/news/news-details/2022/Strides-Career-Learning-Business-Continues-to-Drive-Growth/default.aspx" TargetMode="External"/><Relationship Id="rId151" Type="http://schemas.openxmlformats.org/officeDocument/2006/relationships/hyperlink" Target="https://s26.q4cdn.com/126400783/files/doc_financials/2022/q4/Q4-FY22-Earnings-Presentation-vF.pdf" TargetMode="External"/><Relationship Id="rId172" Type="http://schemas.openxmlformats.org/officeDocument/2006/relationships/hyperlink" Target="https://s26.q4cdn.com/126400783/files/doc_news/Stride-Guides-to-Seventh-Straight-Year-of-Revenue-Growth-2022.pdf" TargetMode="External"/><Relationship Id="rId193" Type="http://schemas.openxmlformats.org/officeDocument/2006/relationships/hyperlink" Target="https://s26.q4cdn.com/126400783/files/doc_news/Stride-Posts-Record-Quarterly-Revenue-and-Profitability-2023.pdf" TargetMode="External"/><Relationship Id="rId207" Type="http://schemas.openxmlformats.org/officeDocument/2006/relationships/hyperlink" Target="https://s26.q4cdn.com/126400783/files/doc_news/Stride-Achieves-Record-Q1-Revenue-2023.pdf" TargetMode="External"/><Relationship Id="rId13" Type="http://schemas.openxmlformats.org/officeDocument/2006/relationships/hyperlink" Target="http://investors.k12.com/phoenix.zhtml?c=214389&amp;p=irol-newsArticle&amp;ID=2373056" TargetMode="External"/><Relationship Id="rId109" Type="http://schemas.openxmlformats.org/officeDocument/2006/relationships/hyperlink" Target="https://s26.q4cdn.com/126400783/files/doc_financials/2022/q2/Q2-FY22-Earnings-Presentation-vF.pdf" TargetMode="External"/><Relationship Id="rId34" Type="http://schemas.openxmlformats.org/officeDocument/2006/relationships/hyperlink" Target="http://investors.k12.com/node/16261/pdf" TargetMode="External"/><Relationship Id="rId55" Type="http://schemas.openxmlformats.org/officeDocument/2006/relationships/hyperlink" Target="https://investors.stridelearning.com/news/news-details/2021/Stride-Inc.-Announces-Second-Quarter-Revenues-Increased-46-to-376.1-Million/default.aspx" TargetMode="External"/><Relationship Id="rId76" Type="http://schemas.openxmlformats.org/officeDocument/2006/relationships/hyperlink" Target="https://s26.q4cdn.com/126400783/files/doc_presentations/2021/12/Company-Overview_Fall-2021_vF.pdf" TargetMode="External"/><Relationship Id="rId97" Type="http://schemas.openxmlformats.org/officeDocument/2006/relationships/hyperlink" Target="https://s26.q4cdn.com/126400783/files/doc_presentations/2021/12/Company-Overview_Fall-2021_vF.pdf" TargetMode="External"/><Relationship Id="rId120" Type="http://schemas.openxmlformats.org/officeDocument/2006/relationships/hyperlink" Target="https://s26.q4cdn.com/126400783/files/doc_financials/2022/q2/Q2-FY22-Earnings-Presentation-vF.pdf" TargetMode="External"/><Relationship Id="rId141" Type="http://schemas.openxmlformats.org/officeDocument/2006/relationships/hyperlink" Target="https://s26.q4cdn.com/126400783/files/doc_presentations/Q3-FY22-Earnings-Presentation-vF.pdf" TargetMode="External"/><Relationship Id="rId7" Type="http://schemas.openxmlformats.org/officeDocument/2006/relationships/hyperlink" Target="http://investors.k12.com/phoenix.zhtml?c=214389&amp;p=irol-newsArticle&amp;ID=2373056" TargetMode="External"/><Relationship Id="rId162" Type="http://schemas.openxmlformats.org/officeDocument/2006/relationships/hyperlink" Target="https://s26.q4cdn.com/126400783/files/doc_news/Stride-Guides-to-Seventh-Straight-Year-of-Revenue-Growth-2022.pdf" TargetMode="External"/><Relationship Id="rId183" Type="http://schemas.openxmlformats.org/officeDocument/2006/relationships/hyperlink" Target="https://s26.q4cdn.com/126400783/files/doc_news/Stride-Achieves-Record-Enrollment-Growth-over-First-Quarter-2023.pdf" TargetMode="External"/><Relationship Id="rId218" Type="http://schemas.openxmlformats.org/officeDocument/2006/relationships/printerSettings" Target="../printerSettings/printerSettings18.bin"/><Relationship Id="rId24" Type="http://schemas.openxmlformats.org/officeDocument/2006/relationships/hyperlink" Target="http://investors.k12.com/node/16261/pdf" TargetMode="External"/><Relationship Id="rId45" Type="http://schemas.openxmlformats.org/officeDocument/2006/relationships/hyperlink" Target="https://s26.q4cdn.com/126400783/files/doc_news/Stride-Inc.-Expands-Ability-to-Meet-Demands-of-IT-Skills-Gap-with-Acquisition-of-Tech-Elevator-2020.pdf" TargetMode="External"/><Relationship Id="rId66" Type="http://schemas.openxmlformats.org/officeDocument/2006/relationships/hyperlink" Target="https://investors.stridelearning.com/news/news-details/2021/Stride-Guides-to-Revenue-and-Profitability-Growth-for-Fiscal-2022-Driven-by-Career-Learning-Demand/default.aspx" TargetMode="External"/><Relationship Id="rId87" Type="http://schemas.openxmlformats.org/officeDocument/2006/relationships/hyperlink" Target="https://s26.q4cdn.com/126400783/files/doc_presentations/2021/12/Company-Overview_Fall-2021_vF.pdf" TargetMode="External"/><Relationship Id="rId110" Type="http://schemas.openxmlformats.org/officeDocument/2006/relationships/hyperlink" Target="https://s26.q4cdn.com/126400783/files/doc_financials/2022/q2/Q2-FY22-Earnings-Presentation-vF.pdf" TargetMode="External"/><Relationship Id="rId131" Type="http://schemas.openxmlformats.org/officeDocument/2006/relationships/hyperlink" Target="https://s26.q4cdn.com/126400783/files/doc_presentations/Q3-FY22-Earnings-Presentation-vF.pdf" TargetMode="External"/><Relationship Id="rId152" Type="http://schemas.openxmlformats.org/officeDocument/2006/relationships/hyperlink" Target="https://s26.q4cdn.com/126400783/files/doc_financials/2022/q4/Q4-FY22-Earnings-Presentation-vF.pdf" TargetMode="External"/><Relationship Id="rId173" Type="http://schemas.openxmlformats.org/officeDocument/2006/relationships/hyperlink" Target="https://s26.q4cdn.com/126400783/files/doc_financials/2023/q1/Q1-FY23-Earnings-Presentation-vF.pdf" TargetMode="External"/><Relationship Id="rId194" Type="http://schemas.openxmlformats.org/officeDocument/2006/relationships/hyperlink" Target="https://s26.q4cdn.com/126400783/files/doc_news/Stride-Posts-Record-Quarterly-Revenue-and-Profitability-2023.pdf" TargetMode="External"/><Relationship Id="rId208" Type="http://schemas.openxmlformats.org/officeDocument/2006/relationships/hyperlink" Target="https://s26.q4cdn.com/126400783/files/doc_news/Stride-Achieves-Record-Q1-Revenue-2023.pdf" TargetMode="External"/><Relationship Id="rId14" Type="http://schemas.openxmlformats.org/officeDocument/2006/relationships/hyperlink" Target="http://investors.k12.com/phoenix.zhtml?c=214389&amp;p=irol-newsArticle&amp;ID=2344342" TargetMode="External"/><Relationship Id="rId30" Type="http://schemas.openxmlformats.org/officeDocument/2006/relationships/hyperlink" Target="http://investors.k12.com/node/16261/pdf" TargetMode="External"/><Relationship Id="rId35" Type="http://schemas.openxmlformats.org/officeDocument/2006/relationships/hyperlink" Target="https://k12.gcs-web.com/news-releases/news-release-details/k12-inc-reports-third-quarter-fiscal-2020-revenues-2572-million" TargetMode="External"/><Relationship Id="rId56" Type="http://schemas.openxmlformats.org/officeDocument/2006/relationships/hyperlink" Target="http://investors.k12.com/news-releases/news-release-details/k12-inc-announces-first-quarter-revenues-increased-443-3710" TargetMode="External"/><Relationship Id="rId77" Type="http://schemas.openxmlformats.org/officeDocument/2006/relationships/hyperlink" Target="https://s26.q4cdn.com/126400783/files/doc_presentations/2021/12/Company-Overview_Fall-2021_vF.pdf" TargetMode="External"/><Relationship Id="rId100" Type="http://schemas.openxmlformats.org/officeDocument/2006/relationships/hyperlink" Target="https://s26.q4cdn.com/126400783/files/doc_financials/2022/q2/Q2-FY22-Earnings-Presentation-vF.pdf" TargetMode="External"/><Relationship Id="rId105" Type="http://schemas.openxmlformats.org/officeDocument/2006/relationships/hyperlink" Target="https://s26.q4cdn.com/126400783/files/doc_financials/2022/q2/Q2-FY22-Earnings-Presentation-vF.pdf" TargetMode="External"/><Relationship Id="rId126" Type="http://schemas.openxmlformats.org/officeDocument/2006/relationships/hyperlink" Target="https://s26.q4cdn.com/126400783/files/doc_financials/2022/q2/Q2-FY22-Earnings-Presentation-vF.pdf" TargetMode="External"/><Relationship Id="rId147" Type="http://schemas.openxmlformats.org/officeDocument/2006/relationships/hyperlink" Target="https://s26.q4cdn.com/126400783/files/doc_financials/2022/q4/Q4-FY22-Earnings-Presentation-vF.pdf" TargetMode="External"/><Relationship Id="rId168" Type="http://schemas.openxmlformats.org/officeDocument/2006/relationships/hyperlink" Target="https://s26.q4cdn.com/126400783/files/doc_news/Stride-Guides-to-Seventh-Straight-Year-of-Revenue-Growth-2022.pdf" TargetMode="External"/><Relationship Id="rId8" Type="http://schemas.openxmlformats.org/officeDocument/2006/relationships/hyperlink" Target="http://investors.k12.com/phoenix.zhtml?c=214389&amp;p=irol-newsArticle&amp;ID=2373056" TargetMode="External"/><Relationship Id="rId51" Type="http://schemas.openxmlformats.org/officeDocument/2006/relationships/hyperlink" Target="https://s26.q4cdn.com/126400783/files/doc_presentations/NewCo_IRDay_Presentation_Working_V21_IR-Website-4.pdf" TargetMode="External"/><Relationship Id="rId72" Type="http://schemas.openxmlformats.org/officeDocument/2006/relationships/hyperlink" Target="https://investors.stridelearning.com/news/news-details/2021/Stride-Guides-to-Revenue-and-Profitability-Growth-for-Fiscal-2022-Driven-by-Career-Learning-Demand/default.aspx" TargetMode="External"/><Relationship Id="rId93" Type="http://schemas.openxmlformats.org/officeDocument/2006/relationships/hyperlink" Target="https://s26.q4cdn.com/126400783/files/doc_presentations/2021/12/Company-Overview_Fall-2021_vF.pdf" TargetMode="External"/><Relationship Id="rId98" Type="http://schemas.openxmlformats.org/officeDocument/2006/relationships/hyperlink" Target="https://s26.q4cdn.com/126400783/files/doc_presentations/2021/12/Company-Overview_Fall-2021_vF.pdf" TargetMode="External"/><Relationship Id="rId121" Type="http://schemas.openxmlformats.org/officeDocument/2006/relationships/hyperlink" Target="https://s26.q4cdn.com/126400783/files/doc_financials/2022/q2/Q2-FY22-Earnings-Presentation-vF.pdf" TargetMode="External"/><Relationship Id="rId142" Type="http://schemas.openxmlformats.org/officeDocument/2006/relationships/hyperlink" Target="https://s26.q4cdn.com/126400783/files/doc_presentations/Q3-FY22-Earnings-Presentation-vF.pdf" TargetMode="External"/><Relationship Id="rId163" Type="http://schemas.openxmlformats.org/officeDocument/2006/relationships/hyperlink" Target="https://s26.q4cdn.com/126400783/files/doc_news/Stride-Guides-to-Seventh-Straight-Year-of-Revenue-Growth-2022.pdf" TargetMode="External"/><Relationship Id="rId184" Type="http://schemas.openxmlformats.org/officeDocument/2006/relationships/hyperlink" Target="https://s26.q4cdn.com/126400783/files/doc_news/Stride-Achieves-Record-Enrollment-Growth-over-First-Quarter-2023.pdf" TargetMode="External"/><Relationship Id="rId189" Type="http://schemas.openxmlformats.org/officeDocument/2006/relationships/hyperlink" Target="https://s26.q4cdn.com/126400783/files/doc_news/Stride-Achieves-Record-Enrollment-Growth-over-First-Quarter-2023.pdf" TargetMode="External"/><Relationship Id="rId219" Type="http://schemas.openxmlformats.org/officeDocument/2006/relationships/vmlDrawing" Target="../drawings/vmlDrawing8.vml"/><Relationship Id="rId3" Type="http://schemas.openxmlformats.org/officeDocument/2006/relationships/hyperlink" Target="http://investors.k12.com/phoenix.zhtml?c=214389&amp;p=irol-newsArticle&amp;ID=2395415" TargetMode="External"/><Relationship Id="rId214" Type="http://schemas.openxmlformats.org/officeDocument/2006/relationships/hyperlink" Target="https://s26.q4cdn.com/126400783/files/doc_news/Stride-Achieves-Record-Q1-Revenue-2023.pdf" TargetMode="External"/><Relationship Id="rId25" Type="http://schemas.openxmlformats.org/officeDocument/2006/relationships/hyperlink" Target="http://investors.k12.com/node/16261/pdf" TargetMode="External"/><Relationship Id="rId46" Type="http://schemas.openxmlformats.org/officeDocument/2006/relationships/hyperlink" Target="https://s26.q4cdn.com/126400783/files/doc_news/Stride-Inc.-Expands-Ability-to-Meet-Demands-of-IT-Skills-Gap-with-Acquisition-of-Tech-Elevator-2020.pdf" TargetMode="External"/><Relationship Id="rId67" Type="http://schemas.openxmlformats.org/officeDocument/2006/relationships/hyperlink" Target="https://investors.stridelearning.com/news/news-details/2021/Stride-Guides-to-Revenue-and-Profitability-Growth-for-Fiscal-2022-Driven-by-Career-Learning-Demand/default.aspx" TargetMode="External"/><Relationship Id="rId116" Type="http://schemas.openxmlformats.org/officeDocument/2006/relationships/hyperlink" Target="https://s26.q4cdn.com/126400783/files/doc_financials/2022/q2/Q2-FY22-Earnings-Presentation-vF.pdf" TargetMode="External"/><Relationship Id="rId137" Type="http://schemas.openxmlformats.org/officeDocument/2006/relationships/hyperlink" Target="https://s26.q4cdn.com/126400783/files/doc_presentations/Q3-FY22-Earnings-Presentation-vF.pdf" TargetMode="External"/><Relationship Id="rId158" Type="http://schemas.openxmlformats.org/officeDocument/2006/relationships/hyperlink" Target="https://s26.q4cdn.com/126400783/files/doc_financials/2022/q4/Q4-FY22-Earnings-Presentation-vF.pdf" TargetMode="External"/><Relationship Id="rId20" Type="http://schemas.openxmlformats.org/officeDocument/2006/relationships/hyperlink" Target="http://investors.k12.com/node/16126/pdf" TargetMode="External"/><Relationship Id="rId41" Type="http://schemas.openxmlformats.org/officeDocument/2006/relationships/hyperlink" Target="http://investors.k12.com/news-releases/news-release-details/k12-inc-announces-first-quarter-revenues-increased-443-3710" TargetMode="External"/><Relationship Id="rId62" Type="http://schemas.openxmlformats.org/officeDocument/2006/relationships/hyperlink" Target="https://investors.stridelearning.com/news/news-details/2021/Stride-Guides-to-Revenue-and-Profitability-Growth-for-Fiscal-2022-Driven-by-Career-Learning-Demand/default.aspx" TargetMode="External"/><Relationship Id="rId83" Type="http://schemas.openxmlformats.org/officeDocument/2006/relationships/hyperlink" Target="https://s26.q4cdn.com/126400783/files/doc_presentations/2021/12/Company-Overview_Fall-2021_vF.pdf" TargetMode="External"/><Relationship Id="rId88" Type="http://schemas.openxmlformats.org/officeDocument/2006/relationships/hyperlink" Target="https://s26.q4cdn.com/126400783/files/doc_presentations/2021/12/Company-Overview_Fall-2021_vF.pdf" TargetMode="External"/><Relationship Id="rId111" Type="http://schemas.openxmlformats.org/officeDocument/2006/relationships/hyperlink" Target="https://s26.q4cdn.com/126400783/files/doc_financials/2022/q2/Q2-FY22-Earnings-Presentation-vF.pdf" TargetMode="External"/><Relationship Id="rId132" Type="http://schemas.openxmlformats.org/officeDocument/2006/relationships/hyperlink" Target="https://s26.q4cdn.com/126400783/files/doc_presentations/Q3-FY22-Earnings-Presentation-vF.pdf" TargetMode="External"/><Relationship Id="rId153" Type="http://schemas.openxmlformats.org/officeDocument/2006/relationships/hyperlink" Target="https://s26.q4cdn.com/126400783/files/doc_financials/2022/q4/Q4-FY22-Earnings-Presentation-vF.pdf" TargetMode="External"/><Relationship Id="rId174" Type="http://schemas.openxmlformats.org/officeDocument/2006/relationships/hyperlink" Target="https://s26.q4cdn.com/126400783/files/doc_financials/2023/q1/Q1-FY23-Earnings-Presentation-vF.pdf" TargetMode="External"/><Relationship Id="rId179" Type="http://schemas.openxmlformats.org/officeDocument/2006/relationships/hyperlink" Target="https://s26.q4cdn.com/126400783/files/doc_news/Stride-Achieves-Record-Enrollment-Growth-over-First-Quarter-2023.pdf" TargetMode="External"/><Relationship Id="rId195" Type="http://schemas.openxmlformats.org/officeDocument/2006/relationships/hyperlink" Target="https://s26.q4cdn.com/126400783/files/doc_news/Stride-Posts-Record-Quarterly-Revenue-and-Profitability-2023.pdf" TargetMode="External"/><Relationship Id="rId209" Type="http://schemas.openxmlformats.org/officeDocument/2006/relationships/hyperlink" Target="https://s26.q4cdn.com/126400783/files/doc_news/Stride-Achieves-Record-Q1-Revenue-2023.pdf" TargetMode="External"/><Relationship Id="rId190" Type="http://schemas.openxmlformats.org/officeDocument/2006/relationships/hyperlink" Target="https://s26.q4cdn.com/126400783/files/doc_financials/2023/q2/Q2-FY23-Earnings-Presentation-vF.pdf" TargetMode="External"/><Relationship Id="rId204" Type="http://schemas.openxmlformats.org/officeDocument/2006/relationships/hyperlink" Target="https://s26.q4cdn.com/126400783/files/doc_news/Stride-Achieves-Record-Q1-Revenue-2023.pdf" TargetMode="External"/><Relationship Id="rId220" Type="http://schemas.openxmlformats.org/officeDocument/2006/relationships/comments" Target="../comments8.xml"/><Relationship Id="rId15" Type="http://schemas.openxmlformats.org/officeDocument/2006/relationships/hyperlink" Target="http://investors.k12.com/phoenix.zhtml?c=214389&amp;p=irol-newsArticle&amp;ID=2344342" TargetMode="External"/><Relationship Id="rId36" Type="http://schemas.openxmlformats.org/officeDocument/2006/relationships/hyperlink" Target="https://k12.gcs-web.com/news-releases/news-release-details/k12-inc-reports-third-quarter-fiscal-2020-revenues-2572-million" TargetMode="External"/><Relationship Id="rId57" Type="http://schemas.openxmlformats.org/officeDocument/2006/relationships/hyperlink" Target="http://investors.k12.com/news-releases/news-release-details/k12-inc-announces-first-quarter-revenues-increased-443-3710" TargetMode="External"/><Relationship Id="rId106" Type="http://schemas.openxmlformats.org/officeDocument/2006/relationships/hyperlink" Target="https://s26.q4cdn.com/126400783/files/doc_financials/2022/q2/Q2-FY22-Earnings-Presentation-vF.pdf" TargetMode="External"/><Relationship Id="rId127" Type="http://schemas.openxmlformats.org/officeDocument/2006/relationships/hyperlink" Target="https://investors.stridelearning.com/news/news-details/2022/Strides-Career-Learning-Business-Continues-to-Drive-Growth/default.aspx" TargetMode="External"/><Relationship Id="rId10" Type="http://schemas.openxmlformats.org/officeDocument/2006/relationships/hyperlink" Target="http://investors.k12.com/phoenix.zhtml?c=214389&amp;p=irol-newsArticle&amp;ID=2373056" TargetMode="External"/><Relationship Id="rId31" Type="http://schemas.openxmlformats.org/officeDocument/2006/relationships/hyperlink" Target="http://investors.k12.com/node/16261/pdf" TargetMode="External"/><Relationship Id="rId52" Type="http://schemas.openxmlformats.org/officeDocument/2006/relationships/hyperlink" Target="https://s26.q4cdn.com/126400783/files/doc_presentations/NewCo_IRDay_Presentation_Working_V21_IR-Website-4.pdf" TargetMode="External"/><Relationship Id="rId73" Type="http://schemas.openxmlformats.org/officeDocument/2006/relationships/hyperlink" Target="https://investors.stridelearning.com/news/news-details/2021/Stride-Guides-to-Revenue-and-Profitability-Growth-for-Fiscal-2022-Driven-by-Career-Learning-Demand/default.aspx" TargetMode="External"/><Relationship Id="rId78" Type="http://schemas.openxmlformats.org/officeDocument/2006/relationships/hyperlink" Target="https://s26.q4cdn.com/126400783/files/doc_presentations/2021/12/Company-Overview_Fall-2021_vF.pdf" TargetMode="External"/><Relationship Id="rId94" Type="http://schemas.openxmlformats.org/officeDocument/2006/relationships/hyperlink" Target="https://s26.q4cdn.com/126400783/files/doc_presentations/2021/12/Company-Overview_Fall-2021_vF.pdf" TargetMode="External"/><Relationship Id="rId99" Type="http://schemas.openxmlformats.org/officeDocument/2006/relationships/hyperlink" Target="https://s26.q4cdn.com/126400783/files/doc_financials/2022/q2/Q2-FY22-Earnings-Presentation-vF.pdf" TargetMode="External"/><Relationship Id="rId101" Type="http://schemas.openxmlformats.org/officeDocument/2006/relationships/hyperlink" Target="https://s26.q4cdn.com/126400783/files/doc_financials/2022/q2/Q2-FY22-Earnings-Presentation-vF.pdf" TargetMode="External"/><Relationship Id="rId122" Type="http://schemas.openxmlformats.org/officeDocument/2006/relationships/hyperlink" Target="https://s26.q4cdn.com/126400783/files/doc_financials/2022/q2/Q2-FY22-Earnings-Presentation-vF.pdf" TargetMode="External"/><Relationship Id="rId143" Type="http://schemas.openxmlformats.org/officeDocument/2006/relationships/hyperlink" Target="https://s26.q4cdn.com/126400783/files/doc_presentations/Q3-FY22-Earnings-Presentation-vF.pdf" TargetMode="External"/><Relationship Id="rId148" Type="http://schemas.openxmlformats.org/officeDocument/2006/relationships/hyperlink" Target="https://s26.q4cdn.com/126400783/files/doc_financials/2022/q4/Q4-FY22-Earnings-Presentation-vF.pdf" TargetMode="External"/><Relationship Id="rId164" Type="http://schemas.openxmlformats.org/officeDocument/2006/relationships/hyperlink" Target="https://s26.q4cdn.com/126400783/files/doc_news/Stride-Guides-to-Seventh-Straight-Year-of-Revenue-Growth-2022.pdf" TargetMode="External"/><Relationship Id="rId169" Type="http://schemas.openxmlformats.org/officeDocument/2006/relationships/hyperlink" Target="https://s26.q4cdn.com/126400783/files/doc_news/Stride-Guides-to-Seventh-Straight-Year-of-Revenue-Growth-2022.pdf" TargetMode="External"/><Relationship Id="rId185" Type="http://schemas.openxmlformats.org/officeDocument/2006/relationships/hyperlink" Target="https://s26.q4cdn.com/126400783/files/doc_news/Stride-Achieves-Record-Enrollment-Growth-over-First-Quarter-2023.pdf" TargetMode="External"/><Relationship Id="rId4" Type="http://schemas.openxmlformats.org/officeDocument/2006/relationships/hyperlink" Target="http://investors.k12.com/phoenix.zhtml?c=214389&amp;p=irol-newsArticle&amp;ID=2384440" TargetMode="External"/><Relationship Id="rId9" Type="http://schemas.openxmlformats.org/officeDocument/2006/relationships/hyperlink" Target="http://investors.k12.com/phoenix.zhtml?c=214389&amp;p=irol-newsArticle&amp;ID=2373056" TargetMode="External"/><Relationship Id="rId180" Type="http://schemas.openxmlformats.org/officeDocument/2006/relationships/hyperlink" Target="https://s26.q4cdn.com/126400783/files/doc_news/Stride-Achieves-Record-Enrollment-Growth-over-First-Quarter-2023.pdf" TargetMode="External"/><Relationship Id="rId210" Type="http://schemas.openxmlformats.org/officeDocument/2006/relationships/hyperlink" Target="https://s26.q4cdn.com/126400783/files/doc_news/Stride-Achieves-Record-Q1-Revenue-2023.pdf" TargetMode="External"/><Relationship Id="rId215" Type="http://schemas.openxmlformats.org/officeDocument/2006/relationships/hyperlink" Target="https://s26.q4cdn.com/126400783/files/doc_news/Stride-Achieves-Record-Q1-Revenue-2023.pdf" TargetMode="External"/><Relationship Id="rId26" Type="http://schemas.openxmlformats.org/officeDocument/2006/relationships/hyperlink" Target="http://investors.k12.com/node/16261/pdf" TargetMode="External"/><Relationship Id="rId47" Type="http://schemas.openxmlformats.org/officeDocument/2006/relationships/hyperlink" Target="https://s26.q4cdn.com/126400783/files/doc_news/Stride-Inc.-Expands-Ability-to-Meet-Demands-of-IT-Skills-Gap-with-Acquisition-of-Tech-Elevator-2020.pdf" TargetMode="External"/><Relationship Id="rId68" Type="http://schemas.openxmlformats.org/officeDocument/2006/relationships/hyperlink" Target="https://investors.stridelearning.com/news/news-details/2021/Stride-Guides-to-Revenue-and-Profitability-Growth-for-Fiscal-2022-Driven-by-Career-Learning-Demand/default.aspx" TargetMode="External"/><Relationship Id="rId89" Type="http://schemas.openxmlformats.org/officeDocument/2006/relationships/hyperlink" Target="https://s26.q4cdn.com/126400783/files/doc_presentations/2021/12/Company-Overview_Fall-2021_vF.pdf" TargetMode="External"/><Relationship Id="rId112" Type="http://schemas.openxmlformats.org/officeDocument/2006/relationships/hyperlink" Target="https://s26.q4cdn.com/126400783/files/doc_financials/2022/q2/Q2-FY22-Earnings-Presentation-vF.pdf" TargetMode="External"/><Relationship Id="rId133" Type="http://schemas.openxmlformats.org/officeDocument/2006/relationships/hyperlink" Target="https://s26.q4cdn.com/126400783/files/doc_presentations/Q3-FY22-Earnings-Presentation-vF.pdf" TargetMode="External"/><Relationship Id="rId154" Type="http://schemas.openxmlformats.org/officeDocument/2006/relationships/hyperlink" Target="https://s26.q4cdn.com/126400783/files/doc_financials/2022/q4/Q4-FY22-Earnings-Presentation-vF.pdf" TargetMode="External"/><Relationship Id="rId175" Type="http://schemas.openxmlformats.org/officeDocument/2006/relationships/hyperlink" Target="https://s26.q4cdn.com/126400783/files/doc_financials/2023/q1/Q1-FY23-Earnings-Presentation-vF.pdf" TargetMode="External"/><Relationship Id="rId196" Type="http://schemas.openxmlformats.org/officeDocument/2006/relationships/hyperlink" Target="https://s26.q4cdn.com/126400783/files/doc_news/Stride-Posts-Record-Quarterly-Revenue-and-Profitability-2023.pdf" TargetMode="External"/><Relationship Id="rId200" Type="http://schemas.openxmlformats.org/officeDocument/2006/relationships/hyperlink" Target="https://s26.q4cdn.com/126400783/files/doc_financials/2023/q3/Q3-FY23-Earnings-Presentation-vF.pdf" TargetMode="External"/><Relationship Id="rId16" Type="http://schemas.openxmlformats.org/officeDocument/2006/relationships/hyperlink" Target="http://investors.k12.com/phoenix.zhtml?c=214389&amp;p=irol-newsArticle&amp;ID=2344342" TargetMode="External"/><Relationship Id="rId37" Type="http://schemas.openxmlformats.org/officeDocument/2006/relationships/hyperlink" Target="https://k12.gcs-web.com/news-releases/news-release-details/k12-inc-reports-third-quarter-fiscal-2020-revenues-2572-million" TargetMode="External"/><Relationship Id="rId58" Type="http://schemas.openxmlformats.org/officeDocument/2006/relationships/hyperlink" Target="https://investors.stridelearning.com/news/news-details/2021/Stride-Inc.-Announces-Second-Quarter-Revenues-Increased-46-to-376.1-Million/default.aspx" TargetMode="External"/><Relationship Id="rId79" Type="http://schemas.openxmlformats.org/officeDocument/2006/relationships/hyperlink" Target="https://s26.q4cdn.com/126400783/files/doc_presentations/2021/12/Company-Overview_Fall-2021_vF.pdf" TargetMode="External"/><Relationship Id="rId102" Type="http://schemas.openxmlformats.org/officeDocument/2006/relationships/hyperlink" Target="https://s26.q4cdn.com/126400783/files/doc_financials/2022/q2/Q2-FY22-Earnings-Presentation-vF.pdf" TargetMode="External"/><Relationship Id="rId123" Type="http://schemas.openxmlformats.org/officeDocument/2006/relationships/hyperlink" Target="https://s26.q4cdn.com/126400783/files/doc_financials/2022/q2/Q2-FY22-Earnings-Presentation-vF.pdf" TargetMode="External"/><Relationship Id="rId144" Type="http://schemas.openxmlformats.org/officeDocument/2006/relationships/hyperlink" Target="https://investors.stridelearning.com/news/news-details/2022/Strides-Career-Learning-Business-Continues-to-Drive-Growth/default.aspx" TargetMode="External"/><Relationship Id="rId90" Type="http://schemas.openxmlformats.org/officeDocument/2006/relationships/hyperlink" Target="https://s26.q4cdn.com/126400783/files/doc_presentations/2021/12/Company-Overview_Fall-2021_vF.pdf" TargetMode="External"/><Relationship Id="rId165" Type="http://schemas.openxmlformats.org/officeDocument/2006/relationships/hyperlink" Target="https://s26.q4cdn.com/126400783/files/doc_news/Stride-Guides-to-Seventh-Straight-Year-of-Revenue-Growth-2022.pdf" TargetMode="External"/><Relationship Id="rId186" Type="http://schemas.openxmlformats.org/officeDocument/2006/relationships/hyperlink" Target="https://s26.q4cdn.com/126400783/files/doc_news/Stride-Achieves-Record-Enrollment-Growth-over-First-Quarter-2023.pdf" TargetMode="External"/><Relationship Id="rId211" Type="http://schemas.openxmlformats.org/officeDocument/2006/relationships/hyperlink" Target="https://s26.q4cdn.com/126400783/files/doc_news/Stride-Achieves-Record-Q1-Revenue-2023.pdf" TargetMode="External"/><Relationship Id="rId27" Type="http://schemas.openxmlformats.org/officeDocument/2006/relationships/hyperlink" Target="http://investors.k12.com/node/16261/pdf" TargetMode="External"/><Relationship Id="rId48" Type="http://schemas.openxmlformats.org/officeDocument/2006/relationships/hyperlink" Target="https://s26.q4cdn.com/126400783/files/doc_presentations/NewCo_IRDay_Presentation_Working_V21_IR-Website-4.pdf" TargetMode="External"/><Relationship Id="rId69" Type="http://schemas.openxmlformats.org/officeDocument/2006/relationships/hyperlink" Target="https://investors.stridelearning.com/news/news-details/2021/Stride-Guides-to-Revenue-and-Profitability-Growth-for-Fiscal-2022-Driven-by-Career-Learning-Demand/default.aspx" TargetMode="External"/><Relationship Id="rId113" Type="http://schemas.openxmlformats.org/officeDocument/2006/relationships/hyperlink" Target="https://s26.q4cdn.com/126400783/files/doc_financials/2022/q2/Q2-FY22-Earnings-Presentation-vF.pdf" TargetMode="External"/><Relationship Id="rId134" Type="http://schemas.openxmlformats.org/officeDocument/2006/relationships/hyperlink" Target="https://s26.q4cdn.com/126400783/files/doc_presentations/Q3-FY22-Earnings-Presentation-vF.pdf" TargetMode="External"/><Relationship Id="rId80" Type="http://schemas.openxmlformats.org/officeDocument/2006/relationships/hyperlink" Target="https://s26.q4cdn.com/126400783/files/doc_presentations/2021/12/Company-Overview_Fall-2021_vF.pdf" TargetMode="External"/><Relationship Id="rId155" Type="http://schemas.openxmlformats.org/officeDocument/2006/relationships/hyperlink" Target="https://s26.q4cdn.com/126400783/files/doc_financials/2022/q4/Q4-FY22-Earnings-Presentation-vF.pdf" TargetMode="External"/><Relationship Id="rId176" Type="http://schemas.openxmlformats.org/officeDocument/2006/relationships/hyperlink" Target="https://s26.q4cdn.com/126400783/files/doc_financials/2023/q1/Q1-FY23-Earnings-Presentation-vF.pdf" TargetMode="External"/><Relationship Id="rId197" Type="http://schemas.openxmlformats.org/officeDocument/2006/relationships/hyperlink" Target="https://s26.q4cdn.com/126400783/files/doc_news/Stride-Posts-Record-Quarterly-Revenue-and-Profitability-2023.pdf" TargetMode="External"/><Relationship Id="rId201" Type="http://schemas.openxmlformats.org/officeDocument/2006/relationships/hyperlink" Target="https://s26.q4cdn.com/126400783/files/doc_financials/2023/q4/Q4-FY23-Earnings-Presentation-vF.pdf" TargetMode="External"/><Relationship Id="rId17" Type="http://schemas.openxmlformats.org/officeDocument/2006/relationships/hyperlink" Target="http://investors.k12.com/node/16126/pdf" TargetMode="External"/><Relationship Id="rId38" Type="http://schemas.openxmlformats.org/officeDocument/2006/relationships/hyperlink" Target="http://investors.k12.com/news-releases/news-release-details/k12-inc-reports-full-year-fiscal-2020-revenues-104-billion" TargetMode="External"/><Relationship Id="rId59" Type="http://schemas.openxmlformats.org/officeDocument/2006/relationships/hyperlink" Target="https://s26.q4cdn.com/126400783/files/doc_financials/2021/q2/Q2-FY21-Earnings-Presentation-vFinal.pdf" TargetMode="External"/><Relationship Id="rId103" Type="http://schemas.openxmlformats.org/officeDocument/2006/relationships/hyperlink" Target="https://s26.q4cdn.com/126400783/files/doc_financials/2022/q2/Q2-FY22-Earnings-Presentation-vF.pdf" TargetMode="External"/><Relationship Id="rId124" Type="http://schemas.openxmlformats.org/officeDocument/2006/relationships/hyperlink" Target="https://s26.q4cdn.com/126400783/files/doc_financials/2022/q2/Q2-FY22-Earnings-Presentation-vF.pdf" TargetMode="External"/><Relationship Id="rId70" Type="http://schemas.openxmlformats.org/officeDocument/2006/relationships/hyperlink" Target="https://investors.stridelearning.com/news/news-details/2021/Stride-Guides-to-Revenue-and-Profitability-Growth-for-Fiscal-2022-Driven-by-Career-Learning-Demand/default.aspx" TargetMode="External"/><Relationship Id="rId91" Type="http://schemas.openxmlformats.org/officeDocument/2006/relationships/hyperlink" Target="https://s26.q4cdn.com/126400783/files/doc_presentations/2021/12/Company-Overview_Fall-2021_vF.pdf" TargetMode="External"/><Relationship Id="rId145" Type="http://schemas.openxmlformats.org/officeDocument/2006/relationships/hyperlink" Target="https://investors.stridelearning.com/news/news-details/2022/Strides-Career-Learning-Business-Continues-to-Drive-Growth/default.aspx" TargetMode="External"/><Relationship Id="rId166" Type="http://schemas.openxmlformats.org/officeDocument/2006/relationships/hyperlink" Target="https://s26.q4cdn.com/126400783/files/doc_news/Stride-Guides-to-Seventh-Straight-Year-of-Revenue-Growth-2022.pdf" TargetMode="External"/><Relationship Id="rId187" Type="http://schemas.openxmlformats.org/officeDocument/2006/relationships/hyperlink" Target="https://s26.q4cdn.com/126400783/files/doc_news/Stride-Achieves-Record-Enrollment-Growth-over-First-Quarter-2023.pdf" TargetMode="External"/><Relationship Id="rId1" Type="http://schemas.openxmlformats.org/officeDocument/2006/relationships/hyperlink" Target="http://investors.k12.com/phoenix.zhtml?c=214389&amp;p=irol-newsArticle&amp;ID=2395415" TargetMode="External"/><Relationship Id="rId212" Type="http://schemas.openxmlformats.org/officeDocument/2006/relationships/hyperlink" Target="https://s26.q4cdn.com/126400783/files/doc_news/Stride-Achieves-Record-Q1-Revenue-2023.pdf" TargetMode="External"/><Relationship Id="rId28" Type="http://schemas.openxmlformats.org/officeDocument/2006/relationships/hyperlink" Target="http://investors.k12.com/node/16261/pdf" TargetMode="External"/><Relationship Id="rId49" Type="http://schemas.openxmlformats.org/officeDocument/2006/relationships/hyperlink" Target="https://s26.q4cdn.com/126400783/files/doc_presentations/NewCo_IRDay_Presentation_Working_V21_IR-Website-4.pdf" TargetMode="External"/><Relationship Id="rId114" Type="http://schemas.openxmlformats.org/officeDocument/2006/relationships/hyperlink" Target="https://s26.q4cdn.com/126400783/files/doc_financials/2022/q2/Q2-FY22-Earnings-Presentation-vF.pdf" TargetMode="External"/><Relationship Id="rId60" Type="http://schemas.openxmlformats.org/officeDocument/2006/relationships/hyperlink" Target="https://investors.stridelearning.com/news/news-details/2021/Stride-Inc.-Posts-Revenue-Of-392.1-Million--Career-Learning-Revenue-Grows-191-Year-over-Year/default.aspx" TargetMode="External"/><Relationship Id="rId81" Type="http://schemas.openxmlformats.org/officeDocument/2006/relationships/hyperlink" Target="https://s26.q4cdn.com/126400783/files/doc_presentations/2021/12/Company-Overview_Fall-2021_vF.pdf" TargetMode="External"/><Relationship Id="rId135" Type="http://schemas.openxmlformats.org/officeDocument/2006/relationships/hyperlink" Target="https://s26.q4cdn.com/126400783/files/doc_presentations/Q3-FY22-Earnings-Presentation-vF.pdf" TargetMode="External"/><Relationship Id="rId156" Type="http://schemas.openxmlformats.org/officeDocument/2006/relationships/hyperlink" Target="https://s26.q4cdn.com/126400783/files/doc_financials/2022/q4/Q4-FY22-Earnings-Presentation-vF.pdf" TargetMode="External"/><Relationship Id="rId177" Type="http://schemas.openxmlformats.org/officeDocument/2006/relationships/hyperlink" Target="https://s26.q4cdn.com/126400783/files/doc_news/Stride-Achieves-Record-Enrollment-Growth-over-First-Quarter-2023.pdf" TargetMode="External"/><Relationship Id="rId198" Type="http://schemas.openxmlformats.org/officeDocument/2006/relationships/hyperlink" Target="https://s26.q4cdn.com/126400783/files/doc_news/Stride-Posts-Record-Quarterly-Revenue-and-Profitability-2023.pdf" TargetMode="External"/><Relationship Id="rId202" Type="http://schemas.openxmlformats.org/officeDocument/2006/relationships/hyperlink" Target="https://s26.q4cdn.com/126400783/files/doc_financials/2023/q4/Q4-FY23-Earnings-Presentation-vF.pdf" TargetMode="External"/><Relationship Id="rId18" Type="http://schemas.openxmlformats.org/officeDocument/2006/relationships/hyperlink" Target="http://investors.k12.com/node/16126/pdf" TargetMode="External"/><Relationship Id="rId39" Type="http://schemas.openxmlformats.org/officeDocument/2006/relationships/hyperlink" Target="http://investors.k12.com/news-releases/news-release-details/k12-inc-reports-full-year-fiscal-2020-revenues-104-billion" TargetMode="External"/><Relationship Id="rId50" Type="http://schemas.openxmlformats.org/officeDocument/2006/relationships/hyperlink" Target="https://s26.q4cdn.com/126400783/files/doc_presentations/NewCo_IRDay_Presentation_Working_V21_IR-Website-4.pdf" TargetMode="External"/><Relationship Id="rId104" Type="http://schemas.openxmlformats.org/officeDocument/2006/relationships/hyperlink" Target="https://s26.q4cdn.com/126400783/files/doc_financials/2022/q2/Q2-FY22-Earnings-Presentation-vF.pdf" TargetMode="External"/><Relationship Id="rId125" Type="http://schemas.openxmlformats.org/officeDocument/2006/relationships/hyperlink" Target="https://s26.q4cdn.com/126400783/files/doc_financials/2022/q2/Q2-FY22-Earnings-Presentation-vF.pdf" TargetMode="External"/><Relationship Id="rId146" Type="http://schemas.openxmlformats.org/officeDocument/2006/relationships/hyperlink" Target="https://investors.stridelearning.com/news/news-details/2022/Strides-Career-Learning-Business-Continues-to-Drive-Growth/default.aspx" TargetMode="External"/><Relationship Id="rId167" Type="http://schemas.openxmlformats.org/officeDocument/2006/relationships/hyperlink" Target="https://s26.q4cdn.com/126400783/files/doc_news/Stride-Guides-to-Seventh-Straight-Year-of-Revenue-Growth-2022.pdf" TargetMode="External"/><Relationship Id="rId188" Type="http://schemas.openxmlformats.org/officeDocument/2006/relationships/hyperlink" Target="https://s26.q4cdn.com/126400783/files/doc_news/Stride-Achieves-Record-Enrollment-Growth-over-First-Quarter-2023.pdf" TargetMode="External"/><Relationship Id="rId71" Type="http://schemas.openxmlformats.org/officeDocument/2006/relationships/hyperlink" Target="https://investors.stridelearning.com/news/news-details/2021/Stride-Guides-to-Revenue-and-Profitability-Growth-for-Fiscal-2022-Driven-by-Career-Learning-Demand/default.aspx" TargetMode="External"/><Relationship Id="rId92" Type="http://schemas.openxmlformats.org/officeDocument/2006/relationships/hyperlink" Target="https://s26.q4cdn.com/126400783/files/doc_presentations/2021/12/Company-Overview_Fall-2021_vF.pdf" TargetMode="External"/><Relationship Id="rId213" Type="http://schemas.openxmlformats.org/officeDocument/2006/relationships/hyperlink" Target="https://s26.q4cdn.com/126400783/files/doc_news/Stride-Achieves-Record-Q1-Revenue-2023.pdf" TargetMode="External"/><Relationship Id="rId2" Type="http://schemas.openxmlformats.org/officeDocument/2006/relationships/hyperlink" Target="http://investors.k12.com/phoenix.zhtml?c=214389&amp;p=irol-newsArticle&amp;ID=2395415" TargetMode="External"/><Relationship Id="rId29" Type="http://schemas.openxmlformats.org/officeDocument/2006/relationships/hyperlink" Target="http://investors.k12.com/node/16261/pdf" TargetMode="External"/><Relationship Id="rId40" Type="http://schemas.openxmlformats.org/officeDocument/2006/relationships/hyperlink" Target="http://investors.k12.com/news-releases/news-release-details/k12-inc-reports-full-year-fiscal-2020-revenues-104-billion" TargetMode="External"/><Relationship Id="rId115" Type="http://schemas.openxmlformats.org/officeDocument/2006/relationships/hyperlink" Target="https://s26.q4cdn.com/126400783/files/doc_financials/2022/q2/Q2-FY22-Earnings-Presentation-vF.pdf" TargetMode="External"/><Relationship Id="rId136" Type="http://schemas.openxmlformats.org/officeDocument/2006/relationships/hyperlink" Target="https://s26.q4cdn.com/126400783/files/doc_presentations/Q3-FY22-Earnings-Presentation-vF.pdf" TargetMode="External"/><Relationship Id="rId157" Type="http://schemas.openxmlformats.org/officeDocument/2006/relationships/hyperlink" Target="https://s26.q4cdn.com/126400783/files/doc_financials/2022/q4/Q4-FY22-Earnings-Presentation-vF.pdf" TargetMode="External"/><Relationship Id="rId178" Type="http://schemas.openxmlformats.org/officeDocument/2006/relationships/hyperlink" Target="https://s26.q4cdn.com/126400783/files/doc_news/Stride-Achieves-Record-Enrollment-Growth-over-First-Quarter-2023.pdf" TargetMode="External"/><Relationship Id="rId61" Type="http://schemas.openxmlformats.org/officeDocument/2006/relationships/hyperlink" Target="https://investors.stridelearning.com/news/news-details/2021/Stride-Inc.-Posts-Revenue-Of-392.1-Million--Career-Learning-Revenue-Grows-191-Year-over-Year/default.aspx" TargetMode="External"/><Relationship Id="rId82" Type="http://schemas.openxmlformats.org/officeDocument/2006/relationships/hyperlink" Target="https://s26.q4cdn.com/126400783/files/doc_presentations/2021/12/Company-Overview_Fall-2021_vF.pdf" TargetMode="External"/><Relationship Id="rId199" Type="http://schemas.openxmlformats.org/officeDocument/2006/relationships/hyperlink" Target="https://s26.q4cdn.com/126400783/files/doc_financials/2023/q3/Q3-FY23-Earnings-Presentation-vF.pdf" TargetMode="External"/><Relationship Id="rId203" Type="http://schemas.openxmlformats.org/officeDocument/2006/relationships/hyperlink" Target="https://s26.q4cdn.com/126400783/files/doc_financials/2023/q4/Q4-FY23-Earnings-Presentation-vF.pdf" TargetMode="External"/><Relationship Id="rId19" Type="http://schemas.openxmlformats.org/officeDocument/2006/relationships/hyperlink" Target="http://investors.k12.com/node/16126/pdf"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hyperlink" Target="https://citronresearch.com/apollo-group-new-allegations-2013/" TargetMode="External"/><Relationship Id="rId13" Type="http://schemas.openxmlformats.org/officeDocument/2006/relationships/hyperlink" Target="https://www.ftc.gov/news-events/news/press-releases/2019/12/ftc-obtains-record-191-million-settlement-university-phoenix-resolve-ftc-charges-it-used-deceptive" TargetMode="External"/><Relationship Id="rId3" Type="http://schemas.openxmlformats.org/officeDocument/2006/relationships/hyperlink" Target="https://citronresearch.com/first-apollo-report-2009/" TargetMode="External"/><Relationship Id="rId7" Type="http://schemas.openxmlformats.org/officeDocument/2006/relationships/hyperlink" Target="https://www.gao.gov/products/gao-10-948t" TargetMode="External"/><Relationship Id="rId12" Type="http://schemas.openxmlformats.org/officeDocument/2006/relationships/hyperlink" Target="https://www.insidehighered.com/news/2017/02/01/apollo-group-finalizes-sale-private-investor-group" TargetMode="External"/><Relationship Id="rId2" Type="http://schemas.openxmlformats.org/officeDocument/2006/relationships/hyperlink" Target="https://www.ed.gov/news/press-releases/doe-monitoring-2011" TargetMode="External"/><Relationship Id="rId1" Type="http://schemas.openxmlformats.org/officeDocument/2006/relationships/hyperlink" Target="https://www.ed.gov/news/press-releases/doe-for-profit-default-warnings-2010" TargetMode="External"/><Relationship Id="rId6" Type="http://schemas.openxmlformats.org/officeDocument/2006/relationships/hyperlink" Target="https://gothamcityresearch.com/apollo-inflated-numbers-2009/" TargetMode="External"/><Relationship Id="rId11" Type="http://schemas.openxmlformats.org/officeDocument/2006/relationships/hyperlink" Target="https://www.sprucepointcap.com/apollo-education/" TargetMode="External"/><Relationship Id="rId5" Type="http://schemas.openxmlformats.org/officeDocument/2006/relationships/hyperlink" Target="https://muddywatersresearch.com/apollo-2009/" TargetMode="External"/><Relationship Id="rId10" Type="http://schemas.openxmlformats.org/officeDocument/2006/relationships/hyperlink" Target="https://muddywatersresearch.com/research/apollo-followup/" TargetMode="External"/><Relationship Id="rId4" Type="http://schemas.openxmlformats.org/officeDocument/2006/relationships/hyperlink" Target="https://citronresearch.com/apollo-follow-up-2009/" TargetMode="External"/><Relationship Id="rId9" Type="http://schemas.openxmlformats.org/officeDocument/2006/relationships/hyperlink" Target="https://www.muddywatersresearch.com/research/apollo/"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3" Type="http://schemas.openxmlformats.org/officeDocument/2006/relationships/hyperlink" Target="http://investors.k12.com/node/16126/pdf" TargetMode="External"/><Relationship Id="rId18" Type="http://schemas.openxmlformats.org/officeDocument/2006/relationships/hyperlink" Target="http://investors.k12.com/news-releases/news-release-details/k12-inc-reports-full-year-fiscal-2020-revenues-104-billion" TargetMode="External"/><Relationship Id="rId26" Type="http://schemas.openxmlformats.org/officeDocument/2006/relationships/hyperlink" Target="https://investors.stridelearning.com/news/news-details/2022/Demand-for-Stride-Career-Learning-Continues-to-Drive-Strong-Performance/default.aspx" TargetMode="External"/><Relationship Id="rId39" Type="http://schemas.openxmlformats.org/officeDocument/2006/relationships/hyperlink" Target="https://s26.q4cdn.com/126400783/files/doc_news/Stride-Reports-Record-Revenue-and-Earnings-2023.pdf" TargetMode="External"/><Relationship Id="rId21" Type="http://schemas.openxmlformats.org/officeDocument/2006/relationships/hyperlink" Target="https://investors.stridelearning.com/news/news-details/2021/Stride-Inc.-Posts-Revenue-Of-392.1-Million--Career-Learning-Revenue-Grows-191-Year-over-Year/default.aspx" TargetMode="External"/><Relationship Id="rId34" Type="http://schemas.openxmlformats.org/officeDocument/2006/relationships/hyperlink" Target="https://s26.q4cdn.com/126400783/files/doc_news/Stride-Achieves-Record-Enrollment-Growth-over-First-Quarter-2023.pdf" TargetMode="External"/><Relationship Id="rId42" Type="http://schemas.openxmlformats.org/officeDocument/2006/relationships/printerSettings" Target="../printerSettings/printerSettings22.bin"/><Relationship Id="rId7" Type="http://schemas.openxmlformats.org/officeDocument/2006/relationships/hyperlink" Target="https://www.sec.gov/Archives/edgar/data/1157408/000115752317002835/a51705388ex99_1.htm" TargetMode="External"/><Relationship Id="rId2" Type="http://schemas.openxmlformats.org/officeDocument/2006/relationships/hyperlink" Target="http://investors.k12.com/phoenix.zhtml?c=214389&amp;p=irol-newsArticle&amp;ID=2384440" TargetMode="External"/><Relationship Id="rId16" Type="http://schemas.openxmlformats.org/officeDocument/2006/relationships/hyperlink" Target="https://k12.gcs-web.com/news-releases/news-release-details/k12-inc-reports-third-quarter-fiscal-2020-revenues-2572-million" TargetMode="External"/><Relationship Id="rId20" Type="http://schemas.openxmlformats.org/officeDocument/2006/relationships/hyperlink" Target="https://investors.stridelearning.com/news/news-details/2021/Stride-Inc.-Announces-Second-Quarter-Revenues-Increased-46-to-376.1-Million/default.aspx" TargetMode="External"/><Relationship Id="rId29" Type="http://schemas.openxmlformats.org/officeDocument/2006/relationships/hyperlink" Target="https://investors.stridelearning.com/news/news-details/2022/Strides-Career-Learning-Business-Continues-to-Drive-Growth/default.aspx" TargetMode="External"/><Relationship Id="rId41" Type="http://schemas.openxmlformats.org/officeDocument/2006/relationships/hyperlink" Target="https://s26.q4cdn.com/126400783/files/doc_news/Stride-Achieves-Record-Q1-Revenue-2023.pdf" TargetMode="External"/><Relationship Id="rId1" Type="http://schemas.openxmlformats.org/officeDocument/2006/relationships/hyperlink" Target="http://investors.k12.com/phoenix.zhtml?c=214389&amp;p=irol-newsArticle&amp;ID=2395415" TargetMode="External"/><Relationship Id="rId6" Type="http://schemas.openxmlformats.org/officeDocument/2006/relationships/hyperlink" Target="https://www.sec.gov/Archives/edgar/data/1157408/000115752318000118/a51747883_ex991.htm" TargetMode="External"/><Relationship Id="rId11" Type="http://schemas.openxmlformats.org/officeDocument/2006/relationships/hyperlink" Target="http://investors.k12.com/phoenix.zhtml?c=214389&amp;p=irol-newsArticle&amp;ID=2215945" TargetMode="External"/><Relationship Id="rId24" Type="http://schemas.openxmlformats.org/officeDocument/2006/relationships/hyperlink" Target="https://investors.stridelearning.com/news/news-details/2021/Stride-Guides-to-Revenue-and-Profitability-Growth-for-Fiscal-2022-Driven-by-Career-Learning-Demand/default.aspx" TargetMode="External"/><Relationship Id="rId32" Type="http://schemas.openxmlformats.org/officeDocument/2006/relationships/hyperlink" Target="https://s26.q4cdn.com/126400783/files/doc_news/Stride-Guides-to-Seventh-Straight-Year-of-Revenue-Growth-2022.pdf" TargetMode="External"/><Relationship Id="rId37" Type="http://schemas.openxmlformats.org/officeDocument/2006/relationships/hyperlink" Target="https://s26.q4cdn.com/126400783/files/doc_news/Stride-Posts-Record-Quarterly-Revenue-and-Profitability-2023.pdf" TargetMode="External"/><Relationship Id="rId40" Type="http://schemas.openxmlformats.org/officeDocument/2006/relationships/hyperlink" Target="https://s26.q4cdn.com/126400783/files/doc_news/Stride-Achieves-Record-Q1-Revenue-2023.pdf" TargetMode="External"/><Relationship Id="rId5" Type="http://schemas.openxmlformats.org/officeDocument/2006/relationships/hyperlink" Target="http://investors.k12.com/phoenix.zhtml?c=214389&amp;p=irol-newsArticle&amp;ID=2344342" TargetMode="External"/><Relationship Id="rId15" Type="http://schemas.openxmlformats.org/officeDocument/2006/relationships/hyperlink" Target="http://investors.k12.com/news-releases/news-release-details/k12-inc-reports-second-quarter-fiscal-2020-revenues-2576-million" TargetMode="External"/><Relationship Id="rId23" Type="http://schemas.openxmlformats.org/officeDocument/2006/relationships/hyperlink" Target="https://investors.stridelearning.com/news/news-details/2021/Stride-Accelerates-Expansion-into-Career-Learning-Posts-Career-Learning-Revenue-of-Over-250-Million/default.aspx" TargetMode="External"/><Relationship Id="rId28" Type="http://schemas.openxmlformats.org/officeDocument/2006/relationships/hyperlink" Target="https://investors.stridelearning.com/news/news-details/2022/Strides-Career-Learning-Business-Continues-to-Drive-Growth/default.aspx" TargetMode="External"/><Relationship Id="rId36" Type="http://schemas.openxmlformats.org/officeDocument/2006/relationships/hyperlink" Target="https://s26.q4cdn.com/126400783/files/doc_news/Stride-Posts-Record-Quarterly-Revenue-and-Profitability-2023.pdf" TargetMode="External"/><Relationship Id="rId10" Type="http://schemas.openxmlformats.org/officeDocument/2006/relationships/hyperlink" Target="http://investors.k12.com/phoenix.zhtml?c=214389&amp;p=irol-reportsother" TargetMode="External"/><Relationship Id="rId19" Type="http://schemas.openxmlformats.org/officeDocument/2006/relationships/hyperlink" Target="http://investors.k12.com/news-releases/news-release-details/k12-inc-announces-first-quarter-revenues-increased-443-3710" TargetMode="External"/><Relationship Id="rId31" Type="http://schemas.openxmlformats.org/officeDocument/2006/relationships/hyperlink" Target="https://s26.q4cdn.com/126400783/files/doc_financials/2022/q4/Stride-Reports-Record-Full-Year-Revenue-and-Profitability-2022.pdf" TargetMode="External"/><Relationship Id="rId4" Type="http://schemas.openxmlformats.org/officeDocument/2006/relationships/hyperlink" Target="http://investors.k12.com/phoenix.zhtml?c=214389&amp;p=irol-newsArticle&amp;ID=2362641" TargetMode="External"/><Relationship Id="rId9" Type="http://schemas.openxmlformats.org/officeDocument/2006/relationships/hyperlink" Target="http://investors.k12.com/phoenix.zhtml?c=214389&amp;p=irol-newsArticle&amp;ID=2266770" TargetMode="External"/><Relationship Id="rId14" Type="http://schemas.openxmlformats.org/officeDocument/2006/relationships/hyperlink" Target="http://investors.k12.com/news-releases/news-release-details/k12-inc-reports-second-quarter-fiscal-2020-revenues-2576-million" TargetMode="External"/><Relationship Id="rId22" Type="http://schemas.openxmlformats.org/officeDocument/2006/relationships/hyperlink" Target="https://investors.stridelearning.com/news/news-details/2021/Stride-Accelerates-Expansion-into-Career-Learning-Posts-Career-Learning-Revenue-of-Over-250-Million/default.aspx" TargetMode="External"/><Relationship Id="rId27" Type="http://schemas.openxmlformats.org/officeDocument/2006/relationships/hyperlink" Target="https://investors.stridelearning.com/news/news-details/2022/Demand-for-Stride-Career-Learning-Continues-to-Drive-Strong-Performance/default.aspx" TargetMode="External"/><Relationship Id="rId30" Type="http://schemas.openxmlformats.org/officeDocument/2006/relationships/hyperlink" Target="https://s26.q4cdn.com/126400783/files/doc_financials/2022/q4/Stride-Reports-Record-Full-Year-Revenue-and-Profitability-2022.pdf" TargetMode="External"/><Relationship Id="rId35" Type="http://schemas.openxmlformats.org/officeDocument/2006/relationships/hyperlink" Target="https://s26.q4cdn.com/126400783/files/doc_news/Stride-Achieves-Record-Enrollment-Growth-over-First-Quarter-2023.pdf" TargetMode="External"/><Relationship Id="rId43" Type="http://schemas.openxmlformats.org/officeDocument/2006/relationships/drawing" Target="../drawings/drawing7.xml"/><Relationship Id="rId8" Type="http://schemas.openxmlformats.org/officeDocument/2006/relationships/hyperlink" Target="http://investors.k12.com/phoenix.zhtml?c=214389&amp;p=irol-newsArticle&amp;ID=2292760" TargetMode="External"/><Relationship Id="rId3" Type="http://schemas.openxmlformats.org/officeDocument/2006/relationships/hyperlink" Target="http://investors.k12.com/phoenix.zhtml?c=214389&amp;p=irol-newsArticle&amp;ID=2373056" TargetMode="External"/><Relationship Id="rId12" Type="http://schemas.openxmlformats.org/officeDocument/2006/relationships/hyperlink" Target="http://investors.k12.com/news-releases/news-release-details/k12-inc-reports-full-year-fiscal-2019-revenues-increase-107-1016" TargetMode="External"/><Relationship Id="rId17" Type="http://schemas.openxmlformats.org/officeDocument/2006/relationships/hyperlink" Target="https://k12.gcs-web.com/news-releases/news-release-details/k12-inc-reports-third-quarter-fiscal-2020-revenues-2572-million" TargetMode="External"/><Relationship Id="rId25" Type="http://schemas.openxmlformats.org/officeDocument/2006/relationships/hyperlink" Target="https://investors.stridelearning.com/news/news-details/2021/Stride-Guides-to-Revenue-and-Profitability-Growth-for-Fiscal-2022-Driven-by-Career-Learning-Demand/default.aspx" TargetMode="External"/><Relationship Id="rId33" Type="http://schemas.openxmlformats.org/officeDocument/2006/relationships/hyperlink" Target="https://s26.q4cdn.com/126400783/files/doc_news/Stride-Guides-to-Seventh-Straight-Year-of-Revenue-Growth-2022.pdf" TargetMode="External"/><Relationship Id="rId38" Type="http://schemas.openxmlformats.org/officeDocument/2006/relationships/hyperlink" Target="https://s26.q4cdn.com/126400783/files/doc_news/Stride-Reports-Record-Revenue-and-Earnings-202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BEC1D-15D3-4EF3-B01D-A3FC52972A33}">
  <dimension ref="A1"/>
  <sheetViews>
    <sheetView workbookViewId="0"/>
  </sheetViews>
  <sheetFormatPr defaultRowHeight="14.5" x14ac:dyDescent="0.35"/>
  <sheetData>
    <row r="1" spans="1:1" x14ac:dyDescent="0.35">
      <c r="A1" t="s">
        <v>2509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AAC02-A753-43B1-998D-27671841920D}">
  <sheetPr>
    <pageSetUpPr fitToPage="1"/>
  </sheetPr>
  <dimension ref="A1:AC108"/>
  <sheetViews>
    <sheetView tabSelected="1" view="pageBreakPreview" zoomScale="70" zoomScaleNormal="100" zoomScaleSheetLayoutView="70" workbookViewId="0">
      <pane xSplit="1" ySplit="5" topLeftCell="B6" activePane="bottomRight" state="frozen"/>
      <selection activeCell="AC101" sqref="AC101"/>
      <selection pane="topRight" activeCell="AC101" sqref="AC101"/>
      <selection pane="bottomLeft" activeCell="AC101" sqref="AC101"/>
      <selection pane="bottomRight" activeCell="B6" sqref="B6"/>
    </sheetView>
  </sheetViews>
  <sheetFormatPr defaultColWidth="9.1796875" defaultRowHeight="11.5" outlineLevelRow="1" x14ac:dyDescent="0.25"/>
  <cols>
    <col min="1" max="1" width="23" style="995" customWidth="1"/>
    <col min="2" max="2" width="3.453125" style="995" customWidth="1"/>
    <col min="3" max="21" width="11" style="995" customWidth="1"/>
    <col min="22" max="22" width="14.1796875" style="995" bestFit="1" customWidth="1"/>
    <col min="23" max="23" width="10.453125" style="995" bestFit="1" customWidth="1"/>
    <col min="24" max="16384" width="9.1796875" style="995"/>
  </cols>
  <sheetData>
    <row r="1" spans="1:24" ht="12" x14ac:dyDescent="0.3">
      <c r="A1" s="995" t="s">
        <v>651</v>
      </c>
      <c r="H1" s="1096"/>
      <c r="I1" s="1097" t="s">
        <v>1192</v>
      </c>
      <c r="J1" s="1096"/>
      <c r="K1" s="1096"/>
      <c r="L1" s="1096"/>
      <c r="Q1" s="996"/>
      <c r="S1" s="996"/>
      <c r="T1" s="996"/>
      <c r="U1" s="1586">
        <v>45657</v>
      </c>
    </row>
    <row r="2" spans="1:24" x14ac:dyDescent="0.25">
      <c r="A2" s="997" t="s">
        <v>716</v>
      </c>
      <c r="B2" s="997"/>
    </row>
    <row r="3" spans="1:24" s="999" customFormat="1" ht="12" x14ac:dyDescent="0.3">
      <c r="A3" s="998" t="s">
        <v>653</v>
      </c>
      <c r="B3" s="998"/>
      <c r="G3" s="1000"/>
      <c r="H3" s="1001"/>
      <c r="I3" s="1001"/>
      <c r="J3" s="1001">
        <f>+U1</f>
        <v>45657</v>
      </c>
      <c r="K3" s="1001">
        <v>46203</v>
      </c>
      <c r="L3" s="1001">
        <f t="shared" ref="L3:T3" si="0">+K3+365.25</f>
        <v>46568.25</v>
      </c>
      <c r="M3" s="1001">
        <f t="shared" si="0"/>
        <v>46933.5</v>
      </c>
      <c r="N3" s="1001">
        <f t="shared" si="0"/>
        <v>47298.75</v>
      </c>
      <c r="O3" s="1001">
        <f t="shared" si="0"/>
        <v>47664</v>
      </c>
      <c r="P3" s="1001">
        <f t="shared" si="0"/>
        <v>48029.25</v>
      </c>
      <c r="Q3" s="1001">
        <f t="shared" si="0"/>
        <v>48394.5</v>
      </c>
      <c r="R3" s="1001">
        <f t="shared" si="0"/>
        <v>48759.75</v>
      </c>
      <c r="S3" s="1001">
        <f t="shared" si="0"/>
        <v>49125</v>
      </c>
      <c r="T3" s="1001">
        <f t="shared" si="0"/>
        <v>49490.25</v>
      </c>
      <c r="U3" s="1001">
        <f t="shared" ref="U3" si="1">+T3+365.25</f>
        <v>49855.5</v>
      </c>
    </row>
    <row r="4" spans="1:24" x14ac:dyDescent="0.25">
      <c r="C4" s="1002" t="str">
        <f>+Historicals!G4</f>
        <v>FYE June 30th</v>
      </c>
      <c r="D4" s="1002"/>
      <c r="E4" s="1002"/>
      <c r="F4" s="1003"/>
      <c r="G4" s="1003"/>
      <c r="H4" s="1003"/>
      <c r="I4" s="1003"/>
      <c r="J4" s="1003"/>
      <c r="K4" s="1003"/>
      <c r="L4" s="1003"/>
      <c r="M4" s="1003"/>
      <c r="N4" s="1003"/>
      <c r="O4" s="1003"/>
      <c r="P4" s="1003"/>
      <c r="Q4" s="1003"/>
      <c r="R4" s="1003"/>
      <c r="S4" s="1003"/>
      <c r="T4" s="1003"/>
      <c r="U4" s="1003"/>
    </row>
    <row r="5" spans="1:24" ht="14.5" x14ac:dyDescent="0.55000000000000004">
      <c r="C5" s="1004" t="s">
        <v>895</v>
      </c>
      <c r="D5" s="1004" t="s">
        <v>896</v>
      </c>
      <c r="E5" s="1004" t="s">
        <v>717</v>
      </c>
      <c r="F5" s="1004" t="s">
        <v>718</v>
      </c>
      <c r="G5" s="1004" t="s">
        <v>719</v>
      </c>
      <c r="H5" s="1004" t="s">
        <v>756</v>
      </c>
      <c r="I5" s="1161" t="s">
        <v>948</v>
      </c>
      <c r="J5" s="1005" t="s">
        <v>689</v>
      </c>
      <c r="K5" s="1004" t="s">
        <v>720</v>
      </c>
      <c r="L5" s="1004" t="s">
        <v>721</v>
      </c>
      <c r="M5" s="1004" t="s">
        <v>722</v>
      </c>
      <c r="N5" s="1004" t="s">
        <v>723</v>
      </c>
      <c r="O5" s="1004" t="s">
        <v>724</v>
      </c>
      <c r="P5" s="1004" t="s">
        <v>725</v>
      </c>
      <c r="Q5" s="1004" t="s">
        <v>726</v>
      </c>
      <c r="R5" s="1004" t="s">
        <v>727</v>
      </c>
      <c r="S5" s="1004" t="s">
        <v>728</v>
      </c>
      <c r="T5" s="1004" t="s">
        <v>755</v>
      </c>
      <c r="U5" s="1004" t="s">
        <v>947</v>
      </c>
    </row>
    <row r="6" spans="1:24" ht="12" x14ac:dyDescent="0.3">
      <c r="A6" s="1006" t="s">
        <v>729</v>
      </c>
      <c r="B6" s="997"/>
      <c r="I6" s="1131"/>
      <c r="J6" s="1191"/>
    </row>
    <row r="7" spans="1:24" ht="12" x14ac:dyDescent="0.3">
      <c r="H7" s="1007"/>
      <c r="I7" s="1131"/>
      <c r="J7" s="1299" t="str">
        <f>+Historicals!AV8</f>
        <v>G = 2.225-2.30B</v>
      </c>
      <c r="L7" s="1009"/>
      <c r="M7" s="1009" t="s">
        <v>909</v>
      </c>
      <c r="V7" s="1010" t="s">
        <v>768</v>
      </c>
      <c r="X7" s="995" t="s">
        <v>769</v>
      </c>
    </row>
    <row r="8" spans="1:24" ht="12" x14ac:dyDescent="0.3">
      <c r="A8" s="995" t="s">
        <v>654</v>
      </c>
      <c r="C8" s="1012">
        <f>+Historicals!AO11</f>
        <v>917.73400000000004</v>
      </c>
      <c r="D8" s="1012">
        <f>+Historicals!AP11</f>
        <v>1015.7520000000002</v>
      </c>
      <c r="E8" s="1012">
        <f>+Historicals!AQ11</f>
        <v>1040.7649999999999</v>
      </c>
      <c r="F8" s="1012">
        <f>+Historicals!AR11</f>
        <v>1536.76</v>
      </c>
      <c r="G8" s="1012">
        <f>+Historicals!AS11</f>
        <v>1686.6659999999999</v>
      </c>
      <c r="H8" s="1012">
        <f>+Historicals!AT11</f>
        <v>1837.3580000000002</v>
      </c>
      <c r="I8" s="1132">
        <f>+Historicals!AU11</f>
        <v>2040.069</v>
      </c>
      <c r="J8" s="1185">
        <f>+Historicals!AV11</f>
        <v>2296.8478854999998</v>
      </c>
      <c r="K8" s="1013">
        <f t="shared" ref="K8:T8" si="2">+J8*(1+K9)</f>
        <v>2434.6587586299997</v>
      </c>
      <c r="L8" s="1013">
        <f t="shared" si="2"/>
        <v>2580.7382841477997</v>
      </c>
      <c r="M8" s="1013">
        <f t="shared" si="2"/>
        <v>2735.5825811966679</v>
      </c>
      <c r="N8" s="1013">
        <f t="shared" si="2"/>
        <v>2899.7175360684682</v>
      </c>
      <c r="O8" s="1013">
        <f t="shared" si="2"/>
        <v>3073.7005882325766</v>
      </c>
      <c r="P8" s="1013">
        <f t="shared" si="2"/>
        <v>3258.1226235265312</v>
      </c>
      <c r="Q8" s="1013">
        <f t="shared" si="2"/>
        <v>3453.6099809381235</v>
      </c>
      <c r="R8" s="1013">
        <f t="shared" si="2"/>
        <v>3660.8265797944109</v>
      </c>
      <c r="S8" s="1013">
        <f t="shared" si="2"/>
        <v>3880.4761745820756</v>
      </c>
      <c r="T8" s="1013">
        <f t="shared" si="2"/>
        <v>4113.3047450570002</v>
      </c>
      <c r="U8" s="1013">
        <f t="shared" ref="U8" si="3">+T8*(1+U9)</f>
        <v>4360.1030297604202</v>
      </c>
      <c r="V8" s="1013">
        <v>2700</v>
      </c>
      <c r="W8" s="1014"/>
      <c r="X8" s="1014">
        <f>+(V8/I8)^(1/5)-1</f>
        <v>5.7654402570707752E-2</v>
      </c>
    </row>
    <row r="9" spans="1:24" s="1019" customFormat="1" ht="12" x14ac:dyDescent="0.3">
      <c r="A9" s="1015" t="s">
        <v>730</v>
      </c>
      <c r="B9" s="1016"/>
      <c r="C9" s="1014"/>
      <c r="D9" s="1014">
        <f t="shared" ref="D9" si="4">IFERROR(IF(OR(D8&lt;0, C8&lt;0), "NM", D8/C8-1),"N/A")</f>
        <v>0.10680436815024841</v>
      </c>
      <c r="E9" s="1014">
        <f t="shared" ref="E9:J9" si="5">IFERROR(IF(OR(E8&lt;0, D8&lt;0), "NM", E8/D8-1),"N/A")</f>
        <v>2.4625105340673414E-2</v>
      </c>
      <c r="F9" s="1014">
        <f t="shared" si="5"/>
        <v>0.4765677170158491</v>
      </c>
      <c r="G9" s="1014">
        <f t="shared" si="5"/>
        <v>9.7546786746141256E-2</v>
      </c>
      <c r="H9" s="1014">
        <f t="shared" si="5"/>
        <v>8.9343118317438242E-2</v>
      </c>
      <c r="I9" s="1133">
        <f t="shared" si="5"/>
        <v>0.11032743754891516</v>
      </c>
      <c r="J9" s="1017">
        <f t="shared" si="5"/>
        <v>0.1258677454046897</v>
      </c>
      <c r="K9" s="1018">
        <v>0.06</v>
      </c>
      <c r="L9" s="1018">
        <f>+K9</f>
        <v>0.06</v>
      </c>
      <c r="M9" s="1018">
        <f t="shared" ref="M9:U9" si="6">+L9</f>
        <v>0.06</v>
      </c>
      <c r="N9" s="1018">
        <f t="shared" si="6"/>
        <v>0.06</v>
      </c>
      <c r="O9" s="1018">
        <f t="shared" si="6"/>
        <v>0.06</v>
      </c>
      <c r="P9" s="1018">
        <f t="shared" si="6"/>
        <v>0.06</v>
      </c>
      <c r="Q9" s="1018">
        <f t="shared" si="6"/>
        <v>0.06</v>
      </c>
      <c r="R9" s="1018">
        <f t="shared" si="6"/>
        <v>0.06</v>
      </c>
      <c r="S9" s="1018">
        <f t="shared" si="6"/>
        <v>0.06</v>
      </c>
      <c r="T9" s="1018">
        <f t="shared" si="6"/>
        <v>0.06</v>
      </c>
      <c r="U9" s="1018">
        <f t="shared" si="6"/>
        <v>0.06</v>
      </c>
      <c r="W9" s="995"/>
      <c r="X9" s="995"/>
    </row>
    <row r="10" spans="1:24" s="1019" customFormat="1" ht="12" x14ac:dyDescent="0.3">
      <c r="A10" s="1015" t="s">
        <v>2503</v>
      </c>
      <c r="B10" s="1016"/>
      <c r="C10" s="1014"/>
      <c r="D10" s="1014">
        <f>+Historicals!AP21</f>
        <v>0.10680436815024841</v>
      </c>
      <c r="E10" s="1014">
        <f>+Historicals!AQ21</f>
        <v>1.3678240357882343E-2</v>
      </c>
      <c r="F10" s="1014">
        <f>+Historicals!AR21</f>
        <v>0.42812363982263069</v>
      </c>
      <c r="G10" s="1014">
        <f>+Historicals!AS21</f>
        <v>8.3015630287097464E-2</v>
      </c>
      <c r="H10" s="1014">
        <f>+Historicals!AT21</f>
        <v>8.9343118317438242E-2</v>
      </c>
      <c r="I10" s="1133">
        <f>+Historicals!AU21</f>
        <v>0.11032743754891516</v>
      </c>
      <c r="J10" s="1017">
        <f>+Historicals!AV21</f>
        <v>0.1258677454046897</v>
      </c>
      <c r="K10" s="1021">
        <f>+K9</f>
        <v>0.06</v>
      </c>
      <c r="L10" s="1021">
        <f t="shared" ref="L10:U10" si="7">+L9</f>
        <v>0.06</v>
      </c>
      <c r="M10" s="1021">
        <f t="shared" si="7"/>
        <v>0.06</v>
      </c>
      <c r="N10" s="1021">
        <f t="shared" si="7"/>
        <v>0.06</v>
      </c>
      <c r="O10" s="1021">
        <f t="shared" si="7"/>
        <v>0.06</v>
      </c>
      <c r="P10" s="1021">
        <f t="shared" si="7"/>
        <v>0.06</v>
      </c>
      <c r="Q10" s="1021">
        <f t="shared" si="7"/>
        <v>0.06</v>
      </c>
      <c r="R10" s="1021">
        <f t="shared" si="7"/>
        <v>0.06</v>
      </c>
      <c r="S10" s="1021">
        <f t="shared" si="7"/>
        <v>0.06</v>
      </c>
      <c r="T10" s="1021">
        <f t="shared" si="7"/>
        <v>0.06</v>
      </c>
      <c r="U10" s="1021">
        <f t="shared" si="7"/>
        <v>0.06</v>
      </c>
      <c r="W10" s="995"/>
      <c r="X10" s="995"/>
    </row>
    <row r="11" spans="1:24" s="1019" customFormat="1" ht="12" x14ac:dyDescent="0.3">
      <c r="A11" s="1015"/>
      <c r="B11" s="1016"/>
      <c r="C11" s="1020"/>
      <c r="D11" s="1020"/>
      <c r="E11" s="1020"/>
      <c r="F11" s="1020"/>
      <c r="G11" s="1021"/>
      <c r="H11" s="1021"/>
      <c r="I11" s="1131"/>
      <c r="J11" s="1165" t="s">
        <v>731</v>
      </c>
      <c r="K11" s="1021"/>
      <c r="L11" s="1021"/>
      <c r="M11" s="1021"/>
      <c r="N11" s="1021"/>
      <c r="O11" s="1021"/>
      <c r="P11" s="1021"/>
      <c r="Q11" s="1021"/>
      <c r="R11" s="1021"/>
      <c r="S11" s="1021"/>
      <c r="T11" s="1021"/>
      <c r="U11" s="1021"/>
    </row>
    <row r="12" spans="1:24" s="1019" customFormat="1" ht="12" x14ac:dyDescent="0.3">
      <c r="A12" s="1015"/>
      <c r="B12" s="1016"/>
      <c r="C12" s="1020"/>
      <c r="D12" s="1020"/>
      <c r="E12" s="1020"/>
      <c r="F12" s="1020"/>
      <c r="G12" s="1021"/>
      <c r="H12" s="1021"/>
      <c r="I12" s="1131"/>
      <c r="J12" s="1299" t="str">
        <f>+Historicals!AV35</f>
        <v>G = 395-425</v>
      </c>
      <c r="K12" s="1021"/>
      <c r="L12" s="1021"/>
      <c r="M12" s="1009" t="s">
        <v>765</v>
      </c>
      <c r="N12" s="1021"/>
      <c r="O12" s="1021"/>
      <c r="P12" s="1021"/>
      <c r="Q12" s="1021"/>
      <c r="R12" s="1021"/>
      <c r="S12" s="1021"/>
      <c r="T12" s="1021"/>
      <c r="U12" s="1021"/>
    </row>
    <row r="13" spans="1:24" s="1019" customFormat="1" ht="12" x14ac:dyDescent="0.3">
      <c r="A13" s="1022" t="s">
        <v>762</v>
      </c>
      <c r="B13" s="1016"/>
      <c r="C13" s="1012">
        <f>+Historicals!AO37</f>
        <v>46.362000000000016</v>
      </c>
      <c r="D13" s="1012">
        <f>+Historicals!AP37</f>
        <v>62.161999999999971</v>
      </c>
      <c r="E13" s="1012">
        <f>+Historicals!AQ37</f>
        <v>62.079000000000171</v>
      </c>
      <c r="F13" s="1012">
        <f>+Historicals!AR37</f>
        <v>161.43099999999998</v>
      </c>
      <c r="G13" s="1012">
        <f>+Historicals!AS37</f>
        <v>188.16599999999997</v>
      </c>
      <c r="H13" s="1012">
        <f>+Historicals!AT37</f>
        <v>201.01900000000003</v>
      </c>
      <c r="I13" s="1132">
        <f>+Historicals!AU37</f>
        <v>293.94</v>
      </c>
      <c r="J13" s="1185">
        <f>+Historicals!AV37</f>
        <v>425.02568049109311</v>
      </c>
      <c r="K13" s="1013">
        <f t="shared" ref="K13:T13" si="8">+K20-K19</f>
        <v>455.04448106598517</v>
      </c>
      <c r="L13" s="1013">
        <f t="shared" si="8"/>
        <v>487.15656872640636</v>
      </c>
      <c r="M13" s="1013">
        <f t="shared" si="8"/>
        <v>518.10980109388686</v>
      </c>
      <c r="N13" s="1013">
        <f t="shared" si="8"/>
        <v>546.98581412904844</v>
      </c>
      <c r="O13" s="1013">
        <f t="shared" si="8"/>
        <v>578.17713983434555</v>
      </c>
      <c r="P13" s="1013">
        <f t="shared" si="8"/>
        <v>611.82269696998628</v>
      </c>
      <c r="Q13" s="1013">
        <f t="shared" si="8"/>
        <v>648.06973942179116</v>
      </c>
      <c r="R13" s="1013">
        <f t="shared" si="8"/>
        <v>687.0743563087301</v>
      </c>
      <c r="S13" s="1013">
        <f t="shared" si="8"/>
        <v>729.30200209691122</v>
      </c>
      <c r="T13" s="1013">
        <f t="shared" si="8"/>
        <v>775.32805852040894</v>
      </c>
      <c r="U13" s="1013">
        <f t="shared" ref="U13" si="9">+U20-U19</f>
        <v>821.84774203163329</v>
      </c>
      <c r="V13" s="1013">
        <v>415</v>
      </c>
      <c r="W13" s="1014"/>
      <c r="X13" s="1014">
        <f>+(V13/I13)^(1/5)-1</f>
        <v>7.1415392491925411E-2</v>
      </c>
    </row>
    <row r="14" spans="1:24" s="1019" customFormat="1" ht="11.25" customHeight="1" x14ac:dyDescent="0.3">
      <c r="A14" s="1015" t="s">
        <v>730</v>
      </c>
      <c r="B14" s="1016"/>
      <c r="C14" s="1014"/>
      <c r="D14" s="1014">
        <f t="shared" ref="D14" si="10">IF(OR(D13&lt;0, C13&lt;0), "NM", D13/C13-1)</f>
        <v>0.34079634183167129</v>
      </c>
      <c r="E14" s="1014">
        <f t="shared" ref="E14:T14" si="11">IF(OR(E13&lt;0, D13&lt;0), "NM", E13/D13-1)</f>
        <v>-1.3352208744860095E-3</v>
      </c>
      <c r="F14" s="1014">
        <f t="shared" si="11"/>
        <v>1.6004123777766965</v>
      </c>
      <c r="G14" s="1014">
        <f t="shared" si="11"/>
        <v>0.16561255273150755</v>
      </c>
      <c r="H14" s="1014">
        <f t="shared" si="11"/>
        <v>6.8306707906848674E-2</v>
      </c>
      <c r="I14" s="1133">
        <f t="shared" si="11"/>
        <v>0.46224983708007672</v>
      </c>
      <c r="J14" s="1017">
        <f t="shared" si="11"/>
        <v>0.44596067391676231</v>
      </c>
      <c r="K14" s="1014">
        <f t="shared" si="11"/>
        <v>7.062820425393368E-2</v>
      </c>
      <c r="L14" s="1014">
        <f t="shared" si="11"/>
        <v>7.0569117957865579E-2</v>
      </c>
      <c r="M14" s="1014">
        <f t="shared" si="11"/>
        <v>6.3538571281924527E-2</v>
      </c>
      <c r="N14" s="1014">
        <f t="shared" si="11"/>
        <v>5.5733385035750205E-2</v>
      </c>
      <c r="O14" s="1014">
        <f t="shared" si="11"/>
        <v>5.7024012139989866E-2</v>
      </c>
      <c r="P14" s="1014">
        <f t="shared" si="11"/>
        <v>5.8192472198538514E-2</v>
      </c>
      <c r="Q14" s="1014">
        <f t="shared" si="11"/>
        <v>5.9244357280820115E-2</v>
      </c>
      <c r="R14" s="1014">
        <f t="shared" si="11"/>
        <v>6.0185832657051686E-2</v>
      </c>
      <c r="S14" s="1014">
        <f t="shared" si="11"/>
        <v>6.1460081285884316E-2</v>
      </c>
      <c r="T14" s="1014">
        <f t="shared" si="11"/>
        <v>6.3109735460977978E-2</v>
      </c>
      <c r="U14" s="1014">
        <f t="shared" ref="U14" si="12">IF(OR(U13&lt;0, T13&lt;0), "NM", U13/T13-1)</f>
        <v>5.9999999999999831E-2</v>
      </c>
    </row>
    <row r="15" spans="1:24" s="1019" customFormat="1" ht="11.25" customHeight="1" x14ac:dyDescent="0.3">
      <c r="A15" s="1015" t="s">
        <v>2503</v>
      </c>
      <c r="B15" s="1016"/>
      <c r="C15" s="1014"/>
      <c r="D15" s="1014">
        <f>+Historicals!AP39</f>
        <v>0.34079634183167129</v>
      </c>
      <c r="E15" s="1014">
        <f>+Historicals!AQ39</f>
        <v>-7.2962167332606409E-3</v>
      </c>
      <c r="F15" s="1014">
        <f>+Historicals!AR39</f>
        <v>1.5553321160720994</v>
      </c>
      <c r="G15" s="1014">
        <f>+Historicals!AS39</f>
        <v>0.16057704417942142</v>
      </c>
      <c r="H15" s="1014">
        <f>+Historicals!AT39</f>
        <v>6.8306707906848674E-2</v>
      </c>
      <c r="I15" s="1133">
        <f>+Historicals!AU39</f>
        <v>0.46224983708007672</v>
      </c>
      <c r="J15" s="1017">
        <f>+Historicals!AV39</f>
        <v>0.44596067391676231</v>
      </c>
      <c r="K15" s="1014">
        <f>+K14</f>
        <v>7.062820425393368E-2</v>
      </c>
      <c r="L15" s="1014">
        <f t="shared" ref="L15:U15" si="13">+L14</f>
        <v>7.0569117957865579E-2</v>
      </c>
      <c r="M15" s="1014">
        <f t="shared" si="13"/>
        <v>6.3538571281924527E-2</v>
      </c>
      <c r="N15" s="1014">
        <f t="shared" si="13"/>
        <v>5.5733385035750205E-2</v>
      </c>
      <c r="O15" s="1014">
        <f t="shared" si="13"/>
        <v>5.7024012139989866E-2</v>
      </c>
      <c r="P15" s="1014">
        <f t="shared" si="13"/>
        <v>5.8192472198538514E-2</v>
      </c>
      <c r="Q15" s="1014">
        <f t="shared" si="13"/>
        <v>5.9244357280820115E-2</v>
      </c>
      <c r="R15" s="1014">
        <f t="shared" si="13"/>
        <v>6.0185832657051686E-2</v>
      </c>
      <c r="S15" s="1014">
        <f t="shared" si="13"/>
        <v>6.1460081285884316E-2</v>
      </c>
      <c r="T15" s="1014">
        <f t="shared" si="13"/>
        <v>6.3109735460977978E-2</v>
      </c>
      <c r="U15" s="1014">
        <f t="shared" si="13"/>
        <v>5.9999999999999831E-2</v>
      </c>
    </row>
    <row r="16" spans="1:24" s="1019" customFormat="1" ht="12" x14ac:dyDescent="0.3">
      <c r="A16" s="1015" t="s">
        <v>733</v>
      </c>
      <c r="B16" s="1016"/>
      <c r="C16" s="1023">
        <f t="shared" ref="C16:D16" si="14">+C13/C$8</f>
        <v>5.0517906059925878E-2</v>
      </c>
      <c r="D16" s="1023">
        <f t="shared" si="14"/>
        <v>6.1198008962817657E-2</v>
      </c>
      <c r="E16" s="1023">
        <f t="shared" ref="E16:T16" si="15">+E13/E$8</f>
        <v>5.9647470850768596E-2</v>
      </c>
      <c r="F16" s="1023">
        <f t="shared" si="15"/>
        <v>0.10504633124235403</v>
      </c>
      <c r="G16" s="1023">
        <f t="shared" si="15"/>
        <v>0.11156091366044017</v>
      </c>
      <c r="H16" s="1023">
        <f t="shared" si="15"/>
        <v>0.10940655005720171</v>
      </c>
      <c r="I16" s="1134">
        <f t="shared" si="15"/>
        <v>0.14408336188628915</v>
      </c>
      <c r="J16" s="1024">
        <f t="shared" ref="J16" si="16">+J13/J$8</f>
        <v>0.18504737870290852</v>
      </c>
      <c r="K16" s="1023">
        <f t="shared" si="15"/>
        <v>0.18690277619112505</v>
      </c>
      <c r="L16" s="1023">
        <f t="shared" si="15"/>
        <v>0.18876635872717837</v>
      </c>
      <c r="M16" s="1023">
        <f t="shared" si="15"/>
        <v>0.18939651270452312</v>
      </c>
      <c r="N16" s="1023">
        <f t="shared" si="15"/>
        <v>0.18863417119954023</v>
      </c>
      <c r="O16" s="1023">
        <f t="shared" si="15"/>
        <v>0.18810457402645259</v>
      </c>
      <c r="P16" s="1023">
        <f t="shared" si="15"/>
        <v>0.18778381530274044</v>
      </c>
      <c r="Q16" s="1023">
        <f t="shared" si="15"/>
        <v>0.1876499497623505</v>
      </c>
      <c r="R16" s="1023">
        <f t="shared" si="15"/>
        <v>0.18768284739325611</v>
      </c>
      <c r="S16" s="1023">
        <f t="shared" si="15"/>
        <v>0.18794136834906774</v>
      </c>
      <c r="T16" s="1023">
        <f t="shared" si="15"/>
        <v>0.1884927343280676</v>
      </c>
      <c r="U16" s="1023">
        <f t="shared" ref="U16" si="17">+U13/U$8</f>
        <v>0.18849273432806754</v>
      </c>
    </row>
    <row r="17" spans="1:25" s="1019" customFormat="1" ht="12" x14ac:dyDescent="0.3">
      <c r="A17" s="1015" t="s">
        <v>734</v>
      </c>
      <c r="B17" s="1016"/>
      <c r="C17" s="1023"/>
      <c r="D17" s="1023">
        <f t="shared" ref="D17" si="18">(D13-C13)/(D8-C8)</f>
        <v>0.16119488257258802</v>
      </c>
      <c r="E17" s="1023">
        <f t="shared" ref="E17:T17" si="19">(E13-D13)/(E8-D8)</f>
        <v>-3.3182744972534471E-3</v>
      </c>
      <c r="F17" s="1023">
        <f t="shared" si="19"/>
        <v>0.20030847085152023</v>
      </c>
      <c r="G17" s="1023">
        <f t="shared" si="19"/>
        <v>0.1783450962603231</v>
      </c>
      <c r="H17" s="1023">
        <f t="shared" si="19"/>
        <v>8.529318079261039E-2</v>
      </c>
      <c r="I17" s="1134">
        <f t="shared" si="19"/>
        <v>0.45839150317447036</v>
      </c>
      <c r="J17" s="1024">
        <f t="shared" si="19"/>
        <v>0.51050023149622703</v>
      </c>
      <c r="K17" s="1023">
        <f t="shared" si="19"/>
        <v>0.21782606766140064</v>
      </c>
      <c r="L17" s="1023">
        <f t="shared" si="19"/>
        <v>0.21982606766140059</v>
      </c>
      <c r="M17" s="1023">
        <f t="shared" si="19"/>
        <v>0.19989907899360218</v>
      </c>
      <c r="N17" s="1023">
        <f t="shared" si="19"/>
        <v>0.17592847944982559</v>
      </c>
      <c r="O17" s="1023">
        <f t="shared" si="19"/>
        <v>0.17927795447499167</v>
      </c>
      <c r="P17" s="1023">
        <f t="shared" si="19"/>
        <v>0.18243783657420481</v>
      </c>
      <c r="Q17" s="1023">
        <f t="shared" si="19"/>
        <v>0.18541885742251815</v>
      </c>
      <c r="R17" s="1023">
        <f t="shared" si="19"/>
        <v>0.18823114124168272</v>
      </c>
      <c r="S17" s="1023">
        <f t="shared" si="19"/>
        <v>0.19225005094592865</v>
      </c>
      <c r="T17" s="1023">
        <f t="shared" si="19"/>
        <v>0.19768216731139823</v>
      </c>
      <c r="U17" s="1023">
        <f t="shared" ref="U17" si="20">(U13-T13)/(U8-T8)</f>
        <v>0.18849273432806682</v>
      </c>
    </row>
    <row r="18" spans="1:25" s="1019" customFormat="1" ht="12" x14ac:dyDescent="0.3">
      <c r="A18" s="1015"/>
      <c r="B18" s="1016"/>
      <c r="C18" s="1020"/>
      <c r="D18" s="1020"/>
      <c r="E18" s="1020"/>
      <c r="F18" s="1020"/>
      <c r="G18" s="1021"/>
      <c r="H18" s="1021"/>
      <c r="I18" s="1131"/>
      <c r="J18" s="1165"/>
      <c r="K18" s="1021"/>
      <c r="L18" s="1021"/>
      <c r="M18" s="1021"/>
      <c r="N18" s="1021"/>
      <c r="O18" s="1021"/>
      <c r="P18" s="1021"/>
      <c r="Q18" s="1021"/>
      <c r="R18" s="1021"/>
      <c r="S18" s="1021"/>
      <c r="T18" s="1021"/>
      <c r="U18" s="1021"/>
    </row>
    <row r="19" spans="1:25" s="1028" customFormat="1" ht="13.5" x14ac:dyDescent="0.45">
      <c r="A19" s="1022" t="s">
        <v>766</v>
      </c>
      <c r="B19" s="1025"/>
      <c r="C19" s="1026">
        <f>+Historicals!AO72</f>
        <v>75.260000000000005</v>
      </c>
      <c r="D19" s="1026">
        <f>+Historicals!AP72</f>
        <v>71.399999999999977</v>
      </c>
      <c r="E19" s="1026">
        <f>+Historicals!AQ72</f>
        <v>66.077999999999975</v>
      </c>
      <c r="F19" s="1026">
        <f>+Historicals!AR72</f>
        <v>78.435000000000002</v>
      </c>
      <c r="G19" s="1026">
        <f>+Historicals!AS72</f>
        <v>84.945999999999998</v>
      </c>
      <c r="H19" s="1026">
        <f>+Historicals!AT72</f>
        <v>95.157999999999987</v>
      </c>
      <c r="I19" s="1135">
        <f>+Historicals!AU72</f>
        <v>96.80499999999995</v>
      </c>
      <c r="J19" s="1187">
        <f>+Historicals!AV72</f>
        <v>101.18800000000003</v>
      </c>
      <c r="K19" s="1027">
        <f t="shared" ref="K19:T19" si="21">+K41</f>
        <v>107.61133777183348</v>
      </c>
      <c r="L19" s="1027">
        <f t="shared" si="21"/>
        <v>114.42007580997696</v>
      </c>
      <c r="M19" s="1027">
        <f t="shared" si="21"/>
        <v>125.03260727707293</v>
      </c>
      <c r="N19" s="1027">
        <f t="shared" si="21"/>
        <v>134.74513874416891</v>
      </c>
      <c r="O19" s="1027">
        <f t="shared" si="21"/>
        <v>144.45767021126488</v>
      </c>
      <c r="P19" s="1027">
        <f t="shared" si="21"/>
        <v>154.17020167836085</v>
      </c>
      <c r="Q19" s="1027">
        <f t="shared" si="21"/>
        <v>163.88273314545683</v>
      </c>
      <c r="R19" s="1027">
        <f t="shared" si="21"/>
        <v>173.5952646125528</v>
      </c>
      <c r="S19" s="1027">
        <f t="shared" si="21"/>
        <v>183.00779607964876</v>
      </c>
      <c r="T19" s="1027">
        <f t="shared" si="21"/>
        <v>191.72032754674464</v>
      </c>
      <c r="U19" s="1027">
        <f t="shared" ref="U19" si="22">+U41</f>
        <v>203.22354719954933</v>
      </c>
    </row>
    <row r="20" spans="1:25" s="1031" customFormat="1" x14ac:dyDescent="0.25">
      <c r="A20" s="1029" t="s">
        <v>732</v>
      </c>
      <c r="B20" s="1013"/>
      <c r="C20" s="1013">
        <f t="shared" ref="C20:I20" si="23">+C13+C19</f>
        <v>121.62200000000001</v>
      </c>
      <c r="D20" s="1013">
        <f t="shared" si="23"/>
        <v>133.56199999999995</v>
      </c>
      <c r="E20" s="1013">
        <f t="shared" si="23"/>
        <v>128.15700000000015</v>
      </c>
      <c r="F20" s="1013">
        <f t="shared" si="23"/>
        <v>239.86599999999999</v>
      </c>
      <c r="G20" s="1013">
        <f t="shared" si="23"/>
        <v>273.11199999999997</v>
      </c>
      <c r="H20" s="1013">
        <f t="shared" si="23"/>
        <v>296.17700000000002</v>
      </c>
      <c r="I20" s="1136">
        <f t="shared" si="23"/>
        <v>390.74499999999995</v>
      </c>
      <c r="J20" s="1030">
        <f t="shared" ref="J20" si="24">+J13+J19</f>
        <v>526.2136804910931</v>
      </c>
      <c r="K20" s="1013">
        <f t="shared" ref="K20:T20" si="25">+K26-K25</f>
        <v>562.65581883781863</v>
      </c>
      <c r="L20" s="1013">
        <f>+L26-L25</f>
        <v>601.57664453638336</v>
      </c>
      <c r="M20" s="1013">
        <f t="shared" si="25"/>
        <v>643.14240837095974</v>
      </c>
      <c r="N20" s="1013">
        <f t="shared" si="25"/>
        <v>681.73095287321735</v>
      </c>
      <c r="O20" s="1013">
        <f t="shared" si="25"/>
        <v>722.63481004561049</v>
      </c>
      <c r="P20" s="1013">
        <f t="shared" si="25"/>
        <v>765.99289864834714</v>
      </c>
      <c r="Q20" s="1013">
        <f t="shared" si="25"/>
        <v>811.95247256724804</v>
      </c>
      <c r="R20" s="1013">
        <f t="shared" si="25"/>
        <v>860.6696209212829</v>
      </c>
      <c r="S20" s="1013">
        <f t="shared" si="25"/>
        <v>912.30979817655998</v>
      </c>
      <c r="T20" s="1013">
        <f t="shared" si="25"/>
        <v>967.04838606715361</v>
      </c>
      <c r="U20" s="1013">
        <f t="shared" ref="U20" si="26">+U26-U25</f>
        <v>1025.0712892311826</v>
      </c>
      <c r="W20" s="1032"/>
      <c r="X20" s="1032"/>
      <c r="Y20" s="1032"/>
    </row>
    <row r="21" spans="1:25" s="1019" customFormat="1" ht="12" x14ac:dyDescent="0.3">
      <c r="A21" s="1033" t="s">
        <v>730</v>
      </c>
      <c r="B21" s="1016"/>
      <c r="C21" s="1014"/>
      <c r="D21" s="1014">
        <f t="shared" ref="D21" si="27">IF(OR(D20&lt;0, C20&lt;0), "NM", D20/C20-1)</f>
        <v>9.8173027906134802E-2</v>
      </c>
      <c r="E21" s="1014">
        <f t="shared" ref="E21" si="28">IF(OR(E20&lt;0, D20&lt;0), "NM", E20/D20-1)</f>
        <v>-4.0468097213277709E-2</v>
      </c>
      <c r="F21" s="1014">
        <f t="shared" ref="F21:T21" si="29">IF(OR(F20&lt;0, E20&lt;0), "NM", F20/E20-1)</f>
        <v>0.87165742019553916</v>
      </c>
      <c r="G21" s="1014">
        <f t="shared" si="29"/>
        <v>0.13860238633236888</v>
      </c>
      <c r="H21" s="1014">
        <f t="shared" si="29"/>
        <v>8.4452532294443605E-2</v>
      </c>
      <c r="I21" s="1133">
        <f t="shared" si="29"/>
        <v>0.31929555637338458</v>
      </c>
      <c r="J21" s="1017">
        <f t="shared" si="29"/>
        <v>0.34669331786994895</v>
      </c>
      <c r="K21" s="1014">
        <f t="shared" si="29"/>
        <v>6.9253498526901769E-2</v>
      </c>
      <c r="L21" s="1014">
        <f t="shared" si="29"/>
        <v>6.9173417203712173E-2</v>
      </c>
      <c r="M21" s="1014">
        <f t="shared" si="29"/>
        <v>6.9094710062439058E-2</v>
      </c>
      <c r="N21" s="1014">
        <f t="shared" si="29"/>
        <v>6.0000000000000053E-2</v>
      </c>
      <c r="O21" s="1014">
        <f t="shared" si="29"/>
        <v>6.0000000000000053E-2</v>
      </c>
      <c r="P21" s="1014">
        <f t="shared" si="29"/>
        <v>6.0000000000000053E-2</v>
      </c>
      <c r="Q21" s="1014">
        <f t="shared" si="29"/>
        <v>6.0000000000000053E-2</v>
      </c>
      <c r="R21" s="1014">
        <f t="shared" si="29"/>
        <v>6.0000000000000053E-2</v>
      </c>
      <c r="S21" s="1014">
        <f t="shared" si="29"/>
        <v>6.0000000000000053E-2</v>
      </c>
      <c r="T21" s="1014">
        <f t="shared" si="29"/>
        <v>6.0000000000000053E-2</v>
      </c>
      <c r="U21" s="1014">
        <f t="shared" ref="U21" si="30">IF(OR(U20&lt;0, T20&lt;0), "NM", U20/T20-1)</f>
        <v>5.9999999999999831E-2</v>
      </c>
    </row>
    <row r="22" spans="1:25" s="1019" customFormat="1" ht="12" x14ac:dyDescent="0.3">
      <c r="A22" s="1033" t="s">
        <v>733</v>
      </c>
      <c r="B22" s="1016"/>
      <c r="C22" s="1014">
        <f>+C20/C$8</f>
        <v>0.13252423904965929</v>
      </c>
      <c r="D22" s="1014">
        <f>+D20/D$8</f>
        <v>0.13149075758649742</v>
      </c>
      <c r="E22" s="1014">
        <f>+E20/E$8</f>
        <v>0.12313730765350503</v>
      </c>
      <c r="F22" s="1014">
        <f>+F20/F$8</f>
        <v>0.15608553059684011</v>
      </c>
      <c r="G22" s="1014">
        <f>+G20/G$8</f>
        <v>0.1619241746735868</v>
      </c>
      <c r="H22" s="1014">
        <f>+H20/H$8</f>
        <v>0.16119721905039736</v>
      </c>
      <c r="I22" s="1133">
        <f>+I20/I$8</f>
        <v>0.19153518827059279</v>
      </c>
      <c r="J22" s="1017">
        <f>+J20/J$8</f>
        <v>0.22910253822775115</v>
      </c>
      <c r="K22" s="1014">
        <f>+K20/K$8</f>
        <v>0.23110253822775112</v>
      </c>
      <c r="L22" s="1014">
        <f>+L20/L$8</f>
        <v>0.23310253822775112</v>
      </c>
      <c r="M22" s="1014">
        <f>+M20/M$8</f>
        <v>0.23510253822775115</v>
      </c>
      <c r="N22" s="1014">
        <f>+N20/N$8</f>
        <v>0.23510253822775112</v>
      </c>
      <c r="O22" s="1014">
        <f>+O20/O$8</f>
        <v>0.23510253822775112</v>
      </c>
      <c r="P22" s="1014">
        <f>+P20/P$8</f>
        <v>0.23510253822775112</v>
      </c>
      <c r="Q22" s="1014">
        <f>+Q20/Q$8</f>
        <v>0.23510253822775112</v>
      </c>
      <c r="R22" s="1014">
        <f>+R20/R$8</f>
        <v>0.23510253822775112</v>
      </c>
      <c r="S22" s="1014">
        <f>+S20/S$8</f>
        <v>0.23510253822775115</v>
      </c>
      <c r="T22" s="1014">
        <f>+T20/T$8</f>
        <v>0.23510253822775115</v>
      </c>
      <c r="U22" s="1014">
        <f>+U20/U$8</f>
        <v>0.2351025382277511</v>
      </c>
      <c r="V22" s="1018"/>
    </row>
    <row r="23" spans="1:25" s="1019" customFormat="1" ht="12" x14ac:dyDescent="0.3">
      <c r="A23" s="1033" t="s">
        <v>734</v>
      </c>
      <c r="B23" s="1016"/>
      <c r="C23" s="1021"/>
      <c r="D23" s="1021">
        <f>(D20-C20)/(D8-C8)</f>
        <v>0.12181436062763903</v>
      </c>
      <c r="E23" s="1021">
        <f>(E20-D20)/(E8-D8)</f>
        <v>-0.2160876344300911</v>
      </c>
      <c r="F23" s="1021">
        <f>(F20-E20)/(F8-E8)</f>
        <v>0.22522202844786704</v>
      </c>
      <c r="G23" s="1021">
        <f>(G20-F20)/(G8-F8)</f>
        <v>0.22177898149507019</v>
      </c>
      <c r="H23" s="1021">
        <f>(H20-G20)/(H8-G8)</f>
        <v>0.15306054734159755</v>
      </c>
      <c r="I23" s="1137">
        <f>(I20-H20)/(I8-H8)</f>
        <v>0.4665163705965637</v>
      </c>
      <c r="J23" s="1034">
        <f>(J20-I20)/(J8-I8)</f>
        <v>0.52756939195879959</v>
      </c>
      <c r="K23" s="1021">
        <f>(K20-J20)/(K8-J8)</f>
        <v>0.26443587156108428</v>
      </c>
      <c r="L23" s="1021">
        <f>(L20-K20)/(L8-K8)</f>
        <v>0.2664358715610845</v>
      </c>
      <c r="M23" s="1021">
        <f>(M20-L20)/(M8-L8)</f>
        <v>0.2684358715610845</v>
      </c>
      <c r="N23" s="1021">
        <f>(N20-M20)/(N8-M8)</f>
        <v>0.23510253822775087</v>
      </c>
      <c r="O23" s="1021">
        <f>(O20-N20)/(O8-N8)</f>
        <v>0.23510253822775137</v>
      </c>
      <c r="P23" s="1021">
        <f>(P20-O20)/(P8-O8)</f>
        <v>0.23510253822775115</v>
      </c>
      <c r="Q23" s="1021">
        <f>(Q20-P20)/(Q8-P8)</f>
        <v>0.23510253822775104</v>
      </c>
      <c r="R23" s="1021">
        <f>(R20-Q20)/(R8-Q8)</f>
        <v>0.23510253822775101</v>
      </c>
      <c r="S23" s="1021">
        <f>(S20-R20)/(S8-R8)</f>
        <v>0.2351025382277516</v>
      </c>
      <c r="T23" s="1021">
        <f>(T20-S20)/(T8-S8)</f>
        <v>0.23510253822775123</v>
      </c>
      <c r="U23" s="1021">
        <f>(U20-T20)/(U8-T8)</f>
        <v>0.23510253822775032</v>
      </c>
      <c r="V23" s="1018"/>
    </row>
    <row r="24" spans="1:25" s="1019" customFormat="1" ht="12" x14ac:dyDescent="0.3">
      <c r="A24" s="1022"/>
      <c r="B24" s="1016"/>
      <c r="C24" s="1011"/>
      <c r="D24" s="1011"/>
      <c r="E24" s="1011"/>
      <c r="F24" s="1011"/>
      <c r="G24" s="1011"/>
      <c r="H24" s="1013"/>
      <c r="I24" s="1136"/>
      <c r="J24" s="1030"/>
      <c r="K24" s="1013"/>
      <c r="L24" s="1013"/>
      <c r="M24" s="1013"/>
      <c r="N24" s="1013"/>
      <c r="O24" s="1013"/>
      <c r="P24" s="1013"/>
      <c r="Q24" s="1013"/>
      <c r="R24" s="1013"/>
      <c r="S24" s="1013"/>
      <c r="T24" s="1013"/>
      <c r="U24" s="1300"/>
    </row>
    <row r="25" spans="1:25" s="1028" customFormat="1" ht="13" x14ac:dyDescent="0.4">
      <c r="A25" s="1022" t="s">
        <v>658</v>
      </c>
      <c r="B25" s="1026"/>
      <c r="C25" s="1026">
        <f>+Historicals!AO48*-1</f>
        <v>-20.817</v>
      </c>
      <c r="D25" s="1026">
        <f>+Historicals!AP48*-1</f>
        <v>-16.675999999999998</v>
      </c>
      <c r="E25" s="1026">
        <f>+Historicals!AQ48*-1</f>
        <v>-23.609000000000002</v>
      </c>
      <c r="F25" s="1026">
        <f>+Historicals!AR48*-1</f>
        <v>-39.332999999999998</v>
      </c>
      <c r="G25" s="1026">
        <f>+Historicals!AS48*-1</f>
        <v>-18.57</v>
      </c>
      <c r="H25" s="1026">
        <f>+Historicals!AT48*-1</f>
        <v>-20.32</v>
      </c>
      <c r="I25" s="1135">
        <f>+Historicals!AU48*-1</f>
        <v>-31.461999999999996</v>
      </c>
      <c r="J25" s="1187">
        <f>+Historicals!AV48*-1</f>
        <v>-38.448999999999998</v>
      </c>
      <c r="K25" s="1035">
        <f>+J25/J8*K8</f>
        <v>-40.755939999999995</v>
      </c>
      <c r="L25" s="1035">
        <f>+K25/K8*L8</f>
        <v>-43.201296399999997</v>
      </c>
      <c r="M25" s="1035">
        <f>+L25/L8*M8</f>
        <v>-45.793374183999994</v>
      </c>
      <c r="N25" s="1035">
        <f>+M25/M8*N8</f>
        <v>-48.540976635040003</v>
      </c>
      <c r="O25" s="1035">
        <f>+N25/N8*O8</f>
        <v>-51.453435233142407</v>
      </c>
      <c r="P25" s="1035">
        <f>+O25/O8*P8</f>
        <v>-54.540641347130951</v>
      </c>
      <c r="Q25" s="1035">
        <f>+P25/P8*Q8</f>
        <v>-57.813079827958816</v>
      </c>
      <c r="R25" s="1035">
        <f>+Q25/Q8*R8</f>
        <v>-61.281864617636344</v>
      </c>
      <c r="S25" s="1035">
        <f>+R25/R8*S8</f>
        <v>-64.958776494694519</v>
      </c>
      <c r="T25" s="1035">
        <f>+S25/S8*T8</f>
        <v>-68.856303084376194</v>
      </c>
      <c r="U25" s="1035">
        <f>+T25/T8*U8</f>
        <v>-72.987681269438767</v>
      </c>
    </row>
    <row r="26" spans="1:25" s="1019" customFormat="1" x14ac:dyDescent="0.25">
      <c r="A26" s="1036" t="s">
        <v>659</v>
      </c>
      <c r="B26" s="1013"/>
      <c r="C26" s="1013">
        <f>+C25+C20</f>
        <v>100.80500000000001</v>
      </c>
      <c r="D26" s="1013">
        <f>+D25+D20</f>
        <v>116.88599999999995</v>
      </c>
      <c r="E26" s="1013">
        <f>+E25+E20</f>
        <v>104.54800000000014</v>
      </c>
      <c r="F26" s="1013">
        <f>+F25+F20</f>
        <v>200.53299999999999</v>
      </c>
      <c r="G26" s="1013">
        <f>+G25+G20</f>
        <v>254.54199999999997</v>
      </c>
      <c r="H26" s="1013">
        <f>+H25+H20</f>
        <v>275.85700000000003</v>
      </c>
      <c r="I26" s="1136">
        <f>+I25+I20</f>
        <v>359.28299999999996</v>
      </c>
      <c r="J26" s="1030">
        <f>+J25+J20</f>
        <v>487.76468049109309</v>
      </c>
      <c r="K26" s="1013">
        <f t="shared" ref="K26:T26" si="31">+K29*K$8</f>
        <v>521.89987883781862</v>
      </c>
      <c r="L26" s="1013">
        <f t="shared" si="31"/>
        <v>558.37534813638331</v>
      </c>
      <c r="M26" s="1013">
        <f t="shared" si="31"/>
        <v>597.34903418695978</v>
      </c>
      <c r="N26" s="1013">
        <f t="shared" si="31"/>
        <v>633.18997623817734</v>
      </c>
      <c r="O26" s="1013">
        <f t="shared" si="31"/>
        <v>671.18137481246811</v>
      </c>
      <c r="P26" s="1013">
        <f t="shared" si="31"/>
        <v>711.45225730121615</v>
      </c>
      <c r="Q26" s="1013">
        <f t="shared" si="31"/>
        <v>754.13939273928918</v>
      </c>
      <c r="R26" s="1013">
        <f t="shared" si="31"/>
        <v>799.3877563036466</v>
      </c>
      <c r="S26" s="1013">
        <f t="shared" si="31"/>
        <v>847.3510216818654</v>
      </c>
      <c r="T26" s="1013">
        <f t="shared" si="31"/>
        <v>898.19208298277738</v>
      </c>
      <c r="U26" s="1013">
        <f t="shared" ref="U26" si="32">+U29*U$8</f>
        <v>952.08360796174395</v>
      </c>
      <c r="W26" s="1020"/>
      <c r="X26" s="1020"/>
      <c r="Y26" s="1020"/>
    </row>
    <row r="27" spans="1:25" s="1019" customFormat="1" ht="12" x14ac:dyDescent="0.3">
      <c r="A27" s="1033" t="s">
        <v>730</v>
      </c>
      <c r="B27" s="1016"/>
      <c r="C27" s="1014"/>
      <c r="D27" s="1014">
        <f t="shared" ref="D27" si="33">IFERROR(IF(OR(D26&lt;0, C26&lt;0), "NM", D26/C26-1),"N/A")</f>
        <v>0.15952581717176684</v>
      </c>
      <c r="E27" s="1014">
        <f t="shared" ref="E27:T27" si="34">IFERROR(IF(OR(E26&lt;0, D26&lt;0), "NM", E26/D26-1),"N/A")</f>
        <v>-0.10555584073370472</v>
      </c>
      <c r="F27" s="1014">
        <f t="shared" si="34"/>
        <v>0.91809503768603618</v>
      </c>
      <c r="G27" s="1014">
        <f t="shared" si="34"/>
        <v>0.26932724289767762</v>
      </c>
      <c r="H27" s="1014">
        <f t="shared" si="34"/>
        <v>8.3738636452923565E-2</v>
      </c>
      <c r="I27" s="1133">
        <f t="shared" si="34"/>
        <v>0.3024248070558293</v>
      </c>
      <c r="J27" s="1017">
        <f t="shared" si="34"/>
        <v>0.35760578844836277</v>
      </c>
      <c r="K27" s="1014">
        <f t="shared" si="34"/>
        <v>6.9982923553131071E-2</v>
      </c>
      <c r="L27" s="1014">
        <f t="shared" si="34"/>
        <v>6.9889783036143349E-2</v>
      </c>
      <c r="M27" s="1014">
        <f t="shared" si="34"/>
        <v>6.979836445261034E-2</v>
      </c>
      <c r="N27" s="1014">
        <f t="shared" si="34"/>
        <v>6.0000000000000053E-2</v>
      </c>
      <c r="O27" s="1014">
        <f t="shared" si="34"/>
        <v>6.0000000000000275E-2</v>
      </c>
      <c r="P27" s="1014">
        <f t="shared" si="34"/>
        <v>5.9999999999999831E-2</v>
      </c>
      <c r="Q27" s="1014">
        <f t="shared" si="34"/>
        <v>6.0000000000000053E-2</v>
      </c>
      <c r="R27" s="1014">
        <f t="shared" si="34"/>
        <v>6.0000000000000053E-2</v>
      </c>
      <c r="S27" s="1014">
        <f t="shared" si="34"/>
        <v>6.0000000000000053E-2</v>
      </c>
      <c r="T27" s="1014">
        <f t="shared" si="34"/>
        <v>6.0000000000000053E-2</v>
      </c>
      <c r="U27" s="1014">
        <f t="shared" ref="U27" si="35">IFERROR(IF(OR(U26&lt;0, T26&lt;0), "NM", U26/T26-1),"N/A")</f>
        <v>5.9999999999999831E-2</v>
      </c>
    </row>
    <row r="28" spans="1:25" s="1019" customFormat="1" ht="12" x14ac:dyDescent="0.3">
      <c r="A28" s="1033" t="str">
        <f>+A15</f>
        <v>% Organic CC</v>
      </c>
      <c r="B28" s="1016"/>
      <c r="C28" s="1014"/>
      <c r="D28" s="1014">
        <f>+Historicals!AP51</f>
        <v>0.15952581717176684</v>
      </c>
      <c r="E28" s="1014">
        <f>+Historicals!AQ51</f>
        <v>-0.11063838932473991</v>
      </c>
      <c r="F28" s="1014">
        <f>+Historicals!AR51</f>
        <v>0.88532686033394659</v>
      </c>
      <c r="G28" s="1014">
        <f>+Historicals!AS51</f>
        <v>0.26299992537224659</v>
      </c>
      <c r="H28" s="1014">
        <f>+Historicals!AT51</f>
        <v>8.3738636452923343E-2</v>
      </c>
      <c r="I28" s="1133">
        <f>+Historicals!AU51</f>
        <v>0.3024248070558293</v>
      </c>
      <c r="J28" s="1017">
        <f>+Historicals!AV51</f>
        <v>0.35760578844836299</v>
      </c>
      <c r="K28" s="1014">
        <f>+K27</f>
        <v>6.9982923553131071E-2</v>
      </c>
      <c r="L28" s="1014">
        <f t="shared" ref="L28:U28" si="36">+L27</f>
        <v>6.9889783036143349E-2</v>
      </c>
      <c r="M28" s="1014">
        <f t="shared" si="36"/>
        <v>6.979836445261034E-2</v>
      </c>
      <c r="N28" s="1014">
        <f t="shared" si="36"/>
        <v>6.0000000000000053E-2</v>
      </c>
      <c r="O28" s="1014">
        <f t="shared" si="36"/>
        <v>6.0000000000000275E-2</v>
      </c>
      <c r="P28" s="1014">
        <f t="shared" si="36"/>
        <v>5.9999999999999831E-2</v>
      </c>
      <c r="Q28" s="1014">
        <f t="shared" si="36"/>
        <v>6.0000000000000053E-2</v>
      </c>
      <c r="R28" s="1014">
        <f t="shared" si="36"/>
        <v>6.0000000000000053E-2</v>
      </c>
      <c r="S28" s="1014">
        <f t="shared" si="36"/>
        <v>6.0000000000000053E-2</v>
      </c>
      <c r="T28" s="1014">
        <f t="shared" si="36"/>
        <v>6.0000000000000053E-2</v>
      </c>
      <c r="U28" s="1014">
        <f t="shared" si="36"/>
        <v>5.9999999999999831E-2</v>
      </c>
    </row>
    <row r="29" spans="1:25" s="1019" customFormat="1" ht="12" x14ac:dyDescent="0.3">
      <c r="A29" s="1033" t="s">
        <v>733</v>
      </c>
      <c r="B29" s="1016"/>
      <c r="C29" s="1014">
        <f t="shared" ref="C29:D29" si="37">+IFERROR(C26/C$8,"N/A")</f>
        <v>0.10984119581490934</v>
      </c>
      <c r="D29" s="1014">
        <f t="shared" si="37"/>
        <v>0.11507336436452986</v>
      </c>
      <c r="E29" s="1014">
        <f t="shared" ref="E29:J29" si="38">+IFERROR(E26/E$8,"N/A")</f>
        <v>0.10045303214462453</v>
      </c>
      <c r="F29" s="1014">
        <f t="shared" si="38"/>
        <v>0.13049077279471094</v>
      </c>
      <c r="G29" s="1014">
        <f t="shared" si="38"/>
        <v>0.15091428889892841</v>
      </c>
      <c r="H29" s="1014">
        <f t="shared" si="38"/>
        <v>0.1501378609938836</v>
      </c>
      <c r="I29" s="1133">
        <f t="shared" si="38"/>
        <v>0.17611316087838202</v>
      </c>
      <c r="J29" s="1017">
        <f t="shared" si="38"/>
        <v>0.2123626399337768</v>
      </c>
      <c r="K29" s="1018">
        <f>+J29+0.2%</f>
        <v>0.2143626399337768</v>
      </c>
      <c r="L29" s="1018">
        <f t="shared" ref="L29:M29" si="39">+K29+0.2%</f>
        <v>0.2163626399337768</v>
      </c>
      <c r="M29" s="1018">
        <f t="shared" si="39"/>
        <v>0.2183626399337768</v>
      </c>
      <c r="N29" s="1021">
        <f>+M29</f>
        <v>0.2183626399337768</v>
      </c>
      <c r="O29" s="1021">
        <f t="shared" ref="O29:T29" si="40">+N29</f>
        <v>0.2183626399337768</v>
      </c>
      <c r="P29" s="1021">
        <f t="shared" si="40"/>
        <v>0.2183626399337768</v>
      </c>
      <c r="Q29" s="1021">
        <f t="shared" si="40"/>
        <v>0.2183626399337768</v>
      </c>
      <c r="R29" s="1021">
        <f t="shared" si="40"/>
        <v>0.2183626399337768</v>
      </c>
      <c r="S29" s="1021">
        <f t="shared" si="40"/>
        <v>0.2183626399337768</v>
      </c>
      <c r="T29" s="1021">
        <f t="shared" si="40"/>
        <v>0.2183626399337768</v>
      </c>
      <c r="U29" s="1021">
        <f t="shared" ref="U29" si="41">+T29</f>
        <v>0.2183626399337768</v>
      </c>
      <c r="V29" s="1018"/>
    </row>
    <row r="30" spans="1:25" s="1019" customFormat="1" ht="12" x14ac:dyDescent="0.3">
      <c r="A30" s="1033" t="s">
        <v>734</v>
      </c>
      <c r="B30" s="1016"/>
      <c r="C30" s="1021"/>
      <c r="D30" s="1021">
        <f>(D26-C26)/(D8-C8)</f>
        <v>0.16406170295251812</v>
      </c>
      <c r="E30" s="1021">
        <f>(E26-D26)/(E8-D8)</f>
        <v>-0.49326350297844962</v>
      </c>
      <c r="F30" s="1021">
        <f>(F26-E26)/(F8-E8)</f>
        <v>0.193520095968709</v>
      </c>
      <c r="G30" s="1021">
        <f>(G26-F26)/(G8-F8)</f>
        <v>0.36028577908822867</v>
      </c>
      <c r="H30" s="1021">
        <f>(H26-G26)/(H8-G8)</f>
        <v>0.14144745573753101</v>
      </c>
      <c r="I30" s="1137">
        <f>(I26-H26)/(I8-H8)</f>
        <v>0.41155142049518784</v>
      </c>
      <c r="J30" s="1034">
        <f>(J26-I26)/(J8-I8)</f>
        <v>0.50035921076966117</v>
      </c>
      <c r="K30" s="1021">
        <f>(K26-J26)/(K8-J8)</f>
        <v>0.24769597326710993</v>
      </c>
      <c r="L30" s="1021">
        <f>(L26-K26)/(L8-K8)</f>
        <v>0.24969597326710993</v>
      </c>
      <c r="M30" s="1021">
        <f>(M26-L26)/(M8-L8)</f>
        <v>0.25169597326711074</v>
      </c>
      <c r="N30" s="1021">
        <f>(N26-M26)/(N8-M8)</f>
        <v>0.21836263993377625</v>
      </c>
      <c r="O30" s="1021">
        <f>(O26-N26)/(O8-N8)</f>
        <v>0.21836263993377719</v>
      </c>
      <c r="P30" s="1021">
        <f>(P26-O26)/(P8-O8)</f>
        <v>0.21836263993377653</v>
      </c>
      <c r="Q30" s="1021">
        <f>(Q26-P26)/(Q8-P8)</f>
        <v>0.21836263993377666</v>
      </c>
      <c r="R30" s="1021">
        <f>(R26-Q26)/(R8-Q8)</f>
        <v>0.21836263993377711</v>
      </c>
      <c r="S30" s="1021">
        <f>(S26-R26)/(S8-R8)</f>
        <v>0.21836263993377683</v>
      </c>
      <c r="T30" s="1021">
        <f>(T26-S26)/(T8-S8)</f>
        <v>0.21836263993377694</v>
      </c>
      <c r="U30" s="1021">
        <f>(U26-T26)/(U8-T8)</f>
        <v>0.21836263993377655</v>
      </c>
      <c r="V30" s="1018"/>
    </row>
    <row r="31" spans="1:25" x14ac:dyDescent="0.25">
      <c r="G31" s="1037"/>
      <c r="H31" s="1037"/>
      <c r="I31" s="1138"/>
      <c r="J31" s="1038"/>
      <c r="K31" s="1037"/>
      <c r="L31" s="1037"/>
      <c r="M31" s="1037"/>
      <c r="N31" s="1037"/>
      <c r="O31" s="1037"/>
      <c r="P31" s="1037"/>
      <c r="Q31" s="1037"/>
      <c r="R31" s="1037"/>
      <c r="S31" s="1037"/>
      <c r="T31" s="1037"/>
      <c r="U31" s="1037"/>
    </row>
    <row r="32" spans="1:25" x14ac:dyDescent="0.25">
      <c r="A32" s="995" t="s">
        <v>94</v>
      </c>
      <c r="C32" s="1012">
        <f>+Historicals!AO60</f>
        <v>56.504000000000005</v>
      </c>
      <c r="D32" s="1012">
        <f>+Historicals!AP60</f>
        <v>69.44</v>
      </c>
      <c r="E32" s="1012">
        <f>+Historicals!AQ60</f>
        <v>72.671999999999997</v>
      </c>
      <c r="F32" s="1012">
        <f>+Historicals!AR60</f>
        <v>76.578000000000003</v>
      </c>
      <c r="G32" s="1012">
        <f>+Historicals!AS60</f>
        <v>100.637</v>
      </c>
      <c r="H32" s="1012">
        <f>+Historicals!AT60</f>
        <v>109.504</v>
      </c>
      <c r="I32" s="1132">
        <f>+Historicals!AU60</f>
        <v>102.508</v>
      </c>
      <c r="J32" s="1185">
        <f>+Historicals!AV60</f>
        <v>107.05562953055782</v>
      </c>
      <c r="K32" s="1013">
        <f t="shared" ref="K32:U32" si="42">+K33*K$8</f>
        <v>113.47896730239128</v>
      </c>
      <c r="L32" s="1013">
        <f t="shared" si="42"/>
        <v>120.28770534053476</v>
      </c>
      <c r="M32" s="1013">
        <f t="shared" si="42"/>
        <v>127.50496766096686</v>
      </c>
      <c r="N32" s="1013">
        <f t="shared" si="42"/>
        <v>135.15526572062487</v>
      </c>
      <c r="O32" s="1013">
        <f t="shared" si="42"/>
        <v>143.26458166386237</v>
      </c>
      <c r="P32" s="1013">
        <f t="shared" si="42"/>
        <v>151.86045656369413</v>
      </c>
      <c r="Q32" s="1013">
        <f t="shared" si="42"/>
        <v>160.97208395751579</v>
      </c>
      <c r="R32" s="1013">
        <f t="shared" si="42"/>
        <v>170.63040899496676</v>
      </c>
      <c r="S32" s="1013">
        <f t="shared" si="42"/>
        <v>180.86823353466474</v>
      </c>
      <c r="T32" s="1013">
        <f t="shared" si="42"/>
        <v>191.72032754674464</v>
      </c>
      <c r="U32" s="1013">
        <f t="shared" si="42"/>
        <v>203.22354719954933</v>
      </c>
    </row>
    <row r="33" spans="1:21" s="1019" customFormat="1" ht="12" x14ac:dyDescent="0.3">
      <c r="A33" s="1015" t="s">
        <v>735</v>
      </c>
      <c r="B33" s="1016"/>
      <c r="C33" s="1023">
        <f t="shared" ref="C33:J33" si="43">+C32/C$8</f>
        <v>6.1569038523145055E-2</v>
      </c>
      <c r="D33" s="1023">
        <f t="shared" si="43"/>
        <v>6.8363143759500339E-2</v>
      </c>
      <c r="E33" s="1023">
        <f t="shared" si="43"/>
        <v>6.9825561005606454E-2</v>
      </c>
      <c r="F33" s="1023">
        <f t="shared" si="43"/>
        <v>4.9830812879044228E-2</v>
      </c>
      <c r="G33" s="1023">
        <f t="shared" si="43"/>
        <v>5.9666229117086612E-2</v>
      </c>
      <c r="H33" s="1023">
        <f t="shared" si="43"/>
        <v>5.9598619321874123E-2</v>
      </c>
      <c r="I33" s="1133">
        <f t="shared" si="43"/>
        <v>5.0247320066135019E-2</v>
      </c>
      <c r="J33" s="1017">
        <f t="shared" si="43"/>
        <v>4.6609803899683555E-2</v>
      </c>
      <c r="K33" s="1018">
        <f t="shared" ref="K33:T33" si="44">+J33</f>
        <v>4.6609803899683555E-2</v>
      </c>
      <c r="L33" s="1018">
        <f t="shared" si="44"/>
        <v>4.6609803899683555E-2</v>
      </c>
      <c r="M33" s="1018">
        <f t="shared" si="44"/>
        <v>4.6609803899683555E-2</v>
      </c>
      <c r="N33" s="1018">
        <f t="shared" si="44"/>
        <v>4.6609803899683555E-2</v>
      </c>
      <c r="O33" s="1018">
        <f t="shared" si="44"/>
        <v>4.6609803899683555E-2</v>
      </c>
      <c r="P33" s="1018">
        <f t="shared" si="44"/>
        <v>4.6609803899683555E-2</v>
      </c>
      <c r="Q33" s="1018">
        <f t="shared" si="44"/>
        <v>4.6609803899683555E-2</v>
      </c>
      <c r="R33" s="1018">
        <f t="shared" si="44"/>
        <v>4.6609803899683555E-2</v>
      </c>
      <c r="S33" s="1018">
        <f t="shared" si="44"/>
        <v>4.6609803899683555E-2</v>
      </c>
      <c r="T33" s="1018">
        <f t="shared" si="44"/>
        <v>4.6609803899683555E-2</v>
      </c>
      <c r="U33" s="1018">
        <f t="shared" ref="U33" si="45">+T33</f>
        <v>4.6609803899683555E-2</v>
      </c>
    </row>
    <row r="34" spans="1:21" x14ac:dyDescent="0.25">
      <c r="G34" s="1037"/>
      <c r="H34" s="1037"/>
      <c r="I34" s="1138"/>
      <c r="J34" s="1038"/>
      <c r="K34" s="1037"/>
      <c r="L34" s="1037"/>
      <c r="M34" s="1037"/>
      <c r="N34" s="1037"/>
      <c r="O34" s="1037"/>
      <c r="P34" s="1037"/>
      <c r="Q34" s="1037"/>
      <c r="R34" s="1037"/>
      <c r="S34" s="1037"/>
      <c r="T34" s="1037"/>
      <c r="U34" s="1037"/>
    </row>
    <row r="35" spans="1:21" ht="11.25" customHeight="1" x14ac:dyDescent="0.25">
      <c r="A35" s="1039" t="s">
        <v>691</v>
      </c>
      <c r="C35" s="1011">
        <f t="shared" ref="C35:T35" si="46">+C26-C32</f>
        <v>44.301000000000002</v>
      </c>
      <c r="D35" s="1011">
        <f t="shared" si="46"/>
        <v>47.445999999999955</v>
      </c>
      <c r="E35" s="1011">
        <f t="shared" si="46"/>
        <v>31.876000000000147</v>
      </c>
      <c r="F35" s="1011">
        <f t="shared" si="46"/>
        <v>123.95499999999998</v>
      </c>
      <c r="G35" s="1011">
        <f t="shared" si="46"/>
        <v>153.90499999999997</v>
      </c>
      <c r="H35" s="1013">
        <f t="shared" si="46"/>
        <v>166.35300000000001</v>
      </c>
      <c r="I35" s="1136">
        <f t="shared" si="46"/>
        <v>256.77499999999998</v>
      </c>
      <c r="J35" s="1030">
        <f t="shared" si="46"/>
        <v>380.70905096053525</v>
      </c>
      <c r="K35" s="1013">
        <f t="shared" si="46"/>
        <v>408.42091153542731</v>
      </c>
      <c r="L35" s="1013">
        <f t="shared" si="46"/>
        <v>438.08764279584852</v>
      </c>
      <c r="M35" s="1013">
        <f t="shared" si="46"/>
        <v>469.84406652599296</v>
      </c>
      <c r="N35" s="1013">
        <f t="shared" si="46"/>
        <v>498.03471051755247</v>
      </c>
      <c r="O35" s="1013">
        <f t="shared" si="46"/>
        <v>527.91679314860573</v>
      </c>
      <c r="P35" s="1013">
        <f t="shared" si="46"/>
        <v>559.59180073752202</v>
      </c>
      <c r="Q35" s="1013">
        <f t="shared" si="46"/>
        <v>593.16730878177339</v>
      </c>
      <c r="R35" s="1013">
        <f t="shared" si="46"/>
        <v>628.75734730867987</v>
      </c>
      <c r="S35" s="1013">
        <f t="shared" si="46"/>
        <v>666.48278814720061</v>
      </c>
      <c r="T35" s="1013">
        <f t="shared" si="46"/>
        <v>706.47175543603271</v>
      </c>
      <c r="U35" s="1013">
        <f t="shared" ref="U35" si="47">+U26-U32</f>
        <v>748.86006076219462</v>
      </c>
    </row>
    <row r="36" spans="1:21" s="1019" customFormat="1" ht="11.25" customHeight="1" x14ac:dyDescent="0.3">
      <c r="A36" s="1015" t="s">
        <v>730</v>
      </c>
      <c r="B36" s="1016"/>
      <c r="C36" s="1014"/>
      <c r="D36" s="1014">
        <f t="shared" ref="D36" si="48">IF(OR(D35&lt;0, C35&lt;0), "NM", D35/C35-1)</f>
        <v>7.0991625471207298E-2</v>
      </c>
      <c r="E36" s="1014">
        <f t="shared" ref="E36:T36" si="49">IF(OR(E35&lt;0, D35&lt;0), "NM", E35/D35-1)</f>
        <v>-0.3281625426800957</v>
      </c>
      <c r="F36" s="1014">
        <f t="shared" si="49"/>
        <v>2.8886623164763274</v>
      </c>
      <c r="G36" s="1014">
        <f t="shared" si="49"/>
        <v>0.24161994272114873</v>
      </c>
      <c r="H36" s="1014">
        <f t="shared" si="49"/>
        <v>8.0881062993405362E-2</v>
      </c>
      <c r="I36" s="1133">
        <f t="shared" si="49"/>
        <v>0.54355497045439494</v>
      </c>
      <c r="J36" s="1017">
        <f t="shared" si="49"/>
        <v>0.48265622027274957</v>
      </c>
      <c r="K36" s="1014">
        <f t="shared" si="49"/>
        <v>7.2790128064921467E-2</v>
      </c>
      <c r="L36" s="1014">
        <f t="shared" si="49"/>
        <v>7.2637640293420347E-2</v>
      </c>
      <c r="M36" s="1014">
        <f t="shared" si="49"/>
        <v>7.2488745693617185E-2</v>
      </c>
      <c r="N36" s="1014">
        <f t="shared" si="49"/>
        <v>5.9999999999999831E-2</v>
      </c>
      <c r="O36" s="1014">
        <f t="shared" si="49"/>
        <v>6.0000000000000275E-2</v>
      </c>
      <c r="P36" s="1014">
        <f t="shared" si="49"/>
        <v>5.9999999999999831E-2</v>
      </c>
      <c r="Q36" s="1014">
        <f t="shared" si="49"/>
        <v>6.0000000000000053E-2</v>
      </c>
      <c r="R36" s="1014">
        <f t="shared" si="49"/>
        <v>6.0000000000000053E-2</v>
      </c>
      <c r="S36" s="1014">
        <f t="shared" si="49"/>
        <v>5.9999999999999831E-2</v>
      </c>
      <c r="T36" s="1014">
        <f t="shared" si="49"/>
        <v>6.0000000000000053E-2</v>
      </c>
      <c r="U36" s="1014">
        <f t="shared" ref="U36" si="50">IF(OR(U35&lt;0, T35&lt;0), "NM", U35/T35-1)</f>
        <v>5.9999999999999831E-2</v>
      </c>
    </row>
    <row r="37" spans="1:21" s="1019" customFormat="1" ht="11.25" customHeight="1" x14ac:dyDescent="0.3">
      <c r="A37" s="1015" t="str">
        <f>+A28</f>
        <v>% Organic CC</v>
      </c>
      <c r="B37" s="1016"/>
      <c r="C37" s="1014"/>
      <c r="D37" s="1014">
        <f>+Historicals!AP65</f>
        <v>7.099162547120752E-2</v>
      </c>
      <c r="E37" s="1014">
        <f>+Historicals!AQ65</f>
        <v>-0.34068369882838523</v>
      </c>
      <c r="F37" s="1014">
        <f>+Historicals!AR65</f>
        <v>2.7811881225433916</v>
      </c>
      <c r="G37" s="1014">
        <f>+Historicals!AS65</f>
        <v>0.23138367984085151</v>
      </c>
      <c r="H37" s="1014">
        <f>+Historicals!AT65</f>
        <v>8.0881062993405139E-2</v>
      </c>
      <c r="I37" s="1133">
        <f>+Historicals!AU65</f>
        <v>0.54355497045439494</v>
      </c>
      <c r="J37" s="1017">
        <f>+Historicals!AV65</f>
        <v>0.48265622027274979</v>
      </c>
      <c r="K37" s="1014">
        <f>+K36</f>
        <v>7.2790128064921467E-2</v>
      </c>
      <c r="L37" s="1014">
        <f t="shared" ref="L37:U37" si="51">+L36</f>
        <v>7.2637640293420347E-2</v>
      </c>
      <c r="M37" s="1014">
        <f t="shared" si="51"/>
        <v>7.2488745693617185E-2</v>
      </c>
      <c r="N37" s="1014">
        <f t="shared" si="51"/>
        <v>5.9999999999999831E-2</v>
      </c>
      <c r="O37" s="1014">
        <f t="shared" si="51"/>
        <v>6.0000000000000275E-2</v>
      </c>
      <c r="P37" s="1014">
        <f t="shared" si="51"/>
        <v>5.9999999999999831E-2</v>
      </c>
      <c r="Q37" s="1014">
        <f t="shared" si="51"/>
        <v>6.0000000000000053E-2</v>
      </c>
      <c r="R37" s="1014">
        <f t="shared" si="51"/>
        <v>6.0000000000000053E-2</v>
      </c>
      <c r="S37" s="1014">
        <f t="shared" si="51"/>
        <v>5.9999999999999831E-2</v>
      </c>
      <c r="T37" s="1014">
        <f t="shared" si="51"/>
        <v>6.0000000000000053E-2</v>
      </c>
      <c r="U37" s="1014">
        <f t="shared" si="51"/>
        <v>5.9999999999999831E-2</v>
      </c>
    </row>
    <row r="38" spans="1:21" s="1019" customFormat="1" ht="12" x14ac:dyDescent="0.3">
      <c r="A38" s="1015" t="s">
        <v>733</v>
      </c>
      <c r="B38" s="1016"/>
      <c r="C38" s="1023">
        <f t="shared" ref="C38:D38" si="52">+C35/C$8</f>
        <v>4.8272157291764282E-2</v>
      </c>
      <c r="D38" s="1023">
        <f t="shared" si="52"/>
        <v>4.6710220605029523E-2</v>
      </c>
      <c r="E38" s="1023">
        <f t="shared" ref="E38:T38" si="53">+E35/E$8</f>
        <v>3.0627471139018078E-2</v>
      </c>
      <c r="F38" s="1023">
        <f t="shared" si="53"/>
        <v>8.0659959915666712E-2</v>
      </c>
      <c r="G38" s="1023">
        <f t="shared" si="53"/>
        <v>9.1248059781841792E-2</v>
      </c>
      <c r="H38" s="1023">
        <f t="shared" si="53"/>
        <v>9.0539241672009482E-2</v>
      </c>
      <c r="I38" s="1134">
        <f t="shared" si="53"/>
        <v>0.12586584081224703</v>
      </c>
      <c r="J38" s="1024">
        <f t="shared" si="53"/>
        <v>0.16575283603409324</v>
      </c>
      <c r="K38" s="1023">
        <f t="shared" si="53"/>
        <v>0.16775283603409322</v>
      </c>
      <c r="L38" s="1023">
        <f t="shared" si="53"/>
        <v>0.16975283603409322</v>
      </c>
      <c r="M38" s="1023">
        <f t="shared" si="53"/>
        <v>0.17175283603409328</v>
      </c>
      <c r="N38" s="1023">
        <f t="shared" si="53"/>
        <v>0.17175283603409325</v>
      </c>
      <c r="O38" s="1023">
        <f t="shared" si="53"/>
        <v>0.17175283603409325</v>
      </c>
      <c r="P38" s="1023">
        <f t="shared" si="53"/>
        <v>0.17175283603409325</v>
      </c>
      <c r="Q38" s="1023">
        <f t="shared" si="53"/>
        <v>0.17175283603409325</v>
      </c>
      <c r="R38" s="1023">
        <f t="shared" si="53"/>
        <v>0.17175283603409325</v>
      </c>
      <c r="S38" s="1023">
        <f t="shared" si="53"/>
        <v>0.17175283603409325</v>
      </c>
      <c r="T38" s="1014">
        <f t="shared" si="53"/>
        <v>0.17175283603409325</v>
      </c>
      <c r="U38" s="1040">
        <f t="shared" ref="U38" si="54">+U35/U$8</f>
        <v>0.17175283603409325</v>
      </c>
    </row>
    <row r="39" spans="1:21" x14ac:dyDescent="0.25">
      <c r="G39" s="1037"/>
      <c r="H39" s="1037"/>
      <c r="I39" s="1138"/>
      <c r="J39" s="1038"/>
      <c r="K39" s="1037"/>
      <c r="L39" s="1037"/>
      <c r="M39" s="1037"/>
      <c r="N39" s="1037"/>
      <c r="O39" s="1037"/>
      <c r="P39" s="1037"/>
      <c r="Q39" s="1037"/>
      <c r="R39" s="1037"/>
      <c r="S39" s="1037"/>
      <c r="T39" s="1037"/>
      <c r="U39" s="1037"/>
    </row>
    <row r="40" spans="1:21" x14ac:dyDescent="0.25">
      <c r="A40" s="995" t="str">
        <f>+Historicals!A71</f>
        <v>Amortization of intangible assets (backed out of AOI)</v>
      </c>
      <c r="C40" s="1041">
        <f t="shared" ref="C40:I40" si="55">+C42-C41</f>
        <v>0</v>
      </c>
      <c r="D40" s="1041">
        <f t="shared" si="55"/>
        <v>0</v>
      </c>
      <c r="E40" s="1041">
        <f t="shared" si="55"/>
        <v>6.0130000000000194</v>
      </c>
      <c r="F40" s="1041">
        <f t="shared" si="55"/>
        <v>11.641999999999996</v>
      </c>
      <c r="G40" s="1042">
        <f t="shared" si="55"/>
        <v>12.968000000000004</v>
      </c>
      <c r="H40" s="1042">
        <f t="shared" si="55"/>
        <v>15.200000000000017</v>
      </c>
      <c r="I40" s="1139">
        <f t="shared" si="55"/>
        <v>12.878</v>
      </c>
      <c r="J40" s="1188">
        <f t="shared" ref="J40" si="56">+J42-J41</f>
        <v>10.400000000000006</v>
      </c>
      <c r="K40" s="1043">
        <v>9.3000000000000007</v>
      </c>
      <c r="L40" s="1043">
        <v>7.6</v>
      </c>
      <c r="M40" s="1043">
        <v>5.7</v>
      </c>
      <c r="N40" s="1043">
        <f>+M40-1</f>
        <v>4.7</v>
      </c>
      <c r="O40" s="1043">
        <f>+N40-1</f>
        <v>3.7</v>
      </c>
      <c r="P40" s="1043">
        <f>+O40-1</f>
        <v>2.7</v>
      </c>
      <c r="Q40" s="1043">
        <f>+P40-1</f>
        <v>1.7000000000000002</v>
      </c>
      <c r="R40" s="1043">
        <f>+Q40-1</f>
        <v>0.70000000000000018</v>
      </c>
      <c r="S40" s="1043">
        <v>0</v>
      </c>
      <c r="T40" s="1043">
        <v>0</v>
      </c>
      <c r="U40" s="1043">
        <v>0</v>
      </c>
    </row>
    <row r="41" spans="1:21" s="1044" customFormat="1" ht="13" x14ac:dyDescent="0.4">
      <c r="A41" s="995" t="s">
        <v>766</v>
      </c>
      <c r="C41" s="1045">
        <f>+C19</f>
        <v>75.260000000000005</v>
      </c>
      <c r="D41" s="1045">
        <f>+D19</f>
        <v>71.399999999999977</v>
      </c>
      <c r="E41" s="1045">
        <f>+E19</f>
        <v>66.077999999999975</v>
      </c>
      <c r="F41" s="1045">
        <f>+F19</f>
        <v>78.435000000000002</v>
      </c>
      <c r="G41" s="1046">
        <f>+G19</f>
        <v>84.945999999999998</v>
      </c>
      <c r="H41" s="1046">
        <f>+H19</f>
        <v>95.157999999999987</v>
      </c>
      <c r="I41" s="1140">
        <f>+I19</f>
        <v>96.80499999999995</v>
      </c>
      <c r="J41" s="1189">
        <f>+J19</f>
        <v>101.18800000000003</v>
      </c>
      <c r="K41" s="1047">
        <f>+J41+K32-J32</f>
        <v>107.61133777183348</v>
      </c>
      <c r="L41" s="1047">
        <f>+K41+L32-K32</f>
        <v>114.42007580997696</v>
      </c>
      <c r="M41" s="1048">
        <f t="shared" ref="M41:T41" si="57">+M42-M40</f>
        <v>125.03260727707293</v>
      </c>
      <c r="N41" s="1048">
        <f t="shared" si="57"/>
        <v>134.74513874416891</v>
      </c>
      <c r="O41" s="1048">
        <f t="shared" si="57"/>
        <v>144.45767021126488</v>
      </c>
      <c r="P41" s="1048">
        <f t="shared" si="57"/>
        <v>154.17020167836085</v>
      </c>
      <c r="Q41" s="1048">
        <f t="shared" si="57"/>
        <v>163.88273314545683</v>
      </c>
      <c r="R41" s="1048">
        <f t="shared" si="57"/>
        <v>173.5952646125528</v>
      </c>
      <c r="S41" s="1048">
        <f t="shared" si="57"/>
        <v>183.00779607964876</v>
      </c>
      <c r="T41" s="1048">
        <f t="shared" si="57"/>
        <v>191.72032754674464</v>
      </c>
      <c r="U41" s="1048">
        <f t="shared" ref="U41" si="58">+U42-U40</f>
        <v>203.22354719954933</v>
      </c>
    </row>
    <row r="42" spans="1:21" x14ac:dyDescent="0.25">
      <c r="A42" s="1036" t="s">
        <v>764</v>
      </c>
      <c r="C42" s="1012">
        <f>+Historicals!AO72+Historicals!AO71</f>
        <v>75.260000000000005</v>
      </c>
      <c r="D42" s="1012">
        <f>+Historicals!AP72+Historicals!AP71</f>
        <v>71.399999999999977</v>
      </c>
      <c r="E42" s="1012">
        <f>+Historicals!AQ72+Historicals!AQ71</f>
        <v>72.090999999999994</v>
      </c>
      <c r="F42" s="1012">
        <f>+Historicals!AR72+Historicals!AR71</f>
        <v>90.076999999999998</v>
      </c>
      <c r="G42" s="1012">
        <f>+Historicals!AS72+Historicals!AS71</f>
        <v>97.914000000000001</v>
      </c>
      <c r="H42" s="1012">
        <f>+Historicals!AT72+Historicals!AT71</f>
        <v>110.358</v>
      </c>
      <c r="I42" s="1132">
        <f>+Historicals!AU72+Historicals!AU71</f>
        <v>109.68299999999995</v>
      </c>
      <c r="J42" s="1185">
        <f>+Historicals!AV72+Historicals!AV71</f>
        <v>111.58800000000004</v>
      </c>
      <c r="K42" s="1013">
        <f>+K41+K40</f>
        <v>116.91133777183347</v>
      </c>
      <c r="L42" s="1013">
        <f>+L41+L40</f>
        <v>122.02007580997696</v>
      </c>
      <c r="M42" s="1013">
        <f t="shared" ref="M42:S42" si="59">($T$42-$L$42)/8+L42</f>
        <v>130.73260727707293</v>
      </c>
      <c r="N42" s="1013">
        <f t="shared" si="59"/>
        <v>139.4451387441689</v>
      </c>
      <c r="O42" s="1013">
        <f t="shared" si="59"/>
        <v>148.15767021126487</v>
      </c>
      <c r="P42" s="1013">
        <f t="shared" si="59"/>
        <v>156.87020167836084</v>
      </c>
      <c r="Q42" s="1013">
        <f t="shared" si="59"/>
        <v>165.58273314545681</v>
      </c>
      <c r="R42" s="1013">
        <f t="shared" si="59"/>
        <v>174.29526461255278</v>
      </c>
      <c r="S42" s="1013">
        <f t="shared" si="59"/>
        <v>183.00779607964876</v>
      </c>
      <c r="T42" s="1043">
        <f>T32</f>
        <v>191.72032754674464</v>
      </c>
      <c r="U42" s="1043">
        <f t="shared" ref="U42" si="60">U32</f>
        <v>203.22354719954933</v>
      </c>
    </row>
    <row r="43" spans="1:21" s="1019" customFormat="1" ht="12" x14ac:dyDescent="0.3">
      <c r="A43" s="1033" t="s">
        <v>735</v>
      </c>
      <c r="B43" s="1016"/>
      <c r="C43" s="1023">
        <f t="shared" ref="C43:T43" si="61">+C42/C$8</f>
        <v>8.2006332989733408E-2</v>
      </c>
      <c r="D43" s="1023">
        <f t="shared" si="61"/>
        <v>7.0292748623679763E-2</v>
      </c>
      <c r="E43" s="1023">
        <f t="shared" si="61"/>
        <v>6.9267317790279267E-2</v>
      </c>
      <c r="F43" s="1023">
        <f t="shared" si="61"/>
        <v>5.8614878055128973E-2</v>
      </c>
      <c r="G43" s="1023">
        <f t="shared" si="61"/>
        <v>5.8051801601502612E-2</v>
      </c>
      <c r="H43" s="1023">
        <f t="shared" si="61"/>
        <v>6.0063417145705948E-2</v>
      </c>
      <c r="I43" s="1134">
        <f t="shared" si="61"/>
        <v>5.3764357970245098E-2</v>
      </c>
      <c r="J43" s="1024">
        <f t="shared" ref="J43" si="62">+J42/J$8</f>
        <v>4.8583104133475732E-2</v>
      </c>
      <c r="K43" s="1023">
        <f t="shared" si="61"/>
        <v>4.8019599197392383E-2</v>
      </c>
      <c r="L43" s="1023">
        <f t="shared" si="61"/>
        <v>4.7281073233766478E-2</v>
      </c>
      <c r="M43" s="1023">
        <f t="shared" si="61"/>
        <v>4.7789676749544353E-2</v>
      </c>
      <c r="N43" s="1023">
        <f t="shared" si="61"/>
        <v>4.8089214556129897E-2</v>
      </c>
      <c r="O43" s="1023">
        <f t="shared" si="61"/>
        <v>4.8201724910511771E-2</v>
      </c>
      <c r="P43" s="1023">
        <f t="shared" si="61"/>
        <v>4.8147421016513939E-2</v>
      </c>
      <c r="Q43" s="1023">
        <f t="shared" si="61"/>
        <v>4.7944827024294923E-2</v>
      </c>
      <c r="R43" s="1023">
        <f t="shared" si="61"/>
        <v>4.761090448112433E-2</v>
      </c>
      <c r="S43" s="1023">
        <f t="shared" si="61"/>
        <v>4.71611698786834E-2</v>
      </c>
      <c r="T43" s="1023">
        <f t="shared" si="61"/>
        <v>4.6609803899683555E-2</v>
      </c>
      <c r="U43" s="1023">
        <f t="shared" ref="U43" si="63">+U42/U$8</f>
        <v>4.6609803899683555E-2</v>
      </c>
    </row>
    <row r="44" spans="1:21" x14ac:dyDescent="0.25">
      <c r="G44" s="1037"/>
      <c r="H44" s="1037"/>
      <c r="I44" s="1138"/>
      <c r="J44" s="1038"/>
      <c r="K44" s="1037"/>
      <c r="L44" s="1037"/>
      <c r="M44" s="1037"/>
      <c r="N44" s="1037"/>
      <c r="O44" s="1037"/>
      <c r="P44" s="1037"/>
      <c r="Q44" s="1037"/>
      <c r="R44" s="1037"/>
      <c r="S44" s="1037"/>
      <c r="T44" s="1037"/>
      <c r="U44" s="1037"/>
    </row>
    <row r="45" spans="1:21" x14ac:dyDescent="0.25">
      <c r="A45" s="995" t="s">
        <v>694</v>
      </c>
      <c r="C45" s="1012">
        <f>+Historicals!AO74</f>
        <v>-0.96499999999999997</v>
      </c>
      <c r="D45" s="1012">
        <f>+Historicals!AP74</f>
        <v>-2.875</v>
      </c>
      <c r="E45" s="1012">
        <f>+Historicals!AQ74</f>
        <v>-0.97</v>
      </c>
      <c r="F45" s="1012">
        <f>+Historicals!AR74</f>
        <v>15.149999999999999</v>
      </c>
      <c r="G45" s="1012">
        <f>+Historicals!AS74</f>
        <v>9.5539999999999985</v>
      </c>
      <c r="H45" s="1012">
        <f>+Historicals!AT74</f>
        <v>-7.048</v>
      </c>
      <c r="I45" s="1132">
        <f>+Historicals!AU74</f>
        <v>-18.088000000000001</v>
      </c>
      <c r="J45" s="1185">
        <f>+Historicals!AV74</f>
        <v>-25.700000000000003</v>
      </c>
      <c r="K45" s="1043">
        <v>0</v>
      </c>
      <c r="L45" s="1043">
        <v>0</v>
      </c>
      <c r="M45" s="1043">
        <v>0</v>
      </c>
      <c r="N45" s="1043">
        <v>0</v>
      </c>
      <c r="O45" s="1043">
        <v>0</v>
      </c>
      <c r="P45" s="1043">
        <v>0</v>
      </c>
      <c r="Q45" s="1043">
        <v>0</v>
      </c>
      <c r="R45" s="1043">
        <v>0</v>
      </c>
      <c r="S45" s="1043">
        <v>0</v>
      </c>
      <c r="T45" s="1043">
        <v>0</v>
      </c>
      <c r="U45" s="1043">
        <v>0</v>
      </c>
    </row>
    <row r="46" spans="1:21" s="1019" customFormat="1" ht="12" hidden="1" outlineLevel="1" x14ac:dyDescent="0.3">
      <c r="A46" s="1015" t="s">
        <v>736</v>
      </c>
      <c r="B46" s="1016"/>
      <c r="C46" s="1021"/>
      <c r="D46" s="1021"/>
      <c r="E46" s="1021"/>
      <c r="F46" s="1021">
        <f t="shared" ref="F46:T46" si="64">+F45/AVERAGE(F58)</f>
        <v>0.91155234657039619</v>
      </c>
      <c r="G46" s="1021">
        <f t="shared" si="64"/>
        <v>-0.29489474658929538</v>
      </c>
      <c r="H46" s="1023">
        <f t="shared" si="64"/>
        <v>6.8622391852551423E-2</v>
      </c>
      <c r="I46" s="1134">
        <f t="shared" si="64"/>
        <v>6.1481985044187622E-2</v>
      </c>
      <c r="J46" s="1024">
        <f t="shared" si="64"/>
        <v>4.5885546310508202E-2</v>
      </c>
      <c r="K46" s="1023" t="e">
        <f t="shared" si="64"/>
        <v>#DIV/0!</v>
      </c>
      <c r="L46" s="1023" t="e">
        <f t="shared" si="64"/>
        <v>#DIV/0!</v>
      </c>
      <c r="M46" s="1023" t="e">
        <f t="shared" si="64"/>
        <v>#DIV/0!</v>
      </c>
      <c r="N46" s="1023" t="e">
        <f t="shared" si="64"/>
        <v>#DIV/0!</v>
      </c>
      <c r="O46" s="1023" t="e">
        <f t="shared" si="64"/>
        <v>#DIV/0!</v>
      </c>
      <c r="P46" s="1023" t="e">
        <f t="shared" si="64"/>
        <v>#DIV/0!</v>
      </c>
      <c r="Q46" s="1023" t="e">
        <f t="shared" si="64"/>
        <v>#DIV/0!</v>
      </c>
      <c r="R46" s="1023" t="e">
        <f t="shared" si="64"/>
        <v>#DIV/0!</v>
      </c>
      <c r="S46" s="1023" t="e">
        <f t="shared" si="64"/>
        <v>#DIV/0!</v>
      </c>
      <c r="T46" s="1023" t="e">
        <f t="shared" si="64"/>
        <v>#DIV/0!</v>
      </c>
      <c r="U46" s="1023" t="e">
        <f t="shared" ref="U46" si="65">+U45/AVERAGE(U58)</f>
        <v>#DIV/0!</v>
      </c>
    </row>
    <row r="47" spans="1:21" ht="12" collapsed="1" x14ac:dyDescent="0.3">
      <c r="C47" s="1049"/>
      <c r="D47" s="1049"/>
      <c r="E47" s="1049"/>
      <c r="F47" s="1049"/>
      <c r="G47" s="1037"/>
      <c r="H47" s="1037"/>
      <c r="I47" s="1138"/>
      <c r="J47" s="1038"/>
      <c r="K47" s="1037"/>
      <c r="L47" s="1037"/>
      <c r="M47" s="1037"/>
      <c r="N47" s="1037"/>
      <c r="O47" s="1037"/>
      <c r="P47" s="1037"/>
      <c r="Q47" s="1037"/>
      <c r="R47" s="1037"/>
      <c r="S47" s="1037"/>
      <c r="T47" s="1037"/>
      <c r="U47" s="1037"/>
    </row>
    <row r="48" spans="1:21" x14ac:dyDescent="0.25">
      <c r="A48" s="995" t="s">
        <v>737</v>
      </c>
      <c r="C48" s="1013">
        <f t="shared" ref="C48:T48" si="66">+MAX((C26-C45-C42)*C49,0)</f>
        <v>6.8926000000000016</v>
      </c>
      <c r="D48" s="1013">
        <f t="shared" si="66"/>
        <v>12.573859999999994</v>
      </c>
      <c r="E48" s="1013">
        <f t="shared" si="66"/>
        <v>8.691020000000039</v>
      </c>
      <c r="F48" s="1013">
        <f t="shared" si="66"/>
        <v>24.779559999999996</v>
      </c>
      <c r="G48" s="1013">
        <f t="shared" si="66"/>
        <v>38.239239999999988</v>
      </c>
      <c r="H48" s="1013">
        <f t="shared" si="66"/>
        <v>44.862220000000008</v>
      </c>
      <c r="I48" s="1136">
        <f t="shared" si="66"/>
        <v>69.598880000000008</v>
      </c>
      <c r="J48" s="1030">
        <f t="shared" ref="J48" si="67">+MAX((J26-J45-J42)*J49,0)</f>
        <v>104.4879369276842</v>
      </c>
      <c r="K48" s="1013">
        <f t="shared" si="66"/>
        <v>105.29702067715614</v>
      </c>
      <c r="L48" s="1013">
        <f t="shared" si="66"/>
        <v>113.45237080486565</v>
      </c>
      <c r="M48" s="1013">
        <f t="shared" si="66"/>
        <v>121.32027099657058</v>
      </c>
      <c r="N48" s="1013">
        <f t="shared" si="66"/>
        <v>128.37365774844218</v>
      </c>
      <c r="O48" s="1013">
        <f t="shared" si="66"/>
        <v>135.98616319631284</v>
      </c>
      <c r="P48" s="1013">
        <f t="shared" si="66"/>
        <v>144.19133446194238</v>
      </c>
      <c r="Q48" s="1013">
        <f t="shared" si="66"/>
        <v>153.02473149439643</v>
      </c>
      <c r="R48" s="1013">
        <f t="shared" si="66"/>
        <v>162.52404783968439</v>
      </c>
      <c r="S48" s="1013">
        <f t="shared" si="66"/>
        <v>172.72923865657634</v>
      </c>
      <c r="T48" s="1013">
        <f t="shared" si="66"/>
        <v>183.68265641336851</v>
      </c>
      <c r="U48" s="1013">
        <f t="shared" ref="U48" si="68">+MAX((U26-U45-U42)*U49,0)</f>
        <v>194.7036157981706</v>
      </c>
    </row>
    <row r="49" spans="1:21" ht="12" x14ac:dyDescent="0.3">
      <c r="A49" s="1015" t="s">
        <v>738</v>
      </c>
      <c r="B49" s="1016"/>
      <c r="C49" s="1050">
        <v>0.26</v>
      </c>
      <c r="D49" s="1050">
        <v>0.26</v>
      </c>
      <c r="E49" s="1050">
        <v>0.26</v>
      </c>
      <c r="F49" s="1050">
        <f t="shared" ref="F49:T49" si="69">+E49</f>
        <v>0.26</v>
      </c>
      <c r="G49" s="1050">
        <f t="shared" si="69"/>
        <v>0.26</v>
      </c>
      <c r="H49" s="1050">
        <f t="shared" si="69"/>
        <v>0.26</v>
      </c>
      <c r="I49" s="1141">
        <f t="shared" si="69"/>
        <v>0.26</v>
      </c>
      <c r="J49" s="1051">
        <f t="shared" si="69"/>
        <v>0.26</v>
      </c>
      <c r="K49" s="1050">
        <f t="shared" si="69"/>
        <v>0.26</v>
      </c>
      <c r="L49" s="1050">
        <f t="shared" si="69"/>
        <v>0.26</v>
      </c>
      <c r="M49" s="1050">
        <f t="shared" si="69"/>
        <v>0.26</v>
      </c>
      <c r="N49" s="1050">
        <f t="shared" si="69"/>
        <v>0.26</v>
      </c>
      <c r="O49" s="1050">
        <f t="shared" si="69"/>
        <v>0.26</v>
      </c>
      <c r="P49" s="1050">
        <f t="shared" si="69"/>
        <v>0.26</v>
      </c>
      <c r="Q49" s="1050">
        <f t="shared" si="69"/>
        <v>0.26</v>
      </c>
      <c r="R49" s="1050">
        <f t="shared" si="69"/>
        <v>0.26</v>
      </c>
      <c r="S49" s="1050">
        <f t="shared" si="69"/>
        <v>0.26</v>
      </c>
      <c r="T49" s="1050">
        <f t="shared" si="69"/>
        <v>0.26</v>
      </c>
      <c r="U49" s="1050">
        <f t="shared" ref="U49" si="70">+T49</f>
        <v>0.26</v>
      </c>
    </row>
    <row r="50" spans="1:21" x14ac:dyDescent="0.25">
      <c r="G50" s="1037"/>
      <c r="H50" s="1037"/>
      <c r="I50" s="1138"/>
      <c r="J50" s="1038"/>
      <c r="K50" s="1037"/>
      <c r="L50" s="1037"/>
      <c r="M50" s="1037"/>
      <c r="N50" s="1037"/>
      <c r="O50" s="1037"/>
      <c r="P50" s="1037"/>
      <c r="Q50" s="1037"/>
      <c r="R50" s="1037"/>
      <c r="S50" s="1037"/>
      <c r="T50" s="1037"/>
      <c r="U50" s="1037"/>
    </row>
    <row r="51" spans="1:21" x14ac:dyDescent="0.25">
      <c r="A51" s="995" t="s">
        <v>699</v>
      </c>
      <c r="C51" s="1011">
        <f t="shared" ref="C51:T51" si="71">+C35-C45-C48</f>
        <v>38.373400000000004</v>
      </c>
      <c r="D51" s="1011">
        <f t="shared" si="71"/>
        <v>37.747139999999959</v>
      </c>
      <c r="E51" s="1011">
        <f t="shared" si="71"/>
        <v>24.154980000000108</v>
      </c>
      <c r="F51" s="1011">
        <f t="shared" si="71"/>
        <v>84.025439999999975</v>
      </c>
      <c r="G51" s="1011">
        <f t="shared" si="71"/>
        <v>106.11175999999998</v>
      </c>
      <c r="H51" s="1011">
        <f t="shared" si="71"/>
        <v>128.53878</v>
      </c>
      <c r="I51" s="1142">
        <f t="shared" si="71"/>
        <v>205.26411999999999</v>
      </c>
      <c r="J51" s="1052">
        <f t="shared" ref="J51" si="72">+J35-J45-J48</f>
        <v>301.92111403285105</v>
      </c>
      <c r="K51" s="1011">
        <f t="shared" si="71"/>
        <v>303.12389085827118</v>
      </c>
      <c r="L51" s="1011">
        <f t="shared" si="71"/>
        <v>324.63527199098286</v>
      </c>
      <c r="M51" s="1011">
        <f t="shared" si="71"/>
        <v>348.52379552942239</v>
      </c>
      <c r="N51" s="1011">
        <f t="shared" si="71"/>
        <v>369.66105276911026</v>
      </c>
      <c r="O51" s="1011">
        <f t="shared" si="71"/>
        <v>391.93062995229286</v>
      </c>
      <c r="P51" s="1011">
        <f t="shared" si="71"/>
        <v>415.40046627557967</v>
      </c>
      <c r="Q51" s="1011">
        <f t="shared" si="71"/>
        <v>440.14257728737698</v>
      </c>
      <c r="R51" s="1011">
        <f t="shared" si="71"/>
        <v>466.23329946899548</v>
      </c>
      <c r="S51" s="1011">
        <f t="shared" si="71"/>
        <v>493.75354949062427</v>
      </c>
      <c r="T51" s="1011">
        <f t="shared" si="71"/>
        <v>522.78909902266423</v>
      </c>
      <c r="U51" s="1011">
        <f t="shared" ref="U51" si="73">+U35-U45-U48</f>
        <v>554.15644496402399</v>
      </c>
    </row>
    <row r="52" spans="1:21" s="1019" customFormat="1" ht="12" x14ac:dyDescent="0.3">
      <c r="A52" s="1015" t="s">
        <v>730</v>
      </c>
      <c r="B52" s="1016"/>
      <c r="C52" s="1014"/>
      <c r="D52" s="1014"/>
      <c r="E52" s="1014"/>
      <c r="F52" s="1014">
        <f t="shared" ref="F52:T52" si="74">IF(OR(F51&lt;0, E51&lt;0), "NM", F51/E51-1)</f>
        <v>2.478596960129944</v>
      </c>
      <c r="G52" s="1014">
        <f t="shared" si="74"/>
        <v>0.2628527741122213</v>
      </c>
      <c r="H52" s="1014">
        <f t="shared" si="74"/>
        <v>0.21135282272200584</v>
      </c>
      <c r="I52" s="1133">
        <f t="shared" si="74"/>
        <v>0.59690421832228369</v>
      </c>
      <c r="J52" s="1017">
        <f t="shared" ref="J52" si="75">IF(OR(J51&lt;0, I51&lt;0), "NM", J51/I51-1)</f>
        <v>0.47089084070246212</v>
      </c>
      <c r="K52" s="1014">
        <f t="shared" si="74"/>
        <v>3.983745321267218E-3</v>
      </c>
      <c r="L52" s="1014">
        <f t="shared" si="74"/>
        <v>7.0965640721369461E-2</v>
      </c>
      <c r="M52" s="1014">
        <f t="shared" si="74"/>
        <v>7.3585730200947053E-2</v>
      </c>
      <c r="N52" s="1014">
        <f t="shared" si="74"/>
        <v>6.0647960084273311E-2</v>
      </c>
      <c r="O52" s="1014">
        <f t="shared" si="74"/>
        <v>6.0243233676803287E-2</v>
      </c>
      <c r="P52" s="1014">
        <f t="shared" si="74"/>
        <v>5.9882628530828708E-2</v>
      </c>
      <c r="Q52" s="1014">
        <f t="shared" si="74"/>
        <v>5.9562068462829298E-2</v>
      </c>
      <c r="R52" s="1014">
        <f t="shared" si="74"/>
        <v>5.9277887502765747E-2</v>
      </c>
      <c r="S52" s="1014">
        <f t="shared" si="74"/>
        <v>5.9026779196106993E-2</v>
      </c>
      <c r="T52" s="1014">
        <f t="shared" si="74"/>
        <v>5.8805753522165549E-2</v>
      </c>
      <c r="U52" s="1014">
        <f t="shared" ref="U52" si="76">IF(OR(U51&lt;0, T51&lt;0), "NM", U51/T51-1)</f>
        <v>5.9999999999999831E-2</v>
      </c>
    </row>
    <row r="53" spans="1:21" s="1019" customFormat="1" ht="12" x14ac:dyDescent="0.3">
      <c r="A53" s="1015"/>
      <c r="B53" s="1016"/>
      <c r="C53" s="1014"/>
      <c r="D53" s="1014"/>
      <c r="E53" s="1014"/>
      <c r="F53" s="1014"/>
      <c r="G53" s="1014"/>
      <c r="H53" s="1014"/>
      <c r="I53" s="1133"/>
      <c r="J53" s="1017"/>
      <c r="K53" s="1014"/>
      <c r="L53" s="1014"/>
      <c r="M53" s="1014"/>
      <c r="N53" s="1014"/>
      <c r="O53" s="1014"/>
      <c r="P53" s="1014"/>
      <c r="Q53" s="1014"/>
      <c r="R53" s="1014"/>
      <c r="S53" s="1014"/>
      <c r="T53" s="1014"/>
      <c r="U53" s="1014"/>
    </row>
    <row r="54" spans="1:21" x14ac:dyDescent="0.25">
      <c r="A54" s="995" t="s">
        <v>658</v>
      </c>
      <c r="C54" s="1012">
        <f>+Historicals!AO48</f>
        <v>20.817</v>
      </c>
      <c r="D54" s="1012">
        <f>+Historicals!AP48</f>
        <v>16.675999999999998</v>
      </c>
      <c r="E54" s="1012">
        <f>+Historicals!AQ48</f>
        <v>23.609000000000002</v>
      </c>
      <c r="F54" s="1012">
        <f>+Historicals!AR48</f>
        <v>39.332999999999998</v>
      </c>
      <c r="G54" s="1012">
        <f>+Historicals!AS48</f>
        <v>18.57</v>
      </c>
      <c r="H54" s="1012">
        <f>+Historicals!AT48</f>
        <v>20.32</v>
      </c>
      <c r="I54" s="1132">
        <f>+Historicals!AU88</f>
        <v>31.461999999999996</v>
      </c>
      <c r="J54" s="1185">
        <f>+Historicals!AV88</f>
        <v>38.448999999999998</v>
      </c>
      <c r="K54" s="1043">
        <v>0</v>
      </c>
      <c r="L54" s="1043">
        <v>0</v>
      </c>
      <c r="M54" s="1043">
        <v>0</v>
      </c>
      <c r="N54" s="1043">
        <v>0</v>
      </c>
      <c r="O54" s="1043">
        <v>0</v>
      </c>
      <c r="P54" s="1043">
        <v>0</v>
      </c>
      <c r="Q54" s="1043">
        <v>0</v>
      </c>
      <c r="R54" s="1043">
        <v>0</v>
      </c>
      <c r="S54" s="1043">
        <v>0</v>
      </c>
      <c r="T54" s="1043">
        <v>0</v>
      </c>
      <c r="U54" s="1043">
        <v>0</v>
      </c>
    </row>
    <row r="55" spans="1:21" ht="13" x14ac:dyDescent="0.4">
      <c r="A55" s="995" t="s">
        <v>703</v>
      </c>
      <c r="C55" s="1048">
        <f t="shared" ref="C55:I55" si="77">+C56-C51-C54</f>
        <v>-12.067399999999999</v>
      </c>
      <c r="D55" s="1048">
        <f t="shared" si="77"/>
        <v>17.742860000000068</v>
      </c>
      <c r="E55" s="1048">
        <f t="shared" si="77"/>
        <v>-40.020980000000087</v>
      </c>
      <c r="F55" s="1048">
        <f t="shared" si="77"/>
        <v>-65.78643999999997</v>
      </c>
      <c r="G55" s="1048">
        <f t="shared" si="77"/>
        <v>-18.434759999999962</v>
      </c>
      <c r="H55" s="1048">
        <f t="shared" si="77"/>
        <v>-55.212779999999945</v>
      </c>
      <c r="I55" s="1143">
        <f t="shared" si="77"/>
        <v>-60.437120000000057</v>
      </c>
      <c r="J55" s="1190">
        <f t="shared" ref="J55" si="78">+J56-J51-J54</f>
        <v>-65.216890596614562</v>
      </c>
      <c r="K55" s="1047">
        <f>+J55/(J8-I8)*(K8-J8)</f>
        <v>-35.00130713022795</v>
      </c>
      <c r="L55" s="1047">
        <f>+K55/(K8-J8)*(L8-K8)</f>
        <v>-37.101385558041656</v>
      </c>
      <c r="M55" s="1047">
        <f>+L55/(L8-K8)*(M8-L8)</f>
        <v>-39.327468691524196</v>
      </c>
      <c r="N55" s="1047">
        <f>+M55/(M8-L8)*(N8-M8)</f>
        <v>-41.68711681301567</v>
      </c>
      <c r="O55" s="1047">
        <f>+N55/(N8-M8)*(O8-N8)</f>
        <v>-44.188343821796614</v>
      </c>
      <c r="P55" s="1047">
        <f>+O55/(O8-N8)*(P8-O8)</f>
        <v>-46.839644451104355</v>
      </c>
      <c r="Q55" s="1047">
        <f>+P55/(P8-O8)*(Q8-P8)</f>
        <v>-49.650023118170701</v>
      </c>
      <c r="R55" s="1047">
        <f>+Q55/(Q8-P8)*(R8-Q8)</f>
        <v>-52.629024505260844</v>
      </c>
      <c r="S55" s="1047">
        <f>+R55/(R8-Q8)*(S8-R8)</f>
        <v>-55.7867659755765</v>
      </c>
      <c r="T55" s="1047">
        <f>+S55/(S8-R8)*(T8-S8)</f>
        <v>-59.133971934111109</v>
      </c>
      <c r="U55" s="1047">
        <f>+T55/(T8-S8)*(U8-T8)</f>
        <v>-62.682010250157745</v>
      </c>
    </row>
    <row r="56" spans="1:21" x14ac:dyDescent="0.25">
      <c r="A56" s="1036" t="s">
        <v>704</v>
      </c>
      <c r="B56" s="1036"/>
      <c r="C56" s="1012">
        <f>+Historicals!AO90</f>
        <v>47.123000000000005</v>
      </c>
      <c r="D56" s="1012">
        <f>+Historicals!AP90</f>
        <v>72.166000000000025</v>
      </c>
      <c r="E56" s="1012">
        <f>+Historicals!AQ90</f>
        <v>7.7430000000000234</v>
      </c>
      <c r="F56" s="1012">
        <f>+Historicals!AR90</f>
        <v>57.572000000000003</v>
      </c>
      <c r="G56" s="1012">
        <f>+Historicals!AS90</f>
        <v>106.24700000000001</v>
      </c>
      <c r="H56" s="1012">
        <f>+Historicals!AT90</f>
        <v>93.646000000000058</v>
      </c>
      <c r="I56" s="1132">
        <f>+Historicals!AU90</f>
        <v>176.28899999999993</v>
      </c>
      <c r="J56" s="1185">
        <f>+Historicals!AV90</f>
        <v>275.15322343623649</v>
      </c>
      <c r="K56" s="1053">
        <f t="shared" ref="K56:T56" si="79">K51+K55+K54</f>
        <v>268.12258372804325</v>
      </c>
      <c r="L56" s="1053">
        <f t="shared" si="79"/>
        <v>287.53388643294119</v>
      </c>
      <c r="M56" s="1053">
        <f t="shared" si="79"/>
        <v>309.1963268378982</v>
      </c>
      <c r="N56" s="1053">
        <f t="shared" si="79"/>
        <v>327.97393595609458</v>
      </c>
      <c r="O56" s="1053">
        <f t="shared" si="79"/>
        <v>347.74228613049627</v>
      </c>
      <c r="P56" s="1053">
        <f t="shared" si="79"/>
        <v>368.56082182447534</v>
      </c>
      <c r="Q56" s="1053">
        <f t="shared" si="79"/>
        <v>390.4925541692063</v>
      </c>
      <c r="R56" s="1053">
        <f t="shared" si="79"/>
        <v>413.60427496373461</v>
      </c>
      <c r="S56" s="1053">
        <f t="shared" si="79"/>
        <v>437.96678351504778</v>
      </c>
      <c r="T56" s="1053">
        <f t="shared" si="79"/>
        <v>463.65512708855312</v>
      </c>
      <c r="U56" s="1053">
        <f t="shared" ref="U56" si="80">U51+U55+U54</f>
        <v>491.47443471386623</v>
      </c>
    </row>
    <row r="57" spans="1:21" ht="12" x14ac:dyDescent="0.3">
      <c r="C57" s="1014"/>
      <c r="D57" s="1014"/>
      <c r="E57" s="1014"/>
      <c r="F57" s="1014"/>
      <c r="G57" s="1037"/>
      <c r="H57" s="1032"/>
      <c r="I57" s="1138"/>
      <c r="J57" s="1038"/>
      <c r="K57" s="1037"/>
      <c r="L57" s="1037"/>
      <c r="M57" s="1037"/>
      <c r="N57" s="1037"/>
      <c r="O57" s="1037"/>
      <c r="P57" s="1037"/>
      <c r="Q57" s="1037"/>
      <c r="R57" s="1014"/>
      <c r="S57" s="1014"/>
      <c r="T57" s="1014"/>
      <c r="U57" s="1014"/>
    </row>
    <row r="58" spans="1:21" x14ac:dyDescent="0.25">
      <c r="A58" s="1022" t="s">
        <v>771</v>
      </c>
      <c r="C58" s="1012">
        <f>+Historicals!AO95</f>
        <v>-231.113</v>
      </c>
      <c r="D58" s="1012">
        <f>+Historicals!AP95</f>
        <v>-283.12099999999998</v>
      </c>
      <c r="E58" s="1012">
        <f>+Historicals!AQ95</f>
        <v>-212.29900000000001</v>
      </c>
      <c r="F58" s="1012">
        <f>+Historicals!AR95</f>
        <v>16.620000000000015</v>
      </c>
      <c r="G58" s="1012">
        <f>+Historicals!AS95</f>
        <v>-32.398000000000025</v>
      </c>
      <c r="H58" s="1012">
        <f>+Historicals!AT95</f>
        <v>-102.70700000000002</v>
      </c>
      <c r="I58" s="1132">
        <f>+Historicals!AU95</f>
        <v>-294.20000000000005</v>
      </c>
      <c r="J58" s="1185">
        <f>+Historicals!AV95</f>
        <v>-560.08922343623647</v>
      </c>
      <c r="K58" s="1013">
        <f t="shared" ref="K58:T58" si="81">+K59*K26</f>
        <v>0</v>
      </c>
      <c r="L58" s="1013">
        <f t="shared" si="81"/>
        <v>0</v>
      </c>
      <c r="M58" s="1013">
        <f t="shared" si="81"/>
        <v>0</v>
      </c>
      <c r="N58" s="1013">
        <f t="shared" si="81"/>
        <v>0</v>
      </c>
      <c r="O58" s="1013">
        <f t="shared" si="81"/>
        <v>0</v>
      </c>
      <c r="P58" s="1013">
        <f t="shared" si="81"/>
        <v>0</v>
      </c>
      <c r="Q58" s="1013">
        <f t="shared" si="81"/>
        <v>0</v>
      </c>
      <c r="R58" s="1013">
        <f t="shared" si="81"/>
        <v>0</v>
      </c>
      <c r="S58" s="1013">
        <f t="shared" si="81"/>
        <v>0</v>
      </c>
      <c r="T58" s="1013">
        <f t="shared" si="81"/>
        <v>0</v>
      </c>
      <c r="U58" s="1013">
        <f t="shared" ref="U58" si="82">+U59*U26</f>
        <v>0</v>
      </c>
    </row>
    <row r="59" spans="1:21" ht="12" x14ac:dyDescent="0.3">
      <c r="A59" s="1015" t="s">
        <v>739</v>
      </c>
      <c r="B59" s="1015"/>
      <c r="C59" s="1054" t="str">
        <f t="shared" ref="C59:I59" si="83">+IF(OR(C58&lt;0,C26&lt; 0),"NM",C58/C26)</f>
        <v>NM</v>
      </c>
      <c r="D59" s="1054" t="str">
        <f t="shared" si="83"/>
        <v>NM</v>
      </c>
      <c r="E59" s="1054" t="str">
        <f t="shared" si="83"/>
        <v>NM</v>
      </c>
      <c r="F59" s="1054">
        <f t="shared" si="83"/>
        <v>8.2879127126208735E-2</v>
      </c>
      <c r="G59" s="1054" t="str">
        <f t="shared" si="83"/>
        <v>NM</v>
      </c>
      <c r="H59" s="1054" t="str">
        <f t="shared" si="83"/>
        <v>NM</v>
      </c>
      <c r="I59" s="1144" t="str">
        <f t="shared" si="83"/>
        <v>NM</v>
      </c>
      <c r="J59" s="1055" t="str">
        <f t="shared" ref="J59" si="84">+IF(OR(J58&lt;0,J26&lt; 0),"NM",J58/J26)</f>
        <v>NM</v>
      </c>
      <c r="K59" s="1056">
        <v>0</v>
      </c>
      <c r="L59" s="1056">
        <f t="shared" ref="L59:T59" si="85">+K59</f>
        <v>0</v>
      </c>
      <c r="M59" s="1056">
        <f t="shared" si="85"/>
        <v>0</v>
      </c>
      <c r="N59" s="1056">
        <f t="shared" si="85"/>
        <v>0</v>
      </c>
      <c r="O59" s="1056">
        <f t="shared" si="85"/>
        <v>0</v>
      </c>
      <c r="P59" s="1056">
        <f t="shared" si="85"/>
        <v>0</v>
      </c>
      <c r="Q59" s="1056">
        <f t="shared" si="85"/>
        <v>0</v>
      </c>
      <c r="R59" s="1056">
        <f t="shared" si="85"/>
        <v>0</v>
      </c>
      <c r="S59" s="1056">
        <f t="shared" si="85"/>
        <v>0</v>
      </c>
      <c r="T59" s="1056">
        <f t="shared" si="85"/>
        <v>0</v>
      </c>
      <c r="U59" s="1056">
        <f t="shared" ref="U59" si="86">+T59</f>
        <v>0</v>
      </c>
    </row>
    <row r="60" spans="1:21" ht="12" x14ac:dyDescent="0.3">
      <c r="A60" s="1015"/>
      <c r="B60" s="1015"/>
      <c r="C60" s="1054"/>
      <c r="D60" s="1054"/>
      <c r="E60" s="1054"/>
      <c r="F60" s="1054"/>
      <c r="G60" s="1057"/>
      <c r="H60" s="1057"/>
      <c r="I60" s="1145"/>
      <c r="J60" s="1058"/>
      <c r="K60" s="1059"/>
      <c r="L60" s="1059"/>
      <c r="M60" s="1059"/>
      <c r="N60" s="1059"/>
      <c r="O60" s="1059"/>
      <c r="P60" s="1059"/>
      <c r="Q60" s="1059"/>
      <c r="R60" s="1059"/>
      <c r="S60" s="1059"/>
      <c r="T60" s="1059"/>
      <c r="U60" s="1059"/>
    </row>
    <row r="61" spans="1:21" x14ac:dyDescent="0.25">
      <c r="A61" s="1036" t="s">
        <v>740</v>
      </c>
      <c r="B61" s="1036"/>
      <c r="F61" s="1060"/>
      <c r="G61" s="1060"/>
      <c r="H61" s="1060"/>
      <c r="I61" s="1142"/>
      <c r="J61" s="1052"/>
      <c r="K61" s="1011">
        <f t="shared" ref="K61:T61" si="87">+K56+(K58-J58)</f>
        <v>828.21180716427966</v>
      </c>
      <c r="L61" s="1011">
        <f t="shared" si="87"/>
        <v>287.53388643294119</v>
      </c>
      <c r="M61" s="1011">
        <f t="shared" si="87"/>
        <v>309.1963268378982</v>
      </c>
      <c r="N61" s="1011">
        <f t="shared" si="87"/>
        <v>327.97393595609458</v>
      </c>
      <c r="O61" s="1011">
        <f t="shared" si="87"/>
        <v>347.74228613049627</v>
      </c>
      <c r="P61" s="1011">
        <f t="shared" si="87"/>
        <v>368.56082182447534</v>
      </c>
      <c r="Q61" s="1011">
        <f t="shared" si="87"/>
        <v>390.4925541692063</v>
      </c>
      <c r="R61" s="1011">
        <f t="shared" si="87"/>
        <v>413.60427496373461</v>
      </c>
      <c r="S61" s="1011">
        <f t="shared" si="87"/>
        <v>437.96678351504778</v>
      </c>
      <c r="T61" s="1011">
        <f t="shared" si="87"/>
        <v>463.65512708855312</v>
      </c>
      <c r="U61" s="1011">
        <f t="shared" ref="U61" si="88">+U56+(U58-T58)</f>
        <v>491.47443471386623</v>
      </c>
    </row>
    <row r="62" spans="1:21" s="1019" customFormat="1" ht="12" x14ac:dyDescent="0.3">
      <c r="A62" s="1033" t="s">
        <v>741</v>
      </c>
      <c r="B62" s="1061"/>
      <c r="F62" s="1023"/>
      <c r="G62" s="1023"/>
      <c r="H62" s="1023"/>
      <c r="I62" s="1134"/>
      <c r="J62" s="1024"/>
      <c r="K62" s="1023">
        <f t="shared" ref="K62:U62" si="89">+K61/$C$89</f>
        <v>0.17682848335984935</v>
      </c>
      <c r="L62" s="1023">
        <f t="shared" si="89"/>
        <v>6.1390311768901133E-2</v>
      </c>
      <c r="M62" s="1023">
        <f t="shared" si="89"/>
        <v>6.6015380440400839E-2</v>
      </c>
      <c r="N62" s="1023">
        <f t="shared" si="89"/>
        <v>7.0024519301706792E-2</v>
      </c>
      <c r="O62" s="1023">
        <f t="shared" si="89"/>
        <v>7.4245187673767921E-2</v>
      </c>
      <c r="P62" s="1023">
        <f t="shared" si="89"/>
        <v>7.8690077327229477E-2</v>
      </c>
      <c r="Q62" s="1023">
        <f t="shared" si="89"/>
        <v>8.3372641538975473E-2</v>
      </c>
      <c r="R62" s="1023">
        <f t="shared" si="89"/>
        <v>8.8307140782503041E-2</v>
      </c>
      <c r="S62" s="1023">
        <f t="shared" si="89"/>
        <v>9.3508691159718993E-2</v>
      </c>
      <c r="T62" s="1023">
        <f t="shared" si="89"/>
        <v>9.8993315738644699E-2</v>
      </c>
      <c r="U62" s="1023">
        <f t="shared" si="89"/>
        <v>0.10493291468296335</v>
      </c>
    </row>
    <row r="63" spans="1:21" x14ac:dyDescent="0.25">
      <c r="I63" s="1146"/>
      <c r="J63" s="1062"/>
    </row>
    <row r="64" spans="1:21" x14ac:dyDescent="0.25">
      <c r="A64" s="1036" t="s">
        <v>742</v>
      </c>
      <c r="B64" s="1036"/>
      <c r="F64" s="1060"/>
      <c r="G64" s="1060"/>
      <c r="H64" s="1060"/>
      <c r="I64" s="1142"/>
      <c r="J64" s="1052"/>
      <c r="K64" s="1011">
        <f t="shared" ref="K64:T64" si="90">+J64+K61</f>
        <v>828.21180716427966</v>
      </c>
      <c r="L64" s="1011">
        <f t="shared" si="90"/>
        <v>1115.7456935972209</v>
      </c>
      <c r="M64" s="1011">
        <f t="shared" si="90"/>
        <v>1424.942020435119</v>
      </c>
      <c r="N64" s="1011">
        <f t="shared" si="90"/>
        <v>1752.9159563912135</v>
      </c>
      <c r="O64" s="1011">
        <f t="shared" si="90"/>
        <v>2100.6582425217098</v>
      </c>
      <c r="P64" s="1011">
        <f t="shared" si="90"/>
        <v>2469.219064346185</v>
      </c>
      <c r="Q64" s="1011">
        <f t="shared" si="90"/>
        <v>2859.7116185153914</v>
      </c>
      <c r="R64" s="1011">
        <f t="shared" si="90"/>
        <v>3273.3158934791259</v>
      </c>
      <c r="S64" s="1011">
        <f t="shared" si="90"/>
        <v>3711.2826769941735</v>
      </c>
      <c r="T64" s="1011">
        <f t="shared" si="90"/>
        <v>4174.9378040827269</v>
      </c>
      <c r="U64" s="1011">
        <f t="shared" ref="U64" si="91">+T64+U61</f>
        <v>4666.4122387965926</v>
      </c>
    </row>
    <row r="65" spans="1:29" s="1019" customFormat="1" ht="12" x14ac:dyDescent="0.3">
      <c r="A65" s="1033" t="s">
        <v>741</v>
      </c>
      <c r="B65" s="1061"/>
      <c r="F65" s="1023"/>
      <c r="G65" s="1023"/>
      <c r="H65" s="1023"/>
      <c r="I65" s="1134"/>
      <c r="J65" s="1024"/>
      <c r="K65" s="1023">
        <f t="shared" ref="K65:U65" si="92">+K64/$C$89</f>
        <v>0.17682848335984935</v>
      </c>
      <c r="L65" s="1023">
        <f t="shared" si="92"/>
        <v>0.23821879512875049</v>
      </c>
      <c r="M65" s="1023">
        <f t="shared" si="92"/>
        <v>0.30423417556915133</v>
      </c>
      <c r="N65" s="1023">
        <f t="shared" si="92"/>
        <v>0.37425869487085811</v>
      </c>
      <c r="O65" s="1023">
        <f t="shared" si="92"/>
        <v>0.44850388254462603</v>
      </c>
      <c r="P65" s="1023">
        <f t="shared" si="92"/>
        <v>0.52719395987185547</v>
      </c>
      <c r="Q65" s="1023">
        <f t="shared" si="92"/>
        <v>0.61056660141083097</v>
      </c>
      <c r="R65" s="1023">
        <f t="shared" si="92"/>
        <v>0.69887374219333398</v>
      </c>
      <c r="S65" s="1023">
        <f t="shared" si="92"/>
        <v>0.79238243335305292</v>
      </c>
      <c r="T65" s="1023">
        <f t="shared" si="92"/>
        <v>0.8913757490916977</v>
      </c>
      <c r="U65" s="1023">
        <f t="shared" si="92"/>
        <v>0.99630866377466099</v>
      </c>
    </row>
    <row r="66" spans="1:29" x14ac:dyDescent="0.25">
      <c r="I66" s="1146"/>
      <c r="J66" s="1062"/>
      <c r="W66" s="1063"/>
      <c r="X66" s="1063"/>
      <c r="Y66" s="1063"/>
      <c r="Z66" s="1063"/>
      <c r="AA66" s="1063"/>
      <c r="AB66" s="1063"/>
      <c r="AC66" s="1063"/>
    </row>
    <row r="67" spans="1:29" x14ac:dyDescent="0.25">
      <c r="A67" s="995" t="s">
        <v>743</v>
      </c>
      <c r="H67" s="1064"/>
      <c r="I67" s="1147"/>
      <c r="J67" s="1065">
        <f>+C89/SUM(Historicals!X90:AA90)</f>
        <v>26.928966901694956</v>
      </c>
      <c r="W67" s="1063"/>
      <c r="X67" s="1063"/>
      <c r="Y67" s="1063"/>
      <c r="Z67" s="1063"/>
      <c r="AA67" s="1063"/>
      <c r="AB67" s="1063"/>
      <c r="AC67" s="1063"/>
    </row>
    <row r="68" spans="1:29" x14ac:dyDescent="0.25">
      <c r="A68" s="995" t="s">
        <v>744</v>
      </c>
      <c r="B68" s="1064"/>
      <c r="C68" s="1064"/>
      <c r="D68" s="1064"/>
      <c r="E68" s="1064"/>
      <c r="F68" s="1064"/>
      <c r="G68" s="1064"/>
      <c r="H68" s="1064"/>
      <c r="I68" s="1147"/>
      <c r="J68" s="1065">
        <f>+($C$91+J$58-$C$90-J$64)/J$8</f>
        <v>1.7953353192756587</v>
      </c>
      <c r="K68" s="1064">
        <f>+($C$89+K$58-K$64)/K$8</f>
        <v>1.583585188046325</v>
      </c>
      <c r="L68" s="1064">
        <f>+($C$89+L$58-L$64)/L$8</f>
        <v>1.3825329300522133</v>
      </c>
      <c r="M68" s="1064">
        <f>+($C$89+M$58-M$64)/M$8</f>
        <v>1.1912487516342321</v>
      </c>
      <c r="N68" s="1064">
        <f>+($C$89+N$58-N$64)/N$8</f>
        <v>1.0107140997120847</v>
      </c>
      <c r="O68" s="1064">
        <f>+($C$89+O$58-O$64)/O$8</f>
        <v>0.840369137659429</v>
      </c>
      <c r="P68" s="1064">
        <f>+($C$89+P$58-P$64)/P$8</f>
        <v>0.67968046228257073</v>
      </c>
      <c r="Q68" s="1064">
        <f>+($C$89+Q$58-Q$64)/Q$8</f>
        <v>0.52814004674237935</v>
      </c>
      <c r="R68" s="1064">
        <f>+($C$89+R$58-R$64)/R$8</f>
        <v>0.38526421043361203</v>
      </c>
      <c r="S68" s="1064">
        <f>+($C$89+S$58-S$64)/S$8</f>
        <v>0.25059261661065479</v>
      </c>
      <c r="T68" s="1064">
        <f>+($C$89+T$58-T$64)/T$8</f>
        <v>0.12368729834731049</v>
      </c>
      <c r="U68" s="1064">
        <f>+($C$89+U$58-U$64)/U$8</f>
        <v>3.9652999856650854E-3</v>
      </c>
      <c r="V68" s="1064"/>
      <c r="W68" s="1066"/>
      <c r="X68" s="1066"/>
      <c r="Y68" s="1066"/>
      <c r="Z68" s="1066"/>
      <c r="AA68" s="1066"/>
      <c r="AB68" s="1066"/>
      <c r="AC68" s="1066"/>
    </row>
    <row r="69" spans="1:29" hidden="1" outlineLevel="1" x14ac:dyDescent="0.25">
      <c r="A69" s="995" t="s">
        <v>745</v>
      </c>
      <c r="B69" s="1064"/>
      <c r="C69" s="1064"/>
      <c r="D69" s="1064"/>
      <c r="E69" s="1064"/>
      <c r="F69" s="1064"/>
      <c r="G69" s="1064"/>
      <c r="H69" s="1064"/>
      <c r="I69" s="1147"/>
      <c r="J69" s="1065">
        <f t="shared" ref="J69:U69" si="93">+($C$89+J$58-J$64)/J$26</f>
        <v>8.4541015304552456</v>
      </c>
      <c r="K69" s="1064">
        <f t="shared" si="93"/>
        <v>7.3874122306738847</v>
      </c>
      <c r="L69" s="1064">
        <f t="shared" si="93"/>
        <v>6.3898875077294868</v>
      </c>
      <c r="M69" s="1064">
        <f t="shared" si="93"/>
        <v>5.4553688854261146</v>
      </c>
      <c r="N69" s="1064">
        <f t="shared" si="93"/>
        <v>4.6286035927144207</v>
      </c>
      <c r="O69" s="1064">
        <f t="shared" si="93"/>
        <v>3.848502371624968</v>
      </c>
      <c r="P69" s="1064">
        <f t="shared" si="93"/>
        <v>3.1126224819808854</v>
      </c>
      <c r="Q69" s="1064">
        <f t="shared" si="93"/>
        <v>2.4186373955844704</v>
      </c>
      <c r="R69" s="1064">
        <f t="shared" si="93"/>
        <v>1.7643320787404462</v>
      </c>
      <c r="S69" s="1064">
        <f t="shared" si="93"/>
        <v>1.1475984018449878</v>
      </c>
      <c r="T69" s="1064">
        <f t="shared" si="93"/>
        <v>0.56643067873158759</v>
      </c>
      <c r="U69" s="1064">
        <f t="shared" si="93"/>
        <v>1.8159241832154296E-2</v>
      </c>
      <c r="V69" s="1064"/>
      <c r="W69" s="1066"/>
      <c r="X69" s="1066"/>
      <c r="Y69" s="1066"/>
      <c r="Z69" s="1066"/>
      <c r="AA69" s="1066"/>
      <c r="AB69" s="1066"/>
      <c r="AC69" s="1066"/>
    </row>
    <row r="70" spans="1:29" collapsed="1" x14ac:dyDescent="0.25">
      <c r="A70" s="995" t="s">
        <v>746</v>
      </c>
      <c r="B70" s="1064"/>
      <c r="C70" s="1064"/>
      <c r="D70" s="1064"/>
      <c r="E70" s="1064"/>
      <c r="F70" s="1064"/>
      <c r="G70" s="1064"/>
      <c r="H70" s="1064"/>
      <c r="I70" s="1147"/>
      <c r="J70" s="1065">
        <f t="shared" ref="J70:U70" si="94">+($C$89+J$58-J$64)/J$35</f>
        <v>10.831400308024781</v>
      </c>
      <c r="K70" s="1064">
        <f t="shared" si="94"/>
        <v>9.4399905568480822</v>
      </c>
      <c r="L70" s="1064">
        <f t="shared" si="94"/>
        <v>8.1443878190909569</v>
      </c>
      <c r="M70" s="1064">
        <f t="shared" si="94"/>
        <v>6.9358316237512776</v>
      </c>
      <c r="N70" s="1064">
        <f t="shared" si="94"/>
        <v>5.8847010800535262</v>
      </c>
      <c r="O70" s="1064">
        <f t="shared" si="94"/>
        <v>4.892898173120205</v>
      </c>
      <c r="P70" s="1064">
        <f t="shared" si="94"/>
        <v>3.9573172587825738</v>
      </c>
      <c r="Q70" s="1064">
        <f t="shared" si="94"/>
        <v>3.0750004421326858</v>
      </c>
      <c r="R70" s="1064">
        <f t="shared" si="94"/>
        <v>2.2431315798310099</v>
      </c>
      <c r="S70" s="1064">
        <f t="shared" si="94"/>
        <v>1.4590304439625774</v>
      </c>
      <c r="T70" s="1064">
        <f t="shared" si="94"/>
        <v>0.72014705086301067</v>
      </c>
      <c r="U70" s="1064">
        <f t="shared" si="94"/>
        <v>2.3087246052099931E-2</v>
      </c>
      <c r="V70" s="1064"/>
      <c r="W70" s="1066"/>
      <c r="X70" s="1066"/>
      <c r="Y70" s="1066"/>
      <c r="Z70" s="1066"/>
      <c r="AA70" s="1066"/>
      <c r="AB70" s="1066"/>
      <c r="AC70" s="1066"/>
    </row>
    <row r="71" spans="1:29" hidden="1" outlineLevel="1" x14ac:dyDescent="0.25">
      <c r="A71" s="995" t="s">
        <v>747</v>
      </c>
      <c r="B71" s="1064"/>
      <c r="C71" s="1064"/>
      <c r="D71" s="1064"/>
      <c r="E71" s="1064"/>
      <c r="F71" s="1064"/>
      <c r="G71" s="1064"/>
      <c r="H71" s="1064"/>
      <c r="I71" s="1147"/>
      <c r="J71" s="1065">
        <f>+($C$89-J64)/156.4</f>
        <v>29.946939611751915</v>
      </c>
      <c r="K71" s="1064">
        <f>+($C$89-K64)/180.7</f>
        <v>21.336411445012288</v>
      </c>
      <c r="L71" s="1064"/>
      <c r="M71" s="1064"/>
      <c r="N71" s="1064"/>
      <c r="O71" s="1064"/>
      <c r="P71" s="1064"/>
      <c r="Q71" s="1064"/>
      <c r="R71" s="1064"/>
      <c r="S71" s="1064"/>
      <c r="T71" s="1064"/>
      <c r="U71" s="1064"/>
      <c r="V71" s="1064"/>
      <c r="W71" s="1066"/>
      <c r="X71" s="1066"/>
      <c r="Y71" s="1066"/>
      <c r="Z71" s="1066"/>
      <c r="AA71" s="1066"/>
      <c r="AB71" s="1066"/>
      <c r="AC71" s="1066"/>
    </row>
    <row r="72" spans="1:29" collapsed="1" x14ac:dyDescent="0.25">
      <c r="B72" s="1064"/>
      <c r="C72" s="1064"/>
      <c r="D72" s="1064"/>
      <c r="E72" s="1064"/>
      <c r="F72" s="1064"/>
      <c r="G72" s="1064"/>
      <c r="H72" s="1064"/>
      <c r="I72" s="1147"/>
      <c r="J72" s="1065"/>
      <c r="K72" s="1064"/>
      <c r="L72" s="1064"/>
      <c r="M72" s="1064"/>
      <c r="N72" s="1064"/>
      <c r="O72" s="1064"/>
      <c r="P72" s="1064"/>
      <c r="Q72" s="1064"/>
      <c r="R72" s="1064"/>
      <c r="S72" s="1064"/>
      <c r="T72" s="1064"/>
      <c r="U72" s="1064"/>
      <c r="V72" s="1064"/>
      <c r="W72" s="1066"/>
      <c r="X72" s="1066"/>
      <c r="Y72" s="1066"/>
      <c r="Z72" s="1066"/>
      <c r="AA72" s="1066"/>
      <c r="AB72" s="1066"/>
      <c r="AC72" s="1066"/>
    </row>
    <row r="73" spans="1:29" x14ac:dyDescent="0.25">
      <c r="A73" s="995" t="s">
        <v>748</v>
      </c>
      <c r="B73" s="1064"/>
      <c r="C73" s="1064"/>
      <c r="D73" s="1064"/>
      <c r="E73" s="1064"/>
      <c r="F73" s="1064"/>
      <c r="G73" s="1064"/>
      <c r="H73" s="1064"/>
      <c r="I73" s="1147"/>
      <c r="J73" s="1065">
        <f t="shared" ref="J73:U73" si="95">+($C$89-J64)/(J26-J42-J45-J48)</f>
        <v>15.749423798481287</v>
      </c>
      <c r="K73" s="1064">
        <f t="shared" si="95"/>
        <v>12.864860317407343</v>
      </c>
      <c r="L73" s="1064">
        <f t="shared" si="95"/>
        <v>11.04962403517691</v>
      </c>
      <c r="M73" s="1064">
        <f t="shared" si="95"/>
        <v>9.4375777981755622</v>
      </c>
      <c r="N73" s="1064">
        <f t="shared" si="95"/>
        <v>8.0213918375491442</v>
      </c>
      <c r="O73" s="1064">
        <f t="shared" si="95"/>
        <v>6.673882599037336</v>
      </c>
      <c r="P73" s="1064">
        <f t="shared" si="95"/>
        <v>5.3960340152610895</v>
      </c>
      <c r="Q73" s="1064">
        <f t="shared" si="95"/>
        <v>4.1879587214698413</v>
      </c>
      <c r="R73" s="1064">
        <f t="shared" si="95"/>
        <v>3.0490308635319092</v>
      </c>
      <c r="S73" s="1064">
        <f t="shared" si="95"/>
        <v>1.9780126361444443</v>
      </c>
      <c r="T73" s="1064">
        <f t="shared" si="95"/>
        <v>0.97317169035541973</v>
      </c>
      <c r="U73" s="1064">
        <f t="shared" si="95"/>
        <v>3.1198981151486394E-2</v>
      </c>
      <c r="V73" s="1064"/>
      <c r="W73" s="1066"/>
      <c r="X73" s="1066"/>
      <c r="Y73" s="1066"/>
      <c r="Z73" s="1066"/>
      <c r="AA73" s="1066"/>
      <c r="AB73" s="1066"/>
      <c r="AC73" s="1066"/>
    </row>
    <row r="74" spans="1:29" x14ac:dyDescent="0.25">
      <c r="A74" s="995" t="s">
        <v>941</v>
      </c>
      <c r="B74" s="1064"/>
      <c r="C74" s="1064"/>
      <c r="D74" s="1064"/>
      <c r="E74" s="1064"/>
      <c r="F74" s="1064"/>
      <c r="G74" s="1064"/>
      <c r="H74" s="1067"/>
      <c r="I74" s="1147"/>
      <c r="J74" s="1065">
        <f t="shared" ref="J74:U74" si="96">+($C$89-J64+J58)/(J26-J42-J45-J48)</f>
        <v>13.866066625223601</v>
      </c>
      <c r="K74" s="1064">
        <f t="shared" si="96"/>
        <v>12.864860317407343</v>
      </c>
      <c r="L74" s="1064">
        <f t="shared" si="96"/>
        <v>11.04962403517691</v>
      </c>
      <c r="M74" s="1064">
        <f t="shared" si="96"/>
        <v>9.4375777981755622</v>
      </c>
      <c r="N74" s="1064">
        <f t="shared" si="96"/>
        <v>8.0213918375491442</v>
      </c>
      <c r="O74" s="1064">
        <f t="shared" si="96"/>
        <v>6.673882599037336</v>
      </c>
      <c r="P74" s="1064">
        <f t="shared" si="96"/>
        <v>5.3960340152610895</v>
      </c>
      <c r="Q74" s="1064">
        <f t="shared" si="96"/>
        <v>4.1879587214698413</v>
      </c>
      <c r="R74" s="1064">
        <f t="shared" si="96"/>
        <v>3.0490308635319092</v>
      </c>
      <c r="S74" s="1064">
        <f t="shared" si="96"/>
        <v>1.9780126361444443</v>
      </c>
      <c r="T74" s="1064">
        <f t="shared" si="96"/>
        <v>0.97317169035541973</v>
      </c>
      <c r="U74" s="1064">
        <f t="shared" si="96"/>
        <v>3.1198981151486394E-2</v>
      </c>
      <c r="V74" s="1064"/>
      <c r="W74" s="1066"/>
      <c r="X74" s="1066"/>
      <c r="Y74" s="1066"/>
      <c r="Z74" s="1066"/>
      <c r="AA74" s="1066"/>
      <c r="AB74" s="1066"/>
      <c r="AC74" s="1066"/>
    </row>
    <row r="75" spans="1:29" ht="7" customHeight="1" x14ac:dyDescent="0.25">
      <c r="B75" s="1064"/>
      <c r="C75" s="1064"/>
      <c r="D75" s="1064"/>
      <c r="E75" s="1064"/>
      <c r="F75" s="1064"/>
      <c r="G75" s="1064"/>
      <c r="H75" s="1067"/>
      <c r="I75" s="1147"/>
      <c r="J75" s="1065"/>
      <c r="K75" s="1064"/>
      <c r="L75" s="1064"/>
      <c r="M75" s="1064"/>
      <c r="N75" s="1064"/>
      <c r="O75" s="1064"/>
      <c r="P75" s="1064"/>
      <c r="Q75" s="1064"/>
      <c r="R75" s="1064"/>
      <c r="S75" s="1064"/>
      <c r="T75" s="1064"/>
      <c r="U75" s="1064"/>
      <c r="V75" s="1064"/>
      <c r="W75" s="1066"/>
      <c r="X75" s="1066"/>
      <c r="Y75" s="1066"/>
      <c r="Z75" s="1066"/>
      <c r="AA75" s="1066"/>
      <c r="AB75" s="1066"/>
      <c r="AC75" s="1066"/>
    </row>
    <row r="76" spans="1:29" x14ac:dyDescent="0.25">
      <c r="A76" s="995" t="s">
        <v>942</v>
      </c>
      <c r="C76" s="1067">
        <f t="shared" ref="C76:U76" si="97">+($C$89-C64)/C51</f>
        <v>122.05593862618375</v>
      </c>
      <c r="D76" s="1067">
        <f t="shared" si="97"/>
        <v>124.08095965092998</v>
      </c>
      <c r="E76" s="1067">
        <f t="shared" si="97"/>
        <v>193.90210032374191</v>
      </c>
      <c r="F76" s="1067">
        <f t="shared" si="97"/>
        <v>55.741467765929002</v>
      </c>
      <c r="G76" s="1067">
        <f t="shared" si="97"/>
        <v>44.139324004031231</v>
      </c>
      <c r="H76" s="1067">
        <f t="shared" si="97"/>
        <v>36.438041152078775</v>
      </c>
      <c r="I76" s="1163">
        <f t="shared" si="97"/>
        <v>22.817925291950683</v>
      </c>
      <c r="J76" s="1065">
        <f t="shared" si="97"/>
        <v>15.512997063095037</v>
      </c>
      <c r="K76" s="1064">
        <f t="shared" si="97"/>
        <v>12.719187317097337</v>
      </c>
      <c r="L76" s="1064">
        <f t="shared" si="97"/>
        <v>10.990659270628742</v>
      </c>
      <c r="M76" s="1064">
        <f t="shared" si="97"/>
        <v>9.3501774531425834</v>
      </c>
      <c r="N76" s="1064">
        <f t="shared" si="97"/>
        <v>7.9283045290609788</v>
      </c>
      <c r="O76" s="1064">
        <f t="shared" si="97"/>
        <v>6.5905619907040869</v>
      </c>
      <c r="P76" s="1064">
        <f t="shared" si="97"/>
        <v>5.3309576438046449</v>
      </c>
      <c r="Q76" s="1064">
        <f t="shared" si="97"/>
        <v>4.1440883724632096</v>
      </c>
      <c r="R76" s="1064">
        <f t="shared" si="97"/>
        <v>3.0250637683005408</v>
      </c>
      <c r="S76" s="1064">
        <f t="shared" si="97"/>
        <v>1.9694413929520347</v>
      </c>
      <c r="T76" s="1064">
        <f t="shared" si="97"/>
        <v>0.97317169035541973</v>
      </c>
      <c r="U76" s="1064">
        <f t="shared" si="97"/>
        <v>3.1198981151486394E-2</v>
      </c>
      <c r="V76" s="1064"/>
      <c r="W76" s="1064"/>
      <c r="X76" s="1064"/>
      <c r="Y76" s="1064"/>
      <c r="Z76" s="1064"/>
      <c r="AA76" s="1064"/>
      <c r="AB76" s="1064"/>
      <c r="AC76" s="1064"/>
    </row>
    <row r="77" spans="1:29" x14ac:dyDescent="0.25">
      <c r="A77" s="995" t="s">
        <v>943</v>
      </c>
      <c r="C77" s="1067"/>
      <c r="D77" s="1067"/>
      <c r="E77" s="1067">
        <f t="shared" ref="E77:U77" si="98">+($C$89-E64+E58)/E51</f>
        <v>185.11306386003963</v>
      </c>
      <c r="F77" s="1067">
        <f t="shared" si="98"/>
        <v>55.939265004479608</v>
      </c>
      <c r="G77" s="1067">
        <f t="shared" si="98"/>
        <v>43.834004405147937</v>
      </c>
      <c r="H77" s="1067">
        <f t="shared" si="98"/>
        <v>35.639006028204093</v>
      </c>
      <c r="I77" s="1163">
        <f t="shared" si="98"/>
        <v>21.384649958687376</v>
      </c>
      <c r="J77" s="1065">
        <f t="shared" si="98"/>
        <v>13.657912415469847</v>
      </c>
      <c r="K77" s="1064">
        <f t="shared" si="98"/>
        <v>12.719187317097337</v>
      </c>
      <c r="L77" s="1064">
        <f t="shared" si="98"/>
        <v>10.990659270628742</v>
      </c>
      <c r="M77" s="1064">
        <f t="shared" si="98"/>
        <v>9.3501774531425834</v>
      </c>
      <c r="N77" s="1064">
        <f t="shared" si="98"/>
        <v>7.9283045290609788</v>
      </c>
      <c r="O77" s="1064">
        <f t="shared" si="98"/>
        <v>6.5905619907040869</v>
      </c>
      <c r="P77" s="1064">
        <f t="shared" si="98"/>
        <v>5.3309576438046449</v>
      </c>
      <c r="Q77" s="1064">
        <f t="shared" si="98"/>
        <v>4.1440883724632096</v>
      </c>
      <c r="R77" s="1064">
        <f t="shared" si="98"/>
        <v>3.0250637683005408</v>
      </c>
      <c r="S77" s="1064">
        <f t="shared" si="98"/>
        <v>1.9694413929520347</v>
      </c>
      <c r="T77" s="1064">
        <f t="shared" si="98"/>
        <v>0.97317169035541973</v>
      </c>
      <c r="U77" s="1064">
        <f t="shared" si="98"/>
        <v>3.1198981151486394E-2</v>
      </c>
      <c r="V77" s="1064"/>
      <c r="W77" s="1064"/>
      <c r="X77" s="1064"/>
      <c r="Y77" s="1064"/>
      <c r="Z77" s="1064"/>
      <c r="AA77" s="1064"/>
      <c r="AB77" s="1064"/>
      <c r="AC77" s="1064"/>
    </row>
    <row r="78" spans="1:29" ht="7.5" customHeight="1" x14ac:dyDescent="0.25">
      <c r="F78" s="1064"/>
      <c r="G78" s="1064"/>
      <c r="H78" s="1064"/>
      <c r="I78" s="1064"/>
      <c r="J78" s="1064"/>
      <c r="K78" s="1064"/>
      <c r="L78" s="1064"/>
      <c r="M78" s="1064"/>
      <c r="N78" s="1064"/>
      <c r="O78" s="1064"/>
      <c r="P78" s="1064"/>
      <c r="Q78" s="1064"/>
      <c r="R78" s="1064"/>
      <c r="S78" s="1064"/>
      <c r="T78" s="1064"/>
      <c r="U78" s="1064"/>
    </row>
    <row r="79" spans="1:29" x14ac:dyDescent="0.25">
      <c r="A79" s="1006" t="s">
        <v>749</v>
      </c>
      <c r="B79" s="997"/>
      <c r="K79" s="1011"/>
      <c r="L79" s="1011"/>
      <c r="M79" s="1011"/>
      <c r="V79" s="1037"/>
      <c r="W79" s="1037"/>
      <c r="X79" s="1037"/>
      <c r="Y79" s="1037"/>
    </row>
    <row r="80" spans="1:29" ht="8.25" customHeight="1" x14ac:dyDescent="0.25">
      <c r="V80" s="1037"/>
      <c r="W80" s="1037"/>
      <c r="X80" s="1037"/>
      <c r="Y80" s="1037"/>
    </row>
    <row r="81" spans="1:25" x14ac:dyDescent="0.25">
      <c r="A81" s="1068" t="s">
        <v>750</v>
      </c>
      <c r="B81" s="1068"/>
      <c r="M81" s="1088"/>
      <c r="V81" s="1037"/>
      <c r="W81" s="1037"/>
      <c r="X81" s="1037"/>
      <c r="Y81" s="1037"/>
    </row>
    <row r="82" spans="1:25" ht="13" x14ac:dyDescent="0.4">
      <c r="A82" s="995" t="s">
        <v>751</v>
      </c>
      <c r="T82" s="1069">
        <v>15</v>
      </c>
      <c r="V82" s="1037"/>
      <c r="W82" s="1037"/>
      <c r="X82" s="1037"/>
      <c r="Y82" s="1037"/>
    </row>
    <row r="83" spans="1:25" ht="14.5" x14ac:dyDescent="0.55000000000000004">
      <c r="A83" s="1036" t="s">
        <v>752</v>
      </c>
      <c r="B83" s="1036"/>
      <c r="C83" s="1060"/>
      <c r="D83" s="1060"/>
      <c r="E83" s="1060"/>
      <c r="T83" s="1070">
        <f>+U51*T82</f>
        <v>8312.3466744603593</v>
      </c>
      <c r="U83" s="1071"/>
      <c r="V83" s="1037"/>
      <c r="W83" s="1037"/>
      <c r="X83" s="1037"/>
      <c r="Y83" s="1037"/>
    </row>
    <row r="84" spans="1:25" x14ac:dyDescent="0.25">
      <c r="A84" s="1036" t="s">
        <v>753</v>
      </c>
      <c r="B84" s="1036"/>
      <c r="F84" s="1060"/>
      <c r="J84" s="1011">
        <f>-C89+J64</f>
        <v>-4683.7013552779999</v>
      </c>
      <c r="K84" s="1011">
        <f t="shared" ref="K84:S84" si="99">+K61</f>
        <v>828.21180716427966</v>
      </c>
      <c r="L84" s="1011">
        <f t="shared" si="99"/>
        <v>287.53388643294119</v>
      </c>
      <c r="M84" s="1011">
        <f t="shared" si="99"/>
        <v>309.1963268378982</v>
      </c>
      <c r="N84" s="1011">
        <f t="shared" si="99"/>
        <v>327.97393595609458</v>
      </c>
      <c r="O84" s="1011">
        <f t="shared" si="99"/>
        <v>347.74228613049627</v>
      </c>
      <c r="P84" s="1011">
        <f t="shared" si="99"/>
        <v>368.56082182447534</v>
      </c>
      <c r="Q84" s="1011">
        <f t="shared" si="99"/>
        <v>390.4925541692063</v>
      </c>
      <c r="R84" s="1011">
        <f t="shared" si="99"/>
        <v>413.60427496373461</v>
      </c>
      <c r="S84" s="1011">
        <f t="shared" si="99"/>
        <v>437.96678351504778</v>
      </c>
      <c r="T84" s="1011">
        <f>+T61+T83</f>
        <v>8776.0018015489131</v>
      </c>
      <c r="U84" s="1011"/>
    </row>
    <row r="85" spans="1:25" x14ac:dyDescent="0.25">
      <c r="A85" s="1072" t="s">
        <v>754</v>
      </c>
      <c r="B85" s="1073"/>
      <c r="C85" s="1073"/>
      <c r="D85" s="1073"/>
      <c r="E85" s="1073"/>
      <c r="F85" s="1073"/>
      <c r="G85" s="1073"/>
      <c r="H85" s="1073"/>
      <c r="I85" s="1073"/>
      <c r="J85" s="1074">
        <f>XIRR(J84:T84,J3:T3)</f>
        <v>0.12438841462135314</v>
      </c>
      <c r="U85" s="1064"/>
    </row>
    <row r="86" spans="1:25" ht="7.5" customHeight="1" x14ac:dyDescent="0.25"/>
    <row r="87" spans="1:25" x14ac:dyDescent="0.25">
      <c r="A87" s="1075" t="s">
        <v>711</v>
      </c>
      <c r="B87" s="1076"/>
      <c r="C87" s="1077"/>
      <c r="D87" s="1078"/>
    </row>
    <row r="88" spans="1:25" x14ac:dyDescent="0.25">
      <c r="C88" s="1079" t="s">
        <v>712</v>
      </c>
      <c r="D88" s="1079" t="s">
        <v>713</v>
      </c>
    </row>
    <row r="89" spans="1:25" x14ac:dyDescent="0.25">
      <c r="A89" s="995" t="s">
        <v>714</v>
      </c>
      <c r="C89" s="1070">
        <f>+D89*D92</f>
        <v>4683.7013552779999</v>
      </c>
      <c r="D89" s="1080">
        <f>_xll.SNL.Clients.Office.Excel.Functions.SPG($A$1, "SP_PRICE_CLOSE",$U$1)</f>
        <v>103.93</v>
      </c>
    </row>
    <row r="90" spans="1:25" ht="13" x14ac:dyDescent="0.4">
      <c r="A90" s="995" t="s">
        <v>771</v>
      </c>
      <c r="C90" s="1026">
        <f>+Historicals!AA95</f>
        <v>-119.39999999999998</v>
      </c>
      <c r="D90" s="1081">
        <f>+C90/D$92</f>
        <v>-2.6494520164092421</v>
      </c>
      <c r="E90" s="1082"/>
    </row>
    <row r="91" spans="1:25" x14ac:dyDescent="0.25">
      <c r="A91" s="1083" t="s">
        <v>715</v>
      </c>
      <c r="B91" s="1083"/>
      <c r="C91" s="1084">
        <f>+C89+C90</f>
        <v>4564.3013552780003</v>
      </c>
      <c r="D91" s="1085">
        <f>+C91/D$92</f>
        <v>101.28054798359076</v>
      </c>
    </row>
    <row r="92" spans="1:25" ht="12" x14ac:dyDescent="0.3">
      <c r="A92" s="1015" t="s">
        <v>879</v>
      </c>
      <c r="B92" s="1015"/>
      <c r="C92" s="1011"/>
      <c r="D92" s="1086">
        <f>+'Convert Math'!B26/1000000</f>
        <v>45.065922787241412</v>
      </c>
      <c r="E92" s="1008"/>
    </row>
    <row r="94" spans="1:25" x14ac:dyDescent="0.25">
      <c r="H94" s="1011"/>
      <c r="K94" s="995" t="s">
        <v>2502</v>
      </c>
      <c r="L94" s="1011">
        <f>+SUM(Historicals!X90:AA90)</f>
        <v>173.928</v>
      </c>
    </row>
    <row r="95" spans="1:25" x14ac:dyDescent="0.25">
      <c r="H95" s="1087"/>
      <c r="I95" s="1087"/>
      <c r="J95" s="1087">
        <f>+J85</f>
        <v>0.12438841462135314</v>
      </c>
    </row>
    <row r="96" spans="1:25" x14ac:dyDescent="0.25">
      <c r="C96" s="1100"/>
    </row>
    <row r="101" spans="3:13" x14ac:dyDescent="0.25">
      <c r="C101" s="1100">
        <f t="shared" ref="C101:M101" si="100">+$D$89/C76</f>
        <v>0.85149482417486144</v>
      </c>
      <c r="D101" s="1100">
        <f t="shared" si="100"/>
        <v>0.83759829302078626</v>
      </c>
      <c r="E101" s="1100">
        <f t="shared" si="100"/>
        <v>0.53599213121712908</v>
      </c>
      <c r="F101" s="1100">
        <f t="shared" si="100"/>
        <v>1.8645005983054757</v>
      </c>
      <c r="G101" s="1100">
        <f t="shared" si="100"/>
        <v>2.3545897529039665</v>
      </c>
      <c r="H101" s="1100">
        <f t="shared" si="100"/>
        <v>2.8522389435325297</v>
      </c>
      <c r="I101" s="1100">
        <f t="shared" si="100"/>
        <v>4.5547524005901909</v>
      </c>
      <c r="J101" s="1100">
        <f t="shared" si="100"/>
        <v>6.699543587695663</v>
      </c>
      <c r="K101" s="1100">
        <f t="shared" si="100"/>
        <v>8.171119538454759</v>
      </c>
      <c r="L101" s="1100">
        <f t="shared" si="100"/>
        <v>9.4562116285181226</v>
      </c>
      <c r="M101" s="1100">
        <f t="shared" si="100"/>
        <v>11.115297064770601</v>
      </c>
    </row>
    <row r="102" spans="3:13" x14ac:dyDescent="0.25">
      <c r="C102" s="995" t="s">
        <v>897</v>
      </c>
      <c r="D102" s="995" t="s">
        <v>898</v>
      </c>
      <c r="E102" s="995" t="s">
        <v>899</v>
      </c>
      <c r="F102" s="995" t="s">
        <v>900</v>
      </c>
      <c r="G102" s="995" t="s">
        <v>901</v>
      </c>
      <c r="H102" s="995" t="s">
        <v>902</v>
      </c>
      <c r="I102" s="995" t="s">
        <v>903</v>
      </c>
      <c r="J102" s="995" t="s">
        <v>904</v>
      </c>
      <c r="K102" s="995" t="s">
        <v>905</v>
      </c>
      <c r="L102" s="995" t="s">
        <v>906</v>
      </c>
    </row>
    <row r="103" spans="3:13" x14ac:dyDescent="0.25">
      <c r="C103" s="995">
        <f t="shared" ref="C103:L103" si="101">+AVERAGE(C101:D101)</f>
        <v>0.84454655859782379</v>
      </c>
      <c r="D103" s="995">
        <f t="shared" si="101"/>
        <v>0.68679521211895767</v>
      </c>
      <c r="E103" s="995">
        <f t="shared" si="101"/>
        <v>1.2002463647613024</v>
      </c>
      <c r="F103" s="995">
        <f t="shared" si="101"/>
        <v>2.1095451756047212</v>
      </c>
      <c r="G103" s="995">
        <f t="shared" si="101"/>
        <v>2.6034143482182479</v>
      </c>
      <c r="H103" s="995">
        <f t="shared" si="101"/>
        <v>3.7034956720613605</v>
      </c>
      <c r="I103" s="995">
        <f t="shared" si="101"/>
        <v>5.627147994142927</v>
      </c>
      <c r="J103" s="995">
        <f t="shared" si="101"/>
        <v>7.435331563075211</v>
      </c>
      <c r="K103" s="995">
        <f t="shared" si="101"/>
        <v>8.8136655834864399</v>
      </c>
      <c r="L103" s="995">
        <f t="shared" si="101"/>
        <v>10.285754346644362</v>
      </c>
    </row>
    <row r="108" spans="3:13" x14ac:dyDescent="0.25">
      <c r="G108" s="1088"/>
    </row>
  </sheetData>
  <printOptions horizontalCentered="1"/>
  <pageMargins left="0.3" right="0.3" top="0.3" bottom="0.3" header="0.3" footer="0.3"/>
  <pageSetup scale="56" fitToHeight="0" orientation="landscape" r:id="rId1"/>
  <headerFooter>
    <oddFooter>Page &amp;P</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CAA2-330A-4046-B1D1-FE97E20B212F}">
  <sheetPr>
    <pageSetUpPr fitToPage="1"/>
  </sheetPr>
  <dimension ref="A1:AC108"/>
  <sheetViews>
    <sheetView view="pageBreakPreview" zoomScale="70" zoomScaleNormal="55" zoomScaleSheetLayoutView="70" workbookViewId="0">
      <pane xSplit="1" ySplit="5" topLeftCell="D7" activePane="bottomRight" state="frozen"/>
      <selection activeCell="B6" sqref="B6"/>
      <selection pane="topRight" activeCell="B6" sqref="B6"/>
      <selection pane="bottomLeft" activeCell="B6" sqref="B6"/>
      <selection pane="bottomRight" activeCell="A40" sqref="A40"/>
    </sheetView>
  </sheetViews>
  <sheetFormatPr defaultColWidth="9.1796875" defaultRowHeight="11.5" outlineLevelRow="1" x14ac:dyDescent="0.25"/>
  <cols>
    <col min="1" max="1" width="23" style="995" customWidth="1"/>
    <col min="2" max="2" width="3.453125" style="995" customWidth="1"/>
    <col min="3" max="21" width="11.26953125" style="995" customWidth="1"/>
    <col min="22" max="22" width="14.1796875" style="995" bestFit="1" customWidth="1"/>
    <col min="23" max="23" width="10.453125" style="995" bestFit="1" customWidth="1"/>
    <col min="24" max="16384" width="9.1796875" style="995"/>
  </cols>
  <sheetData>
    <row r="1" spans="1:24" ht="12" x14ac:dyDescent="0.3">
      <c r="A1" s="995" t="s">
        <v>651</v>
      </c>
      <c r="H1" s="1103"/>
      <c r="I1" s="1104" t="s">
        <v>972</v>
      </c>
      <c r="J1" s="1103"/>
      <c r="K1" s="1103"/>
      <c r="L1" s="1103"/>
      <c r="M1" s="1103"/>
      <c r="N1" s="1103"/>
      <c r="O1" s="1103"/>
      <c r="Q1" s="996"/>
      <c r="S1" s="996"/>
      <c r="T1" s="996"/>
      <c r="U1" s="996">
        <f>+Base!U1</f>
        <v>45657</v>
      </c>
    </row>
    <row r="2" spans="1:24" x14ac:dyDescent="0.25">
      <c r="A2" s="997" t="s">
        <v>716</v>
      </c>
      <c r="B2" s="997"/>
    </row>
    <row r="3" spans="1:24" s="999" customFormat="1" ht="12" x14ac:dyDescent="0.3">
      <c r="A3" s="998" t="s">
        <v>653</v>
      </c>
      <c r="B3" s="998"/>
      <c r="G3" s="1000"/>
      <c r="H3" s="1001"/>
      <c r="I3" s="1001"/>
      <c r="J3" s="1001">
        <f>+Base!J3</f>
        <v>45657</v>
      </c>
      <c r="K3" s="1001">
        <v>46203</v>
      </c>
      <c r="L3" s="1001">
        <f t="shared" ref="L3:T3" si="0">+K3+365.25</f>
        <v>46568.25</v>
      </c>
      <c r="M3" s="1001">
        <f t="shared" si="0"/>
        <v>46933.5</v>
      </c>
      <c r="N3" s="1001">
        <f t="shared" si="0"/>
        <v>47298.75</v>
      </c>
      <c r="O3" s="1001">
        <f t="shared" si="0"/>
        <v>47664</v>
      </c>
      <c r="P3" s="1001">
        <f t="shared" si="0"/>
        <v>48029.25</v>
      </c>
      <c r="Q3" s="1001">
        <f t="shared" si="0"/>
        <v>48394.5</v>
      </c>
      <c r="R3" s="1001">
        <f t="shared" si="0"/>
        <v>48759.75</v>
      </c>
      <c r="S3" s="1001">
        <f t="shared" si="0"/>
        <v>49125</v>
      </c>
      <c r="T3" s="1001">
        <f t="shared" si="0"/>
        <v>49490.25</v>
      </c>
      <c r="U3" s="1001">
        <f t="shared" ref="U3" si="1">+T3+365.25</f>
        <v>49855.5</v>
      </c>
    </row>
    <row r="4" spans="1:24" x14ac:dyDescent="0.25">
      <c r="C4" s="1002" t="str">
        <f>+Historicals!G4</f>
        <v>FYE June 30th</v>
      </c>
      <c r="D4" s="1002"/>
      <c r="E4" s="1002"/>
      <c r="F4" s="1003"/>
      <c r="G4" s="1003"/>
      <c r="H4" s="1003"/>
      <c r="I4" s="1003"/>
      <c r="J4" s="1003"/>
      <c r="K4" s="1003"/>
      <c r="L4" s="1003"/>
      <c r="M4" s="1003"/>
      <c r="N4" s="1003"/>
      <c r="O4" s="1003"/>
      <c r="P4" s="1003"/>
      <c r="Q4" s="1003"/>
      <c r="R4" s="1003"/>
      <c r="S4" s="1003"/>
      <c r="T4" s="1003"/>
      <c r="U4" s="1003"/>
    </row>
    <row r="5" spans="1:24" ht="14.5" x14ac:dyDescent="0.55000000000000004">
      <c r="C5" s="1004" t="s">
        <v>895</v>
      </c>
      <c r="D5" s="1004" t="s">
        <v>896</v>
      </c>
      <c r="E5" s="1004" t="s">
        <v>717</v>
      </c>
      <c r="F5" s="1004" t="s">
        <v>718</v>
      </c>
      <c r="G5" s="1004" t="s">
        <v>719</v>
      </c>
      <c r="H5" s="1004" t="s">
        <v>756</v>
      </c>
      <c r="I5" s="1161" t="s">
        <v>948</v>
      </c>
      <c r="J5" s="1148" t="s">
        <v>689</v>
      </c>
      <c r="K5" s="1004" t="s">
        <v>720</v>
      </c>
      <c r="L5" s="1004" t="s">
        <v>721</v>
      </c>
      <c r="M5" s="1004" t="s">
        <v>722</v>
      </c>
      <c r="N5" s="1004" t="s">
        <v>723</v>
      </c>
      <c r="O5" s="1004" t="s">
        <v>724</v>
      </c>
      <c r="P5" s="1004" t="s">
        <v>725</v>
      </c>
      <c r="Q5" s="1004" t="s">
        <v>726</v>
      </c>
      <c r="R5" s="1004" t="s">
        <v>727</v>
      </c>
      <c r="S5" s="1004" t="s">
        <v>728</v>
      </c>
      <c r="T5" s="1004" t="s">
        <v>755</v>
      </c>
      <c r="U5" s="1004" t="s">
        <v>947</v>
      </c>
    </row>
    <row r="6" spans="1:24" ht="12" x14ac:dyDescent="0.3">
      <c r="A6" s="1006" t="s">
        <v>729</v>
      </c>
      <c r="B6" s="997"/>
      <c r="I6" s="1131"/>
      <c r="J6" s="1149"/>
    </row>
    <row r="7" spans="1:24" ht="12" x14ac:dyDescent="0.3">
      <c r="H7" s="1007"/>
      <c r="I7" s="1131"/>
      <c r="J7" s="1299" t="str">
        <f>+Historicals!AV8</f>
        <v>G = 2.225-2.30B</v>
      </c>
      <c r="L7" s="1009"/>
      <c r="M7" s="1009" t="str">
        <f>+Base!M7</f>
        <v>FY28 Target = 2.7-3.3B</v>
      </c>
      <c r="V7" s="1010" t="s">
        <v>944</v>
      </c>
      <c r="X7" s="995" t="s">
        <v>769</v>
      </c>
    </row>
    <row r="8" spans="1:24" ht="12" x14ac:dyDescent="0.3">
      <c r="A8" s="995" t="s">
        <v>654</v>
      </c>
      <c r="C8" s="1012">
        <f>+Historicals!AO11</f>
        <v>917.73400000000004</v>
      </c>
      <c r="D8" s="1012">
        <f>+Historicals!AP11</f>
        <v>1015.7520000000002</v>
      </c>
      <c r="E8" s="1012">
        <f>+Historicals!AQ11</f>
        <v>1040.7649999999999</v>
      </c>
      <c r="F8" s="1012">
        <f>+Historicals!AR11</f>
        <v>1536.76</v>
      </c>
      <c r="G8" s="1012">
        <f>+Historicals!AS11</f>
        <v>1686.6659999999999</v>
      </c>
      <c r="H8" s="1012">
        <f>+Historicals!AT11</f>
        <v>1837.3580000000002</v>
      </c>
      <c r="I8" s="1132">
        <f>+Historicals!AU11</f>
        <v>2040.069</v>
      </c>
      <c r="J8" s="1186">
        <f>+Historicals!AV11</f>
        <v>2296.8478854999998</v>
      </c>
      <c r="K8" s="1013">
        <f t="shared" ref="K8:T8" si="2">+J8*(1+K9)</f>
        <v>2510.6844236400498</v>
      </c>
      <c r="L8" s="1013">
        <f t="shared" si="2"/>
        <v>2744.4291434809384</v>
      </c>
      <c r="M8" s="1013">
        <f t="shared" si="2"/>
        <v>2999.9354967390136</v>
      </c>
      <c r="N8" s="1013">
        <f t="shared" si="2"/>
        <v>3239.9303364781349</v>
      </c>
      <c r="O8" s="1013">
        <f t="shared" si="2"/>
        <v>3499.1247633963858</v>
      </c>
      <c r="P8" s="1013">
        <f t="shared" si="2"/>
        <v>3779.0547444680969</v>
      </c>
      <c r="Q8" s="1013">
        <f t="shared" si="2"/>
        <v>4081.379124025545</v>
      </c>
      <c r="R8" s="1013">
        <f t="shared" si="2"/>
        <v>4407.8894539475887</v>
      </c>
      <c r="S8" s="1013">
        <f t="shared" si="2"/>
        <v>4760.5206102633965</v>
      </c>
      <c r="T8" s="1013">
        <f t="shared" si="2"/>
        <v>5141.3622590844689</v>
      </c>
      <c r="U8" s="1013">
        <f t="shared" ref="U8" si="3">+T8*(1+U9)</f>
        <v>5552.6712398112268</v>
      </c>
      <c r="V8" s="1013">
        <v>3000</v>
      </c>
      <c r="W8" s="1014"/>
      <c r="X8" s="1014">
        <f>+(V8/I8)^(1/5)-1</f>
        <v>8.0177880316760985E-2</v>
      </c>
    </row>
    <row r="9" spans="1:24" s="1019" customFormat="1" ht="12" x14ac:dyDescent="0.3">
      <c r="A9" s="1015" t="s">
        <v>730</v>
      </c>
      <c r="B9" s="1016"/>
      <c r="C9" s="1014"/>
      <c r="D9" s="1014">
        <f t="shared" ref="D9" si="4">IFERROR(IF(OR(D8&lt;0, C8&lt;0), "NM", D8/C8-1),"N/A")</f>
        <v>0.10680436815024841</v>
      </c>
      <c r="E9" s="1014">
        <f t="shared" ref="E9:J9" si="5">IFERROR(IF(OR(E8&lt;0, D8&lt;0), "NM", E8/D8-1),"N/A")</f>
        <v>2.4625105340673414E-2</v>
      </c>
      <c r="F9" s="1014">
        <f t="shared" si="5"/>
        <v>0.4765677170158491</v>
      </c>
      <c r="G9" s="1014">
        <f t="shared" si="5"/>
        <v>9.7546786746141256E-2</v>
      </c>
      <c r="H9" s="1014">
        <f t="shared" si="5"/>
        <v>8.9343118317438242E-2</v>
      </c>
      <c r="I9" s="1133">
        <f t="shared" si="5"/>
        <v>0.11032743754891516</v>
      </c>
      <c r="J9" s="1152">
        <f t="shared" si="5"/>
        <v>0.1258677454046897</v>
      </c>
      <c r="K9" s="1018">
        <v>9.3100000000000002E-2</v>
      </c>
      <c r="L9" s="1018">
        <f>+K9</f>
        <v>9.3100000000000002E-2</v>
      </c>
      <c r="M9" s="1018">
        <f>+L9</f>
        <v>9.3100000000000002E-2</v>
      </c>
      <c r="N9" s="1018">
        <v>0.08</v>
      </c>
      <c r="O9" s="1018">
        <v>0.08</v>
      </c>
      <c r="P9" s="1018">
        <v>0.08</v>
      </c>
      <c r="Q9" s="1018">
        <v>0.08</v>
      </c>
      <c r="R9" s="1018">
        <v>0.08</v>
      </c>
      <c r="S9" s="1018">
        <v>0.08</v>
      </c>
      <c r="T9" s="1018">
        <v>0.08</v>
      </c>
      <c r="U9" s="1018">
        <v>0.08</v>
      </c>
      <c r="W9" s="995"/>
      <c r="X9" s="995"/>
    </row>
    <row r="10" spans="1:24" s="1019" customFormat="1" ht="12" x14ac:dyDescent="0.3">
      <c r="A10" s="1015" t="s">
        <v>2503</v>
      </c>
      <c r="B10" s="1016"/>
      <c r="C10" s="1014"/>
      <c r="D10" s="1014">
        <f>+Historicals!AP21</f>
        <v>0.10680436815024841</v>
      </c>
      <c r="E10" s="1014">
        <f>+Historicals!AQ21</f>
        <v>1.3678240357882343E-2</v>
      </c>
      <c r="F10" s="1014">
        <f>+Historicals!AR21</f>
        <v>0.42812363982263069</v>
      </c>
      <c r="G10" s="1014">
        <f>+Historicals!AS21</f>
        <v>8.3015630287097464E-2</v>
      </c>
      <c r="H10" s="1014">
        <f>+Historicals!AT21</f>
        <v>8.9343118317438242E-2</v>
      </c>
      <c r="I10" s="1133">
        <f>+Historicals!AU21</f>
        <v>0.11032743754891516</v>
      </c>
      <c r="J10" s="1017">
        <f>+Historicals!AV21</f>
        <v>0.1258677454046897</v>
      </c>
      <c r="K10" s="1021">
        <f>+K9</f>
        <v>9.3100000000000002E-2</v>
      </c>
      <c r="L10" s="1021">
        <f t="shared" ref="L10:U10" si="6">+L9</f>
        <v>9.3100000000000002E-2</v>
      </c>
      <c r="M10" s="1021">
        <f t="shared" si="6"/>
        <v>9.3100000000000002E-2</v>
      </c>
      <c r="N10" s="1021">
        <f t="shared" si="6"/>
        <v>0.08</v>
      </c>
      <c r="O10" s="1021">
        <f t="shared" si="6"/>
        <v>0.08</v>
      </c>
      <c r="P10" s="1021">
        <f t="shared" si="6"/>
        <v>0.08</v>
      </c>
      <c r="Q10" s="1021">
        <f t="shared" si="6"/>
        <v>0.08</v>
      </c>
      <c r="R10" s="1021">
        <f t="shared" si="6"/>
        <v>0.08</v>
      </c>
      <c r="S10" s="1021">
        <f t="shared" si="6"/>
        <v>0.08</v>
      </c>
      <c r="T10" s="1021">
        <f t="shared" si="6"/>
        <v>0.08</v>
      </c>
      <c r="U10" s="1021">
        <f t="shared" si="6"/>
        <v>0.08</v>
      </c>
      <c r="W10" s="995"/>
      <c r="X10" s="995"/>
    </row>
    <row r="11" spans="1:24" s="1019" customFormat="1" ht="12" x14ac:dyDescent="0.3">
      <c r="A11" s="1015"/>
      <c r="B11" s="1016"/>
      <c r="C11" s="1020"/>
      <c r="D11" s="1020"/>
      <c r="E11" s="1020"/>
      <c r="F11" s="1020"/>
      <c r="G11" s="1021"/>
      <c r="H11" s="1021"/>
      <c r="I11" s="1131"/>
      <c r="J11" s="1151" t="s">
        <v>731</v>
      </c>
      <c r="K11" s="1021"/>
      <c r="L11" s="1021"/>
      <c r="M11" s="1021"/>
      <c r="N11" s="1021"/>
      <c r="O11" s="1021"/>
      <c r="P11" s="1021"/>
      <c r="Q11" s="1021"/>
      <c r="R11" s="1021"/>
      <c r="S11" s="1021"/>
      <c r="T11" s="1021"/>
      <c r="U11" s="1021"/>
    </row>
    <row r="12" spans="1:24" s="1019" customFormat="1" ht="12" x14ac:dyDescent="0.3">
      <c r="A12" s="1015"/>
      <c r="B12" s="1016"/>
      <c r="C12" s="1020"/>
      <c r="D12" s="1020"/>
      <c r="E12" s="1020"/>
      <c r="F12" s="1020"/>
      <c r="G12" s="1021"/>
      <c r="H12" s="1021"/>
      <c r="I12" s="1131"/>
      <c r="J12" s="1299" t="str">
        <f>+Historicals!AV35</f>
        <v>G = 395-425</v>
      </c>
      <c r="K12" s="1021"/>
      <c r="L12" s="1021"/>
      <c r="M12" s="1009" t="str">
        <f>+Base!M12</f>
        <v>FY28 Target = 415-585M</v>
      </c>
      <c r="N12" s="1021"/>
      <c r="O12" s="1021"/>
      <c r="P12" s="1021"/>
      <c r="Q12" s="1021"/>
      <c r="R12" s="1021"/>
      <c r="S12" s="1021"/>
      <c r="T12" s="1021"/>
      <c r="U12" s="1021"/>
    </row>
    <row r="13" spans="1:24" s="1019" customFormat="1" ht="12" x14ac:dyDescent="0.3">
      <c r="A13" s="1022" t="s">
        <v>762</v>
      </c>
      <c r="B13" s="1016"/>
      <c r="C13" s="1012">
        <f>+Historicals!AO37</f>
        <v>46.362000000000016</v>
      </c>
      <c r="D13" s="1012">
        <f>+Historicals!AP37</f>
        <v>62.161999999999971</v>
      </c>
      <c r="E13" s="1012">
        <f>+Historicals!AQ37</f>
        <v>62.079000000000171</v>
      </c>
      <c r="F13" s="1012">
        <f>+Historicals!AR37</f>
        <v>161.43099999999998</v>
      </c>
      <c r="G13" s="1012">
        <f>+Historicals!AS37</f>
        <v>188.16599999999997</v>
      </c>
      <c r="H13" s="1012">
        <f>+Historicals!AT37</f>
        <v>201.01900000000003</v>
      </c>
      <c r="I13" s="1132">
        <f>+Historicals!AU37</f>
        <v>293.94</v>
      </c>
      <c r="J13" s="1186">
        <f>+Historicals!AV37</f>
        <v>425.02568049109311</v>
      </c>
      <c r="K13" s="1013">
        <f t="shared" ref="K13:T13" si="7">+K20-K19</f>
        <v>471.86600604670514</v>
      </c>
      <c r="L13" s="1013">
        <f t="shared" si="7"/>
        <v>523.79490170668623</v>
      </c>
      <c r="M13" s="1013">
        <f t="shared" si="7"/>
        <v>577.61444006957561</v>
      </c>
      <c r="N13" s="1013">
        <f t="shared" si="7"/>
        <v>630.17805445545957</v>
      </c>
      <c r="O13" s="1013">
        <f t="shared" si="7"/>
        <v>688.93361047937435</v>
      </c>
      <c r="P13" s="1013">
        <f t="shared" si="7"/>
        <v>754.44102110172787</v>
      </c>
      <c r="Q13" s="1013">
        <f t="shared" si="7"/>
        <v>827.31015693010977</v>
      </c>
      <c r="R13" s="1013">
        <f t="shared" si="7"/>
        <v>908.20525599989367</v>
      </c>
      <c r="S13" s="1013">
        <f t="shared" si="7"/>
        <v>998.14971939079476</v>
      </c>
      <c r="T13" s="1013">
        <f t="shared" si="7"/>
        <v>1098.3313261905378</v>
      </c>
      <c r="U13" s="1013">
        <f t="shared" ref="U13" si="8">+U20-U19</f>
        <v>1203.4853997765617</v>
      </c>
      <c r="V13" s="1013">
        <v>500</v>
      </c>
      <c r="W13" s="1014"/>
      <c r="X13" s="1014">
        <f>+(V13/I13)^(1/5)-1</f>
        <v>0.11209595959909779</v>
      </c>
    </row>
    <row r="14" spans="1:24" s="1019" customFormat="1" ht="11.25" customHeight="1" x14ac:dyDescent="0.3">
      <c r="A14" s="1015" t="s">
        <v>730</v>
      </c>
      <c r="B14" s="1016"/>
      <c r="C14" s="1014"/>
      <c r="D14" s="1014">
        <f t="shared" ref="D14" si="9">IF(OR(D13&lt;0, C13&lt;0), "NM", D13/C13-1)</f>
        <v>0.34079634183167129</v>
      </c>
      <c r="E14" s="1014">
        <f t="shared" ref="E14:T14" si="10">IF(OR(E13&lt;0, D13&lt;0), "NM", E13/D13-1)</f>
        <v>-1.3352208744860095E-3</v>
      </c>
      <c r="F14" s="1014">
        <f t="shared" si="10"/>
        <v>1.6004123777766965</v>
      </c>
      <c r="G14" s="1014">
        <f t="shared" si="10"/>
        <v>0.16561255273150755</v>
      </c>
      <c r="H14" s="1014">
        <f t="shared" si="10"/>
        <v>6.8306707906848674E-2</v>
      </c>
      <c r="I14" s="1133">
        <f t="shared" si="10"/>
        <v>0.46224983708007672</v>
      </c>
      <c r="J14" s="1152">
        <f t="shared" si="10"/>
        <v>0.44596067391676231</v>
      </c>
      <c r="K14" s="1014">
        <f t="shared" si="10"/>
        <v>0.11020587156402106</v>
      </c>
      <c r="L14" s="1014">
        <f t="shared" si="10"/>
        <v>0.11005008836097674</v>
      </c>
      <c r="M14" s="1014">
        <f t="shared" si="10"/>
        <v>0.1027492596577948</v>
      </c>
      <c r="N14" s="1014">
        <f t="shared" si="10"/>
        <v>9.1001212468913462E-2</v>
      </c>
      <c r="O14" s="1014">
        <f t="shared" si="10"/>
        <v>9.3236436287337465E-2</v>
      </c>
      <c r="P14" s="1014">
        <f t="shared" si="10"/>
        <v>9.5085229731747489E-2</v>
      </c>
      <c r="Q14" s="1014">
        <f t="shared" si="10"/>
        <v>9.6586921694646666E-2</v>
      </c>
      <c r="R14" s="1014">
        <f t="shared" si="10"/>
        <v>9.778086052993773E-2</v>
      </c>
      <c r="S14" s="1014">
        <f t="shared" si="10"/>
        <v>9.903539183097565E-2</v>
      </c>
      <c r="T14" s="1014">
        <f t="shared" si="10"/>
        <v>0.10036731449555214</v>
      </c>
      <c r="U14" s="1014">
        <f t="shared" ref="U14" si="11">IF(OR(U13&lt;0, T13&lt;0), "NM", U13/T13-1)</f>
        <v>9.5739847419941349E-2</v>
      </c>
    </row>
    <row r="15" spans="1:24" s="1019" customFormat="1" ht="11.25" customHeight="1" x14ac:dyDescent="0.3">
      <c r="A15" s="1015" t="s">
        <v>2503</v>
      </c>
      <c r="B15" s="1016"/>
      <c r="C15" s="1014"/>
      <c r="D15" s="1014">
        <f>+Historicals!AP39</f>
        <v>0.34079634183167129</v>
      </c>
      <c r="E15" s="1014">
        <f>+Historicals!AQ39</f>
        <v>-7.2962167332606409E-3</v>
      </c>
      <c r="F15" s="1014">
        <f>+Historicals!AR39</f>
        <v>1.5553321160720994</v>
      </c>
      <c r="G15" s="1014">
        <f>+Historicals!AS39</f>
        <v>0.16057704417942142</v>
      </c>
      <c r="H15" s="1014">
        <f>+Historicals!AT39</f>
        <v>6.8306707906848674E-2</v>
      </c>
      <c r="I15" s="1133">
        <f>+Historicals!AU39</f>
        <v>0.46224983708007672</v>
      </c>
      <c r="J15" s="1017">
        <f>+Historicals!AV39</f>
        <v>0.44596067391676231</v>
      </c>
      <c r="K15" s="1014">
        <f>+K14</f>
        <v>0.11020587156402106</v>
      </c>
      <c r="L15" s="1014">
        <f t="shared" ref="L15:U15" si="12">+L14</f>
        <v>0.11005008836097674</v>
      </c>
      <c r="M15" s="1014">
        <f t="shared" si="12"/>
        <v>0.1027492596577948</v>
      </c>
      <c r="N15" s="1014">
        <f t="shared" si="12"/>
        <v>9.1001212468913462E-2</v>
      </c>
      <c r="O15" s="1014">
        <f t="shared" si="12"/>
        <v>9.3236436287337465E-2</v>
      </c>
      <c r="P15" s="1014">
        <f t="shared" si="12"/>
        <v>9.5085229731747489E-2</v>
      </c>
      <c r="Q15" s="1014">
        <f t="shared" si="12"/>
        <v>9.6586921694646666E-2</v>
      </c>
      <c r="R15" s="1014">
        <f t="shared" si="12"/>
        <v>9.778086052993773E-2</v>
      </c>
      <c r="S15" s="1014">
        <f t="shared" si="12"/>
        <v>9.903539183097565E-2</v>
      </c>
      <c r="T15" s="1014">
        <f t="shared" si="12"/>
        <v>0.10036731449555214</v>
      </c>
      <c r="U15" s="1014">
        <f t="shared" si="12"/>
        <v>9.5739847419941349E-2</v>
      </c>
    </row>
    <row r="16" spans="1:24" s="1019" customFormat="1" ht="12" x14ac:dyDescent="0.3">
      <c r="A16" s="1015" t="s">
        <v>733</v>
      </c>
      <c r="B16" s="1016"/>
      <c r="C16" s="1023">
        <f t="shared" ref="C16:D16" si="13">+C13/C$8</f>
        <v>5.0517906059925878E-2</v>
      </c>
      <c r="D16" s="1023">
        <f t="shared" si="13"/>
        <v>6.1198008962817657E-2</v>
      </c>
      <c r="E16" s="1023">
        <f t="shared" ref="E16:T16" si="14">+E13/E$8</f>
        <v>5.9647470850768596E-2</v>
      </c>
      <c r="F16" s="1023">
        <f t="shared" si="14"/>
        <v>0.10504633124235403</v>
      </c>
      <c r="G16" s="1023">
        <f t="shared" si="14"/>
        <v>0.11156091366044017</v>
      </c>
      <c r="H16" s="1023">
        <f t="shared" si="14"/>
        <v>0.10940655005720171</v>
      </c>
      <c r="I16" s="1134">
        <f t="shared" si="14"/>
        <v>0.14408336188628915</v>
      </c>
      <c r="J16" s="1153">
        <f t="shared" si="14"/>
        <v>0.18504737870290852</v>
      </c>
      <c r="K16" s="1023">
        <f t="shared" si="14"/>
        <v>0.18794317661101453</v>
      </c>
      <c r="L16" s="1023">
        <f t="shared" si="14"/>
        <v>0.19085750599569973</v>
      </c>
      <c r="M16" s="1023">
        <f t="shared" si="14"/>
        <v>0.19254228655831213</v>
      </c>
      <c r="N16" s="1023">
        <f t="shared" si="14"/>
        <v>0.19450358156171807</v>
      </c>
      <c r="O16" s="1023">
        <f t="shared" si="14"/>
        <v>0.19688740958486681</v>
      </c>
      <c r="P16" s="1023">
        <f t="shared" si="14"/>
        <v>0.19963749458938193</v>
      </c>
      <c r="Q16" s="1023">
        <f t="shared" si="14"/>
        <v>0.20270357930240929</v>
      </c>
      <c r="R16" s="1023">
        <f t="shared" si="14"/>
        <v>0.2060408423324975</v>
      </c>
      <c r="S16" s="1023">
        <f t="shared" si="14"/>
        <v>0.20967238693155615</v>
      </c>
      <c r="T16" s="1023">
        <f t="shared" si="14"/>
        <v>0.2136265197516192</v>
      </c>
      <c r="U16" s="1023">
        <f t="shared" ref="U16" si="15">+U13/U$8</f>
        <v>0.21673989829397436</v>
      </c>
    </row>
    <row r="17" spans="1:25" s="1019" customFormat="1" ht="12" x14ac:dyDescent="0.3">
      <c r="A17" s="1015" t="s">
        <v>734</v>
      </c>
      <c r="B17" s="1016"/>
      <c r="C17" s="1023"/>
      <c r="D17" s="1023">
        <f t="shared" ref="D17" si="16">(D13-C13)/(D8-C8)</f>
        <v>0.16119488257258802</v>
      </c>
      <c r="E17" s="1023">
        <f t="shared" ref="E17:T17" si="17">(E13-D13)/(E8-D8)</f>
        <v>-3.3182744972534471E-3</v>
      </c>
      <c r="F17" s="1023">
        <f t="shared" si="17"/>
        <v>0.20030847085152023</v>
      </c>
      <c r="G17" s="1023">
        <f t="shared" si="17"/>
        <v>0.1783450962603231</v>
      </c>
      <c r="H17" s="1023">
        <f t="shared" si="17"/>
        <v>8.529318079261039E-2</v>
      </c>
      <c r="I17" s="1134">
        <f t="shared" si="17"/>
        <v>0.45839150317447036</v>
      </c>
      <c r="J17" s="1153">
        <f t="shared" si="17"/>
        <v>0.51050023149622703</v>
      </c>
      <c r="K17" s="1023">
        <f t="shared" si="17"/>
        <v>0.21904734318573033</v>
      </c>
      <c r="L17" s="1023">
        <f t="shared" si="17"/>
        <v>0.2221607217280861</v>
      </c>
      <c r="M17" s="1023">
        <f t="shared" si="17"/>
        <v>0.21063874802568502</v>
      </c>
      <c r="N17" s="1023">
        <f t="shared" si="17"/>
        <v>0.21901976910429224</v>
      </c>
      <c r="O17" s="1023">
        <f t="shared" si="17"/>
        <v>0.226685259874226</v>
      </c>
      <c r="P17" s="1023">
        <f t="shared" si="17"/>
        <v>0.23401355714582117</v>
      </c>
      <c r="Q17" s="1023">
        <f t="shared" si="17"/>
        <v>0.24102963821525089</v>
      </c>
      <c r="R17" s="1023">
        <f t="shared" si="17"/>
        <v>0.24775663020860045</v>
      </c>
      <c r="S17" s="1023">
        <f t="shared" si="17"/>
        <v>0.25506669441978924</v>
      </c>
      <c r="T17" s="1023">
        <f t="shared" si="17"/>
        <v>0.26305318000240696</v>
      </c>
      <c r="U17" s="1023">
        <f t="shared" ref="U17" si="18">(U13-T13)/(U8-T8)</f>
        <v>0.25565713007341373</v>
      </c>
    </row>
    <row r="18" spans="1:25" s="1019" customFormat="1" ht="12" x14ac:dyDescent="0.3">
      <c r="A18" s="1015"/>
      <c r="B18" s="1016"/>
      <c r="C18" s="1020"/>
      <c r="D18" s="1020"/>
      <c r="E18" s="1020"/>
      <c r="F18" s="1020"/>
      <c r="G18" s="1021"/>
      <c r="H18" s="1021"/>
      <c r="I18" s="1131"/>
      <c r="J18" s="1151"/>
      <c r="K18" s="1021"/>
      <c r="L18" s="1021"/>
      <c r="M18" s="1021"/>
      <c r="N18" s="1021"/>
      <c r="O18" s="1021"/>
      <c r="P18" s="1021"/>
      <c r="Q18" s="1021"/>
      <c r="R18" s="1021"/>
      <c r="S18" s="1021"/>
      <c r="T18" s="1021"/>
      <c r="U18" s="1021"/>
    </row>
    <row r="19" spans="1:25" s="1028" customFormat="1" ht="13.5" x14ac:dyDescent="0.45">
      <c r="A19" s="1022" t="s">
        <v>766</v>
      </c>
      <c r="B19" s="1025"/>
      <c r="C19" s="1026">
        <f>+Historicals!AO72</f>
        <v>75.260000000000005</v>
      </c>
      <c r="D19" s="1026">
        <f>+Historicals!AP72</f>
        <v>71.399999999999977</v>
      </c>
      <c r="E19" s="1026">
        <f>+Historicals!AQ72</f>
        <v>66.077999999999975</v>
      </c>
      <c r="F19" s="1026">
        <f>+Historicals!AR72</f>
        <v>78.435000000000002</v>
      </c>
      <c r="G19" s="1026">
        <f>+Historicals!AS72</f>
        <v>84.945999999999998</v>
      </c>
      <c r="H19" s="1026">
        <f>+Historicals!AT72</f>
        <v>95.157999999999987</v>
      </c>
      <c r="I19" s="1135">
        <f>+Historicals!AU72</f>
        <v>96.80499999999995</v>
      </c>
      <c r="J19" s="1296">
        <f>+Historicals!AV72</f>
        <v>101.18800000000003</v>
      </c>
      <c r="K19" s="1027">
        <f t="shared" ref="K19:T19" si="19">+K41</f>
        <v>111.15487910929495</v>
      </c>
      <c r="L19" s="1027">
        <f t="shared" si="19"/>
        <v>122.04967466366524</v>
      </c>
      <c r="M19" s="1027">
        <f t="shared" si="19"/>
        <v>137.69820116485224</v>
      </c>
      <c r="N19" s="1027">
        <f t="shared" si="19"/>
        <v>152.44672766603921</v>
      </c>
      <c r="O19" s="1027">
        <f t="shared" si="19"/>
        <v>167.19525416722618</v>
      </c>
      <c r="P19" s="1027">
        <f t="shared" si="19"/>
        <v>181.94378066841315</v>
      </c>
      <c r="Q19" s="1027">
        <f t="shared" si="19"/>
        <v>196.69230716960013</v>
      </c>
      <c r="R19" s="1027">
        <f t="shared" si="19"/>
        <v>211.4408336707871</v>
      </c>
      <c r="S19" s="1027">
        <f t="shared" si="19"/>
        <v>225.88936017197406</v>
      </c>
      <c r="T19" s="1027">
        <f t="shared" si="19"/>
        <v>239.63788667316112</v>
      </c>
      <c r="U19" s="1027">
        <f t="shared" ref="U19" si="20">+U41</f>
        <v>258.80891760701405</v>
      </c>
    </row>
    <row r="20" spans="1:25" s="1031" customFormat="1" x14ac:dyDescent="0.25">
      <c r="A20" s="1029" t="s">
        <v>732</v>
      </c>
      <c r="B20" s="1013"/>
      <c r="C20" s="1013">
        <f t="shared" ref="C20:J20" si="21">+C13+C19</f>
        <v>121.62200000000001</v>
      </c>
      <c r="D20" s="1013">
        <f t="shared" si="21"/>
        <v>133.56199999999995</v>
      </c>
      <c r="E20" s="1013">
        <f t="shared" si="21"/>
        <v>128.15700000000015</v>
      </c>
      <c r="F20" s="1013">
        <f t="shared" si="21"/>
        <v>239.86599999999999</v>
      </c>
      <c r="G20" s="1013">
        <f t="shared" si="21"/>
        <v>273.11199999999997</v>
      </c>
      <c r="H20" s="1013">
        <f t="shared" si="21"/>
        <v>296.17700000000002</v>
      </c>
      <c r="I20" s="1136">
        <f t="shared" si="21"/>
        <v>390.74499999999995</v>
      </c>
      <c r="J20" s="1150">
        <f t="shared" si="21"/>
        <v>526.2136804910931</v>
      </c>
      <c r="K20" s="1013">
        <f t="shared" ref="K20:T20" si="22">+K26-K25</f>
        <v>583.02088515600008</v>
      </c>
      <c r="L20" s="1013">
        <f t="shared" si="22"/>
        <v>645.84457637035143</v>
      </c>
      <c r="M20" s="1013">
        <f t="shared" si="22"/>
        <v>715.31264123442782</v>
      </c>
      <c r="N20" s="1013">
        <f t="shared" si="22"/>
        <v>782.62478212149881</v>
      </c>
      <c r="O20" s="1013">
        <f t="shared" si="22"/>
        <v>856.1288646466005</v>
      </c>
      <c r="P20" s="1013">
        <f t="shared" si="22"/>
        <v>936.38480177014105</v>
      </c>
      <c r="Q20" s="1013">
        <f t="shared" si="22"/>
        <v>1024.0024640997099</v>
      </c>
      <c r="R20" s="1013">
        <f t="shared" si="22"/>
        <v>1119.6460896706808</v>
      </c>
      <c r="S20" s="1013">
        <f t="shared" si="22"/>
        <v>1224.0390795627688</v>
      </c>
      <c r="T20" s="1013">
        <f t="shared" si="22"/>
        <v>1337.9692128636989</v>
      </c>
      <c r="U20" s="1013">
        <f t="shared" ref="U20" si="23">+U26-U25</f>
        <v>1462.2943173835758</v>
      </c>
      <c r="W20" s="1032"/>
      <c r="X20" s="1032"/>
      <c r="Y20" s="1032"/>
    </row>
    <row r="21" spans="1:25" s="1019" customFormat="1" ht="12" x14ac:dyDescent="0.3">
      <c r="A21" s="1033" t="s">
        <v>730</v>
      </c>
      <c r="B21" s="1016"/>
      <c r="C21" s="1014"/>
      <c r="D21" s="1014">
        <f t="shared" ref="D21" si="24">IF(OR(D20&lt;0, C20&lt;0), "NM", D20/C20-1)</f>
        <v>9.8173027906134802E-2</v>
      </c>
      <c r="E21" s="1014">
        <f t="shared" ref="E21" si="25">IF(OR(E20&lt;0, D20&lt;0), "NM", E20/D20-1)</f>
        <v>-4.0468097213277709E-2</v>
      </c>
      <c r="F21" s="1014">
        <f t="shared" ref="F21:T21" si="26">IF(OR(F20&lt;0, E20&lt;0), "NM", F20/E20-1)</f>
        <v>0.87165742019553916</v>
      </c>
      <c r="G21" s="1014">
        <f t="shared" si="26"/>
        <v>0.13860238633236888</v>
      </c>
      <c r="H21" s="1014">
        <f t="shared" si="26"/>
        <v>8.4452532294443605E-2</v>
      </c>
      <c r="I21" s="1133">
        <f t="shared" si="26"/>
        <v>0.31929555637338458</v>
      </c>
      <c r="J21" s="1152">
        <f t="shared" si="26"/>
        <v>0.34669331786994895</v>
      </c>
      <c r="K21" s="1014">
        <f t="shared" si="26"/>
        <v>0.10795463282499829</v>
      </c>
      <c r="L21" s="1014">
        <f t="shared" si="26"/>
        <v>0.10775547294080479</v>
      </c>
      <c r="M21" s="1014">
        <f t="shared" si="26"/>
        <v>0.10756158277969474</v>
      </c>
      <c r="N21" s="1014">
        <f t="shared" si="26"/>
        <v>9.410170743090629E-2</v>
      </c>
      <c r="O21" s="1014">
        <f t="shared" si="26"/>
        <v>9.3919952708181098E-2</v>
      </c>
      <c r="P21" s="1014">
        <f t="shared" si="26"/>
        <v>9.3742823583771173E-2</v>
      </c>
      <c r="Q21" s="1014">
        <f t="shared" si="26"/>
        <v>9.357014569644484E-2</v>
      </c>
      <c r="R21" s="1014">
        <f t="shared" si="26"/>
        <v>9.3401753339587446E-2</v>
      </c>
      <c r="S21" s="1014">
        <f t="shared" si="26"/>
        <v>9.323748893080408E-2</v>
      </c>
      <c r="T21" s="1014">
        <f t="shared" si="26"/>
        <v>9.3077202520058577E-2</v>
      </c>
      <c r="U21" s="1014">
        <f t="shared" ref="U21" si="27">IF(OR(U20&lt;0, T20&lt;0), "NM", U20/T20-1)</f>
        <v>9.2920751333119167E-2</v>
      </c>
    </row>
    <row r="22" spans="1:25" s="1019" customFormat="1" ht="12" x14ac:dyDescent="0.3">
      <c r="A22" s="1033" t="s">
        <v>733</v>
      </c>
      <c r="B22" s="1016"/>
      <c r="C22" s="1014">
        <f t="shared" ref="C22:E22" si="28">+C20/C$8</f>
        <v>0.13252423904965929</v>
      </c>
      <c r="D22" s="1014">
        <f t="shared" si="28"/>
        <v>0.13149075758649742</v>
      </c>
      <c r="E22" s="1014">
        <f t="shared" si="28"/>
        <v>0.12313730765350503</v>
      </c>
      <c r="F22" s="1014">
        <f t="shared" ref="F22:T22" si="29">+F20/F$8</f>
        <v>0.15608553059684011</v>
      </c>
      <c r="G22" s="1014">
        <f t="shared" si="29"/>
        <v>0.1619241746735868</v>
      </c>
      <c r="H22" s="1014">
        <f t="shared" si="29"/>
        <v>0.16119721905039736</v>
      </c>
      <c r="I22" s="1133">
        <f t="shared" si="29"/>
        <v>0.19153518827059279</v>
      </c>
      <c r="J22" s="1152">
        <f t="shared" si="29"/>
        <v>0.22910253822775115</v>
      </c>
      <c r="K22" s="1014">
        <f t="shared" si="29"/>
        <v>0.23221591677010628</v>
      </c>
      <c r="L22" s="1014">
        <f t="shared" si="29"/>
        <v>0.23532929531246147</v>
      </c>
      <c r="M22" s="1014">
        <f t="shared" si="29"/>
        <v>0.2384426738548166</v>
      </c>
      <c r="N22" s="1014">
        <f t="shared" si="29"/>
        <v>0.24155605239717179</v>
      </c>
      <c r="O22" s="1014">
        <f t="shared" si="29"/>
        <v>0.24466943093952692</v>
      </c>
      <c r="P22" s="1014">
        <f t="shared" si="29"/>
        <v>0.24778280948188208</v>
      </c>
      <c r="Q22" s="1014">
        <f t="shared" si="29"/>
        <v>0.25089618802423724</v>
      </c>
      <c r="R22" s="1014">
        <f t="shared" si="29"/>
        <v>0.25400956656659246</v>
      </c>
      <c r="S22" s="1014">
        <f t="shared" si="29"/>
        <v>0.25712294510894756</v>
      </c>
      <c r="T22" s="1014">
        <f t="shared" si="29"/>
        <v>0.26023632365130273</v>
      </c>
      <c r="U22" s="1014">
        <f t="shared" ref="U22" si="30">+U20/U$8</f>
        <v>0.26334970219365794</v>
      </c>
      <c r="V22" s="1018"/>
    </row>
    <row r="23" spans="1:25" s="1019" customFormat="1" ht="12" x14ac:dyDescent="0.3">
      <c r="A23" s="1033" t="s">
        <v>734</v>
      </c>
      <c r="B23" s="1016"/>
      <c r="C23" s="1021"/>
      <c r="D23" s="1021">
        <f t="shared" ref="D23" si="31">(D20-C20)/(D8-C8)</f>
        <v>0.12181436062763903</v>
      </c>
      <c r="E23" s="1021">
        <f t="shared" ref="E23" si="32">(E20-D20)/(E8-D8)</f>
        <v>-0.2160876344300911</v>
      </c>
      <c r="F23" s="1021">
        <f t="shared" ref="F23:T23" si="33">(F20-E20)/(F8-E8)</f>
        <v>0.22522202844786704</v>
      </c>
      <c r="G23" s="1021">
        <f t="shared" si="33"/>
        <v>0.22177898149507019</v>
      </c>
      <c r="H23" s="1021">
        <f t="shared" si="33"/>
        <v>0.15306054734159755</v>
      </c>
      <c r="I23" s="1137">
        <f t="shared" si="33"/>
        <v>0.4665163705965637</v>
      </c>
      <c r="J23" s="1154">
        <f t="shared" si="33"/>
        <v>0.52756939195879959</v>
      </c>
      <c r="K23" s="1021">
        <f t="shared" si="33"/>
        <v>0.26565714708541399</v>
      </c>
      <c r="L23" s="1021">
        <f t="shared" si="33"/>
        <v>0.26877052562776954</v>
      </c>
      <c r="M23" s="1021">
        <f t="shared" si="33"/>
        <v>0.27188390417012398</v>
      </c>
      <c r="N23" s="1021">
        <f t="shared" si="33"/>
        <v>0.28047328417661188</v>
      </c>
      <c r="O23" s="1021">
        <f t="shared" si="33"/>
        <v>0.28358666271896599</v>
      </c>
      <c r="P23" s="1021">
        <f t="shared" si="33"/>
        <v>0.28670004126132154</v>
      </c>
      <c r="Q23" s="1021">
        <f t="shared" si="33"/>
        <v>0.28981341980367675</v>
      </c>
      <c r="R23" s="1021">
        <f t="shared" si="33"/>
        <v>0.29292679834603219</v>
      </c>
      <c r="S23" s="1021">
        <f t="shared" si="33"/>
        <v>0.29604017688838657</v>
      </c>
      <c r="T23" s="1021">
        <f t="shared" si="33"/>
        <v>0.29915355543074251</v>
      </c>
      <c r="U23" s="1021">
        <f t="shared" ref="U23" si="34">(U20-T20)/(U8-T8)</f>
        <v>0.30226693397309751</v>
      </c>
      <c r="V23" s="1018"/>
    </row>
    <row r="24" spans="1:25" s="1019" customFormat="1" ht="12" x14ac:dyDescent="0.3">
      <c r="A24" s="1022"/>
      <c r="B24" s="1016"/>
      <c r="C24" s="1011"/>
      <c r="D24" s="1011"/>
      <c r="E24" s="1011"/>
      <c r="F24" s="1011"/>
      <c r="G24" s="1011"/>
      <c r="H24" s="1013"/>
      <c r="I24" s="1136"/>
      <c r="J24" s="1150"/>
      <c r="K24" s="1013"/>
      <c r="L24" s="1013"/>
      <c r="M24" s="1013"/>
      <c r="N24" s="1013"/>
      <c r="O24" s="1013"/>
      <c r="P24" s="1013"/>
      <c r="Q24" s="1013"/>
      <c r="R24" s="1013"/>
      <c r="S24" s="1013"/>
      <c r="T24" s="1013"/>
      <c r="U24" s="1013"/>
    </row>
    <row r="25" spans="1:25" s="1028" customFormat="1" ht="13" x14ac:dyDescent="0.4">
      <c r="A25" s="1022" t="s">
        <v>658</v>
      </c>
      <c r="B25" s="1026"/>
      <c r="C25" s="1026">
        <f>+Historicals!AO48*-1</f>
        <v>-20.817</v>
      </c>
      <c r="D25" s="1026">
        <f>+Historicals!AP48*-1</f>
        <v>-16.675999999999998</v>
      </c>
      <c r="E25" s="1026">
        <f>+Historicals!AQ48*-1</f>
        <v>-23.609000000000002</v>
      </c>
      <c r="F25" s="1026">
        <f>+Historicals!AR48*-1</f>
        <v>-39.332999999999998</v>
      </c>
      <c r="G25" s="1026">
        <f>+Historicals!AS48*-1</f>
        <v>-18.57</v>
      </c>
      <c r="H25" s="1026">
        <f>+Historicals!AT48*-1</f>
        <v>-20.32</v>
      </c>
      <c r="I25" s="1135">
        <f>+Historicals!AU48*-1</f>
        <v>-31.461999999999996</v>
      </c>
      <c r="J25" s="1297">
        <f>+Historicals!AV48*-1</f>
        <v>-38.448999999999998</v>
      </c>
      <c r="K25" s="1035">
        <f t="shared" ref="K25:T25" si="35">+J25/J8*K8</f>
        <v>-42.028601899999991</v>
      </c>
      <c r="L25" s="1035">
        <f t="shared" si="35"/>
        <v>-45.941464736889991</v>
      </c>
      <c r="M25" s="1035">
        <f t="shared" si="35"/>
        <v>-50.21861510389445</v>
      </c>
      <c r="N25" s="1035">
        <f t="shared" si="35"/>
        <v>-54.23610431220601</v>
      </c>
      <c r="O25" s="1035">
        <f t="shared" si="35"/>
        <v>-58.574992657182491</v>
      </c>
      <c r="P25" s="1035">
        <f t="shared" si="35"/>
        <v>-63.260992069757094</v>
      </c>
      <c r="Q25" s="1035">
        <f t="shared" si="35"/>
        <v>-68.32187143533767</v>
      </c>
      <c r="R25" s="1035">
        <f t="shared" si="35"/>
        <v>-73.787621150164682</v>
      </c>
      <c r="S25" s="1035">
        <f t="shared" si="35"/>
        <v>-79.690630842177868</v>
      </c>
      <c r="T25" s="1035">
        <f t="shared" si="35"/>
        <v>-86.065881309552111</v>
      </c>
      <c r="U25" s="1035">
        <f t="shared" ref="U25" si="36">+T25/T8*U8</f>
        <v>-92.95115181431629</v>
      </c>
    </row>
    <row r="26" spans="1:25" s="1019" customFormat="1" x14ac:dyDescent="0.25">
      <c r="A26" s="1036" t="s">
        <v>659</v>
      </c>
      <c r="B26" s="1013"/>
      <c r="C26" s="1013">
        <f t="shared" ref="C26:I26" si="37">+C25+C20</f>
        <v>100.80500000000001</v>
      </c>
      <c r="D26" s="1013">
        <f t="shared" si="37"/>
        <v>116.88599999999995</v>
      </c>
      <c r="E26" s="1013">
        <f t="shared" si="37"/>
        <v>104.54800000000014</v>
      </c>
      <c r="F26" s="1013">
        <f t="shared" si="37"/>
        <v>200.53299999999999</v>
      </c>
      <c r="G26" s="1013">
        <f t="shared" si="37"/>
        <v>254.54199999999997</v>
      </c>
      <c r="H26" s="1013">
        <f t="shared" si="37"/>
        <v>275.85700000000003</v>
      </c>
      <c r="I26" s="1136">
        <f t="shared" si="37"/>
        <v>359.28299999999996</v>
      </c>
      <c r="J26" s="1150">
        <f t="shared" ref="J26" si="38">+J25+J20</f>
        <v>487.76468049109309</v>
      </c>
      <c r="K26" s="1013">
        <f>+K29*K$8</f>
        <v>540.99228325600006</v>
      </c>
      <c r="L26" s="1013">
        <f>+L29*L$8</f>
        <v>599.90311163346144</v>
      </c>
      <c r="M26" s="1013">
        <f>+M29*M$8</f>
        <v>665.09402613053339</v>
      </c>
      <c r="N26" s="1013">
        <f t="shared" ref="N26:T26" si="39">+N29*N$8</f>
        <v>728.38867780929274</v>
      </c>
      <c r="O26" s="1013">
        <f t="shared" si="39"/>
        <v>797.55387198941798</v>
      </c>
      <c r="P26" s="1013">
        <f t="shared" si="39"/>
        <v>873.12380970038396</v>
      </c>
      <c r="Q26" s="1013">
        <f t="shared" si="39"/>
        <v>955.68059266437217</v>
      </c>
      <c r="R26" s="1013">
        <f t="shared" si="39"/>
        <v>1045.858468520516</v>
      </c>
      <c r="S26" s="1013">
        <f t="shared" si="39"/>
        <v>1144.348448720591</v>
      </c>
      <c r="T26" s="1013">
        <f t="shared" si="39"/>
        <v>1251.9033315541467</v>
      </c>
      <c r="U26" s="1013">
        <f t="shared" ref="U26" si="40">+U29*U$8</f>
        <v>1369.3431655692596</v>
      </c>
      <c r="W26" s="1020"/>
      <c r="X26" s="1020"/>
      <c r="Y26" s="1020"/>
    </row>
    <row r="27" spans="1:25" s="1019" customFormat="1" ht="12" x14ac:dyDescent="0.3">
      <c r="A27" s="1033" t="s">
        <v>730</v>
      </c>
      <c r="B27" s="1016"/>
      <c r="C27" s="1014"/>
      <c r="D27" s="1014">
        <f t="shared" ref="D27" si="41">IFERROR(IF(OR(D26&lt;0, C26&lt;0), "NM", D26/C26-1),"N/A")</f>
        <v>0.15952581717176684</v>
      </c>
      <c r="E27" s="1014">
        <f t="shared" ref="E27:M27" si="42">IFERROR(IF(OR(E26&lt;0, D26&lt;0), "NM", E26/D26-1),"N/A")</f>
        <v>-0.10555584073370472</v>
      </c>
      <c r="F27" s="1014">
        <f t="shared" si="42"/>
        <v>0.91809503768603618</v>
      </c>
      <c r="G27" s="1014">
        <f t="shared" si="42"/>
        <v>0.26932724289767762</v>
      </c>
      <c r="H27" s="1014">
        <f t="shared" si="42"/>
        <v>8.3738636452923565E-2</v>
      </c>
      <c r="I27" s="1133">
        <f t="shared" si="42"/>
        <v>0.3024248070558293</v>
      </c>
      <c r="J27" s="1152">
        <f t="shared" ref="J27" si="43">IFERROR(IF(OR(J26&lt;0, I26&lt;0), "NM", J26/I26-1),"N/A")</f>
        <v>0.35760578844836277</v>
      </c>
      <c r="K27" s="1014">
        <f t="shared" si="42"/>
        <v>0.10912557816059199</v>
      </c>
      <c r="L27" s="1014">
        <f t="shared" si="42"/>
        <v>0.10889402714379282</v>
      </c>
      <c r="M27" s="1014">
        <f t="shared" si="42"/>
        <v>0.10866907210993659</v>
      </c>
      <c r="N27" s="1014">
        <f t="shared" ref="N27:T27" si="44">IFERROR(IF(OR(N26&lt;0, M26&lt;0), "NM", N26/M26-1),"N/A")</f>
        <v>9.5166471494267935E-2</v>
      </c>
      <c r="O27" s="1014">
        <f t="shared" si="44"/>
        <v>9.4956437802063309E-2</v>
      </c>
      <c r="P27" s="1014">
        <f t="shared" si="44"/>
        <v>9.4752141974390192E-2</v>
      </c>
      <c r="Q27" s="1014">
        <f t="shared" si="44"/>
        <v>9.4553352052463069E-2</v>
      </c>
      <c r="R27" s="1014">
        <f t="shared" si="44"/>
        <v>9.4359848414138137E-2</v>
      </c>
      <c r="S27" s="1014">
        <f t="shared" si="44"/>
        <v>9.4171422964524298E-2</v>
      </c>
      <c r="T27" s="1014">
        <f t="shared" si="44"/>
        <v>9.3987878389492741E-2</v>
      </c>
      <c r="U27" s="1014">
        <f t="shared" ref="U27" si="45">IFERROR(IF(OR(U26&lt;0, T26&lt;0), "NM", U26/T26-1),"N/A")</f>
        <v>9.3809027466457806E-2</v>
      </c>
    </row>
    <row r="28" spans="1:25" s="1019" customFormat="1" ht="12" x14ac:dyDescent="0.3">
      <c r="A28" s="1033" t="str">
        <f>+A15</f>
        <v>% Organic CC</v>
      </c>
      <c r="B28" s="1016"/>
      <c r="C28" s="1014"/>
      <c r="D28" s="1014">
        <f>+Historicals!AP51</f>
        <v>0.15952581717176684</v>
      </c>
      <c r="E28" s="1014">
        <f>+Historicals!AQ51</f>
        <v>-0.11063838932473991</v>
      </c>
      <c r="F28" s="1014">
        <f>+Historicals!AR51</f>
        <v>0.88532686033394659</v>
      </c>
      <c r="G28" s="1014">
        <f>+Historicals!AS51</f>
        <v>0.26299992537224659</v>
      </c>
      <c r="H28" s="1014">
        <f>+Historicals!AT51</f>
        <v>8.3738636452923343E-2</v>
      </c>
      <c r="I28" s="1133">
        <f>+Historicals!AU51</f>
        <v>0.3024248070558293</v>
      </c>
      <c r="J28" s="1017">
        <f>+Historicals!AV51</f>
        <v>0.35760578844836299</v>
      </c>
      <c r="K28" s="1014">
        <f>+K27</f>
        <v>0.10912557816059199</v>
      </c>
      <c r="L28" s="1014">
        <f t="shared" ref="L28:U28" si="46">+L27</f>
        <v>0.10889402714379282</v>
      </c>
      <c r="M28" s="1014">
        <f t="shared" si="46"/>
        <v>0.10866907210993659</v>
      </c>
      <c r="N28" s="1014">
        <f t="shared" si="46"/>
        <v>9.5166471494267935E-2</v>
      </c>
      <c r="O28" s="1014">
        <f t="shared" si="46"/>
        <v>9.4956437802063309E-2</v>
      </c>
      <c r="P28" s="1014">
        <f t="shared" si="46"/>
        <v>9.4752141974390192E-2</v>
      </c>
      <c r="Q28" s="1014">
        <f t="shared" si="46"/>
        <v>9.4553352052463069E-2</v>
      </c>
      <c r="R28" s="1014">
        <f t="shared" si="46"/>
        <v>9.4359848414138137E-2</v>
      </c>
      <c r="S28" s="1014">
        <f t="shared" si="46"/>
        <v>9.4171422964524298E-2</v>
      </c>
      <c r="T28" s="1014">
        <f t="shared" si="46"/>
        <v>9.3987878389492741E-2</v>
      </c>
      <c r="U28" s="1014">
        <f t="shared" si="46"/>
        <v>9.3809027466457806E-2</v>
      </c>
    </row>
    <row r="29" spans="1:25" s="1019" customFormat="1" ht="12" x14ac:dyDescent="0.3">
      <c r="A29" s="1033" t="s">
        <v>733</v>
      </c>
      <c r="B29" s="1016"/>
      <c r="C29" s="1014">
        <f t="shared" ref="C29:D29" si="47">+IFERROR(C26/C$8,"N/A")</f>
        <v>0.10984119581490934</v>
      </c>
      <c r="D29" s="1014">
        <f t="shared" si="47"/>
        <v>0.11507336436452986</v>
      </c>
      <c r="E29" s="1014">
        <f>+IFERROR(E26/E$8,"N/A")</f>
        <v>0.10045303214462453</v>
      </c>
      <c r="F29" s="1014">
        <f>+IFERROR(F26/F$8,"N/A")</f>
        <v>0.13049077279471094</v>
      </c>
      <c r="G29" s="1014">
        <f>+IFERROR(G26/G$8,"N/A")</f>
        <v>0.15091428889892841</v>
      </c>
      <c r="H29" s="1014">
        <f>+IFERROR(H26/H$8,"N/A")</f>
        <v>0.1501378609938836</v>
      </c>
      <c r="I29" s="1133">
        <f>+IFERROR(I26/I$8,"N/A")</f>
        <v>0.17611316087838202</v>
      </c>
      <c r="J29" s="1152">
        <f t="shared" ref="J29" si="48">+IFERROR(J26/J$8,"N/A")</f>
        <v>0.2123626399337768</v>
      </c>
      <c r="K29" s="1018">
        <f>+($U$29-$J$29)/11+J29</f>
        <v>0.21547601847613196</v>
      </c>
      <c r="L29" s="1018">
        <f t="shared" ref="L29:T29" si="49">+($U$29-$J$29)/11+K29</f>
        <v>0.21858939701848712</v>
      </c>
      <c r="M29" s="1018">
        <f t="shared" si="49"/>
        <v>0.22170277556084228</v>
      </c>
      <c r="N29" s="1018">
        <f t="shared" si="49"/>
        <v>0.22481615410319744</v>
      </c>
      <c r="O29" s="1018">
        <f t="shared" si="49"/>
        <v>0.2279295326455526</v>
      </c>
      <c r="P29" s="1018">
        <f t="shared" si="49"/>
        <v>0.23104291118790776</v>
      </c>
      <c r="Q29" s="1018">
        <f t="shared" si="49"/>
        <v>0.23415628973026292</v>
      </c>
      <c r="R29" s="1018">
        <f t="shared" si="49"/>
        <v>0.23726966827261808</v>
      </c>
      <c r="S29" s="1018">
        <f t="shared" si="49"/>
        <v>0.24038304681497324</v>
      </c>
      <c r="T29" s="1018">
        <f t="shared" si="49"/>
        <v>0.24349642535732841</v>
      </c>
      <c r="U29" s="1018">
        <f t="shared" ref="U29" si="50">20%+U33</f>
        <v>0.24660980389968357</v>
      </c>
      <c r="V29" s="1018"/>
    </row>
    <row r="30" spans="1:25" s="1019" customFormat="1" ht="12" x14ac:dyDescent="0.3">
      <c r="A30" s="1033" t="s">
        <v>734</v>
      </c>
      <c r="B30" s="1016"/>
      <c r="C30" s="1021"/>
      <c r="D30" s="1021">
        <f t="shared" ref="D30" si="51">(D26-C26)/(D8-C8)</f>
        <v>0.16406170295251812</v>
      </c>
      <c r="E30" s="1021">
        <f t="shared" ref="E30:T30" si="52">(E26-D26)/(E8-D8)</f>
        <v>-0.49326350297844962</v>
      </c>
      <c r="F30" s="1021">
        <f t="shared" si="52"/>
        <v>0.193520095968709</v>
      </c>
      <c r="G30" s="1021">
        <f t="shared" si="52"/>
        <v>0.36028577908822867</v>
      </c>
      <c r="H30" s="1021">
        <f t="shared" si="52"/>
        <v>0.14144745573753101</v>
      </c>
      <c r="I30" s="1137">
        <f t="shared" si="52"/>
        <v>0.41155142049518784</v>
      </c>
      <c r="J30" s="1154">
        <f t="shared" ref="J30" si="53">(J26-I26)/(J8-I8)</f>
        <v>0.50035921076966117</v>
      </c>
      <c r="K30" s="1021">
        <f t="shared" si="52"/>
        <v>0.24891724879143962</v>
      </c>
      <c r="L30" s="1021">
        <f t="shared" si="52"/>
        <v>0.25203062733379528</v>
      </c>
      <c r="M30" s="1021">
        <f t="shared" si="52"/>
        <v>0.25514400587614983</v>
      </c>
      <c r="N30" s="1021">
        <f t="shared" si="52"/>
        <v>0.26373338588263723</v>
      </c>
      <c r="O30" s="1021">
        <f t="shared" si="52"/>
        <v>0.26684676442499178</v>
      </c>
      <c r="P30" s="1021">
        <f t="shared" si="52"/>
        <v>0.26996014296734733</v>
      </c>
      <c r="Q30" s="1021">
        <f t="shared" si="52"/>
        <v>0.27307352150970232</v>
      </c>
      <c r="R30" s="1021">
        <f t="shared" si="52"/>
        <v>0.27618690005205765</v>
      </c>
      <c r="S30" s="1021">
        <f t="shared" si="52"/>
        <v>0.2793002785944127</v>
      </c>
      <c r="T30" s="1021">
        <f t="shared" si="52"/>
        <v>0.28241365713676786</v>
      </c>
      <c r="U30" s="1021">
        <f t="shared" ref="U30" si="54">(U26-T26)/(U8-T8)</f>
        <v>0.28552703567912335</v>
      </c>
      <c r="V30" s="1018"/>
    </row>
    <row r="31" spans="1:25" x14ac:dyDescent="0.25">
      <c r="G31" s="1037"/>
      <c r="H31" s="1037"/>
      <c r="I31" s="1138"/>
      <c r="J31" s="1155"/>
      <c r="K31" s="1037"/>
      <c r="L31" s="1037"/>
      <c r="M31" s="1037"/>
      <c r="N31" s="1037"/>
      <c r="O31" s="1037"/>
      <c r="P31" s="1037"/>
      <c r="Q31" s="1037"/>
      <c r="R31" s="1037"/>
      <c r="S31" s="1037"/>
      <c r="T31" s="1037"/>
      <c r="U31" s="1037"/>
    </row>
    <row r="32" spans="1:25" x14ac:dyDescent="0.25">
      <c r="A32" s="995" t="s">
        <v>94</v>
      </c>
      <c r="C32" s="1012">
        <f>+Historicals!AO60</f>
        <v>56.504000000000005</v>
      </c>
      <c r="D32" s="1012">
        <f>+Historicals!AP60</f>
        <v>69.44</v>
      </c>
      <c r="E32" s="1012">
        <f>+Historicals!AQ60</f>
        <v>72.671999999999997</v>
      </c>
      <c r="F32" s="1012">
        <f>+Historicals!AR60</f>
        <v>76.578000000000003</v>
      </c>
      <c r="G32" s="1012">
        <f>+Historicals!AS60</f>
        <v>100.637</v>
      </c>
      <c r="H32" s="1012">
        <f>+Historicals!AT60</f>
        <v>109.504</v>
      </c>
      <c r="I32" s="1132">
        <f>+Historicals!AU60</f>
        <v>102.508</v>
      </c>
      <c r="J32" s="1186">
        <f>+Historicals!AV60</f>
        <v>107.05562953055782</v>
      </c>
      <c r="K32" s="1013">
        <f t="shared" ref="K32:U32" si="55">+K33*K$8</f>
        <v>117.02250863985275</v>
      </c>
      <c r="L32" s="1013">
        <f t="shared" si="55"/>
        <v>127.91730419422304</v>
      </c>
      <c r="M32" s="1013">
        <f t="shared" si="55"/>
        <v>139.8264052147052</v>
      </c>
      <c r="N32" s="1013">
        <f t="shared" si="55"/>
        <v>151.01251763188162</v>
      </c>
      <c r="O32" s="1013">
        <f t="shared" si="55"/>
        <v>163.09351904243215</v>
      </c>
      <c r="P32" s="1013">
        <f t="shared" si="55"/>
        <v>176.14100056582674</v>
      </c>
      <c r="Q32" s="1013">
        <f t="shared" si="55"/>
        <v>190.2322806110929</v>
      </c>
      <c r="R32" s="1013">
        <f t="shared" si="55"/>
        <v>205.45086305998032</v>
      </c>
      <c r="S32" s="1013">
        <f t="shared" si="55"/>
        <v>221.88693210477879</v>
      </c>
      <c r="T32" s="1013">
        <f t="shared" si="55"/>
        <v>239.63788667316112</v>
      </c>
      <c r="U32" s="1013">
        <f t="shared" si="55"/>
        <v>258.80891760701405</v>
      </c>
    </row>
    <row r="33" spans="1:21" s="1019" customFormat="1" ht="12" x14ac:dyDescent="0.3">
      <c r="A33" s="1015" t="s">
        <v>735</v>
      </c>
      <c r="B33" s="1016"/>
      <c r="C33" s="1023">
        <f t="shared" ref="C33:J33" si="56">+C32/C$8</f>
        <v>6.1569038523145055E-2</v>
      </c>
      <c r="D33" s="1023">
        <f t="shared" si="56"/>
        <v>6.8363143759500339E-2</v>
      </c>
      <c r="E33" s="1023">
        <f t="shared" si="56"/>
        <v>6.9825561005606454E-2</v>
      </c>
      <c r="F33" s="1023">
        <f t="shared" si="56"/>
        <v>4.9830812879044228E-2</v>
      </c>
      <c r="G33" s="1023">
        <f t="shared" si="56"/>
        <v>5.9666229117086612E-2</v>
      </c>
      <c r="H33" s="1023">
        <f t="shared" si="56"/>
        <v>5.9598619321874123E-2</v>
      </c>
      <c r="I33" s="1133">
        <f t="shared" si="56"/>
        <v>5.0247320066135019E-2</v>
      </c>
      <c r="J33" s="1152">
        <f t="shared" si="56"/>
        <v>4.6609803899683555E-2</v>
      </c>
      <c r="K33" s="1018">
        <f t="shared" ref="K33:T33" si="57">+J33</f>
        <v>4.6609803899683555E-2</v>
      </c>
      <c r="L33" s="1018">
        <f t="shared" si="57"/>
        <v>4.6609803899683555E-2</v>
      </c>
      <c r="M33" s="1018">
        <f t="shared" si="57"/>
        <v>4.6609803899683555E-2</v>
      </c>
      <c r="N33" s="1018">
        <f t="shared" si="57"/>
        <v>4.6609803899683555E-2</v>
      </c>
      <c r="O33" s="1018">
        <f t="shared" si="57"/>
        <v>4.6609803899683555E-2</v>
      </c>
      <c r="P33" s="1018">
        <f t="shared" si="57"/>
        <v>4.6609803899683555E-2</v>
      </c>
      <c r="Q33" s="1018">
        <f t="shared" si="57"/>
        <v>4.6609803899683555E-2</v>
      </c>
      <c r="R33" s="1018">
        <f t="shared" si="57"/>
        <v>4.6609803899683555E-2</v>
      </c>
      <c r="S33" s="1018">
        <f t="shared" si="57"/>
        <v>4.6609803899683555E-2</v>
      </c>
      <c r="T33" s="1018">
        <f t="shared" si="57"/>
        <v>4.6609803899683555E-2</v>
      </c>
      <c r="U33" s="1018">
        <f t="shared" ref="U33" si="58">+T33</f>
        <v>4.6609803899683555E-2</v>
      </c>
    </row>
    <row r="34" spans="1:21" x14ac:dyDescent="0.25">
      <c r="G34" s="1037"/>
      <c r="H34" s="1037"/>
      <c r="I34" s="1138"/>
      <c r="J34" s="1155"/>
      <c r="K34" s="1037"/>
      <c r="L34" s="1037"/>
      <c r="M34" s="1037"/>
      <c r="N34" s="1037"/>
      <c r="O34" s="1037"/>
      <c r="P34" s="1037"/>
      <c r="Q34" s="1037"/>
      <c r="R34" s="1037"/>
      <c r="S34" s="1037"/>
      <c r="T34" s="1037"/>
      <c r="U34" s="1037"/>
    </row>
    <row r="35" spans="1:21" ht="11.25" customHeight="1" x14ac:dyDescent="0.25">
      <c r="A35" s="1039" t="s">
        <v>691</v>
      </c>
      <c r="C35" s="1011">
        <f t="shared" ref="C35:T35" si="59">+C26-C32</f>
        <v>44.301000000000002</v>
      </c>
      <c r="D35" s="1011">
        <f t="shared" si="59"/>
        <v>47.445999999999955</v>
      </c>
      <c r="E35" s="1011">
        <f t="shared" si="59"/>
        <v>31.876000000000147</v>
      </c>
      <c r="F35" s="1011">
        <f t="shared" si="59"/>
        <v>123.95499999999998</v>
      </c>
      <c r="G35" s="1011">
        <f t="shared" si="59"/>
        <v>153.90499999999997</v>
      </c>
      <c r="H35" s="1013">
        <f t="shared" si="59"/>
        <v>166.35300000000001</v>
      </c>
      <c r="I35" s="1136">
        <f t="shared" si="59"/>
        <v>256.77499999999998</v>
      </c>
      <c r="J35" s="1150">
        <f t="shared" si="59"/>
        <v>380.70905096053525</v>
      </c>
      <c r="K35" s="1013">
        <f t="shared" si="59"/>
        <v>423.96977461614733</v>
      </c>
      <c r="L35" s="1013">
        <f t="shared" si="59"/>
        <v>471.98580743923839</v>
      </c>
      <c r="M35" s="1013">
        <f t="shared" si="59"/>
        <v>525.26762091582816</v>
      </c>
      <c r="N35" s="1013">
        <f t="shared" si="59"/>
        <v>577.37616017741107</v>
      </c>
      <c r="O35" s="1013">
        <f t="shared" si="59"/>
        <v>634.46035294698584</v>
      </c>
      <c r="P35" s="1013">
        <f t="shared" si="59"/>
        <v>696.98280913455721</v>
      </c>
      <c r="Q35" s="1013">
        <f t="shared" si="59"/>
        <v>765.44831205327932</v>
      </c>
      <c r="R35" s="1013">
        <f t="shared" si="59"/>
        <v>840.40760546053571</v>
      </c>
      <c r="S35" s="1013">
        <f t="shared" si="59"/>
        <v>922.46151661581223</v>
      </c>
      <c r="T35" s="1013">
        <f t="shared" si="59"/>
        <v>1012.2654448809856</v>
      </c>
      <c r="U35" s="1013">
        <f t="shared" ref="U35" si="60">+U26-U32</f>
        <v>1110.5342479622454</v>
      </c>
    </row>
    <row r="36" spans="1:21" s="1019" customFormat="1" ht="11.25" customHeight="1" x14ac:dyDescent="0.3">
      <c r="A36" s="1015" t="s">
        <v>730</v>
      </c>
      <c r="B36" s="1016"/>
      <c r="C36" s="1014"/>
      <c r="D36" s="1014">
        <f t="shared" ref="D36" si="61">IF(OR(D35&lt;0, C35&lt;0), "NM", D35/C35-1)</f>
        <v>7.0991625471207298E-2</v>
      </c>
      <c r="E36" s="1014">
        <f t="shared" ref="E36:T36" si="62">IF(OR(E35&lt;0, D35&lt;0), "NM", E35/D35-1)</f>
        <v>-0.3281625426800957</v>
      </c>
      <c r="F36" s="1014">
        <f t="shared" si="62"/>
        <v>2.8886623164763274</v>
      </c>
      <c r="G36" s="1014">
        <f t="shared" si="62"/>
        <v>0.24161994272114873</v>
      </c>
      <c r="H36" s="1014">
        <f t="shared" si="62"/>
        <v>8.0881062993405362E-2</v>
      </c>
      <c r="I36" s="1133">
        <f t="shared" si="62"/>
        <v>0.54355497045439494</v>
      </c>
      <c r="J36" s="1152">
        <f t="shared" si="62"/>
        <v>0.48265622027274957</v>
      </c>
      <c r="K36" s="1014">
        <f t="shared" si="62"/>
        <v>0.11363198102715066</v>
      </c>
      <c r="L36" s="1014">
        <f t="shared" si="62"/>
        <v>0.11325343384811726</v>
      </c>
      <c r="M36" s="1014">
        <f t="shared" si="62"/>
        <v>0.11288859248897865</v>
      </c>
      <c r="N36" s="1014">
        <f t="shared" si="62"/>
        <v>9.9203790956559068E-2</v>
      </c>
      <c r="O36" s="1014">
        <f t="shared" si="62"/>
        <v>9.8868288486373412E-2</v>
      </c>
      <c r="P36" s="1014">
        <f t="shared" si="62"/>
        <v>9.8544307610653137E-2</v>
      </c>
      <c r="Q36" s="1014">
        <f t="shared" si="62"/>
        <v>9.823126484817557E-2</v>
      </c>
      <c r="R36" s="1014">
        <f t="shared" si="62"/>
        <v>9.7928615462200996E-2</v>
      </c>
      <c r="S36" s="1014">
        <f t="shared" si="62"/>
        <v>9.7635850297084881E-2</v>
      </c>
      <c r="T36" s="1014">
        <f t="shared" si="62"/>
        <v>9.7352492919848155E-2</v>
      </c>
      <c r="U36" s="1014">
        <f t="shared" ref="U36" si="63">IF(OR(U35&lt;0, T35&lt;0), "NM", U35/T35-1)</f>
        <v>9.7078097032951227E-2</v>
      </c>
    </row>
    <row r="37" spans="1:21" s="1019" customFormat="1" ht="11.25" customHeight="1" x14ac:dyDescent="0.3">
      <c r="A37" s="1015" t="str">
        <f>+A28</f>
        <v>% Organic CC</v>
      </c>
      <c r="B37" s="1016"/>
      <c r="C37" s="1014"/>
      <c r="D37" s="1014">
        <f>+Historicals!AP65</f>
        <v>7.099162547120752E-2</v>
      </c>
      <c r="E37" s="1014">
        <f>+Historicals!AQ65</f>
        <v>-0.34068369882838523</v>
      </c>
      <c r="F37" s="1014">
        <f>+Historicals!AR65</f>
        <v>2.7811881225433916</v>
      </c>
      <c r="G37" s="1014">
        <f>+Historicals!AS65</f>
        <v>0.23138367984085151</v>
      </c>
      <c r="H37" s="1014">
        <f>+Historicals!AT65</f>
        <v>8.0881062993405139E-2</v>
      </c>
      <c r="I37" s="1133">
        <f>+Historicals!AU65</f>
        <v>0.54355497045439494</v>
      </c>
      <c r="J37" s="1017">
        <f>+Historicals!AV65</f>
        <v>0.48265622027274979</v>
      </c>
      <c r="K37" s="1014">
        <f>+K36</f>
        <v>0.11363198102715066</v>
      </c>
      <c r="L37" s="1014">
        <f t="shared" ref="L37:U37" si="64">+L36</f>
        <v>0.11325343384811726</v>
      </c>
      <c r="M37" s="1014">
        <f t="shared" si="64"/>
        <v>0.11288859248897865</v>
      </c>
      <c r="N37" s="1014">
        <f t="shared" si="64"/>
        <v>9.9203790956559068E-2</v>
      </c>
      <c r="O37" s="1014">
        <f t="shared" si="64"/>
        <v>9.8868288486373412E-2</v>
      </c>
      <c r="P37" s="1014">
        <f t="shared" si="64"/>
        <v>9.8544307610653137E-2</v>
      </c>
      <c r="Q37" s="1014">
        <f t="shared" si="64"/>
        <v>9.823126484817557E-2</v>
      </c>
      <c r="R37" s="1014">
        <f t="shared" si="64"/>
        <v>9.7928615462200996E-2</v>
      </c>
      <c r="S37" s="1014">
        <f t="shared" si="64"/>
        <v>9.7635850297084881E-2</v>
      </c>
      <c r="T37" s="1014">
        <f t="shared" si="64"/>
        <v>9.7352492919848155E-2</v>
      </c>
      <c r="U37" s="1014">
        <f t="shared" si="64"/>
        <v>9.7078097032951227E-2</v>
      </c>
    </row>
    <row r="38" spans="1:21" s="1019" customFormat="1" ht="12" x14ac:dyDescent="0.3">
      <c r="A38" s="1015" t="s">
        <v>733</v>
      </c>
      <c r="B38" s="1016"/>
      <c r="C38" s="1023">
        <f t="shared" ref="C38:D38" si="65">+C35/C$8</f>
        <v>4.8272157291764282E-2</v>
      </c>
      <c r="D38" s="1023">
        <f t="shared" si="65"/>
        <v>4.6710220605029523E-2</v>
      </c>
      <c r="E38" s="1023">
        <f t="shared" ref="E38:T38" si="66">+E35/E$8</f>
        <v>3.0627471139018078E-2</v>
      </c>
      <c r="F38" s="1023">
        <f t="shared" si="66"/>
        <v>8.0659959915666712E-2</v>
      </c>
      <c r="G38" s="1023">
        <f t="shared" si="66"/>
        <v>9.1248059781841792E-2</v>
      </c>
      <c r="H38" s="1023">
        <f t="shared" si="66"/>
        <v>9.0539241672009482E-2</v>
      </c>
      <c r="I38" s="1134">
        <f t="shared" si="66"/>
        <v>0.12586584081224703</v>
      </c>
      <c r="J38" s="1153">
        <f t="shared" si="66"/>
        <v>0.16575283603409324</v>
      </c>
      <c r="K38" s="1023">
        <f t="shared" si="66"/>
        <v>0.1688662145764484</v>
      </c>
      <c r="L38" s="1023">
        <f t="shared" si="66"/>
        <v>0.17197959311880359</v>
      </c>
      <c r="M38" s="1023">
        <f t="shared" si="66"/>
        <v>0.1750929716611587</v>
      </c>
      <c r="N38" s="1023">
        <f t="shared" si="66"/>
        <v>0.17820635020351389</v>
      </c>
      <c r="O38" s="1023">
        <f t="shared" si="66"/>
        <v>0.18131972874586905</v>
      </c>
      <c r="P38" s="1023">
        <f t="shared" si="66"/>
        <v>0.18443310728822421</v>
      </c>
      <c r="Q38" s="1023">
        <f t="shared" si="66"/>
        <v>0.18754648583057937</v>
      </c>
      <c r="R38" s="1023">
        <f t="shared" si="66"/>
        <v>0.19065986437293453</v>
      </c>
      <c r="S38" s="1023">
        <f t="shared" si="66"/>
        <v>0.19377324291528969</v>
      </c>
      <c r="T38" s="1014">
        <f t="shared" si="66"/>
        <v>0.19688662145764485</v>
      </c>
      <c r="U38" s="1040">
        <f t="shared" ref="U38" si="67">+U35/U$8</f>
        <v>0.2</v>
      </c>
    </row>
    <row r="39" spans="1:21" x14ac:dyDescent="0.25">
      <c r="G39" s="1037"/>
      <c r="H39" s="1037"/>
      <c r="I39" s="1138"/>
      <c r="J39" s="1155"/>
      <c r="K39" s="1037"/>
      <c r="L39" s="1037"/>
      <c r="M39" s="1037"/>
      <c r="N39" s="1037"/>
      <c r="O39" s="1037"/>
      <c r="P39" s="1037"/>
      <c r="Q39" s="1037"/>
      <c r="R39" s="1037"/>
      <c r="S39" s="1037"/>
      <c r="T39" s="1037"/>
      <c r="U39" s="1037"/>
    </row>
    <row r="40" spans="1:21" x14ac:dyDescent="0.25">
      <c r="A40" s="995" t="str">
        <f>+Historicals!A71</f>
        <v>Amortization of intangible assets (backed out of AOI)</v>
      </c>
      <c r="C40" s="1041">
        <f t="shared" ref="C40:I40" si="68">+C42-C41</f>
        <v>0</v>
      </c>
      <c r="D40" s="1041">
        <f t="shared" si="68"/>
        <v>0</v>
      </c>
      <c r="E40" s="1041">
        <f t="shared" si="68"/>
        <v>6.0130000000000194</v>
      </c>
      <c r="F40" s="1041">
        <f t="shared" si="68"/>
        <v>11.641999999999996</v>
      </c>
      <c r="G40" s="1042">
        <f t="shared" si="68"/>
        <v>12.968000000000004</v>
      </c>
      <c r="H40" s="1042">
        <f t="shared" si="68"/>
        <v>15.200000000000017</v>
      </c>
      <c r="I40" s="1139">
        <f t="shared" si="68"/>
        <v>12.878</v>
      </c>
      <c r="J40" s="1150">
        <f t="shared" ref="J40" si="69">+J42-J41</f>
        <v>10.400000000000006</v>
      </c>
      <c r="K40" s="1043">
        <v>9.3000000000000007</v>
      </c>
      <c r="L40" s="1043">
        <v>7.6</v>
      </c>
      <c r="M40" s="1043">
        <v>5.7</v>
      </c>
      <c r="N40" s="1043">
        <f>+M40-1</f>
        <v>4.7</v>
      </c>
      <c r="O40" s="1043">
        <f>+N40-1</f>
        <v>3.7</v>
      </c>
      <c r="P40" s="1043">
        <f>+O40-1</f>
        <v>2.7</v>
      </c>
      <c r="Q40" s="1043">
        <f>+P40-1</f>
        <v>1.7000000000000002</v>
      </c>
      <c r="R40" s="1043">
        <f>+Q40-1</f>
        <v>0.70000000000000018</v>
      </c>
      <c r="S40" s="1043">
        <v>0</v>
      </c>
      <c r="T40" s="1043">
        <v>0</v>
      </c>
      <c r="U40" s="1043">
        <v>0</v>
      </c>
    </row>
    <row r="41" spans="1:21" s="1044" customFormat="1" ht="13" x14ac:dyDescent="0.4">
      <c r="A41" s="995" t="s">
        <v>766</v>
      </c>
      <c r="C41" s="1045">
        <f t="shared" ref="C41:I41" si="70">+C19</f>
        <v>75.260000000000005</v>
      </c>
      <c r="D41" s="1045">
        <f t="shared" si="70"/>
        <v>71.399999999999977</v>
      </c>
      <c r="E41" s="1045">
        <f t="shared" si="70"/>
        <v>66.077999999999975</v>
      </c>
      <c r="F41" s="1045">
        <f t="shared" si="70"/>
        <v>78.435000000000002</v>
      </c>
      <c r="G41" s="1046">
        <f t="shared" si="70"/>
        <v>84.945999999999998</v>
      </c>
      <c r="H41" s="1046">
        <f t="shared" si="70"/>
        <v>95.157999999999987</v>
      </c>
      <c r="I41" s="1140">
        <f t="shared" si="70"/>
        <v>96.80499999999995</v>
      </c>
      <c r="J41" s="1298">
        <f t="shared" ref="J41" si="71">+J19</f>
        <v>101.18800000000003</v>
      </c>
      <c r="K41" s="1047">
        <f>+J41+(K32-J32)</f>
        <v>111.15487910929495</v>
      </c>
      <c r="L41" s="1047">
        <f>+K41+(L32-K32)</f>
        <v>122.04967466366524</v>
      </c>
      <c r="M41" s="1048">
        <f t="shared" ref="M41:T41" si="72">+M42-M40</f>
        <v>137.69820116485224</v>
      </c>
      <c r="N41" s="1048">
        <f t="shared" si="72"/>
        <v>152.44672766603921</v>
      </c>
      <c r="O41" s="1048">
        <f t="shared" si="72"/>
        <v>167.19525416722618</v>
      </c>
      <c r="P41" s="1048">
        <f t="shared" si="72"/>
        <v>181.94378066841315</v>
      </c>
      <c r="Q41" s="1048">
        <f t="shared" si="72"/>
        <v>196.69230716960013</v>
      </c>
      <c r="R41" s="1048">
        <f t="shared" si="72"/>
        <v>211.4408336707871</v>
      </c>
      <c r="S41" s="1048">
        <f t="shared" si="72"/>
        <v>225.88936017197406</v>
      </c>
      <c r="T41" s="1048">
        <f t="shared" si="72"/>
        <v>239.63788667316112</v>
      </c>
      <c r="U41" s="1048">
        <f t="shared" ref="U41" si="73">+U42-U40</f>
        <v>258.80891760701405</v>
      </c>
    </row>
    <row r="42" spans="1:21" x14ac:dyDescent="0.25">
      <c r="A42" s="1036" t="s">
        <v>764</v>
      </c>
      <c r="C42" s="1012">
        <f>+Historicals!AO72+Historicals!AO71</f>
        <v>75.260000000000005</v>
      </c>
      <c r="D42" s="1012">
        <f>+Historicals!AP72+Historicals!AP71</f>
        <v>71.399999999999977</v>
      </c>
      <c r="E42" s="1012">
        <f>+Historicals!AQ72+Historicals!AQ71</f>
        <v>72.090999999999994</v>
      </c>
      <c r="F42" s="1012">
        <f>+Historicals!AR72+Historicals!AR71</f>
        <v>90.076999999999998</v>
      </c>
      <c r="G42" s="1012">
        <f>+Historicals!AS72+Historicals!AS71</f>
        <v>97.914000000000001</v>
      </c>
      <c r="H42" s="1012">
        <f>+Historicals!AT72+Historicals!AT71</f>
        <v>110.358</v>
      </c>
      <c r="I42" s="1132">
        <f>+Historicals!AU72+Historicals!AU71</f>
        <v>109.68299999999995</v>
      </c>
      <c r="J42" s="1186">
        <f>+Historicals!AV72+Historicals!AV71</f>
        <v>111.58800000000004</v>
      </c>
      <c r="K42" s="1013">
        <f>+K41+K40</f>
        <v>120.45487910929495</v>
      </c>
      <c r="L42" s="1013">
        <f>+L41+L40</f>
        <v>129.64967466366525</v>
      </c>
      <c r="M42" s="1013">
        <f t="shared" ref="M42:S42" si="74">($T$42-$L$42)/8+L42</f>
        <v>143.39820116485222</v>
      </c>
      <c r="N42" s="1013">
        <f t="shared" si="74"/>
        <v>157.1467276660392</v>
      </c>
      <c r="O42" s="1013">
        <f t="shared" si="74"/>
        <v>170.89525416722617</v>
      </c>
      <c r="P42" s="1013">
        <f t="shared" si="74"/>
        <v>184.64378066841314</v>
      </c>
      <c r="Q42" s="1013">
        <f t="shared" si="74"/>
        <v>198.39230716960012</v>
      </c>
      <c r="R42" s="1013">
        <f t="shared" si="74"/>
        <v>212.14083367078709</v>
      </c>
      <c r="S42" s="1013">
        <f t="shared" si="74"/>
        <v>225.88936017197406</v>
      </c>
      <c r="T42" s="1043">
        <f>T32</f>
        <v>239.63788667316112</v>
      </c>
      <c r="U42" s="1043">
        <f t="shared" ref="U42" si="75">U32</f>
        <v>258.80891760701405</v>
      </c>
    </row>
    <row r="43" spans="1:21" s="1019" customFormat="1" ht="12" x14ac:dyDescent="0.3">
      <c r="A43" s="1033" t="s">
        <v>735</v>
      </c>
      <c r="B43" s="1016"/>
      <c r="C43" s="1023">
        <f t="shared" ref="C43:T43" si="76">+C42/C$8</f>
        <v>8.2006332989733408E-2</v>
      </c>
      <c r="D43" s="1023">
        <f t="shared" si="76"/>
        <v>7.0292748623679763E-2</v>
      </c>
      <c r="E43" s="1023">
        <f t="shared" si="76"/>
        <v>6.9267317790279267E-2</v>
      </c>
      <c r="F43" s="1023">
        <f t="shared" si="76"/>
        <v>5.8614878055128973E-2</v>
      </c>
      <c r="G43" s="1023">
        <f t="shared" si="76"/>
        <v>5.8051801601502612E-2</v>
      </c>
      <c r="H43" s="1023">
        <f t="shared" si="76"/>
        <v>6.0063417145705948E-2</v>
      </c>
      <c r="I43" s="1134">
        <f t="shared" si="76"/>
        <v>5.3764357970245098E-2</v>
      </c>
      <c r="J43" s="1153">
        <f t="shared" si="76"/>
        <v>4.8583104133475732E-2</v>
      </c>
      <c r="K43" s="1023">
        <f t="shared" si="76"/>
        <v>4.7976909393756706E-2</v>
      </c>
      <c r="L43" s="1023">
        <f t="shared" si="76"/>
        <v>4.7241035525232081E-2</v>
      </c>
      <c r="M43" s="1023">
        <f t="shared" si="76"/>
        <v>4.7800428149448133E-2</v>
      </c>
      <c r="N43" s="1023">
        <f t="shared" si="76"/>
        <v>4.8503119309923383E-2</v>
      </c>
      <c r="O43" s="1023">
        <f t="shared" si="76"/>
        <v>4.8839428635104917E-2</v>
      </c>
      <c r="P43" s="1023">
        <f t="shared" si="76"/>
        <v>4.8859779271179044E-2</v>
      </c>
      <c r="Q43" s="1023">
        <f t="shared" si="76"/>
        <v>4.8609134594171655E-2</v>
      </c>
      <c r="R43" s="1023">
        <f t="shared" si="76"/>
        <v>4.8127530394574528E-2</v>
      </c>
      <c r="S43" s="1023">
        <f t="shared" si="76"/>
        <v>4.745055817739139E-2</v>
      </c>
      <c r="T43" s="1023">
        <f t="shared" si="76"/>
        <v>4.6609803899683555E-2</v>
      </c>
      <c r="U43" s="1023">
        <f t="shared" ref="U43" si="77">+U42/U$8</f>
        <v>4.6609803899683555E-2</v>
      </c>
    </row>
    <row r="44" spans="1:21" x14ac:dyDescent="0.25">
      <c r="G44" s="1037"/>
      <c r="H44" s="1037"/>
      <c r="I44" s="1138"/>
      <c r="J44" s="1155"/>
      <c r="K44" s="1037"/>
      <c r="L44" s="1037"/>
      <c r="M44" s="1037"/>
      <c r="N44" s="1037"/>
      <c r="O44" s="1037"/>
      <c r="P44" s="1037"/>
      <c r="Q44" s="1037"/>
      <c r="R44" s="1037"/>
      <c r="S44" s="1037"/>
      <c r="T44" s="1037"/>
      <c r="U44" s="1037"/>
    </row>
    <row r="45" spans="1:21" x14ac:dyDescent="0.25">
      <c r="A45" s="995" t="s">
        <v>694</v>
      </c>
      <c r="C45" s="1012">
        <f>+Historicals!AO74</f>
        <v>-0.96499999999999997</v>
      </c>
      <c r="D45" s="1012">
        <f>+Historicals!AP74</f>
        <v>-2.875</v>
      </c>
      <c r="E45" s="1012">
        <f>+Historicals!AQ74</f>
        <v>-0.97</v>
      </c>
      <c r="F45" s="1012">
        <f>+Historicals!AR74</f>
        <v>15.149999999999999</v>
      </c>
      <c r="G45" s="1012">
        <f>+Historicals!AS74</f>
        <v>9.5539999999999985</v>
      </c>
      <c r="H45" s="1012">
        <f>+Historicals!AT74</f>
        <v>-7.048</v>
      </c>
      <c r="I45" s="1132">
        <f>+Historicals!AU74</f>
        <v>-18.088000000000001</v>
      </c>
      <c r="J45" s="1186">
        <f>+Historicals!AV74</f>
        <v>-25.700000000000003</v>
      </c>
      <c r="K45" s="1043">
        <v>0</v>
      </c>
      <c r="L45" s="1043">
        <v>0</v>
      </c>
      <c r="M45" s="1043">
        <v>0</v>
      </c>
      <c r="N45" s="1043">
        <v>0</v>
      </c>
      <c r="O45" s="1043">
        <v>0</v>
      </c>
      <c r="P45" s="1043">
        <v>0</v>
      </c>
      <c r="Q45" s="1043">
        <v>0</v>
      </c>
      <c r="R45" s="1043">
        <v>0</v>
      </c>
      <c r="S45" s="1043">
        <v>0</v>
      </c>
      <c r="T45" s="1043">
        <v>0</v>
      </c>
      <c r="U45" s="1043">
        <v>0</v>
      </c>
    </row>
    <row r="46" spans="1:21" s="1019" customFormat="1" ht="12" hidden="1" outlineLevel="1" x14ac:dyDescent="0.3">
      <c r="A46" s="1015" t="s">
        <v>736</v>
      </c>
      <c r="B46" s="1016"/>
      <c r="C46" s="1021"/>
      <c r="D46" s="1021"/>
      <c r="E46" s="1021"/>
      <c r="F46" s="1021">
        <f t="shared" ref="F46:T46" si="78">+F45/AVERAGE(F58)</f>
        <v>0.91155234657039619</v>
      </c>
      <c r="G46" s="1021">
        <f t="shared" si="78"/>
        <v>-0.29489474658929538</v>
      </c>
      <c r="H46" s="1023">
        <f t="shared" si="78"/>
        <v>6.8622391852551423E-2</v>
      </c>
      <c r="I46" s="1134">
        <f t="shared" si="78"/>
        <v>6.1481985044187622E-2</v>
      </c>
      <c r="J46" s="1153">
        <f t="shared" si="78"/>
        <v>4.5885546310508202E-2</v>
      </c>
      <c r="K46" s="1023" t="e">
        <f t="shared" si="78"/>
        <v>#DIV/0!</v>
      </c>
      <c r="L46" s="1023" t="e">
        <f t="shared" si="78"/>
        <v>#DIV/0!</v>
      </c>
      <c r="M46" s="1023" t="e">
        <f t="shared" si="78"/>
        <v>#DIV/0!</v>
      </c>
      <c r="N46" s="1023" t="e">
        <f t="shared" si="78"/>
        <v>#DIV/0!</v>
      </c>
      <c r="O46" s="1023" t="e">
        <f t="shared" si="78"/>
        <v>#DIV/0!</v>
      </c>
      <c r="P46" s="1023" t="e">
        <f t="shared" si="78"/>
        <v>#DIV/0!</v>
      </c>
      <c r="Q46" s="1023" t="e">
        <f t="shared" si="78"/>
        <v>#DIV/0!</v>
      </c>
      <c r="R46" s="1023" t="e">
        <f t="shared" si="78"/>
        <v>#DIV/0!</v>
      </c>
      <c r="S46" s="1023" t="e">
        <f t="shared" si="78"/>
        <v>#DIV/0!</v>
      </c>
      <c r="T46" s="1023" t="e">
        <f t="shared" si="78"/>
        <v>#DIV/0!</v>
      </c>
      <c r="U46" s="1023" t="e">
        <f t="shared" ref="U46" si="79">+U45/AVERAGE(U58)</f>
        <v>#DIV/0!</v>
      </c>
    </row>
    <row r="47" spans="1:21" ht="12" collapsed="1" x14ac:dyDescent="0.3">
      <c r="C47" s="1049"/>
      <c r="D47" s="1049"/>
      <c r="E47" s="1049"/>
      <c r="F47" s="1049"/>
      <c r="G47" s="1037"/>
      <c r="H47" s="1037"/>
      <c r="I47" s="1138"/>
      <c r="J47" s="1155"/>
      <c r="K47" s="1037"/>
      <c r="L47" s="1037"/>
      <c r="M47" s="1037"/>
      <c r="N47" s="1037"/>
      <c r="O47" s="1037"/>
      <c r="P47" s="1037"/>
      <c r="Q47" s="1037"/>
      <c r="R47" s="1037"/>
      <c r="S47" s="1037"/>
      <c r="T47" s="1037"/>
      <c r="U47" s="1037"/>
    </row>
    <row r="48" spans="1:21" x14ac:dyDescent="0.25">
      <c r="A48" s="995" t="s">
        <v>737</v>
      </c>
      <c r="C48" s="1013">
        <f t="shared" ref="C48:T48" si="80">+MAX((C26-C45-C42)*C49,0)</f>
        <v>6.8926000000000016</v>
      </c>
      <c r="D48" s="1013">
        <f t="shared" si="80"/>
        <v>12.573859999999994</v>
      </c>
      <c r="E48" s="1013">
        <f t="shared" si="80"/>
        <v>8.691020000000039</v>
      </c>
      <c r="F48" s="1013">
        <f t="shared" si="80"/>
        <v>24.779559999999996</v>
      </c>
      <c r="G48" s="1013">
        <f t="shared" si="80"/>
        <v>38.239239999999988</v>
      </c>
      <c r="H48" s="1013">
        <f t="shared" si="80"/>
        <v>44.862220000000008</v>
      </c>
      <c r="I48" s="1136">
        <f t="shared" si="80"/>
        <v>69.598880000000008</v>
      </c>
      <c r="J48" s="1150">
        <f t="shared" si="80"/>
        <v>104.4879369276842</v>
      </c>
      <c r="K48" s="1013">
        <f t="shared" si="80"/>
        <v>109.33972507814333</v>
      </c>
      <c r="L48" s="1013">
        <f t="shared" si="80"/>
        <v>122.26589361214702</v>
      </c>
      <c r="M48" s="1013">
        <f t="shared" si="80"/>
        <v>135.6409144910771</v>
      </c>
      <c r="N48" s="1013">
        <f t="shared" si="80"/>
        <v>148.52290703724594</v>
      </c>
      <c r="O48" s="1013">
        <f t="shared" si="80"/>
        <v>162.93124063376987</v>
      </c>
      <c r="P48" s="1013">
        <f t="shared" si="80"/>
        <v>179.00480754831241</v>
      </c>
      <c r="Q48" s="1013">
        <f t="shared" si="80"/>
        <v>196.89495422864073</v>
      </c>
      <c r="R48" s="1013">
        <f t="shared" si="80"/>
        <v>216.76658506092954</v>
      </c>
      <c r="S48" s="1013">
        <f t="shared" si="80"/>
        <v>238.79936302264042</v>
      </c>
      <c r="T48" s="1013">
        <f t="shared" si="80"/>
        <v>263.18901566905623</v>
      </c>
      <c r="U48" s="1013">
        <f t="shared" ref="U48" si="81">+MAX((U26-U45-U42)*U49,0)</f>
        <v>288.7389044701838</v>
      </c>
    </row>
    <row r="49" spans="1:21" ht="12" x14ac:dyDescent="0.3">
      <c r="A49" s="1015" t="s">
        <v>738</v>
      </c>
      <c r="B49" s="1016"/>
      <c r="C49" s="1050">
        <v>0.26</v>
      </c>
      <c r="D49" s="1050">
        <v>0.26</v>
      </c>
      <c r="E49" s="1050">
        <v>0.26</v>
      </c>
      <c r="F49" s="1050">
        <f t="shared" ref="F49:T49" si="82">+E49</f>
        <v>0.26</v>
      </c>
      <c r="G49" s="1050">
        <f t="shared" si="82"/>
        <v>0.26</v>
      </c>
      <c r="H49" s="1050">
        <f t="shared" si="82"/>
        <v>0.26</v>
      </c>
      <c r="I49" s="1141">
        <f t="shared" si="82"/>
        <v>0.26</v>
      </c>
      <c r="J49" s="1156">
        <f t="shared" si="82"/>
        <v>0.26</v>
      </c>
      <c r="K49" s="1050">
        <f t="shared" si="82"/>
        <v>0.26</v>
      </c>
      <c r="L49" s="1050">
        <f t="shared" si="82"/>
        <v>0.26</v>
      </c>
      <c r="M49" s="1050">
        <f t="shared" si="82"/>
        <v>0.26</v>
      </c>
      <c r="N49" s="1050">
        <f t="shared" si="82"/>
        <v>0.26</v>
      </c>
      <c r="O49" s="1050">
        <f t="shared" si="82"/>
        <v>0.26</v>
      </c>
      <c r="P49" s="1050">
        <f t="shared" si="82"/>
        <v>0.26</v>
      </c>
      <c r="Q49" s="1050">
        <f t="shared" si="82"/>
        <v>0.26</v>
      </c>
      <c r="R49" s="1050">
        <f t="shared" si="82"/>
        <v>0.26</v>
      </c>
      <c r="S49" s="1050">
        <f t="shared" si="82"/>
        <v>0.26</v>
      </c>
      <c r="T49" s="1050">
        <f t="shared" si="82"/>
        <v>0.26</v>
      </c>
      <c r="U49" s="1050">
        <f t="shared" ref="U49" si="83">+T49</f>
        <v>0.26</v>
      </c>
    </row>
    <row r="50" spans="1:21" x14ac:dyDescent="0.25">
      <c r="G50" s="1037"/>
      <c r="H50" s="1037"/>
      <c r="I50" s="1138"/>
      <c r="J50" s="1155"/>
      <c r="K50" s="1037"/>
      <c r="L50" s="1037"/>
      <c r="M50" s="1037"/>
      <c r="N50" s="1037"/>
      <c r="O50" s="1037"/>
      <c r="P50" s="1037"/>
      <c r="Q50" s="1037"/>
      <c r="R50" s="1037"/>
      <c r="S50" s="1037"/>
      <c r="T50" s="1037"/>
      <c r="U50" s="1037"/>
    </row>
    <row r="51" spans="1:21" x14ac:dyDescent="0.25">
      <c r="A51" s="995" t="s">
        <v>699</v>
      </c>
      <c r="C51" s="1011">
        <f t="shared" ref="C51:T51" si="84">+C35-C45-C48</f>
        <v>38.373400000000004</v>
      </c>
      <c r="D51" s="1011">
        <f t="shared" si="84"/>
        <v>37.747139999999959</v>
      </c>
      <c r="E51" s="1011">
        <f t="shared" si="84"/>
        <v>24.154980000000108</v>
      </c>
      <c r="F51" s="1011">
        <f t="shared" si="84"/>
        <v>84.025439999999975</v>
      </c>
      <c r="G51" s="1011">
        <f t="shared" si="84"/>
        <v>106.11175999999998</v>
      </c>
      <c r="H51" s="1011">
        <f t="shared" si="84"/>
        <v>128.53878</v>
      </c>
      <c r="I51" s="1142">
        <f t="shared" si="84"/>
        <v>205.26411999999999</v>
      </c>
      <c r="J51" s="1157">
        <f t="shared" si="84"/>
        <v>301.92111403285105</v>
      </c>
      <c r="K51" s="1011">
        <f t="shared" si="84"/>
        <v>314.63004953800402</v>
      </c>
      <c r="L51" s="1011">
        <f t="shared" si="84"/>
        <v>349.71991382709137</v>
      </c>
      <c r="M51" s="1011">
        <f t="shared" si="84"/>
        <v>389.62670642475109</v>
      </c>
      <c r="N51" s="1011">
        <f t="shared" si="84"/>
        <v>428.85325314016512</v>
      </c>
      <c r="O51" s="1011">
        <f t="shared" si="84"/>
        <v>471.52911231321593</v>
      </c>
      <c r="P51" s="1011">
        <f t="shared" si="84"/>
        <v>517.97800158624477</v>
      </c>
      <c r="Q51" s="1011">
        <f t="shared" si="84"/>
        <v>568.55335782463862</v>
      </c>
      <c r="R51" s="1011">
        <f t="shared" si="84"/>
        <v>623.64102039960619</v>
      </c>
      <c r="S51" s="1011">
        <f t="shared" si="84"/>
        <v>683.66215359317175</v>
      </c>
      <c r="T51" s="1011">
        <f t="shared" si="84"/>
        <v>749.07642921192928</v>
      </c>
      <c r="U51" s="1011">
        <f t="shared" ref="U51" si="85">+U35-U45-U48</f>
        <v>821.79534349206165</v>
      </c>
    </row>
    <row r="52" spans="1:21" s="1019" customFormat="1" ht="12" x14ac:dyDescent="0.3">
      <c r="A52" s="1015" t="s">
        <v>730</v>
      </c>
      <c r="B52" s="1016"/>
      <c r="C52" s="1014"/>
      <c r="D52" s="1014">
        <f t="shared" ref="D52" si="86">IF(OR(D51&lt;0, C51&lt;0), "NM", D51/C51-1)</f>
        <v>-1.6320159277000368E-2</v>
      </c>
      <c r="E52" s="1014">
        <f t="shared" ref="E52" si="87">IF(OR(E51&lt;0, D51&lt;0), "NM", E51/D51-1)</f>
        <v>-0.36008449911701568</v>
      </c>
      <c r="F52" s="1014">
        <f t="shared" ref="F52:T52" si="88">IF(OR(F51&lt;0, E51&lt;0), "NM", F51/E51-1)</f>
        <v>2.478596960129944</v>
      </c>
      <c r="G52" s="1014">
        <f t="shared" si="88"/>
        <v>0.2628527741122213</v>
      </c>
      <c r="H52" s="1014">
        <f t="shared" si="88"/>
        <v>0.21135282272200584</v>
      </c>
      <c r="I52" s="1133">
        <f t="shared" si="88"/>
        <v>0.59690421832228369</v>
      </c>
      <c r="J52" s="1152">
        <f t="shared" si="88"/>
        <v>0.47089084070246212</v>
      </c>
      <c r="K52" s="1014">
        <f t="shared" si="88"/>
        <v>4.209356323377289E-2</v>
      </c>
      <c r="L52" s="1014">
        <f t="shared" si="88"/>
        <v>0.11152737744094243</v>
      </c>
      <c r="M52" s="1014">
        <f t="shared" si="88"/>
        <v>0.11411072409617051</v>
      </c>
      <c r="N52" s="1014">
        <f t="shared" si="88"/>
        <v>0.10067725355728374</v>
      </c>
      <c r="O52" s="1014">
        <f t="shared" si="88"/>
        <v>9.9511566860150946E-2</v>
      </c>
      <c r="P52" s="1014">
        <f t="shared" si="88"/>
        <v>9.8506938511518483E-2</v>
      </c>
      <c r="Q52" s="1014">
        <f t="shared" si="88"/>
        <v>9.7639969426332796E-2</v>
      </c>
      <c r="R52" s="1014">
        <f t="shared" si="88"/>
        <v>9.6890928207231664E-2</v>
      </c>
      <c r="S52" s="1014">
        <f t="shared" si="88"/>
        <v>9.6243080923551494E-2</v>
      </c>
      <c r="T52" s="1014">
        <f t="shared" si="88"/>
        <v>9.5682165927944096E-2</v>
      </c>
      <c r="U52" s="1014">
        <f t="shared" ref="U52" si="89">IF(OR(U51&lt;0, T51&lt;0), "NM", U51/T51-1)</f>
        <v>9.7078097032951227E-2</v>
      </c>
    </row>
    <row r="53" spans="1:21" s="1019" customFormat="1" ht="12" x14ac:dyDescent="0.3">
      <c r="A53" s="1015"/>
      <c r="B53" s="1016"/>
      <c r="C53" s="1014"/>
      <c r="D53" s="1014"/>
      <c r="E53" s="1014"/>
      <c r="F53" s="1014"/>
      <c r="G53" s="1014"/>
      <c r="H53" s="1014"/>
      <c r="I53" s="1133"/>
      <c r="J53" s="1152"/>
      <c r="K53" s="1014"/>
      <c r="L53" s="1014"/>
      <c r="M53" s="1014"/>
      <c r="N53" s="1014"/>
      <c r="O53" s="1014"/>
      <c r="P53" s="1014"/>
      <c r="Q53" s="1014"/>
      <c r="R53" s="1014"/>
      <c r="S53" s="1014"/>
      <c r="T53" s="1014"/>
      <c r="U53" s="1014"/>
    </row>
    <row r="54" spans="1:21" x14ac:dyDescent="0.25">
      <c r="A54" s="995" t="s">
        <v>658</v>
      </c>
      <c r="C54" s="1012">
        <f>+Historicals!AO48</f>
        <v>20.817</v>
      </c>
      <c r="D54" s="1012">
        <f>+Historicals!AP48</f>
        <v>16.675999999999998</v>
      </c>
      <c r="E54" s="1012">
        <f>+Historicals!AQ48</f>
        <v>23.609000000000002</v>
      </c>
      <c r="F54" s="1012">
        <f>+Historicals!AR48</f>
        <v>39.332999999999998</v>
      </c>
      <c r="G54" s="1012">
        <f>+Historicals!AS48</f>
        <v>18.57</v>
      </c>
      <c r="H54" s="1012">
        <f>+Historicals!AT48</f>
        <v>20.32</v>
      </c>
      <c r="I54" s="1132">
        <f>+Historicals!AU88</f>
        <v>31.461999999999996</v>
      </c>
      <c r="J54" s="1186">
        <f>+Historicals!AV88</f>
        <v>38.448999999999998</v>
      </c>
      <c r="K54" s="1043">
        <v>0</v>
      </c>
      <c r="L54" s="1043">
        <v>0</v>
      </c>
      <c r="M54" s="1043">
        <v>0</v>
      </c>
      <c r="N54" s="1043">
        <v>0</v>
      </c>
      <c r="O54" s="1043">
        <v>0</v>
      </c>
      <c r="P54" s="1043">
        <v>0</v>
      </c>
      <c r="Q54" s="1043">
        <v>0</v>
      </c>
      <c r="R54" s="1043">
        <v>0</v>
      </c>
      <c r="S54" s="1043">
        <v>0</v>
      </c>
      <c r="T54" s="1043">
        <v>0</v>
      </c>
      <c r="U54" s="1043">
        <v>0</v>
      </c>
    </row>
    <row r="55" spans="1:21" ht="13" x14ac:dyDescent="0.4">
      <c r="A55" s="995" t="s">
        <v>703</v>
      </c>
      <c r="C55" s="1048">
        <f t="shared" ref="C55:I55" si="90">+C56-C51-C54</f>
        <v>-12.067399999999999</v>
      </c>
      <c r="D55" s="1048">
        <f t="shared" si="90"/>
        <v>17.742860000000068</v>
      </c>
      <c r="E55" s="1048">
        <f t="shared" si="90"/>
        <v>-40.020980000000087</v>
      </c>
      <c r="F55" s="1048">
        <f t="shared" si="90"/>
        <v>-65.78643999999997</v>
      </c>
      <c r="G55" s="1048">
        <f t="shared" si="90"/>
        <v>-18.434759999999962</v>
      </c>
      <c r="H55" s="1048">
        <f t="shared" si="90"/>
        <v>-55.212779999999945</v>
      </c>
      <c r="I55" s="1143">
        <f t="shared" si="90"/>
        <v>-60.437120000000057</v>
      </c>
      <c r="J55" s="1298">
        <f t="shared" ref="J55" si="91">+J56-J51-J54</f>
        <v>-65.216890596614562</v>
      </c>
      <c r="K55" s="1047">
        <f t="shared" ref="K55:T55" si="92">+J55/(J8-I8)*(K8-J8)</f>
        <v>-54.310361563737061</v>
      </c>
      <c r="L55" s="1047">
        <f t="shared" si="92"/>
        <v>-59.366656225320988</v>
      </c>
      <c r="M55" s="1047">
        <f t="shared" si="92"/>
        <v>-64.893691919898359</v>
      </c>
      <c r="N55" s="1047">
        <f t="shared" si="92"/>
        <v>-60.954066283687197</v>
      </c>
      <c r="O55" s="1047">
        <f t="shared" si="92"/>
        <v>-65.830391586382149</v>
      </c>
      <c r="P55" s="1047">
        <f t="shared" si="92"/>
        <v>-71.096822913292769</v>
      </c>
      <c r="Q55" s="1047">
        <f t="shared" si="92"/>
        <v>-76.7845687463562</v>
      </c>
      <c r="R55" s="1047">
        <f t="shared" si="92"/>
        <v>-82.927334246064618</v>
      </c>
      <c r="S55" s="1047">
        <f t="shared" si="92"/>
        <v>-89.561520985749979</v>
      </c>
      <c r="T55" s="1047">
        <f t="shared" si="92"/>
        <v>-96.726442664609934</v>
      </c>
      <c r="U55" s="1047">
        <f t="shared" ref="U55" si="93">+T55/(T8-S8)*(U8-T8)</f>
        <v>-104.46455807777868</v>
      </c>
    </row>
    <row r="56" spans="1:21" x14ac:dyDescent="0.25">
      <c r="A56" s="1036" t="s">
        <v>704</v>
      </c>
      <c r="B56" s="1036"/>
      <c r="C56" s="1012">
        <f>+Historicals!AO90</f>
        <v>47.123000000000005</v>
      </c>
      <c r="D56" s="1012">
        <f>+Historicals!AP90</f>
        <v>72.166000000000025</v>
      </c>
      <c r="E56" s="1012">
        <f>+Historicals!AQ90</f>
        <v>7.7430000000000234</v>
      </c>
      <c r="F56" s="1012">
        <f>+Historicals!AR90</f>
        <v>57.572000000000003</v>
      </c>
      <c r="G56" s="1012">
        <f>+Historicals!AS90</f>
        <v>106.24700000000001</v>
      </c>
      <c r="H56" s="1012">
        <f>+Historicals!AT90</f>
        <v>93.646000000000058</v>
      </c>
      <c r="I56" s="1132">
        <f>+Historicals!AU90</f>
        <v>176.28899999999993</v>
      </c>
      <c r="J56" s="1158">
        <f>+Historicals!AV90</f>
        <v>275.15322343623649</v>
      </c>
      <c r="K56" s="1053">
        <f t="shared" ref="K56:T56" si="94">K51+K55+K54</f>
        <v>260.31968797426697</v>
      </c>
      <c r="L56" s="1053">
        <f t="shared" si="94"/>
        <v>290.35325760177039</v>
      </c>
      <c r="M56" s="1053">
        <f t="shared" si="94"/>
        <v>324.73301450485275</v>
      </c>
      <c r="N56" s="1053">
        <f t="shared" si="94"/>
        <v>367.89918685647791</v>
      </c>
      <c r="O56" s="1053">
        <f t="shared" si="94"/>
        <v>405.69872072683381</v>
      </c>
      <c r="P56" s="1053">
        <f t="shared" si="94"/>
        <v>446.88117867295199</v>
      </c>
      <c r="Q56" s="1053">
        <f t="shared" si="94"/>
        <v>491.76878907828245</v>
      </c>
      <c r="R56" s="1053">
        <f t="shared" si="94"/>
        <v>540.71368615354163</v>
      </c>
      <c r="S56" s="1053">
        <f t="shared" si="94"/>
        <v>594.10063260742174</v>
      </c>
      <c r="T56" s="1053">
        <f t="shared" si="94"/>
        <v>652.3499865473193</v>
      </c>
      <c r="U56" s="1053">
        <f t="shared" ref="U56" si="95">U51+U55+U54</f>
        <v>717.33078541428301</v>
      </c>
    </row>
    <row r="57" spans="1:21" ht="12" x14ac:dyDescent="0.3">
      <c r="C57" s="1014"/>
      <c r="D57" s="1014"/>
      <c r="E57" s="1014"/>
      <c r="F57" s="1014"/>
      <c r="G57" s="1037"/>
      <c r="H57" s="1032"/>
      <c r="I57" s="1138"/>
      <c r="J57" s="1155"/>
      <c r="K57" s="1037"/>
      <c r="L57" s="1037"/>
      <c r="M57" s="1037"/>
      <c r="N57" s="1037"/>
      <c r="O57" s="1037"/>
      <c r="P57" s="1037"/>
      <c r="Q57" s="1037"/>
      <c r="R57" s="1014"/>
      <c r="S57" s="1014"/>
      <c r="T57" s="1014"/>
      <c r="U57" s="1014"/>
    </row>
    <row r="58" spans="1:21" x14ac:dyDescent="0.25">
      <c r="A58" s="1022" t="s">
        <v>771</v>
      </c>
      <c r="C58" s="1012">
        <f>+Historicals!AO95</f>
        <v>-231.113</v>
      </c>
      <c r="D58" s="1012">
        <f>+Historicals!AP95</f>
        <v>-283.12099999999998</v>
      </c>
      <c r="E58" s="1012">
        <f>+Historicals!AQ95</f>
        <v>-212.29900000000001</v>
      </c>
      <c r="F58" s="1012">
        <f>+Historicals!AR95</f>
        <v>16.620000000000015</v>
      </c>
      <c r="G58" s="1012">
        <f>+Historicals!AS95</f>
        <v>-32.398000000000025</v>
      </c>
      <c r="H58" s="1012">
        <f>+Historicals!AT95</f>
        <v>-102.70700000000002</v>
      </c>
      <c r="I58" s="1132">
        <f>+Historicals!AU95</f>
        <v>-294.20000000000005</v>
      </c>
      <c r="J58" s="1186">
        <f>+Historicals!AV95</f>
        <v>-560.08922343623647</v>
      </c>
      <c r="K58" s="1013">
        <f t="shared" ref="K58:T58" si="96">+K59*K26</f>
        <v>0</v>
      </c>
      <c r="L58" s="1013">
        <f t="shared" si="96"/>
        <v>0</v>
      </c>
      <c r="M58" s="1013">
        <f t="shared" si="96"/>
        <v>0</v>
      </c>
      <c r="N58" s="1013">
        <f t="shared" si="96"/>
        <v>0</v>
      </c>
      <c r="O58" s="1013">
        <f t="shared" si="96"/>
        <v>0</v>
      </c>
      <c r="P58" s="1013">
        <f t="shared" si="96"/>
        <v>0</v>
      </c>
      <c r="Q58" s="1013">
        <f t="shared" si="96"/>
        <v>0</v>
      </c>
      <c r="R58" s="1013">
        <f t="shared" si="96"/>
        <v>0</v>
      </c>
      <c r="S58" s="1013">
        <f t="shared" si="96"/>
        <v>0</v>
      </c>
      <c r="T58" s="1013">
        <f t="shared" si="96"/>
        <v>0</v>
      </c>
      <c r="U58" s="1013">
        <f t="shared" ref="U58" si="97">+U59*U26</f>
        <v>0</v>
      </c>
    </row>
    <row r="59" spans="1:21" ht="12" x14ac:dyDescent="0.3">
      <c r="A59" s="1015" t="s">
        <v>739</v>
      </c>
      <c r="B59" s="1015"/>
      <c r="C59" s="1054" t="str">
        <f t="shared" ref="C59:I59" si="98">+IF(OR(C58&lt;0,C26&lt; 0),"NM",C58/C26)</f>
        <v>NM</v>
      </c>
      <c r="D59" s="1054" t="str">
        <f t="shared" si="98"/>
        <v>NM</v>
      </c>
      <c r="E59" s="1054" t="str">
        <f t="shared" si="98"/>
        <v>NM</v>
      </c>
      <c r="F59" s="1054">
        <f t="shared" si="98"/>
        <v>8.2879127126208735E-2</v>
      </c>
      <c r="G59" s="1054" t="str">
        <f t="shared" si="98"/>
        <v>NM</v>
      </c>
      <c r="H59" s="1054" t="str">
        <f t="shared" si="98"/>
        <v>NM</v>
      </c>
      <c r="I59" s="1144" t="str">
        <f t="shared" si="98"/>
        <v>NM</v>
      </c>
      <c r="J59" s="1162" t="str">
        <f t="shared" ref="J59" si="99">+IF(OR(J58&lt;0,J26&lt; 0),"NM",J58/J26)</f>
        <v>NM</v>
      </c>
      <c r="K59" s="1056">
        <v>0</v>
      </c>
      <c r="L59" s="1056">
        <f t="shared" ref="L59:T59" si="100">+K59</f>
        <v>0</v>
      </c>
      <c r="M59" s="1056">
        <f t="shared" si="100"/>
        <v>0</v>
      </c>
      <c r="N59" s="1056">
        <f t="shared" si="100"/>
        <v>0</v>
      </c>
      <c r="O59" s="1056">
        <f t="shared" si="100"/>
        <v>0</v>
      </c>
      <c r="P59" s="1056">
        <f t="shared" si="100"/>
        <v>0</v>
      </c>
      <c r="Q59" s="1056">
        <f t="shared" si="100"/>
        <v>0</v>
      </c>
      <c r="R59" s="1056">
        <f t="shared" si="100"/>
        <v>0</v>
      </c>
      <c r="S59" s="1056">
        <f t="shared" si="100"/>
        <v>0</v>
      </c>
      <c r="T59" s="1056">
        <f t="shared" si="100"/>
        <v>0</v>
      </c>
      <c r="U59" s="1056">
        <f t="shared" ref="U59" si="101">+T59</f>
        <v>0</v>
      </c>
    </row>
    <row r="60" spans="1:21" ht="12" x14ac:dyDescent="0.3">
      <c r="A60" s="1015"/>
      <c r="B60" s="1015"/>
      <c r="C60" s="1054"/>
      <c r="D60" s="1054"/>
      <c r="E60" s="1054"/>
      <c r="F60" s="1054"/>
      <c r="G60" s="1057"/>
      <c r="H60" s="1057"/>
      <c r="I60" s="1145"/>
      <c r="J60" s="1159"/>
      <c r="K60" s="1059"/>
      <c r="L60" s="1059"/>
      <c r="M60" s="1059"/>
      <c r="N60" s="1059"/>
      <c r="O60" s="1059"/>
      <c r="P60" s="1059"/>
      <c r="Q60" s="1059"/>
      <c r="R60" s="1059"/>
      <c r="S60" s="1059"/>
      <c r="T60" s="1059"/>
      <c r="U60" s="1059"/>
    </row>
    <row r="61" spans="1:21" x14ac:dyDescent="0.25">
      <c r="A61" s="1036" t="s">
        <v>740</v>
      </c>
      <c r="B61" s="1036"/>
      <c r="F61" s="1060"/>
      <c r="G61" s="1060"/>
      <c r="H61" s="1060"/>
      <c r="I61" s="1142"/>
      <c r="J61" s="1157"/>
      <c r="K61" s="1011">
        <f t="shared" ref="K61:T61" si="102">+K56+(K58-J58)</f>
        <v>820.40891141050338</v>
      </c>
      <c r="L61" s="1011">
        <f t="shared" si="102"/>
        <v>290.35325760177039</v>
      </c>
      <c r="M61" s="1011">
        <f t="shared" si="102"/>
        <v>324.73301450485275</v>
      </c>
      <c r="N61" s="1011">
        <f t="shared" si="102"/>
        <v>367.89918685647791</v>
      </c>
      <c r="O61" s="1011">
        <f t="shared" si="102"/>
        <v>405.69872072683381</v>
      </c>
      <c r="P61" s="1011">
        <f t="shared" si="102"/>
        <v>446.88117867295199</v>
      </c>
      <c r="Q61" s="1011">
        <f t="shared" si="102"/>
        <v>491.76878907828245</v>
      </c>
      <c r="R61" s="1011">
        <f t="shared" si="102"/>
        <v>540.71368615354163</v>
      </c>
      <c r="S61" s="1011">
        <f t="shared" si="102"/>
        <v>594.10063260742174</v>
      </c>
      <c r="T61" s="1011">
        <f t="shared" si="102"/>
        <v>652.3499865473193</v>
      </c>
      <c r="U61" s="1011">
        <f t="shared" ref="U61" si="103">+U56+(U58-T58)</f>
        <v>717.33078541428301</v>
      </c>
    </row>
    <row r="62" spans="1:21" s="1019" customFormat="1" ht="12" x14ac:dyDescent="0.3">
      <c r="A62" s="1033" t="s">
        <v>741</v>
      </c>
      <c r="B62" s="1061"/>
      <c r="F62" s="1023"/>
      <c r="G62" s="1023"/>
      <c r="H62" s="1023"/>
      <c r="I62" s="1134"/>
      <c r="J62" s="1153"/>
      <c r="K62" s="1023">
        <f t="shared" ref="K62:U62" si="104">+K61/$C$89</f>
        <v>0.17516251553613588</v>
      </c>
      <c r="L62" s="1023">
        <f t="shared" si="104"/>
        <v>6.1992265427977221E-2</v>
      </c>
      <c r="M62" s="1023">
        <f t="shared" si="104"/>
        <v>6.9332561978768248E-2</v>
      </c>
      <c r="N62" s="1023">
        <f t="shared" si="104"/>
        <v>7.8548814057475561E-2</v>
      </c>
      <c r="O62" s="1023">
        <f t="shared" si="104"/>
        <v>8.6619254720341501E-2</v>
      </c>
      <c r="P62" s="1023">
        <f t="shared" si="104"/>
        <v>9.5411971168778212E-2</v>
      </c>
      <c r="Q62" s="1023">
        <f t="shared" si="104"/>
        <v>0.10499576121011961</v>
      </c>
      <c r="R62" s="1023">
        <f t="shared" si="104"/>
        <v>0.11544580773584522</v>
      </c>
      <c r="S62" s="1023">
        <f t="shared" si="104"/>
        <v>0.12684426002907673</v>
      </c>
      <c r="T62" s="1023">
        <f t="shared" si="104"/>
        <v>0.13928086721673552</v>
      </c>
      <c r="U62" s="1023">
        <f t="shared" si="104"/>
        <v>0.15315468066851287</v>
      </c>
    </row>
    <row r="63" spans="1:21" x14ac:dyDescent="0.25">
      <c r="I63" s="1146"/>
      <c r="J63" s="1149"/>
    </row>
    <row r="64" spans="1:21" x14ac:dyDescent="0.25">
      <c r="A64" s="1036" t="s">
        <v>742</v>
      </c>
      <c r="B64" s="1036"/>
      <c r="F64" s="1060"/>
      <c r="G64" s="1060"/>
      <c r="H64" s="1060"/>
      <c r="I64" s="1142"/>
      <c r="J64" s="1157"/>
      <c r="K64" s="1011">
        <f t="shared" ref="K64:T64" si="105">+J64+K61</f>
        <v>820.40891141050338</v>
      </c>
      <c r="L64" s="1011">
        <f t="shared" si="105"/>
        <v>1110.7621690122737</v>
      </c>
      <c r="M64" s="1011">
        <f t="shared" si="105"/>
        <v>1435.4951835171264</v>
      </c>
      <c r="N64" s="1011">
        <f t="shared" si="105"/>
        <v>1803.3943703736043</v>
      </c>
      <c r="O64" s="1011">
        <f t="shared" si="105"/>
        <v>2209.093091100438</v>
      </c>
      <c r="P64" s="1011">
        <f t="shared" si="105"/>
        <v>2655.97426977339</v>
      </c>
      <c r="Q64" s="1011">
        <f t="shared" si="105"/>
        <v>3147.7430588516727</v>
      </c>
      <c r="R64" s="1011">
        <f t="shared" si="105"/>
        <v>3688.4567450052145</v>
      </c>
      <c r="S64" s="1011">
        <f t="shared" si="105"/>
        <v>4282.5573776126366</v>
      </c>
      <c r="T64" s="1011">
        <f t="shared" si="105"/>
        <v>4934.9073641599562</v>
      </c>
      <c r="U64" s="1011">
        <f t="shared" ref="U64" si="106">+T64+U61</f>
        <v>5652.2381495742393</v>
      </c>
    </row>
    <row r="65" spans="1:29" s="1019" customFormat="1" ht="12" x14ac:dyDescent="0.3">
      <c r="A65" s="1033" t="s">
        <v>741</v>
      </c>
      <c r="B65" s="1061"/>
      <c r="F65" s="1023"/>
      <c r="G65" s="1023"/>
      <c r="H65" s="1023"/>
      <c r="I65" s="1134"/>
      <c r="J65" s="1153"/>
      <c r="K65" s="1023">
        <f t="shared" ref="K65:U65" si="107">+K64/$C$89</f>
        <v>0.17516251553613588</v>
      </c>
      <c r="L65" s="1023">
        <f t="shared" si="107"/>
        <v>0.2371547809641131</v>
      </c>
      <c r="M65" s="1023">
        <f t="shared" si="107"/>
        <v>0.30648734294288132</v>
      </c>
      <c r="N65" s="1023">
        <f t="shared" si="107"/>
        <v>0.38503615700035687</v>
      </c>
      <c r="O65" s="1023">
        <f t="shared" si="107"/>
        <v>0.47165541172069836</v>
      </c>
      <c r="P65" s="1023">
        <f t="shared" si="107"/>
        <v>0.56706738288947656</v>
      </c>
      <c r="Q65" s="1023">
        <f t="shared" si="107"/>
        <v>0.67206314409959622</v>
      </c>
      <c r="R65" s="1023">
        <f t="shared" si="107"/>
        <v>0.78750895183544145</v>
      </c>
      <c r="S65" s="1023">
        <f t="shared" si="107"/>
        <v>0.91435321186451834</v>
      </c>
      <c r="T65" s="1023">
        <f t="shared" si="107"/>
        <v>1.0536340790812539</v>
      </c>
      <c r="U65" s="1023">
        <f t="shared" si="107"/>
        <v>1.2067887597497668</v>
      </c>
    </row>
    <row r="66" spans="1:29" x14ac:dyDescent="0.25">
      <c r="I66" s="1146"/>
      <c r="J66" s="1149"/>
      <c r="W66" s="1063"/>
      <c r="X66" s="1063"/>
      <c r="Y66" s="1063"/>
      <c r="Z66" s="1063"/>
      <c r="AA66" s="1063"/>
      <c r="AB66" s="1063"/>
      <c r="AC66" s="1063"/>
    </row>
    <row r="67" spans="1:29" x14ac:dyDescent="0.25">
      <c r="A67" s="995" t="s">
        <v>743</v>
      </c>
      <c r="H67" s="1064"/>
      <c r="I67" s="1147"/>
      <c r="J67" s="1160">
        <f>+Base!J67</f>
        <v>26.928966901694956</v>
      </c>
      <c r="W67" s="1063"/>
      <c r="X67" s="1063"/>
      <c r="Y67" s="1063"/>
      <c r="Z67" s="1063"/>
      <c r="AA67" s="1063"/>
      <c r="AB67" s="1063"/>
      <c r="AC67" s="1063"/>
    </row>
    <row r="68" spans="1:29" x14ac:dyDescent="0.25">
      <c r="A68" s="995" t="s">
        <v>744</v>
      </c>
      <c r="B68" s="1064"/>
      <c r="C68" s="1064"/>
      <c r="D68" s="1064"/>
      <c r="E68" s="1064"/>
      <c r="F68" s="1064"/>
      <c r="G68" s="1064"/>
      <c r="H68" s="1064"/>
      <c r="I68" s="1147"/>
      <c r="J68" s="1160">
        <f>+($C$91+J$58-$C$90-J$64)/J$8</f>
        <v>1.7953353192756587</v>
      </c>
      <c r="K68" s="1064">
        <f t="shared" ref="K68:U68" si="108">+($C$89+K$58-K$64)/K$8</f>
        <v>1.5387407543104934</v>
      </c>
      <c r="L68" s="1064">
        <f t="shared" si="108"/>
        <v>1.3018879335080717</v>
      </c>
      <c r="M68" s="1064">
        <f t="shared" si="108"/>
        <v>1.0827586710753396</v>
      </c>
      <c r="N68" s="1064">
        <f t="shared" si="108"/>
        <v>0.8890027518416781</v>
      </c>
      <c r="O68" s="1064">
        <f t="shared" si="108"/>
        <v>0.7072077823757309</v>
      </c>
      <c r="P68" s="1064">
        <f t="shared" si="108"/>
        <v>0.53656991565757617</v>
      </c>
      <c r="Q68" s="1064">
        <f t="shared" si="108"/>
        <v>0.37633315841322312</v>
      </c>
      <c r="R68" s="1064">
        <f t="shared" si="108"/>
        <v>0.22578710756493015</v>
      </c>
      <c r="S68" s="1064">
        <f t="shared" si="108"/>
        <v>8.426472869385776E-2</v>
      </c>
      <c r="T68" s="1064">
        <f t="shared" si="108"/>
        <v>-4.8859815010718365E-2</v>
      </c>
      <c r="U68" s="1064">
        <f t="shared" si="108"/>
        <v>-0.17442718152518724</v>
      </c>
      <c r="V68" s="1064"/>
      <c r="W68" s="1066"/>
      <c r="X68" s="1066"/>
      <c r="Y68" s="1066"/>
      <c r="Z68" s="1066"/>
      <c r="AA68" s="1066"/>
      <c r="AB68" s="1066"/>
      <c r="AC68" s="1066"/>
    </row>
    <row r="69" spans="1:29" hidden="1" outlineLevel="1" x14ac:dyDescent="0.25">
      <c r="A69" s="995" t="s">
        <v>745</v>
      </c>
      <c r="B69" s="1064"/>
      <c r="C69" s="1064"/>
      <c r="D69" s="1064"/>
      <c r="E69" s="1064"/>
      <c r="F69" s="1064"/>
      <c r="G69" s="1064"/>
      <c r="H69" s="1064"/>
      <c r="I69" s="1147"/>
      <c r="J69" s="1160">
        <f t="shared" ref="J69:U69" si="109">+($C$89+J$58-J$64)/J$26</f>
        <v>8.4541015304552456</v>
      </c>
      <c r="K69" s="1064">
        <f t="shared" si="109"/>
        <v>7.1411230130973387</v>
      </c>
      <c r="L69" s="1064">
        <f t="shared" si="109"/>
        <v>5.955860399751983</v>
      </c>
      <c r="M69" s="1064">
        <f t="shared" si="109"/>
        <v>4.8838300212357799</v>
      </c>
      <c r="N69" s="1064">
        <f t="shared" si="109"/>
        <v>3.9543544163361091</v>
      </c>
      <c r="O69" s="1064">
        <f t="shared" si="109"/>
        <v>3.1027474771138661</v>
      </c>
      <c r="P69" s="1064">
        <f t="shared" si="109"/>
        <v>2.3223820756880205</v>
      </c>
      <c r="Q69" s="1064">
        <f t="shared" si="109"/>
        <v>1.6071879121707187</v>
      </c>
      <c r="R69" s="1064">
        <f t="shared" si="109"/>
        <v>0.95160544206394426</v>
      </c>
      <c r="S69" s="1064">
        <f t="shared" si="109"/>
        <v>0.35054355875070387</v>
      </c>
      <c r="T69" s="1064">
        <f t="shared" si="109"/>
        <v>-0.20065927020906821</v>
      </c>
      <c r="U69" s="1064">
        <f t="shared" si="109"/>
        <v>-0.70730027260449491</v>
      </c>
      <c r="V69" s="1064"/>
      <c r="W69" s="1066"/>
      <c r="X69" s="1066"/>
      <c r="Y69" s="1066"/>
      <c r="Z69" s="1066"/>
      <c r="AA69" s="1066"/>
      <c r="AB69" s="1066"/>
      <c r="AC69" s="1066"/>
    </row>
    <row r="70" spans="1:29" collapsed="1" x14ac:dyDescent="0.25">
      <c r="A70" s="995" t="s">
        <v>746</v>
      </c>
      <c r="B70" s="1064"/>
      <c r="C70" s="1064"/>
      <c r="D70" s="1064"/>
      <c r="E70" s="1064"/>
      <c r="F70" s="1064"/>
      <c r="G70" s="1064"/>
      <c r="H70" s="1064"/>
      <c r="I70" s="1147"/>
      <c r="J70" s="1160">
        <f t="shared" ref="J70:U70" si="110">+($C$89+J$58-J$64)/J$35</f>
        <v>10.831400308024781</v>
      </c>
      <c r="K70" s="1064">
        <f t="shared" si="110"/>
        <v>9.1121883567413136</v>
      </c>
      <c r="L70" s="1064">
        <f t="shared" si="110"/>
        <v>7.5700140342158324</v>
      </c>
      <c r="M70" s="1064">
        <f t="shared" si="110"/>
        <v>6.1839071026260433</v>
      </c>
      <c r="N70" s="1064">
        <f t="shared" si="110"/>
        <v>4.9886143273032966</v>
      </c>
      <c r="O70" s="1064">
        <f t="shared" si="110"/>
        <v>3.9003355413515255</v>
      </c>
      <c r="P70" s="1064">
        <f t="shared" si="110"/>
        <v>2.909292824628539</v>
      </c>
      <c r="Q70" s="1064">
        <f t="shared" si="110"/>
        <v>2.0066126898969716</v>
      </c>
      <c r="R70" s="1064">
        <f t="shared" si="110"/>
        <v>1.1842403659916909</v>
      </c>
      <c r="S70" s="1064">
        <f t="shared" si="110"/>
        <v>0.43486256113644706</v>
      </c>
      <c r="T70" s="1064">
        <f t="shared" si="110"/>
        <v>-0.2481621892284302</v>
      </c>
      <c r="U70" s="1064">
        <f t="shared" si="110"/>
        <v>-0.87213590762593618</v>
      </c>
      <c r="V70" s="1064"/>
      <c r="W70" s="1066"/>
      <c r="X70" s="1066"/>
      <c r="Y70" s="1066"/>
      <c r="Z70" s="1066"/>
      <c r="AA70" s="1066"/>
      <c r="AB70" s="1066"/>
      <c r="AC70" s="1066"/>
    </row>
    <row r="71" spans="1:29" hidden="1" outlineLevel="1" x14ac:dyDescent="0.25">
      <c r="A71" s="995" t="s">
        <v>747</v>
      </c>
      <c r="B71" s="1064"/>
      <c r="C71" s="1064"/>
      <c r="D71" s="1064"/>
      <c r="E71" s="1064"/>
      <c r="F71" s="1064"/>
      <c r="G71" s="1064"/>
      <c r="H71" s="1064"/>
      <c r="I71" s="1147"/>
      <c r="J71" s="1160">
        <f>+($C$89-J64)/156.4</f>
        <v>29.946939611751915</v>
      </c>
      <c r="K71" s="1064">
        <f>+($C$89-K64)/180.7</f>
        <v>21.37959293783894</v>
      </c>
      <c r="L71" s="1064"/>
      <c r="M71" s="1064"/>
      <c r="N71" s="1064"/>
      <c r="O71" s="1064"/>
      <c r="P71" s="1064"/>
      <c r="Q71" s="1064"/>
      <c r="R71" s="1064"/>
      <c r="S71" s="1064"/>
      <c r="T71" s="1064"/>
      <c r="U71" s="1064"/>
      <c r="V71" s="1064"/>
      <c r="W71" s="1066"/>
      <c r="X71" s="1066"/>
      <c r="Y71" s="1066"/>
      <c r="Z71" s="1066"/>
      <c r="AA71" s="1066"/>
      <c r="AB71" s="1066"/>
      <c r="AC71" s="1066"/>
    </row>
    <row r="72" spans="1:29" outlineLevel="1" x14ac:dyDescent="0.25">
      <c r="B72" s="1064"/>
      <c r="C72" s="1064"/>
      <c r="D72" s="1064"/>
      <c r="E72" s="1064"/>
      <c r="F72" s="1064"/>
      <c r="G72" s="1064"/>
      <c r="H72" s="1064"/>
      <c r="I72" s="1147"/>
      <c r="J72" s="1160"/>
      <c r="K72" s="1064"/>
      <c r="L72" s="1064"/>
      <c r="M72" s="1064"/>
      <c r="N72" s="1064"/>
      <c r="O72" s="1064"/>
      <c r="P72" s="1064"/>
      <c r="Q72" s="1064"/>
      <c r="R72" s="1064"/>
      <c r="S72" s="1064"/>
      <c r="T72" s="1064"/>
      <c r="U72" s="1064"/>
      <c r="V72" s="1064"/>
      <c r="W72" s="1066"/>
      <c r="X72" s="1066"/>
      <c r="Y72" s="1066"/>
      <c r="Z72" s="1066"/>
      <c r="AA72" s="1066"/>
      <c r="AB72" s="1066"/>
      <c r="AC72" s="1066"/>
    </row>
    <row r="73" spans="1:29" x14ac:dyDescent="0.25">
      <c r="A73" s="995" t="s">
        <v>748</v>
      </c>
      <c r="B73" s="1064"/>
      <c r="C73" s="1064"/>
      <c r="D73" s="1064"/>
      <c r="E73" s="1064"/>
      <c r="F73" s="1064"/>
      <c r="G73" s="1064"/>
      <c r="H73" s="1064"/>
      <c r="I73" s="1147"/>
      <c r="J73" s="1160">
        <f t="shared" ref="J73:U73" si="111">+($C$89-J64)/(J26-J42-J45-J48)</f>
        <v>15.749423798481287</v>
      </c>
      <c r="K73" s="1064">
        <f t="shared" si="111"/>
        <v>12.414271389910821</v>
      </c>
      <c r="L73" s="1064">
        <f t="shared" si="111"/>
        <v>10.26743414948502</v>
      </c>
      <c r="M73" s="1064">
        <f t="shared" si="111"/>
        <v>8.4138449832632052</v>
      </c>
      <c r="N73" s="1064">
        <f t="shared" si="111"/>
        <v>6.8137620764392324</v>
      </c>
      <c r="O73" s="1064">
        <f t="shared" si="111"/>
        <v>5.3363428296623479</v>
      </c>
      <c r="P73" s="1064">
        <f t="shared" si="111"/>
        <v>3.9800308238732471</v>
      </c>
      <c r="Q73" s="1064">
        <f t="shared" si="111"/>
        <v>2.7408575561669188</v>
      </c>
      <c r="R73" s="1064">
        <f t="shared" si="111"/>
        <v>1.6131662481383038</v>
      </c>
      <c r="S73" s="1064">
        <f t="shared" si="111"/>
        <v>0.59021295892577008</v>
      </c>
      <c r="T73" s="1064">
        <f t="shared" si="111"/>
        <v>-0.33535430976814895</v>
      </c>
      <c r="U73" s="1064">
        <f t="shared" si="111"/>
        <v>-1.1785620373323462</v>
      </c>
      <c r="V73" s="1064"/>
      <c r="W73" s="1066"/>
      <c r="X73" s="1066"/>
      <c r="Y73" s="1066"/>
      <c r="Z73" s="1066"/>
      <c r="AA73" s="1066"/>
      <c r="AB73" s="1066"/>
      <c r="AC73" s="1066"/>
    </row>
    <row r="74" spans="1:29" x14ac:dyDescent="0.25">
      <c r="A74" s="995" t="s">
        <v>941</v>
      </c>
      <c r="B74" s="1064"/>
      <c r="C74" s="1064"/>
      <c r="D74" s="1064"/>
      <c r="E74" s="1064"/>
      <c r="F74" s="1064"/>
      <c r="G74" s="1064"/>
      <c r="H74" s="1064"/>
      <c r="I74" s="1147"/>
      <c r="J74" s="1160">
        <f t="shared" ref="J74:U74" si="112">+($C$89-J64+J58)/(J26-J42-J45-J48)</f>
        <v>13.866066625223601</v>
      </c>
      <c r="K74" s="1064">
        <f t="shared" si="112"/>
        <v>12.414271389910821</v>
      </c>
      <c r="L74" s="1064">
        <f t="shared" si="112"/>
        <v>10.26743414948502</v>
      </c>
      <c r="M74" s="1064">
        <f t="shared" si="112"/>
        <v>8.4138449832632052</v>
      </c>
      <c r="N74" s="1064">
        <f t="shared" si="112"/>
        <v>6.8137620764392324</v>
      </c>
      <c r="O74" s="1064">
        <f t="shared" si="112"/>
        <v>5.3363428296623479</v>
      </c>
      <c r="P74" s="1064">
        <f t="shared" si="112"/>
        <v>3.9800308238732471</v>
      </c>
      <c r="Q74" s="1064">
        <f t="shared" si="112"/>
        <v>2.7408575561669188</v>
      </c>
      <c r="R74" s="1064">
        <f t="shared" si="112"/>
        <v>1.6131662481383038</v>
      </c>
      <c r="S74" s="1064">
        <f t="shared" si="112"/>
        <v>0.59021295892577008</v>
      </c>
      <c r="T74" s="1064">
        <f t="shared" si="112"/>
        <v>-0.33535430976814895</v>
      </c>
      <c r="U74" s="1064">
        <f t="shared" si="112"/>
        <v>-1.1785620373323462</v>
      </c>
      <c r="V74" s="1064"/>
      <c r="W74" s="1066"/>
      <c r="X74" s="1066"/>
      <c r="Y74" s="1066"/>
      <c r="Z74" s="1066"/>
      <c r="AA74" s="1066"/>
      <c r="AB74" s="1066"/>
      <c r="AC74" s="1066"/>
    </row>
    <row r="75" spans="1:29" ht="5.15" customHeight="1" x14ac:dyDescent="0.25">
      <c r="B75" s="1064"/>
      <c r="C75" s="1064"/>
      <c r="D75" s="1064"/>
      <c r="E75" s="1064"/>
      <c r="F75" s="1064"/>
      <c r="G75" s="1064"/>
      <c r="H75" s="1064"/>
      <c r="I75" s="1163"/>
      <c r="J75" s="1160"/>
      <c r="K75" s="1064"/>
      <c r="L75" s="1064"/>
      <c r="M75" s="1064"/>
      <c r="N75" s="1064"/>
      <c r="O75" s="1064"/>
      <c r="P75" s="1064"/>
      <c r="Q75" s="1064"/>
      <c r="R75" s="1064"/>
      <c r="S75" s="1064"/>
      <c r="T75" s="1064"/>
      <c r="U75" s="1064"/>
      <c r="V75" s="1064"/>
      <c r="W75" s="1066"/>
      <c r="X75" s="1066"/>
      <c r="Y75" s="1066"/>
      <c r="Z75" s="1066"/>
      <c r="AA75" s="1066"/>
      <c r="AB75" s="1066"/>
      <c r="AC75" s="1066"/>
    </row>
    <row r="76" spans="1:29" x14ac:dyDescent="0.25">
      <c r="A76" s="995" t="s">
        <v>942</v>
      </c>
      <c r="C76" s="1067">
        <f t="shared" ref="C76:U76" si="113">+($C$89-C64)/C51</f>
        <v>122.05593862618375</v>
      </c>
      <c r="D76" s="1067">
        <f t="shared" si="113"/>
        <v>124.08095965092998</v>
      </c>
      <c r="E76" s="1067">
        <f t="shared" si="113"/>
        <v>193.90210032374191</v>
      </c>
      <c r="F76" s="1067">
        <f t="shared" si="113"/>
        <v>55.741467765929002</v>
      </c>
      <c r="G76" s="1067">
        <f t="shared" si="113"/>
        <v>44.139324004031231</v>
      </c>
      <c r="H76" s="1067">
        <f t="shared" si="113"/>
        <v>36.438041152078775</v>
      </c>
      <c r="I76" s="1163">
        <f t="shared" si="113"/>
        <v>22.817925291950683</v>
      </c>
      <c r="J76" s="1160">
        <f t="shared" si="113"/>
        <v>15.512997063095037</v>
      </c>
      <c r="K76" s="1064">
        <f t="shared" si="113"/>
        <v>12.278841291670238</v>
      </c>
      <c r="L76" s="1064">
        <f t="shared" si="113"/>
        <v>10.216573449209585</v>
      </c>
      <c r="M76" s="1064">
        <f t="shared" si="113"/>
        <v>8.3367133674349461</v>
      </c>
      <c r="N76" s="1064">
        <f t="shared" si="113"/>
        <v>6.7162997221406293</v>
      </c>
      <c r="O76" s="1064">
        <f t="shared" si="113"/>
        <v>5.2480498012894463</v>
      </c>
      <c r="P76" s="1064">
        <f t="shared" si="113"/>
        <v>3.9146973023853171</v>
      </c>
      <c r="Q76" s="1064">
        <f t="shared" si="113"/>
        <v>2.7015200513512219</v>
      </c>
      <c r="R76" s="1064">
        <f t="shared" si="113"/>
        <v>1.5958613653012583</v>
      </c>
      <c r="S76" s="1064">
        <f t="shared" si="113"/>
        <v>0.58675761932563097</v>
      </c>
      <c r="T76" s="1064">
        <f t="shared" si="113"/>
        <v>-0.33535430976814895</v>
      </c>
      <c r="U76" s="1064">
        <f t="shared" si="113"/>
        <v>-1.1785620373323462</v>
      </c>
      <c r="V76" s="1064"/>
      <c r="W76" s="1064"/>
      <c r="X76" s="1064"/>
      <c r="Y76" s="1064"/>
      <c r="Z76" s="1064"/>
      <c r="AA76" s="1064"/>
      <c r="AB76" s="1064"/>
      <c r="AC76" s="1064"/>
    </row>
    <row r="77" spans="1:29" x14ac:dyDescent="0.25">
      <c r="A77" s="995" t="s">
        <v>943</v>
      </c>
      <c r="C77" s="1067"/>
      <c r="D77" s="1067"/>
      <c r="E77" s="1067">
        <f t="shared" ref="E77:U77" si="114">+($C$89-E64+E58)/E51</f>
        <v>185.11306386003963</v>
      </c>
      <c r="F77" s="1067">
        <f t="shared" si="114"/>
        <v>55.939265004479608</v>
      </c>
      <c r="G77" s="1067">
        <f t="shared" si="114"/>
        <v>43.834004405147937</v>
      </c>
      <c r="H77" s="1067">
        <f t="shared" si="114"/>
        <v>35.639006028204093</v>
      </c>
      <c r="I77" s="1163">
        <f t="shared" si="114"/>
        <v>21.384649958687376</v>
      </c>
      <c r="J77" s="1160">
        <f t="shared" si="114"/>
        <v>13.657912415469847</v>
      </c>
      <c r="K77" s="1064">
        <f t="shared" si="114"/>
        <v>12.278841291670238</v>
      </c>
      <c r="L77" s="1064">
        <f t="shared" si="114"/>
        <v>10.216573449209585</v>
      </c>
      <c r="M77" s="1064">
        <f t="shared" si="114"/>
        <v>8.3367133674349461</v>
      </c>
      <c r="N77" s="1064">
        <f t="shared" si="114"/>
        <v>6.7162997221406293</v>
      </c>
      <c r="O77" s="1064">
        <f t="shared" si="114"/>
        <v>5.2480498012894463</v>
      </c>
      <c r="P77" s="1064">
        <f t="shared" si="114"/>
        <v>3.9146973023853171</v>
      </c>
      <c r="Q77" s="1064">
        <f t="shared" si="114"/>
        <v>2.7015200513512219</v>
      </c>
      <c r="R77" s="1064">
        <f t="shared" si="114"/>
        <v>1.5958613653012583</v>
      </c>
      <c r="S77" s="1064">
        <f t="shared" si="114"/>
        <v>0.58675761932563097</v>
      </c>
      <c r="T77" s="1064">
        <f t="shared" si="114"/>
        <v>-0.33535430976814895</v>
      </c>
      <c r="U77" s="1064">
        <f t="shared" si="114"/>
        <v>-1.1785620373323462</v>
      </c>
      <c r="V77" s="1064"/>
      <c r="W77" s="1064"/>
      <c r="X77" s="1064"/>
      <c r="Y77" s="1064"/>
      <c r="Z77" s="1064"/>
      <c r="AA77" s="1064"/>
      <c r="AB77" s="1064"/>
      <c r="AC77" s="1064"/>
    </row>
    <row r="78" spans="1:29" ht="7.5" customHeight="1" x14ac:dyDescent="0.25">
      <c r="F78" s="1064"/>
      <c r="G78" s="1064"/>
      <c r="H78" s="1064"/>
      <c r="I78" s="1064"/>
      <c r="J78" s="1064"/>
      <c r="K78" s="1064"/>
      <c r="L78" s="1064"/>
      <c r="M78" s="1064"/>
      <c r="N78" s="1064"/>
      <c r="O78" s="1064"/>
      <c r="P78" s="1064"/>
      <c r="Q78" s="1064"/>
      <c r="R78" s="1064"/>
      <c r="S78" s="1064"/>
      <c r="T78" s="1064"/>
      <c r="U78" s="1064"/>
    </row>
    <row r="79" spans="1:29" x14ac:dyDescent="0.25">
      <c r="A79" s="1006" t="s">
        <v>749</v>
      </c>
      <c r="B79" s="997"/>
      <c r="V79" s="1037"/>
      <c r="W79" s="1037"/>
      <c r="X79" s="1037"/>
      <c r="Y79" s="1037"/>
    </row>
    <row r="80" spans="1:29" ht="8.25" customHeight="1" x14ac:dyDescent="0.25">
      <c r="V80" s="1037"/>
      <c r="W80" s="1037"/>
      <c r="X80" s="1037"/>
      <c r="Y80" s="1037"/>
    </row>
    <row r="81" spans="1:25" x14ac:dyDescent="0.25">
      <c r="A81" s="1068" t="s">
        <v>750</v>
      </c>
      <c r="B81" s="1068"/>
      <c r="V81" s="1037"/>
      <c r="W81" s="1037"/>
      <c r="X81" s="1037"/>
      <c r="Y81" s="1037"/>
    </row>
    <row r="82" spans="1:25" ht="13" x14ac:dyDescent="0.4">
      <c r="A82" s="995" t="s">
        <v>751</v>
      </c>
      <c r="T82" s="1069">
        <v>15</v>
      </c>
      <c r="V82" s="1037"/>
      <c r="W82" s="1037"/>
      <c r="X82" s="1037"/>
      <c r="Y82" s="1037"/>
    </row>
    <row r="83" spans="1:25" ht="14.5" x14ac:dyDescent="0.55000000000000004">
      <c r="A83" s="1036" t="s">
        <v>752</v>
      </c>
      <c r="B83" s="1036"/>
      <c r="C83" s="1060"/>
      <c r="D83" s="1060"/>
      <c r="E83" s="1060"/>
      <c r="T83" s="1070">
        <f>+U51*T82</f>
        <v>12326.930152380924</v>
      </c>
      <c r="U83" s="1071"/>
      <c r="V83" s="1037"/>
      <c r="W83" s="1037"/>
      <c r="X83" s="1037"/>
      <c r="Y83" s="1037"/>
    </row>
    <row r="84" spans="1:25" x14ac:dyDescent="0.25">
      <c r="A84" s="1036" t="s">
        <v>753</v>
      </c>
      <c r="B84" s="1036"/>
      <c r="F84" s="1060"/>
      <c r="J84" s="1011">
        <f>-C89+J64</f>
        <v>-4683.7013552779999</v>
      </c>
      <c r="K84" s="1011">
        <f t="shared" ref="K84:S84" si="115">+K61</f>
        <v>820.40891141050338</v>
      </c>
      <c r="L84" s="1011">
        <f t="shared" si="115"/>
        <v>290.35325760177039</v>
      </c>
      <c r="M84" s="1011">
        <f t="shared" si="115"/>
        <v>324.73301450485275</v>
      </c>
      <c r="N84" s="1011">
        <f t="shared" si="115"/>
        <v>367.89918685647791</v>
      </c>
      <c r="O84" s="1011">
        <f t="shared" si="115"/>
        <v>405.69872072683381</v>
      </c>
      <c r="P84" s="1011">
        <f t="shared" si="115"/>
        <v>446.88117867295199</v>
      </c>
      <c r="Q84" s="1011">
        <f t="shared" si="115"/>
        <v>491.76878907828245</v>
      </c>
      <c r="R84" s="1011">
        <f t="shared" si="115"/>
        <v>540.71368615354163</v>
      </c>
      <c r="S84" s="1011">
        <f t="shared" si="115"/>
        <v>594.10063260742174</v>
      </c>
      <c r="T84" s="1011">
        <f>+T61+T83</f>
        <v>12979.280138928243</v>
      </c>
      <c r="U84" s="1011"/>
    </row>
    <row r="85" spans="1:25" x14ac:dyDescent="0.25">
      <c r="A85" s="1072" t="s">
        <v>754</v>
      </c>
      <c r="B85" s="1073"/>
      <c r="C85" s="1073"/>
      <c r="D85" s="1073"/>
      <c r="E85" s="1073"/>
      <c r="F85" s="1073"/>
      <c r="G85" s="1073"/>
      <c r="H85" s="1073"/>
      <c r="I85" s="1073"/>
      <c r="J85" s="1074">
        <f>XIRR(J84:T84,J3:T3)</f>
        <v>0.16301397681236271</v>
      </c>
      <c r="U85" s="1064"/>
    </row>
    <row r="86" spans="1:25" ht="7.5" customHeight="1" x14ac:dyDescent="0.25"/>
    <row r="87" spans="1:25" x14ac:dyDescent="0.25">
      <c r="A87" s="1075" t="s">
        <v>711</v>
      </c>
      <c r="B87" s="1076"/>
      <c r="C87" s="1077"/>
      <c r="D87" s="1078"/>
    </row>
    <row r="88" spans="1:25" x14ac:dyDescent="0.25">
      <c r="C88" s="1079" t="s">
        <v>712</v>
      </c>
      <c r="D88" s="1079" t="s">
        <v>713</v>
      </c>
    </row>
    <row r="89" spans="1:25" x14ac:dyDescent="0.25">
      <c r="A89" s="995" t="s">
        <v>714</v>
      </c>
      <c r="C89" s="1053">
        <f>+Base!C89</f>
        <v>4683.7013552779999</v>
      </c>
      <c r="D89" s="1091">
        <f>+Base!D89</f>
        <v>103.93</v>
      </c>
    </row>
    <row r="90" spans="1:25" ht="13" x14ac:dyDescent="0.4">
      <c r="A90" s="995" t="s">
        <v>771</v>
      </c>
      <c r="C90" s="1048">
        <f>+Base!C90</f>
        <v>-119.39999999999998</v>
      </c>
      <c r="D90" s="1092">
        <f>+Base!D90</f>
        <v>-2.6494520164092421</v>
      </c>
      <c r="E90" s="1082"/>
    </row>
    <row r="91" spans="1:25" x14ac:dyDescent="0.25">
      <c r="A91" s="1083" t="s">
        <v>715</v>
      </c>
      <c r="B91" s="1083"/>
      <c r="C91" s="1093">
        <f>+Base!C91</f>
        <v>4564.3013552780003</v>
      </c>
      <c r="D91" s="1094">
        <f>+Base!D91</f>
        <v>101.28054798359076</v>
      </c>
    </row>
    <row r="92" spans="1:25" ht="12" x14ac:dyDescent="0.3">
      <c r="A92" s="1015" t="s">
        <v>879</v>
      </c>
      <c r="B92" s="1015"/>
      <c r="C92" s="1013"/>
      <c r="D92" s="1095">
        <f>+Base!D92</f>
        <v>45.065922787241412</v>
      </c>
      <c r="E92" s="1008"/>
    </row>
    <row r="94" spans="1:25" x14ac:dyDescent="0.25">
      <c r="H94" s="1011">
        <f>+SUM(Historicals!T90:W90)</f>
        <v>99.781999999999982</v>
      </c>
    </row>
    <row r="95" spans="1:25" x14ac:dyDescent="0.25">
      <c r="H95" s="1087"/>
      <c r="I95" s="1087"/>
      <c r="J95" s="1087">
        <f>+J85</f>
        <v>0.16301397681236271</v>
      </c>
    </row>
    <row r="96" spans="1:25" x14ac:dyDescent="0.25">
      <c r="C96" s="1100"/>
    </row>
    <row r="101" spans="3:13" x14ac:dyDescent="0.25">
      <c r="C101" s="1100">
        <f t="shared" ref="C101:M101" si="116">+$D$89/C76</f>
        <v>0.85149482417486144</v>
      </c>
      <c r="D101" s="1100">
        <f t="shared" si="116"/>
        <v>0.83759829302078626</v>
      </c>
      <c r="E101" s="1100">
        <f t="shared" si="116"/>
        <v>0.53599213121712908</v>
      </c>
      <c r="F101" s="1100">
        <f t="shared" si="116"/>
        <v>1.8645005983054757</v>
      </c>
      <c r="G101" s="1100">
        <f t="shared" si="116"/>
        <v>2.3545897529039665</v>
      </c>
      <c r="H101" s="1100">
        <f t="shared" si="116"/>
        <v>2.8522389435325297</v>
      </c>
      <c r="I101" s="1100">
        <f t="shared" si="116"/>
        <v>4.5547524005901909</v>
      </c>
      <c r="J101" s="1100">
        <f t="shared" si="116"/>
        <v>6.699543587695663</v>
      </c>
      <c r="K101" s="1100">
        <f t="shared" si="116"/>
        <v>8.4641537040229018</v>
      </c>
      <c r="L101" s="1100">
        <f t="shared" si="116"/>
        <v>10.172686617159361</v>
      </c>
      <c r="M101" s="1100">
        <f t="shared" si="116"/>
        <v>12.466543518933213</v>
      </c>
    </row>
    <row r="102" spans="3:13" x14ac:dyDescent="0.25">
      <c r="C102" s="995" t="s">
        <v>897</v>
      </c>
      <c r="D102" s="995" t="s">
        <v>898</v>
      </c>
      <c r="E102" s="995" t="s">
        <v>899</v>
      </c>
      <c r="F102" s="995" t="s">
        <v>900</v>
      </c>
      <c r="G102" s="995" t="s">
        <v>901</v>
      </c>
      <c r="H102" s="995" t="s">
        <v>902</v>
      </c>
      <c r="I102" s="995" t="s">
        <v>903</v>
      </c>
      <c r="J102" s="995" t="s">
        <v>904</v>
      </c>
      <c r="K102" s="995" t="s">
        <v>905</v>
      </c>
      <c r="L102" s="995" t="s">
        <v>906</v>
      </c>
    </row>
    <row r="103" spans="3:13" x14ac:dyDescent="0.25">
      <c r="C103" s="995">
        <f t="shared" ref="C103:L103" si="117">+AVERAGE(C101:D101)</f>
        <v>0.84454655859782379</v>
      </c>
      <c r="D103" s="995">
        <f t="shared" si="117"/>
        <v>0.68679521211895767</v>
      </c>
      <c r="E103" s="995">
        <f t="shared" si="117"/>
        <v>1.2002463647613024</v>
      </c>
      <c r="F103" s="995">
        <f t="shared" si="117"/>
        <v>2.1095451756047212</v>
      </c>
      <c r="G103" s="995">
        <f t="shared" si="117"/>
        <v>2.6034143482182479</v>
      </c>
      <c r="H103" s="995">
        <f t="shared" si="117"/>
        <v>3.7034956720613605</v>
      </c>
      <c r="I103" s="995">
        <f t="shared" si="117"/>
        <v>5.627147994142927</v>
      </c>
      <c r="J103" s="995">
        <f t="shared" si="117"/>
        <v>7.5818486458592824</v>
      </c>
      <c r="K103" s="995">
        <f t="shared" si="117"/>
        <v>9.3184201605911312</v>
      </c>
      <c r="L103" s="995">
        <f t="shared" si="117"/>
        <v>11.319615068046286</v>
      </c>
    </row>
    <row r="108" spans="3:13" x14ac:dyDescent="0.25">
      <c r="G108" s="1088"/>
    </row>
  </sheetData>
  <pageMargins left="0.3" right="0.3" top="0.3" bottom="0.3" header="0.3" footer="0.3"/>
  <pageSetup scale="55" fitToHeight="0" orientation="landscape" r:id="rId1"/>
  <headerFooter>
    <oddFooter>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C589D-0578-4071-88F1-A4F4B022E4C4}">
  <sheetPr>
    <pageSetUpPr fitToPage="1"/>
  </sheetPr>
  <dimension ref="A1:AC104"/>
  <sheetViews>
    <sheetView view="pageBreakPreview" zoomScale="70" zoomScaleNormal="55" zoomScaleSheetLayoutView="70" workbookViewId="0">
      <pane xSplit="1" ySplit="5" topLeftCell="B6" activePane="bottomRight" state="frozen"/>
      <selection activeCell="B6" sqref="B6"/>
      <selection pane="topRight" activeCell="B6" sqref="B6"/>
      <selection pane="bottomLeft" activeCell="B6" sqref="B6"/>
      <selection pane="bottomRight" activeCell="B10" sqref="A10:XFD10"/>
    </sheetView>
  </sheetViews>
  <sheetFormatPr defaultColWidth="9.1796875" defaultRowHeight="11.5" outlineLevelRow="1" x14ac:dyDescent="0.25"/>
  <cols>
    <col min="1" max="1" width="23" style="995" customWidth="1"/>
    <col min="2" max="2" width="3.453125" style="995" customWidth="1"/>
    <col min="3" max="21" width="11.26953125" style="995" customWidth="1"/>
    <col min="22" max="22" width="14.1796875" style="995" bestFit="1" customWidth="1"/>
    <col min="23" max="23" width="10.453125" style="995" bestFit="1" customWidth="1"/>
    <col min="24" max="16384" width="9.1796875" style="995"/>
  </cols>
  <sheetData>
    <row r="1" spans="1:23" ht="12" x14ac:dyDescent="0.3">
      <c r="A1" s="995" t="s">
        <v>651</v>
      </c>
      <c r="H1" s="1105"/>
      <c r="I1" s="1106" t="s">
        <v>908</v>
      </c>
      <c r="J1" s="1105"/>
      <c r="K1" s="1105"/>
      <c r="L1" s="1105"/>
      <c r="Q1" s="996"/>
      <c r="S1" s="996"/>
      <c r="T1" s="996"/>
      <c r="U1" s="996">
        <f>+Upside!U1</f>
        <v>45657</v>
      </c>
    </row>
    <row r="2" spans="1:23" x14ac:dyDescent="0.25">
      <c r="A2" s="997" t="s">
        <v>716</v>
      </c>
      <c r="B2" s="997"/>
      <c r="C2" s="997"/>
      <c r="D2" s="997"/>
    </row>
    <row r="3" spans="1:23" s="999" customFormat="1" ht="12" x14ac:dyDescent="0.3">
      <c r="A3" s="998" t="s">
        <v>653</v>
      </c>
      <c r="B3" s="998"/>
      <c r="C3" s="998"/>
      <c r="D3" s="998"/>
      <c r="G3" s="1000"/>
      <c r="H3" s="1001"/>
      <c r="I3" s="1001"/>
      <c r="J3" s="1001">
        <f>+Upside!J3</f>
        <v>45657</v>
      </c>
      <c r="K3" s="1001">
        <v>46203</v>
      </c>
      <c r="L3" s="1001">
        <f t="shared" ref="L3:T3" si="0">+K3+365.25</f>
        <v>46568.25</v>
      </c>
      <c r="M3" s="1001">
        <f t="shared" si="0"/>
        <v>46933.5</v>
      </c>
      <c r="N3" s="1001">
        <f t="shared" si="0"/>
        <v>47298.75</v>
      </c>
      <c r="O3" s="1001">
        <f t="shared" si="0"/>
        <v>47664</v>
      </c>
      <c r="P3" s="1001">
        <f t="shared" si="0"/>
        <v>48029.25</v>
      </c>
      <c r="Q3" s="1001">
        <f t="shared" si="0"/>
        <v>48394.5</v>
      </c>
      <c r="R3" s="1001">
        <f t="shared" si="0"/>
        <v>48759.75</v>
      </c>
      <c r="S3" s="1001">
        <f t="shared" si="0"/>
        <v>49125</v>
      </c>
      <c r="T3" s="1001">
        <f t="shared" si="0"/>
        <v>49490.25</v>
      </c>
      <c r="U3" s="1001">
        <f t="shared" ref="U3" si="1">+T3+365.25</f>
        <v>49855.5</v>
      </c>
    </row>
    <row r="4" spans="1:23" x14ac:dyDescent="0.25">
      <c r="C4" s="1002" t="str">
        <f>+Upside!C4</f>
        <v>FYE June 30th</v>
      </c>
      <c r="D4" s="1003"/>
      <c r="E4" s="1002"/>
      <c r="F4" s="1003"/>
      <c r="G4" s="1003"/>
      <c r="H4" s="1003"/>
      <c r="I4" s="1003"/>
      <c r="J4" s="1003"/>
      <c r="K4" s="1003"/>
      <c r="L4" s="1003"/>
      <c r="M4" s="1003"/>
      <c r="N4" s="1003"/>
      <c r="O4" s="1003"/>
      <c r="P4" s="1003"/>
      <c r="Q4" s="1003"/>
      <c r="R4" s="1003"/>
      <c r="S4" s="1003"/>
      <c r="T4" s="1003"/>
      <c r="U4" s="1003"/>
    </row>
    <row r="5" spans="1:23" ht="14.5" x14ac:dyDescent="0.55000000000000004">
      <c r="C5" s="1004" t="s">
        <v>895</v>
      </c>
      <c r="D5" s="1004" t="s">
        <v>896</v>
      </c>
      <c r="E5" s="1004" t="s">
        <v>717</v>
      </c>
      <c r="F5" s="1004" t="s">
        <v>718</v>
      </c>
      <c r="G5" s="1004" t="s">
        <v>719</v>
      </c>
      <c r="H5" s="1004" t="s">
        <v>756</v>
      </c>
      <c r="I5" s="1004" t="s">
        <v>948</v>
      </c>
      <c r="J5" s="1005" t="s">
        <v>689</v>
      </c>
      <c r="K5" s="1004" t="s">
        <v>720</v>
      </c>
      <c r="L5" s="1004" t="s">
        <v>721</v>
      </c>
      <c r="M5" s="1004" t="s">
        <v>722</v>
      </c>
      <c r="N5" s="1004" t="s">
        <v>723</v>
      </c>
      <c r="O5" s="1004" t="s">
        <v>724</v>
      </c>
      <c r="P5" s="1004" t="s">
        <v>725</v>
      </c>
      <c r="Q5" s="1004" t="s">
        <v>726</v>
      </c>
      <c r="R5" s="1004" t="s">
        <v>727</v>
      </c>
      <c r="S5" s="1004" t="s">
        <v>728</v>
      </c>
      <c r="T5" s="1004" t="s">
        <v>755</v>
      </c>
      <c r="U5" s="1004" t="s">
        <v>947</v>
      </c>
    </row>
    <row r="6" spans="1:23" ht="12" x14ac:dyDescent="0.3">
      <c r="A6" s="1006" t="s">
        <v>729</v>
      </c>
      <c r="B6" s="997"/>
      <c r="C6" s="997"/>
      <c r="D6" s="997"/>
      <c r="I6" s="1126"/>
      <c r="J6" s="1062"/>
    </row>
    <row r="7" spans="1:23" ht="12" x14ac:dyDescent="0.3">
      <c r="H7" s="1007"/>
      <c r="I7" s="1126"/>
      <c r="J7" s="1299" t="str">
        <f>+Historicals!AV8</f>
        <v>G = 2.225-2.30B</v>
      </c>
      <c r="L7" s="1009"/>
      <c r="M7" s="1009" t="str">
        <f>+Upside!M7</f>
        <v>FY28 Target = 2.7-3.3B</v>
      </c>
      <c r="V7" s="1010" t="s">
        <v>768</v>
      </c>
      <c r="W7" s="995" t="s">
        <v>769</v>
      </c>
    </row>
    <row r="8" spans="1:23" ht="12" x14ac:dyDescent="0.3">
      <c r="A8" s="995" t="s">
        <v>654</v>
      </c>
      <c r="C8" s="1012">
        <f>+Historicals!AO11</f>
        <v>917.73400000000004</v>
      </c>
      <c r="D8" s="1012">
        <f>+Historicals!AP11</f>
        <v>1015.7520000000002</v>
      </c>
      <c r="E8" s="1012">
        <f>+Historicals!AQ11</f>
        <v>1040.7649999999999</v>
      </c>
      <c r="F8" s="1012">
        <f>+Historicals!AR11</f>
        <v>1536.76</v>
      </c>
      <c r="G8" s="1012">
        <f>+Historicals!AS11</f>
        <v>1686.6659999999999</v>
      </c>
      <c r="H8" s="1012">
        <f>+Historicals!AT11</f>
        <v>1837.3580000000002</v>
      </c>
      <c r="I8" s="1012">
        <f>+Historicals!AU11</f>
        <v>2040.069</v>
      </c>
      <c r="J8" s="1030">
        <f t="shared" ref="J8:T8" si="2">+I8*(1+J9)</f>
        <v>2121.6717600000002</v>
      </c>
      <c r="K8" s="1013">
        <f t="shared" si="2"/>
        <v>2206.5386304000003</v>
      </c>
      <c r="L8" s="1013">
        <f t="shared" si="2"/>
        <v>2294.8001756160006</v>
      </c>
      <c r="M8" s="1013">
        <f t="shared" si="2"/>
        <v>2386.5921826406407</v>
      </c>
      <c r="N8" s="1013">
        <f t="shared" si="2"/>
        <v>2482.0558699462663</v>
      </c>
      <c r="O8" s="1013">
        <f t="shared" si="2"/>
        <v>2581.3381047441171</v>
      </c>
      <c r="P8" s="1013">
        <f t="shared" si="2"/>
        <v>2684.591628933882</v>
      </c>
      <c r="Q8" s="1013">
        <f t="shared" si="2"/>
        <v>2791.9752940912372</v>
      </c>
      <c r="R8" s="1013">
        <f t="shared" si="2"/>
        <v>2903.6543058548868</v>
      </c>
      <c r="S8" s="1013">
        <f t="shared" si="2"/>
        <v>3019.8004780890824</v>
      </c>
      <c r="T8" s="1013">
        <f t="shared" si="2"/>
        <v>3140.5924972126459</v>
      </c>
      <c r="U8" s="1013">
        <f t="shared" ref="U8" si="3">+T8*(1+U9)</f>
        <v>3266.2161971011519</v>
      </c>
      <c r="V8" s="1013">
        <v>2850</v>
      </c>
      <c r="W8" s="1014">
        <f>+(V8/H8)^(1/5)-1</f>
        <v>9.1767633467365162E-2</v>
      </c>
    </row>
    <row r="9" spans="1:23" s="1019" customFormat="1" ht="12" x14ac:dyDescent="0.3">
      <c r="A9" s="1015" t="s">
        <v>730</v>
      </c>
      <c r="B9" s="1016"/>
      <c r="C9" s="1014"/>
      <c r="D9" s="1014">
        <f t="shared" ref="D9" si="4">IFERROR(IF(OR(D8&lt;0, C8&lt;0), "NM", D8/C8-1),"N/A")</f>
        <v>0.10680436815024841</v>
      </c>
      <c r="E9" s="1014">
        <f>IFERROR(IF(OR(E8&lt;0, D8&lt;0), "NM", E8/D8-1),"N/A")</f>
        <v>2.4625105340673414E-2</v>
      </c>
      <c r="F9" s="1014">
        <f>IFERROR(IF(OR(F8&lt;0, E8&lt;0), "NM", F8/E8-1),"N/A")</f>
        <v>0.4765677170158491</v>
      </c>
      <c r="G9" s="1014">
        <f>IFERROR(IF(OR(G8&lt;0, F8&lt;0), "NM", G8/F8-1),"N/A")</f>
        <v>9.7546786746141256E-2</v>
      </c>
      <c r="H9" s="1014">
        <f>IFERROR(IF(OR(H8&lt;0, G8&lt;0), "NM", H8/G8-1),"N/A")</f>
        <v>8.9343118317438242E-2</v>
      </c>
      <c r="I9" s="1014">
        <f>IFERROR(IF(OR(I8&lt;0, H8&lt;0), "NM", I8/H8-1),"N/A")</f>
        <v>0.11032743754891516</v>
      </c>
      <c r="J9" s="1164">
        <v>0.04</v>
      </c>
      <c r="K9" s="1018">
        <f>+J9</f>
        <v>0.04</v>
      </c>
      <c r="L9" s="1018">
        <f t="shared" ref="L9:T9" si="5">+K9</f>
        <v>0.04</v>
      </c>
      <c r="M9" s="1018">
        <f t="shared" si="5"/>
        <v>0.04</v>
      </c>
      <c r="N9" s="1018">
        <f t="shared" si="5"/>
        <v>0.04</v>
      </c>
      <c r="O9" s="1018">
        <f t="shared" si="5"/>
        <v>0.04</v>
      </c>
      <c r="P9" s="1018">
        <f t="shared" si="5"/>
        <v>0.04</v>
      </c>
      <c r="Q9" s="1018">
        <f t="shared" si="5"/>
        <v>0.04</v>
      </c>
      <c r="R9" s="1018">
        <f t="shared" si="5"/>
        <v>0.04</v>
      </c>
      <c r="S9" s="1018">
        <f t="shared" si="5"/>
        <v>0.04</v>
      </c>
      <c r="T9" s="1018">
        <f t="shared" si="5"/>
        <v>0.04</v>
      </c>
      <c r="U9" s="1018">
        <f t="shared" ref="U9" si="6">+T9</f>
        <v>0.04</v>
      </c>
      <c r="W9" s="995"/>
    </row>
    <row r="10" spans="1:23" s="1019" customFormat="1" ht="12" x14ac:dyDescent="0.3">
      <c r="A10" s="1015"/>
      <c r="B10" s="1016"/>
      <c r="C10" s="1016"/>
      <c r="D10" s="1016"/>
      <c r="E10" s="1020"/>
      <c r="F10" s="1020"/>
      <c r="G10" s="1021"/>
      <c r="H10" s="1021"/>
      <c r="I10" s="1126"/>
      <c r="J10" s="1165" t="s">
        <v>731</v>
      </c>
      <c r="K10" s="1021"/>
      <c r="L10" s="1021"/>
      <c r="M10" s="1021"/>
      <c r="N10" s="1021"/>
      <c r="O10" s="1021"/>
      <c r="P10" s="1021"/>
      <c r="Q10" s="1021"/>
      <c r="R10" s="1021"/>
      <c r="S10" s="1021"/>
      <c r="T10" s="1021"/>
      <c r="U10" s="1021"/>
    </row>
    <row r="11" spans="1:23" s="1019" customFormat="1" ht="12" x14ac:dyDescent="0.3">
      <c r="A11" s="1015"/>
      <c r="B11" s="1016"/>
      <c r="C11" s="1016"/>
      <c r="D11" s="1016"/>
      <c r="E11" s="1020"/>
      <c r="F11" s="1020"/>
      <c r="G11" s="1021"/>
      <c r="H11" s="1021"/>
      <c r="I11" s="1126"/>
      <c r="J11" s="1299" t="str">
        <f>+Historicals!AV35</f>
        <v>G = 395-425</v>
      </c>
      <c r="K11" s="1021"/>
      <c r="L11" s="1021"/>
      <c r="M11" s="1009" t="str">
        <f>+Upside!M12</f>
        <v>FY28 Target = 415-585M</v>
      </c>
      <c r="N11" s="1021"/>
      <c r="O11" s="1021"/>
      <c r="P11" s="1021"/>
      <c r="Q11" s="1021"/>
      <c r="R11" s="1021"/>
      <c r="S11" s="1021"/>
      <c r="T11" s="1021"/>
      <c r="U11" s="1021"/>
    </row>
    <row r="12" spans="1:23" s="1019" customFormat="1" ht="12" x14ac:dyDescent="0.3">
      <c r="A12" s="1022" t="s">
        <v>762</v>
      </c>
      <c r="B12" s="1016"/>
      <c r="C12" s="1012">
        <f>+Historicals!AO37</f>
        <v>46.362000000000016</v>
      </c>
      <c r="D12" s="1012">
        <f>+Historicals!AP37</f>
        <v>62.161999999999971</v>
      </c>
      <c r="E12" s="1012">
        <f>+Historicals!AQ37</f>
        <v>62.079000000000171</v>
      </c>
      <c r="F12" s="1012">
        <f>+Historicals!AR37</f>
        <v>161.43099999999998</v>
      </c>
      <c r="G12" s="1012">
        <f>+Historicals!AS37</f>
        <v>188.16599999999997</v>
      </c>
      <c r="H12" s="1012">
        <f>+Historicals!AT37</f>
        <v>201.01900000000003</v>
      </c>
      <c r="I12" s="1012">
        <f>+Historicals!AU37</f>
        <v>293.94</v>
      </c>
      <c r="J12" s="1030">
        <f>+J18-J17</f>
        <v>305.46948000000003</v>
      </c>
      <c r="K12" s="1013">
        <f t="shared" ref="K12:T12" si="7">+K18-K17</f>
        <v>317.46013919999996</v>
      </c>
      <c r="L12" s="1013">
        <f t="shared" si="7"/>
        <v>329.93042476800008</v>
      </c>
      <c r="M12" s="1013">
        <f t="shared" si="7"/>
        <v>340.53659942860679</v>
      </c>
      <c r="N12" s="1013">
        <f t="shared" si="7"/>
        <v>352.7460300631015</v>
      </c>
      <c r="O12" s="1013">
        <f t="shared" si="7"/>
        <v>365.68684691043984</v>
      </c>
      <c r="P12" s="1013">
        <f t="shared" si="7"/>
        <v>379.38830541913535</v>
      </c>
      <c r="Q12" s="1013">
        <f t="shared" si="7"/>
        <v>393.88083125564242</v>
      </c>
      <c r="R12" s="1013">
        <f t="shared" si="7"/>
        <v>409.19606711307352</v>
      </c>
      <c r="S12" s="1013">
        <f t="shared" si="7"/>
        <v>425.66692139226564</v>
      </c>
      <c r="T12" s="1013">
        <f t="shared" si="7"/>
        <v>443.72761883008911</v>
      </c>
      <c r="U12" s="1013">
        <f t="shared" ref="U12" si="8">+U18-U17</f>
        <v>461.47672358329282</v>
      </c>
      <c r="V12" s="1013">
        <v>585</v>
      </c>
      <c r="W12" s="1014">
        <f>+(V12/H12)^(1/5)-1</f>
        <v>0.23817990560396951</v>
      </c>
    </row>
    <row r="13" spans="1:23" s="1019" customFormat="1" ht="11.25" customHeight="1" x14ac:dyDescent="0.3">
      <c r="A13" s="1015" t="s">
        <v>730</v>
      </c>
      <c r="B13" s="1016"/>
      <c r="C13" s="1014"/>
      <c r="D13" s="1014">
        <f t="shared" ref="D13" si="9">IF(OR(D12&lt;0, C12&lt;0), "NM", D12/C12-1)</f>
        <v>0.34079634183167129</v>
      </c>
      <c r="E13" s="1014">
        <f t="shared" ref="E13:T13" si="10">IF(OR(E12&lt;0, D12&lt;0), "NM", E12/D12-1)</f>
        <v>-1.3352208744860095E-3</v>
      </c>
      <c r="F13" s="1014">
        <f t="shared" si="10"/>
        <v>1.6004123777766965</v>
      </c>
      <c r="G13" s="1014">
        <f t="shared" si="10"/>
        <v>0.16561255273150755</v>
      </c>
      <c r="H13" s="1014">
        <f t="shared" si="10"/>
        <v>6.8306707906848674E-2</v>
      </c>
      <c r="I13" s="1014">
        <f t="shared" si="10"/>
        <v>0.46224983708007672</v>
      </c>
      <c r="J13" s="1017">
        <f t="shared" si="10"/>
        <v>3.9223923249642967E-2</v>
      </c>
      <c r="K13" s="1014">
        <f t="shared" si="10"/>
        <v>3.9253215083876469E-2</v>
      </c>
      <c r="L13" s="1014">
        <f t="shared" si="10"/>
        <v>3.9281421596504273E-2</v>
      </c>
      <c r="M13" s="1014">
        <f t="shared" si="10"/>
        <v>3.2146700832652142E-2</v>
      </c>
      <c r="N13" s="1014">
        <f t="shared" si="10"/>
        <v>3.5853504894866495E-2</v>
      </c>
      <c r="O13" s="1014">
        <f t="shared" si="10"/>
        <v>3.6685931929619109E-2</v>
      </c>
      <c r="P13" s="1014">
        <f t="shared" si="10"/>
        <v>3.7467736738289403E-2</v>
      </c>
      <c r="Q13" s="1014">
        <f t="shared" si="10"/>
        <v>3.8199716832326258E-2</v>
      </c>
      <c r="R13" s="1014">
        <f t="shared" si="10"/>
        <v>3.8882917476862344E-2</v>
      </c>
      <c r="S13" s="1014">
        <f t="shared" si="10"/>
        <v>4.0251741409432329E-2</v>
      </c>
      <c r="T13" s="1014">
        <f t="shared" si="10"/>
        <v>4.2429177674297103E-2</v>
      </c>
      <c r="U13" s="1014">
        <f t="shared" ref="U13" si="11">IF(OR(U12&lt;0, T12&lt;0), "NM", U12/T12-1)</f>
        <v>4.0000000000000258E-2</v>
      </c>
    </row>
    <row r="14" spans="1:23" s="1019" customFormat="1" ht="12" x14ac:dyDescent="0.3">
      <c r="A14" s="1015" t="s">
        <v>733</v>
      </c>
      <c r="B14" s="1016"/>
      <c r="C14" s="1023">
        <f t="shared" ref="C14:D14" si="12">+C12/C$8</f>
        <v>5.0517906059925878E-2</v>
      </c>
      <c r="D14" s="1023">
        <f t="shared" si="12"/>
        <v>6.1198008962817657E-2</v>
      </c>
      <c r="E14" s="1023">
        <f>+E12/E$8</f>
        <v>5.9647470850768596E-2</v>
      </c>
      <c r="F14" s="1023">
        <f t="shared" ref="F14:T14" si="13">+F12/F$8</f>
        <v>0.10504633124235403</v>
      </c>
      <c r="G14" s="1023">
        <f t="shared" si="13"/>
        <v>0.11156091366044017</v>
      </c>
      <c r="H14" s="1023">
        <f t="shared" si="13"/>
        <v>0.10940655005720171</v>
      </c>
      <c r="I14" s="1023">
        <f t="shared" si="13"/>
        <v>0.14408336188628915</v>
      </c>
      <c r="J14" s="1024">
        <f t="shared" si="13"/>
        <v>0.14397584289852641</v>
      </c>
      <c r="K14" s="1023">
        <f t="shared" si="13"/>
        <v>0.14387245925644679</v>
      </c>
      <c r="L14" s="1023">
        <f t="shared" si="13"/>
        <v>0.1437730519082934</v>
      </c>
      <c r="M14" s="1023">
        <f t="shared" si="13"/>
        <v>0.14268738576517948</v>
      </c>
      <c r="N14" s="1023">
        <f t="shared" si="13"/>
        <v>0.14211848908571831</v>
      </c>
      <c r="O14" s="1023">
        <f t="shared" si="13"/>
        <v>0.14166561375217046</v>
      </c>
      <c r="P14" s="1023">
        <f t="shared" si="13"/>
        <v>0.14132067660875477</v>
      </c>
      <c r="Q14" s="1023">
        <f t="shared" si="13"/>
        <v>0.14107604465169421</v>
      </c>
      <c r="R14" s="1023">
        <f t="shared" si="13"/>
        <v>0.1409245123594694</v>
      </c>
      <c r="S14" s="1023">
        <f t="shared" si="13"/>
        <v>0.1409586244127049</v>
      </c>
      <c r="T14" s="1023">
        <f t="shared" si="13"/>
        <v>0.14128786820445774</v>
      </c>
      <c r="U14" s="1023">
        <f t="shared" ref="U14" si="14">+U12/U$8</f>
        <v>0.14128786820445777</v>
      </c>
    </row>
    <row r="15" spans="1:23" s="1019" customFormat="1" ht="12" x14ac:dyDescent="0.3">
      <c r="A15" s="1015" t="s">
        <v>734</v>
      </c>
      <c r="B15" s="1016"/>
      <c r="C15" s="1023"/>
      <c r="D15" s="1023">
        <f>(D12-C12)/(D8-C8)</f>
        <v>0.16119488257258802</v>
      </c>
      <c r="E15" s="1023">
        <f>(E12-D12)/(E8-D8)</f>
        <v>-3.3182744972534471E-3</v>
      </c>
      <c r="F15" s="1023">
        <f>(F12-E12)/(F8-E8)</f>
        <v>0.20030847085152023</v>
      </c>
      <c r="G15" s="1023">
        <f>(G12-F12)/(G8-F8)</f>
        <v>0.1783450962603231</v>
      </c>
      <c r="H15" s="1023">
        <f>(H12-G12)/(H8-G8)</f>
        <v>8.529318079261039E-2</v>
      </c>
      <c r="I15" s="1023">
        <f>(I12-H12)/(I8-H8)</f>
        <v>0.45839150317447036</v>
      </c>
      <c r="J15" s="1024">
        <f>(J12-I12)/(J8-I8)</f>
        <v>0.14128786820445785</v>
      </c>
      <c r="K15" s="1023">
        <f>(K12-J12)/(K8-J8)</f>
        <v>0.14128786820445666</v>
      </c>
      <c r="L15" s="1023">
        <f>(L12-K12)/(L8-K8)</f>
        <v>0.14128786820445871</v>
      </c>
      <c r="M15" s="1023">
        <f>(M12-L12)/(M8-L8)</f>
        <v>0.11554573218733152</v>
      </c>
      <c r="N15" s="1023">
        <f>(N12-M12)/(N8-M8)</f>
        <v>0.1278960720991888</v>
      </c>
      <c r="O15" s="1023">
        <f>(O12-N12)/(O8-N8)</f>
        <v>0.13034373041347444</v>
      </c>
      <c r="P15" s="1023">
        <f>(P12-O12)/(P8-O8)</f>
        <v>0.13269724802336266</v>
      </c>
      <c r="Q15" s="1023">
        <f>(Q12-P12)/(Q8-P8)</f>
        <v>0.1349602457251797</v>
      </c>
      <c r="R15" s="1023">
        <f>(R12-Q12)/(R8-Q8)</f>
        <v>0.13713620505384927</v>
      </c>
      <c r="S15" s="1023">
        <f>(S12-R12)/(S8-R8)</f>
        <v>0.14181142574359237</v>
      </c>
      <c r="T15" s="1023">
        <f>(T12-S12)/(T8-S8)</f>
        <v>0.14951896299827885</v>
      </c>
      <c r="U15" s="1023">
        <f>(U12-T12)/(U8-T8)</f>
        <v>0.14128786820445866</v>
      </c>
    </row>
    <row r="16" spans="1:23" s="1019" customFormat="1" ht="12" x14ac:dyDescent="0.3">
      <c r="A16" s="1015"/>
      <c r="B16" s="1016"/>
      <c r="C16" s="1016"/>
      <c r="D16" s="1016"/>
      <c r="E16" s="1020"/>
      <c r="F16" s="1020"/>
      <c r="G16" s="1021"/>
      <c r="H16" s="1021"/>
      <c r="I16" s="1126"/>
      <c r="J16" s="1165"/>
      <c r="K16" s="1021"/>
      <c r="L16" s="1021"/>
      <c r="M16" s="1021"/>
      <c r="N16" s="1021"/>
      <c r="O16" s="1021"/>
      <c r="P16" s="1021"/>
      <c r="Q16" s="1021"/>
      <c r="R16" s="1021"/>
      <c r="S16" s="1021"/>
      <c r="T16" s="1021"/>
      <c r="U16" s="1021"/>
    </row>
    <row r="17" spans="1:25" s="1028" customFormat="1" ht="13.5" x14ac:dyDescent="0.45">
      <c r="A17" s="1022" t="s">
        <v>766</v>
      </c>
      <c r="B17" s="1025"/>
      <c r="C17" s="1026">
        <f>+Historicals!AO72</f>
        <v>75.260000000000005</v>
      </c>
      <c r="D17" s="1026">
        <f>+Historicals!AP72</f>
        <v>71.399999999999977</v>
      </c>
      <c r="E17" s="1026">
        <f>+Historicals!AQ72</f>
        <v>66.077999999999975</v>
      </c>
      <c r="F17" s="1026">
        <f>+Historicals!AR72</f>
        <v>78.435000000000002</v>
      </c>
      <c r="G17" s="1026">
        <f>+Historicals!AS72</f>
        <v>84.945999999999998</v>
      </c>
      <c r="H17" s="1026">
        <f>+Historicals!AT72</f>
        <v>95.157999999999987</v>
      </c>
      <c r="I17" s="1026">
        <f>+Historicals!AU72</f>
        <v>96.80499999999995</v>
      </c>
      <c r="J17" s="1166">
        <f>+J37</f>
        <v>100.90531999999995</v>
      </c>
      <c r="K17" s="1027">
        <f t="shared" ref="K17:T17" si="15">+K37</f>
        <v>105.16965279999998</v>
      </c>
      <c r="L17" s="1027">
        <f t="shared" si="15"/>
        <v>109.60455891199999</v>
      </c>
      <c r="M17" s="1027">
        <f t="shared" si="15"/>
        <v>116.57978359859324</v>
      </c>
      <c r="N17" s="1027">
        <f t="shared" si="15"/>
        <v>122.6550082851865</v>
      </c>
      <c r="O17" s="1027">
        <f t="shared" si="15"/>
        <v>128.73023297177977</v>
      </c>
      <c r="P17" s="1027">
        <f t="shared" si="15"/>
        <v>134.80545765837303</v>
      </c>
      <c r="Q17" s="1027">
        <f t="shared" si="15"/>
        <v>140.88068234496629</v>
      </c>
      <c r="R17" s="1027">
        <f t="shared" si="15"/>
        <v>146.95590703155955</v>
      </c>
      <c r="S17" s="1027">
        <f t="shared" si="15"/>
        <v>152.7311317181528</v>
      </c>
      <c r="T17" s="1027">
        <f t="shared" si="15"/>
        <v>157.80635640474608</v>
      </c>
      <c r="U17" s="1027">
        <f t="shared" ref="U17" si="16">+U37</f>
        <v>164.11861066093593</v>
      </c>
    </row>
    <row r="18" spans="1:25" s="1031" customFormat="1" x14ac:dyDescent="0.25">
      <c r="A18" s="1029" t="s">
        <v>732</v>
      </c>
      <c r="B18" s="1013"/>
      <c r="C18" s="1013">
        <f t="shared" ref="C18:E18" si="17">+C12+C17</f>
        <v>121.62200000000001</v>
      </c>
      <c r="D18" s="1013">
        <f t="shared" si="17"/>
        <v>133.56199999999995</v>
      </c>
      <c r="E18" s="1013">
        <f t="shared" si="17"/>
        <v>128.15700000000015</v>
      </c>
      <c r="F18" s="1013">
        <f t="shared" ref="F18:H18" si="18">+F12+F17</f>
        <v>239.86599999999999</v>
      </c>
      <c r="G18" s="1013">
        <f t="shared" si="18"/>
        <v>273.11199999999997</v>
      </c>
      <c r="H18" s="1013">
        <f t="shared" si="18"/>
        <v>296.17700000000002</v>
      </c>
      <c r="I18" s="1013">
        <f>+I12+I17</f>
        <v>390.74499999999995</v>
      </c>
      <c r="J18" s="1030">
        <f>+J24-J23</f>
        <v>406.37479999999999</v>
      </c>
      <c r="K18" s="1013">
        <f t="shared" ref="K18:T18" si="19">+K24-K23</f>
        <v>422.62979199999995</v>
      </c>
      <c r="L18" s="1013">
        <f t="shared" si="19"/>
        <v>439.53498368000004</v>
      </c>
      <c r="M18" s="1013">
        <f t="shared" si="19"/>
        <v>457.11638302720002</v>
      </c>
      <c r="N18" s="1013">
        <f t="shared" si="19"/>
        <v>475.40103834828801</v>
      </c>
      <c r="O18" s="1013">
        <f t="shared" si="19"/>
        <v>494.41707988221964</v>
      </c>
      <c r="P18" s="1013">
        <f t="shared" si="19"/>
        <v>514.19376307750838</v>
      </c>
      <c r="Q18" s="1013">
        <f t="shared" si="19"/>
        <v>534.76151360060874</v>
      </c>
      <c r="R18" s="1013">
        <f t="shared" si="19"/>
        <v>556.15197414463307</v>
      </c>
      <c r="S18" s="1013">
        <f t="shared" si="19"/>
        <v>578.39805311041846</v>
      </c>
      <c r="T18" s="1013">
        <f t="shared" si="19"/>
        <v>601.53397523483522</v>
      </c>
      <c r="U18" s="1013">
        <f t="shared" ref="U18" si="20">+U24-U23</f>
        <v>625.59533424422875</v>
      </c>
      <c r="W18" s="1032"/>
      <c r="X18" s="1032"/>
      <c r="Y18" s="1032"/>
    </row>
    <row r="19" spans="1:25" s="1019" customFormat="1" ht="12" x14ac:dyDescent="0.3">
      <c r="A19" s="1033" t="s">
        <v>730</v>
      </c>
      <c r="B19" s="1016"/>
      <c r="C19" s="1014"/>
      <c r="D19" s="1014">
        <f t="shared" ref="D19" si="21">IF(OR(D18&lt;0, C18&lt;0), "NM", D18/C18-1)</f>
        <v>9.8173027906134802E-2</v>
      </c>
      <c r="E19" s="1014">
        <f t="shared" ref="E19" si="22">IF(OR(E18&lt;0, D18&lt;0), "NM", E18/D18-1)</f>
        <v>-4.0468097213277709E-2</v>
      </c>
      <c r="F19" s="1014">
        <f t="shared" ref="F19:T19" si="23">IF(OR(F18&lt;0, E18&lt;0), "NM", F18/E18-1)</f>
        <v>0.87165742019553916</v>
      </c>
      <c r="G19" s="1014">
        <f t="shared" si="23"/>
        <v>0.13860238633236888</v>
      </c>
      <c r="H19" s="1014">
        <f t="shared" si="23"/>
        <v>8.4452532294443605E-2</v>
      </c>
      <c r="I19" s="1014">
        <f t="shared" si="23"/>
        <v>0.31929555637338458</v>
      </c>
      <c r="J19" s="1017">
        <f t="shared" si="23"/>
        <v>4.0000000000000036E-2</v>
      </c>
      <c r="K19" s="1014">
        <f t="shared" si="23"/>
        <v>3.9999999999999813E-2</v>
      </c>
      <c r="L19" s="1014">
        <f t="shared" si="23"/>
        <v>4.0000000000000258E-2</v>
      </c>
      <c r="M19" s="1014">
        <f t="shared" si="23"/>
        <v>4.0000000000000036E-2</v>
      </c>
      <c r="N19" s="1014">
        <f t="shared" si="23"/>
        <v>4.0000000000000036E-2</v>
      </c>
      <c r="O19" s="1014">
        <f t="shared" si="23"/>
        <v>4.0000000000000258E-2</v>
      </c>
      <c r="P19" s="1014">
        <f t="shared" si="23"/>
        <v>3.9999999999999813E-2</v>
      </c>
      <c r="Q19" s="1014">
        <f t="shared" si="23"/>
        <v>4.0000000000000036E-2</v>
      </c>
      <c r="R19" s="1014">
        <f t="shared" si="23"/>
        <v>4.0000000000000036E-2</v>
      </c>
      <c r="S19" s="1014">
        <f t="shared" si="23"/>
        <v>4.0000000000000036E-2</v>
      </c>
      <c r="T19" s="1014">
        <f t="shared" si="23"/>
        <v>4.0000000000000036E-2</v>
      </c>
      <c r="U19" s="1014">
        <f t="shared" ref="U19" si="24">IF(OR(U18&lt;0, T18&lt;0), "NM", U18/T18-1)</f>
        <v>4.0000000000000258E-2</v>
      </c>
    </row>
    <row r="20" spans="1:25" s="1019" customFormat="1" ht="12" x14ac:dyDescent="0.3">
      <c r="A20" s="1033" t="s">
        <v>733</v>
      </c>
      <c r="B20" s="1016"/>
      <c r="C20" s="1014">
        <f t="shared" ref="C20:E20" si="25">+C18/C$8</f>
        <v>0.13252423904965929</v>
      </c>
      <c r="D20" s="1014">
        <f t="shared" si="25"/>
        <v>0.13149075758649742</v>
      </c>
      <c r="E20" s="1014">
        <f t="shared" si="25"/>
        <v>0.12313730765350503</v>
      </c>
      <c r="F20" s="1014">
        <f t="shared" ref="F20:T20" si="26">+F18/F$8</f>
        <v>0.15608553059684011</v>
      </c>
      <c r="G20" s="1014">
        <f t="shared" si="26"/>
        <v>0.1619241746735868</v>
      </c>
      <c r="H20" s="1014">
        <f t="shared" si="26"/>
        <v>0.16119721905039736</v>
      </c>
      <c r="I20" s="1014">
        <f t="shared" si="26"/>
        <v>0.19153518827059279</v>
      </c>
      <c r="J20" s="1017">
        <f t="shared" si="26"/>
        <v>0.19153518827059279</v>
      </c>
      <c r="K20" s="1014">
        <f t="shared" si="26"/>
        <v>0.19153518827059277</v>
      </c>
      <c r="L20" s="1014">
        <f t="shared" si="26"/>
        <v>0.19153518827059277</v>
      </c>
      <c r="M20" s="1014">
        <f t="shared" si="26"/>
        <v>0.19153518827059277</v>
      </c>
      <c r="N20" s="1014">
        <f t="shared" si="26"/>
        <v>0.19153518827059277</v>
      </c>
      <c r="O20" s="1014">
        <f t="shared" si="26"/>
        <v>0.19153518827059279</v>
      </c>
      <c r="P20" s="1014">
        <f t="shared" si="26"/>
        <v>0.19153518827059277</v>
      </c>
      <c r="Q20" s="1014">
        <f t="shared" si="26"/>
        <v>0.19153518827059277</v>
      </c>
      <c r="R20" s="1014">
        <f t="shared" si="26"/>
        <v>0.19153518827059277</v>
      </c>
      <c r="S20" s="1014">
        <f t="shared" si="26"/>
        <v>0.19153518827059277</v>
      </c>
      <c r="T20" s="1014">
        <f t="shared" si="26"/>
        <v>0.19153518827059277</v>
      </c>
      <c r="U20" s="1014">
        <f t="shared" ref="U20" si="27">+U18/U$8</f>
        <v>0.19153518827059279</v>
      </c>
      <c r="V20" s="1018"/>
    </row>
    <row r="21" spans="1:25" s="1019" customFormat="1" ht="12" x14ac:dyDescent="0.3">
      <c r="A21" s="1033" t="s">
        <v>734</v>
      </c>
      <c r="B21" s="1016"/>
      <c r="C21" s="1021"/>
      <c r="D21" s="1021">
        <f>(D18-C18)/(D8-C8)</f>
        <v>0.12181436062763903</v>
      </c>
      <c r="E21" s="1021">
        <f>(E18-D18)/(E8-D8)</f>
        <v>-0.2160876344300911</v>
      </c>
      <c r="F21" s="1021">
        <f>(F18-E18)/(F8-E8)</f>
        <v>0.22522202844786704</v>
      </c>
      <c r="G21" s="1021">
        <f>(G18-F18)/(G8-F8)</f>
        <v>0.22177898149507019</v>
      </c>
      <c r="H21" s="1021">
        <f>(H18-G18)/(H8-G8)</f>
        <v>0.15306054734159755</v>
      </c>
      <c r="I21" s="1021">
        <f>(I18-H18)/(I8-H8)</f>
        <v>0.4665163705965637</v>
      </c>
      <c r="J21" s="1034">
        <f>(J18-I18)/(J8-I8)</f>
        <v>0.19153518827059285</v>
      </c>
      <c r="K21" s="1021">
        <f>(K18-J18)/(K8-J8)</f>
        <v>0.19153518827059199</v>
      </c>
      <c r="L21" s="1021">
        <f>(L18-K18)/(L8-K8)</f>
        <v>0.19153518827059318</v>
      </c>
      <c r="M21" s="1021">
        <f>(M18-L18)/(M8-L8)</f>
        <v>0.19153518827059246</v>
      </c>
      <c r="N21" s="1021">
        <f>(N18-M18)/(N8-M8)</f>
        <v>0.19153518827059271</v>
      </c>
      <c r="O21" s="1021">
        <f>(O18-N18)/(O8-N8)</f>
        <v>0.19153518827059349</v>
      </c>
      <c r="P21" s="1021">
        <f>(P18-O18)/(P8-O8)</f>
        <v>0.19153518827059193</v>
      </c>
      <c r="Q21" s="1021">
        <f>(Q18-P18)/(Q8-P8)</f>
        <v>0.19153518827059318</v>
      </c>
      <c r="R21" s="1021">
        <f>(R18-Q18)/(R8-Q8)</f>
        <v>0.19153518827059235</v>
      </c>
      <c r="S21" s="1021">
        <f>(S18-R18)/(S8-R8)</f>
        <v>0.19153518827059318</v>
      </c>
      <c r="T21" s="1021">
        <f>(T18-S18)/(T8-S8)</f>
        <v>0.19153518827059271</v>
      </c>
      <c r="U21" s="1021">
        <f>(U18-T18)/(U8-T8)</f>
        <v>0.19153518827059338</v>
      </c>
      <c r="V21" s="1018"/>
    </row>
    <row r="22" spans="1:25" s="1019" customFormat="1" ht="12" x14ac:dyDescent="0.3">
      <c r="A22" s="1022"/>
      <c r="B22" s="1016"/>
      <c r="C22" s="1016"/>
      <c r="D22" s="1016"/>
      <c r="E22" s="1011"/>
      <c r="F22" s="1011"/>
      <c r="G22" s="1011"/>
      <c r="H22" s="1013"/>
      <c r="I22" s="1013"/>
      <c r="J22" s="1030"/>
      <c r="K22" s="1013"/>
      <c r="L22" s="1013"/>
      <c r="M22" s="1013"/>
      <c r="N22" s="1013"/>
      <c r="O22" s="1013"/>
      <c r="P22" s="1013"/>
      <c r="Q22" s="1013"/>
      <c r="R22" s="1013"/>
      <c r="S22" s="1013"/>
      <c r="T22" s="1013"/>
      <c r="U22" s="1013"/>
    </row>
    <row r="23" spans="1:25" s="1028" customFormat="1" ht="13" x14ac:dyDescent="0.4">
      <c r="A23" s="1022" t="s">
        <v>658</v>
      </c>
      <c r="B23" s="1026"/>
      <c r="C23" s="1026">
        <f>+Historicals!AO48*-1</f>
        <v>-20.817</v>
      </c>
      <c r="D23" s="1026">
        <f>+Historicals!AP48*-1</f>
        <v>-16.675999999999998</v>
      </c>
      <c r="E23" s="1026">
        <f>+Historicals!AQ48*-1</f>
        <v>-23.609000000000002</v>
      </c>
      <c r="F23" s="1026">
        <f>+Historicals!AR48*-1</f>
        <v>-39.332999999999998</v>
      </c>
      <c r="G23" s="1026">
        <f>+Historicals!AS48*-1</f>
        <v>-18.57</v>
      </c>
      <c r="H23" s="1026">
        <f>+Historicals!AT48*-1</f>
        <v>-20.32</v>
      </c>
      <c r="I23" s="1127">
        <f>+Historicals!AU48*-1</f>
        <v>-31.461999999999996</v>
      </c>
      <c r="J23" s="1167">
        <f>+I23/I8*J8</f>
        <v>-32.720479999999995</v>
      </c>
      <c r="K23" s="1035">
        <f>+J23/J8*K8</f>
        <v>-34.029299199999997</v>
      </c>
      <c r="L23" s="1035">
        <f>+K23/K8*L8</f>
        <v>-35.390471167999998</v>
      </c>
      <c r="M23" s="1035">
        <f>+L23/L8*M8</f>
        <v>-36.806090014719999</v>
      </c>
      <c r="N23" s="1035">
        <f>+M23/M8*N8</f>
        <v>-38.278333615308803</v>
      </c>
      <c r="O23" s="1035">
        <f>+N23/N8*O8</f>
        <v>-39.80946695992116</v>
      </c>
      <c r="P23" s="1035">
        <f>+O23/O8*P8</f>
        <v>-41.401845638318008</v>
      </c>
      <c r="Q23" s="1035">
        <f>+P23/P8*Q8</f>
        <v>-43.05791946385073</v>
      </c>
      <c r="R23" s="1035">
        <f>+Q23/Q8*R8</f>
        <v>-44.780236242404762</v>
      </c>
      <c r="S23" s="1035">
        <f>+R23/R8*S8</f>
        <v>-46.571445692100951</v>
      </c>
      <c r="T23" s="1035">
        <f>+S23/S8*T8</f>
        <v>-48.43430351978499</v>
      </c>
      <c r="U23" s="1035">
        <f>+T23/T8*U8</f>
        <v>-50.371675660576393</v>
      </c>
    </row>
    <row r="24" spans="1:25" s="1019" customFormat="1" x14ac:dyDescent="0.25">
      <c r="A24" s="1036" t="s">
        <v>659</v>
      </c>
      <c r="B24" s="1013"/>
      <c r="C24" s="1013">
        <f t="shared" ref="C24:D24" si="28">+C23+C18</f>
        <v>100.80500000000001</v>
      </c>
      <c r="D24" s="1013">
        <f t="shared" si="28"/>
        <v>116.88599999999995</v>
      </c>
      <c r="E24" s="1013">
        <f t="shared" ref="E24:I24" si="29">+E23+E18</f>
        <v>104.54800000000014</v>
      </c>
      <c r="F24" s="1013">
        <f t="shared" si="29"/>
        <v>200.53299999999999</v>
      </c>
      <c r="G24" s="1013">
        <f t="shared" si="29"/>
        <v>254.54199999999997</v>
      </c>
      <c r="H24" s="1013">
        <f t="shared" si="29"/>
        <v>275.85700000000003</v>
      </c>
      <c r="I24" s="1013">
        <f t="shared" si="29"/>
        <v>359.28299999999996</v>
      </c>
      <c r="J24" s="1030">
        <f t="shared" ref="J24:T24" si="30">+J26*J$8</f>
        <v>373.65431999999998</v>
      </c>
      <c r="K24" s="1013">
        <f t="shared" si="30"/>
        <v>388.60049279999998</v>
      </c>
      <c r="L24" s="1013">
        <f t="shared" si="30"/>
        <v>404.14451251200006</v>
      </c>
      <c r="M24" s="1013">
        <f t="shared" si="30"/>
        <v>420.31029301248003</v>
      </c>
      <c r="N24" s="1013">
        <f t="shared" si="30"/>
        <v>437.12270473297923</v>
      </c>
      <c r="O24" s="1013">
        <f t="shared" si="30"/>
        <v>454.60761292229847</v>
      </c>
      <c r="P24" s="1013">
        <f t="shared" si="30"/>
        <v>472.7919174391904</v>
      </c>
      <c r="Q24" s="1013">
        <f t="shared" si="30"/>
        <v>491.703594136758</v>
      </c>
      <c r="R24" s="1013">
        <f t="shared" si="30"/>
        <v>511.37173790222835</v>
      </c>
      <c r="S24" s="1013">
        <f t="shared" si="30"/>
        <v>531.82660741831751</v>
      </c>
      <c r="T24" s="1013">
        <f t="shared" si="30"/>
        <v>553.09967171505025</v>
      </c>
      <c r="U24" s="1013">
        <f t="shared" ref="U24" si="31">+U26*U$8</f>
        <v>575.22365858365231</v>
      </c>
      <c r="W24" s="1020"/>
      <c r="X24" s="1020"/>
      <c r="Y24" s="1020"/>
    </row>
    <row r="25" spans="1:25" s="1019" customFormat="1" ht="12" x14ac:dyDescent="0.3">
      <c r="A25" s="1033" t="s">
        <v>730</v>
      </c>
      <c r="B25" s="1016"/>
      <c r="C25" s="1014"/>
      <c r="D25" s="1014">
        <f t="shared" ref="D25" si="32">IFERROR(IF(OR(D24&lt;0, C24&lt;0), "NM", D24/C24-1),"N/A")</f>
        <v>0.15952581717176684</v>
      </c>
      <c r="E25" s="1014">
        <f>IFERROR(IF(OR(E24&lt;0, D24&lt;0), "NM", E24/D24-1),"N/A")</f>
        <v>-0.10555584073370472</v>
      </c>
      <c r="F25" s="1014">
        <f>IFERROR(IF(OR(F24&lt;0, E24&lt;0), "NM", F24/E24-1),"N/A")</f>
        <v>0.91809503768603618</v>
      </c>
      <c r="G25" s="1014">
        <f>IFERROR(IF(OR(G24&lt;0, F24&lt;0), "NM", G24/F24-1),"N/A")</f>
        <v>0.26932724289767762</v>
      </c>
      <c r="H25" s="1014">
        <f>IFERROR(IF(OR(H24&lt;0, G24&lt;0), "NM", H24/G24-1),"N/A")</f>
        <v>8.3738636452923565E-2</v>
      </c>
      <c r="I25" s="1014">
        <f t="shared" ref="I25:T25" si="33">IFERROR(IF(OR(I24&lt;0, H24&lt;0), "NM", I24/H24-1),"N/A")</f>
        <v>0.3024248070558293</v>
      </c>
      <c r="J25" s="1017">
        <f t="shared" si="33"/>
        <v>4.0000000000000036E-2</v>
      </c>
      <c r="K25" s="1014">
        <f t="shared" si="33"/>
        <v>4.0000000000000036E-2</v>
      </c>
      <c r="L25" s="1014">
        <f t="shared" si="33"/>
        <v>4.0000000000000258E-2</v>
      </c>
      <c r="M25" s="1014">
        <f t="shared" si="33"/>
        <v>3.9999999999999813E-2</v>
      </c>
      <c r="N25" s="1014">
        <f t="shared" si="33"/>
        <v>4.0000000000000036E-2</v>
      </c>
      <c r="O25" s="1014">
        <f t="shared" si="33"/>
        <v>4.0000000000000258E-2</v>
      </c>
      <c r="P25" s="1014">
        <f t="shared" si="33"/>
        <v>4.0000000000000036E-2</v>
      </c>
      <c r="Q25" s="1014">
        <f t="shared" si="33"/>
        <v>4.0000000000000036E-2</v>
      </c>
      <c r="R25" s="1014">
        <f t="shared" si="33"/>
        <v>4.0000000000000036E-2</v>
      </c>
      <c r="S25" s="1014">
        <f t="shared" si="33"/>
        <v>4.0000000000000036E-2</v>
      </c>
      <c r="T25" s="1014">
        <f t="shared" si="33"/>
        <v>4.0000000000000036E-2</v>
      </c>
      <c r="U25" s="1014">
        <f t="shared" ref="U25" si="34">IFERROR(IF(OR(U24&lt;0, T24&lt;0), "NM", U24/T24-1),"N/A")</f>
        <v>4.0000000000000036E-2</v>
      </c>
    </row>
    <row r="26" spans="1:25" s="1019" customFormat="1" ht="12" x14ac:dyDescent="0.3">
      <c r="A26" s="1033" t="s">
        <v>733</v>
      </c>
      <c r="B26" s="1016"/>
      <c r="C26" s="1014">
        <f t="shared" ref="C26:D26" si="35">+IFERROR(C24/C$8,"N/A")</f>
        <v>0.10984119581490934</v>
      </c>
      <c r="D26" s="1014">
        <f t="shared" si="35"/>
        <v>0.11507336436452986</v>
      </c>
      <c r="E26" s="1014">
        <f>+IFERROR(E24/E$8,"N/A")</f>
        <v>0.10045303214462453</v>
      </c>
      <c r="F26" s="1014">
        <f>+IFERROR(F24/F$8,"N/A")</f>
        <v>0.13049077279471094</v>
      </c>
      <c r="G26" s="1014">
        <f>+IFERROR(G24/G$8,"N/A")</f>
        <v>0.15091428889892841</v>
      </c>
      <c r="H26" s="1014">
        <f>+IFERROR(H24/H$8,"N/A")</f>
        <v>0.1501378609938836</v>
      </c>
      <c r="I26" s="1014">
        <f>+IFERROR(I24/I$8,"N/A")</f>
        <v>0.17611316087838202</v>
      </c>
      <c r="J26" s="1164">
        <f>+I26</f>
        <v>0.17611316087838202</v>
      </c>
      <c r="K26" s="1018">
        <f t="shared" ref="K26:T26" si="36">+J26</f>
        <v>0.17611316087838202</v>
      </c>
      <c r="L26" s="1018">
        <f t="shared" si="36"/>
        <v>0.17611316087838202</v>
      </c>
      <c r="M26" s="1018">
        <f t="shared" si="36"/>
        <v>0.17611316087838202</v>
      </c>
      <c r="N26" s="1018">
        <f t="shared" si="36"/>
        <v>0.17611316087838202</v>
      </c>
      <c r="O26" s="1018">
        <f t="shared" si="36"/>
        <v>0.17611316087838202</v>
      </c>
      <c r="P26" s="1018">
        <f t="shared" si="36"/>
        <v>0.17611316087838202</v>
      </c>
      <c r="Q26" s="1018">
        <f t="shared" si="36"/>
        <v>0.17611316087838202</v>
      </c>
      <c r="R26" s="1018">
        <f t="shared" si="36"/>
        <v>0.17611316087838202</v>
      </c>
      <c r="S26" s="1018">
        <f t="shared" si="36"/>
        <v>0.17611316087838202</v>
      </c>
      <c r="T26" s="1018">
        <f t="shared" si="36"/>
        <v>0.17611316087838202</v>
      </c>
      <c r="U26" s="1018">
        <f t="shared" ref="U26" si="37">+T26</f>
        <v>0.17611316087838202</v>
      </c>
      <c r="V26" s="1018"/>
    </row>
    <row r="27" spans="1:25" s="1019" customFormat="1" ht="12" x14ac:dyDescent="0.3">
      <c r="A27" s="1033" t="s">
        <v>734</v>
      </c>
      <c r="B27" s="1016"/>
      <c r="C27" s="1021"/>
      <c r="D27" s="1021">
        <f>(D24-C24)/(D8-C8)</f>
        <v>0.16406170295251812</v>
      </c>
      <c r="E27" s="1021">
        <f>(E24-D24)/(E8-D8)</f>
        <v>-0.49326350297844962</v>
      </c>
      <c r="F27" s="1021">
        <f>(F24-E24)/(F8-E8)</f>
        <v>0.193520095968709</v>
      </c>
      <c r="G27" s="1021">
        <f>(G24-F24)/(G8-F8)</f>
        <v>0.36028577908822867</v>
      </c>
      <c r="H27" s="1021">
        <f>(H24-G24)/(H8-G8)</f>
        <v>0.14144745573753101</v>
      </c>
      <c r="I27" s="1021">
        <f>(I24-H24)/(I8-H8)</f>
        <v>0.41155142049518784</v>
      </c>
      <c r="J27" s="1034">
        <f>(J24-I24)/(J8-I8)</f>
        <v>0.17611316087838191</v>
      </c>
      <c r="K27" s="1021">
        <f>(K24-J24)/(K8-J8)</f>
        <v>0.17611316087838172</v>
      </c>
      <c r="L27" s="1021">
        <f>(L24-K24)/(L8-K8)</f>
        <v>0.17611316087838239</v>
      </c>
      <c r="M27" s="1021">
        <f>(M24-L24)/(M8-L8)</f>
        <v>0.17611316087838164</v>
      </c>
      <c r="N27" s="1021">
        <f>(N24-M24)/(N8-M8)</f>
        <v>0.176113160878382</v>
      </c>
      <c r="O27" s="1021">
        <f>(O24-N24)/(O8-N8)</f>
        <v>0.17611316087838244</v>
      </c>
      <c r="P27" s="1021">
        <f>(P24-O24)/(P8-O8)</f>
        <v>0.17611316087838155</v>
      </c>
      <c r="Q27" s="1021">
        <f>(Q24-P24)/(Q8-P8)</f>
        <v>0.17611316087838208</v>
      </c>
      <c r="R27" s="1021">
        <f>(R24-Q24)/(R8-Q8)</f>
        <v>0.17611316087838197</v>
      </c>
      <c r="S27" s="1021">
        <f>(S24-R24)/(S8-R8)</f>
        <v>0.17611316087838214</v>
      </c>
      <c r="T27" s="1021">
        <f>(T24-S24)/(T8-S8)</f>
        <v>0.17611316087838211</v>
      </c>
      <c r="U27" s="1021">
        <f>(U24-T24)/(U8-T8)</f>
        <v>0.17611316087838211</v>
      </c>
      <c r="V27" s="1018"/>
    </row>
    <row r="28" spans="1:25" x14ac:dyDescent="0.25">
      <c r="G28" s="1037"/>
      <c r="H28" s="1037"/>
      <c r="I28" s="1037"/>
      <c r="J28" s="1038"/>
      <c r="K28" s="1037"/>
      <c r="L28" s="1037"/>
      <c r="M28" s="1037"/>
      <c r="N28" s="1037"/>
      <c r="O28" s="1037"/>
      <c r="P28" s="1037"/>
      <c r="Q28" s="1037"/>
      <c r="R28" s="1037"/>
      <c r="S28" s="1037"/>
      <c r="T28" s="1037"/>
      <c r="U28" s="1037"/>
    </row>
    <row r="29" spans="1:25" x14ac:dyDescent="0.25">
      <c r="A29" s="995" t="s">
        <v>94</v>
      </c>
      <c r="C29" s="1012">
        <f>+Historicals!AO60</f>
        <v>56.504000000000005</v>
      </c>
      <c r="D29" s="1012">
        <f>+Historicals!AP60</f>
        <v>69.44</v>
      </c>
      <c r="E29" s="1012">
        <f>+Historicals!AQ60</f>
        <v>72.671999999999997</v>
      </c>
      <c r="F29" s="1012">
        <f>+Historicals!AR60</f>
        <v>76.578000000000003</v>
      </c>
      <c r="G29" s="1012">
        <f>+Historicals!AS60</f>
        <v>100.637</v>
      </c>
      <c r="H29" s="1012">
        <f>+Historicals!AT60</f>
        <v>109.504</v>
      </c>
      <c r="I29" s="1012">
        <f>+Historicals!AU60</f>
        <v>102.508</v>
      </c>
      <c r="J29" s="1030">
        <f t="shared" ref="J29:U29" si="38">+J30*J$8</f>
        <v>106.60832000000001</v>
      </c>
      <c r="K29" s="1013">
        <f t="shared" si="38"/>
        <v>110.87265280000003</v>
      </c>
      <c r="L29" s="1013">
        <f t="shared" si="38"/>
        <v>115.30755891200003</v>
      </c>
      <c r="M29" s="1013">
        <f t="shared" si="38"/>
        <v>119.91986126848003</v>
      </c>
      <c r="N29" s="1013">
        <f t="shared" si="38"/>
        <v>124.71665571921923</v>
      </c>
      <c r="O29" s="1013">
        <f t="shared" si="38"/>
        <v>129.70532194798801</v>
      </c>
      <c r="P29" s="1013">
        <f t="shared" si="38"/>
        <v>134.89353482590755</v>
      </c>
      <c r="Q29" s="1013">
        <f t="shared" si="38"/>
        <v>140.28927621894385</v>
      </c>
      <c r="R29" s="1013">
        <f t="shared" si="38"/>
        <v>145.90084726770161</v>
      </c>
      <c r="S29" s="1013">
        <f t="shared" si="38"/>
        <v>151.73688115840969</v>
      </c>
      <c r="T29" s="1013">
        <f t="shared" si="38"/>
        <v>157.80635640474608</v>
      </c>
      <c r="U29" s="1013">
        <f t="shared" si="38"/>
        <v>164.11861066093593</v>
      </c>
    </row>
    <row r="30" spans="1:25" s="1019" customFormat="1" ht="12" x14ac:dyDescent="0.3">
      <c r="A30" s="1015" t="s">
        <v>735</v>
      </c>
      <c r="B30" s="1016"/>
      <c r="C30" s="1023">
        <f t="shared" ref="C30:D30" si="39">+C29/C$8</f>
        <v>6.1569038523145055E-2</v>
      </c>
      <c r="D30" s="1023">
        <f t="shared" si="39"/>
        <v>6.8363143759500339E-2</v>
      </c>
      <c r="E30" s="1023">
        <f>+E29/E$8</f>
        <v>6.9825561005606454E-2</v>
      </c>
      <c r="F30" s="1023">
        <f>+F29/F$8</f>
        <v>4.9830812879044228E-2</v>
      </c>
      <c r="G30" s="1023">
        <f>+G29/G$8</f>
        <v>5.9666229117086612E-2</v>
      </c>
      <c r="H30" s="1023">
        <f>+H29/H$8</f>
        <v>5.9598619321874123E-2</v>
      </c>
      <c r="I30" s="1014">
        <f>+I29/I$8</f>
        <v>5.0247320066135019E-2</v>
      </c>
      <c r="J30" s="1164">
        <f>+I30</f>
        <v>5.0247320066135019E-2</v>
      </c>
      <c r="K30" s="1018">
        <f t="shared" ref="K30:T30" si="40">+J30</f>
        <v>5.0247320066135019E-2</v>
      </c>
      <c r="L30" s="1018">
        <f t="shared" si="40"/>
        <v>5.0247320066135019E-2</v>
      </c>
      <c r="M30" s="1018">
        <f t="shared" si="40"/>
        <v>5.0247320066135019E-2</v>
      </c>
      <c r="N30" s="1018">
        <f t="shared" si="40"/>
        <v>5.0247320066135019E-2</v>
      </c>
      <c r="O30" s="1018">
        <f t="shared" si="40"/>
        <v>5.0247320066135019E-2</v>
      </c>
      <c r="P30" s="1018">
        <f t="shared" si="40"/>
        <v>5.0247320066135019E-2</v>
      </c>
      <c r="Q30" s="1018">
        <f t="shared" si="40"/>
        <v>5.0247320066135019E-2</v>
      </c>
      <c r="R30" s="1018">
        <f t="shared" si="40"/>
        <v>5.0247320066135019E-2</v>
      </c>
      <c r="S30" s="1018">
        <f t="shared" si="40"/>
        <v>5.0247320066135019E-2</v>
      </c>
      <c r="T30" s="1018">
        <f t="shared" si="40"/>
        <v>5.0247320066135019E-2</v>
      </c>
      <c r="U30" s="1018">
        <f t="shared" ref="U30" si="41">+T30</f>
        <v>5.0247320066135019E-2</v>
      </c>
    </row>
    <row r="31" spans="1:25" x14ac:dyDescent="0.25">
      <c r="G31" s="1037"/>
      <c r="H31" s="1037"/>
      <c r="I31" s="1037"/>
      <c r="J31" s="1038"/>
      <c r="K31" s="1037"/>
      <c r="L31" s="1037"/>
      <c r="M31" s="1037"/>
      <c r="N31" s="1037"/>
      <c r="O31" s="1037"/>
      <c r="P31" s="1037"/>
      <c r="Q31" s="1037"/>
      <c r="R31" s="1037"/>
      <c r="S31" s="1037"/>
      <c r="T31" s="1037"/>
      <c r="U31" s="1037"/>
    </row>
    <row r="32" spans="1:25" ht="11.25" customHeight="1" x14ac:dyDescent="0.25">
      <c r="A32" s="1039" t="s">
        <v>691</v>
      </c>
      <c r="C32" s="1011">
        <f t="shared" ref="C32:D32" si="42">+C24-C29</f>
        <v>44.301000000000002</v>
      </c>
      <c r="D32" s="1011">
        <f t="shared" si="42"/>
        <v>47.445999999999955</v>
      </c>
      <c r="E32" s="1011">
        <f t="shared" ref="E32:T32" si="43">+E24-E29</f>
        <v>31.876000000000147</v>
      </c>
      <c r="F32" s="1011">
        <f t="shared" si="43"/>
        <v>123.95499999999998</v>
      </c>
      <c r="G32" s="1011">
        <f t="shared" si="43"/>
        <v>153.90499999999997</v>
      </c>
      <c r="H32" s="1013">
        <f t="shared" si="43"/>
        <v>166.35300000000001</v>
      </c>
      <c r="I32" s="1013">
        <f t="shared" si="43"/>
        <v>256.77499999999998</v>
      </c>
      <c r="J32" s="1030">
        <f t="shared" si="43"/>
        <v>267.04599999999999</v>
      </c>
      <c r="K32" s="1013">
        <f t="shared" si="43"/>
        <v>277.72783999999996</v>
      </c>
      <c r="L32" s="1013">
        <f t="shared" si="43"/>
        <v>288.83695360000002</v>
      </c>
      <c r="M32" s="1013">
        <f t="shared" si="43"/>
        <v>300.39043174400001</v>
      </c>
      <c r="N32" s="1013">
        <f t="shared" si="43"/>
        <v>312.40604901376003</v>
      </c>
      <c r="O32" s="1013">
        <f t="shared" si="43"/>
        <v>324.90229097431046</v>
      </c>
      <c r="P32" s="1013">
        <f t="shared" si="43"/>
        <v>337.89838261328282</v>
      </c>
      <c r="Q32" s="1013">
        <f t="shared" si="43"/>
        <v>351.41431791781417</v>
      </c>
      <c r="R32" s="1013">
        <f t="shared" si="43"/>
        <v>365.47089063452677</v>
      </c>
      <c r="S32" s="1013">
        <f t="shared" si="43"/>
        <v>380.08972625990782</v>
      </c>
      <c r="T32" s="1013">
        <f t="shared" si="43"/>
        <v>395.29331531030414</v>
      </c>
      <c r="U32" s="1013">
        <f t="shared" ref="U32" si="44">+U24-U29</f>
        <v>411.10504792271638</v>
      </c>
    </row>
    <row r="33" spans="1:21" s="1019" customFormat="1" ht="11.25" customHeight="1" x14ac:dyDescent="0.3">
      <c r="A33" s="1015" t="s">
        <v>730</v>
      </c>
      <c r="B33" s="1016"/>
      <c r="C33" s="1014"/>
      <c r="D33" s="1014">
        <f t="shared" ref="D33" si="45">IF(OR(D32&lt;0, C32&lt;0), "NM", D32/C32-1)</f>
        <v>7.0991625471207298E-2</v>
      </c>
      <c r="E33" s="1014">
        <f t="shared" ref="E33:T33" si="46">IF(OR(E32&lt;0, D32&lt;0), "NM", E32/D32-1)</f>
        <v>-0.3281625426800957</v>
      </c>
      <c r="F33" s="1014">
        <f t="shared" si="46"/>
        <v>2.8886623164763274</v>
      </c>
      <c r="G33" s="1014">
        <f t="shared" si="46"/>
        <v>0.24161994272114873</v>
      </c>
      <c r="H33" s="1014">
        <f t="shared" si="46"/>
        <v>8.0881062993405362E-2</v>
      </c>
      <c r="I33" s="1014">
        <f t="shared" si="46"/>
        <v>0.54355497045439494</v>
      </c>
      <c r="J33" s="1017">
        <f t="shared" si="46"/>
        <v>4.0000000000000036E-2</v>
      </c>
      <c r="K33" s="1014">
        <f t="shared" si="46"/>
        <v>3.9999999999999813E-2</v>
      </c>
      <c r="L33" s="1014">
        <f t="shared" si="46"/>
        <v>4.0000000000000258E-2</v>
      </c>
      <c r="M33" s="1014">
        <f t="shared" si="46"/>
        <v>4.0000000000000036E-2</v>
      </c>
      <c r="N33" s="1014">
        <f t="shared" si="46"/>
        <v>4.0000000000000036E-2</v>
      </c>
      <c r="O33" s="1014">
        <f t="shared" si="46"/>
        <v>4.0000000000000036E-2</v>
      </c>
      <c r="P33" s="1014">
        <f t="shared" si="46"/>
        <v>3.9999999999999813E-2</v>
      </c>
      <c r="Q33" s="1014">
        <f t="shared" si="46"/>
        <v>4.0000000000000036E-2</v>
      </c>
      <c r="R33" s="1014">
        <f t="shared" si="46"/>
        <v>4.0000000000000036E-2</v>
      </c>
      <c r="S33" s="1014">
        <f t="shared" si="46"/>
        <v>4.0000000000000036E-2</v>
      </c>
      <c r="T33" s="1014">
        <f t="shared" si="46"/>
        <v>4.0000000000000036E-2</v>
      </c>
      <c r="U33" s="1014">
        <f t="shared" ref="U33" si="47">IF(OR(U32&lt;0, T32&lt;0), "NM", U32/T32-1)</f>
        <v>4.0000000000000258E-2</v>
      </c>
    </row>
    <row r="34" spans="1:21" s="1019" customFormat="1" ht="12" x14ac:dyDescent="0.3">
      <c r="A34" s="1015" t="s">
        <v>733</v>
      </c>
      <c r="B34" s="1016"/>
      <c r="C34" s="1023">
        <f t="shared" ref="C34:D34" si="48">+C32/C$8</f>
        <v>4.8272157291764282E-2</v>
      </c>
      <c r="D34" s="1023">
        <f t="shared" si="48"/>
        <v>4.6710220605029523E-2</v>
      </c>
      <c r="E34" s="1023">
        <f t="shared" ref="E34:T34" si="49">+E32/E$8</f>
        <v>3.0627471139018078E-2</v>
      </c>
      <c r="F34" s="1023">
        <f t="shared" si="49"/>
        <v>8.0659959915666712E-2</v>
      </c>
      <c r="G34" s="1023">
        <f t="shared" si="49"/>
        <v>9.1248059781841792E-2</v>
      </c>
      <c r="H34" s="1023">
        <f t="shared" si="49"/>
        <v>9.0539241672009482E-2</v>
      </c>
      <c r="I34" s="1023">
        <f t="shared" si="49"/>
        <v>0.12586584081224703</v>
      </c>
      <c r="J34" s="1024">
        <f t="shared" si="49"/>
        <v>0.12586584081224703</v>
      </c>
      <c r="K34" s="1023">
        <f t="shared" si="49"/>
        <v>0.125865840812247</v>
      </c>
      <c r="L34" s="1023">
        <f t="shared" si="49"/>
        <v>0.125865840812247</v>
      </c>
      <c r="M34" s="1023">
        <f t="shared" si="49"/>
        <v>0.125865840812247</v>
      </c>
      <c r="N34" s="1023">
        <f t="shared" si="49"/>
        <v>0.125865840812247</v>
      </c>
      <c r="O34" s="1023">
        <f t="shared" si="49"/>
        <v>0.12586584081224703</v>
      </c>
      <c r="P34" s="1023">
        <f t="shared" si="49"/>
        <v>0.12586584081224697</v>
      </c>
      <c r="Q34" s="1023">
        <f t="shared" si="49"/>
        <v>0.125865840812247</v>
      </c>
      <c r="R34" s="1023">
        <f t="shared" si="49"/>
        <v>0.125865840812247</v>
      </c>
      <c r="S34" s="1023">
        <f t="shared" si="49"/>
        <v>0.125865840812247</v>
      </c>
      <c r="T34" s="1014">
        <f t="shared" si="49"/>
        <v>0.125865840812247</v>
      </c>
      <c r="U34" s="1040">
        <f t="shared" ref="U34" si="50">+U32/U$8</f>
        <v>0.125865840812247</v>
      </c>
    </row>
    <row r="35" spans="1:21" x14ac:dyDescent="0.25">
      <c r="G35" s="1037"/>
      <c r="H35" s="1037"/>
      <c r="I35" s="1037"/>
      <c r="J35" s="1038"/>
      <c r="K35" s="1037"/>
      <c r="L35" s="1037"/>
      <c r="M35" s="1037"/>
      <c r="N35" s="1037"/>
      <c r="O35" s="1037"/>
      <c r="P35" s="1037"/>
      <c r="Q35" s="1037"/>
      <c r="R35" s="1037"/>
      <c r="S35" s="1037"/>
      <c r="T35" s="1037"/>
      <c r="U35" s="1037"/>
    </row>
    <row r="36" spans="1:21" x14ac:dyDescent="0.25">
      <c r="A36" s="995" t="str">
        <f>+Historicals!A71</f>
        <v>Amortization of intangible assets (backed out of AOI)</v>
      </c>
      <c r="C36" s="1041">
        <f t="shared" ref="C36:D36" si="51">+C38-C37</f>
        <v>0</v>
      </c>
      <c r="D36" s="1041">
        <f t="shared" si="51"/>
        <v>0</v>
      </c>
      <c r="E36" s="1041">
        <f>+E38-E37</f>
        <v>6.0130000000000194</v>
      </c>
      <c r="F36" s="1041">
        <f>+F38-F37</f>
        <v>11.641999999999996</v>
      </c>
      <c r="G36" s="1042">
        <f>+G38-G37</f>
        <v>12.968000000000004</v>
      </c>
      <c r="H36" s="1042">
        <f>+H38-H37</f>
        <v>15.200000000000017</v>
      </c>
      <c r="I36" s="1128">
        <f>+I38-I37</f>
        <v>12.878</v>
      </c>
      <c r="J36" s="1168">
        <v>10.4</v>
      </c>
      <c r="K36" s="1043">
        <v>9.3000000000000007</v>
      </c>
      <c r="L36" s="1043">
        <v>7.6</v>
      </c>
      <c r="M36" s="1043">
        <v>5.7</v>
      </c>
      <c r="N36" s="1043">
        <f>+M36-1</f>
        <v>4.7</v>
      </c>
      <c r="O36" s="1043">
        <f>+N36-1</f>
        <v>3.7</v>
      </c>
      <c r="P36" s="1043">
        <f>+O36-1</f>
        <v>2.7</v>
      </c>
      <c r="Q36" s="1043">
        <f>+P36-1</f>
        <v>1.7000000000000002</v>
      </c>
      <c r="R36" s="1043">
        <f>+Q36-1</f>
        <v>0.70000000000000018</v>
      </c>
      <c r="S36" s="1043">
        <v>0</v>
      </c>
      <c r="T36" s="1043">
        <v>0</v>
      </c>
      <c r="U36" s="1043">
        <v>0</v>
      </c>
    </row>
    <row r="37" spans="1:21" s="1044" customFormat="1" ht="13" x14ac:dyDescent="0.4">
      <c r="A37" s="995" t="s">
        <v>766</v>
      </c>
      <c r="C37" s="1045">
        <f t="shared" ref="C37:D37" si="52">+C17</f>
        <v>75.260000000000005</v>
      </c>
      <c r="D37" s="1045">
        <f t="shared" si="52"/>
        <v>71.399999999999977</v>
      </c>
      <c r="E37" s="1045">
        <f>+E17</f>
        <v>66.077999999999975</v>
      </c>
      <c r="F37" s="1045">
        <f>+F17</f>
        <v>78.435000000000002</v>
      </c>
      <c r="G37" s="1046">
        <f>+G17</f>
        <v>84.945999999999998</v>
      </c>
      <c r="H37" s="1046">
        <f>+H17</f>
        <v>95.157999999999987</v>
      </c>
      <c r="I37" s="1129">
        <f>+I17</f>
        <v>96.80499999999995</v>
      </c>
      <c r="J37" s="1169">
        <f>+I37+J29-I29</f>
        <v>100.90531999999995</v>
      </c>
      <c r="K37" s="1047">
        <f>+J37+K29-J29</f>
        <v>105.16965279999998</v>
      </c>
      <c r="L37" s="1047">
        <f>+K37+L29-K29</f>
        <v>109.60455891199999</v>
      </c>
      <c r="M37" s="1048">
        <f t="shared" ref="M37:T37" si="53">+M38-M36</f>
        <v>116.57978359859324</v>
      </c>
      <c r="N37" s="1048">
        <f t="shared" si="53"/>
        <v>122.6550082851865</v>
      </c>
      <c r="O37" s="1048">
        <f t="shared" si="53"/>
        <v>128.73023297177977</v>
      </c>
      <c r="P37" s="1048">
        <f t="shared" si="53"/>
        <v>134.80545765837303</v>
      </c>
      <c r="Q37" s="1048">
        <f t="shared" si="53"/>
        <v>140.88068234496629</v>
      </c>
      <c r="R37" s="1048">
        <f t="shared" si="53"/>
        <v>146.95590703155955</v>
      </c>
      <c r="S37" s="1048">
        <f t="shared" si="53"/>
        <v>152.7311317181528</v>
      </c>
      <c r="T37" s="1048">
        <f t="shared" si="53"/>
        <v>157.80635640474608</v>
      </c>
      <c r="U37" s="1048">
        <f t="shared" ref="U37" si="54">+U38-U36</f>
        <v>164.11861066093593</v>
      </c>
    </row>
    <row r="38" spans="1:21" x14ac:dyDescent="0.25">
      <c r="A38" s="1036" t="s">
        <v>764</v>
      </c>
      <c r="C38" s="1012">
        <f>+Historicals!AO72+Historicals!AO71</f>
        <v>75.260000000000005</v>
      </c>
      <c r="D38" s="1012">
        <f>+Historicals!AP72+Historicals!AP71</f>
        <v>71.399999999999977</v>
      </c>
      <c r="E38" s="1012">
        <f>+Historicals!AQ72+Historicals!AQ71</f>
        <v>72.090999999999994</v>
      </c>
      <c r="F38" s="1012">
        <f>+Historicals!AR72+Historicals!AR71</f>
        <v>90.076999999999998</v>
      </c>
      <c r="G38" s="1012">
        <f>+Historicals!AS72+Historicals!AS71</f>
        <v>97.914000000000001</v>
      </c>
      <c r="H38" s="1012">
        <f>+Historicals!AT72+Historicals!AT71</f>
        <v>110.358</v>
      </c>
      <c r="I38" s="1012">
        <f>+Historicals!AU72+Historicals!AU71</f>
        <v>109.68299999999995</v>
      </c>
      <c r="J38" s="1030">
        <f>+J37+J36</f>
        <v>111.30531999999995</v>
      </c>
      <c r="K38" s="1013">
        <f>+K37+K36</f>
        <v>114.46965279999998</v>
      </c>
      <c r="L38" s="1013">
        <f>+L37+L36</f>
        <v>117.20455891199998</v>
      </c>
      <c r="M38" s="1013">
        <f>($T$38-$L$38)/8+L38</f>
        <v>122.27978359859324</v>
      </c>
      <c r="N38" s="1013">
        <f t="shared" ref="N38:S38" si="55">($T$38-$L$38)/8+M38</f>
        <v>127.3550082851865</v>
      </c>
      <c r="O38" s="1013">
        <f t="shared" si="55"/>
        <v>132.43023297177976</v>
      </c>
      <c r="P38" s="1013">
        <f t="shared" si="55"/>
        <v>137.50545765837302</v>
      </c>
      <c r="Q38" s="1013">
        <f t="shared" si="55"/>
        <v>142.58068234496628</v>
      </c>
      <c r="R38" s="1013">
        <f t="shared" si="55"/>
        <v>147.65590703155954</v>
      </c>
      <c r="S38" s="1013">
        <f t="shared" si="55"/>
        <v>152.7311317181528</v>
      </c>
      <c r="T38" s="1043">
        <f>T29</f>
        <v>157.80635640474608</v>
      </c>
      <c r="U38" s="1043">
        <f t="shared" ref="U38" si="56">U29</f>
        <v>164.11861066093593</v>
      </c>
    </row>
    <row r="39" spans="1:21" s="1019" customFormat="1" ht="12" x14ac:dyDescent="0.3">
      <c r="A39" s="1033" t="s">
        <v>735</v>
      </c>
      <c r="B39" s="1016"/>
      <c r="C39" s="1023">
        <f t="shared" ref="C39:D39" si="57">+C38/C$8</f>
        <v>8.2006332989733408E-2</v>
      </c>
      <c r="D39" s="1023">
        <f t="shared" si="57"/>
        <v>7.0292748623679763E-2</v>
      </c>
      <c r="E39" s="1023">
        <f>+E38/E$8</f>
        <v>6.9267317790279267E-2</v>
      </c>
      <c r="F39" s="1023">
        <f>+F38/F$8</f>
        <v>5.8614878055128973E-2</v>
      </c>
      <c r="G39" s="1023">
        <f>+G38/G$8</f>
        <v>5.8051801601502612E-2</v>
      </c>
      <c r="H39" s="1023">
        <f>+H38/H$8</f>
        <v>6.0063417145705948E-2</v>
      </c>
      <c r="I39" s="1023">
        <f t="shared" ref="I39:T39" si="58">+I38/I$8</f>
        <v>5.3764357970245098E-2</v>
      </c>
      <c r="J39" s="1024">
        <f t="shared" si="58"/>
        <v>5.2461140360373151E-2</v>
      </c>
      <c r="K39" s="1023">
        <f t="shared" si="58"/>
        <v>5.1877475074727772E-2</v>
      </c>
      <c r="L39" s="1023">
        <f t="shared" si="58"/>
        <v>5.1073971562921983E-2</v>
      </c>
      <c r="M39" s="1023">
        <f t="shared" si="58"/>
        <v>5.1236145198169963E-2</v>
      </c>
      <c r="N39" s="1023">
        <f t="shared" si="58"/>
        <v>5.1310290726027691E-2</v>
      </c>
      <c r="O39" s="1023">
        <f t="shared" si="58"/>
        <v>5.1302939637544037E-2</v>
      </c>
      <c r="P39" s="1023">
        <f t="shared" si="58"/>
        <v>5.122025122047328E-2</v>
      </c>
      <c r="Q39" s="1023">
        <f t="shared" si="58"/>
        <v>5.1068031528328763E-2</v>
      </c>
      <c r="R39" s="1023">
        <f t="shared" si="58"/>
        <v>5.0851751440875136E-2</v>
      </c>
      <c r="S39" s="1023">
        <f t="shared" si="58"/>
        <v>5.057656385788787E-2</v>
      </c>
      <c r="T39" s="1023">
        <f t="shared" si="58"/>
        <v>5.0247320066135026E-2</v>
      </c>
      <c r="U39" s="1023">
        <f t="shared" ref="U39" si="59">+U38/U$8</f>
        <v>5.0247320066135019E-2</v>
      </c>
    </row>
    <row r="40" spans="1:21" x14ac:dyDescent="0.25">
      <c r="G40" s="1037"/>
      <c r="H40" s="1037"/>
      <c r="I40" s="1037"/>
      <c r="J40" s="1038"/>
      <c r="K40" s="1037"/>
      <c r="L40" s="1037"/>
      <c r="M40" s="1037"/>
      <c r="N40" s="1037"/>
      <c r="O40" s="1037"/>
      <c r="P40" s="1037"/>
      <c r="Q40" s="1037"/>
      <c r="R40" s="1037"/>
      <c r="S40" s="1037"/>
      <c r="T40" s="1037"/>
      <c r="U40" s="1037"/>
    </row>
    <row r="41" spans="1:21" x14ac:dyDescent="0.25">
      <c r="A41" s="995" t="s">
        <v>694</v>
      </c>
      <c r="C41" s="1012">
        <f>+Historicals!AO74</f>
        <v>-0.96499999999999997</v>
      </c>
      <c r="D41" s="1012">
        <f>+Historicals!AP74</f>
        <v>-2.875</v>
      </c>
      <c r="E41" s="1012">
        <f>+Historicals!AQ74</f>
        <v>-0.97</v>
      </c>
      <c r="F41" s="1012">
        <f>+Historicals!AR74</f>
        <v>15.149999999999999</v>
      </c>
      <c r="G41" s="1012">
        <f>+Historicals!AS74</f>
        <v>9.5539999999999985</v>
      </c>
      <c r="H41" s="1012">
        <f>+Historicals!AT74</f>
        <v>-7.048</v>
      </c>
      <c r="I41" s="1012">
        <f>+Historicals!AU74</f>
        <v>-18.088000000000001</v>
      </c>
      <c r="J41" s="1185">
        <f>+Historicals!AV74</f>
        <v>-25.700000000000003</v>
      </c>
      <c r="K41" s="1043">
        <v>0</v>
      </c>
      <c r="L41" s="1043">
        <v>0</v>
      </c>
      <c r="M41" s="1043">
        <v>0</v>
      </c>
      <c r="N41" s="1043">
        <v>0</v>
      </c>
      <c r="O41" s="1043">
        <v>0</v>
      </c>
      <c r="P41" s="1043">
        <v>0</v>
      </c>
      <c r="Q41" s="1043">
        <v>0</v>
      </c>
      <c r="R41" s="1043">
        <v>0</v>
      </c>
      <c r="S41" s="1043">
        <v>0</v>
      </c>
      <c r="T41" s="1043">
        <v>0</v>
      </c>
      <c r="U41" s="1043">
        <v>0</v>
      </c>
    </row>
    <row r="42" spans="1:21" s="1019" customFormat="1" ht="12" hidden="1" outlineLevel="1" x14ac:dyDescent="0.3">
      <c r="A42" s="1015" t="s">
        <v>736</v>
      </c>
      <c r="B42" s="1016"/>
      <c r="C42" s="1016"/>
      <c r="D42" s="1016"/>
      <c r="E42" s="1021"/>
      <c r="F42" s="1021">
        <f t="shared" ref="F42:T42" si="60">+F41/AVERAGE(F54)</f>
        <v>0.91155234657039619</v>
      </c>
      <c r="G42" s="1021">
        <f t="shared" si="60"/>
        <v>-0.29489474658929538</v>
      </c>
      <c r="H42" s="1023">
        <f t="shared" si="60"/>
        <v>6.8622391852551423E-2</v>
      </c>
      <c r="I42" s="1023">
        <f t="shared" si="60"/>
        <v>6.1481985044187622E-2</v>
      </c>
      <c r="J42" s="1024">
        <f t="shared" si="60"/>
        <v>4.9365791239656148E-2</v>
      </c>
      <c r="K42" s="1023" t="e">
        <f t="shared" si="60"/>
        <v>#DIV/0!</v>
      </c>
      <c r="L42" s="1023" t="e">
        <f t="shared" si="60"/>
        <v>#DIV/0!</v>
      </c>
      <c r="M42" s="1023" t="e">
        <f t="shared" si="60"/>
        <v>#DIV/0!</v>
      </c>
      <c r="N42" s="1023" t="e">
        <f t="shared" si="60"/>
        <v>#DIV/0!</v>
      </c>
      <c r="O42" s="1023" t="e">
        <f t="shared" si="60"/>
        <v>#DIV/0!</v>
      </c>
      <c r="P42" s="1023" t="e">
        <f t="shared" si="60"/>
        <v>#DIV/0!</v>
      </c>
      <c r="Q42" s="1023" t="e">
        <f t="shared" si="60"/>
        <v>#DIV/0!</v>
      </c>
      <c r="R42" s="1023" t="e">
        <f t="shared" si="60"/>
        <v>#DIV/0!</v>
      </c>
      <c r="S42" s="1023" t="e">
        <f t="shared" si="60"/>
        <v>#DIV/0!</v>
      </c>
      <c r="T42" s="1023" t="e">
        <f t="shared" si="60"/>
        <v>#DIV/0!</v>
      </c>
      <c r="U42" s="1023" t="e">
        <f t="shared" ref="U42" si="61">+U41/AVERAGE(U54)</f>
        <v>#DIV/0!</v>
      </c>
    </row>
    <row r="43" spans="1:21" ht="12" collapsed="1" x14ac:dyDescent="0.3">
      <c r="E43" s="1049"/>
      <c r="F43" s="1049"/>
      <c r="G43" s="1037"/>
      <c r="H43" s="1037"/>
      <c r="I43" s="1037"/>
      <c r="J43" s="1038"/>
      <c r="K43" s="1037"/>
      <c r="L43" s="1037"/>
      <c r="M43" s="1037"/>
      <c r="N43" s="1037"/>
      <c r="O43" s="1037"/>
      <c r="P43" s="1037"/>
      <c r="Q43" s="1037"/>
      <c r="R43" s="1037"/>
      <c r="S43" s="1037"/>
      <c r="T43" s="1037"/>
      <c r="U43" s="1037"/>
    </row>
    <row r="44" spans="1:21" x14ac:dyDescent="0.25">
      <c r="A44" s="995" t="s">
        <v>737</v>
      </c>
      <c r="C44" s="1013">
        <f t="shared" ref="C44:D44" si="62">+MAX((C24-C41-C38)*C45,0)</f>
        <v>6.8926000000000016</v>
      </c>
      <c r="D44" s="1013">
        <f t="shared" si="62"/>
        <v>12.573859999999994</v>
      </c>
      <c r="E44" s="1013">
        <f>+MAX((E24-E41-E38)*E45,0)</f>
        <v>8.691020000000039</v>
      </c>
      <c r="F44" s="1013">
        <f>+MAX((F24-F41-F38)*F45,0)</f>
        <v>24.779559999999996</v>
      </c>
      <c r="G44" s="1013">
        <f>+MAX((G24-G41-G38)*G45,0)</f>
        <v>38.239239999999988</v>
      </c>
      <c r="H44" s="1013">
        <f>+MAX((H24-H41-H38)*H45,0)</f>
        <v>44.862220000000008</v>
      </c>
      <c r="I44" s="1013">
        <f>+MAX((I24-I41-I38)*I45,0)</f>
        <v>69.598880000000008</v>
      </c>
      <c r="J44" s="1030">
        <f t="shared" ref="J44:T44" si="63">+MAX((J24-J41-J38)*J45,0)</f>
        <v>74.892740000000018</v>
      </c>
      <c r="K44" s="1013">
        <f t="shared" si="63"/>
        <v>71.274018400000017</v>
      </c>
      <c r="L44" s="1013">
        <f t="shared" si="63"/>
        <v>74.604387936000023</v>
      </c>
      <c r="M44" s="1013">
        <f t="shared" si="63"/>
        <v>77.487932447610561</v>
      </c>
      <c r="N44" s="1013">
        <f t="shared" si="63"/>
        <v>80.539601076426109</v>
      </c>
      <c r="O44" s="1013">
        <f t="shared" si="63"/>
        <v>83.766118787134857</v>
      </c>
      <c r="P44" s="1013">
        <f t="shared" si="63"/>
        <v>87.174479543012524</v>
      </c>
      <c r="Q44" s="1013">
        <f t="shared" si="63"/>
        <v>90.771957065865848</v>
      </c>
      <c r="R44" s="1013">
        <f t="shared" si="63"/>
        <v>94.566116026373891</v>
      </c>
      <c r="S44" s="1013">
        <f t="shared" si="63"/>
        <v>98.564823682042828</v>
      </c>
      <c r="T44" s="1013">
        <f t="shared" si="63"/>
        <v>102.77626198067908</v>
      </c>
      <c r="U44" s="1013">
        <f t="shared" ref="U44" si="64">+MAX((U24-U41-U38)*U45,0)</f>
        <v>106.88731245990627</v>
      </c>
    </row>
    <row r="45" spans="1:21" ht="12" x14ac:dyDescent="0.3">
      <c r="A45" s="1015" t="s">
        <v>738</v>
      </c>
      <c r="B45" s="1016"/>
      <c r="C45" s="1050">
        <v>0.26</v>
      </c>
      <c r="D45" s="1050">
        <v>0.26</v>
      </c>
      <c r="E45" s="1050">
        <v>0.26</v>
      </c>
      <c r="F45" s="1050">
        <f t="shared" ref="F45:T45" si="65">+E45</f>
        <v>0.26</v>
      </c>
      <c r="G45" s="1050">
        <f t="shared" si="65"/>
        <v>0.26</v>
      </c>
      <c r="H45" s="1050">
        <f t="shared" si="65"/>
        <v>0.26</v>
      </c>
      <c r="I45" s="1050">
        <f t="shared" si="65"/>
        <v>0.26</v>
      </c>
      <c r="J45" s="1051">
        <f t="shared" si="65"/>
        <v>0.26</v>
      </c>
      <c r="K45" s="1050">
        <f t="shared" si="65"/>
        <v>0.26</v>
      </c>
      <c r="L45" s="1050">
        <f t="shared" si="65"/>
        <v>0.26</v>
      </c>
      <c r="M45" s="1050">
        <f t="shared" si="65"/>
        <v>0.26</v>
      </c>
      <c r="N45" s="1050">
        <f t="shared" si="65"/>
        <v>0.26</v>
      </c>
      <c r="O45" s="1050">
        <f t="shared" si="65"/>
        <v>0.26</v>
      </c>
      <c r="P45" s="1050">
        <f t="shared" si="65"/>
        <v>0.26</v>
      </c>
      <c r="Q45" s="1050">
        <f t="shared" si="65"/>
        <v>0.26</v>
      </c>
      <c r="R45" s="1050">
        <f t="shared" si="65"/>
        <v>0.26</v>
      </c>
      <c r="S45" s="1050">
        <f t="shared" si="65"/>
        <v>0.26</v>
      </c>
      <c r="T45" s="1050">
        <f t="shared" si="65"/>
        <v>0.26</v>
      </c>
      <c r="U45" s="1050">
        <f t="shared" ref="U45" si="66">+T45</f>
        <v>0.26</v>
      </c>
    </row>
    <row r="46" spans="1:21" x14ac:dyDescent="0.25">
      <c r="G46" s="1037"/>
      <c r="H46" s="1037"/>
      <c r="I46" s="1037"/>
      <c r="J46" s="1038"/>
      <c r="K46" s="1037"/>
      <c r="L46" s="1037"/>
      <c r="M46" s="1037"/>
      <c r="N46" s="1037"/>
      <c r="O46" s="1037"/>
      <c r="P46" s="1037"/>
      <c r="Q46" s="1037"/>
      <c r="R46" s="1037"/>
      <c r="S46" s="1037"/>
      <c r="T46" s="1037"/>
      <c r="U46" s="1037"/>
    </row>
    <row r="47" spans="1:21" x14ac:dyDescent="0.25">
      <c r="A47" s="995" t="s">
        <v>699</v>
      </c>
      <c r="C47" s="1011">
        <f t="shared" ref="C47:E47" si="67">+C32-C41-C44</f>
        <v>38.373400000000004</v>
      </c>
      <c r="D47" s="1011">
        <f t="shared" si="67"/>
        <v>37.747139999999959</v>
      </c>
      <c r="E47" s="1011">
        <f t="shared" si="67"/>
        <v>24.154980000000108</v>
      </c>
      <c r="F47" s="1011">
        <f t="shared" ref="F47:T47" si="68">+F32-F41-F44</f>
        <v>84.025439999999975</v>
      </c>
      <c r="G47" s="1011">
        <f t="shared" si="68"/>
        <v>106.11175999999998</v>
      </c>
      <c r="H47" s="1011">
        <f t="shared" si="68"/>
        <v>128.53878</v>
      </c>
      <c r="I47" s="1011">
        <f t="shared" si="68"/>
        <v>205.26411999999999</v>
      </c>
      <c r="J47" s="1052">
        <f t="shared" si="68"/>
        <v>217.85325999999998</v>
      </c>
      <c r="K47" s="1011">
        <f t="shared" si="68"/>
        <v>206.45382159999994</v>
      </c>
      <c r="L47" s="1011">
        <f t="shared" si="68"/>
        <v>214.23256566399999</v>
      </c>
      <c r="M47" s="1011">
        <f t="shared" si="68"/>
        <v>222.90249929638946</v>
      </c>
      <c r="N47" s="1011">
        <f t="shared" si="68"/>
        <v>231.86644793733393</v>
      </c>
      <c r="O47" s="1011">
        <f t="shared" si="68"/>
        <v>241.13617218717559</v>
      </c>
      <c r="P47" s="1011">
        <f t="shared" si="68"/>
        <v>250.7239030702703</v>
      </c>
      <c r="Q47" s="1011">
        <f t="shared" si="68"/>
        <v>260.6423608519483</v>
      </c>
      <c r="R47" s="1011">
        <f t="shared" si="68"/>
        <v>270.90477460815288</v>
      </c>
      <c r="S47" s="1011">
        <f t="shared" si="68"/>
        <v>281.52490257786496</v>
      </c>
      <c r="T47" s="1011">
        <f t="shared" si="68"/>
        <v>292.51705332962507</v>
      </c>
      <c r="U47" s="1011">
        <f t="shared" ref="U47" si="69">+U32-U41-U44</f>
        <v>304.21773546281008</v>
      </c>
    </row>
    <row r="48" spans="1:21" s="1019" customFormat="1" ht="12" x14ac:dyDescent="0.3">
      <c r="A48" s="1015" t="s">
        <v>730</v>
      </c>
      <c r="B48" s="1016"/>
      <c r="C48" s="1014"/>
      <c r="D48" s="1014">
        <f t="shared" ref="D48" si="70">IF(OR(D47&lt;0, C47&lt;0), "NM", D47/C47-1)</f>
        <v>-1.6320159277000368E-2</v>
      </c>
      <c r="E48" s="1014">
        <f t="shared" ref="E48" si="71">IF(OR(E47&lt;0, D47&lt;0), "NM", E47/D47-1)</f>
        <v>-0.36008449911701568</v>
      </c>
      <c r="F48" s="1014">
        <f t="shared" ref="F48:T48" si="72">IF(OR(F47&lt;0, E47&lt;0), "NM", F47/E47-1)</f>
        <v>2.478596960129944</v>
      </c>
      <c r="G48" s="1014">
        <f t="shared" si="72"/>
        <v>0.2628527741122213</v>
      </c>
      <c r="H48" s="1014">
        <f t="shared" si="72"/>
        <v>0.21135282272200584</v>
      </c>
      <c r="I48" s="1014">
        <f t="shared" si="72"/>
        <v>0.59690421832228369</v>
      </c>
      <c r="J48" s="1017">
        <f t="shared" si="72"/>
        <v>6.1331420220932742E-2</v>
      </c>
      <c r="K48" s="1014">
        <f t="shared" si="72"/>
        <v>-5.2326223624103885E-2</v>
      </c>
      <c r="L48" s="1014">
        <f t="shared" si="72"/>
        <v>3.7677888467820164E-2</v>
      </c>
      <c r="M48" s="1014">
        <f t="shared" si="72"/>
        <v>4.0469727865684479E-2</v>
      </c>
      <c r="N48" s="1014">
        <f t="shared" si="72"/>
        <v>4.0214661877906011E-2</v>
      </c>
      <c r="O48" s="1014">
        <f t="shared" si="72"/>
        <v>3.9978721942326656E-2</v>
      </c>
      <c r="P48" s="1014">
        <f t="shared" si="72"/>
        <v>3.9760649744628562E-2</v>
      </c>
      <c r="Q48" s="1014">
        <f t="shared" si="72"/>
        <v>3.9559282781658656E-2</v>
      </c>
      <c r="R48" s="1014">
        <f t="shared" si="72"/>
        <v>3.9373545123902121E-2</v>
      </c>
      <c r="S48" s="1014">
        <f t="shared" si="72"/>
        <v>3.9202439252218557E-2</v>
      </c>
      <c r="T48" s="1014">
        <f t="shared" si="72"/>
        <v>3.9045038826431622E-2</v>
      </c>
      <c r="U48" s="1014">
        <f t="shared" ref="U48" si="73">IF(OR(U47&lt;0, T47&lt;0), "NM", U47/T47-1)</f>
        <v>4.0000000000000036E-2</v>
      </c>
    </row>
    <row r="49" spans="1:29" s="1019" customFormat="1" ht="12" x14ac:dyDescent="0.3">
      <c r="A49" s="1015"/>
      <c r="B49" s="1016"/>
      <c r="C49" s="1016"/>
      <c r="D49" s="1016"/>
      <c r="E49" s="1014"/>
      <c r="F49" s="1014"/>
      <c r="G49" s="1014"/>
      <c r="H49" s="1014"/>
      <c r="I49" s="1014"/>
      <c r="J49" s="1017"/>
      <c r="K49" s="1014"/>
      <c r="L49" s="1014"/>
      <c r="M49" s="1014"/>
      <c r="N49" s="1014"/>
      <c r="O49" s="1014"/>
      <c r="P49" s="1014"/>
      <c r="Q49" s="1014"/>
      <c r="R49" s="1014"/>
      <c r="S49" s="1014"/>
      <c r="T49" s="1014"/>
      <c r="U49" s="1014"/>
    </row>
    <row r="50" spans="1:29" x14ac:dyDescent="0.25">
      <c r="A50" s="995" t="s">
        <v>658</v>
      </c>
      <c r="C50" s="1012">
        <f>+Historicals!AO48</f>
        <v>20.817</v>
      </c>
      <c r="D50" s="1012">
        <f>+Historicals!AP48</f>
        <v>16.675999999999998</v>
      </c>
      <c r="E50" s="1012">
        <f>+Historicals!AQ48</f>
        <v>23.609000000000002</v>
      </c>
      <c r="F50" s="1012">
        <f>+Historicals!AR48</f>
        <v>39.332999999999998</v>
      </c>
      <c r="G50" s="1012">
        <f>+Historicals!AS48</f>
        <v>18.57</v>
      </c>
      <c r="H50" s="1012">
        <f>+Historicals!AT48</f>
        <v>20.32</v>
      </c>
      <c r="I50" s="1012">
        <f>+Historicals!AU88</f>
        <v>31.461999999999996</v>
      </c>
      <c r="J50" s="1185">
        <f>+Historicals!AV88</f>
        <v>38.448999999999998</v>
      </c>
      <c r="K50" s="1043">
        <v>0</v>
      </c>
      <c r="L50" s="1043">
        <v>0</v>
      </c>
      <c r="M50" s="1043">
        <v>0</v>
      </c>
      <c r="N50" s="1043">
        <v>0</v>
      </c>
      <c r="O50" s="1043">
        <v>0</v>
      </c>
      <c r="P50" s="1043">
        <v>0</v>
      </c>
      <c r="Q50" s="1043">
        <v>0</v>
      </c>
      <c r="R50" s="1043">
        <v>0</v>
      </c>
      <c r="S50" s="1043">
        <v>0</v>
      </c>
      <c r="T50" s="1043">
        <v>0</v>
      </c>
      <c r="U50" s="1043">
        <v>0</v>
      </c>
    </row>
    <row r="51" spans="1:29" ht="13" x14ac:dyDescent="0.4">
      <c r="A51" s="995" t="s">
        <v>703</v>
      </c>
      <c r="C51" s="1048">
        <f t="shared" ref="C51:D51" si="74">+C52-C47-C50</f>
        <v>-12.067399999999999</v>
      </c>
      <c r="D51" s="1048">
        <f t="shared" si="74"/>
        <v>17.742860000000068</v>
      </c>
      <c r="E51" s="1048">
        <f t="shared" ref="E51:I51" si="75">+E52-E47-E50</f>
        <v>-40.020980000000087</v>
      </c>
      <c r="F51" s="1048">
        <f t="shared" si="75"/>
        <v>-65.78643999999997</v>
      </c>
      <c r="G51" s="1048">
        <f t="shared" si="75"/>
        <v>-18.434759999999962</v>
      </c>
      <c r="H51" s="1048">
        <f t="shared" si="75"/>
        <v>-55.212779999999945</v>
      </c>
      <c r="I51" s="1048">
        <f t="shared" si="75"/>
        <v>-60.437120000000057</v>
      </c>
      <c r="J51" s="1169">
        <f>+H51/(H8-G8)*(J8-I8)</f>
        <v>-29.898834943280335</v>
      </c>
      <c r="K51" s="1047">
        <f>+J51/(J8-I8)*(K8-J8)</f>
        <v>-31.094788341011522</v>
      </c>
      <c r="L51" s="1047">
        <f>+K51/(K8-J8)*(L8-K8)</f>
        <v>-32.338579874652027</v>
      </c>
      <c r="M51" s="1047">
        <f>+L51/(L8-K8)*(M8-L8)</f>
        <v>-33.63212306963802</v>
      </c>
      <c r="N51" s="1047">
        <f>+M51/(M8-L8)*(N8-M8)</f>
        <v>-34.977407992423537</v>
      </c>
      <c r="O51" s="1047">
        <f>+N51/(N8-M8)*(O8-N8)</f>
        <v>-36.376504312120545</v>
      </c>
      <c r="P51" s="1047">
        <f>+O51/(O8-N8)*(P8-O8)</f>
        <v>-37.83156448460538</v>
      </c>
      <c r="Q51" s="1047">
        <f>+P51/(P8-O8)*(Q8-P8)</f>
        <v>-39.34482706398947</v>
      </c>
      <c r="R51" s="1047">
        <f>+Q51/(Q8-P8)*(R8-Q8)</f>
        <v>-40.918620146549159</v>
      </c>
      <c r="S51" s="1047">
        <f>+R51/(R8-Q8)*(S8-R8)</f>
        <v>-42.555364952411082</v>
      </c>
      <c r="T51" s="1047">
        <f>+S51/(S8-R8)*(T8-S8)</f>
        <v>-44.257579550507565</v>
      </c>
      <c r="U51" s="1047">
        <f>+T51/(T8-S8)*(U8-T8)</f>
        <v>-46.027882732527878</v>
      </c>
    </row>
    <row r="52" spans="1:29" x14ac:dyDescent="0.25">
      <c r="A52" s="1036" t="s">
        <v>704</v>
      </c>
      <c r="B52" s="1036"/>
      <c r="C52" s="1012">
        <f>+Historicals!AO90</f>
        <v>47.123000000000005</v>
      </c>
      <c r="D52" s="1012">
        <f>+Historicals!AP90</f>
        <v>72.166000000000025</v>
      </c>
      <c r="E52" s="1012">
        <f>+Historicals!AQ90</f>
        <v>7.7430000000000234</v>
      </c>
      <c r="F52" s="1012">
        <f>+Historicals!AR90</f>
        <v>57.572000000000003</v>
      </c>
      <c r="G52" s="1012">
        <f>+Historicals!AS90</f>
        <v>106.24700000000001</v>
      </c>
      <c r="H52" s="1012">
        <f>+Historicals!AT90</f>
        <v>93.646000000000058</v>
      </c>
      <c r="I52" s="1012">
        <f>+Historicals!AU90</f>
        <v>176.28899999999993</v>
      </c>
      <c r="J52" s="1170">
        <f>J47+J51+J50</f>
        <v>226.40342505671964</v>
      </c>
      <c r="K52" s="1053">
        <f t="shared" ref="K52:T52" si="76">K47+K51+K50</f>
        <v>175.3590332589884</v>
      </c>
      <c r="L52" s="1053">
        <f t="shared" si="76"/>
        <v>181.89398578934797</v>
      </c>
      <c r="M52" s="1053">
        <f t="shared" si="76"/>
        <v>189.27037622675144</v>
      </c>
      <c r="N52" s="1053">
        <f t="shared" si="76"/>
        <v>196.88903994491039</v>
      </c>
      <c r="O52" s="1053">
        <f t="shared" si="76"/>
        <v>204.75966787505504</v>
      </c>
      <c r="P52" s="1053">
        <f t="shared" si="76"/>
        <v>212.8923385856649</v>
      </c>
      <c r="Q52" s="1053">
        <f t="shared" si="76"/>
        <v>221.29753378795883</v>
      </c>
      <c r="R52" s="1053">
        <f t="shared" si="76"/>
        <v>229.98615446160372</v>
      </c>
      <c r="S52" s="1053">
        <f t="shared" si="76"/>
        <v>238.96953762545388</v>
      </c>
      <c r="T52" s="1053">
        <f t="shared" si="76"/>
        <v>248.25947377911751</v>
      </c>
      <c r="U52" s="1053">
        <f t="shared" ref="U52" si="77">U47+U51+U50</f>
        <v>258.18985273028221</v>
      </c>
    </row>
    <row r="53" spans="1:29" ht="12" x14ac:dyDescent="0.3">
      <c r="E53" s="1014"/>
      <c r="F53" s="1014"/>
      <c r="G53" s="1037"/>
      <c r="H53" s="1032"/>
      <c r="I53" s="1037"/>
      <c r="J53" s="1038"/>
      <c r="K53" s="1037"/>
      <c r="L53" s="1037"/>
      <c r="M53" s="1037"/>
      <c r="N53" s="1037"/>
      <c r="O53" s="1037"/>
      <c r="P53" s="1037"/>
      <c r="Q53" s="1037"/>
      <c r="R53" s="1014"/>
      <c r="S53" s="1014"/>
      <c r="T53" s="1014"/>
      <c r="U53" s="1014"/>
    </row>
    <row r="54" spans="1:29" x14ac:dyDescent="0.25">
      <c r="A54" s="1022" t="s">
        <v>771</v>
      </c>
      <c r="C54" s="1012">
        <f>+Historicals!AO95</f>
        <v>-231.113</v>
      </c>
      <c r="D54" s="1012">
        <f>+Historicals!AP95</f>
        <v>-283.12099999999998</v>
      </c>
      <c r="E54" s="1012">
        <f>+Historicals!AQ95</f>
        <v>-212.29900000000001</v>
      </c>
      <c r="F54" s="1012">
        <f>+Historicals!AR95</f>
        <v>16.620000000000015</v>
      </c>
      <c r="G54" s="1012">
        <f>+Historicals!AS95</f>
        <v>-32.398000000000025</v>
      </c>
      <c r="H54" s="1012">
        <f>+Historicals!AT95</f>
        <v>-102.70700000000002</v>
      </c>
      <c r="I54" s="1012">
        <f>+Historicals!AU95</f>
        <v>-294.20000000000005</v>
      </c>
      <c r="J54" s="1030">
        <f>+I54-J52</f>
        <v>-520.60342505671974</v>
      </c>
      <c r="K54" s="1013">
        <f t="shared" ref="K54:T54" si="78">+K55*K24</f>
        <v>0</v>
      </c>
      <c r="L54" s="1013">
        <f t="shared" si="78"/>
        <v>0</v>
      </c>
      <c r="M54" s="1013">
        <f t="shared" si="78"/>
        <v>0</v>
      </c>
      <c r="N54" s="1013">
        <f t="shared" si="78"/>
        <v>0</v>
      </c>
      <c r="O54" s="1013">
        <f t="shared" si="78"/>
        <v>0</v>
      </c>
      <c r="P54" s="1013">
        <f t="shared" si="78"/>
        <v>0</v>
      </c>
      <c r="Q54" s="1013">
        <f t="shared" si="78"/>
        <v>0</v>
      </c>
      <c r="R54" s="1013">
        <f t="shared" si="78"/>
        <v>0</v>
      </c>
      <c r="S54" s="1013">
        <f t="shared" si="78"/>
        <v>0</v>
      </c>
      <c r="T54" s="1013">
        <f t="shared" si="78"/>
        <v>0</v>
      </c>
      <c r="U54" s="1013">
        <f t="shared" ref="U54" si="79">+U55*U24</f>
        <v>0</v>
      </c>
    </row>
    <row r="55" spans="1:29" ht="12" x14ac:dyDescent="0.3">
      <c r="A55" s="1015" t="s">
        <v>739</v>
      </c>
      <c r="B55" s="1015"/>
      <c r="C55" s="1054" t="str">
        <f t="shared" ref="C55:D55" si="80">+IF(OR(C54&lt;0,C24&lt; 0),"NM",C54/C24)</f>
        <v>NM</v>
      </c>
      <c r="D55" s="1054" t="str">
        <f t="shared" si="80"/>
        <v>NM</v>
      </c>
      <c r="E55" s="1054" t="str">
        <f t="shared" ref="E55:J55" si="81">+IF(OR(E54&lt;0,E24&lt; 0),"NM",E54/E24)</f>
        <v>NM</v>
      </c>
      <c r="F55" s="1054">
        <f t="shared" si="81"/>
        <v>8.2879127126208735E-2</v>
      </c>
      <c r="G55" s="1054" t="str">
        <f t="shared" si="81"/>
        <v>NM</v>
      </c>
      <c r="H55" s="1054" t="str">
        <f t="shared" si="81"/>
        <v>NM</v>
      </c>
      <c r="I55" s="1130" t="str">
        <f t="shared" si="81"/>
        <v>NM</v>
      </c>
      <c r="J55" s="1055" t="str">
        <f t="shared" si="81"/>
        <v>NM</v>
      </c>
      <c r="K55" s="1056">
        <v>0</v>
      </c>
      <c r="L55" s="1056">
        <f t="shared" ref="L55:T55" si="82">+K55</f>
        <v>0</v>
      </c>
      <c r="M55" s="1056">
        <f t="shared" si="82"/>
        <v>0</v>
      </c>
      <c r="N55" s="1056">
        <f t="shared" si="82"/>
        <v>0</v>
      </c>
      <c r="O55" s="1056">
        <f t="shared" si="82"/>
        <v>0</v>
      </c>
      <c r="P55" s="1056">
        <f t="shared" si="82"/>
        <v>0</v>
      </c>
      <c r="Q55" s="1056">
        <f t="shared" si="82"/>
        <v>0</v>
      </c>
      <c r="R55" s="1056">
        <f t="shared" si="82"/>
        <v>0</v>
      </c>
      <c r="S55" s="1056">
        <f t="shared" si="82"/>
        <v>0</v>
      </c>
      <c r="T55" s="1056">
        <f t="shared" si="82"/>
        <v>0</v>
      </c>
      <c r="U55" s="1056">
        <f t="shared" ref="U55" si="83">+T55</f>
        <v>0</v>
      </c>
    </row>
    <row r="56" spans="1:29" ht="12" x14ac:dyDescent="0.3">
      <c r="A56" s="1015"/>
      <c r="B56" s="1015"/>
      <c r="C56" s="1015"/>
      <c r="D56" s="1015"/>
      <c r="E56" s="1054"/>
      <c r="F56" s="1054"/>
      <c r="G56" s="1057"/>
      <c r="H56" s="1057"/>
      <c r="I56" s="1059"/>
      <c r="J56" s="1058"/>
      <c r="K56" s="1059"/>
      <c r="L56" s="1059"/>
      <c r="M56" s="1059"/>
      <c r="N56" s="1059"/>
      <c r="O56" s="1059"/>
      <c r="P56" s="1059"/>
      <c r="Q56" s="1059"/>
      <c r="R56" s="1059"/>
      <c r="S56" s="1059"/>
      <c r="T56" s="1059"/>
      <c r="U56" s="1059"/>
    </row>
    <row r="57" spans="1:29" x14ac:dyDescent="0.25">
      <c r="A57" s="1036" t="s">
        <v>740</v>
      </c>
      <c r="B57" s="1036"/>
      <c r="C57" s="1036"/>
      <c r="D57" s="1036"/>
      <c r="F57" s="1060"/>
      <c r="G57" s="1060"/>
      <c r="H57" s="1060"/>
      <c r="I57" s="1011"/>
      <c r="J57" s="1052">
        <f t="shared" ref="J57:T57" si="84">+J52+(J54-I54)</f>
        <v>0</v>
      </c>
      <c r="K57" s="1011">
        <f t="shared" si="84"/>
        <v>695.96245831570809</v>
      </c>
      <c r="L57" s="1011">
        <f t="shared" si="84"/>
        <v>181.89398578934797</v>
      </c>
      <c r="M57" s="1011">
        <f t="shared" si="84"/>
        <v>189.27037622675144</v>
      </c>
      <c r="N57" s="1011">
        <f t="shared" si="84"/>
        <v>196.88903994491039</v>
      </c>
      <c r="O57" s="1011">
        <f t="shared" si="84"/>
        <v>204.75966787505504</v>
      </c>
      <c r="P57" s="1011">
        <f t="shared" si="84"/>
        <v>212.8923385856649</v>
      </c>
      <c r="Q57" s="1011">
        <f t="shared" si="84"/>
        <v>221.29753378795883</v>
      </c>
      <c r="R57" s="1011">
        <f t="shared" si="84"/>
        <v>229.98615446160372</v>
      </c>
      <c r="S57" s="1011">
        <f t="shared" si="84"/>
        <v>238.96953762545388</v>
      </c>
      <c r="T57" s="1011">
        <f t="shared" si="84"/>
        <v>248.25947377911751</v>
      </c>
      <c r="U57" s="1011">
        <f t="shared" ref="U57" si="85">+U52+(U54-T54)</f>
        <v>258.18985273028221</v>
      </c>
    </row>
    <row r="58" spans="1:29" s="1019" customFormat="1" ht="12" x14ac:dyDescent="0.3">
      <c r="A58" s="1033" t="s">
        <v>741</v>
      </c>
      <c r="B58" s="1061"/>
      <c r="C58" s="1061"/>
      <c r="D58" s="1061"/>
      <c r="F58" s="1023"/>
      <c r="G58" s="1023"/>
      <c r="H58" s="1023"/>
      <c r="I58" s="1023"/>
      <c r="J58" s="1024">
        <f t="shared" ref="J58:U58" si="86">+J57/$C$85</f>
        <v>0</v>
      </c>
      <c r="K58" s="1023">
        <f t="shared" si="86"/>
        <v>0.14859240705674742</v>
      </c>
      <c r="L58" s="1023">
        <f t="shared" si="86"/>
        <v>3.8835521736323791E-2</v>
      </c>
      <c r="M58" s="1023">
        <f t="shared" si="86"/>
        <v>4.0410427964939565E-2</v>
      </c>
      <c r="N58" s="1023">
        <f t="shared" si="86"/>
        <v>4.2037061078422255E-2</v>
      </c>
      <c r="O58" s="1023">
        <f t="shared" si="86"/>
        <v>4.3717490152166541E-2</v>
      </c>
      <c r="P58" s="1023">
        <f t="shared" si="86"/>
        <v>4.5453867024582893E-2</v>
      </c>
      <c r="Q58" s="1023">
        <f t="shared" si="86"/>
        <v>4.7248429607618263E-2</v>
      </c>
      <c r="R58" s="1023">
        <f t="shared" si="86"/>
        <v>4.9103505329697296E-2</v>
      </c>
      <c r="S58" s="1023">
        <f t="shared" si="86"/>
        <v>5.1021514716381805E-2</v>
      </c>
      <c r="T58" s="1023">
        <f t="shared" si="86"/>
        <v>5.3004975114256003E-2</v>
      </c>
      <c r="U58" s="1023">
        <f t="shared" si="86"/>
        <v>5.5125174118826246E-2</v>
      </c>
    </row>
    <row r="59" spans="1:29" x14ac:dyDescent="0.25">
      <c r="J59" s="1062"/>
    </row>
    <row r="60" spans="1:29" x14ac:dyDescent="0.25">
      <c r="A60" s="1036" t="s">
        <v>742</v>
      </c>
      <c r="B60" s="1036"/>
      <c r="C60" s="1036"/>
      <c r="D60" s="1036"/>
      <c r="F60" s="1060"/>
      <c r="G60" s="1060"/>
      <c r="H60" s="1060"/>
      <c r="I60" s="1011"/>
      <c r="J60" s="1052">
        <f t="shared" ref="J60:T60" si="87">+I60+J57</f>
        <v>0</v>
      </c>
      <c r="K60" s="1011">
        <f t="shared" si="87"/>
        <v>695.96245831570809</v>
      </c>
      <c r="L60" s="1011">
        <f t="shared" si="87"/>
        <v>877.85644410505608</v>
      </c>
      <c r="M60" s="1011">
        <f t="shared" si="87"/>
        <v>1067.1268203318075</v>
      </c>
      <c r="N60" s="1011">
        <f t="shared" si="87"/>
        <v>1264.0158602767178</v>
      </c>
      <c r="O60" s="1011">
        <f t="shared" si="87"/>
        <v>1468.775528151773</v>
      </c>
      <c r="P60" s="1011">
        <f t="shared" si="87"/>
        <v>1681.6678667374379</v>
      </c>
      <c r="Q60" s="1011">
        <f t="shared" si="87"/>
        <v>1902.9654005253967</v>
      </c>
      <c r="R60" s="1011">
        <f t="shared" si="87"/>
        <v>2132.9515549870002</v>
      </c>
      <c r="S60" s="1011">
        <f t="shared" si="87"/>
        <v>2371.9210926124542</v>
      </c>
      <c r="T60" s="1011">
        <f t="shared" si="87"/>
        <v>2620.1805663915716</v>
      </c>
      <c r="U60" s="1011">
        <f t="shared" ref="U60" si="88">+T60+U57</f>
        <v>2878.370419121854</v>
      </c>
    </row>
    <row r="61" spans="1:29" s="1019" customFormat="1" ht="12" x14ac:dyDescent="0.3">
      <c r="A61" s="1033" t="s">
        <v>741</v>
      </c>
      <c r="B61" s="1061"/>
      <c r="C61" s="1061"/>
      <c r="D61" s="1061"/>
      <c r="F61" s="1023"/>
      <c r="G61" s="1023"/>
      <c r="H61" s="1023"/>
      <c r="I61" s="1023"/>
      <c r="J61" s="1024">
        <f t="shared" ref="J61:U61" si="89">+J60/$C$85</f>
        <v>0</v>
      </c>
      <c r="K61" s="1023">
        <f t="shared" si="89"/>
        <v>0.14859240705674742</v>
      </c>
      <c r="L61" s="1023">
        <f t="shared" si="89"/>
        <v>0.18742792879307121</v>
      </c>
      <c r="M61" s="1023">
        <f t="shared" si="89"/>
        <v>0.22783835675801076</v>
      </c>
      <c r="N61" s="1023">
        <f t="shared" si="89"/>
        <v>0.26987541783643304</v>
      </c>
      <c r="O61" s="1023">
        <f t="shared" si="89"/>
        <v>0.31359290798859957</v>
      </c>
      <c r="P61" s="1023">
        <f t="shared" si="89"/>
        <v>0.3590467750131825</v>
      </c>
      <c r="Q61" s="1023">
        <f t="shared" si="89"/>
        <v>0.40629520462080077</v>
      </c>
      <c r="R61" s="1023">
        <f t="shared" si="89"/>
        <v>0.45539870995049797</v>
      </c>
      <c r="S61" s="1023">
        <f t="shared" si="89"/>
        <v>0.50642022466687986</v>
      </c>
      <c r="T61" s="1023">
        <f t="shared" si="89"/>
        <v>0.55942519978113581</v>
      </c>
      <c r="U61" s="1023">
        <f t="shared" si="89"/>
        <v>0.61455037389996203</v>
      </c>
    </row>
    <row r="62" spans="1:29" x14ac:dyDescent="0.25">
      <c r="J62" s="1062"/>
      <c r="W62" s="1063"/>
      <c r="X62" s="1063"/>
      <c r="Y62" s="1063"/>
      <c r="Z62" s="1063"/>
      <c r="AA62" s="1063"/>
      <c r="AB62" s="1063"/>
      <c r="AC62" s="1063"/>
    </row>
    <row r="63" spans="1:29" x14ac:dyDescent="0.25">
      <c r="A63" s="995" t="s">
        <v>743</v>
      </c>
      <c r="H63" s="1064"/>
      <c r="I63" s="1064"/>
      <c r="J63" s="1065">
        <f>+Base!J67</f>
        <v>26.928966901694956</v>
      </c>
      <c r="W63" s="1063"/>
      <c r="X63" s="1063"/>
      <c r="Y63" s="1063"/>
      <c r="Z63" s="1063"/>
      <c r="AA63" s="1063"/>
      <c r="AB63" s="1063"/>
      <c r="AC63" s="1063"/>
    </row>
    <row r="64" spans="1:29" x14ac:dyDescent="0.25">
      <c r="A64" s="995" t="s">
        <v>744</v>
      </c>
      <c r="B64" s="1064"/>
      <c r="C64" s="1064"/>
      <c r="D64" s="1064"/>
      <c r="E64" s="1064"/>
      <c r="F64" s="1064"/>
      <c r="G64" s="1064"/>
      <c r="H64" s="1064"/>
      <c r="I64" s="1064"/>
      <c r="J64" s="1065">
        <f>+($C$87+J$54-$C$86-J$60)/J$8</f>
        <v>1.9621781317489373</v>
      </c>
      <c r="K64" s="1064">
        <f>+($C$85+K$54-K$60)/K$8</f>
        <v>1.8072372910323333</v>
      </c>
      <c r="L64" s="1064">
        <f>+($C$85+L$54-L$60)/L$8</f>
        <v>1.6584646243332837</v>
      </c>
      <c r="M64" s="1064">
        <f>+($C$85+M$54-M$60)/M$8</f>
        <v>1.5153718181313407</v>
      </c>
      <c r="N64" s="1064">
        <f>+($C$85+N$54-N$60)/N$8</f>
        <v>1.3777633035614603</v>
      </c>
      <c r="O64" s="1064">
        <f>+($C$85+O$54-O$60)/O$8</f>
        <v>1.2454493354503502</v>
      </c>
      <c r="P64" s="1064">
        <f>+($C$85+P$54-P$60)/P$8</f>
        <v>1.1182458651011826</v>
      </c>
      <c r="Q64" s="1064">
        <f>+($C$85+Q$54-Q$60)/Q$8</f>
        <v>0.9959744130392485</v>
      </c>
      <c r="R64" s="1064">
        <f>+($C$85+R$54-R$60)/R$8</f>
        <v>0.87846194195628058</v>
      </c>
      <c r="S64" s="1064">
        <f>+($C$85+S$54-S$60)/S$8</f>
        <v>0.76554073007115719</v>
      </c>
      <c r="T64" s="1064">
        <f>+($C$85+T$54-T$60)/T$8</f>
        <v>0.65704824510593285</v>
      </c>
      <c r="U64" s="1064">
        <f>+($C$85+U$54-U$60)/U$8</f>
        <v>0.5527285480239863</v>
      </c>
      <c r="V64" s="1064"/>
      <c r="W64" s="1066"/>
      <c r="X64" s="1066"/>
      <c r="Y64" s="1066"/>
      <c r="Z64" s="1066"/>
      <c r="AA64" s="1066"/>
      <c r="AB64" s="1066"/>
      <c r="AC64" s="1066"/>
    </row>
    <row r="65" spans="1:29" hidden="1" outlineLevel="1" x14ac:dyDescent="0.25">
      <c r="A65" s="995" t="s">
        <v>745</v>
      </c>
      <c r="B65" s="1064"/>
      <c r="C65" s="1064"/>
      <c r="D65" s="1064"/>
      <c r="E65" s="1064"/>
      <c r="F65" s="1064"/>
      <c r="G65" s="1064"/>
      <c r="H65" s="1064"/>
      <c r="I65" s="1064"/>
      <c r="J65" s="1065">
        <f t="shared" ref="J65:U65" si="90">+($C$85+J$54-J$60)/J$24</f>
        <v>11.141575802525928</v>
      </c>
      <c r="K65" s="1064">
        <f t="shared" si="90"/>
        <v>10.261795779591692</v>
      </c>
      <c r="L65" s="1064">
        <f t="shared" si="90"/>
        <v>9.4170396809728771</v>
      </c>
      <c r="M65" s="1064">
        <f t="shared" si="90"/>
        <v>8.6045347807811297</v>
      </c>
      <c r="N65" s="1064">
        <f t="shared" si="90"/>
        <v>7.823170606272285</v>
      </c>
      <c r="O65" s="1064">
        <f t="shared" si="90"/>
        <v>7.0718697525985386</v>
      </c>
      <c r="P65" s="1064">
        <f t="shared" si="90"/>
        <v>6.3495871604587606</v>
      </c>
      <c r="Q65" s="1064">
        <f t="shared" si="90"/>
        <v>5.6553093935270162</v>
      </c>
      <c r="R65" s="1064">
        <f t="shared" si="90"/>
        <v>4.988053917009176</v>
      </c>
      <c r="S65" s="1064">
        <f t="shared" si="90"/>
        <v>4.3468683785637952</v>
      </c>
      <c r="T65" s="1064">
        <f t="shared" si="90"/>
        <v>3.730829892716927</v>
      </c>
      <c r="U65" s="1064">
        <f t="shared" si="90"/>
        <v>3.1384851947872456</v>
      </c>
      <c r="V65" s="1064"/>
      <c r="W65" s="1066"/>
      <c r="X65" s="1066"/>
      <c r="Y65" s="1066"/>
      <c r="Z65" s="1066"/>
      <c r="AA65" s="1066"/>
      <c r="AB65" s="1066"/>
      <c r="AC65" s="1066"/>
    </row>
    <row r="66" spans="1:29" collapsed="1" x14ac:dyDescent="0.25">
      <c r="A66" s="995" t="s">
        <v>746</v>
      </c>
      <c r="B66" s="1064"/>
      <c r="C66" s="1064"/>
      <c r="D66" s="1064"/>
      <c r="E66" s="1064"/>
      <c r="F66" s="1064"/>
      <c r="G66" s="1064"/>
      <c r="H66" s="1064"/>
      <c r="I66" s="1064"/>
      <c r="J66" s="1065">
        <f t="shared" ref="J66:U66" si="91">+($C$85+J$54-J$60)/J$32</f>
        <v>15.589441258140097</v>
      </c>
      <c r="K66" s="1064">
        <f t="shared" si="91"/>
        <v>14.358441332213191</v>
      </c>
      <c r="L66" s="1064">
        <f t="shared" si="91"/>
        <v>13.17644734767395</v>
      </c>
      <c r="M66" s="1064">
        <f t="shared" si="91"/>
        <v>12.039579669529303</v>
      </c>
      <c r="N66" s="1064">
        <f t="shared" si="91"/>
        <v>10.946284509525169</v>
      </c>
      <c r="O66" s="1064">
        <f t="shared" si="91"/>
        <v>9.8950543484484896</v>
      </c>
      <c r="P66" s="1064">
        <f t="shared" si="91"/>
        <v>8.8844269254059203</v>
      </c>
      <c r="Q66" s="1064">
        <f t="shared" si="91"/>
        <v>7.9129842267921999</v>
      </c>
      <c r="R66" s="1064">
        <f t="shared" si="91"/>
        <v>6.9793514768369498</v>
      </c>
      <c r="S66" s="1064">
        <f t="shared" si="91"/>
        <v>6.0821961314595896</v>
      </c>
      <c r="T66" s="1064">
        <f t="shared" si="91"/>
        <v>5.2202268770130109</v>
      </c>
      <c r="U66" s="1064">
        <f t="shared" si="91"/>
        <v>4.3914102861989912</v>
      </c>
      <c r="V66" s="1064"/>
      <c r="W66" s="1066"/>
      <c r="X66" s="1066"/>
      <c r="Y66" s="1066"/>
      <c r="Z66" s="1066"/>
      <c r="AA66" s="1066"/>
      <c r="AB66" s="1066"/>
      <c r="AC66" s="1066"/>
    </row>
    <row r="67" spans="1:29" hidden="1" outlineLevel="1" x14ac:dyDescent="0.25">
      <c r="A67" s="995" t="s">
        <v>747</v>
      </c>
      <c r="B67" s="1064"/>
      <c r="C67" s="1064"/>
      <c r="D67" s="1064"/>
      <c r="E67" s="1064"/>
      <c r="F67" s="1064"/>
      <c r="G67" s="1064"/>
      <c r="H67" s="1064"/>
      <c r="I67" s="1064"/>
      <c r="J67" s="1065">
        <f>+($C$85-J60)/156.4</f>
        <v>29.946939611751915</v>
      </c>
      <c r="K67" s="1064">
        <f>+($C$85-K60)/180.7</f>
        <v>22.068283879149373</v>
      </c>
      <c r="L67" s="1064"/>
      <c r="M67" s="1064"/>
      <c r="N67" s="1064"/>
      <c r="O67" s="1064"/>
      <c r="P67" s="1064"/>
      <c r="Q67" s="1064"/>
      <c r="R67" s="1064"/>
      <c r="S67" s="1064"/>
      <c r="T67" s="1064"/>
      <c r="U67" s="1064"/>
      <c r="V67" s="1064"/>
      <c r="W67" s="1066"/>
      <c r="X67" s="1066"/>
      <c r="Y67" s="1066"/>
      <c r="Z67" s="1066"/>
      <c r="AA67" s="1066"/>
      <c r="AB67" s="1066"/>
      <c r="AC67" s="1066"/>
    </row>
    <row r="68" spans="1:29" outlineLevel="1" x14ac:dyDescent="0.25">
      <c r="B68" s="1064"/>
      <c r="C68" s="1064"/>
      <c r="D68" s="1064"/>
      <c r="E68" s="1064"/>
      <c r="F68" s="1064"/>
      <c r="G68" s="1064"/>
      <c r="H68" s="1064"/>
      <c r="I68" s="1064"/>
      <c r="J68" s="1065"/>
      <c r="K68" s="1064"/>
      <c r="L68" s="1064"/>
      <c r="M68" s="1064"/>
      <c r="N68" s="1064"/>
      <c r="O68" s="1064"/>
      <c r="P68" s="1064"/>
      <c r="Q68" s="1064"/>
      <c r="R68" s="1064"/>
      <c r="S68" s="1064"/>
      <c r="T68" s="1064"/>
      <c r="U68" s="1064"/>
      <c r="V68" s="1064"/>
      <c r="W68" s="1066"/>
      <c r="X68" s="1066"/>
      <c r="Y68" s="1066"/>
      <c r="Z68" s="1066"/>
      <c r="AA68" s="1066"/>
      <c r="AB68" s="1066"/>
      <c r="AC68" s="1066"/>
    </row>
    <row r="69" spans="1:29" x14ac:dyDescent="0.25">
      <c r="A69" s="995" t="s">
        <v>748</v>
      </c>
      <c r="B69" s="1064"/>
      <c r="C69" s="1064"/>
      <c r="D69" s="1064"/>
      <c r="E69" s="1064"/>
      <c r="F69" s="1064"/>
      <c r="G69" s="1064"/>
      <c r="H69" s="1064"/>
      <c r="I69" s="1064"/>
      <c r="J69" s="1065">
        <f t="shared" ref="J69:U69" si="92">+($C$85-J60)/(J24-J38-J41-J44)</f>
        <v>21.973088452940576</v>
      </c>
      <c r="K69" s="1064">
        <f t="shared" si="92"/>
        <v>19.657898933393774</v>
      </c>
      <c r="L69" s="1064">
        <f t="shared" si="92"/>
        <v>17.923727941061532</v>
      </c>
      <c r="M69" s="1064">
        <f t="shared" si="92"/>
        <v>16.398532132410935</v>
      </c>
      <c r="N69" s="1064">
        <f t="shared" si="92"/>
        <v>14.918265099490252</v>
      </c>
      <c r="O69" s="1064">
        <f t="shared" si="92"/>
        <v>13.484790153947596</v>
      </c>
      <c r="P69" s="1064">
        <f t="shared" si="92"/>
        <v>12.099510413254691</v>
      </c>
      <c r="Q69" s="1064">
        <f t="shared" si="92"/>
        <v>10.763404988003913</v>
      </c>
      <c r="R69" s="1064">
        <f t="shared" si="92"/>
        <v>9.4770667015814123</v>
      </c>
      <c r="S69" s="1064">
        <f t="shared" si="92"/>
        <v>8.2407403470341922</v>
      </c>
      <c r="T69" s="1064">
        <f t="shared" si="92"/>
        <v>7.0543606446121769</v>
      </c>
      <c r="U69" s="1064">
        <f t="shared" si="92"/>
        <v>5.9343382245932323</v>
      </c>
      <c r="V69" s="1064"/>
      <c r="W69" s="1066"/>
      <c r="X69" s="1066"/>
      <c r="Y69" s="1066"/>
      <c r="Z69" s="1066"/>
      <c r="AA69" s="1066"/>
      <c r="AB69" s="1066"/>
      <c r="AC69" s="1066"/>
    </row>
    <row r="70" spans="1:29" x14ac:dyDescent="0.25">
      <c r="A70" s="995" t="s">
        <v>941</v>
      </c>
      <c r="B70" s="1064"/>
      <c r="C70" s="1064"/>
      <c r="D70" s="1064"/>
      <c r="E70" s="1064"/>
      <c r="F70" s="1064"/>
      <c r="G70" s="1064"/>
      <c r="H70" s="1064"/>
      <c r="I70" s="1064"/>
      <c r="J70" s="1065">
        <f t="shared" ref="J70:U70" si="93">+($C$85-J60+J54)/(J24-J38-J41-J44)</f>
        <v>19.530732666360723</v>
      </c>
      <c r="K70" s="1064">
        <f t="shared" si="93"/>
        <v>19.657898933393774</v>
      </c>
      <c r="L70" s="1064">
        <f t="shared" si="93"/>
        <v>17.923727941061532</v>
      </c>
      <c r="M70" s="1064">
        <f t="shared" si="93"/>
        <v>16.398532132410935</v>
      </c>
      <c r="N70" s="1064">
        <f t="shared" si="93"/>
        <v>14.918265099490252</v>
      </c>
      <c r="O70" s="1064">
        <f t="shared" si="93"/>
        <v>13.484790153947596</v>
      </c>
      <c r="P70" s="1064">
        <f t="shared" si="93"/>
        <v>12.099510413254691</v>
      </c>
      <c r="Q70" s="1064">
        <f t="shared" si="93"/>
        <v>10.763404988003913</v>
      </c>
      <c r="R70" s="1064">
        <f t="shared" si="93"/>
        <v>9.4770667015814123</v>
      </c>
      <c r="S70" s="1064">
        <f t="shared" si="93"/>
        <v>8.2407403470341922</v>
      </c>
      <c r="T70" s="1064">
        <f t="shared" si="93"/>
        <v>7.0543606446121769</v>
      </c>
      <c r="U70" s="1064">
        <f t="shared" si="93"/>
        <v>5.9343382245932323</v>
      </c>
      <c r="V70" s="1064"/>
      <c r="W70" s="1066"/>
      <c r="X70" s="1066"/>
      <c r="Y70" s="1066"/>
      <c r="Z70" s="1066"/>
      <c r="AA70" s="1066"/>
      <c r="AB70" s="1066"/>
      <c r="AC70" s="1066"/>
    </row>
    <row r="71" spans="1:29" ht="5.15" customHeight="1" x14ac:dyDescent="0.25">
      <c r="B71" s="1064"/>
      <c r="C71" s="1064"/>
      <c r="D71" s="1064"/>
      <c r="E71" s="1064"/>
      <c r="F71" s="1064"/>
      <c r="G71" s="1064"/>
      <c r="H71" s="1064"/>
      <c r="I71" s="1064"/>
      <c r="J71" s="1065"/>
      <c r="K71" s="1064"/>
      <c r="L71" s="1064"/>
      <c r="M71" s="1064"/>
      <c r="N71" s="1064"/>
      <c r="O71" s="1064"/>
      <c r="P71" s="1064"/>
      <c r="Q71" s="1064"/>
      <c r="R71" s="1064"/>
      <c r="S71" s="1064"/>
      <c r="T71" s="1064"/>
      <c r="U71" s="1064"/>
      <c r="V71" s="1064"/>
      <c r="W71" s="1066"/>
      <c r="X71" s="1066"/>
      <c r="Y71" s="1066"/>
      <c r="Z71" s="1066"/>
      <c r="AA71" s="1066"/>
      <c r="AB71" s="1066"/>
      <c r="AC71" s="1066"/>
    </row>
    <row r="72" spans="1:29" x14ac:dyDescent="0.25">
      <c r="A72" s="995" t="s">
        <v>942</v>
      </c>
      <c r="E72" s="1067">
        <f t="shared" ref="E72:U72" si="94">+($C$85-E60)/E47</f>
        <v>193.90210032374191</v>
      </c>
      <c r="F72" s="1067">
        <f t="shared" si="94"/>
        <v>55.741467765929002</v>
      </c>
      <c r="G72" s="1067">
        <f t="shared" si="94"/>
        <v>44.139324004031231</v>
      </c>
      <c r="H72" s="1067">
        <f t="shared" si="94"/>
        <v>36.438041152078775</v>
      </c>
      <c r="I72" s="1067">
        <f t="shared" si="94"/>
        <v>22.817925291950683</v>
      </c>
      <c r="J72" s="1065">
        <f t="shared" si="94"/>
        <v>21.499340222303768</v>
      </c>
      <c r="K72" s="1064">
        <f t="shared" si="94"/>
        <v>19.315403638729702</v>
      </c>
      <c r="L72" s="1064">
        <f t="shared" si="94"/>
        <v>17.765015787291599</v>
      </c>
      <c r="M72" s="1064">
        <f t="shared" si="94"/>
        <v>16.224916931672883</v>
      </c>
      <c r="N72" s="1064">
        <f t="shared" si="94"/>
        <v>14.748513747558308</v>
      </c>
      <c r="O72" s="1064">
        <f t="shared" si="94"/>
        <v>13.332407983281437</v>
      </c>
      <c r="P72" s="1064">
        <f t="shared" si="94"/>
        <v>11.973463446359892</v>
      </c>
      <c r="Q72" s="1064">
        <f t="shared" si="94"/>
        <v>10.66877980103984</v>
      </c>
      <c r="R72" s="1064">
        <f t="shared" si="94"/>
        <v>9.4156694136546779</v>
      </c>
      <c r="S72" s="1064">
        <f t="shared" si="94"/>
        <v>8.2116368445457386</v>
      </c>
      <c r="T72" s="1064">
        <f t="shared" si="94"/>
        <v>7.0543606446121769</v>
      </c>
      <c r="U72" s="1064">
        <f t="shared" si="94"/>
        <v>5.9343382245932323</v>
      </c>
      <c r="V72" s="1064"/>
      <c r="W72" s="1064"/>
      <c r="X72" s="1064"/>
      <c r="Y72" s="1064"/>
      <c r="Z72" s="1064"/>
      <c r="AA72" s="1064"/>
      <c r="AB72" s="1064"/>
      <c r="AC72" s="1064"/>
    </row>
    <row r="73" spans="1:29" x14ac:dyDescent="0.25">
      <c r="A73" s="995" t="s">
        <v>943</v>
      </c>
      <c r="E73" s="1067">
        <f t="shared" ref="E73:U73" si="95">+($C$85-E60+E54)/E47</f>
        <v>185.11306386003963</v>
      </c>
      <c r="F73" s="1067">
        <f t="shared" si="95"/>
        <v>55.939265004479608</v>
      </c>
      <c r="G73" s="1067">
        <f t="shared" si="95"/>
        <v>43.834004405147937</v>
      </c>
      <c r="H73" s="1067">
        <f t="shared" si="95"/>
        <v>35.639006028204093</v>
      </c>
      <c r="I73" s="1067">
        <f t="shared" si="95"/>
        <v>21.384649958687376</v>
      </c>
      <c r="J73" s="1065">
        <f t="shared" si="95"/>
        <v>19.109642565005824</v>
      </c>
      <c r="K73" s="1064">
        <f t="shared" si="95"/>
        <v>19.315403638729702</v>
      </c>
      <c r="L73" s="1064">
        <f t="shared" si="95"/>
        <v>17.765015787291599</v>
      </c>
      <c r="M73" s="1064">
        <f t="shared" si="95"/>
        <v>16.224916931672883</v>
      </c>
      <c r="N73" s="1064">
        <f t="shared" si="95"/>
        <v>14.748513747558308</v>
      </c>
      <c r="O73" s="1064">
        <f t="shared" si="95"/>
        <v>13.332407983281437</v>
      </c>
      <c r="P73" s="1064">
        <f t="shared" si="95"/>
        <v>11.973463446359892</v>
      </c>
      <c r="Q73" s="1064">
        <f t="shared" si="95"/>
        <v>10.66877980103984</v>
      </c>
      <c r="R73" s="1064">
        <f t="shared" si="95"/>
        <v>9.4156694136546779</v>
      </c>
      <c r="S73" s="1064">
        <f t="shared" si="95"/>
        <v>8.2116368445457386</v>
      </c>
      <c r="T73" s="1064">
        <f t="shared" si="95"/>
        <v>7.0543606446121769</v>
      </c>
      <c r="U73" s="1064">
        <f t="shared" si="95"/>
        <v>5.9343382245932323</v>
      </c>
      <c r="V73" s="1064"/>
      <c r="W73" s="1064"/>
      <c r="X73" s="1064"/>
      <c r="Y73" s="1064"/>
      <c r="Z73" s="1064"/>
      <c r="AA73" s="1064"/>
      <c r="AB73" s="1064"/>
      <c r="AC73" s="1064"/>
    </row>
    <row r="74" spans="1:29" ht="7.5" customHeight="1" x14ac:dyDescent="0.25">
      <c r="F74" s="1064"/>
      <c r="G74" s="1064"/>
      <c r="H74" s="1064"/>
      <c r="I74" s="1064"/>
      <c r="J74" s="1064"/>
      <c r="K74" s="1064"/>
      <c r="L74" s="1064"/>
      <c r="M74" s="1064"/>
      <c r="N74" s="1064"/>
      <c r="O74" s="1064"/>
      <c r="P74" s="1064"/>
      <c r="Q74" s="1064"/>
      <c r="R74" s="1064"/>
      <c r="S74" s="1064"/>
      <c r="T74" s="1064"/>
      <c r="U74" s="1064"/>
    </row>
    <row r="75" spans="1:29" x14ac:dyDescent="0.25">
      <c r="A75" s="1006" t="s">
        <v>749</v>
      </c>
      <c r="B75" s="997"/>
      <c r="C75" s="997"/>
      <c r="D75" s="997"/>
      <c r="V75" s="1037"/>
      <c r="W75" s="1037"/>
      <c r="X75" s="1037"/>
      <c r="Y75" s="1037"/>
    </row>
    <row r="76" spans="1:29" ht="8.25" customHeight="1" x14ac:dyDescent="0.25">
      <c r="V76" s="1037"/>
      <c r="W76" s="1037"/>
      <c r="X76" s="1037"/>
      <c r="Y76" s="1037"/>
    </row>
    <row r="77" spans="1:29" x14ac:dyDescent="0.25">
      <c r="A77" s="1068" t="s">
        <v>750</v>
      </c>
      <c r="B77" s="1068"/>
      <c r="C77" s="1068"/>
      <c r="D77" s="1068"/>
      <c r="V77" s="1037"/>
      <c r="W77" s="1037"/>
      <c r="X77" s="1037"/>
      <c r="Y77" s="1037"/>
    </row>
    <row r="78" spans="1:29" ht="13" x14ac:dyDescent="0.4">
      <c r="A78" s="995" t="s">
        <v>751</v>
      </c>
      <c r="T78" s="1069">
        <v>15</v>
      </c>
      <c r="V78" s="1037"/>
      <c r="W78" s="1037"/>
      <c r="X78" s="1037"/>
      <c r="Y78" s="1037"/>
    </row>
    <row r="79" spans="1:29" ht="14.5" x14ac:dyDescent="0.55000000000000004">
      <c r="A79" s="1036" t="s">
        <v>752</v>
      </c>
      <c r="B79" s="1036"/>
      <c r="C79" s="1036"/>
      <c r="D79" s="1036"/>
      <c r="E79" s="1060"/>
      <c r="T79" s="1070">
        <f>+U47*T78</f>
        <v>4563.2660319421511</v>
      </c>
      <c r="U79" s="1071"/>
      <c r="V79" s="1037"/>
      <c r="W79" s="1037"/>
      <c r="X79" s="1037"/>
      <c r="Y79" s="1037"/>
    </row>
    <row r="80" spans="1:29" x14ac:dyDescent="0.25">
      <c r="A80" s="1036" t="s">
        <v>753</v>
      </c>
      <c r="B80" s="1036"/>
      <c r="C80" s="1036"/>
      <c r="D80" s="1036"/>
      <c r="F80" s="1060"/>
      <c r="J80" s="1011">
        <f>-C85+J60</f>
        <v>-4683.7013552779999</v>
      </c>
      <c r="K80" s="1011">
        <f>+K57</f>
        <v>695.96245831570809</v>
      </c>
      <c r="L80" s="1011">
        <f t="shared" ref="L80:S80" si="96">+L57</f>
        <v>181.89398578934797</v>
      </c>
      <c r="M80" s="1011">
        <f t="shared" si="96"/>
        <v>189.27037622675144</v>
      </c>
      <c r="N80" s="1011">
        <f t="shared" si="96"/>
        <v>196.88903994491039</v>
      </c>
      <c r="O80" s="1011">
        <f t="shared" si="96"/>
        <v>204.75966787505504</v>
      </c>
      <c r="P80" s="1011">
        <f t="shared" si="96"/>
        <v>212.8923385856649</v>
      </c>
      <c r="Q80" s="1011">
        <f t="shared" si="96"/>
        <v>221.29753378795883</v>
      </c>
      <c r="R80" s="1011">
        <f t="shared" si="96"/>
        <v>229.98615446160372</v>
      </c>
      <c r="S80" s="1011">
        <f t="shared" si="96"/>
        <v>238.96953762545388</v>
      </c>
      <c r="T80" s="1011">
        <f>+T57+T79</f>
        <v>4811.5255057212689</v>
      </c>
      <c r="U80" s="1011"/>
    </row>
    <row r="81" spans="1:21" x14ac:dyDescent="0.25">
      <c r="A81" s="1072" t="s">
        <v>754</v>
      </c>
      <c r="B81" s="1073"/>
      <c r="C81" s="1073"/>
      <c r="D81" s="1073"/>
      <c r="E81" s="1073"/>
      <c r="F81" s="1073"/>
      <c r="G81" s="1073"/>
      <c r="H81" s="1073"/>
      <c r="I81" s="1073"/>
      <c r="J81" s="1074">
        <f>XIRR(J80:T80,J3:T3)</f>
        <v>5.2527335286140453E-2</v>
      </c>
      <c r="U81" s="1064"/>
    </row>
    <row r="82" spans="1:21" ht="7.5" customHeight="1" x14ac:dyDescent="0.25"/>
    <row r="83" spans="1:21" x14ac:dyDescent="0.25">
      <c r="A83" s="1075" t="s">
        <v>711</v>
      </c>
      <c r="B83" s="1076"/>
      <c r="C83" s="1077"/>
      <c r="D83" s="1078"/>
    </row>
    <row r="84" spans="1:21" x14ac:dyDescent="0.25">
      <c r="C84" s="1079" t="s">
        <v>712</v>
      </c>
      <c r="D84" s="1079" t="s">
        <v>713</v>
      </c>
    </row>
    <row r="85" spans="1:21" x14ac:dyDescent="0.25">
      <c r="A85" s="995" t="s">
        <v>714</v>
      </c>
      <c r="C85" s="1053">
        <f>+D85*D88</f>
        <v>4683.7013552779999</v>
      </c>
      <c r="D85" s="1091">
        <f>+Base!D89</f>
        <v>103.93</v>
      </c>
    </row>
    <row r="86" spans="1:21" ht="13" x14ac:dyDescent="0.4">
      <c r="A86" s="995" t="s">
        <v>771</v>
      </c>
      <c r="C86" s="1048">
        <f>+Base!C90</f>
        <v>-119.39999999999998</v>
      </c>
      <c r="D86" s="1092">
        <f>+C86/D$88</f>
        <v>-2.6494520164092421</v>
      </c>
      <c r="E86" s="1082"/>
    </row>
    <row r="87" spans="1:21" x14ac:dyDescent="0.25">
      <c r="A87" s="1083" t="s">
        <v>715</v>
      </c>
      <c r="B87" s="1083"/>
      <c r="C87" s="1093">
        <f>+C85+C86</f>
        <v>4564.3013552780003</v>
      </c>
      <c r="D87" s="1094">
        <f>+C87/D$88</f>
        <v>101.28054798359076</v>
      </c>
    </row>
    <row r="88" spans="1:21" ht="12" x14ac:dyDescent="0.3">
      <c r="A88" s="1015" t="s">
        <v>879</v>
      </c>
      <c r="B88" s="1015"/>
      <c r="C88" s="1013"/>
      <c r="D88" s="1095">
        <f>+Base!D92</f>
        <v>45.065922787241412</v>
      </c>
      <c r="E88" s="1008"/>
    </row>
    <row r="91" spans="1:21" x14ac:dyDescent="0.25">
      <c r="H91" s="1087"/>
      <c r="I91" s="1087">
        <f>+I81</f>
        <v>0</v>
      </c>
    </row>
    <row r="98" spans="7:8" x14ac:dyDescent="0.25">
      <c r="H98" s="1112"/>
    </row>
    <row r="99" spans="7:8" outlineLevel="1" x14ac:dyDescent="0.25"/>
    <row r="104" spans="7:8" x14ac:dyDescent="0.25">
      <c r="G104" s="1088"/>
    </row>
  </sheetData>
  <pageMargins left="0.3" right="0.3" top="0.3" bottom="0.3" header="0.3" footer="0.3"/>
  <pageSetup scale="55" fitToHeight="0" orientation="landscape" r:id="rId1"/>
  <headerFooter>
    <oddFooter>Page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9FA92-4CEB-4FE8-905E-85473C3FBF21}">
  <sheetPr>
    <pageSetUpPr fitToPage="1"/>
  </sheetPr>
  <dimension ref="A1:BH515"/>
  <sheetViews>
    <sheetView view="pageBreakPreview" zoomScale="70" zoomScaleNormal="70" zoomScaleSheetLayoutView="70" workbookViewId="0">
      <pane xSplit="1" ySplit="5" topLeftCell="Z46" activePane="bottomRight" state="frozen"/>
      <selection activeCell="B6" sqref="B6"/>
      <selection pane="topRight" activeCell="B6" sqref="B6"/>
      <selection pane="bottomLeft" activeCell="B6" sqref="B6"/>
      <selection pane="bottomRight" activeCell="AV39" sqref="AV39"/>
    </sheetView>
  </sheetViews>
  <sheetFormatPr defaultColWidth="9.1796875" defaultRowHeight="12.5" outlineLevelRow="1" outlineLevelCol="1" x14ac:dyDescent="0.25"/>
  <cols>
    <col min="1" max="1" width="28.1796875" style="884" customWidth="1"/>
    <col min="2" max="2" width="3" style="884" customWidth="1"/>
    <col min="3" max="3" width="9.7265625" style="884" customWidth="1" outlineLevel="1"/>
    <col min="4" max="4" width="10.1796875" style="884" customWidth="1" outlineLevel="1"/>
    <col min="5" max="5" width="9.453125" style="884" customWidth="1" outlineLevel="1"/>
    <col min="6" max="6" width="9.26953125" style="884" customWidth="1" outlineLevel="1"/>
    <col min="7" max="7" width="11.54296875" style="884" customWidth="1" outlineLevel="1"/>
    <col min="8" max="8" width="11.81640625" style="884" customWidth="1" outlineLevel="1"/>
    <col min="9" max="9" width="11.54296875" style="884" customWidth="1" outlineLevel="1"/>
    <col min="10" max="10" width="10.54296875" style="884" customWidth="1" outlineLevel="1"/>
    <col min="11" max="11" width="11.1796875" style="884" customWidth="1" outlineLevel="1" collapsed="1"/>
    <col min="12" max="12" width="10.1796875" style="884" customWidth="1" outlineLevel="1"/>
    <col min="13" max="13" width="10.81640625" style="884" customWidth="1" outlineLevel="1"/>
    <col min="14" max="14" width="9.81640625" style="884" customWidth="1" outlineLevel="1"/>
    <col min="15" max="15" width="11.26953125" style="884" bestFit="1" customWidth="1"/>
    <col min="16" max="18" width="10.1796875" style="884" bestFit="1" customWidth="1"/>
    <col min="19" max="19" width="11.1796875" style="884" bestFit="1" customWidth="1"/>
    <col min="20" max="21" width="10.1796875" style="884" bestFit="1" customWidth="1"/>
    <col min="22" max="23" width="10.7265625" style="884" customWidth="1"/>
    <col min="24" max="30" width="11" style="884" customWidth="1"/>
    <col min="31" max="31" width="9.1796875" style="884"/>
    <col min="32" max="37" width="9.1796875" style="884" hidden="1" customWidth="1" outlineLevel="1"/>
    <col min="38" max="38" width="9.1796875" style="884" collapsed="1"/>
    <col min="39" max="39" width="9.1796875" style="884"/>
    <col min="40" max="40" width="9.7265625" style="884" bestFit="1" customWidth="1"/>
    <col min="41" max="48" width="11.453125" style="884" customWidth="1"/>
    <col min="49" max="49" width="21.1796875" style="884" bestFit="1" customWidth="1"/>
    <col min="50" max="16384" width="9.1796875" style="884"/>
  </cols>
  <sheetData>
    <row r="1" spans="1:50" ht="13" x14ac:dyDescent="0.3">
      <c r="A1" s="884" t="s">
        <v>651</v>
      </c>
      <c r="AU1" s="907"/>
      <c r="AV1" s="907">
        <f ca="1">TODAY()</f>
        <v>45797</v>
      </c>
    </row>
    <row r="2" spans="1:50" s="886" customFormat="1" ht="13" x14ac:dyDescent="0.3">
      <c r="A2" s="885" t="s">
        <v>652</v>
      </c>
    </row>
    <row r="3" spans="1:50" ht="13" x14ac:dyDescent="0.3">
      <c r="A3" s="887" t="s">
        <v>653</v>
      </c>
      <c r="W3" s="909" t="s">
        <v>758</v>
      </c>
      <c r="X3" s="909" t="s">
        <v>757</v>
      </c>
      <c r="Y3" s="909" t="s">
        <v>759</v>
      </c>
      <c r="Z3" s="909" t="s">
        <v>760</v>
      </c>
      <c r="AA3" s="909" t="s">
        <v>967</v>
      </c>
      <c r="AB3" s="909" t="s">
        <v>968</v>
      </c>
      <c r="AC3" s="909" t="s">
        <v>969</v>
      </c>
      <c r="AD3" s="909" t="s">
        <v>970</v>
      </c>
    </row>
    <row r="4" spans="1:50" ht="13" x14ac:dyDescent="0.3">
      <c r="A4" s="887"/>
      <c r="D4" s="897"/>
      <c r="E4" s="897"/>
      <c r="F4" s="897"/>
      <c r="G4" s="897" t="s">
        <v>767</v>
      </c>
      <c r="H4" s="897"/>
      <c r="I4" s="897"/>
      <c r="J4" s="897"/>
      <c r="K4" s="897" t="s">
        <v>767</v>
      </c>
      <c r="L4" s="897"/>
      <c r="M4" s="897"/>
      <c r="N4" s="897"/>
      <c r="O4" s="897" t="s">
        <v>767</v>
      </c>
      <c r="P4" s="897"/>
      <c r="Q4" s="897"/>
      <c r="R4" s="897"/>
      <c r="S4" s="897"/>
      <c r="T4" s="897"/>
      <c r="U4" s="897"/>
      <c r="V4" s="897"/>
      <c r="W4" s="897"/>
      <c r="X4" s="897"/>
      <c r="Y4" s="897"/>
      <c r="Z4" s="897"/>
      <c r="AA4" s="897"/>
      <c r="AB4" s="897"/>
      <c r="AC4" s="897"/>
      <c r="AD4" s="897"/>
      <c r="AL4" s="897" t="str">
        <f>+G4</f>
        <v>FYE June 30th</v>
      </c>
      <c r="AM4" s="897"/>
      <c r="AN4" s="897"/>
      <c r="AO4" s="897"/>
      <c r="AP4" s="897"/>
      <c r="AQ4" s="897"/>
      <c r="AR4" s="897"/>
      <c r="AS4" s="897"/>
      <c r="AT4" s="897"/>
      <c r="AU4" s="897"/>
      <c r="AV4" s="897"/>
    </row>
    <row r="5" spans="1:50" ht="16" x14ac:dyDescent="0.6">
      <c r="C5" s="893" t="s">
        <v>663</v>
      </c>
      <c r="D5" s="893" t="s">
        <v>664</v>
      </c>
      <c r="E5" s="893" t="s">
        <v>665</v>
      </c>
      <c r="F5" s="893" t="s">
        <v>666</v>
      </c>
      <c r="G5" s="893" t="s">
        <v>667</v>
      </c>
      <c r="H5" s="893" t="s">
        <v>668</v>
      </c>
      <c r="I5" s="893" t="s">
        <v>669</v>
      </c>
      <c r="J5" s="893" t="s">
        <v>670</v>
      </c>
      <c r="K5" s="893" t="s">
        <v>671</v>
      </c>
      <c r="L5" s="893" t="s">
        <v>672</v>
      </c>
      <c r="M5" s="893" t="s">
        <v>673</v>
      </c>
      <c r="N5" s="893" t="s">
        <v>674</v>
      </c>
      <c r="O5" s="893" t="s">
        <v>675</v>
      </c>
      <c r="P5" s="893" t="s">
        <v>676</v>
      </c>
      <c r="Q5" s="893" t="s">
        <v>677</v>
      </c>
      <c r="R5" s="893" t="s">
        <v>678</v>
      </c>
      <c r="S5" s="893" t="s">
        <v>679</v>
      </c>
      <c r="T5" s="893" t="s">
        <v>680</v>
      </c>
      <c r="U5" s="893" t="s">
        <v>681</v>
      </c>
      <c r="V5" s="893" t="s">
        <v>682</v>
      </c>
      <c r="W5" s="893" t="s">
        <v>683</v>
      </c>
      <c r="X5" s="1114" t="s">
        <v>907</v>
      </c>
      <c r="Y5" s="1114" t="s">
        <v>916</v>
      </c>
      <c r="Z5" s="1114" t="s">
        <v>945</v>
      </c>
      <c r="AA5" s="893" t="s">
        <v>1187</v>
      </c>
      <c r="AB5" s="1114" t="s">
        <v>949</v>
      </c>
      <c r="AC5" s="1114" t="s">
        <v>950</v>
      </c>
      <c r="AD5" s="1114" t="s">
        <v>951</v>
      </c>
      <c r="AF5" s="893" t="s">
        <v>838</v>
      </c>
      <c r="AG5" s="893" t="s">
        <v>837</v>
      </c>
      <c r="AH5" s="893" t="s">
        <v>781</v>
      </c>
      <c r="AI5" s="893" t="s">
        <v>780</v>
      </c>
      <c r="AJ5" s="893" t="s">
        <v>779</v>
      </c>
      <c r="AK5" s="893" t="s">
        <v>778</v>
      </c>
      <c r="AL5" s="893" t="s">
        <v>777</v>
      </c>
      <c r="AM5" s="893" t="s">
        <v>776</v>
      </c>
      <c r="AN5" s="893" t="s">
        <v>775</v>
      </c>
      <c r="AO5" s="893" t="s">
        <v>774</v>
      </c>
      <c r="AP5" s="893" t="s">
        <v>684</v>
      </c>
      <c r="AQ5" s="893" t="s">
        <v>685</v>
      </c>
      <c r="AR5" s="893" t="s">
        <v>686</v>
      </c>
      <c r="AS5" s="893" t="s">
        <v>687</v>
      </c>
      <c r="AT5" s="893" t="s">
        <v>688</v>
      </c>
      <c r="AU5" s="893" t="s">
        <v>946</v>
      </c>
      <c r="AV5" s="893" t="s">
        <v>971</v>
      </c>
    </row>
    <row r="6" spans="1:50" ht="13" x14ac:dyDescent="0.3">
      <c r="A6" s="904" t="s">
        <v>698</v>
      </c>
      <c r="B6" s="903"/>
    </row>
    <row r="7" spans="1:50" ht="13" x14ac:dyDescent="0.3">
      <c r="A7" s="908"/>
    </row>
    <row r="8" spans="1:50" ht="13" x14ac:dyDescent="0.3">
      <c r="A8" s="888" t="s">
        <v>654</v>
      </c>
      <c r="X8" s="1115"/>
      <c r="Y8" s="1569"/>
      <c r="Z8" s="1089"/>
      <c r="AA8" s="1089"/>
      <c r="AB8" s="1089" t="s">
        <v>1190</v>
      </c>
      <c r="AC8" s="1570"/>
      <c r="AD8" s="1089"/>
      <c r="AS8" s="906"/>
      <c r="AT8" s="906"/>
      <c r="AU8" s="1089"/>
      <c r="AV8" s="1089" t="s">
        <v>1188</v>
      </c>
      <c r="AX8" s="1108"/>
    </row>
    <row r="9" spans="1:50" s="876" customFormat="1" x14ac:dyDescent="0.25">
      <c r="A9" s="876" t="s">
        <v>655</v>
      </c>
      <c r="C9" s="877">
        <f>+Model!AA28</f>
        <v>238.51499999999999</v>
      </c>
      <c r="D9" s="877">
        <f>+Model!AB28</f>
        <v>242.57500000000002</v>
      </c>
      <c r="E9" s="877">
        <f>+Model!AC28</f>
        <v>241.23600000000002</v>
      </c>
      <c r="F9" s="877">
        <f>+Model!AD28</f>
        <v>243.60500000000002</v>
      </c>
      <c r="G9" s="877">
        <f>+Model!AE28</f>
        <v>233.56599999999997</v>
      </c>
      <c r="H9" s="877">
        <f>+Model!AF28</f>
        <v>232.61899999999997</v>
      </c>
      <c r="I9" s="877">
        <f>+Model!AG28</f>
        <v>233.14699999999999</v>
      </c>
      <c r="J9" s="877">
        <f>+Model!AH28</f>
        <v>234.47600000000003</v>
      </c>
      <c r="K9" s="877">
        <f>+Model!AI28</f>
        <v>313.84799999999996</v>
      </c>
      <c r="L9" s="877">
        <f>+Model!AJ28</f>
        <v>313.98900000000003</v>
      </c>
      <c r="M9" s="877">
        <f>+Model!AK28</f>
        <v>322.30399999999997</v>
      </c>
      <c r="N9" s="877">
        <f>+Model!AL28</f>
        <v>330.05799999999999</v>
      </c>
      <c r="O9" s="877">
        <f>+Model!AM28</f>
        <v>306.34100000000001</v>
      </c>
      <c r="P9" s="877">
        <f>+Model!AN28</f>
        <v>313.24099999999999</v>
      </c>
      <c r="Q9" s="877">
        <f>+Model!AO28</f>
        <v>315.858</v>
      </c>
      <c r="R9" s="877">
        <f>+Model!AP28</f>
        <v>338.34300000000002</v>
      </c>
      <c r="S9" s="877">
        <f>+Model!AQ28</f>
        <v>271.65800000000002</v>
      </c>
      <c r="T9" s="877">
        <f>+Model!AR28</f>
        <v>274.76400000000001</v>
      </c>
      <c r="U9" s="877">
        <f t="shared" ref="U9:V9" si="0">+U213</f>
        <v>289.56599999999997</v>
      </c>
      <c r="V9" s="877">
        <f t="shared" si="0"/>
        <v>295.40199999999999</v>
      </c>
      <c r="W9" s="877">
        <f>+W213</f>
        <v>299.33800000000002</v>
      </c>
      <c r="X9" s="877">
        <f t="shared" ref="X9:Y9" si="1">+X213</f>
        <v>313.90199999999999</v>
      </c>
      <c r="Y9" s="877">
        <f t="shared" si="1"/>
        <v>328.89400000000001</v>
      </c>
      <c r="Z9" s="877">
        <f t="shared" ref="Z9:AA9" si="2">+Z213</f>
        <v>347.05799999999999</v>
      </c>
      <c r="AA9" s="877">
        <f t="shared" si="2"/>
        <v>329.40699999999998</v>
      </c>
      <c r="AB9" s="877">
        <f t="shared" ref="AB9:AD9" si="3">+AB127</f>
        <v>337.4237149999999</v>
      </c>
      <c r="AC9" s="877">
        <f t="shared" si="3"/>
        <v>348.80822049999995</v>
      </c>
      <c r="AD9" s="877">
        <f t="shared" si="3"/>
        <v>364.62486999999987</v>
      </c>
      <c r="AE9" s="877"/>
      <c r="AF9" s="877"/>
      <c r="AG9" s="877"/>
      <c r="AH9" s="877"/>
      <c r="AI9" s="877"/>
      <c r="AJ9" s="877"/>
      <c r="AK9" s="877"/>
      <c r="AL9" s="877"/>
      <c r="AM9" s="877"/>
      <c r="AN9" s="877"/>
      <c r="AO9" s="877"/>
      <c r="AP9" s="877">
        <f>+SUM(C9:F9)</f>
        <v>965.93100000000004</v>
      </c>
      <c r="AQ9" s="877">
        <f>+SUM(G9:J9)</f>
        <v>933.80799999999988</v>
      </c>
      <c r="AR9" s="877">
        <f>SUM(K9:N9)</f>
        <v>1280.1990000000001</v>
      </c>
      <c r="AS9" s="877">
        <f>+SUM(O9:R9)</f>
        <v>1273.7830000000001</v>
      </c>
      <c r="AT9" s="877">
        <f>+SUM(S9:V9)</f>
        <v>1131.3900000000001</v>
      </c>
      <c r="AU9" s="878">
        <f>SUM(W9:Z9)</f>
        <v>1289.192</v>
      </c>
      <c r="AV9" s="894">
        <f>+SUM(AA9:AD9)</f>
        <v>1380.2638054999998</v>
      </c>
      <c r="AX9" s="1108"/>
    </row>
    <row r="10" spans="1:50" s="879" customFormat="1" ht="14" x14ac:dyDescent="0.4">
      <c r="A10" s="876" t="s">
        <v>656</v>
      </c>
      <c r="C10" s="880">
        <f>+Model!AA31</f>
        <v>12.798999999999999</v>
      </c>
      <c r="D10" s="880">
        <f>+Model!AB31</f>
        <v>12.297000000000001</v>
      </c>
      <c r="E10" s="880">
        <f>+Model!AC31</f>
        <v>12.016</v>
      </c>
      <c r="F10" s="880">
        <f>+Model!AD31</f>
        <v>12.709</v>
      </c>
      <c r="G10" s="880">
        <f>+Model!AE31</f>
        <v>23.555</v>
      </c>
      <c r="H10" s="880">
        <f>+Model!AF31</f>
        <v>24.94</v>
      </c>
      <c r="I10" s="880">
        <f>+Model!AG31</f>
        <v>24.007000000000001</v>
      </c>
      <c r="J10" s="880">
        <f>+Model!AH31</f>
        <v>34.454999999999998</v>
      </c>
      <c r="K10" s="880">
        <f>+Model!AI31</f>
        <v>57.112000000000002</v>
      </c>
      <c r="L10" s="880">
        <f>+Model!AJ31</f>
        <v>62.155999999999999</v>
      </c>
      <c r="M10" s="880">
        <f>+Model!AK31</f>
        <v>69.840999999999994</v>
      </c>
      <c r="N10" s="880">
        <f>+Model!AL31</f>
        <v>67.451999999999998</v>
      </c>
      <c r="O10" s="880">
        <f>+Model!AM31</f>
        <v>93.885000000000005</v>
      </c>
      <c r="P10" s="880">
        <f>+Model!AN31</f>
        <v>96.266000000000005</v>
      </c>
      <c r="Q10" s="880">
        <f>+Model!AO31</f>
        <v>105.864</v>
      </c>
      <c r="R10" s="880">
        <f>+Model!AP31</f>
        <v>116.86799999999999</v>
      </c>
      <c r="S10" s="880">
        <f>+Model!AQ31</f>
        <v>153.49199999999999</v>
      </c>
      <c r="T10" s="880">
        <f>+Model!AR31</f>
        <v>183.67099999999999</v>
      </c>
      <c r="U10" s="880">
        <f t="shared" ref="U10:V10" si="4">+U212</f>
        <v>180.71799999999999</v>
      </c>
      <c r="V10" s="880">
        <f t="shared" si="4"/>
        <v>188.08700000000002</v>
      </c>
      <c r="W10" s="880">
        <f>+W212</f>
        <v>180.84299999999999</v>
      </c>
      <c r="X10" s="880">
        <f t="shared" ref="X10:Y10" si="5">+X212</f>
        <v>190.96600000000001</v>
      </c>
      <c r="Y10" s="880">
        <f t="shared" si="5"/>
        <v>191.94300000000001</v>
      </c>
      <c r="Z10" s="880">
        <f t="shared" ref="Z10:AA10" si="6">+Z212</f>
        <v>187.125</v>
      </c>
      <c r="AA10" s="880">
        <f t="shared" si="6"/>
        <v>221.67699999999999</v>
      </c>
      <c r="AB10" s="880">
        <f t="shared" ref="AB10:AD10" si="7">+AB146</f>
        <v>234.83184300000002</v>
      </c>
      <c r="AC10" s="880">
        <f t="shared" si="7"/>
        <v>232.74903400000005</v>
      </c>
      <c r="AD10" s="880">
        <f t="shared" si="7"/>
        <v>227.32620300000002</v>
      </c>
      <c r="AE10" s="880"/>
      <c r="AF10" s="880"/>
      <c r="AG10" s="880"/>
      <c r="AH10" s="880"/>
      <c r="AI10" s="880"/>
      <c r="AJ10" s="880"/>
      <c r="AK10" s="880"/>
      <c r="AL10" s="880"/>
      <c r="AM10" s="880"/>
      <c r="AN10" s="880"/>
      <c r="AO10" s="880"/>
      <c r="AP10" s="880">
        <f>+SUM(C10:F10)</f>
        <v>49.820999999999998</v>
      </c>
      <c r="AQ10" s="880">
        <f>+SUM(G10:J10)</f>
        <v>106.95700000000001</v>
      </c>
      <c r="AR10" s="880">
        <f>SUM(K10:N10)</f>
        <v>256.56099999999998</v>
      </c>
      <c r="AS10" s="880">
        <f>+SUM(O10:R10)</f>
        <v>412.88299999999998</v>
      </c>
      <c r="AT10" s="880">
        <f>+SUM(S10:V10)</f>
        <v>705.96799999999996</v>
      </c>
      <c r="AU10" s="881">
        <f>SUM(W10:Z10)</f>
        <v>750.87699999999995</v>
      </c>
      <c r="AV10" s="895">
        <f t="shared" ref="AV10:AV11" si="8">+SUM(AA10:AD10)</f>
        <v>916.58408000000009</v>
      </c>
      <c r="AX10" s="1113"/>
    </row>
    <row r="11" spans="1:50" s="876" customFormat="1" x14ac:dyDescent="0.25">
      <c r="A11" s="882" t="s">
        <v>662</v>
      </c>
      <c r="C11" s="877">
        <f>+SUM(C9:C10)</f>
        <v>251.31399999999999</v>
      </c>
      <c r="D11" s="877">
        <f t="shared" ref="D11:W11" si="9">+SUM(D9:D10)</f>
        <v>254.87200000000001</v>
      </c>
      <c r="E11" s="877">
        <f t="shared" si="9"/>
        <v>253.25200000000001</v>
      </c>
      <c r="F11" s="877">
        <f t="shared" si="9"/>
        <v>256.31400000000002</v>
      </c>
      <c r="G11" s="877">
        <f t="shared" si="9"/>
        <v>257.12099999999998</v>
      </c>
      <c r="H11" s="877">
        <f t="shared" si="9"/>
        <v>257.55899999999997</v>
      </c>
      <c r="I11" s="877">
        <f t="shared" si="9"/>
        <v>257.154</v>
      </c>
      <c r="J11" s="877">
        <f t="shared" si="9"/>
        <v>268.93100000000004</v>
      </c>
      <c r="K11" s="877">
        <f t="shared" si="9"/>
        <v>370.96</v>
      </c>
      <c r="L11" s="877">
        <f t="shared" si="9"/>
        <v>376.14500000000004</v>
      </c>
      <c r="M11" s="877">
        <f t="shared" si="9"/>
        <v>392.14499999999998</v>
      </c>
      <c r="N11" s="877">
        <f t="shared" si="9"/>
        <v>397.51</v>
      </c>
      <c r="O11" s="877">
        <f t="shared" si="9"/>
        <v>400.226</v>
      </c>
      <c r="P11" s="877">
        <f t="shared" si="9"/>
        <v>409.50700000000001</v>
      </c>
      <c r="Q11" s="877">
        <f t="shared" si="9"/>
        <v>421.72199999999998</v>
      </c>
      <c r="R11" s="877">
        <f t="shared" si="9"/>
        <v>455.21100000000001</v>
      </c>
      <c r="S11" s="877">
        <f t="shared" si="9"/>
        <v>425.15</v>
      </c>
      <c r="T11" s="877">
        <f t="shared" si="9"/>
        <v>458.435</v>
      </c>
      <c r="U11" s="877">
        <f t="shared" ref="U11:V11" si="10">+SUM(U9:U10)</f>
        <v>470.28399999999999</v>
      </c>
      <c r="V11" s="877">
        <f t="shared" si="10"/>
        <v>483.48900000000003</v>
      </c>
      <c r="W11" s="877">
        <f t="shared" si="9"/>
        <v>480.18100000000004</v>
      </c>
      <c r="X11" s="877">
        <f t="shared" ref="X11:Y11" si="11">+SUM(X9:X10)</f>
        <v>504.86799999999999</v>
      </c>
      <c r="Y11" s="877">
        <f t="shared" si="11"/>
        <v>520.83699999999999</v>
      </c>
      <c r="Z11" s="877">
        <f t="shared" ref="Z11" si="12">+SUM(Z9:Z10)</f>
        <v>534.18299999999999</v>
      </c>
      <c r="AA11" s="877">
        <f t="shared" ref="AA11" si="13">+SUM(AA9:AA10)</f>
        <v>551.08399999999995</v>
      </c>
      <c r="AB11" s="877">
        <f t="shared" ref="AB11:AD11" si="14">+SUM(AB9:AB10)</f>
        <v>572.25555799999995</v>
      </c>
      <c r="AC11" s="877">
        <f t="shared" si="14"/>
        <v>581.5572545</v>
      </c>
      <c r="AD11" s="877">
        <f t="shared" si="14"/>
        <v>591.95107299999995</v>
      </c>
      <c r="AE11" s="1101"/>
      <c r="AF11" s="877"/>
      <c r="AG11" s="877"/>
      <c r="AH11" s="877"/>
      <c r="AI11" s="877"/>
      <c r="AJ11" s="877">
        <f t="shared" ref="AJ11:AK11" si="15">+AJ214</f>
        <v>848.22</v>
      </c>
      <c r="AK11" s="877">
        <f t="shared" si="15"/>
        <v>919.553</v>
      </c>
      <c r="AL11" s="877">
        <f t="shared" ref="AL11:AN11" si="16">+AL214</f>
        <v>948.29399999999998</v>
      </c>
      <c r="AM11" s="877">
        <f t="shared" si="16"/>
        <v>872.7</v>
      </c>
      <c r="AN11" s="877">
        <f t="shared" si="16"/>
        <v>888.51900000000001</v>
      </c>
      <c r="AO11" s="877">
        <f>+AO214</f>
        <v>917.73400000000004</v>
      </c>
      <c r="AP11" s="877">
        <f>+SUM(C11:F11)</f>
        <v>1015.7520000000002</v>
      </c>
      <c r="AQ11" s="877">
        <f>+SUM(G11:J11)</f>
        <v>1040.7649999999999</v>
      </c>
      <c r="AR11" s="877">
        <f>SUM(K11:N11)</f>
        <v>1536.76</v>
      </c>
      <c r="AS11" s="877">
        <f>+SUM(O11:R11)</f>
        <v>1686.6659999999999</v>
      </c>
      <c r="AT11" s="877">
        <f>+SUM(S11:V11)</f>
        <v>1837.3580000000002</v>
      </c>
      <c r="AU11" s="878">
        <f>SUM(W11:Z11)</f>
        <v>2040.069</v>
      </c>
      <c r="AV11" s="894">
        <f t="shared" si="8"/>
        <v>2296.8478854999998</v>
      </c>
      <c r="AX11" s="876">
        <f>+(AU11/AQ11)^(1/4)-1</f>
        <v>0.18324054939762946</v>
      </c>
    </row>
    <row r="13" spans="1:50" s="887" customFormat="1" ht="13" x14ac:dyDescent="0.3">
      <c r="A13" s="889" t="s">
        <v>657</v>
      </c>
      <c r="AL13" s="927"/>
      <c r="AM13" s="927"/>
      <c r="AN13" s="927"/>
    </row>
    <row r="14" spans="1:50" s="887" customFormat="1" ht="13" x14ac:dyDescent="0.3">
      <c r="A14" s="890" t="str">
        <f>+A9</f>
        <v>General Education</v>
      </c>
      <c r="G14" s="883">
        <f t="shared" ref="G14:V16" si="17">+G9/C9-1</f>
        <v>-2.0749219126679708E-2</v>
      </c>
      <c r="H14" s="883">
        <f t="shared" si="17"/>
        <v>-4.1042976399052078E-2</v>
      </c>
      <c r="I14" s="883">
        <f t="shared" si="17"/>
        <v>-3.3531479546999754E-2</v>
      </c>
      <c r="J14" s="883">
        <f t="shared" si="17"/>
        <v>-3.7474600275035352E-2</v>
      </c>
      <c r="K14" s="883">
        <f t="shared" si="17"/>
        <v>0.34372297337797453</v>
      </c>
      <c r="L14" s="883">
        <f t="shared" si="17"/>
        <v>0.34979945748197738</v>
      </c>
      <c r="M14" s="883">
        <f t="shared" si="17"/>
        <v>0.38240680772216673</v>
      </c>
      <c r="N14" s="883">
        <f t="shared" si="17"/>
        <v>0.40764086729558646</v>
      </c>
      <c r="O14" s="883">
        <f t="shared" si="17"/>
        <v>-2.391922204379171E-2</v>
      </c>
      <c r="P14" s="883">
        <f t="shared" si="17"/>
        <v>-2.3822490596805412E-3</v>
      </c>
      <c r="Q14" s="883">
        <f t="shared" si="17"/>
        <v>-1.9999751787132536E-2</v>
      </c>
      <c r="R14" s="883">
        <f t="shared" si="17"/>
        <v>2.510164880111998E-2</v>
      </c>
      <c r="S14" s="883">
        <f t="shared" si="17"/>
        <v>-0.11321697063076763</v>
      </c>
      <c r="T14" s="883">
        <f t="shared" si="17"/>
        <v>-0.12283513333184348</v>
      </c>
      <c r="U14" s="883">
        <f t="shared" si="17"/>
        <v>-8.3239936933685477E-2</v>
      </c>
      <c r="V14" s="883">
        <f t="shared" si="17"/>
        <v>-0.12691558566306982</v>
      </c>
      <c r="W14" s="883">
        <f t="shared" ref="W14:W16" si="18">+W9/S9-1</f>
        <v>0.10189282112067377</v>
      </c>
      <c r="X14" s="883">
        <f t="shared" ref="X14:X16" si="19">+X9/T9-1</f>
        <v>0.14244224134166039</v>
      </c>
      <c r="Y14" s="883">
        <f t="shared" ref="Y14:Y16" si="20">+Y9/U9-1</f>
        <v>0.13581705034430858</v>
      </c>
      <c r="Z14" s="883">
        <f t="shared" ref="Z14:Z16" si="21">+Z9/V9-1</f>
        <v>0.17486679169403052</v>
      </c>
      <c r="AA14" s="883">
        <f t="shared" ref="AA14:AA16" si="22">+AA9/W9-1</f>
        <v>0.1004516633370971</v>
      </c>
      <c r="AB14" s="883">
        <f t="shared" ref="AB14:AB16" si="23">+AB9/X9-1</f>
        <v>7.4933307210530486E-2</v>
      </c>
      <c r="AC14" s="883">
        <f t="shared" ref="AC14:AC16" si="24">+AC9/Y9-1</f>
        <v>6.0549053798488073E-2</v>
      </c>
      <c r="AD14" s="883">
        <f t="shared" ref="AD14:AD16" si="25">+AD9/Z9-1</f>
        <v>5.0616525191754302E-2</v>
      </c>
      <c r="AE14" s="883"/>
      <c r="AF14" s="883"/>
      <c r="AG14" s="883"/>
      <c r="AH14" s="883"/>
      <c r="AI14" s="883"/>
      <c r="AJ14" s="883"/>
      <c r="AK14" s="883"/>
      <c r="AL14" s="883"/>
      <c r="AM14" s="883"/>
      <c r="AN14" s="883"/>
      <c r="AO14" s="883"/>
      <c r="AP14" s="883"/>
      <c r="AQ14" s="883">
        <f t="shared" ref="AQ14:AU16" si="26">+AQ9/AP9-1</f>
        <v>-3.3255998616878557E-2</v>
      </c>
      <c r="AR14" s="883">
        <f t="shared" si="26"/>
        <v>0.37094456247965346</v>
      </c>
      <c r="AS14" s="883">
        <f t="shared" si="26"/>
        <v>-5.0117208340265673E-3</v>
      </c>
      <c r="AT14" s="883">
        <f t="shared" si="26"/>
        <v>-0.11178748656560811</v>
      </c>
      <c r="AU14" s="883">
        <f t="shared" si="26"/>
        <v>0.13947621951758449</v>
      </c>
      <c r="AV14" s="883">
        <f t="shared" ref="AV14:AV16" si="27">+AV9/AU9-1</f>
        <v>7.06425462615341E-2</v>
      </c>
    </row>
    <row r="15" spans="1:50" s="891" customFormat="1" ht="13" x14ac:dyDescent="0.3">
      <c r="A15" s="890" t="str">
        <f>+A10</f>
        <v>Career Learning</v>
      </c>
      <c r="G15" s="896">
        <f t="shared" si="17"/>
        <v>0.84037815454332376</v>
      </c>
      <c r="H15" s="896">
        <f t="shared" si="17"/>
        <v>1.028136943970074</v>
      </c>
      <c r="I15" s="896">
        <f t="shared" si="17"/>
        <v>0.99791944074567263</v>
      </c>
      <c r="J15" s="896">
        <f t="shared" si="17"/>
        <v>1.7110708946415927</v>
      </c>
      <c r="K15" s="896">
        <f t="shared" si="17"/>
        <v>1.424623222245808</v>
      </c>
      <c r="L15" s="896">
        <f t="shared" si="17"/>
        <v>1.4922213311948673</v>
      </c>
      <c r="M15" s="896">
        <f t="shared" si="17"/>
        <v>1.9091931519973335</v>
      </c>
      <c r="N15" s="896">
        <f t="shared" si="17"/>
        <v>0.95768393556813236</v>
      </c>
      <c r="O15" s="896">
        <f t="shared" si="17"/>
        <v>0.64387519260400627</v>
      </c>
      <c r="P15" s="896">
        <f t="shared" si="17"/>
        <v>0.54878048780487809</v>
      </c>
      <c r="Q15" s="896">
        <f t="shared" si="17"/>
        <v>0.51578585644535457</v>
      </c>
      <c r="R15" s="896">
        <f t="shared" si="17"/>
        <v>0.73260985589752714</v>
      </c>
      <c r="S15" s="896">
        <f t="shared" si="17"/>
        <v>0.63489375299568596</v>
      </c>
      <c r="T15" s="896">
        <f t="shared" si="17"/>
        <v>0.90795296366318312</v>
      </c>
      <c r="U15" s="896">
        <f t="shared" si="17"/>
        <v>0.70707700445855037</v>
      </c>
      <c r="V15" s="896">
        <f t="shared" si="17"/>
        <v>0.60939692644693189</v>
      </c>
      <c r="W15" s="896">
        <f t="shared" si="18"/>
        <v>0.17819169728715512</v>
      </c>
      <c r="X15" s="896">
        <f t="shared" si="19"/>
        <v>3.9717756205388977E-2</v>
      </c>
      <c r="Y15" s="896">
        <f t="shared" si="20"/>
        <v>6.2113347867949198E-2</v>
      </c>
      <c r="Z15" s="896">
        <f t="shared" si="21"/>
        <v>-5.1146543886606555E-3</v>
      </c>
      <c r="AA15" s="896">
        <f t="shared" si="22"/>
        <v>0.22579806793738211</v>
      </c>
      <c r="AB15" s="896">
        <f t="shared" si="23"/>
        <v>0.22970498936983552</v>
      </c>
      <c r="AC15" s="896">
        <f t="shared" si="24"/>
        <v>0.21259454108771902</v>
      </c>
      <c r="AD15" s="896">
        <f t="shared" si="25"/>
        <v>0.21483608817635291</v>
      </c>
      <c r="AE15" s="896"/>
      <c r="AF15" s="896"/>
      <c r="AG15" s="896"/>
      <c r="AH15" s="896"/>
      <c r="AI15" s="896"/>
      <c r="AJ15" s="896"/>
      <c r="AK15" s="896"/>
      <c r="AL15" s="896"/>
      <c r="AM15" s="896"/>
      <c r="AN15" s="896"/>
      <c r="AO15" s="896"/>
      <c r="AP15" s="896"/>
      <c r="AQ15" s="896">
        <f t="shared" si="26"/>
        <v>1.1468256357760787</v>
      </c>
      <c r="AR15" s="896">
        <f t="shared" si="26"/>
        <v>1.398730330880634</v>
      </c>
      <c r="AS15" s="896">
        <f t="shared" si="26"/>
        <v>0.60929759394451999</v>
      </c>
      <c r="AT15" s="896">
        <f t="shared" si="26"/>
        <v>0.70985000593388436</v>
      </c>
      <c r="AU15" s="896">
        <f t="shared" si="26"/>
        <v>6.3613364911724091E-2</v>
      </c>
      <c r="AV15" s="896">
        <f t="shared" si="27"/>
        <v>0.220684719334858</v>
      </c>
    </row>
    <row r="16" spans="1:50" s="887" customFormat="1" ht="13" x14ac:dyDescent="0.3">
      <c r="A16" s="892" t="str">
        <f>+A11</f>
        <v>Total Revenue</v>
      </c>
      <c r="G16" s="883">
        <f t="shared" si="17"/>
        <v>2.3106551962883026E-2</v>
      </c>
      <c r="H16" s="883">
        <f t="shared" si="17"/>
        <v>1.0542546847044587E-2</v>
      </c>
      <c r="I16" s="883">
        <f t="shared" si="17"/>
        <v>1.5407578222481844E-2</v>
      </c>
      <c r="J16" s="883">
        <f t="shared" si="17"/>
        <v>4.9224778982029926E-2</v>
      </c>
      <c r="K16" s="883">
        <f t="shared" si="17"/>
        <v>0.44274485553494269</v>
      </c>
      <c r="L16" s="883">
        <f t="shared" si="17"/>
        <v>0.46042266043896762</v>
      </c>
      <c r="M16" s="883">
        <f t="shared" si="17"/>
        <v>0.52494225250239146</v>
      </c>
      <c r="N16" s="883">
        <f t="shared" si="17"/>
        <v>0.47811148584581153</v>
      </c>
      <c r="O16" s="883">
        <f t="shared" si="17"/>
        <v>7.8892602976062154E-2</v>
      </c>
      <c r="P16" s="883">
        <f t="shared" si="17"/>
        <v>8.8694519400762895E-2</v>
      </c>
      <c r="Q16" s="883">
        <f t="shared" si="17"/>
        <v>7.5423631564854876E-2</v>
      </c>
      <c r="R16" s="883">
        <f t="shared" si="17"/>
        <v>0.14515609670196983</v>
      </c>
      <c r="S16" s="883">
        <f t="shared" si="17"/>
        <v>6.2274814729677663E-2</v>
      </c>
      <c r="T16" s="883">
        <f t="shared" si="17"/>
        <v>0.11948025308480692</v>
      </c>
      <c r="U16" s="883">
        <f t="shared" si="17"/>
        <v>0.11515168760463057</v>
      </c>
      <c r="V16" s="883">
        <f t="shared" si="17"/>
        <v>6.212064295458597E-2</v>
      </c>
      <c r="W16" s="883">
        <f t="shared" si="18"/>
        <v>0.12943902152181597</v>
      </c>
      <c r="X16" s="883">
        <f t="shared" si="19"/>
        <v>0.10128589658293974</v>
      </c>
      <c r="Y16" s="883">
        <f t="shared" si="20"/>
        <v>0.10749462027200596</v>
      </c>
      <c r="Z16" s="883">
        <f t="shared" si="21"/>
        <v>0.10485036888119481</v>
      </c>
      <c r="AA16" s="883">
        <f t="shared" si="22"/>
        <v>0.14765890362175904</v>
      </c>
      <c r="AB16" s="883">
        <f t="shared" si="23"/>
        <v>0.13347559758194216</v>
      </c>
      <c r="AC16" s="883">
        <f t="shared" si="24"/>
        <v>0.11658206790224201</v>
      </c>
      <c r="AD16" s="883">
        <f t="shared" si="25"/>
        <v>0.10814285179423533</v>
      </c>
      <c r="AE16" s="883"/>
      <c r="AF16" s="883"/>
      <c r="AG16" s="883"/>
      <c r="AH16" s="883"/>
      <c r="AI16" s="883"/>
      <c r="AJ16" s="883"/>
      <c r="AK16" s="883">
        <f t="shared" ref="AK16" si="28">+AK11/AJ11-1</f>
        <v>8.4097286081441069E-2</v>
      </c>
      <c r="AL16" s="883">
        <f t="shared" ref="AL16" si="29">+AL11/AK11-1</f>
        <v>3.125540344058475E-2</v>
      </c>
      <c r="AM16" s="883">
        <f t="shared" ref="AM16" si="30">+AM11/AL11-1</f>
        <v>-7.9715784345361196E-2</v>
      </c>
      <c r="AN16" s="883">
        <f t="shared" ref="AN16" si="31">+AN11/AM11-1</f>
        <v>1.8126503953248552E-2</v>
      </c>
      <c r="AO16" s="883">
        <f t="shared" ref="AO16" si="32">+AO11/AN11-1</f>
        <v>3.2880557421957279E-2</v>
      </c>
      <c r="AP16" s="883">
        <f t="shared" ref="AP16" si="33">+AP11/AO11-1</f>
        <v>0.10680436815024841</v>
      </c>
      <c r="AQ16" s="883">
        <f t="shared" si="26"/>
        <v>2.4625105340673414E-2</v>
      </c>
      <c r="AR16" s="883">
        <f t="shared" si="26"/>
        <v>0.4765677170158491</v>
      </c>
      <c r="AS16" s="883">
        <f t="shared" si="26"/>
        <v>9.7546786746141256E-2</v>
      </c>
      <c r="AT16" s="883">
        <f t="shared" si="26"/>
        <v>8.9343118317438242E-2</v>
      </c>
      <c r="AU16" s="883">
        <f t="shared" si="26"/>
        <v>0.11032743754891516</v>
      </c>
      <c r="AV16" s="883">
        <f t="shared" si="27"/>
        <v>0.1258677454046897</v>
      </c>
    </row>
    <row r="18" spans="1:50" s="887" customFormat="1" ht="13" x14ac:dyDescent="0.3">
      <c r="A18" s="889" t="s">
        <v>2507</v>
      </c>
    </row>
    <row r="19" spans="1:50" s="887" customFormat="1" ht="13" x14ac:dyDescent="0.3">
      <c r="A19" s="890" t="str">
        <f>+A14</f>
        <v>General Education</v>
      </c>
      <c r="G19" s="883">
        <f>+G134</f>
        <v>-2.0749219126679708E-2</v>
      </c>
      <c r="H19" s="883">
        <f t="shared" ref="H19:W19" si="34">+H134</f>
        <v>-4.1042976399052078E-2</v>
      </c>
      <c r="I19" s="883">
        <f t="shared" si="34"/>
        <v>-3.3531479546999754E-2</v>
      </c>
      <c r="J19" s="883">
        <f t="shared" si="34"/>
        <v>-3.7474600275035352E-2</v>
      </c>
      <c r="K19" s="883">
        <f t="shared" si="34"/>
        <v>0.34372297337797453</v>
      </c>
      <c r="L19" s="883">
        <f t="shared" si="34"/>
        <v>0.34979945748197738</v>
      </c>
      <c r="M19" s="883">
        <f t="shared" si="34"/>
        <v>0.38240680772216673</v>
      </c>
      <c r="N19" s="883">
        <f t="shared" si="34"/>
        <v>0.40764086729558646</v>
      </c>
      <c r="O19" s="883">
        <f t="shared" si="34"/>
        <v>-2.391922204379171E-2</v>
      </c>
      <c r="P19" s="883">
        <f t="shared" si="34"/>
        <v>-2.3822490596805412E-3</v>
      </c>
      <c r="Q19" s="883">
        <f t="shared" si="34"/>
        <v>-1.9999751787132536E-2</v>
      </c>
      <c r="R19" s="883">
        <f t="shared" si="34"/>
        <v>2.510164880111998E-2</v>
      </c>
      <c r="S19" s="883">
        <f t="shared" si="34"/>
        <v>-0.11321697063076763</v>
      </c>
      <c r="T19" s="883">
        <f t="shared" si="34"/>
        <v>-0.12283513333184348</v>
      </c>
      <c r="U19" s="883">
        <f t="shared" si="34"/>
        <v>-8.3239936933685477E-2</v>
      </c>
      <c r="V19" s="883">
        <f t="shared" si="34"/>
        <v>-0.12691558566306982</v>
      </c>
      <c r="W19" s="883">
        <f t="shared" si="34"/>
        <v>0.10189282112067377</v>
      </c>
      <c r="X19" s="883">
        <f t="shared" ref="X19:Y19" si="35">+X134</f>
        <v>0.14244224134166039</v>
      </c>
      <c r="Y19" s="883">
        <f t="shared" si="35"/>
        <v>0.13581705034430858</v>
      </c>
      <c r="Z19" s="883">
        <f t="shared" ref="Z19:AA19" si="36">+Z134</f>
        <v>0.17486679169403052</v>
      </c>
      <c r="AA19" s="883">
        <f t="shared" si="36"/>
        <v>0.1004516633370971</v>
      </c>
      <c r="AB19" s="883">
        <f t="shared" ref="AB19:AD20" si="37">+AB14</f>
        <v>7.4933307210530486E-2</v>
      </c>
      <c r="AC19" s="883">
        <f t="shared" si="37"/>
        <v>6.0549053798488073E-2</v>
      </c>
      <c r="AD19" s="883">
        <f t="shared" si="37"/>
        <v>5.0616525191754302E-2</v>
      </c>
      <c r="AE19" s="883"/>
      <c r="AF19" s="883"/>
      <c r="AG19" s="883"/>
      <c r="AH19" s="883"/>
      <c r="AI19" s="883"/>
      <c r="AJ19" s="883"/>
      <c r="AK19" s="883"/>
      <c r="AL19" s="883"/>
      <c r="AM19" s="883"/>
      <c r="AN19" s="883"/>
      <c r="AO19" s="883"/>
      <c r="AP19" s="883"/>
      <c r="AQ19" s="883">
        <f t="shared" ref="AQ19:AT19" si="38">+AQ134</f>
        <v>-3.3255998616878335E-2</v>
      </c>
      <c r="AR19" s="883">
        <f t="shared" si="38"/>
        <v>0.37094456247965324</v>
      </c>
      <c r="AS19" s="883">
        <f t="shared" si="38"/>
        <v>-5.0117208340266783E-3</v>
      </c>
      <c r="AT19" s="883">
        <f t="shared" si="38"/>
        <v>-0.11178670150253212</v>
      </c>
      <c r="AU19" s="883">
        <f>+AU14</f>
        <v>0.13947621951758449</v>
      </c>
      <c r="AV19" s="883">
        <f t="shared" ref="AV19:AV20" si="39">+AV14</f>
        <v>7.06425462615341E-2</v>
      </c>
      <c r="AX19" s="1119"/>
    </row>
    <row r="20" spans="1:50" s="891" customFormat="1" ht="13" x14ac:dyDescent="0.3">
      <c r="A20" s="890" t="str">
        <f>+A15</f>
        <v>Career Learning</v>
      </c>
      <c r="G20" s="896">
        <f>+G153</f>
        <v>0.84037815454332376</v>
      </c>
      <c r="H20" s="896">
        <f t="shared" ref="H20:W20" si="40">+H153</f>
        <v>1.028136943970074</v>
      </c>
      <c r="I20" s="896">
        <f t="shared" si="40"/>
        <v>0.72360186418109174</v>
      </c>
      <c r="J20" s="896">
        <f t="shared" si="40"/>
        <v>1.0955149893776062</v>
      </c>
      <c r="K20" s="896">
        <f t="shared" si="40"/>
        <v>1.0450520059435369</v>
      </c>
      <c r="L20" s="896">
        <f t="shared" si="40"/>
        <v>1.0422734562951081</v>
      </c>
      <c r="M20" s="896">
        <f t="shared" si="40"/>
        <v>1.1614737368267587</v>
      </c>
      <c r="N20" s="896">
        <f t="shared" si="40"/>
        <v>0.60052532288492255</v>
      </c>
      <c r="O20" s="896">
        <f t="shared" si="40"/>
        <v>0.4284055890180698</v>
      </c>
      <c r="P20" s="896">
        <f t="shared" si="40"/>
        <v>0.38749276015187628</v>
      </c>
      <c r="Q20" s="896">
        <f t="shared" si="40"/>
        <v>0.51578585644535457</v>
      </c>
      <c r="R20" s="896">
        <f t="shared" si="40"/>
        <v>0.73260985589752714</v>
      </c>
      <c r="S20" s="896">
        <f t="shared" si="40"/>
        <v>0.63489375299568596</v>
      </c>
      <c r="T20" s="896">
        <f t="shared" si="40"/>
        <v>0.90795296366318312</v>
      </c>
      <c r="U20" s="896">
        <f t="shared" si="40"/>
        <v>0.70707700445855037</v>
      </c>
      <c r="V20" s="896">
        <f t="shared" si="40"/>
        <v>0.60939692644693189</v>
      </c>
      <c r="W20" s="896">
        <f t="shared" si="40"/>
        <v>0.17819169728715512</v>
      </c>
      <c r="X20" s="896">
        <f t="shared" ref="X20:Y20" si="41">+X153</f>
        <v>3.9717756205388977E-2</v>
      </c>
      <c r="Y20" s="896">
        <f t="shared" si="41"/>
        <v>6.2113347867949198E-2</v>
      </c>
      <c r="Z20" s="896">
        <f t="shared" ref="Z20:AA20" si="42">+Z153</f>
        <v>-5.1146543886606555E-3</v>
      </c>
      <c r="AA20" s="896">
        <f t="shared" si="42"/>
        <v>0.22579806793738211</v>
      </c>
      <c r="AB20" s="896">
        <f t="shared" si="37"/>
        <v>0.22970498936983552</v>
      </c>
      <c r="AC20" s="896">
        <f t="shared" si="37"/>
        <v>0.21259454108771902</v>
      </c>
      <c r="AD20" s="896">
        <f t="shared" si="37"/>
        <v>0.21483608817635291</v>
      </c>
      <c r="AE20" s="896"/>
      <c r="AF20" s="896"/>
      <c r="AG20" s="896"/>
      <c r="AH20" s="896"/>
      <c r="AI20" s="896"/>
      <c r="AJ20" s="896"/>
      <c r="AK20" s="896"/>
      <c r="AL20" s="896"/>
      <c r="AM20" s="896"/>
      <c r="AN20" s="896"/>
      <c r="AO20" s="896"/>
      <c r="AP20" s="896"/>
      <c r="AQ20" s="896">
        <f t="shared" ref="AQ20:AT20" si="43">+AQ153</f>
        <v>0.92364063346781444</v>
      </c>
      <c r="AR20" s="896">
        <f t="shared" si="43"/>
        <v>0.92733621922828813</v>
      </c>
      <c r="AS20" s="896">
        <f t="shared" si="43"/>
        <v>0.5222582543722547</v>
      </c>
      <c r="AT20" s="896">
        <f t="shared" si="43"/>
        <v>0.70984758394024472</v>
      </c>
      <c r="AU20" s="896">
        <f>+AU15</f>
        <v>6.3613364911724091E-2</v>
      </c>
      <c r="AV20" s="896">
        <f t="shared" si="39"/>
        <v>0.220684719334858</v>
      </c>
    </row>
    <row r="21" spans="1:50" s="887" customFormat="1" ht="13" x14ac:dyDescent="0.3">
      <c r="A21" s="892" t="str">
        <f>+A16</f>
        <v>Total Revenue</v>
      </c>
      <c r="G21" s="883">
        <f>(G11-G181)/C11-1</f>
        <v>2.3106551962883026E-2</v>
      </c>
      <c r="H21" s="883">
        <f>(H11-H181)/D11-1</f>
        <v>1.0542546847044587E-2</v>
      </c>
      <c r="I21" s="883">
        <f>(I11-I181)/E11-1</f>
        <v>2.3920837742643641E-3</v>
      </c>
      <c r="J21" s="883">
        <f>(J11-J181)/F11-1</f>
        <v>1.8703231192989778E-2</v>
      </c>
      <c r="K21" s="883">
        <f>(K11-K181)/G11-1</f>
        <v>0.4079721220748207</v>
      </c>
      <c r="L21" s="883">
        <f>(L11-L181)/H11-1</f>
        <v>0.41685322586281237</v>
      </c>
      <c r="M21" s="883">
        <f>(M11-M181)/I11-1</f>
        <v>0.455137777362981</v>
      </c>
      <c r="N21" s="883">
        <f>(N11-N181)/J11-1</f>
        <v>0.43235290836682982</v>
      </c>
      <c r="O21" s="883">
        <f>(O11-O181)/K11-1</f>
        <v>4.5719484580547753E-2</v>
      </c>
      <c r="P21" s="883">
        <f>(P11-P181)/L11-1</f>
        <v>6.2042563373167159E-2</v>
      </c>
      <c r="Q21" s="883">
        <f>(Q11-Q181)/M11-1</f>
        <v>7.5423631564854876E-2</v>
      </c>
      <c r="R21" s="883">
        <f>(R11-R181)/N11-1</f>
        <v>0.14515609670196983</v>
      </c>
      <c r="S21" s="883">
        <f>(S11-S181)/O11-1</f>
        <v>6.2274814729677663E-2</v>
      </c>
      <c r="T21" s="883">
        <f>(T11-T181)/P11-1</f>
        <v>0.11948025308480692</v>
      </c>
      <c r="U21" s="883">
        <f>(U11-U181)/Q11-1</f>
        <v>0.11515168760463057</v>
      </c>
      <c r="V21" s="883">
        <f>(V11-V181)/R11-1</f>
        <v>6.212064295458597E-2</v>
      </c>
      <c r="W21" s="883">
        <f>(W11-W181)/S11-1</f>
        <v>0.12943902152181597</v>
      </c>
      <c r="X21" s="883">
        <f>(X11-X181)/T11-1</f>
        <v>0.10128589658293974</v>
      </c>
      <c r="Y21" s="883">
        <f>(Y11-Y181)/U11-1</f>
        <v>0.10749462027200596</v>
      </c>
      <c r="Z21" s="883">
        <f>(Z11-Z181)/V11-1</f>
        <v>0.10485036888119481</v>
      </c>
      <c r="AA21" s="883">
        <f>(AA11-AA181)/W11-1</f>
        <v>0.14765890362175904</v>
      </c>
      <c r="AB21" s="883">
        <f>(AB11-AB181)/X11-1</f>
        <v>0.13347559758194216</v>
      </c>
      <c r="AC21" s="883">
        <f>(AC11-AC181)/Y11-1</f>
        <v>0.11658206790224201</v>
      </c>
      <c r="AD21" s="883">
        <f>(AD11-AD181)/Z11-1</f>
        <v>0.10814285179423533</v>
      </c>
      <c r="AE21" s="883"/>
      <c r="AF21" s="883"/>
      <c r="AG21" s="883"/>
      <c r="AH21" s="883"/>
      <c r="AI21" s="883"/>
      <c r="AJ21" s="883"/>
      <c r="AK21" s="883">
        <f t="shared" ref="AK21:AO21" si="44">+AK16</f>
        <v>8.4097286081441069E-2</v>
      </c>
      <c r="AL21" s="883">
        <f t="shared" si="44"/>
        <v>3.125540344058475E-2</v>
      </c>
      <c r="AM21" s="883">
        <f t="shared" si="44"/>
        <v>-7.9715784345361196E-2</v>
      </c>
      <c r="AN21" s="883">
        <f t="shared" si="44"/>
        <v>1.8126503953248552E-2</v>
      </c>
      <c r="AO21" s="883">
        <f t="shared" si="44"/>
        <v>3.2880557421957279E-2</v>
      </c>
      <c r="AP21" s="883">
        <f>+AP16</f>
        <v>0.10680436815024841</v>
      </c>
      <c r="AQ21" s="883">
        <f>(AQ11-AQ181)/AP11-1</f>
        <v>1.3678240357882343E-2</v>
      </c>
      <c r="AR21" s="883">
        <f>(AR11-AR181)/AQ11-1</f>
        <v>0.42812363982263069</v>
      </c>
      <c r="AS21" s="883">
        <f>(AS11-AS181)/AR11-1</f>
        <v>8.3015630287097464E-2</v>
      </c>
      <c r="AT21" s="883">
        <f>(AT11-AT181)/AS11-1</f>
        <v>8.9343118317438242E-2</v>
      </c>
      <c r="AU21" s="883">
        <f>(AU11-AU181)/AT11-1</f>
        <v>0.11032743754891516</v>
      </c>
      <c r="AV21" s="883">
        <f>(AV11-AV181)/AU11-1</f>
        <v>0.1258677454046897</v>
      </c>
    </row>
    <row r="22" spans="1:50" s="887" customFormat="1" ht="13" x14ac:dyDescent="0.3">
      <c r="A22" s="892" t="s">
        <v>894</v>
      </c>
      <c r="G22" s="883"/>
      <c r="H22" s="883"/>
      <c r="I22" s="883"/>
      <c r="J22" s="883"/>
      <c r="K22" s="883"/>
      <c r="L22" s="883"/>
      <c r="M22" s="883"/>
      <c r="N22" s="883"/>
      <c r="O22" s="883"/>
      <c r="P22" s="883"/>
      <c r="Q22" s="883"/>
      <c r="R22" s="883"/>
      <c r="S22" s="883"/>
      <c r="T22" s="883"/>
      <c r="U22" s="883"/>
      <c r="V22" s="883"/>
      <c r="W22" s="883"/>
      <c r="X22" s="883"/>
      <c r="Y22" s="883"/>
      <c r="Z22" s="883"/>
      <c r="AA22" s="883"/>
      <c r="AB22" s="883"/>
      <c r="AC22" s="883"/>
      <c r="AD22" s="883"/>
      <c r="AE22" s="883"/>
      <c r="AF22" s="883"/>
      <c r="AG22" s="883"/>
      <c r="AH22" s="883"/>
      <c r="AI22" s="883"/>
      <c r="AJ22" s="883"/>
      <c r="AK22" s="883"/>
      <c r="AL22" s="883">
        <f>+(AL11-AL183)/(AK11-AK183)-1</f>
        <v>2.6385254052589957E-2</v>
      </c>
      <c r="AM22" s="883">
        <f>+(AM11-AM183)/(AL11-AL183)-1</f>
        <v>4.3624021678839497E-2</v>
      </c>
      <c r="AN22" s="883">
        <f>+(AN11-AN183)/(AM11-AM183)-1</f>
        <v>6.578084757667968E-3</v>
      </c>
      <c r="AO22" s="883"/>
      <c r="AP22" s="883"/>
      <c r="AQ22" s="883"/>
      <c r="AR22" s="883"/>
      <c r="AS22" s="883"/>
      <c r="AT22" s="883"/>
      <c r="AU22" s="883"/>
      <c r="AV22" s="883"/>
    </row>
    <row r="23" spans="1:50" s="887" customFormat="1" ht="13" x14ac:dyDescent="0.3">
      <c r="A23" s="892"/>
      <c r="G23" s="883"/>
      <c r="H23" s="883"/>
      <c r="I23" s="883"/>
      <c r="J23" s="883"/>
      <c r="K23" s="883"/>
      <c r="L23" s="883"/>
      <c r="M23" s="883"/>
      <c r="N23" s="883"/>
      <c r="O23" s="883"/>
      <c r="P23" s="883"/>
      <c r="Q23" s="883"/>
      <c r="R23" s="883"/>
      <c r="S23" s="883"/>
      <c r="T23" s="883"/>
      <c r="U23" s="883"/>
      <c r="V23" s="883"/>
      <c r="W23" s="883"/>
      <c r="X23" s="883"/>
      <c r="Y23" s="883"/>
      <c r="Z23" s="883"/>
      <c r="AA23" s="883"/>
      <c r="AB23" s="883"/>
      <c r="AC23" s="883"/>
      <c r="AD23" s="883"/>
      <c r="AE23" s="883"/>
      <c r="AF23" s="883"/>
      <c r="AG23" s="883"/>
      <c r="AH23" s="883"/>
      <c r="AI23" s="883"/>
      <c r="AJ23" s="883"/>
      <c r="AK23" s="883"/>
      <c r="AL23" s="883"/>
      <c r="AM23" s="883"/>
      <c r="AN23" s="883"/>
      <c r="AO23" s="883"/>
      <c r="AP23" s="883"/>
      <c r="AQ23" s="883"/>
      <c r="AR23" s="883"/>
      <c r="AS23" s="883"/>
      <c r="AT23" s="883"/>
      <c r="AU23" s="883"/>
      <c r="AV23" s="883"/>
    </row>
    <row r="24" spans="1:50" s="879" customFormat="1" ht="14" x14ac:dyDescent="0.4">
      <c r="A24" s="876" t="str">
        <f>+Model!A145</f>
        <v>Instructional costs and services</v>
      </c>
      <c r="C24" s="880">
        <f>+Model!AA145</f>
        <v>158.98500000000001</v>
      </c>
      <c r="D24" s="880">
        <f>+Model!AB145</f>
        <v>160.32900000000001</v>
      </c>
      <c r="E24" s="880">
        <f>+Model!AC145</f>
        <v>168.26</v>
      </c>
      <c r="F24" s="880">
        <f>+Model!AD145</f>
        <v>175.863</v>
      </c>
      <c r="G24" s="880">
        <f>+Model!AE145</f>
        <v>169.358</v>
      </c>
      <c r="H24" s="880">
        <f>+Model!AF145</f>
        <v>167.47</v>
      </c>
      <c r="I24" s="880">
        <f>+Model!AG145</f>
        <v>178.96799999999999</v>
      </c>
      <c r="J24" s="880">
        <f>+Model!AH145</f>
        <v>177.43599999999998</v>
      </c>
      <c r="K24" s="880">
        <f>+Model!AI145</f>
        <v>241.06899999999999</v>
      </c>
      <c r="L24" s="880">
        <f>+Model!AJ145</f>
        <v>246.75400000000002</v>
      </c>
      <c r="M24" s="880">
        <f>+Model!AK145</f>
        <v>253.12799999999999</v>
      </c>
      <c r="N24" s="880">
        <f>+Model!AL145</f>
        <v>260.90899999999999</v>
      </c>
      <c r="O24" s="880">
        <f>+Model!AM145</f>
        <v>273.82400000000001</v>
      </c>
      <c r="P24" s="880">
        <f>+Model!AN145</f>
        <v>261.95</v>
      </c>
      <c r="Q24" s="880">
        <f>+Model!AO145</f>
        <v>266.88299999999998</v>
      </c>
      <c r="R24" s="880">
        <f>+Model!AP145</f>
        <v>287.53399999999993</v>
      </c>
      <c r="S24" s="880">
        <f>+Model!AQ145</f>
        <v>295.50099999999998</v>
      </c>
      <c r="T24" s="880">
        <f>+Model!AR145</f>
        <v>288.34699999999998</v>
      </c>
      <c r="U24" s="880">
        <f t="shared" ref="U24:V24" si="45">+U217</f>
        <v>295.03199999999998</v>
      </c>
      <c r="V24" s="880">
        <f t="shared" si="45"/>
        <v>311.40800000000013</v>
      </c>
      <c r="W24" s="880">
        <f>+W217</f>
        <v>307.29300000000001</v>
      </c>
      <c r="X24" s="880">
        <f t="shared" ref="X24:Y24" si="46">+X217</f>
        <v>303.69400000000002</v>
      </c>
      <c r="Y24" s="880">
        <f t="shared" si="46"/>
        <v>319.50799999999998</v>
      </c>
      <c r="Z24" s="880">
        <f t="shared" ref="Z24:AA24" si="47">+Z217</f>
        <v>345.971</v>
      </c>
      <c r="AA24" s="880">
        <f t="shared" si="47"/>
        <v>335.23099999999999</v>
      </c>
      <c r="AB24" s="880">
        <f t="shared" ref="AB24:AD24" si="48">+AB11-AB25</f>
        <v>337.11661268541235</v>
      </c>
      <c r="AC24" s="880">
        <f t="shared" si="48"/>
        <v>346.0622070634945</v>
      </c>
      <c r="AD24" s="880">
        <f t="shared" si="48"/>
        <v>367.00966525999996</v>
      </c>
      <c r="AE24" s="880"/>
      <c r="AF24" s="880"/>
      <c r="AG24" s="880"/>
      <c r="AH24" s="880"/>
      <c r="AI24" s="880"/>
      <c r="AJ24" s="880"/>
      <c r="AK24" s="880"/>
      <c r="AL24" s="880"/>
      <c r="AM24" s="880"/>
      <c r="AN24" s="880"/>
      <c r="AO24" s="880"/>
      <c r="AP24" s="880">
        <f>+SUM(C24:F24)</f>
        <v>663.43700000000001</v>
      </c>
      <c r="AQ24" s="880">
        <f>+SUM(G24:J24)</f>
        <v>693.23199999999997</v>
      </c>
      <c r="AR24" s="880">
        <f>SUM(K24:N24)</f>
        <v>1001.86</v>
      </c>
      <c r="AS24" s="880">
        <f>+SUM(O24:R24)</f>
        <v>1090.1909999999998</v>
      </c>
      <c r="AT24" s="880">
        <f>+SUM(S24:V24)</f>
        <v>1190.288</v>
      </c>
      <c r="AU24" s="881">
        <f>SUM(W24:Z24)</f>
        <v>1276.4660000000001</v>
      </c>
      <c r="AV24" s="895">
        <f t="shared" ref="AV24:AV25" si="49">+SUM(AA24:AD24)</f>
        <v>1385.4194850089068</v>
      </c>
    </row>
    <row r="25" spans="1:50" s="876" customFormat="1" x14ac:dyDescent="0.25">
      <c r="A25" s="882" t="s">
        <v>41</v>
      </c>
      <c r="C25" s="877">
        <f t="shared" ref="C25:V25" si="50">+C11-C24</f>
        <v>92.328999999999979</v>
      </c>
      <c r="D25" s="877">
        <f t="shared" si="50"/>
        <v>94.543000000000006</v>
      </c>
      <c r="E25" s="877">
        <f t="shared" si="50"/>
        <v>84.992000000000019</v>
      </c>
      <c r="F25" s="877">
        <f t="shared" si="50"/>
        <v>80.451000000000022</v>
      </c>
      <c r="G25" s="877">
        <f t="shared" si="50"/>
        <v>87.762999999999977</v>
      </c>
      <c r="H25" s="877">
        <f t="shared" si="50"/>
        <v>90.08899999999997</v>
      </c>
      <c r="I25" s="877">
        <f t="shared" si="50"/>
        <v>78.186000000000007</v>
      </c>
      <c r="J25" s="877">
        <f t="shared" si="50"/>
        <v>91.495000000000061</v>
      </c>
      <c r="K25" s="877">
        <f t="shared" si="50"/>
        <v>129.89099999999999</v>
      </c>
      <c r="L25" s="877">
        <f t="shared" si="50"/>
        <v>129.39100000000002</v>
      </c>
      <c r="M25" s="877">
        <f t="shared" si="50"/>
        <v>139.017</v>
      </c>
      <c r="N25" s="877">
        <f t="shared" si="50"/>
        <v>136.601</v>
      </c>
      <c r="O25" s="877">
        <f t="shared" si="50"/>
        <v>126.40199999999999</v>
      </c>
      <c r="P25" s="877">
        <f t="shared" si="50"/>
        <v>147.55700000000002</v>
      </c>
      <c r="Q25" s="877">
        <f t="shared" si="50"/>
        <v>154.839</v>
      </c>
      <c r="R25" s="877">
        <f t="shared" si="50"/>
        <v>167.67700000000008</v>
      </c>
      <c r="S25" s="877">
        <f t="shared" si="50"/>
        <v>129.649</v>
      </c>
      <c r="T25" s="877">
        <f t="shared" si="50"/>
        <v>170.08800000000002</v>
      </c>
      <c r="U25" s="877">
        <f t="shared" si="50"/>
        <v>175.25200000000001</v>
      </c>
      <c r="V25" s="877">
        <f t="shared" si="50"/>
        <v>172.0809999999999</v>
      </c>
      <c r="W25" s="877">
        <f>+W11-W24</f>
        <v>172.88800000000003</v>
      </c>
      <c r="X25" s="877">
        <f t="shared" ref="X25:Y25" si="51">+X11-X24</f>
        <v>201.17399999999998</v>
      </c>
      <c r="Y25" s="877">
        <f t="shared" si="51"/>
        <v>201.32900000000001</v>
      </c>
      <c r="Z25" s="877">
        <f t="shared" ref="Z25:AA25" si="52">+Z11-Z24</f>
        <v>188.21199999999999</v>
      </c>
      <c r="AA25" s="877">
        <f t="shared" si="52"/>
        <v>215.85299999999995</v>
      </c>
      <c r="AB25" s="1294">
        <f>+AB27*AB11</f>
        <v>235.1389453145876</v>
      </c>
      <c r="AC25" s="1294">
        <f t="shared" ref="AC25:AD25" si="53">+AC27*AC11</f>
        <v>235.49504743650553</v>
      </c>
      <c r="AD25" s="1294">
        <f t="shared" si="53"/>
        <v>224.94140773999999</v>
      </c>
      <c r="AE25" s="877"/>
      <c r="AF25" s="877"/>
      <c r="AG25" s="877"/>
      <c r="AH25" s="877"/>
      <c r="AI25" s="877"/>
      <c r="AJ25" s="877">
        <f t="shared" ref="AJ25:AN25" si="54">+AJ218</f>
        <v>349.822</v>
      </c>
      <c r="AK25" s="877">
        <f t="shared" si="54"/>
        <v>350.33399999999995</v>
      </c>
      <c r="AL25" s="877">
        <f t="shared" si="54"/>
        <v>340.53800000000001</v>
      </c>
      <c r="AM25" s="877">
        <f t="shared" si="54"/>
        <v>326.19000000000005</v>
      </c>
      <c r="AN25" s="877">
        <f t="shared" si="54"/>
        <v>331.20299999999997</v>
      </c>
      <c r="AO25" s="877">
        <f>+AO218</f>
        <v>325.23900000000003</v>
      </c>
      <c r="AP25" s="877">
        <f>+SUM(C25:F25)</f>
        <v>352.31500000000005</v>
      </c>
      <c r="AQ25" s="877">
        <f>+SUM(G25:J25)</f>
        <v>347.53300000000002</v>
      </c>
      <c r="AR25" s="877">
        <f>SUM(K25:N25)</f>
        <v>534.90000000000009</v>
      </c>
      <c r="AS25" s="877">
        <f>+SUM(O25:R25)</f>
        <v>596.47500000000014</v>
      </c>
      <c r="AT25" s="877">
        <f>+SUM(S25:V25)</f>
        <v>647.06999999999994</v>
      </c>
      <c r="AU25" s="878">
        <f>SUM(W25:Z25)</f>
        <v>763.60300000000007</v>
      </c>
      <c r="AV25" s="894">
        <f t="shared" si="49"/>
        <v>911.42840049109304</v>
      </c>
    </row>
    <row r="26" spans="1:50" ht="13" x14ac:dyDescent="0.3">
      <c r="A26" s="892" t="s">
        <v>657</v>
      </c>
      <c r="C26" s="883"/>
      <c r="D26" s="883"/>
      <c r="E26" s="883"/>
      <c r="F26" s="883"/>
      <c r="G26" s="883">
        <f t="shared" ref="G26:W26" si="55">+G25/C25-1</f>
        <v>-4.9453584464252853E-2</v>
      </c>
      <c r="H26" s="883">
        <f t="shared" si="55"/>
        <v>-4.7110838454460291E-2</v>
      </c>
      <c r="I26" s="883">
        <f t="shared" si="55"/>
        <v>-8.0078125000000111E-2</v>
      </c>
      <c r="J26" s="883">
        <f t="shared" si="55"/>
        <v>0.13727610595269213</v>
      </c>
      <c r="K26" s="883">
        <f t="shared" si="55"/>
        <v>0.48002005400909287</v>
      </c>
      <c r="L26" s="883">
        <f t="shared" si="55"/>
        <v>0.43625747871549314</v>
      </c>
      <c r="M26" s="883">
        <f t="shared" si="55"/>
        <v>0.77802931471107328</v>
      </c>
      <c r="N26" s="883">
        <f t="shared" si="55"/>
        <v>0.49298868790644201</v>
      </c>
      <c r="O26" s="883">
        <f t="shared" si="55"/>
        <v>-2.6860983439961239E-2</v>
      </c>
      <c r="P26" s="883">
        <f t="shared" si="55"/>
        <v>0.14039616356624496</v>
      </c>
      <c r="Q26" s="883">
        <f t="shared" si="55"/>
        <v>0.11381341850277304</v>
      </c>
      <c r="R26" s="883">
        <f t="shared" si="55"/>
        <v>0.22749467427032077</v>
      </c>
      <c r="S26" s="883">
        <f t="shared" si="55"/>
        <v>2.5687884685368978E-2</v>
      </c>
      <c r="T26" s="883">
        <f t="shared" si="55"/>
        <v>0.15269353537954822</v>
      </c>
      <c r="U26" s="883">
        <f t="shared" si="55"/>
        <v>0.1318337111451251</v>
      </c>
      <c r="V26" s="883">
        <f t="shared" si="55"/>
        <v>2.626478288614309E-2</v>
      </c>
      <c r="W26" s="883">
        <f t="shared" si="55"/>
        <v>0.33350816435144148</v>
      </c>
      <c r="X26" s="883">
        <f t="shared" ref="X26" si="56">+X25/T25-1</f>
        <v>0.18276421617045258</v>
      </c>
      <c r="Y26" s="883">
        <f t="shared" ref="Y26" si="57">+Y25/U25-1</f>
        <v>0.14879716066007798</v>
      </c>
      <c r="Z26" s="883">
        <f t="shared" ref="Z26" si="58">+Z25/V25-1</f>
        <v>9.374073837320851E-2</v>
      </c>
      <c r="AA26" s="883">
        <f t="shared" ref="AA26" si="59">+AA25/W25-1</f>
        <v>0.24851348850122568</v>
      </c>
      <c r="AB26" s="883">
        <f t="shared" ref="AB26" si="60">+AB25/X25-1</f>
        <v>0.16883367291293916</v>
      </c>
      <c r="AC26" s="883">
        <f t="shared" ref="AC26" si="61">+AC25/Y25-1</f>
        <v>0.16970256364709257</v>
      </c>
      <c r="AD26" s="883">
        <f t="shared" ref="AD26" si="62">+AD25/Z25-1</f>
        <v>0.19514912832337994</v>
      </c>
      <c r="AE26" s="883"/>
      <c r="AF26" s="883"/>
      <c r="AG26" s="883"/>
      <c r="AH26" s="883"/>
      <c r="AI26" s="883"/>
      <c r="AJ26" s="883"/>
      <c r="AK26" s="883">
        <f t="shared" ref="AK26:AP26" si="63">+AK25/AJ25-1</f>
        <v>1.4636014887570159E-3</v>
      </c>
      <c r="AL26" s="883">
        <f t="shared" si="63"/>
        <v>-2.7961887798500729E-2</v>
      </c>
      <c r="AM26" s="883">
        <f t="shared" si="63"/>
        <v>-4.2133330201034713E-2</v>
      </c>
      <c r="AN26" s="883">
        <f t="shared" si="63"/>
        <v>1.5368343603421097E-2</v>
      </c>
      <c r="AO26" s="883">
        <f t="shared" si="63"/>
        <v>-1.8007083269173108E-2</v>
      </c>
      <c r="AP26" s="883">
        <f t="shared" si="63"/>
        <v>8.3249548793348893E-2</v>
      </c>
      <c r="AQ26" s="883">
        <f>+AQ25/AP25-1</f>
        <v>-1.3573080907710589E-2</v>
      </c>
      <c r="AR26" s="883">
        <f>+AR25/AQ25-1</f>
        <v>0.53913441313486787</v>
      </c>
      <c r="AS26" s="883">
        <f>+AS25/AR25-1</f>
        <v>0.11511497476163779</v>
      </c>
      <c r="AT26" s="883">
        <f>+AT25/AS25-1</f>
        <v>8.4823337105494501E-2</v>
      </c>
      <c r="AU26" s="883">
        <f>+AU25/AT25-1</f>
        <v>0.18009334384224296</v>
      </c>
      <c r="AV26" s="883">
        <f t="shared" ref="AV26" si="64">+AV25/AU25-1</f>
        <v>0.19358933960591163</v>
      </c>
    </row>
    <row r="27" spans="1:50" ht="13" x14ac:dyDescent="0.3">
      <c r="A27" s="892" t="s">
        <v>660</v>
      </c>
      <c r="C27" s="883">
        <f>+C25/C$11</f>
        <v>0.36738502431221493</v>
      </c>
      <c r="D27" s="883">
        <f>+D25/D$11</f>
        <v>0.37094306161524215</v>
      </c>
      <c r="E27" s="883">
        <f>+E25/E$11</f>
        <v>0.33560248290240557</v>
      </c>
      <c r="F27" s="883">
        <f>+F25/F$11</f>
        <v>0.31387672932418836</v>
      </c>
      <c r="G27" s="883">
        <f>+G25/G$11</f>
        <v>0.34132956856888386</v>
      </c>
      <c r="H27" s="883">
        <f t="shared" ref="H27:W27" si="65">+H25/H$11</f>
        <v>0.34978005039621984</v>
      </c>
      <c r="I27" s="883">
        <f t="shared" si="65"/>
        <v>0.30404349144870391</v>
      </c>
      <c r="J27" s="883">
        <f t="shared" si="65"/>
        <v>0.3402173791790461</v>
      </c>
      <c r="K27" s="883">
        <f t="shared" si="65"/>
        <v>0.35014826396376969</v>
      </c>
      <c r="L27" s="883">
        <f t="shared" si="65"/>
        <v>0.34399234337821855</v>
      </c>
      <c r="M27" s="883">
        <f t="shared" si="65"/>
        <v>0.3545040737482309</v>
      </c>
      <c r="N27" s="883">
        <f t="shared" si="65"/>
        <v>0.343641669391965</v>
      </c>
      <c r="O27" s="883">
        <f t="shared" si="65"/>
        <v>0.31582655799473297</v>
      </c>
      <c r="P27" s="883">
        <f t="shared" si="65"/>
        <v>0.36032839487481294</v>
      </c>
      <c r="Q27" s="883">
        <f t="shared" si="65"/>
        <v>0.36715893408453915</v>
      </c>
      <c r="R27" s="883">
        <f t="shared" si="65"/>
        <v>0.36835006183945485</v>
      </c>
      <c r="S27" s="883">
        <f t="shared" si="65"/>
        <v>0.30494884158532287</v>
      </c>
      <c r="T27" s="883">
        <f t="shared" si="65"/>
        <v>0.37101879219518585</v>
      </c>
      <c r="U27" s="883">
        <f t="shared" si="65"/>
        <v>0.37265141914247563</v>
      </c>
      <c r="V27" s="883">
        <f t="shared" si="65"/>
        <v>0.35591502598818153</v>
      </c>
      <c r="W27" s="883">
        <f t="shared" si="65"/>
        <v>0.36004756539721483</v>
      </c>
      <c r="X27" s="883">
        <f t="shared" ref="X27:Y27" si="66">+X25/X$11</f>
        <v>0.39846851058098348</v>
      </c>
      <c r="Y27" s="883">
        <f t="shared" si="66"/>
        <v>0.38654895869533079</v>
      </c>
      <c r="Z27" s="883">
        <f t="shared" ref="Z27" si="67">+Z25/Z$11</f>
        <v>0.3523361844162019</v>
      </c>
      <c r="AA27" s="883">
        <f t="shared" ref="AA27" si="68">+AA25/AA$11</f>
        <v>0.39168801852349183</v>
      </c>
      <c r="AB27" s="1177">
        <f>(X27-W27)/2+AA27</f>
        <v>0.41089849111537613</v>
      </c>
      <c r="AC27" s="1177">
        <f t="shared" ref="AC27" si="69">(Y27-X27)/2+AB27</f>
        <v>0.40493871517254976</v>
      </c>
      <c r="AD27" s="1177">
        <v>0.38</v>
      </c>
      <c r="AE27" s="883"/>
      <c r="AF27" s="883"/>
      <c r="AG27" s="883"/>
      <c r="AH27" s="883"/>
      <c r="AI27" s="883"/>
      <c r="AJ27" s="883">
        <f t="shared" ref="AJ27:AO27" si="70">+AJ25/AJ$11</f>
        <v>0.41241894791445616</v>
      </c>
      <c r="AK27" s="883">
        <f t="shared" si="70"/>
        <v>0.38098293409950262</v>
      </c>
      <c r="AL27" s="883">
        <f t="shared" si="70"/>
        <v>0.3591059312829144</v>
      </c>
      <c r="AM27" s="883">
        <f t="shared" si="70"/>
        <v>0.37377105534547961</v>
      </c>
      <c r="AN27" s="883">
        <f t="shared" si="70"/>
        <v>0.37275848912628767</v>
      </c>
      <c r="AO27" s="883">
        <f t="shared" si="70"/>
        <v>0.35439353886856106</v>
      </c>
      <c r="AP27" s="883">
        <f t="shared" ref="AP27:AU27" si="71">+AP25/AP$11</f>
        <v>0.34685139679764349</v>
      </c>
      <c r="AQ27" s="883">
        <f t="shared" si="71"/>
        <v>0.33392072177677001</v>
      </c>
      <c r="AR27" s="883">
        <f t="shared" si="71"/>
        <v>0.34806996538171225</v>
      </c>
      <c r="AS27" s="883">
        <f t="shared" si="71"/>
        <v>0.35364144412705312</v>
      </c>
      <c r="AT27" s="883">
        <f t="shared" si="71"/>
        <v>0.35217415441084421</v>
      </c>
      <c r="AU27" s="883">
        <f t="shared" si="71"/>
        <v>0.37430253584560136</v>
      </c>
      <c r="AV27" s="883">
        <f t="shared" ref="AV27" si="72">+AV25/AV$11</f>
        <v>0.3968170492460299</v>
      </c>
      <c r="AW27" s="1458"/>
    </row>
    <row r="28" spans="1:50" x14ac:dyDescent="0.25">
      <c r="AA28" s="1466"/>
      <c r="AV28" s="1458"/>
    </row>
    <row r="29" spans="1:50" x14ac:dyDescent="0.25">
      <c r="A29" s="884" t="s">
        <v>1139</v>
      </c>
      <c r="B29" s="933"/>
      <c r="C29" s="933">
        <f t="shared" ref="C29:Z29" si="73">+C25-C43</f>
        <v>83.546000000000006</v>
      </c>
      <c r="D29" s="933">
        <f t="shared" si="73"/>
        <v>39.403000000000006</v>
      </c>
      <c r="E29" s="933">
        <f t="shared" si="73"/>
        <v>40.736999999999995</v>
      </c>
      <c r="F29" s="933">
        <f t="shared" si="73"/>
        <v>55.06700000000005</v>
      </c>
      <c r="G29" s="933">
        <f t="shared" si="73"/>
        <v>84.48299999999999</v>
      </c>
      <c r="H29" s="933">
        <f t="shared" si="73"/>
        <v>36.376999999999953</v>
      </c>
      <c r="I29" s="933">
        <f t="shared" si="73"/>
        <v>39.186999999999998</v>
      </c>
      <c r="J29" s="933">
        <f t="shared" si="73"/>
        <v>59.328999999999908</v>
      </c>
      <c r="K29" s="933">
        <f t="shared" si="73"/>
        <v>90.656999999999996</v>
      </c>
      <c r="L29" s="933">
        <f t="shared" si="73"/>
        <v>58.704000000000065</v>
      </c>
      <c r="M29" s="933">
        <f t="shared" si="73"/>
        <v>64.010000000000005</v>
      </c>
      <c r="N29" s="933">
        <f t="shared" si="73"/>
        <v>81.662999999999954</v>
      </c>
      <c r="O29" s="933">
        <f t="shared" si="73"/>
        <v>100.946</v>
      </c>
      <c r="P29" s="933">
        <f t="shared" si="73"/>
        <v>64.859999999999985</v>
      </c>
      <c r="Q29" s="933">
        <f t="shared" si="73"/>
        <v>64.532000000000011</v>
      </c>
      <c r="R29" s="933">
        <f t="shared" si="73"/>
        <v>93.025000000000091</v>
      </c>
      <c r="S29" s="933">
        <f t="shared" si="73"/>
        <v>126.607</v>
      </c>
      <c r="T29" s="933">
        <f t="shared" si="73"/>
        <v>69.61099999999999</v>
      </c>
      <c r="U29" s="933">
        <f t="shared" si="73"/>
        <v>71.365999999999985</v>
      </c>
      <c r="V29" s="933">
        <f t="shared" si="73"/>
        <v>83.308999999999941</v>
      </c>
      <c r="W29" s="933">
        <f t="shared" si="73"/>
        <v>133.12500000000006</v>
      </c>
      <c r="X29" s="1116">
        <f t="shared" si="73"/>
        <v>82.825999999999979</v>
      </c>
      <c r="Y29" s="1116">
        <f t="shared" si="73"/>
        <v>80.782000000000011</v>
      </c>
      <c r="Z29" s="1116">
        <f t="shared" si="73"/>
        <v>76.124999999999986</v>
      </c>
      <c r="AA29" s="1116">
        <f t="shared" ref="AA29" si="74">+AA25-AA43</f>
        <v>131.92599999999993</v>
      </c>
      <c r="AB29" s="933">
        <f>+X29*(1+AB30)</f>
        <v>86.96729999999998</v>
      </c>
      <c r="AC29" s="933">
        <f t="shared" ref="AC29:AD29" si="75">+Y29*(1+AC30)</f>
        <v>85.628920000000022</v>
      </c>
      <c r="AD29" s="933">
        <f t="shared" si="75"/>
        <v>80.692499999999995</v>
      </c>
      <c r="AE29" s="933"/>
      <c r="AF29" s="933">
        <f t="shared" ref="AF29:AV29" si="76">+AF25-AF43</f>
        <v>0</v>
      </c>
      <c r="AG29" s="933">
        <f t="shared" si="76"/>
        <v>0</v>
      </c>
      <c r="AH29" s="933">
        <f t="shared" si="76"/>
        <v>0</v>
      </c>
      <c r="AI29" s="933">
        <f t="shared" si="76"/>
        <v>0</v>
      </c>
      <c r="AJ29" s="933">
        <f t="shared" si="76"/>
        <v>224.005</v>
      </c>
      <c r="AK29" s="933">
        <f t="shared" si="76"/>
        <v>218.38300000000001</v>
      </c>
      <c r="AL29" s="933">
        <f t="shared" si="76"/>
        <v>217.011</v>
      </c>
      <c r="AM29" s="933">
        <f t="shared" si="76"/>
        <v>225.435</v>
      </c>
      <c r="AN29" s="933">
        <f t="shared" si="76"/>
        <v>221.19600000000003</v>
      </c>
      <c r="AO29" s="933">
        <f t="shared" si="76"/>
        <v>203.61700000000002</v>
      </c>
      <c r="AP29" s="933">
        <f t="shared" si="76"/>
        <v>218.7530000000001</v>
      </c>
      <c r="AQ29" s="933">
        <f t="shared" si="76"/>
        <v>219.37599999999986</v>
      </c>
      <c r="AR29" s="933">
        <f t="shared" si="76"/>
        <v>295.03400000000011</v>
      </c>
      <c r="AS29" s="933">
        <f t="shared" si="76"/>
        <v>323.36300000000017</v>
      </c>
      <c r="AT29" s="933">
        <f t="shared" si="76"/>
        <v>350.89299999999992</v>
      </c>
      <c r="AU29" s="933">
        <f t="shared" si="76"/>
        <v>372.85800000000012</v>
      </c>
      <c r="AV29" s="933">
        <f t="shared" si="76"/>
        <v>385.21471999999994</v>
      </c>
    </row>
    <row r="30" spans="1:50" ht="13" x14ac:dyDescent="0.3">
      <c r="A30" s="890" t="s">
        <v>657</v>
      </c>
      <c r="C30" s="883"/>
      <c r="D30" s="883"/>
      <c r="E30" s="883"/>
      <c r="F30" s="883"/>
      <c r="G30" s="883">
        <f>+G29/C29-1</f>
        <v>1.1215378354439309E-2</v>
      </c>
      <c r="H30" s="883">
        <f t="shared" ref="H30" si="77">+H29/D29-1</f>
        <v>-7.6796183031750176E-2</v>
      </c>
      <c r="I30" s="883">
        <f t="shared" ref="I30" si="78">+I29/E29-1</f>
        <v>-3.8048948130691929E-2</v>
      </c>
      <c r="J30" s="883">
        <f t="shared" ref="J30" si="79">+J29/F29-1</f>
        <v>7.7396625928411789E-2</v>
      </c>
      <c r="K30" s="883">
        <f t="shared" ref="K30" si="80">+K29/G29-1</f>
        <v>7.3079791200596711E-2</v>
      </c>
      <c r="L30" s="883">
        <f t="shared" ref="L30" si="81">+L29/H29-1</f>
        <v>0.61376694064931536</v>
      </c>
      <c r="M30" s="883">
        <f t="shared" ref="M30" si="82">+M29/I29-1</f>
        <v>0.63344986857886565</v>
      </c>
      <c r="N30" s="883">
        <f t="shared" ref="N30" si="83">+N29/J29-1</f>
        <v>0.37644322338148428</v>
      </c>
      <c r="O30" s="883">
        <f t="shared" ref="O30" si="84">+O29/K29-1</f>
        <v>0.11349371808023645</v>
      </c>
      <c r="P30" s="883">
        <f t="shared" ref="P30" si="85">+P29/L29-1</f>
        <v>0.10486508585445486</v>
      </c>
      <c r="Q30" s="883">
        <f t="shared" ref="Q30" si="86">+Q29/M29-1</f>
        <v>8.1549757850336579E-3</v>
      </c>
      <c r="R30" s="883">
        <f t="shared" ref="R30" si="87">+R29/N29-1</f>
        <v>0.13913277739000707</v>
      </c>
      <c r="S30" s="883">
        <f t="shared" ref="S30" si="88">+S29/O29-1</f>
        <v>0.25420521863174361</v>
      </c>
      <c r="T30" s="883">
        <f t="shared" ref="T30" si="89">+T29/P29-1</f>
        <v>7.3250077089115129E-2</v>
      </c>
      <c r="U30" s="883">
        <f t="shared" ref="U30" si="90">+U29/Q29-1</f>
        <v>0.10590094836670128</v>
      </c>
      <c r="V30" s="883">
        <f t="shared" ref="V30" si="91">+V29/R29-1</f>
        <v>-0.10444504165547053</v>
      </c>
      <c r="W30" s="883">
        <f t="shared" ref="W30" si="92">+W29/S29-1</f>
        <v>5.1482145536977164E-2</v>
      </c>
      <c r="X30" s="883">
        <f t="shared" ref="X30" si="93">+X29/T29-1</f>
        <v>0.18984068609846139</v>
      </c>
      <c r="Y30" s="883">
        <f t="shared" ref="Y30" si="94">+Y29/U29-1</f>
        <v>0.13193957907126674</v>
      </c>
      <c r="Z30" s="883">
        <f t="shared" ref="Z30" si="95">+Z29/V29-1</f>
        <v>-8.6233180088585382E-2</v>
      </c>
      <c r="AA30" s="883">
        <f t="shared" ref="AA30" si="96">+AA29/W29-1</f>
        <v>-9.0065727699539799E-3</v>
      </c>
      <c r="AB30" s="1177">
        <v>0.05</v>
      </c>
      <c r="AC30" s="1177">
        <v>0.06</v>
      </c>
      <c r="AD30" s="1177">
        <v>0.06</v>
      </c>
      <c r="AE30" s="883"/>
      <c r="AF30" s="883"/>
      <c r="AG30" s="883"/>
      <c r="AH30" s="883"/>
      <c r="AI30" s="883"/>
      <c r="AJ30" s="883"/>
      <c r="AK30" s="883">
        <f t="shared" ref="AK30" si="97">+AK29/AJ29-1</f>
        <v>-2.5097654070221576E-2</v>
      </c>
      <c r="AL30" s="883">
        <f t="shared" ref="AL30" si="98">+AL29/AK29-1</f>
        <v>-6.2825403076247621E-3</v>
      </c>
      <c r="AM30" s="883">
        <f t="shared" ref="AM30" si="99">+AM29/AL29-1</f>
        <v>3.8818308749326125E-2</v>
      </c>
      <c r="AN30" s="883">
        <f t="shared" ref="AN30" si="100">+AN29/AM29-1</f>
        <v>-1.8803646283851116E-2</v>
      </c>
      <c r="AO30" s="883">
        <f t="shared" ref="AO30" si="101">+AO29/AN29-1</f>
        <v>-7.947250402358097E-2</v>
      </c>
      <c r="AP30" s="883">
        <f t="shared" ref="AP30" si="102">+AP29/AO29-1</f>
        <v>7.433563995147785E-2</v>
      </c>
      <c r="AQ30" s="883">
        <f>+AQ29/AP29-1</f>
        <v>2.8479609422489283E-3</v>
      </c>
      <c r="AR30" s="883">
        <f>+AR29/AQ29-1</f>
        <v>0.34487819998541447</v>
      </c>
      <c r="AS30" s="883">
        <f>+AS29/AR29-1</f>
        <v>9.6019441827043917E-2</v>
      </c>
      <c r="AT30" s="883">
        <f>+AT29/AS29-1</f>
        <v>8.5136518401919048E-2</v>
      </c>
      <c r="AU30" s="883">
        <f>+AU29/AT29-1</f>
        <v>6.2597429985779662E-2</v>
      </c>
      <c r="AV30" s="883">
        <f t="shared" ref="AV30" si="103">+AV29/AU29-1</f>
        <v>3.3140552167312487E-2</v>
      </c>
    </row>
    <row r="31" spans="1:50" ht="13" x14ac:dyDescent="0.3">
      <c r="A31" s="890" t="s">
        <v>891</v>
      </c>
      <c r="C31" s="883"/>
      <c r="D31" s="883"/>
      <c r="E31" s="883"/>
      <c r="F31" s="883"/>
      <c r="G31" s="883">
        <f t="shared" ref="G31:W31" si="104">+G29/F29-1</f>
        <v>0.53418562841629136</v>
      </c>
      <c r="H31" s="883">
        <f t="shared" si="104"/>
        <v>-0.56941633227986754</v>
      </c>
      <c r="I31" s="883">
        <f t="shared" si="104"/>
        <v>7.7246611870139148E-2</v>
      </c>
      <c r="J31" s="883">
        <f t="shared" si="104"/>
        <v>0.51399698879730304</v>
      </c>
      <c r="K31" s="883">
        <f t="shared" si="104"/>
        <v>0.52803856461427179</v>
      </c>
      <c r="L31" s="883">
        <f t="shared" si="104"/>
        <v>-0.3524603726132558</v>
      </c>
      <c r="M31" s="883">
        <f t="shared" si="104"/>
        <v>9.0385663668573368E-2</v>
      </c>
      <c r="N31" s="883">
        <f t="shared" si="104"/>
        <v>0.27578503358850104</v>
      </c>
      <c r="O31" s="883">
        <f t="shared" si="104"/>
        <v>0.2361289690557542</v>
      </c>
      <c r="P31" s="883">
        <f t="shared" si="104"/>
        <v>-0.35747825570106806</v>
      </c>
      <c r="Q31" s="883">
        <f t="shared" si="104"/>
        <v>-5.0570459451121375E-3</v>
      </c>
      <c r="R31" s="883">
        <f t="shared" si="104"/>
        <v>0.44153288291080517</v>
      </c>
      <c r="S31" s="883">
        <f t="shared" si="104"/>
        <v>0.3609997312550377</v>
      </c>
      <c r="T31" s="883">
        <f t="shared" si="104"/>
        <v>-0.45018047975230446</v>
      </c>
      <c r="U31" s="883">
        <f t="shared" si="104"/>
        <v>2.5211532660067926E-2</v>
      </c>
      <c r="V31" s="883">
        <f t="shared" si="104"/>
        <v>0.1673485973712967</v>
      </c>
      <c r="W31" s="883">
        <f t="shared" si="104"/>
        <v>0.59796660624902653</v>
      </c>
      <c r="X31" s="883">
        <f t="shared" ref="X31" si="105">+X29/W29-1</f>
        <v>-0.37783286384976567</v>
      </c>
      <c r="Y31" s="883">
        <f t="shared" ref="Y31" si="106">+Y29/X29-1</f>
        <v>-2.4678241132011336E-2</v>
      </c>
      <c r="Z31" s="883">
        <f t="shared" ref="Z31" si="107">+Z29/Y29-1</f>
        <v>-5.7648981208685446E-2</v>
      </c>
      <c r="AA31" s="883">
        <f t="shared" ref="AA31" si="108">+AA29/Z29-1</f>
        <v>0.73301806239737211</v>
      </c>
      <c r="AB31" s="883">
        <f t="shared" ref="AB31" si="109">+AB29/AA29-1</f>
        <v>-0.34078725952427857</v>
      </c>
      <c r="AC31" s="883">
        <f t="shared" ref="AC31" si="110">+AC29/AB29-1</f>
        <v>-1.5389462476125604E-2</v>
      </c>
      <c r="AD31" s="883">
        <f t="shared" ref="AD31" si="111">+AD29/AC29-1</f>
        <v>-5.7648981208685446E-2</v>
      </c>
      <c r="AE31" s="883"/>
      <c r="AF31" s="883"/>
      <c r="AG31" s="883"/>
      <c r="AH31" s="883"/>
      <c r="AI31" s="883"/>
      <c r="AJ31" s="883"/>
      <c r="AK31" s="883"/>
      <c r="AL31" s="883">
        <f>+AL30</f>
        <v>-6.2825403076247621E-3</v>
      </c>
      <c r="AM31" s="883">
        <f t="shared" ref="AM31:AU31" si="112">+AM30</f>
        <v>3.8818308749326125E-2</v>
      </c>
      <c r="AN31" s="883">
        <f t="shared" si="112"/>
        <v>-1.8803646283851116E-2</v>
      </c>
      <c r="AO31" s="883">
        <f t="shared" si="112"/>
        <v>-7.947250402358097E-2</v>
      </c>
      <c r="AP31" s="883">
        <f t="shared" si="112"/>
        <v>7.433563995147785E-2</v>
      </c>
      <c r="AQ31" s="883">
        <f t="shared" si="112"/>
        <v>2.8479609422489283E-3</v>
      </c>
      <c r="AR31" s="883">
        <f t="shared" si="112"/>
        <v>0.34487819998541447</v>
      </c>
      <c r="AS31" s="883">
        <f t="shared" si="112"/>
        <v>9.6019441827043917E-2</v>
      </c>
      <c r="AT31" s="883">
        <f t="shared" si="112"/>
        <v>8.5136518401919048E-2</v>
      </c>
      <c r="AU31" s="883">
        <f t="shared" si="112"/>
        <v>6.2597429985779662E-2</v>
      </c>
      <c r="AV31" s="883">
        <f t="shared" ref="AV31" si="113">+AV30</f>
        <v>3.3140552167312487E-2</v>
      </c>
    </row>
    <row r="32" spans="1:50" ht="13" x14ac:dyDescent="0.3">
      <c r="A32" s="890" t="s">
        <v>892</v>
      </c>
      <c r="C32" s="883"/>
      <c r="D32" s="883"/>
      <c r="E32" s="883"/>
      <c r="F32" s="883"/>
      <c r="G32" s="988">
        <f t="shared" ref="G32:W32" si="114">+G29-F29</f>
        <v>29.41599999999994</v>
      </c>
      <c r="H32" s="988">
        <f t="shared" si="114"/>
        <v>-48.106000000000037</v>
      </c>
      <c r="I32" s="988">
        <f t="shared" si="114"/>
        <v>2.8100000000000449</v>
      </c>
      <c r="J32" s="988">
        <f t="shared" si="114"/>
        <v>20.141999999999911</v>
      </c>
      <c r="K32" s="988">
        <f t="shared" si="114"/>
        <v>31.328000000000088</v>
      </c>
      <c r="L32" s="988">
        <f t="shared" si="114"/>
        <v>-31.952999999999932</v>
      </c>
      <c r="M32" s="988">
        <f t="shared" si="114"/>
        <v>5.3059999999999405</v>
      </c>
      <c r="N32" s="988">
        <f t="shared" si="114"/>
        <v>17.652999999999949</v>
      </c>
      <c r="O32" s="988">
        <f t="shared" si="114"/>
        <v>19.283000000000044</v>
      </c>
      <c r="P32" s="988">
        <f t="shared" si="114"/>
        <v>-36.086000000000013</v>
      </c>
      <c r="Q32" s="988">
        <f t="shared" si="114"/>
        <v>-0.32799999999997453</v>
      </c>
      <c r="R32" s="988">
        <f t="shared" si="114"/>
        <v>28.49300000000008</v>
      </c>
      <c r="S32" s="988">
        <f t="shared" si="114"/>
        <v>33.581999999999908</v>
      </c>
      <c r="T32" s="988">
        <f t="shared" si="114"/>
        <v>-56.996000000000009</v>
      </c>
      <c r="U32" s="988">
        <f t="shared" si="114"/>
        <v>1.7549999999999955</v>
      </c>
      <c r="V32" s="988">
        <f t="shared" si="114"/>
        <v>11.942999999999955</v>
      </c>
      <c r="W32" s="988">
        <f t="shared" si="114"/>
        <v>49.816000000000116</v>
      </c>
      <c r="X32" s="992">
        <f t="shared" ref="X32" si="115">+X29-W29</f>
        <v>-50.299000000000078</v>
      </c>
      <c r="Y32" s="992">
        <f t="shared" ref="Y32" si="116">+Y29-X29</f>
        <v>-2.0439999999999685</v>
      </c>
      <c r="Z32" s="992">
        <f t="shared" ref="Z32" si="117">+Z29-Y29</f>
        <v>-4.6570000000000249</v>
      </c>
      <c r="AA32" s="992">
        <f t="shared" ref="AA32" si="118">+AA29-Z29</f>
        <v>55.800999999999945</v>
      </c>
      <c r="AB32" s="988">
        <f t="shared" ref="AB32" si="119">+AB29-AA29</f>
        <v>-44.958699999999951</v>
      </c>
      <c r="AC32" s="988">
        <f t="shared" ref="AC32" si="120">+AC29-AB29</f>
        <v>-1.3383799999999582</v>
      </c>
      <c r="AD32" s="988">
        <f t="shared" ref="AD32" si="121">+AD29-AC29</f>
        <v>-4.9364200000000267</v>
      </c>
      <c r="AE32" s="988"/>
      <c r="AF32" s="988"/>
      <c r="AG32" s="988"/>
      <c r="AH32" s="988"/>
      <c r="AI32" s="988"/>
      <c r="AJ32" s="988"/>
      <c r="AK32" s="988"/>
      <c r="AL32" s="988">
        <f t="shared" ref="AL32:AT32" si="122">+AL29-AK29</f>
        <v>-1.3720000000000141</v>
      </c>
      <c r="AM32" s="988">
        <f t="shared" si="122"/>
        <v>8.4240000000000066</v>
      </c>
      <c r="AN32" s="988">
        <f t="shared" si="122"/>
        <v>-4.2389999999999759</v>
      </c>
      <c r="AO32" s="988">
        <f t="shared" si="122"/>
        <v>-17.579000000000008</v>
      </c>
      <c r="AP32" s="988">
        <f t="shared" si="122"/>
        <v>15.136000000000081</v>
      </c>
      <c r="AQ32" s="988">
        <f t="shared" si="122"/>
        <v>0.62299999999976308</v>
      </c>
      <c r="AR32" s="988">
        <f t="shared" si="122"/>
        <v>75.658000000000243</v>
      </c>
      <c r="AS32" s="988">
        <f t="shared" si="122"/>
        <v>28.329000000000065</v>
      </c>
      <c r="AT32" s="988">
        <f t="shared" si="122"/>
        <v>27.529999999999745</v>
      </c>
      <c r="AU32" s="988">
        <f>+AU29-AT29</f>
        <v>21.965000000000202</v>
      </c>
      <c r="AV32" s="988">
        <f t="shared" ref="AV32" si="123">+AV29-AU29</f>
        <v>12.356719999999825</v>
      </c>
    </row>
    <row r="33" spans="1:51" ht="13" x14ac:dyDescent="0.3">
      <c r="A33" s="890" t="s">
        <v>660</v>
      </c>
      <c r="C33" s="883">
        <f>+C29/C$11</f>
        <v>0.33243671263837277</v>
      </c>
      <c r="D33" s="883">
        <f>+D29/D$11</f>
        <v>0.15459917134875548</v>
      </c>
      <c r="E33" s="883">
        <f>+E29/E$11</f>
        <v>0.16085559047904852</v>
      </c>
      <c r="F33" s="883">
        <f>+F29/F$11</f>
        <v>0.21484195166865658</v>
      </c>
      <c r="G33" s="883">
        <f>+G29/G$11</f>
        <v>0.32857292869893939</v>
      </c>
      <c r="H33" s="883">
        <f t="shared" ref="H33:W33" si="124">+H29/H$11</f>
        <v>0.1412375416894768</v>
      </c>
      <c r="I33" s="883">
        <f t="shared" si="124"/>
        <v>0.15238728543985317</v>
      </c>
      <c r="J33" s="883">
        <f t="shared" si="124"/>
        <v>0.22061049116687886</v>
      </c>
      <c r="K33" s="883">
        <f t="shared" si="124"/>
        <v>0.24438483933577745</v>
      </c>
      <c r="L33" s="883">
        <f t="shared" si="124"/>
        <v>0.15606747397944956</v>
      </c>
      <c r="M33" s="883">
        <f t="shared" si="124"/>
        <v>0.16323043772074108</v>
      </c>
      <c r="N33" s="883">
        <f t="shared" si="124"/>
        <v>0.20543634122412005</v>
      </c>
      <c r="O33" s="883">
        <f t="shared" si="124"/>
        <v>0.25222249429072574</v>
      </c>
      <c r="P33" s="883">
        <f t="shared" si="124"/>
        <v>0.15838557094262121</v>
      </c>
      <c r="Q33" s="883">
        <f t="shared" si="124"/>
        <v>0.15302023607969234</v>
      </c>
      <c r="R33" s="883">
        <f t="shared" si="124"/>
        <v>0.20435578226360981</v>
      </c>
      <c r="S33" s="883">
        <f t="shared" si="124"/>
        <v>0.29779371986357756</v>
      </c>
      <c r="T33" s="883">
        <f t="shared" si="124"/>
        <v>0.15184486350300477</v>
      </c>
      <c r="U33" s="883">
        <f t="shared" si="124"/>
        <v>0.15175085692900459</v>
      </c>
      <c r="V33" s="883">
        <f t="shared" si="124"/>
        <v>0.17230795323161424</v>
      </c>
      <c r="W33" s="883">
        <f t="shared" si="124"/>
        <v>0.2772392077154241</v>
      </c>
      <c r="X33" s="883">
        <f t="shared" ref="X33:Y33" si="125">+X29/X$11</f>
        <v>0.1640547628290959</v>
      </c>
      <c r="Y33" s="883">
        <f t="shared" si="125"/>
        <v>0.15510034809354944</v>
      </c>
      <c r="Z33" s="883">
        <f t="shared" ref="Z33:AA33" si="126">+Z29/Z$11</f>
        <v>0.14250734298920031</v>
      </c>
      <c r="AA33" s="883">
        <f t="shared" si="126"/>
        <v>0.23939363146090242</v>
      </c>
      <c r="AB33" s="883">
        <f t="shared" ref="AB33:AD33" si="127">+AB29/AB$11</f>
        <v>0.15197283588462759</v>
      </c>
      <c r="AC33" s="883">
        <f t="shared" si="127"/>
        <v>0.14724073913173069</v>
      </c>
      <c r="AD33" s="883">
        <f t="shared" si="127"/>
        <v>0.13631616476519168</v>
      </c>
      <c r="AE33" s="883"/>
      <c r="AF33" s="883"/>
      <c r="AG33" s="883"/>
      <c r="AH33" s="883"/>
      <c r="AI33" s="883"/>
      <c r="AJ33" s="883">
        <f t="shared" ref="AJ33:AU33" si="128">+AJ29/AJ$11</f>
        <v>0.26408832614180283</v>
      </c>
      <c r="AK33" s="883">
        <f t="shared" si="128"/>
        <v>0.23748821438242276</v>
      </c>
      <c r="AL33" s="883">
        <f t="shared" si="128"/>
        <v>0.22884358648267308</v>
      </c>
      <c r="AM33" s="883">
        <f t="shared" si="128"/>
        <v>0.25831900996906154</v>
      </c>
      <c r="AN33" s="883">
        <f t="shared" si="128"/>
        <v>0.24894909394171652</v>
      </c>
      <c r="AO33" s="883">
        <f t="shared" si="128"/>
        <v>0.22186929981890177</v>
      </c>
      <c r="AP33" s="883">
        <f t="shared" si="128"/>
        <v>0.21536063921114609</v>
      </c>
      <c r="AQ33" s="883">
        <f t="shared" si="128"/>
        <v>0.21078341412326498</v>
      </c>
      <c r="AR33" s="883">
        <f t="shared" si="128"/>
        <v>0.19198443478487215</v>
      </c>
      <c r="AS33" s="883">
        <f t="shared" si="128"/>
        <v>0.19171726945346629</v>
      </c>
      <c r="AT33" s="883">
        <f t="shared" si="128"/>
        <v>0.19097693536044683</v>
      </c>
      <c r="AU33" s="883">
        <f t="shared" si="128"/>
        <v>0.18276734757500857</v>
      </c>
      <c r="AV33" s="883">
        <f t="shared" ref="AV33" si="129">+AV29/AV$11</f>
        <v>0.16771451101827875</v>
      </c>
      <c r="AW33" s="1458"/>
    </row>
    <row r="34" spans="1:51" ht="13" x14ac:dyDescent="0.3">
      <c r="A34" s="890"/>
      <c r="C34" s="883"/>
      <c r="D34" s="883"/>
      <c r="E34" s="883"/>
      <c r="F34" s="883"/>
      <c r="G34" s="883"/>
      <c r="H34" s="883"/>
      <c r="I34" s="883"/>
      <c r="J34" s="883"/>
      <c r="K34" s="883"/>
      <c r="L34" s="883"/>
      <c r="M34" s="883"/>
      <c r="N34" s="883"/>
      <c r="O34" s="883"/>
      <c r="P34" s="883"/>
      <c r="Q34" s="883"/>
      <c r="R34" s="883"/>
      <c r="S34" s="883"/>
      <c r="T34" s="883"/>
      <c r="U34" s="883"/>
      <c r="V34" s="883"/>
      <c r="W34" s="883"/>
      <c r="X34" s="883"/>
      <c r="Y34" s="883"/>
      <c r="Z34" s="883"/>
      <c r="AA34" s="883"/>
      <c r="AB34" s="883"/>
      <c r="AC34" s="883"/>
      <c r="AD34" s="883"/>
      <c r="AE34" s="883"/>
      <c r="AF34" s="883"/>
      <c r="AG34" s="883"/>
      <c r="AH34" s="883"/>
      <c r="AI34" s="883"/>
      <c r="AJ34" s="883"/>
      <c r="AK34" s="883"/>
      <c r="AL34" s="883"/>
      <c r="AM34" s="883"/>
      <c r="AN34" s="883"/>
      <c r="AO34" s="883"/>
      <c r="AP34" s="883"/>
      <c r="AQ34" s="883"/>
      <c r="AR34" s="883"/>
      <c r="AS34" s="883"/>
      <c r="AT34" s="883"/>
      <c r="AU34" s="883"/>
      <c r="AV34" s="883"/>
    </row>
    <row r="35" spans="1:51" ht="13" x14ac:dyDescent="0.3">
      <c r="G35" s="933"/>
      <c r="H35" s="933"/>
      <c r="I35" s="933"/>
      <c r="J35" s="933"/>
      <c r="K35" s="933"/>
      <c r="L35" s="933"/>
      <c r="M35" s="933"/>
      <c r="N35" s="933"/>
      <c r="O35" s="933"/>
      <c r="P35" s="933"/>
      <c r="Q35" s="933"/>
      <c r="R35" s="933"/>
      <c r="S35" s="933"/>
      <c r="T35" s="933"/>
      <c r="U35" s="933"/>
      <c r="V35" s="933"/>
      <c r="W35" s="1571"/>
      <c r="X35" s="1571"/>
      <c r="Y35" s="1571">
        <f>SUM(Y37:AB37)/SUM(M37:P37)-1</f>
        <v>1.3776771053838077</v>
      </c>
      <c r="Z35" s="1116"/>
      <c r="AA35" s="1116"/>
      <c r="AB35" s="1089" t="s">
        <v>1191</v>
      </c>
      <c r="AC35" s="1116"/>
      <c r="AD35" s="1116"/>
      <c r="AE35" s="933"/>
      <c r="AF35" s="933">
        <f t="shared" ref="AF35:AK35" si="130">+AF72+AF71</f>
        <v>0</v>
      </c>
      <c r="AG35" s="933">
        <f t="shared" si="130"/>
        <v>0</v>
      </c>
      <c r="AH35" s="933">
        <f t="shared" si="130"/>
        <v>0</v>
      </c>
      <c r="AI35" s="933">
        <f t="shared" si="130"/>
        <v>0</v>
      </c>
      <c r="AJ35" s="933">
        <f t="shared" si="130"/>
        <v>65.736999999999995</v>
      </c>
      <c r="AK35" s="933">
        <f t="shared" si="130"/>
        <v>86.266999999999996</v>
      </c>
      <c r="AL35" s="933"/>
      <c r="AM35" s="933"/>
      <c r="AN35" s="933"/>
      <c r="AO35" s="933"/>
      <c r="AP35" s="933"/>
      <c r="AQ35" s="933"/>
      <c r="AR35" s="933"/>
      <c r="AS35" s="933"/>
      <c r="AT35" s="933"/>
      <c r="AU35" s="1089"/>
      <c r="AV35" s="1089" t="s">
        <v>1189</v>
      </c>
      <c r="AX35" s="898"/>
      <c r="AY35" s="898"/>
    </row>
    <row r="36" spans="1:51" ht="14" x14ac:dyDescent="0.4">
      <c r="A36" s="884" t="s">
        <v>766</v>
      </c>
      <c r="G36" s="934">
        <f t="shared" ref="G36:Z36" si="131">+G25-G29-G37</f>
        <v>16.403000000000006</v>
      </c>
      <c r="H36" s="934">
        <f t="shared" si="131"/>
        <v>16.487999999999992</v>
      </c>
      <c r="I36" s="934">
        <f t="shared" si="131"/>
        <v>16.649000000000001</v>
      </c>
      <c r="J36" s="934">
        <f t="shared" si="131"/>
        <v>16.537999999999997</v>
      </c>
      <c r="K36" s="934">
        <f t="shared" si="131"/>
        <v>16.225000000000001</v>
      </c>
      <c r="L36" s="934">
        <f t="shared" si="131"/>
        <v>20.637</v>
      </c>
      <c r="M36" s="934">
        <f t="shared" si="131"/>
        <v>20.100999999999992</v>
      </c>
      <c r="N36" s="934">
        <f t="shared" si="131"/>
        <v>21.471999999999994</v>
      </c>
      <c r="O36" s="934">
        <f t="shared" si="131"/>
        <v>20.933999999999994</v>
      </c>
      <c r="P36" s="934">
        <f t="shared" si="131"/>
        <v>21.966000000000008</v>
      </c>
      <c r="Q36" s="934">
        <f t="shared" si="131"/>
        <v>20.867000000000004</v>
      </c>
      <c r="R36" s="934">
        <f t="shared" si="131"/>
        <v>21.179000000000009</v>
      </c>
      <c r="S36" s="934">
        <f t="shared" si="131"/>
        <v>22.961999999999996</v>
      </c>
      <c r="T36" s="934">
        <f t="shared" si="131"/>
        <v>24.183999999999997</v>
      </c>
      <c r="U36" s="934">
        <f t="shared" si="131"/>
        <v>23.662000000000006</v>
      </c>
      <c r="V36" s="934">
        <f t="shared" si="131"/>
        <v>24.349999999999994</v>
      </c>
      <c r="W36" s="934">
        <f t="shared" si="131"/>
        <v>25.00200000000001</v>
      </c>
      <c r="X36" s="1117">
        <f t="shared" si="131"/>
        <v>23.474999999999994</v>
      </c>
      <c r="Y36" s="1117">
        <f t="shared" si="131"/>
        <v>24.137</v>
      </c>
      <c r="Z36" s="1117">
        <f t="shared" si="131"/>
        <v>24.191000000000003</v>
      </c>
      <c r="AA36" s="1117">
        <f t="shared" ref="AA36" si="132">+AA25-AA29-AA37</f>
        <v>25.567000000000021</v>
      </c>
      <c r="AB36" s="1178">
        <f>+AA36</f>
        <v>25.567000000000021</v>
      </c>
      <c r="AC36" s="1178">
        <v>25</v>
      </c>
      <c r="AD36" s="1178">
        <f t="shared" ref="AD36" si="133">+AC36+Z36-Y36</f>
        <v>25.054000000000002</v>
      </c>
      <c r="AE36" s="934"/>
      <c r="AF36" s="934">
        <f t="shared" ref="AF36:AT36" si="134">+AF25-AF29-AF37</f>
        <v>0</v>
      </c>
      <c r="AG36" s="934">
        <f t="shared" si="134"/>
        <v>0</v>
      </c>
      <c r="AH36" s="934">
        <f t="shared" si="134"/>
        <v>0</v>
      </c>
      <c r="AI36" s="934">
        <f t="shared" si="134"/>
        <v>0</v>
      </c>
      <c r="AJ36" s="934">
        <f t="shared" si="134"/>
        <v>65.736999999999995</v>
      </c>
      <c r="AK36" s="934">
        <f t="shared" si="134"/>
        <v>86.266999999999996</v>
      </c>
      <c r="AL36" s="934">
        <f t="shared" si="134"/>
        <v>83.800999999999988</v>
      </c>
      <c r="AM36" s="934">
        <f t="shared" si="134"/>
        <v>68.225000000000009</v>
      </c>
      <c r="AN36" s="934">
        <f t="shared" si="134"/>
        <v>74.279999999999987</v>
      </c>
      <c r="AO36" s="934">
        <f t="shared" si="134"/>
        <v>75.259999999999991</v>
      </c>
      <c r="AP36" s="934">
        <f t="shared" si="134"/>
        <v>71.399999999999977</v>
      </c>
      <c r="AQ36" s="934">
        <f t="shared" si="134"/>
        <v>66.077999999999975</v>
      </c>
      <c r="AR36" s="934">
        <f t="shared" si="134"/>
        <v>78.435000000000002</v>
      </c>
      <c r="AS36" s="934">
        <f t="shared" si="134"/>
        <v>84.945999999999998</v>
      </c>
      <c r="AT36" s="934">
        <f t="shared" si="134"/>
        <v>95.157999999999987</v>
      </c>
      <c r="AU36" s="934">
        <f>SUM(W36:Z36)</f>
        <v>96.805000000000007</v>
      </c>
      <c r="AV36" s="934">
        <f t="shared" ref="AV36:AV37" si="135">+SUM(AA36:AD36)</f>
        <v>101.18800000000005</v>
      </c>
      <c r="AX36" s="898"/>
      <c r="AY36" s="898"/>
    </row>
    <row r="37" spans="1:51" s="876" customFormat="1" ht="14" x14ac:dyDescent="0.4">
      <c r="A37" s="882" t="s">
        <v>762</v>
      </c>
      <c r="C37" s="877">
        <f>+Model!AA198</f>
        <v>-9.7280000000000229</v>
      </c>
      <c r="D37" s="877">
        <f>+Model!AB198</f>
        <v>37.430000000000007</v>
      </c>
      <c r="E37" s="877">
        <f>+Model!AC198</f>
        <v>27.21700000000002</v>
      </c>
      <c r="F37" s="877">
        <f>+Model!AD198</f>
        <v>7.2429999999999666</v>
      </c>
      <c r="G37" s="877">
        <f>+Model!AE198</f>
        <v>-13.123000000000019</v>
      </c>
      <c r="H37" s="877">
        <f>+Model!AF198</f>
        <v>37.224000000000025</v>
      </c>
      <c r="I37" s="877">
        <f>+Model!AG198</f>
        <v>22.350000000000009</v>
      </c>
      <c r="J37" s="877">
        <f>+Model!AH198</f>
        <v>15.628000000000155</v>
      </c>
      <c r="K37" s="877">
        <f>+Model!AI198</f>
        <v>23.008999999999993</v>
      </c>
      <c r="L37" s="877">
        <f>+Model!AJ198</f>
        <v>50.049999999999955</v>
      </c>
      <c r="M37" s="877">
        <f>+Model!AK198</f>
        <v>54.905999999999999</v>
      </c>
      <c r="N37" s="877">
        <f>+Model!AL198</f>
        <v>33.466000000000051</v>
      </c>
      <c r="O37" s="877">
        <f>+Model!AM198</f>
        <v>4.5219999999999958</v>
      </c>
      <c r="P37" s="877">
        <f>+Model!AN198</f>
        <v>60.731000000000023</v>
      </c>
      <c r="Q37" s="877">
        <f>+Model!AO198</f>
        <v>69.439999999999984</v>
      </c>
      <c r="R37" s="877">
        <f>+Model!AP198</f>
        <v>53.472999999999978</v>
      </c>
      <c r="S37" s="877">
        <f>+Model!AQ198</f>
        <v>-19.919999999999995</v>
      </c>
      <c r="T37" s="877">
        <f>+Model!AR198</f>
        <v>76.293000000000035</v>
      </c>
      <c r="U37" s="877">
        <f>+Model!AS198</f>
        <v>80.224000000000018</v>
      </c>
      <c r="V37" s="877">
        <f>+Model!AT198</f>
        <v>64.421999999999969</v>
      </c>
      <c r="W37" s="877">
        <f>+W237</f>
        <v>14.760999999999965</v>
      </c>
      <c r="X37" s="877">
        <f t="shared" ref="X37:Y37" si="136">+X237</f>
        <v>94.873000000000005</v>
      </c>
      <c r="Y37" s="877">
        <f t="shared" si="136"/>
        <v>96.41</v>
      </c>
      <c r="Z37" s="877">
        <f t="shared" ref="Z37" si="137">+Z237</f>
        <v>87.896000000000001</v>
      </c>
      <c r="AA37" s="877">
        <f t="shared" ref="AA37" si="138">+AA237</f>
        <v>58.36</v>
      </c>
      <c r="AB37" s="1294">
        <f>+AB25-AB29-AB36</f>
        <v>122.60464531458761</v>
      </c>
      <c r="AC37" s="1294">
        <f t="shared" ref="AC37:AD37" si="139">+AC25-AC29-AC36</f>
        <v>124.86612743650551</v>
      </c>
      <c r="AD37" s="1294">
        <f t="shared" si="139"/>
        <v>119.19490773999999</v>
      </c>
      <c r="AE37" s="877"/>
      <c r="AF37" s="877"/>
      <c r="AG37" s="877"/>
      <c r="AH37" s="877"/>
      <c r="AI37" s="877"/>
      <c r="AJ37" s="877">
        <f>+Model!BD198</f>
        <v>60.08000000000002</v>
      </c>
      <c r="AK37" s="877">
        <f>+Model!BE198</f>
        <v>45.683999999999941</v>
      </c>
      <c r="AL37" s="877">
        <f>+Model!BF198</f>
        <v>39.72600000000002</v>
      </c>
      <c r="AM37" s="877">
        <f>+Model!BG198</f>
        <v>32.530000000000044</v>
      </c>
      <c r="AN37" s="877">
        <f>+Model!BH198</f>
        <v>35.726999999999961</v>
      </c>
      <c r="AO37" s="877">
        <f>+Model!BI198</f>
        <v>46.362000000000016</v>
      </c>
      <c r="AP37" s="877">
        <f>+SUM(C37:F37)</f>
        <v>62.161999999999971</v>
      </c>
      <c r="AQ37" s="877">
        <f>+SUM(G37:J37)</f>
        <v>62.079000000000171</v>
      </c>
      <c r="AR37" s="877">
        <f>SUM(K37:N37)</f>
        <v>161.43099999999998</v>
      </c>
      <c r="AS37" s="877">
        <f>+SUM(O37:R37)</f>
        <v>188.16599999999997</v>
      </c>
      <c r="AT37" s="877">
        <f>+SUM(S37:V37)</f>
        <v>201.01900000000003</v>
      </c>
      <c r="AU37" s="878">
        <f>SUM(W37:Z37)</f>
        <v>293.94</v>
      </c>
      <c r="AV37" s="878">
        <f t="shared" si="135"/>
        <v>425.02568049109311</v>
      </c>
      <c r="AX37" s="900">
        <f>+(AU37/AQ37)^(1/4)-1</f>
        <v>0.47512388241829751</v>
      </c>
    </row>
    <row r="38" spans="1:51" ht="13" x14ac:dyDescent="0.3">
      <c r="A38" s="892" t="s">
        <v>657</v>
      </c>
      <c r="C38" s="883"/>
      <c r="D38" s="883"/>
      <c r="E38" s="883"/>
      <c r="F38" s="883"/>
      <c r="G38" s="883">
        <f t="shared" ref="G38:W38" si="140">+G37/C37-1</f>
        <v>0.34899259868420929</v>
      </c>
      <c r="H38" s="883">
        <f t="shared" si="140"/>
        <v>-5.5036067325670013E-3</v>
      </c>
      <c r="I38" s="883">
        <f t="shared" si="140"/>
        <v>-0.17882205974207321</v>
      </c>
      <c r="J38" s="883">
        <f t="shared" si="140"/>
        <v>1.1576694739749036</v>
      </c>
      <c r="K38" s="883">
        <f t="shared" si="140"/>
        <v>-2.7533338413472501</v>
      </c>
      <c r="L38" s="883">
        <f t="shared" si="140"/>
        <v>0.34456264775413503</v>
      </c>
      <c r="M38" s="883">
        <f t="shared" si="140"/>
        <v>1.4566442953020124</v>
      </c>
      <c r="N38" s="883">
        <f t="shared" si="140"/>
        <v>1.1414128487330255</v>
      </c>
      <c r="O38" s="883">
        <f t="shared" si="140"/>
        <v>-0.80346820809248565</v>
      </c>
      <c r="P38" s="883">
        <f t="shared" si="140"/>
        <v>0.21340659340659496</v>
      </c>
      <c r="Q38" s="883">
        <f t="shared" si="140"/>
        <v>0.26470695370269159</v>
      </c>
      <c r="R38" s="883">
        <f t="shared" si="140"/>
        <v>0.59783063407637282</v>
      </c>
      <c r="S38" s="883">
        <f t="shared" si="140"/>
        <v>-5.4051304732419316</v>
      </c>
      <c r="T38" s="883">
        <f t="shared" si="140"/>
        <v>0.25624475144489645</v>
      </c>
      <c r="U38" s="883">
        <f t="shared" si="140"/>
        <v>0.15529953917050743</v>
      </c>
      <c r="V38" s="883">
        <f t="shared" si="140"/>
        <v>0.20475754118901124</v>
      </c>
      <c r="W38" s="883">
        <f t="shared" si="140"/>
        <v>-1.7410140562248979</v>
      </c>
      <c r="X38" s="883">
        <f t="shared" ref="X38" si="141">+X37/T37-1</f>
        <v>0.24353479349350482</v>
      </c>
      <c r="Y38" s="883">
        <f t="shared" ref="Y38" si="142">+Y37/U37-1</f>
        <v>0.20176007179896249</v>
      </c>
      <c r="Z38" s="883">
        <f t="shared" ref="Z38" si="143">+Z37/V37-1</f>
        <v>0.3643786284188637</v>
      </c>
      <c r="AA38" s="883">
        <f t="shared" ref="AA38" si="144">+AA37/W37-1</f>
        <v>2.9536616760382182</v>
      </c>
      <c r="AB38" s="883">
        <f t="shared" ref="AB38" si="145">+AB37/X37-1</f>
        <v>0.29230281865849728</v>
      </c>
      <c r="AC38" s="883">
        <f t="shared" ref="AC38" si="146">+AC37/Y37-1</f>
        <v>0.29515742595690808</v>
      </c>
      <c r="AD38" s="883">
        <f t="shared" ref="AD38" si="147">+AD37/Z37-1</f>
        <v>0.35609024005643031</v>
      </c>
      <c r="AE38" s="883"/>
      <c r="AF38" s="883"/>
      <c r="AG38" s="883"/>
      <c r="AH38" s="883"/>
      <c r="AI38" s="883"/>
      <c r="AJ38" s="883"/>
      <c r="AK38" s="883">
        <f t="shared" ref="AK38:AP38" si="148">+AK37/AJ37-1</f>
        <v>-0.23961384820239806</v>
      </c>
      <c r="AL38" s="883">
        <f t="shared" si="148"/>
        <v>-0.13041765169424591</v>
      </c>
      <c r="AM38" s="883">
        <f t="shared" si="148"/>
        <v>-0.18114081457987141</v>
      </c>
      <c r="AN38" s="883">
        <f t="shared" si="148"/>
        <v>9.8278512142634833E-2</v>
      </c>
      <c r="AO38" s="883">
        <f t="shared" si="148"/>
        <v>0.2976740280460175</v>
      </c>
      <c r="AP38" s="883">
        <f t="shared" si="148"/>
        <v>0.34079634183167129</v>
      </c>
      <c r="AQ38" s="883">
        <f>+AQ37/AP37-1</f>
        <v>-1.3352208744860095E-3</v>
      </c>
      <c r="AR38" s="883">
        <f>+AR37/AQ37-1</f>
        <v>1.6004123777766965</v>
      </c>
      <c r="AS38" s="883">
        <f>+AS37/AR37-1</f>
        <v>0.16561255273150755</v>
      </c>
      <c r="AT38" s="883">
        <f>+AT37/AS37-1</f>
        <v>6.8306707906848674E-2</v>
      </c>
      <c r="AU38" s="883">
        <f>+AU37/AT37-1</f>
        <v>0.46224983708007672</v>
      </c>
      <c r="AV38" s="883">
        <f t="shared" ref="AV38" si="149">+AV37/AU37-1</f>
        <v>0.44596067391676231</v>
      </c>
    </row>
    <row r="39" spans="1:51" ht="13" x14ac:dyDescent="0.3">
      <c r="A39" s="892" t="s">
        <v>2508</v>
      </c>
      <c r="C39" s="883"/>
      <c r="D39" s="883"/>
      <c r="E39" s="883"/>
      <c r="F39" s="883"/>
      <c r="G39" s="883">
        <f>+(G37-G188)/C37-1</f>
        <v>0.34899259868420929</v>
      </c>
      <c r="H39" s="883">
        <f>+(H37-H188)/D37-1</f>
        <v>-5.5036067325670013E-3</v>
      </c>
      <c r="I39" s="883">
        <f>+(I37-I188)/E37-1</f>
        <v>-0.184084989205893</v>
      </c>
      <c r="J39" s="883">
        <f>+(J37-J188)/F37-1</f>
        <v>1.126286583824915</v>
      </c>
      <c r="K39" s="883">
        <f>+(K37-K188)/G37-1</f>
        <v>-2.732204599368711</v>
      </c>
      <c r="L39" s="883">
        <f>+(L37-L188)/H37-1</f>
        <v>0.32450618194400516</v>
      </c>
      <c r="M39" s="883">
        <f>+(M37-M188)/I37-1</f>
        <v>1.4004176528319841</v>
      </c>
      <c r="N39" s="883">
        <f>+(N37-N188)/J37-1</f>
        <v>1.1082664972258636</v>
      </c>
      <c r="O39" s="883">
        <f>+(O37-O188)/K37-1</f>
        <v>-0.8064896267135081</v>
      </c>
      <c r="P39" s="883">
        <f>+(P37-P188)/L37-1</f>
        <v>0.19855409870088647</v>
      </c>
      <c r="Q39" s="883">
        <f>+(Q37-Q188)/M37-1</f>
        <v>0.26470695370269159</v>
      </c>
      <c r="R39" s="883">
        <f>+(R37-R188)/N37-1</f>
        <v>0.59783063407637282</v>
      </c>
      <c r="S39" s="883">
        <f>+(S37-S188)/O37-1</f>
        <v>-5.4051304732419316</v>
      </c>
      <c r="T39" s="883">
        <f>+(T37-T188)/P37-1</f>
        <v>0.25624475144489645</v>
      </c>
      <c r="U39" s="883">
        <f>+(U37-U188)/Q37-1</f>
        <v>0.15529953917050743</v>
      </c>
      <c r="V39" s="883">
        <f>+(V37-V188)/R37-1</f>
        <v>0.20475754118901124</v>
      </c>
      <c r="W39" s="883">
        <f>+(W37-W188)/S37-1</f>
        <v>-1.7410140562248979</v>
      </c>
      <c r="X39" s="883">
        <f>+(X37-X188)/T37-1</f>
        <v>0.24353479349350482</v>
      </c>
      <c r="Y39" s="883">
        <f>+(Y37-Y188)/U37-1</f>
        <v>0.20176007179896249</v>
      </c>
      <c r="Z39" s="883">
        <f>+(Z37-Z188)/V37-1</f>
        <v>0.3643786284188637</v>
      </c>
      <c r="AA39" s="883">
        <f>+(AA37-AA188)/W37-1</f>
        <v>2.9536616760382182</v>
      </c>
      <c r="AB39" s="883">
        <f>+(AB37-AB188)/X37-1</f>
        <v>0.29230281865849728</v>
      </c>
      <c r="AC39" s="883">
        <f>+(AC37-AC188)/Y37-1</f>
        <v>0.29515742595690808</v>
      </c>
      <c r="AD39" s="883">
        <f>+(AD37-AD188)/Z37-1</f>
        <v>0.35609024005643031</v>
      </c>
      <c r="AE39" s="883"/>
      <c r="AF39" s="883"/>
      <c r="AG39" s="883"/>
      <c r="AH39" s="883"/>
      <c r="AI39" s="883"/>
      <c r="AJ39" s="883"/>
      <c r="AK39" s="883"/>
      <c r="AL39" s="883">
        <f>+(AL37-AL188)/AK37-1</f>
        <v>-0.13041765169424591</v>
      </c>
      <c r="AM39" s="883">
        <f>+(AM37-AM188)/AL37-1</f>
        <v>-0.18114081457987141</v>
      </c>
      <c r="AN39" s="883">
        <f>+(AN37-AN188)/AM37-1</f>
        <v>9.8278512142634833E-2</v>
      </c>
      <c r="AO39" s="883">
        <f>+(AO37-AO188)/AN37-1</f>
        <v>0.2976740280460175</v>
      </c>
      <c r="AP39" s="883">
        <f>+(AP37-AP188)/AO37-1</f>
        <v>0.34079634183167129</v>
      </c>
      <c r="AQ39" s="883">
        <f>+(AQ37-AQ188)/AP37-1</f>
        <v>-7.2962167332606409E-3</v>
      </c>
      <c r="AR39" s="883">
        <f>+(AR37-AR188)/AQ37-1</f>
        <v>1.5553321160720994</v>
      </c>
      <c r="AS39" s="883">
        <f>+(AS37-AS188)/AR37-1</f>
        <v>0.16057704417942142</v>
      </c>
      <c r="AT39" s="883">
        <f>+(AT37-AT188)/AS37-1</f>
        <v>6.8306707906848674E-2</v>
      </c>
      <c r="AU39" s="883">
        <f>+(AU37-AU188)/AT37-1</f>
        <v>0.46224983708007672</v>
      </c>
      <c r="AV39" s="883">
        <f>+(AV37-AV188)/AU37-1</f>
        <v>0.44596067391676231</v>
      </c>
    </row>
    <row r="40" spans="1:51" ht="13" x14ac:dyDescent="0.3">
      <c r="A40" s="892" t="s">
        <v>660</v>
      </c>
      <c r="C40" s="883">
        <f>+C37/C$11</f>
        <v>-3.8708547872382849E-2</v>
      </c>
      <c r="D40" s="883">
        <f>+D37/D$11</f>
        <v>0.14685803069776204</v>
      </c>
      <c r="E40" s="883">
        <f>+E37/E$11</f>
        <v>0.1074700298516893</v>
      </c>
      <c r="F40" s="883">
        <f>+F37/F$11</f>
        <v>2.8258308168886467E-2</v>
      </c>
      <c r="G40" s="883">
        <f>+G37/G$11</f>
        <v>-5.103822713819571E-2</v>
      </c>
      <c r="H40" s="883">
        <f t="shared" ref="H40:W40" si="150">+H37/H$11</f>
        <v>0.14452610858094661</v>
      </c>
      <c r="I40" s="883">
        <f t="shared" si="150"/>
        <v>8.691290044098092E-2</v>
      </c>
      <c r="J40" s="883">
        <f t="shared" si="150"/>
        <v>5.8111560214330636E-2</v>
      </c>
      <c r="K40" s="883">
        <f t="shared" si="150"/>
        <v>6.2025555315937016E-2</v>
      </c>
      <c r="L40" s="883">
        <f t="shared" si="150"/>
        <v>0.13306038894575217</v>
      </c>
      <c r="M40" s="883">
        <f t="shared" si="150"/>
        <v>0.14001453543969705</v>
      </c>
      <c r="N40" s="883">
        <f t="shared" si="150"/>
        <v>8.4189077004352228E-2</v>
      </c>
      <c r="O40" s="883">
        <f t="shared" si="150"/>
        <v>1.1298616281800773E-2</v>
      </c>
      <c r="P40" s="883">
        <f t="shared" si="150"/>
        <v>0.14830271521610136</v>
      </c>
      <c r="Q40" s="883">
        <f t="shared" si="150"/>
        <v>0.16465823457158979</v>
      </c>
      <c r="R40" s="883">
        <f t="shared" si="150"/>
        <v>0.11746860247226007</v>
      </c>
      <c r="S40" s="883">
        <f t="shared" si="150"/>
        <v>-4.6854051511231322E-2</v>
      </c>
      <c r="T40" s="883">
        <f t="shared" si="150"/>
        <v>0.16642053944397794</v>
      </c>
      <c r="U40" s="883">
        <f t="shared" si="150"/>
        <v>0.17058628403262713</v>
      </c>
      <c r="V40" s="883">
        <f t="shared" si="150"/>
        <v>0.13324398280002225</v>
      </c>
      <c r="W40" s="883">
        <f t="shared" si="150"/>
        <v>3.0740491606290055E-2</v>
      </c>
      <c r="X40" s="883">
        <f t="shared" ref="X40:Y40" si="151">+X37/X$11</f>
        <v>0.18791644548674111</v>
      </c>
      <c r="Y40" s="883">
        <f t="shared" si="151"/>
        <v>0.18510589685448614</v>
      </c>
      <c r="Z40" s="883">
        <f t="shared" ref="Z40" si="152">+Z37/Z$11</f>
        <v>0.16454286265193763</v>
      </c>
      <c r="AA40" s="883">
        <f t="shared" ref="AA40" si="153">+AA37/AA$11</f>
        <v>0.10590037090534293</v>
      </c>
      <c r="AB40" s="883">
        <f t="shared" ref="AB40:AD40" si="154">+AB37/AB$11</f>
        <v>0.21424806382498712</v>
      </c>
      <c r="AC40" s="883">
        <f t="shared" si="154"/>
        <v>0.21470994724992379</v>
      </c>
      <c r="AD40" s="883">
        <f t="shared" si="154"/>
        <v>0.20135939130226055</v>
      </c>
      <c r="AE40" s="883"/>
      <c r="AF40" s="883"/>
      <c r="AG40" s="883"/>
      <c r="AH40" s="883"/>
      <c r="AI40" s="883"/>
      <c r="AJ40" s="883">
        <f t="shared" ref="AJ40:AP40" si="155">+AJ37/AJ$11</f>
        <v>7.0830680719624645E-2</v>
      </c>
      <c r="AK40" s="883">
        <f t="shared" si="155"/>
        <v>4.9680660059833355E-2</v>
      </c>
      <c r="AL40" s="883">
        <f t="shared" si="155"/>
        <v>4.1892071446197089E-2</v>
      </c>
      <c r="AM40" s="883">
        <f t="shared" si="155"/>
        <v>3.7275123180932783E-2</v>
      </c>
      <c r="AN40" s="883">
        <f t="shared" si="155"/>
        <v>4.0209607222805546E-2</v>
      </c>
      <c r="AO40" s="883">
        <f t="shared" si="155"/>
        <v>5.0517906059925878E-2</v>
      </c>
      <c r="AP40" s="883">
        <f t="shared" si="155"/>
        <v>6.1198008962817657E-2</v>
      </c>
      <c r="AQ40" s="883">
        <f t="shared" ref="AQ40:AU40" si="156">+AQ37/AQ$11</f>
        <v>5.9647470850768596E-2</v>
      </c>
      <c r="AR40" s="883">
        <f t="shared" si="156"/>
        <v>0.10504633124235403</v>
      </c>
      <c r="AS40" s="883">
        <f t="shared" si="156"/>
        <v>0.11156091366044017</v>
      </c>
      <c r="AT40" s="883">
        <f t="shared" si="156"/>
        <v>0.10940655005720171</v>
      </c>
      <c r="AU40" s="883">
        <f t="shared" si="156"/>
        <v>0.14408336188628915</v>
      </c>
      <c r="AV40" s="883">
        <f t="shared" ref="AV40" si="157">+AV37/AV$11</f>
        <v>0.18504737870290852</v>
      </c>
    </row>
    <row r="41" spans="1:51" ht="13" x14ac:dyDescent="0.3">
      <c r="A41" s="892" t="s">
        <v>661</v>
      </c>
      <c r="C41" s="883"/>
      <c r="D41" s="883"/>
      <c r="E41" s="883"/>
      <c r="F41" s="883"/>
      <c r="G41" s="883">
        <f t="shared" ref="G41:W41" si="158">+(G37-C37)/(G$11-C$11)</f>
        <v>-0.58463922851730721</v>
      </c>
      <c r="H41" s="883">
        <f t="shared" si="158"/>
        <v>-7.6665426125785335E-2</v>
      </c>
      <c r="I41" s="883">
        <f t="shared" si="158"/>
        <v>-1.2473090722706377</v>
      </c>
      <c r="J41" s="883">
        <f t="shared" si="158"/>
        <v>0.66457953554729143</v>
      </c>
      <c r="K41" s="883">
        <f t="shared" si="158"/>
        <v>0.31739562013018396</v>
      </c>
      <c r="L41" s="883">
        <f t="shared" si="158"/>
        <v>0.10815779265680538</v>
      </c>
      <c r="M41" s="883">
        <f t="shared" si="158"/>
        <v>0.24117163366446648</v>
      </c>
      <c r="N41" s="883">
        <f t="shared" si="158"/>
        <v>0.13873183023666308</v>
      </c>
      <c r="O41" s="883">
        <f t="shared" si="158"/>
        <v>-0.63168864894416676</v>
      </c>
      <c r="P41" s="883">
        <f t="shared" si="158"/>
        <v>0.32015466698639405</v>
      </c>
      <c r="Q41" s="883">
        <f t="shared" si="158"/>
        <v>0.49139534097440529</v>
      </c>
      <c r="R41" s="883">
        <f t="shared" si="158"/>
        <v>0.34673575847905441</v>
      </c>
      <c r="S41" s="883">
        <f t="shared" si="158"/>
        <v>-0.98066121007863949</v>
      </c>
      <c r="T41" s="883">
        <f t="shared" si="158"/>
        <v>0.31805918901242669</v>
      </c>
      <c r="U41" s="883">
        <f t="shared" si="158"/>
        <v>0.22206663646472616</v>
      </c>
      <c r="V41" s="883">
        <f t="shared" si="158"/>
        <v>0.38719145625574591</v>
      </c>
      <c r="W41" s="883">
        <f t="shared" si="158"/>
        <v>0.63020842797695698</v>
      </c>
      <c r="X41" s="883">
        <f t="shared" ref="X41" si="159">+(X37-T37)/(X$11-T$11)</f>
        <v>0.40014644756961587</v>
      </c>
      <c r="Y41" s="883">
        <f t="shared" ref="Y41" si="160">+(Y37-U37)/(Y$11-U$11)</f>
        <v>0.32017882222617805</v>
      </c>
      <c r="Z41" s="883">
        <f t="shared" ref="Z41" si="161">+(Z37-V37)/(Z$11-V$11)</f>
        <v>0.4630528267645096</v>
      </c>
      <c r="AA41" s="883">
        <f t="shared" ref="AA41" si="162">+(AA37-W37)/(AA$11-W$11)</f>
        <v>0.61491051154394161</v>
      </c>
      <c r="AB41" s="883">
        <f t="shared" ref="AB41" si="163">+(AB37-X37)/(AB$11-X$11)</f>
        <v>0.41152471075725328</v>
      </c>
      <c r="AC41" s="883">
        <f t="shared" ref="AC41" si="164">+(AC37-Y37)/(AC$11-Y$11)</f>
        <v>0.46864308575164992</v>
      </c>
      <c r="AD41" s="883">
        <f t="shared" ref="AD41" si="165">+(AD37-Z37)/(AD$11-Z$11)</f>
        <v>0.54180286990012649</v>
      </c>
      <c r="AE41" s="883"/>
      <c r="AF41" s="883"/>
      <c r="AG41" s="883"/>
      <c r="AH41" s="883"/>
      <c r="AI41" s="883"/>
      <c r="AJ41" s="883"/>
      <c r="AK41" s="883">
        <f t="shared" ref="AK41:AP41" si="166">+(AK37-AJ37)/(AK$11-AJ$11)</f>
        <v>-0.20181402716835245</v>
      </c>
      <c r="AL41" s="883">
        <f t="shared" si="166"/>
        <v>-0.207299676420442</v>
      </c>
      <c r="AM41" s="883">
        <f t="shared" si="166"/>
        <v>9.5192740164563097E-2</v>
      </c>
      <c r="AN41" s="883">
        <f t="shared" si="166"/>
        <v>0.20209874201908626</v>
      </c>
      <c r="AO41" s="883">
        <f t="shared" si="166"/>
        <v>0.36402532945404908</v>
      </c>
      <c r="AP41" s="883">
        <f t="shared" si="166"/>
        <v>0.16119488257258802</v>
      </c>
      <c r="AQ41" s="883">
        <f>+(AQ37-AP37)/(AQ$11-AP$11)</f>
        <v>-3.3182744972534471E-3</v>
      </c>
      <c r="AR41" s="883">
        <f>+(AR37-AQ37)/(AR$11-AQ$11)</f>
        <v>0.20030847085152023</v>
      </c>
      <c r="AS41" s="883">
        <f>+(AS37-AR37)/(AS$11-AR$11)</f>
        <v>0.1783450962603231</v>
      </c>
      <c r="AT41" s="883">
        <f>+(AT37-AS37)/(AT$11-AS$11)</f>
        <v>8.529318079261039E-2</v>
      </c>
      <c r="AU41" s="883">
        <f>+(AU37-AT37)/(AU$11-AT$11)</f>
        <v>0.45839150317447036</v>
      </c>
      <c r="AV41" s="883">
        <f t="shared" ref="AV41" si="167">+(AV37-AU37)/(AV$11-AU$11)</f>
        <v>0.51050023149622703</v>
      </c>
    </row>
    <row r="42" spans="1:51" x14ac:dyDescent="0.25">
      <c r="AB42" s="906"/>
    </row>
    <row r="43" spans="1:51" s="876" customFormat="1" ht="14" x14ac:dyDescent="0.4">
      <c r="A43" s="911" t="s">
        <v>58</v>
      </c>
      <c r="C43" s="877">
        <f>+Model!AA205</f>
        <v>8.7829999999999764</v>
      </c>
      <c r="D43" s="877">
        <f>+Model!AB205</f>
        <v>55.14</v>
      </c>
      <c r="E43" s="877">
        <f>+Model!AC205</f>
        <v>44.255000000000024</v>
      </c>
      <c r="F43" s="877">
        <f>+Model!AD205</f>
        <v>25.383999999999972</v>
      </c>
      <c r="G43" s="877">
        <f>+Model!AE205</f>
        <v>3.2799999999999834</v>
      </c>
      <c r="H43" s="877">
        <f>+Model!AF205</f>
        <v>53.712000000000018</v>
      </c>
      <c r="I43" s="877">
        <f>+Model!AG205</f>
        <v>38.999000000000009</v>
      </c>
      <c r="J43" s="877">
        <f>+Model!AH205</f>
        <v>32.166000000000153</v>
      </c>
      <c r="K43" s="877">
        <f>+Model!AI205</f>
        <v>39.233999999999995</v>
      </c>
      <c r="L43" s="877">
        <f>+Model!AJ205</f>
        <v>70.686999999999955</v>
      </c>
      <c r="M43" s="877">
        <f>+Model!AK205</f>
        <v>75.006999999999991</v>
      </c>
      <c r="N43" s="877">
        <f>+Model!AL205</f>
        <v>54.938000000000052</v>
      </c>
      <c r="O43" s="877">
        <f>+Model!AM205</f>
        <v>25.455999999999992</v>
      </c>
      <c r="P43" s="877">
        <f>+Model!AN205</f>
        <v>82.697000000000031</v>
      </c>
      <c r="Q43" s="877">
        <f>+Model!AO205</f>
        <v>90.306999999999988</v>
      </c>
      <c r="R43" s="877">
        <f>+Model!AP205</f>
        <v>74.651999999999987</v>
      </c>
      <c r="S43" s="877">
        <f>+Model!AQ205</f>
        <v>3.0420000000000051</v>
      </c>
      <c r="T43" s="877">
        <f>+Model!AR205</f>
        <v>100.47700000000003</v>
      </c>
      <c r="U43" s="877">
        <f>+Model!AS205</f>
        <v>103.88600000000002</v>
      </c>
      <c r="V43" s="877">
        <f>+Model!AT205</f>
        <v>88.771999999999963</v>
      </c>
      <c r="W43" s="877">
        <f>+Model!AU205</f>
        <v>39.762999999999963</v>
      </c>
      <c r="X43" s="877">
        <f>+X239</f>
        <v>118.348</v>
      </c>
      <c r="Y43" s="877">
        <f t="shared" ref="Y43:Z43" si="168">+Y239</f>
        <v>120.547</v>
      </c>
      <c r="Z43" s="877">
        <f t="shared" si="168"/>
        <v>112.087</v>
      </c>
      <c r="AA43" s="877">
        <f t="shared" ref="AA43" si="169">+AA239</f>
        <v>83.927000000000007</v>
      </c>
      <c r="AB43" s="877">
        <f t="shared" ref="AB43:AD43" si="170">+AB37+AB36</f>
        <v>148.17164531458764</v>
      </c>
      <c r="AC43" s="877">
        <f t="shared" si="170"/>
        <v>149.86612743650551</v>
      </c>
      <c r="AD43" s="877">
        <f t="shared" si="170"/>
        <v>144.24890773999999</v>
      </c>
      <c r="AE43" s="877"/>
      <c r="AF43" s="877"/>
      <c r="AG43" s="877"/>
      <c r="AH43" s="877"/>
      <c r="AI43" s="877"/>
      <c r="AJ43" s="877">
        <f>+Model!BD205</f>
        <v>125.81700000000001</v>
      </c>
      <c r="AK43" s="877">
        <f>+Model!BE205</f>
        <v>131.95099999999994</v>
      </c>
      <c r="AL43" s="877">
        <f>+Model!BF205</f>
        <v>123.52700000000002</v>
      </c>
      <c r="AM43" s="877">
        <f>+Model!BG205</f>
        <v>100.75500000000004</v>
      </c>
      <c r="AN43" s="877">
        <f>+Model!BH205</f>
        <v>110.00699999999996</v>
      </c>
      <c r="AO43" s="877">
        <f>+Model!BI205</f>
        <v>121.62200000000001</v>
      </c>
      <c r="AP43" s="877">
        <f>+SUM(C43:F43)</f>
        <v>133.56199999999995</v>
      </c>
      <c r="AQ43" s="877">
        <f>+SUM(G43:J43)</f>
        <v>128.15700000000015</v>
      </c>
      <c r="AR43" s="877">
        <f>SUM(K43:N43)</f>
        <v>239.86599999999999</v>
      </c>
      <c r="AS43" s="877">
        <f>+SUM(O43:R43)</f>
        <v>273.11199999999997</v>
      </c>
      <c r="AT43" s="877">
        <f>+SUM(S43:V43)</f>
        <v>296.17700000000002</v>
      </c>
      <c r="AU43" s="878">
        <f>SUM(W43:Z43)</f>
        <v>390.74499999999995</v>
      </c>
      <c r="AV43" s="878">
        <f t="shared" ref="AV43" si="171">+SUM(AA43:AD43)</f>
        <v>526.2136804910931</v>
      </c>
      <c r="AX43" s="900">
        <f>+(AU43/AQ43)^(1/4)-1</f>
        <v>0.32141056333147611</v>
      </c>
    </row>
    <row r="44" spans="1:51" ht="13" x14ac:dyDescent="0.3">
      <c r="A44" s="890" t="s">
        <v>657</v>
      </c>
      <c r="C44" s="883"/>
      <c r="D44" s="883"/>
      <c r="E44" s="883"/>
      <c r="F44" s="883"/>
      <c r="G44" s="883">
        <f>+G43/C43-1</f>
        <v>-0.62655129226915718</v>
      </c>
      <c r="H44" s="883">
        <f t="shared" ref="H44:W44" si="172">+H43/D43-1</f>
        <v>-2.5897714907507807E-2</v>
      </c>
      <c r="I44" s="883">
        <f t="shared" si="172"/>
        <v>-0.11876624110270051</v>
      </c>
      <c r="J44" s="883">
        <f t="shared" si="172"/>
        <v>0.26717617396786131</v>
      </c>
      <c r="K44" s="883">
        <f t="shared" si="172"/>
        <v>10.961585365853718</v>
      </c>
      <c r="L44" s="883">
        <f t="shared" si="172"/>
        <v>0.31603738456955499</v>
      </c>
      <c r="M44" s="883">
        <f t="shared" si="172"/>
        <v>0.92330572578784009</v>
      </c>
      <c r="N44" s="883">
        <f t="shared" si="172"/>
        <v>0.70795249642478986</v>
      </c>
      <c r="O44" s="883">
        <f t="shared" si="172"/>
        <v>-0.35117500127440493</v>
      </c>
      <c r="P44" s="883">
        <f t="shared" si="172"/>
        <v>0.16990394273345988</v>
      </c>
      <c r="Q44" s="883">
        <f t="shared" si="172"/>
        <v>0.20398096177690084</v>
      </c>
      <c r="R44" s="883">
        <f t="shared" si="172"/>
        <v>0.35884087516837004</v>
      </c>
      <c r="S44" s="883">
        <f t="shared" si="172"/>
        <v>-0.88049968573224358</v>
      </c>
      <c r="T44" s="883">
        <f t="shared" si="172"/>
        <v>0.2150017533888775</v>
      </c>
      <c r="U44" s="883">
        <f t="shared" si="172"/>
        <v>0.15036486651090208</v>
      </c>
      <c r="V44" s="883">
        <f t="shared" si="172"/>
        <v>0.18914429620103923</v>
      </c>
      <c r="W44" s="883">
        <f t="shared" si="172"/>
        <v>12.071334648257691</v>
      </c>
      <c r="X44" s="883">
        <f>+X43/T43-1</f>
        <v>0.17786160016720198</v>
      </c>
      <c r="Y44" s="883">
        <f t="shared" ref="Y44" si="173">+Y43/U43-1</f>
        <v>0.16037772173343834</v>
      </c>
      <c r="Z44" s="883">
        <f t="shared" ref="Z44" si="174">+Z43/V43-1</f>
        <v>0.26263912044338356</v>
      </c>
      <c r="AA44" s="883">
        <f t="shared" ref="AA44" si="175">+AA43/W43-1</f>
        <v>1.1106807836430876</v>
      </c>
      <c r="AB44" s="883">
        <f t="shared" ref="AB44:AD44" si="176">+AB43/X43-1</f>
        <v>0.25199957172565357</v>
      </c>
      <c r="AC44" s="883">
        <f t="shared" si="176"/>
        <v>0.24321739600741221</v>
      </c>
      <c r="AD44" s="883">
        <f t="shared" si="176"/>
        <v>0.28693700197168259</v>
      </c>
      <c r="AE44" s="883"/>
      <c r="AF44" s="883"/>
      <c r="AG44" s="883"/>
      <c r="AH44" s="883"/>
      <c r="AI44" s="883"/>
      <c r="AJ44" s="883"/>
      <c r="AK44" s="883">
        <f t="shared" ref="AK44:AP44" si="177">+AK43/AJ43-1</f>
        <v>4.8753348116708617E-2</v>
      </c>
      <c r="AL44" s="883">
        <f t="shared" si="177"/>
        <v>-6.3841880698137343E-2</v>
      </c>
      <c r="AM44" s="883">
        <f t="shared" si="177"/>
        <v>-0.18434836108704955</v>
      </c>
      <c r="AN44" s="883">
        <f t="shared" si="177"/>
        <v>9.1826708351941955E-2</v>
      </c>
      <c r="AO44" s="883">
        <f t="shared" si="177"/>
        <v>0.10558419009699427</v>
      </c>
      <c r="AP44" s="883">
        <f t="shared" si="177"/>
        <v>9.8173027906134802E-2</v>
      </c>
      <c r="AQ44" s="883">
        <f>+AQ43/AP43-1</f>
        <v>-4.0468097213277709E-2</v>
      </c>
      <c r="AR44" s="883">
        <f>+AR43/AQ43-1</f>
        <v>0.87165742019553916</v>
      </c>
      <c r="AS44" s="883">
        <f>+AS43/AR43-1</f>
        <v>0.13860238633236888</v>
      </c>
      <c r="AT44" s="883">
        <f>+AT43/AS43-1</f>
        <v>8.4452532294443605E-2</v>
      </c>
      <c r="AU44" s="883">
        <f>+AU43/AT43-1</f>
        <v>0.31929555637338458</v>
      </c>
      <c r="AV44" s="883">
        <f t="shared" ref="AV44" si="178">+AV43/AU43-1</f>
        <v>0.34669331786994895</v>
      </c>
    </row>
    <row r="45" spans="1:51" ht="13" x14ac:dyDescent="0.3">
      <c r="A45" s="890" t="s">
        <v>660</v>
      </c>
      <c r="C45" s="883">
        <f>+C43/C$11</f>
        <v>3.4948311673842193E-2</v>
      </c>
      <c r="D45" s="883">
        <f>+D43/D$11</f>
        <v>0.2163438902664867</v>
      </c>
      <c r="E45" s="883">
        <f>+E43/E$11</f>
        <v>0.17474689242335706</v>
      </c>
      <c r="F45" s="883">
        <f>+F43/F$11</f>
        <v>9.9034777655531772E-2</v>
      </c>
      <c r="G45" s="883">
        <f>+G43/G$11</f>
        <v>1.2756639869944438E-2</v>
      </c>
      <c r="H45" s="883">
        <f>+H43/H$11</f>
        <v>0.20854250870674301</v>
      </c>
      <c r="I45" s="883">
        <f>+I43/I$11</f>
        <v>0.15165620600885077</v>
      </c>
      <c r="J45" s="883">
        <f>+J43/J$11</f>
        <v>0.11960688801216725</v>
      </c>
      <c r="K45" s="883">
        <f>+K43/K$11</f>
        <v>0.10576342462799222</v>
      </c>
      <c r="L45" s="883">
        <f>+L43/L$11</f>
        <v>0.18792486939876896</v>
      </c>
      <c r="M45" s="883">
        <f>+M43/M$11</f>
        <v>0.19127363602748981</v>
      </c>
      <c r="N45" s="883">
        <f>+N43/N$11</f>
        <v>0.13820532816784498</v>
      </c>
      <c r="O45" s="883">
        <f>+O43/O$11</f>
        <v>6.3604063704007216E-2</v>
      </c>
      <c r="P45" s="883">
        <f>+P43/P$11</f>
        <v>0.20194282393219171</v>
      </c>
      <c r="Q45" s="883">
        <f>+Q43/Q$11</f>
        <v>0.21413869800484678</v>
      </c>
      <c r="R45" s="883">
        <f>+R43/R$11</f>
        <v>0.163994279575845</v>
      </c>
      <c r="S45" s="883">
        <f>+S43/S$11</f>
        <v>7.1551217217452785E-3</v>
      </c>
      <c r="T45" s="883">
        <f>+T43/T$11</f>
        <v>0.21917392869218108</v>
      </c>
      <c r="U45" s="883">
        <f>+U43/U$11</f>
        <v>0.22090056221347107</v>
      </c>
      <c r="V45" s="883">
        <f>+V43/V$11</f>
        <v>0.18360707275656729</v>
      </c>
      <c r="W45" s="883">
        <f>+W43/W$11</f>
        <v>8.2808357681790734E-2</v>
      </c>
      <c r="X45" s="883">
        <f>+X43/X$11</f>
        <v>0.23441374775188761</v>
      </c>
      <c r="Y45" s="883">
        <f>+Y43/Y$11</f>
        <v>0.23144861060178137</v>
      </c>
      <c r="Z45" s="883">
        <f>+Z43/Z$11</f>
        <v>0.20982884142700162</v>
      </c>
      <c r="AA45" s="883">
        <f>+AA43/AA$11</f>
        <v>0.15229438706258941</v>
      </c>
      <c r="AB45" s="883">
        <f>+AB43/AB$11</f>
        <v>0.25892565523074856</v>
      </c>
      <c r="AC45" s="883">
        <f>+AC43/AC$11</f>
        <v>0.25769797604081907</v>
      </c>
      <c r="AD45" s="883">
        <f>+AD43/AD$11</f>
        <v>0.24368383523480835</v>
      </c>
      <c r="AE45" s="883"/>
      <c r="AF45" s="883"/>
      <c r="AG45" s="883"/>
      <c r="AH45" s="883"/>
      <c r="AI45" s="883"/>
      <c r="AJ45" s="883">
        <f>+AJ43/AJ$11</f>
        <v>0.14833062177265333</v>
      </c>
      <c r="AK45" s="883">
        <f>+AK43/AK$11</f>
        <v>0.14349471971707986</v>
      </c>
      <c r="AL45" s="883">
        <f>+AL43/AL$11</f>
        <v>0.13026234480024129</v>
      </c>
      <c r="AM45" s="883">
        <f>+AM43/AM$11</f>
        <v>0.11545204537641805</v>
      </c>
      <c r="AN45" s="883">
        <f>+AN43/AN$11</f>
        <v>0.12380939518457114</v>
      </c>
      <c r="AO45" s="883">
        <f>+AO43/AO$11</f>
        <v>0.13252423904965929</v>
      </c>
      <c r="AP45" s="883">
        <f>+AP43/AP$11</f>
        <v>0.13149075758649742</v>
      </c>
      <c r="AQ45" s="883">
        <f>+AQ43/AQ$11</f>
        <v>0.12313730765350503</v>
      </c>
      <c r="AR45" s="883">
        <f>+AR43/AR$11</f>
        <v>0.15608553059684011</v>
      </c>
      <c r="AS45" s="883">
        <f>+AS43/AS$11</f>
        <v>0.1619241746735868</v>
      </c>
      <c r="AT45" s="883">
        <f>+AT43/AT$11</f>
        <v>0.16119721905039736</v>
      </c>
      <c r="AU45" s="883">
        <f>+AU43/AU$11</f>
        <v>0.19153518827059279</v>
      </c>
      <c r="AV45" s="883">
        <f>+AV43/AV$11</f>
        <v>0.22910253822775115</v>
      </c>
    </row>
    <row r="46" spans="1:51" ht="13" x14ac:dyDescent="0.3">
      <c r="A46" s="890" t="s">
        <v>661</v>
      </c>
      <c r="C46" s="883"/>
      <c r="D46" s="883"/>
      <c r="E46" s="883"/>
      <c r="F46" s="883"/>
      <c r="G46" s="883">
        <f>+(G43-C43)/(G$11-C$11)</f>
        <v>-0.94764938866884874</v>
      </c>
      <c r="H46" s="883">
        <f>+(H43-D43)/(H$11-D$11)</f>
        <v>-0.53144771120208667</v>
      </c>
      <c r="I46" s="883">
        <f>+(I43-E43)/(I$11-E$11)</f>
        <v>-1.3470015376729965</v>
      </c>
      <c r="J46" s="883">
        <f>+(J43-F43)/(J$11-F$11)</f>
        <v>0.53752873107713173</v>
      </c>
      <c r="K46" s="883">
        <f>+(K43-G43)/(K$11-G$11)</f>
        <v>0.31583200836268771</v>
      </c>
      <c r="L46" s="883">
        <f>+(L43-H43)/(L$11-H$11)</f>
        <v>0.14314505928187077</v>
      </c>
      <c r="M46" s="883">
        <f>+(M43-I43)/(M$11-I$11)</f>
        <v>0.26674370883984849</v>
      </c>
      <c r="N46" s="883">
        <f>+(N43-J43)/(N$11-J$11)</f>
        <v>0.17710512603146633</v>
      </c>
      <c r="O46" s="883">
        <f>+(O43-K43)/(O$11-K$11)</f>
        <v>-0.47078521150823455</v>
      </c>
      <c r="P46" s="883">
        <f>+(P43-L43)/(P$11-L$11)</f>
        <v>0.3599904082489086</v>
      </c>
      <c r="Q46" s="883">
        <f>+(Q43-M43)/(Q$11-M$11)</f>
        <v>0.51729384318896432</v>
      </c>
      <c r="R46" s="883">
        <f>+(R43-N43)/(R$11-N$11)</f>
        <v>0.34165785688289507</v>
      </c>
      <c r="S46" s="883">
        <f>+(S43-O43)/(S$11-O$11)</f>
        <v>-0.89929385331407508</v>
      </c>
      <c r="T46" s="883">
        <f>+(T43-P43)/(T$11-P$11)</f>
        <v>0.36339110529758017</v>
      </c>
      <c r="U46" s="883">
        <f>+(U43-Q43)/(U$11-Q$11)</f>
        <v>0.27962192660928364</v>
      </c>
      <c r="V46" s="883">
        <f>+(V43-R43)/(V$11-R$11)</f>
        <v>0.49932809958271329</v>
      </c>
      <c r="W46" s="883">
        <f>+(W43-S43)/(W$11-S$11)</f>
        <v>0.66727844305936512</v>
      </c>
      <c r="X46" s="883">
        <f>+(X43-T43)/(X$11-T$11)</f>
        <v>0.38487713479637259</v>
      </c>
      <c r="Y46" s="883">
        <f>+(Y43-U43)/(Y$11-U$11)</f>
        <v>0.32957490158843145</v>
      </c>
      <c r="Z46" s="883">
        <f>+(Z43-V43)/(Z$11-V$11)</f>
        <v>0.45991636091056259</v>
      </c>
      <c r="AA46" s="883">
        <f>+(AA43-W43)/(AA$11-W$11)</f>
        <v>0.6228791447470502</v>
      </c>
      <c r="AB46" s="883">
        <f>+(AB43-X43)/(AB$11-X$11)</f>
        <v>0.44256901718545222</v>
      </c>
      <c r="AC46" s="883">
        <f>+(AC43-Y43)/(AC$11-Y$11)</f>
        <v>0.48285580615452633</v>
      </c>
      <c r="AD46" s="883">
        <f>+(AD43-Z43)/(AD$11-Z$11)</f>
        <v>0.55674191763329228</v>
      </c>
      <c r="AE46" s="883"/>
      <c r="AF46" s="883"/>
      <c r="AG46" s="883"/>
      <c r="AH46" s="883"/>
      <c r="AI46" s="883"/>
      <c r="AJ46" s="883"/>
      <c r="AK46" s="883">
        <f>+(AK43-AJ43)/(AK$11-AJ$11)</f>
        <v>8.5991056032971164E-2</v>
      </c>
      <c r="AL46" s="883">
        <f>+(AL43-AK43)/(AL$11-AK$11)</f>
        <v>-0.29310044883615483</v>
      </c>
      <c r="AM46" s="883">
        <f>+(AM43-AL43)/(AM$11-AL$11)</f>
        <v>0.30124083922004385</v>
      </c>
      <c r="AN46" s="883">
        <f>+(AN43-AM43)/(AN$11-AM$11)</f>
        <v>0.58486630001896123</v>
      </c>
      <c r="AO46" s="883">
        <f>+(AO43-AN43)/(AO$11-AN$11)</f>
        <v>0.39756974157111208</v>
      </c>
      <c r="AP46" s="883">
        <f>+(AP43-AO43)/(AP$11-AO$11)</f>
        <v>0.12181436062763903</v>
      </c>
      <c r="AQ46" s="883">
        <f>+(AQ43-AP43)/(AQ$11-AP$11)</f>
        <v>-0.2160876344300911</v>
      </c>
      <c r="AR46" s="883">
        <f>+(AR43-AQ43)/(AR$11-AQ$11)</f>
        <v>0.22522202844786704</v>
      </c>
      <c r="AS46" s="883">
        <f>+(AS43-AR43)/(AS$11-AR$11)</f>
        <v>0.22177898149507019</v>
      </c>
      <c r="AT46" s="883">
        <f>+(AT43-AS43)/(AT$11-AS$11)</f>
        <v>0.15306054734159755</v>
      </c>
      <c r="AU46" s="883">
        <f>+(AU43-AT43)/(AU$11-AT$11)</f>
        <v>0.4665163705965637</v>
      </c>
      <c r="AV46" s="883">
        <f>+(AV43-AU43)/(AV$11-AU$11)</f>
        <v>0.52756939195879959</v>
      </c>
    </row>
    <row r="47" spans="1:51" x14ac:dyDescent="0.25">
      <c r="AT47" s="906"/>
    </row>
    <row r="48" spans="1:51" s="879" customFormat="1" ht="14" x14ac:dyDescent="0.4">
      <c r="A48" s="876" t="s">
        <v>658</v>
      </c>
      <c r="C48" s="880">
        <f>+Model!AA203</f>
        <v>4.024</v>
      </c>
      <c r="D48" s="880">
        <f>+Model!AB203</f>
        <v>4.1399999999999997</v>
      </c>
      <c r="E48" s="880">
        <f>+Model!AC203</f>
        <v>3.9500000000000011</v>
      </c>
      <c r="F48" s="880">
        <f>+Model!AD203</f>
        <v>4.5619999999999976</v>
      </c>
      <c r="G48" s="880">
        <f>+Model!AE203</f>
        <v>5.5220000000000002</v>
      </c>
      <c r="H48" s="880">
        <f>+Model!AF203</f>
        <v>6.1769999999999996</v>
      </c>
      <c r="I48" s="880">
        <f>+Model!AG203</f>
        <v>6.0860000000000003</v>
      </c>
      <c r="J48" s="880">
        <f>+Model!AH203</f>
        <v>5.8240000000000016</v>
      </c>
      <c r="K48" s="880">
        <f>+Model!AI203</f>
        <v>8.8930000000000007</v>
      </c>
      <c r="L48" s="880">
        <f>+Model!AJ203</f>
        <v>9.0739999999999981</v>
      </c>
      <c r="M48" s="880">
        <f>+Model!AK203</f>
        <v>12.854000000000003</v>
      </c>
      <c r="N48" s="880">
        <f>+Model!AL203</f>
        <v>8.5119999999999969</v>
      </c>
      <c r="O48" s="880">
        <f>+Model!AM203</f>
        <v>8.2859999999999996</v>
      </c>
      <c r="P48" s="880">
        <f>+Model!AN203</f>
        <v>0.60200000000000031</v>
      </c>
      <c r="Q48" s="880">
        <f>+Model!AO203</f>
        <v>5.5760000000000005</v>
      </c>
      <c r="R48" s="880">
        <f>+Model!AP203</f>
        <v>4.1059999999999999</v>
      </c>
      <c r="S48" s="880">
        <f>+Model!AQ203</f>
        <v>5.51</v>
      </c>
      <c r="T48" s="880">
        <f>+Model!AR203</f>
        <v>4.9410000000000007</v>
      </c>
      <c r="U48" s="880">
        <f>+Model!AS203</f>
        <v>4.7449999999999992</v>
      </c>
      <c r="V48" s="880">
        <f>+Model!AT203</f>
        <v>5.1240000000000006</v>
      </c>
      <c r="W48" s="880">
        <f>+Model!AU203</f>
        <v>8.4260000000000002</v>
      </c>
      <c r="X48" s="880">
        <f>+X235</f>
        <v>7.5960000000000001</v>
      </c>
      <c r="Y48" s="880">
        <f t="shared" ref="Y48:Z48" si="179">+Y235</f>
        <v>5.25</v>
      </c>
      <c r="Z48" s="880">
        <f t="shared" si="179"/>
        <v>10.19</v>
      </c>
      <c r="AA48" s="880">
        <f t="shared" ref="AA48" si="180">+AA235</f>
        <v>8.4489999999999998</v>
      </c>
      <c r="AB48" s="1182">
        <v>8</v>
      </c>
      <c r="AC48" s="1182">
        <v>10</v>
      </c>
      <c r="AD48" s="1182">
        <v>12</v>
      </c>
      <c r="AE48" s="880"/>
      <c r="AF48" s="880"/>
      <c r="AG48" s="880"/>
      <c r="AH48" s="880"/>
      <c r="AI48" s="880"/>
      <c r="AJ48" s="880">
        <f>+Model!BD203</f>
        <v>14.374000000000001</v>
      </c>
      <c r="AK48" s="880">
        <f>+Model!BE203</f>
        <v>22.827999999999999</v>
      </c>
      <c r="AL48" s="880">
        <f>+Model!BF203</f>
        <v>21.298999999999999</v>
      </c>
      <c r="AM48" s="880">
        <f>+Model!BG203</f>
        <v>18.616</v>
      </c>
      <c r="AN48" s="880">
        <f>+Model!BH203</f>
        <v>22.597999999999999</v>
      </c>
      <c r="AO48" s="880">
        <f>+Model!BI203</f>
        <v>20.817</v>
      </c>
      <c r="AP48" s="880">
        <f>+SUM(C48:F48)</f>
        <v>16.675999999999998</v>
      </c>
      <c r="AQ48" s="880">
        <f>+SUM(G48:J48)</f>
        <v>23.609000000000002</v>
      </c>
      <c r="AR48" s="880">
        <f>SUM(K48:N48)</f>
        <v>39.332999999999998</v>
      </c>
      <c r="AS48" s="880">
        <f>+SUM(O48:R48)</f>
        <v>18.57</v>
      </c>
      <c r="AT48" s="880">
        <f>+SUM(S48:V48)</f>
        <v>20.32</v>
      </c>
      <c r="AU48" s="881">
        <f>SUM(W48:Z48)</f>
        <v>31.461999999999996</v>
      </c>
      <c r="AV48" s="1182">
        <f t="shared" ref="AV48:AV49" si="181">+SUM(AA48:AD48)</f>
        <v>38.448999999999998</v>
      </c>
    </row>
    <row r="49" spans="1:58" s="876" customFormat="1" ht="14" x14ac:dyDescent="0.4">
      <c r="A49" s="882" t="s">
        <v>659</v>
      </c>
      <c r="C49" s="877">
        <f>+C43-C48</f>
        <v>4.7589999999999764</v>
      </c>
      <c r="D49" s="877">
        <f>+D43-D48</f>
        <v>51</v>
      </c>
      <c r="E49" s="877">
        <f>+E43-E48</f>
        <v>40.305000000000021</v>
      </c>
      <c r="F49" s="877">
        <f>+F43-F48</f>
        <v>20.821999999999974</v>
      </c>
      <c r="G49" s="877">
        <f>+G43-G48</f>
        <v>-2.2420000000000169</v>
      </c>
      <c r="H49" s="877">
        <f>+H43-H48</f>
        <v>47.535000000000018</v>
      </c>
      <c r="I49" s="877">
        <f>+I43-I48</f>
        <v>32.913000000000011</v>
      </c>
      <c r="J49" s="877">
        <f>+J43-J48</f>
        <v>26.342000000000152</v>
      </c>
      <c r="K49" s="877">
        <f>+K43-K48</f>
        <v>30.340999999999994</v>
      </c>
      <c r="L49" s="877">
        <f>+L43-L48</f>
        <v>61.612999999999957</v>
      </c>
      <c r="M49" s="877">
        <f>+M43-M48</f>
        <v>62.152999999999992</v>
      </c>
      <c r="N49" s="877">
        <f>+N43-N48</f>
        <v>46.426000000000059</v>
      </c>
      <c r="O49" s="877">
        <f>+O43-O48</f>
        <v>17.169999999999995</v>
      </c>
      <c r="P49" s="877">
        <f>+P43-P48</f>
        <v>82.095000000000027</v>
      </c>
      <c r="Q49" s="877">
        <f>+Q43-Q48</f>
        <v>84.730999999999995</v>
      </c>
      <c r="R49" s="877">
        <f>+R43-R48</f>
        <v>70.545999999999992</v>
      </c>
      <c r="S49" s="877">
        <f>+S43-S48</f>
        <v>-2.4679999999999946</v>
      </c>
      <c r="T49" s="877">
        <f>+T43-T48</f>
        <v>95.53600000000003</v>
      </c>
      <c r="U49" s="877">
        <f>+U43-U48</f>
        <v>99.14100000000002</v>
      </c>
      <c r="V49" s="877">
        <f>+V43-V48</f>
        <v>83.647999999999968</v>
      </c>
      <c r="W49" s="877">
        <f>+W43-W48</f>
        <v>31.336999999999961</v>
      </c>
      <c r="X49" s="877">
        <f>+X43-X48</f>
        <v>110.752</v>
      </c>
      <c r="Y49" s="877">
        <f>+Y43-Y48</f>
        <v>115.297</v>
      </c>
      <c r="Z49" s="877">
        <f>+Z43-Z48</f>
        <v>101.89700000000001</v>
      </c>
      <c r="AA49" s="877">
        <f>+AA43-AA48</f>
        <v>75.478000000000009</v>
      </c>
      <c r="AB49" s="877">
        <f>+AB43-AB48</f>
        <v>140.17164531458764</v>
      </c>
      <c r="AC49" s="877">
        <f>+AC43-AC48</f>
        <v>139.86612743650551</v>
      </c>
      <c r="AD49" s="877">
        <f>+AD43-AD48</f>
        <v>132.24890773999999</v>
      </c>
      <c r="AE49" s="877"/>
      <c r="AF49" s="877"/>
      <c r="AG49" s="877"/>
      <c r="AH49" s="877"/>
      <c r="AI49" s="877"/>
      <c r="AJ49" s="877">
        <f>+AJ43-AJ48</f>
        <v>111.44300000000001</v>
      </c>
      <c r="AK49" s="877">
        <f>+AK43-AK48</f>
        <v>109.12299999999993</v>
      </c>
      <c r="AL49" s="877">
        <f>+AL43-AL48</f>
        <v>102.22800000000001</v>
      </c>
      <c r="AM49" s="877">
        <f>+AM43-AM48</f>
        <v>82.139000000000038</v>
      </c>
      <c r="AN49" s="877">
        <f>+AN43-AN48</f>
        <v>87.408999999999963</v>
      </c>
      <c r="AO49" s="877">
        <f>+AO43-AO48</f>
        <v>100.80500000000001</v>
      </c>
      <c r="AP49" s="877">
        <f>+SUM(C49:F49)</f>
        <v>116.88599999999997</v>
      </c>
      <c r="AQ49" s="877">
        <f>+SUM(G49:J49)</f>
        <v>104.54800000000017</v>
      </c>
      <c r="AR49" s="877">
        <f>SUM(K49:N49)</f>
        <v>200.53300000000002</v>
      </c>
      <c r="AS49" s="877">
        <f>+SUM(O49:R49)</f>
        <v>254.542</v>
      </c>
      <c r="AT49" s="877">
        <f>+SUM(S49:V49)</f>
        <v>275.85700000000003</v>
      </c>
      <c r="AU49" s="877">
        <f>SUM(W49:Z49)</f>
        <v>359.28299999999996</v>
      </c>
      <c r="AV49" s="894">
        <f t="shared" si="181"/>
        <v>487.76468049109315</v>
      </c>
      <c r="AX49" s="900">
        <f>+(AU49/AQ49)^(1/4)-1</f>
        <v>0.36153946710865426</v>
      </c>
    </row>
    <row r="50" spans="1:58" ht="13" x14ac:dyDescent="0.3">
      <c r="A50" s="892" t="s">
        <v>657</v>
      </c>
      <c r="C50" s="883"/>
      <c r="D50" s="883"/>
      <c r="E50" s="883"/>
      <c r="F50" s="883"/>
      <c r="G50" s="883">
        <f t="shared" ref="G50:X50" si="182">+G49/C49-1</f>
        <v>-1.4711073754990602</v>
      </c>
      <c r="H50" s="883">
        <f t="shared" si="182"/>
        <v>-6.7941176470587838E-2</v>
      </c>
      <c r="I50" s="883">
        <f t="shared" si="182"/>
        <v>-0.18340156308150368</v>
      </c>
      <c r="J50" s="883">
        <f t="shared" si="182"/>
        <v>0.26510421669389039</v>
      </c>
      <c r="K50" s="883">
        <f t="shared" si="182"/>
        <v>-14.533006244424516</v>
      </c>
      <c r="L50" s="883">
        <f t="shared" si="182"/>
        <v>0.29616072367728896</v>
      </c>
      <c r="M50" s="883">
        <f t="shared" si="182"/>
        <v>0.88840275878831987</v>
      </c>
      <c r="N50" s="883">
        <f t="shared" si="182"/>
        <v>0.76243261711334709</v>
      </c>
      <c r="O50" s="883">
        <f t="shared" si="182"/>
        <v>-0.43409907386045288</v>
      </c>
      <c r="P50" s="883">
        <f t="shared" si="182"/>
        <v>0.33242984435103118</v>
      </c>
      <c r="Q50" s="883">
        <f t="shared" si="182"/>
        <v>0.3632648464273649</v>
      </c>
      <c r="R50" s="883">
        <f t="shared" si="182"/>
        <v>0.51953646663507302</v>
      </c>
      <c r="S50" s="883">
        <f t="shared" si="182"/>
        <v>-1.1437390797903317</v>
      </c>
      <c r="T50" s="883">
        <f t="shared" si="182"/>
        <v>0.1637249527985869</v>
      </c>
      <c r="U50" s="883">
        <f t="shared" si="182"/>
        <v>0.17006762578041124</v>
      </c>
      <c r="V50" s="883">
        <f t="shared" si="182"/>
        <v>0.18572279080316356</v>
      </c>
      <c r="W50" s="883">
        <f t="shared" si="182"/>
        <v>-13.697325769854144</v>
      </c>
      <c r="X50" s="883">
        <f t="shared" si="182"/>
        <v>0.15926980405292213</v>
      </c>
      <c r="Y50" s="883">
        <f t="shared" ref="Y50" si="183">+Y49/U49-1</f>
        <v>0.16295982489585503</v>
      </c>
      <c r="Z50" s="883">
        <f t="shared" ref="Z50" si="184">+Z49/V49-1</f>
        <v>0.21816421193573121</v>
      </c>
      <c r="AA50" s="883">
        <f t="shared" ref="AA50" si="185">+AA49/W49-1</f>
        <v>1.4085904840922905</v>
      </c>
      <c r="AB50" s="883">
        <f t="shared" ref="AB50" si="186">+AB49/X49-1</f>
        <v>0.2656353412542225</v>
      </c>
      <c r="AC50" s="883">
        <f t="shared" ref="AC50" si="187">+AC49/Y49-1</f>
        <v>0.21309424734820093</v>
      </c>
      <c r="AD50" s="883">
        <f t="shared" ref="AD50" si="188">+AD49/Z49-1</f>
        <v>0.29786851173243556</v>
      </c>
      <c r="AE50" s="883"/>
      <c r="AF50" s="883"/>
      <c r="AG50" s="883"/>
      <c r="AH50" s="883"/>
      <c r="AI50" s="883"/>
      <c r="AJ50" s="883"/>
      <c r="AK50" s="883">
        <f t="shared" ref="AK50:AP50" si="189">+AK49/AJ49-1</f>
        <v>-2.0817817180083797E-2</v>
      </c>
      <c r="AL50" s="883">
        <f t="shared" si="189"/>
        <v>-6.3185579575340989E-2</v>
      </c>
      <c r="AM50" s="883">
        <f t="shared" si="189"/>
        <v>-0.19651171890284436</v>
      </c>
      <c r="AN50" s="883">
        <f t="shared" si="189"/>
        <v>6.4159534447703503E-2</v>
      </c>
      <c r="AO50" s="883">
        <f t="shared" si="189"/>
        <v>0.15325652964797731</v>
      </c>
      <c r="AP50" s="883">
        <f t="shared" si="189"/>
        <v>0.15952581717176684</v>
      </c>
      <c r="AQ50" s="883">
        <f t="shared" ref="AQ50:AV50" si="190">+AQ49/AP49-1</f>
        <v>-0.10555584073370461</v>
      </c>
      <c r="AR50" s="883">
        <f t="shared" si="190"/>
        <v>0.91809503768603595</v>
      </c>
      <c r="AS50" s="883">
        <f t="shared" si="190"/>
        <v>0.26932724289767762</v>
      </c>
      <c r="AT50" s="883">
        <f t="shared" si="190"/>
        <v>8.3738636452923343E-2</v>
      </c>
      <c r="AU50" s="883">
        <f t="shared" si="190"/>
        <v>0.3024248070558293</v>
      </c>
      <c r="AV50" s="883">
        <f t="shared" si="190"/>
        <v>0.35760578844836299</v>
      </c>
    </row>
    <row r="51" spans="1:58" ht="13" x14ac:dyDescent="0.3">
      <c r="A51" s="892" t="str">
        <f>+A18</f>
        <v>Organic CC %</v>
      </c>
      <c r="C51" s="883"/>
      <c r="D51" s="883"/>
      <c r="E51" s="883"/>
      <c r="F51" s="883"/>
      <c r="G51" s="883">
        <f>+(G49-G193)/C49-1</f>
        <v>-1.4711073754990602</v>
      </c>
      <c r="H51" s="883">
        <f t="shared" ref="H51:AD51" si="191">+(H49-H193)/D49-1</f>
        <v>-6.7941176470587838E-2</v>
      </c>
      <c r="I51" s="883">
        <f t="shared" si="191"/>
        <v>-0.1886351425081717</v>
      </c>
      <c r="J51" s="883">
        <f t="shared" si="191"/>
        <v>0.24670351763424692</v>
      </c>
      <c r="K51" s="883">
        <f t="shared" si="191"/>
        <v>-14.369921407474237</v>
      </c>
      <c r="L51" s="883">
        <f t="shared" si="191"/>
        <v>0.27682625586183307</v>
      </c>
      <c r="M51" s="883">
        <f t="shared" si="191"/>
        <v>0.84518178985893178</v>
      </c>
      <c r="N51" s="883">
        <f t="shared" si="191"/>
        <v>0.73515239832270662</v>
      </c>
      <c r="O51" s="883">
        <f t="shared" si="191"/>
        <v>-0.44279905862778512</v>
      </c>
      <c r="P51" s="883">
        <f t="shared" si="191"/>
        <v>0.31612046601364141</v>
      </c>
      <c r="Q51" s="883">
        <f t="shared" si="191"/>
        <v>0.3632648464273649</v>
      </c>
      <c r="R51" s="883">
        <f t="shared" si="191"/>
        <v>0.51953646663507302</v>
      </c>
      <c r="S51" s="883">
        <f t="shared" si="191"/>
        <v>-1.1437390797903317</v>
      </c>
      <c r="T51" s="883">
        <f t="shared" si="191"/>
        <v>0.1637249527985869</v>
      </c>
      <c r="U51" s="883">
        <f t="shared" si="191"/>
        <v>0.17006762578041124</v>
      </c>
      <c r="V51" s="883">
        <f t="shared" si="191"/>
        <v>0.18572279080316356</v>
      </c>
      <c r="W51" s="883">
        <f t="shared" si="191"/>
        <v>-13.697325769854144</v>
      </c>
      <c r="X51" s="883">
        <f t="shared" si="191"/>
        <v>0.15926980405292213</v>
      </c>
      <c r="Y51" s="883">
        <f t="shared" si="191"/>
        <v>0.16295982489585503</v>
      </c>
      <c r="Z51" s="883">
        <f t="shared" si="191"/>
        <v>0.21816421193573121</v>
      </c>
      <c r="AA51" s="883">
        <f t="shared" si="191"/>
        <v>1.4085904840922905</v>
      </c>
      <c r="AB51" s="883">
        <f t="shared" si="191"/>
        <v>0.2656353412542225</v>
      </c>
      <c r="AC51" s="883">
        <f t="shared" si="191"/>
        <v>0.21309424734820093</v>
      </c>
      <c r="AD51" s="883">
        <f t="shared" si="191"/>
        <v>0.29786851173243556</v>
      </c>
      <c r="AE51" s="883"/>
      <c r="AF51" s="883"/>
      <c r="AG51" s="883"/>
      <c r="AH51" s="883"/>
      <c r="AI51" s="883"/>
      <c r="AJ51" s="883"/>
      <c r="AK51" s="883"/>
      <c r="AL51" s="883">
        <f t="shared" ref="AL51:AV51" si="192">+(AL49-AL193)/AK49-1</f>
        <v>-6.3185579575340989E-2</v>
      </c>
      <c r="AM51" s="883">
        <f t="shared" si="192"/>
        <v>-0.19651171890284436</v>
      </c>
      <c r="AN51" s="883">
        <f t="shared" si="192"/>
        <v>6.4159534447703503E-2</v>
      </c>
      <c r="AO51" s="883">
        <f t="shared" si="192"/>
        <v>0.15325652964797731</v>
      </c>
      <c r="AP51" s="883">
        <f t="shared" si="192"/>
        <v>0.15952581717176684</v>
      </c>
      <c r="AQ51" s="883">
        <f t="shared" si="192"/>
        <v>-0.11063838932473991</v>
      </c>
      <c r="AR51" s="883">
        <f t="shared" si="192"/>
        <v>0.88532686033394659</v>
      </c>
      <c r="AS51" s="883">
        <f t="shared" si="192"/>
        <v>0.26299992537224659</v>
      </c>
      <c r="AT51" s="883">
        <f t="shared" si="192"/>
        <v>8.3738636452923343E-2</v>
      </c>
      <c r="AU51" s="883">
        <f t="shared" si="192"/>
        <v>0.3024248070558293</v>
      </c>
      <c r="AV51" s="883">
        <f>+(AV49-AV193)/AU49-1</f>
        <v>0.35760578844836299</v>
      </c>
    </row>
    <row r="52" spans="1:58" ht="13" x14ac:dyDescent="0.3">
      <c r="A52" s="892" t="s">
        <v>660</v>
      </c>
      <c r="C52" s="883">
        <f>+C49/C$11</f>
        <v>1.8936469914131233E-2</v>
      </c>
      <c r="D52" s="883">
        <f>+D49/D$11</f>
        <v>0.20010044257509652</v>
      </c>
      <c r="E52" s="883">
        <f>+E49/E$11</f>
        <v>0.15914977966610341</v>
      </c>
      <c r="F52" s="883">
        <f>+F49/F$11</f>
        <v>8.1236296105557923E-2</v>
      </c>
      <c r="G52" s="883">
        <f>+G49/G$11</f>
        <v>-8.7196300574438387E-3</v>
      </c>
      <c r="H52" s="883">
        <f t="shared" ref="H52:W52" si="193">+H49/H$11</f>
        <v>0.18455965429280291</v>
      </c>
      <c r="I52" s="883">
        <f t="shared" si="193"/>
        <v>0.1279894537903358</v>
      </c>
      <c r="J52" s="883">
        <f t="shared" si="193"/>
        <v>9.7950775477725321E-2</v>
      </c>
      <c r="K52" s="883">
        <f t="shared" si="193"/>
        <v>8.1790489540651268E-2</v>
      </c>
      <c r="L52" s="883">
        <f t="shared" si="193"/>
        <v>0.16380119368860399</v>
      </c>
      <c r="M52" s="883">
        <f t="shared" si="193"/>
        <v>0.15849494447207027</v>
      </c>
      <c r="N52" s="883">
        <f t="shared" si="193"/>
        <v>0.11679203038917275</v>
      </c>
      <c r="O52" s="883">
        <f t="shared" si="193"/>
        <v>4.2900761069995443E-2</v>
      </c>
      <c r="P52" s="883">
        <f t="shared" si="193"/>
        <v>0.20047276359134283</v>
      </c>
      <c r="Q52" s="883">
        <f t="shared" si="193"/>
        <v>0.20091671764811889</v>
      </c>
      <c r="R52" s="883">
        <f t="shared" si="193"/>
        <v>0.15497428664948779</v>
      </c>
      <c r="S52" s="883">
        <f t="shared" si="193"/>
        <v>-5.8050099964718216E-3</v>
      </c>
      <c r="T52" s="883">
        <f t="shared" si="193"/>
        <v>0.20839595580616668</v>
      </c>
      <c r="U52" s="883">
        <f t="shared" si="193"/>
        <v>0.2108109142560666</v>
      </c>
      <c r="V52" s="883">
        <f t="shared" si="193"/>
        <v>0.17300910672217976</v>
      </c>
      <c r="W52" s="883">
        <f t="shared" si="193"/>
        <v>6.5260807903686227E-2</v>
      </c>
      <c r="X52" s="883">
        <f>+X49/X$11</f>
        <v>0.21936823090391944</v>
      </c>
      <c r="Y52" s="883">
        <f t="shared" ref="Y52:Z52" si="194">+Y49/Y$11</f>
        <v>0.22136868156448178</v>
      </c>
      <c r="Z52" s="883">
        <f t="shared" si="194"/>
        <v>0.19075298165609914</v>
      </c>
      <c r="AA52" s="883">
        <f t="shared" ref="AA52" si="195">+AA49/AA$11</f>
        <v>0.1369627860725407</v>
      </c>
      <c r="AB52" s="883">
        <f t="shared" ref="AB52:AD52" si="196">+AB49/AB$11</f>
        <v>0.24494588712161997</v>
      </c>
      <c r="AC52" s="883">
        <f t="shared" si="196"/>
        <v>0.24050276452446095</v>
      </c>
      <c r="AD52" s="883">
        <f t="shared" si="196"/>
        <v>0.22341188954986488</v>
      </c>
      <c r="AE52" s="883"/>
      <c r="AF52" s="883"/>
      <c r="AG52" s="883"/>
      <c r="AH52" s="883"/>
      <c r="AI52" s="883"/>
      <c r="AJ52" s="883">
        <f t="shared" ref="AJ52:AP52" si="197">+AJ49/AJ$11</f>
        <v>0.13138454646200279</v>
      </c>
      <c r="AK52" s="883">
        <f t="shared" si="197"/>
        <v>0.11866961447572889</v>
      </c>
      <c r="AL52" s="883">
        <f t="shared" si="197"/>
        <v>0.10780201076881221</v>
      </c>
      <c r="AM52" s="883">
        <f t="shared" si="197"/>
        <v>9.4120545433711511E-2</v>
      </c>
      <c r="AN52" s="883">
        <f t="shared" si="197"/>
        <v>9.837606173869097E-2</v>
      </c>
      <c r="AO52" s="883">
        <f t="shared" si="197"/>
        <v>0.10984119581490934</v>
      </c>
      <c r="AP52" s="883">
        <f t="shared" si="197"/>
        <v>0.11507336436452988</v>
      </c>
      <c r="AQ52" s="883">
        <f t="shared" ref="AQ52:AU52" si="198">+AQ49/AQ$11</f>
        <v>0.10045303214462456</v>
      </c>
      <c r="AR52" s="883">
        <f t="shared" si="198"/>
        <v>0.13049077279471097</v>
      </c>
      <c r="AS52" s="883">
        <f t="shared" si="198"/>
        <v>0.15091428889892841</v>
      </c>
      <c r="AT52" s="883">
        <f t="shared" si="198"/>
        <v>0.1501378609938836</v>
      </c>
      <c r="AU52" s="883">
        <f t="shared" si="198"/>
        <v>0.17611316087838202</v>
      </c>
      <c r="AV52" s="883">
        <f t="shared" ref="AV52" si="199">+AV49/AV$11</f>
        <v>0.21236263993377683</v>
      </c>
    </row>
    <row r="53" spans="1:58" ht="13" x14ac:dyDescent="0.3">
      <c r="A53" s="892" t="s">
        <v>661</v>
      </c>
      <c r="C53" s="883"/>
      <c r="D53" s="883"/>
      <c r="E53" s="883"/>
      <c r="F53" s="883"/>
      <c r="G53" s="883">
        <f t="shared" ref="G53:X53" si="200">+(G49-C49)/(G$11-C$11)</f>
        <v>-1.2056139142414342</v>
      </c>
      <c r="H53" s="883">
        <f t="shared" si="200"/>
        <v>-1.2895422404168366</v>
      </c>
      <c r="I53" s="883">
        <f t="shared" si="200"/>
        <v>-1.894413121476175</v>
      </c>
      <c r="J53" s="883">
        <f t="shared" si="200"/>
        <v>0.43750495363399927</v>
      </c>
      <c r="K53" s="883">
        <f t="shared" si="200"/>
        <v>0.28622001247375689</v>
      </c>
      <c r="L53" s="883">
        <f t="shared" si="200"/>
        <v>0.11871553134434024</v>
      </c>
      <c r="M53" s="883">
        <f t="shared" si="200"/>
        <v>0.21660703306146323</v>
      </c>
      <c r="N53" s="883">
        <f t="shared" si="200"/>
        <v>0.1561996904626721</v>
      </c>
      <c r="O53" s="883">
        <f t="shared" si="200"/>
        <v>-0.45004442014624446</v>
      </c>
      <c r="P53" s="883">
        <f t="shared" si="200"/>
        <v>0.6139320184641236</v>
      </c>
      <c r="Q53" s="883">
        <f t="shared" si="200"/>
        <v>0.76336342428238169</v>
      </c>
      <c r="R53" s="883">
        <f t="shared" si="200"/>
        <v>0.4180170187691708</v>
      </c>
      <c r="S53" s="883">
        <f t="shared" si="200"/>
        <v>-0.78791526239768928</v>
      </c>
      <c r="T53" s="883">
        <f t="shared" si="200"/>
        <v>0.27470977763243959</v>
      </c>
      <c r="U53" s="883">
        <f t="shared" si="200"/>
        <v>0.29673407190807671</v>
      </c>
      <c r="V53" s="883">
        <f t="shared" si="200"/>
        <v>0.46332838248815211</v>
      </c>
      <c r="W53" s="883">
        <f t="shared" si="200"/>
        <v>0.61429012738274646</v>
      </c>
      <c r="X53" s="883">
        <f t="shared" si="200"/>
        <v>0.3276979734240727</v>
      </c>
      <c r="Y53" s="883">
        <f t="shared" ref="Y53" si="201">+(Y49-U49)/(Y$11-U$11)</f>
        <v>0.31958538563487782</v>
      </c>
      <c r="Z53" s="883">
        <f t="shared" ref="Z53" si="202">+(Z49-V49)/(Z$11-V$11)</f>
        <v>0.35998342999171601</v>
      </c>
      <c r="AA53" s="883">
        <f t="shared" ref="AA53" si="203">+(AA49-W49)/(AA$11-W$11)</f>
        <v>0.62255475790869363</v>
      </c>
      <c r="AB53" s="883">
        <f t="shared" ref="AB53" si="204">+(AB49-X49)/(AB$11-X$11)</f>
        <v>0.43657384519836229</v>
      </c>
      <c r="AC53" s="883">
        <f t="shared" ref="AC53" si="205">+(AC49-Y49)/(AC$11-Y$11)</f>
        <v>0.40462820254657378</v>
      </c>
      <c r="AD53" s="883">
        <f t="shared" ref="AD53" si="206">+(AD49-Z49)/(AD$11-Z$11)</f>
        <v>0.52540973177346606</v>
      </c>
      <c r="AE53" s="883"/>
      <c r="AF53" s="883"/>
      <c r="AG53" s="883"/>
      <c r="AH53" s="883"/>
      <c r="AI53" s="883"/>
      <c r="AJ53" s="883"/>
      <c r="AK53" s="883">
        <f t="shared" ref="AK53:AP53" si="207">+(AK49-AJ49)/(AK$11-AJ$11)</f>
        <v>-3.2523516465031321E-2</v>
      </c>
      <c r="AL53" s="883">
        <f t="shared" si="207"/>
        <v>-0.23990118645836708</v>
      </c>
      <c r="AM53" s="883">
        <f t="shared" si="207"/>
        <v>0.26574860438659137</v>
      </c>
      <c r="AN53" s="883">
        <f t="shared" si="207"/>
        <v>0.33314368797015859</v>
      </c>
      <c r="AO53" s="883">
        <f t="shared" si="207"/>
        <v>0.45853157624508056</v>
      </c>
      <c r="AP53" s="883">
        <f t="shared" si="207"/>
        <v>0.16406170295251829</v>
      </c>
      <c r="AQ53" s="883">
        <f t="shared" ref="AQ53:AV53" si="208">+(AQ49-AP49)/(AQ$11-AP$11)</f>
        <v>-0.49326350297844906</v>
      </c>
      <c r="AR53" s="883">
        <f t="shared" si="208"/>
        <v>0.193520095968709</v>
      </c>
      <c r="AS53" s="883">
        <f t="shared" si="208"/>
        <v>0.36028577908822867</v>
      </c>
      <c r="AT53" s="883">
        <f t="shared" si="208"/>
        <v>0.14144745573753081</v>
      </c>
      <c r="AU53" s="883">
        <f t="shared" si="208"/>
        <v>0.41155142049518784</v>
      </c>
      <c r="AV53" s="883">
        <f t="shared" si="208"/>
        <v>0.50035921076966139</v>
      </c>
    </row>
    <row r="55" spans="1:58" x14ac:dyDescent="0.25">
      <c r="A55" s="888" t="s">
        <v>94</v>
      </c>
    </row>
    <row r="56" spans="1:58" x14ac:dyDescent="0.25">
      <c r="A56" s="884" t="str">
        <f>+Model!A452</f>
        <v>Purchase of property and equipment</v>
      </c>
      <c r="C56" s="877">
        <f>+Model!AA452*-1</f>
        <v>1.738</v>
      </c>
      <c r="D56" s="877">
        <f>+Model!AB452*-1</f>
        <v>0.17599999999999993</v>
      </c>
      <c r="E56" s="877">
        <f>+Model!AC452*-1</f>
        <v>0.48299999999999987</v>
      </c>
      <c r="F56" s="877">
        <f>+Model!AD452*-1</f>
        <v>3.0800000000000005</v>
      </c>
      <c r="G56" s="877">
        <f>+Model!AE452*-1</f>
        <v>1.246</v>
      </c>
      <c r="H56" s="877">
        <f>+Model!AF452*-1</f>
        <v>9.2000000000000082E-2</v>
      </c>
      <c r="I56" s="877">
        <f>+Model!AG452*-1</f>
        <v>0.15500000000000003</v>
      </c>
      <c r="J56" s="877">
        <f>+Model!AH452*-1</f>
        <v>0.18399999999999994</v>
      </c>
      <c r="K56" s="877">
        <f>+Model!AI452*-1</f>
        <v>1.1060000000000001</v>
      </c>
      <c r="L56" s="877">
        <f>+Model!AJ452*-1</f>
        <v>0.86299999999999999</v>
      </c>
      <c r="M56" s="877">
        <f>+Model!AK452*-1</f>
        <v>0.998</v>
      </c>
      <c r="N56" s="877">
        <f>+Model!AL452*-1</f>
        <v>0.60000000000000009</v>
      </c>
      <c r="O56" s="877">
        <f>+Model!AM452*-1</f>
        <v>1.278</v>
      </c>
      <c r="P56" s="877">
        <f>+Model!AN452*-1</f>
        <v>1.427</v>
      </c>
      <c r="Q56" s="877">
        <f>+Model!AO452*-1</f>
        <v>2.0289999999999999</v>
      </c>
      <c r="R56" s="877">
        <f>+Model!AP452*-1</f>
        <v>5.0139999999999993</v>
      </c>
      <c r="S56" s="877">
        <f>+Model!AQ452*-1</f>
        <v>0.91300000000000003</v>
      </c>
      <c r="T56" s="877">
        <f>+Model!AR452*-1</f>
        <v>1.91</v>
      </c>
      <c r="U56" s="877">
        <f>+Model!AS452*-1</f>
        <v>0.75600000000000023</v>
      </c>
      <c r="V56" s="877">
        <f>+Model!AT452*-1</f>
        <v>0.75700000000000012</v>
      </c>
      <c r="W56" s="877">
        <f>+W412*-1</f>
        <v>1.694</v>
      </c>
      <c r="X56" s="877">
        <f t="shared" ref="X56:Y58" si="209">+X412*-1</f>
        <v>9.000000000000119E-3</v>
      </c>
      <c r="Y56" s="877">
        <f t="shared" si="209"/>
        <v>-0.20300000000000007</v>
      </c>
      <c r="Z56" s="877">
        <f t="shared" ref="Z56" si="210">+Z412*-1</f>
        <v>0.77</v>
      </c>
      <c r="AA56" s="877">
        <f t="shared" ref="AA56" si="211">+AA412*-1</f>
        <v>0.66900000000000004</v>
      </c>
      <c r="AB56" s="877"/>
      <c r="AC56" s="877"/>
      <c r="AD56" s="877"/>
      <c r="AJ56" s="877">
        <f t="shared" ref="AJ56:AO56" si="212">+AJ412*-1</f>
        <v>8.3390000000000004</v>
      </c>
      <c r="AK56" s="877">
        <f t="shared" si="212"/>
        <v>7.4050000000000002</v>
      </c>
      <c r="AL56" s="877">
        <f t="shared" si="212"/>
        <v>9.9280000000000008</v>
      </c>
      <c r="AM56" s="877">
        <f t="shared" si="212"/>
        <v>5.008</v>
      </c>
      <c r="AN56" s="877">
        <f t="shared" si="212"/>
        <v>2.1739999999999999</v>
      </c>
      <c r="AO56" s="877">
        <f t="shared" si="212"/>
        <v>8.7430000000000003</v>
      </c>
      <c r="AP56" s="877">
        <f>+AP412*-1</f>
        <v>5.4770000000000003</v>
      </c>
      <c r="AQ56" s="877">
        <f>+SUM(G56:J56)</f>
        <v>1.677</v>
      </c>
      <c r="AR56" s="877">
        <f>SUM(K56:N56)</f>
        <v>3.5670000000000002</v>
      </c>
      <c r="AS56" s="877">
        <f>+SUM(O56:R56)</f>
        <v>9.7479999999999993</v>
      </c>
      <c r="AT56" s="877">
        <f>+SUM(S56:V56)</f>
        <v>4.3360000000000003</v>
      </c>
      <c r="AU56" s="878">
        <f t="shared" ref="AU56:AU59" si="213">SUM(W56:Z56)</f>
        <v>2.27</v>
      </c>
    </row>
    <row r="57" spans="1:58" x14ac:dyDescent="0.25">
      <c r="A57" s="884" t="str">
        <f>+Model!A453</f>
        <v>Capitalized software development costs</v>
      </c>
      <c r="C57" s="877">
        <f>+Model!AA453*-1</f>
        <v>9.3170000000000002</v>
      </c>
      <c r="D57" s="877">
        <f>+Model!AB453*-1</f>
        <v>5.9459999999999997</v>
      </c>
      <c r="E57" s="877">
        <f>+Model!AC453*-1</f>
        <v>5.3169999999999984</v>
      </c>
      <c r="F57" s="877">
        <f>+Model!AD453*-1</f>
        <v>5.7380000000000031</v>
      </c>
      <c r="G57" s="877">
        <f>+Model!AE453*-1</f>
        <v>7.1959999999999997</v>
      </c>
      <c r="H57" s="877">
        <f>+Model!AF453*-1</f>
        <v>5.782</v>
      </c>
      <c r="I57" s="877">
        <f>+Model!AG453*-1</f>
        <v>5.8469999999999995</v>
      </c>
      <c r="J57" s="877">
        <f>+Model!AH453*-1</f>
        <v>5.1630000000000003</v>
      </c>
      <c r="K57" s="877">
        <f>+Model!AI453*-1</f>
        <v>7.2039999999999997</v>
      </c>
      <c r="L57" s="877">
        <f>+Model!AJ453*-1</f>
        <v>6.8570000000000002</v>
      </c>
      <c r="M57" s="877">
        <f>+Model!AK453*-1</f>
        <v>6.1280000000000001</v>
      </c>
      <c r="N57" s="877">
        <f>+Model!AL453*-1</f>
        <v>11.074999999999999</v>
      </c>
      <c r="O57" s="877">
        <f>+Model!AM453*-1</f>
        <v>9.69</v>
      </c>
      <c r="P57" s="877">
        <f>+Model!AN453*-1</f>
        <v>9.6399999999999988</v>
      </c>
      <c r="Q57" s="877">
        <f>+Model!AO453*-1</f>
        <v>11.507000000000001</v>
      </c>
      <c r="R57" s="877">
        <f>+Model!AP453*-1</f>
        <v>11.354000000000003</v>
      </c>
      <c r="S57" s="877">
        <f>+Model!AQ453*-1</f>
        <v>9.7929999999999993</v>
      </c>
      <c r="T57" s="877">
        <f>+Model!AR453*-1</f>
        <v>11.606000000000002</v>
      </c>
      <c r="U57" s="877">
        <f>+Model!AS453*-1</f>
        <v>11.174999999999997</v>
      </c>
      <c r="V57" s="877">
        <f>+Model!AT453*-1</f>
        <v>12.399000000000001</v>
      </c>
      <c r="W57" s="877">
        <f>+W413*-1</f>
        <v>10.041</v>
      </c>
      <c r="X57" s="877">
        <f t="shared" si="209"/>
        <v>8.3610000000000007</v>
      </c>
      <c r="Y57" s="877">
        <f t="shared" si="209"/>
        <v>11.727999999999998</v>
      </c>
      <c r="Z57" s="877">
        <f t="shared" ref="Z57" si="214">+Z413*-1</f>
        <v>10.523</v>
      </c>
      <c r="AA57" s="877">
        <f t="shared" ref="AA57" si="215">+AA413*-1</f>
        <v>8.7929999999999993</v>
      </c>
      <c r="AB57" s="877"/>
      <c r="AC57" s="877"/>
      <c r="AD57" s="877"/>
      <c r="AJ57" s="877">
        <f t="shared" ref="AJ57:AO57" si="216">+AJ413*-1</f>
        <v>23.446000000000002</v>
      </c>
      <c r="AK57" s="877">
        <f t="shared" si="216"/>
        <v>26.553000000000001</v>
      </c>
      <c r="AL57" s="877">
        <f t="shared" si="216"/>
        <v>33.755000000000003</v>
      </c>
      <c r="AM57" s="877">
        <f t="shared" si="216"/>
        <v>36.265000000000001</v>
      </c>
      <c r="AN57" s="877">
        <f t="shared" si="216"/>
        <v>26.917999999999999</v>
      </c>
      <c r="AO57" s="877">
        <f t="shared" si="216"/>
        <v>24.533000000000001</v>
      </c>
      <c r="AP57" s="877">
        <f>+AP413*-1</f>
        <v>26.318000000000001</v>
      </c>
      <c r="AQ57" s="877">
        <f>+SUM(G57:J57)</f>
        <v>23.988</v>
      </c>
      <c r="AR57" s="877">
        <f>SUM(K57:N57)</f>
        <v>31.263999999999999</v>
      </c>
      <c r="AS57" s="877">
        <f>+SUM(O57:R57)</f>
        <v>42.191000000000003</v>
      </c>
      <c r="AT57" s="877">
        <f>+SUM(S57:V57)</f>
        <v>44.972999999999999</v>
      </c>
      <c r="AU57" s="878">
        <f t="shared" si="213"/>
        <v>40.652999999999999</v>
      </c>
    </row>
    <row r="58" spans="1:58" x14ac:dyDescent="0.25">
      <c r="A58" s="884" t="str">
        <f>+Model!A454</f>
        <v>Capitalized curriculum development costs</v>
      </c>
      <c r="C58" s="877">
        <f>+Model!AA454*-1</f>
        <v>6.6849999999999996</v>
      </c>
      <c r="D58" s="877">
        <f>+Model!AB454*-1</f>
        <v>3.4140000000000006</v>
      </c>
      <c r="E58" s="877">
        <f>+Model!AC454*-1</f>
        <v>3.6470000000000002</v>
      </c>
      <c r="F58" s="877">
        <f>+Model!AD454*-1</f>
        <v>2.8650000000000002</v>
      </c>
      <c r="G58" s="877">
        <f>+Model!AE454*-1</f>
        <v>8.5280000000000005</v>
      </c>
      <c r="H58" s="877">
        <f>+Model!AF454*-1</f>
        <v>3.4629999999999992</v>
      </c>
      <c r="I58" s="877">
        <f>+Model!AG454*-1</f>
        <v>3.4719999999999995</v>
      </c>
      <c r="J58" s="877">
        <f>+Model!AH454*-1</f>
        <v>3.8690000000000015</v>
      </c>
      <c r="K58" s="877">
        <f>+Model!AI454*-1</f>
        <v>4.4880000000000004</v>
      </c>
      <c r="L58" s="877">
        <f>+Model!AJ454*-1</f>
        <v>3.0359999999999996</v>
      </c>
      <c r="M58" s="877">
        <f>+Model!AK454*-1</f>
        <v>4.2180000000000009</v>
      </c>
      <c r="N58" s="877">
        <f>+Model!AL454*-1</f>
        <v>5.6899999999999977</v>
      </c>
      <c r="O58" s="877">
        <f>+Model!AM454*-1</f>
        <v>4.3760000000000003</v>
      </c>
      <c r="P58" s="877">
        <f>+Model!AN454*-1</f>
        <v>3.085</v>
      </c>
      <c r="Q58" s="877">
        <f>+Model!AO454*-1</f>
        <v>4.9000000000000004</v>
      </c>
      <c r="R58" s="877">
        <f>+Model!AP454*-1</f>
        <v>3.3259999999999987</v>
      </c>
      <c r="S58" s="877">
        <f>+Model!AQ454*-1</f>
        <v>6.1449999999999996</v>
      </c>
      <c r="T58" s="877">
        <f>+Model!AR454*-1</f>
        <v>3.3819999999999997</v>
      </c>
      <c r="U58" s="877">
        <f>+Model!AS454*-1</f>
        <v>3.2710000000000008</v>
      </c>
      <c r="V58" s="877">
        <f>+Model!AT454*-1</f>
        <v>4.4410000000000007</v>
      </c>
      <c r="W58" s="877">
        <f>+W414*-1</f>
        <v>4.4139999999999997</v>
      </c>
      <c r="X58" s="877">
        <f t="shared" si="209"/>
        <v>4.3170000000000002</v>
      </c>
      <c r="Y58" s="877">
        <f t="shared" si="209"/>
        <v>4.8030000000000008</v>
      </c>
      <c r="Z58" s="877">
        <f t="shared" ref="Z58" si="217">+Z414*-1</f>
        <v>5.1319999999999997</v>
      </c>
      <c r="AA58" s="877">
        <f t="shared" ref="AA58" si="218">+AA414*-1</f>
        <v>5.3230000000000004</v>
      </c>
      <c r="AB58" s="877"/>
      <c r="AC58" s="877"/>
      <c r="AD58" s="877"/>
      <c r="AJ58" s="877">
        <f t="shared" ref="AJ58:AO58" si="219">+AJ414*-1</f>
        <v>18.559999999999999</v>
      </c>
      <c r="AK58" s="877">
        <f t="shared" si="219"/>
        <v>15.411</v>
      </c>
      <c r="AL58" s="877">
        <f t="shared" si="219"/>
        <v>18.056999999999999</v>
      </c>
      <c r="AM58" s="877">
        <f t="shared" si="219"/>
        <v>21.626999999999999</v>
      </c>
      <c r="AN58" s="877">
        <f t="shared" si="219"/>
        <v>19.132000000000001</v>
      </c>
      <c r="AO58" s="877">
        <f t="shared" si="219"/>
        <v>9.9269999999999996</v>
      </c>
      <c r="AP58" s="877">
        <f>+AP414*-1</f>
        <v>16.611000000000001</v>
      </c>
      <c r="AQ58" s="877">
        <f>+SUM(G58:J58)</f>
        <v>19.332000000000001</v>
      </c>
      <c r="AR58" s="877">
        <f>SUM(K58:N58)</f>
        <v>17.431999999999999</v>
      </c>
      <c r="AS58" s="877">
        <f>+SUM(O58:R58)</f>
        <v>15.686999999999999</v>
      </c>
      <c r="AT58" s="877">
        <f>+SUM(S58:V58)</f>
        <v>17.239000000000001</v>
      </c>
      <c r="AU58" s="878">
        <f t="shared" si="213"/>
        <v>18.666</v>
      </c>
    </row>
    <row r="59" spans="1:58" s="879" customFormat="1" ht="14" x14ac:dyDescent="0.4">
      <c r="A59" s="876" t="str">
        <f>+Model!A480</f>
        <v>Repayments on finance lease obligations</v>
      </c>
      <c r="C59" s="880">
        <f>+Model!AA480*-1</f>
        <v>3.5179999999999998</v>
      </c>
      <c r="D59" s="880">
        <f>+Model!AB480*-1</f>
        <v>3.42</v>
      </c>
      <c r="E59" s="880">
        <f>+Model!AC480*-1</f>
        <v>6.96</v>
      </c>
      <c r="F59" s="880">
        <f>+Model!AD480*-1</f>
        <v>7.1359999999999992</v>
      </c>
      <c r="G59" s="880">
        <f>+Model!AE480*-1</f>
        <v>7.46</v>
      </c>
      <c r="H59" s="880">
        <f>+Model!AF480*-1</f>
        <v>7.4989999999999997</v>
      </c>
      <c r="I59" s="880">
        <f>+Model!AG480*-1</f>
        <v>6.6440000000000019</v>
      </c>
      <c r="J59" s="880">
        <f>+Model!AH480*-1</f>
        <v>6.0719999999999992</v>
      </c>
      <c r="K59" s="880">
        <f>+Model!AI480*-1</f>
        <v>5.6689999999999996</v>
      </c>
      <c r="L59" s="880">
        <f>+Model!AJ480*-1</f>
        <v>5.7860000000000005</v>
      </c>
      <c r="M59" s="880">
        <f>+Model!AK480*-1</f>
        <v>5.6480000000000015</v>
      </c>
      <c r="N59" s="880">
        <f>+Model!AL480*-1</f>
        <v>7.2119999999999997</v>
      </c>
      <c r="O59" s="880">
        <f>+Model!AM480*-1</f>
        <v>7.02</v>
      </c>
      <c r="P59" s="880">
        <f>+Model!AN480*-1</f>
        <v>7.7240000000000002</v>
      </c>
      <c r="Q59" s="880">
        <f>+Model!AO480*-1</f>
        <v>9.1750000000000007</v>
      </c>
      <c r="R59" s="880">
        <f>+Model!AP480*-1</f>
        <v>9.0920000000000023</v>
      </c>
      <c r="S59" s="880">
        <f>+Model!AQ480*-1</f>
        <v>9.3140000000000001</v>
      </c>
      <c r="T59" s="880">
        <f>+Model!AR480*-1</f>
        <v>10.623999999999999</v>
      </c>
      <c r="U59" s="880">
        <f>+Model!AS480*-1</f>
        <v>11.3</v>
      </c>
      <c r="V59" s="880">
        <f>+Model!AT480*-1</f>
        <v>11.718000000000004</v>
      </c>
      <c r="W59" s="880">
        <f>+W440*-1</f>
        <v>11.721</v>
      </c>
      <c r="X59" s="880">
        <f t="shared" ref="X59:Y59" si="220">+X440*-1</f>
        <v>10.77</v>
      </c>
      <c r="Y59" s="880">
        <f t="shared" si="220"/>
        <v>9.7210000000000036</v>
      </c>
      <c r="Z59" s="880">
        <f t="shared" ref="Z59" si="221">+Z440*-1</f>
        <v>8.7069999999999936</v>
      </c>
      <c r="AA59" s="880">
        <f t="shared" ref="AA59" si="222">+AA440*-1</f>
        <v>8.7469999999999999</v>
      </c>
      <c r="AB59" s="880"/>
      <c r="AC59" s="880"/>
      <c r="AD59" s="880"/>
      <c r="AE59" s="880"/>
      <c r="AF59" s="880"/>
      <c r="AG59" s="880"/>
      <c r="AH59" s="880"/>
      <c r="AI59" s="880"/>
      <c r="AJ59" s="880">
        <f t="shared" ref="AJ59:AO59" si="223">+AJ440*-1</f>
        <v>20.274999999999999</v>
      </c>
      <c r="AK59" s="880">
        <f t="shared" si="223"/>
        <v>22.693999999999999</v>
      </c>
      <c r="AL59" s="880">
        <f t="shared" si="223"/>
        <v>21.939</v>
      </c>
      <c r="AM59" s="880">
        <f t="shared" si="223"/>
        <v>17.402000000000001</v>
      </c>
      <c r="AN59" s="880">
        <f t="shared" si="223"/>
        <v>15.696999999999999</v>
      </c>
      <c r="AO59" s="880">
        <f t="shared" si="223"/>
        <v>13.301</v>
      </c>
      <c r="AP59" s="880">
        <f>+AP440*-1</f>
        <v>21.033999999999999</v>
      </c>
      <c r="AQ59" s="880">
        <f>+SUM(G59:J59)</f>
        <v>27.675000000000001</v>
      </c>
      <c r="AR59" s="880">
        <f>SUM(K59:N59)</f>
        <v>24.315000000000001</v>
      </c>
      <c r="AS59" s="880">
        <f>+SUM(O59:R59)</f>
        <v>33.011000000000003</v>
      </c>
      <c r="AT59" s="880">
        <f>+SUM(S59:V59)</f>
        <v>42.956000000000003</v>
      </c>
      <c r="AU59" s="881">
        <f t="shared" si="213"/>
        <v>40.918999999999997</v>
      </c>
      <c r="AV59" s="895"/>
    </row>
    <row r="60" spans="1:58" s="876" customFormat="1" x14ac:dyDescent="0.25">
      <c r="A60" s="882" t="s">
        <v>690</v>
      </c>
      <c r="C60" s="877">
        <f>+SUM(C56:C59)</f>
        <v>21.257999999999999</v>
      </c>
      <c r="D60" s="877">
        <f t="shared" ref="D60:W60" si="224">+SUM(D56:D59)</f>
        <v>12.956000000000001</v>
      </c>
      <c r="E60" s="877">
        <f t="shared" si="224"/>
        <v>16.407</v>
      </c>
      <c r="F60" s="877">
        <f t="shared" si="224"/>
        <v>18.819000000000003</v>
      </c>
      <c r="G60" s="877">
        <f t="shared" si="224"/>
        <v>24.43</v>
      </c>
      <c r="H60" s="877">
        <f t="shared" si="224"/>
        <v>16.835999999999999</v>
      </c>
      <c r="I60" s="877">
        <f t="shared" si="224"/>
        <v>16.118000000000002</v>
      </c>
      <c r="J60" s="877">
        <f t="shared" si="224"/>
        <v>15.288</v>
      </c>
      <c r="K60" s="877">
        <f t="shared" si="224"/>
        <v>18.467000000000002</v>
      </c>
      <c r="L60" s="877">
        <f t="shared" si="224"/>
        <v>16.542000000000002</v>
      </c>
      <c r="M60" s="877">
        <f t="shared" si="224"/>
        <v>16.992000000000004</v>
      </c>
      <c r="N60" s="877">
        <f t="shared" si="224"/>
        <v>24.576999999999995</v>
      </c>
      <c r="O60" s="877">
        <f t="shared" si="224"/>
        <v>22.364000000000001</v>
      </c>
      <c r="P60" s="877">
        <f t="shared" si="224"/>
        <v>21.875999999999998</v>
      </c>
      <c r="Q60" s="877">
        <f t="shared" si="224"/>
        <v>27.611000000000001</v>
      </c>
      <c r="R60" s="877">
        <f t="shared" si="224"/>
        <v>28.786000000000005</v>
      </c>
      <c r="S60" s="877">
        <f t="shared" si="224"/>
        <v>26.164999999999999</v>
      </c>
      <c r="T60" s="877">
        <f t="shared" si="224"/>
        <v>27.522000000000002</v>
      </c>
      <c r="U60" s="877">
        <f t="shared" si="224"/>
        <v>26.501999999999999</v>
      </c>
      <c r="V60" s="877">
        <f t="shared" si="224"/>
        <v>29.315000000000005</v>
      </c>
      <c r="W60" s="877">
        <f t="shared" si="224"/>
        <v>27.87</v>
      </c>
      <c r="X60" s="877">
        <f t="shared" ref="X60:Y60" si="225">+SUM(X56:X59)</f>
        <v>23.457000000000001</v>
      </c>
      <c r="Y60" s="877">
        <f t="shared" si="225"/>
        <v>26.049000000000003</v>
      </c>
      <c r="Z60" s="877">
        <f t="shared" ref="Z60" si="226">+SUM(Z56:Z59)</f>
        <v>25.131999999999991</v>
      </c>
      <c r="AA60" s="877">
        <f t="shared" ref="AA60" si="227">+SUM(AA56:AA59)</f>
        <v>23.532</v>
      </c>
      <c r="AB60" s="877">
        <f>+AB61*AB11</f>
        <v>26.587937092479617</v>
      </c>
      <c r="AC60" s="877">
        <f>+AC61*AC11</f>
        <v>29.085846286785504</v>
      </c>
      <c r="AD60" s="877">
        <f>+AD61*AD11</f>
        <v>27.849846151292709</v>
      </c>
      <c r="AE60" s="877"/>
      <c r="AF60" s="877"/>
      <c r="AG60" s="877"/>
      <c r="AH60" s="877"/>
      <c r="AI60" s="877"/>
      <c r="AJ60" s="877">
        <f t="shared" ref="AJ60:AO60" si="228">+SUM(AJ56:AJ59)</f>
        <v>70.62</v>
      </c>
      <c r="AK60" s="877">
        <f t="shared" si="228"/>
        <v>72.063000000000002</v>
      </c>
      <c r="AL60" s="877">
        <f t="shared" si="228"/>
        <v>83.679000000000002</v>
      </c>
      <c r="AM60" s="877">
        <f t="shared" si="228"/>
        <v>80.302000000000007</v>
      </c>
      <c r="AN60" s="877">
        <f t="shared" si="228"/>
        <v>63.921000000000006</v>
      </c>
      <c r="AO60" s="877">
        <f t="shared" si="228"/>
        <v>56.504000000000005</v>
      </c>
      <c r="AP60" s="877">
        <f>+SUM(AP56:AP59)</f>
        <v>69.44</v>
      </c>
      <c r="AQ60" s="877">
        <f>+SUM(AQ56:AQ59)</f>
        <v>72.671999999999997</v>
      </c>
      <c r="AR60" s="877">
        <f>+SUM(AR56:AR59)</f>
        <v>76.578000000000003</v>
      </c>
      <c r="AS60" s="877">
        <f>+SUM(AS56:AS59)</f>
        <v>100.637</v>
      </c>
      <c r="AT60" s="877">
        <f>+SUM(AT56:AT59)</f>
        <v>109.504</v>
      </c>
      <c r="AU60" s="878">
        <f>SUM(W60:Z60)</f>
        <v>102.508</v>
      </c>
      <c r="AV60" s="894">
        <f t="shared" ref="AV60" si="229">+SUM(AA60:AD60)</f>
        <v>107.05562953055782</v>
      </c>
      <c r="AW60" s="1252"/>
    </row>
    <row r="61" spans="1:58" ht="13" x14ac:dyDescent="0.3">
      <c r="A61" s="892" t="s">
        <v>660</v>
      </c>
      <c r="C61" s="883">
        <f>+C60/C$11</f>
        <v>8.4587408580500886E-2</v>
      </c>
      <c r="D61" s="883">
        <f>+D60/D$11</f>
        <v>5.0833359490253936E-2</v>
      </c>
      <c r="E61" s="883">
        <f>+E60/E$11</f>
        <v>6.4785273166648241E-2</v>
      </c>
      <c r="F61" s="883">
        <f>+F60/F$11</f>
        <v>7.342166249209954E-2</v>
      </c>
      <c r="G61" s="883">
        <f>+G60/G$11</f>
        <v>9.501363171425127E-2</v>
      </c>
      <c r="H61" s="883">
        <f t="shared" ref="H61:W61" si="230">+H60/H$11</f>
        <v>6.536754685334234E-2</v>
      </c>
      <c r="I61" s="883">
        <f t="shared" si="230"/>
        <v>6.2678395047325738E-2</v>
      </c>
      <c r="J61" s="883">
        <f t="shared" si="230"/>
        <v>5.6847295402910031E-2</v>
      </c>
      <c r="K61" s="883">
        <f t="shared" si="230"/>
        <v>4.9781647616993753E-2</v>
      </c>
      <c r="L61" s="883">
        <f t="shared" si="230"/>
        <v>4.3977721357455236E-2</v>
      </c>
      <c r="M61" s="883">
        <f t="shared" si="230"/>
        <v>4.3330910760050502E-2</v>
      </c>
      <c r="N61" s="883">
        <f t="shared" si="230"/>
        <v>6.1827375411939313E-2</v>
      </c>
      <c r="O61" s="883">
        <f t="shared" si="230"/>
        <v>5.5878428687791401E-2</v>
      </c>
      <c r="P61" s="883">
        <f t="shared" si="230"/>
        <v>5.3420332253172713E-2</v>
      </c>
      <c r="Q61" s="883">
        <f t="shared" si="230"/>
        <v>6.5472040823101485E-2</v>
      </c>
      <c r="R61" s="883">
        <f t="shared" si="230"/>
        <v>6.323660895716493E-2</v>
      </c>
      <c r="S61" s="883">
        <f t="shared" si="230"/>
        <v>6.1542984828883922E-2</v>
      </c>
      <c r="T61" s="883">
        <f t="shared" si="230"/>
        <v>6.0034683215723063E-2</v>
      </c>
      <c r="U61" s="883">
        <f t="shared" si="230"/>
        <v>5.6353182332377884E-2</v>
      </c>
      <c r="V61" s="883">
        <f t="shared" si="230"/>
        <v>6.0632196389162944E-2</v>
      </c>
      <c r="W61" s="883">
        <f t="shared" si="230"/>
        <v>5.8040613851860025E-2</v>
      </c>
      <c r="X61" s="883">
        <f t="shared" ref="X61:Y61" si="231">+X60/X$11</f>
        <v>4.6461649381620541E-2</v>
      </c>
      <c r="Y61" s="883">
        <f t="shared" si="231"/>
        <v>5.0013727903355565E-2</v>
      </c>
      <c r="Z61" s="883">
        <f t="shared" ref="Z61" si="232">+Z60/Z$11</f>
        <v>4.7047547376086456E-2</v>
      </c>
      <c r="AA61" s="883">
        <f t="shared" ref="AA61" si="233">+AA60/AA$11</f>
        <v>4.2701294176568365E-2</v>
      </c>
      <c r="AB61" s="1177">
        <f>+X61</f>
        <v>4.6461649381620541E-2</v>
      </c>
      <c r="AC61" s="1177">
        <f t="shared" ref="AC61:AD61" si="234">+Y61</f>
        <v>5.0013727903355565E-2</v>
      </c>
      <c r="AD61" s="1177">
        <f t="shared" si="234"/>
        <v>4.7047547376086456E-2</v>
      </c>
      <c r="AE61" s="883"/>
      <c r="AF61" s="883"/>
      <c r="AG61" s="883"/>
      <c r="AH61" s="883"/>
      <c r="AI61" s="883"/>
      <c r="AJ61" s="883">
        <f t="shared" ref="AJ61:AO61" si="235">+AJ60/AJ$11</f>
        <v>8.3256702270637334E-2</v>
      </c>
      <c r="AK61" s="883">
        <f t="shared" si="235"/>
        <v>7.836742417239681E-2</v>
      </c>
      <c r="AL61" s="883">
        <f t="shared" si="235"/>
        <v>8.8241621269353185E-2</v>
      </c>
      <c r="AM61" s="883">
        <f t="shared" si="235"/>
        <v>9.201558382032772E-2</v>
      </c>
      <c r="AN61" s="883">
        <f t="shared" si="235"/>
        <v>7.1941061474205967E-2</v>
      </c>
      <c r="AO61" s="883">
        <f t="shared" si="235"/>
        <v>6.1569038523145055E-2</v>
      </c>
      <c r="AP61" s="883">
        <f t="shared" ref="AP61:AV61" si="236">+AP60/AP$11</f>
        <v>6.8363143759500339E-2</v>
      </c>
      <c r="AQ61" s="883">
        <f t="shared" si="236"/>
        <v>6.9825561005606454E-2</v>
      </c>
      <c r="AR61" s="883">
        <f t="shared" si="236"/>
        <v>4.9830812879044228E-2</v>
      </c>
      <c r="AS61" s="883">
        <f t="shared" si="236"/>
        <v>5.9666229117086612E-2</v>
      </c>
      <c r="AT61" s="883">
        <f t="shared" si="236"/>
        <v>5.9598619321874123E-2</v>
      </c>
      <c r="AU61" s="883">
        <f t="shared" si="236"/>
        <v>5.0247320066135019E-2</v>
      </c>
      <c r="AV61" s="883">
        <f t="shared" si="236"/>
        <v>4.6609803899683555E-2</v>
      </c>
    </row>
    <row r="63" spans="1:58" s="876" customFormat="1" ht="14" x14ac:dyDescent="0.4">
      <c r="A63" s="876" t="s">
        <v>691</v>
      </c>
      <c r="C63" s="877">
        <f>+C49-C60</f>
        <v>-16.499000000000024</v>
      </c>
      <c r="D63" s="877">
        <f t="shared" ref="D63:W63" si="237">+D49-D60</f>
        <v>38.043999999999997</v>
      </c>
      <c r="E63" s="877">
        <f t="shared" si="237"/>
        <v>23.898000000000021</v>
      </c>
      <c r="F63" s="877">
        <f t="shared" si="237"/>
        <v>2.0029999999999717</v>
      </c>
      <c r="G63" s="877">
        <f t="shared" si="237"/>
        <v>-26.672000000000018</v>
      </c>
      <c r="H63" s="877">
        <f t="shared" si="237"/>
        <v>30.699000000000019</v>
      </c>
      <c r="I63" s="877">
        <f t="shared" si="237"/>
        <v>16.795000000000009</v>
      </c>
      <c r="J63" s="877">
        <f t="shared" si="237"/>
        <v>11.054000000000151</v>
      </c>
      <c r="K63" s="877">
        <f t="shared" si="237"/>
        <v>11.873999999999992</v>
      </c>
      <c r="L63" s="877">
        <f t="shared" si="237"/>
        <v>45.070999999999955</v>
      </c>
      <c r="M63" s="877">
        <f t="shared" si="237"/>
        <v>45.160999999999987</v>
      </c>
      <c r="N63" s="877">
        <f t="shared" si="237"/>
        <v>21.849000000000064</v>
      </c>
      <c r="O63" s="877">
        <f t="shared" si="237"/>
        <v>-5.1940000000000062</v>
      </c>
      <c r="P63" s="877">
        <f t="shared" si="237"/>
        <v>60.21900000000003</v>
      </c>
      <c r="Q63" s="877">
        <f t="shared" si="237"/>
        <v>57.11999999999999</v>
      </c>
      <c r="R63" s="877">
        <f t="shared" si="237"/>
        <v>41.759999999999991</v>
      </c>
      <c r="S63" s="877">
        <f t="shared" si="237"/>
        <v>-28.632999999999996</v>
      </c>
      <c r="T63" s="877">
        <f t="shared" si="237"/>
        <v>68.014000000000024</v>
      </c>
      <c r="U63" s="877">
        <f t="shared" si="237"/>
        <v>72.639000000000024</v>
      </c>
      <c r="V63" s="877">
        <f t="shared" si="237"/>
        <v>54.332999999999963</v>
      </c>
      <c r="W63" s="877">
        <f t="shared" si="237"/>
        <v>3.4669999999999597</v>
      </c>
      <c r="X63" s="877">
        <f>+X49-X60</f>
        <v>87.294999999999987</v>
      </c>
      <c r="Y63" s="877">
        <f t="shared" ref="Y63:Z63" si="238">+Y49-Y60</f>
        <v>89.24799999999999</v>
      </c>
      <c r="Z63" s="877">
        <f t="shared" si="238"/>
        <v>76.765000000000015</v>
      </c>
      <c r="AA63" s="877">
        <f t="shared" ref="AA63" si="239">+AA49-AA60</f>
        <v>51.946000000000012</v>
      </c>
      <c r="AB63" s="877">
        <f t="shared" ref="AB63:AD63" si="240">+AB49-AB60</f>
        <v>113.58370822210802</v>
      </c>
      <c r="AC63" s="877">
        <f t="shared" si="240"/>
        <v>110.78028114972</v>
      </c>
      <c r="AD63" s="877">
        <f t="shared" si="240"/>
        <v>104.39906158870728</v>
      </c>
      <c r="AE63" s="877"/>
      <c r="AF63" s="877"/>
      <c r="AG63" s="877"/>
      <c r="AH63" s="877"/>
      <c r="AI63" s="877"/>
      <c r="AJ63" s="877">
        <f t="shared" ref="AJ63:AN63" si="241">+AJ49-AJ60</f>
        <v>40.823000000000008</v>
      </c>
      <c r="AK63" s="877">
        <f t="shared" si="241"/>
        <v>37.059999999999931</v>
      </c>
      <c r="AL63" s="877">
        <f t="shared" si="241"/>
        <v>18.549000000000007</v>
      </c>
      <c r="AM63" s="877">
        <f t="shared" si="241"/>
        <v>1.8370000000000317</v>
      </c>
      <c r="AN63" s="877">
        <f t="shared" si="241"/>
        <v>23.487999999999957</v>
      </c>
      <c r="AO63" s="877">
        <f>+AO49-AO60</f>
        <v>44.301000000000002</v>
      </c>
      <c r="AP63" s="877">
        <f>+SUM(C63:F63)</f>
        <v>47.44599999999997</v>
      </c>
      <c r="AQ63" s="877">
        <f>+SUM(G63:J63)</f>
        <v>31.876000000000161</v>
      </c>
      <c r="AR63" s="877">
        <f>SUM(K63:N63)</f>
        <v>123.955</v>
      </c>
      <c r="AS63" s="877">
        <f>+SUM(O63:R63)</f>
        <v>153.905</v>
      </c>
      <c r="AT63" s="877">
        <f>+SUM(S63:V63)</f>
        <v>166.35300000000001</v>
      </c>
      <c r="AU63" s="878">
        <f>SUM(W63:Z63)</f>
        <v>256.77499999999998</v>
      </c>
      <c r="AV63" s="894">
        <f t="shared" ref="AV63" si="242">+SUM(AA63:AD63)</f>
        <v>380.70905096053531</v>
      </c>
      <c r="AX63" s="900">
        <f>+(AU63/AQ63)^(1/4)-1</f>
        <v>0.68469865808487484</v>
      </c>
      <c r="BE63" s="1108"/>
      <c r="BF63" s="1108"/>
    </row>
    <row r="64" spans="1:58" ht="13" x14ac:dyDescent="0.3">
      <c r="A64" s="890" t="s">
        <v>657</v>
      </c>
      <c r="C64" s="883"/>
      <c r="D64" s="883"/>
      <c r="E64" s="883"/>
      <c r="F64" s="883"/>
      <c r="G64" s="883">
        <f t="shared" ref="G64:X64" si="243">+G63/C63-1</f>
        <v>0.61658282320140501</v>
      </c>
      <c r="H64" s="883">
        <f t="shared" si="243"/>
        <v>-0.193065923667332</v>
      </c>
      <c r="I64" s="883">
        <f t="shared" si="243"/>
        <v>-0.29722152481379216</v>
      </c>
      <c r="J64" s="883">
        <f t="shared" si="243"/>
        <v>4.5187219171244672</v>
      </c>
      <c r="K64" s="883">
        <f t="shared" si="243"/>
        <v>-1.4451859628074379</v>
      </c>
      <c r="L64" s="883">
        <f t="shared" si="243"/>
        <v>0.46815857194045174</v>
      </c>
      <c r="M64" s="883">
        <f t="shared" si="243"/>
        <v>1.6889550461446836</v>
      </c>
      <c r="N64" s="883">
        <f t="shared" si="243"/>
        <v>0.97656956757732627</v>
      </c>
      <c r="O64" s="883">
        <f t="shared" si="243"/>
        <v>-1.4374263095839659</v>
      </c>
      <c r="P64" s="883">
        <f t="shared" si="243"/>
        <v>0.33609194382197183</v>
      </c>
      <c r="Q64" s="883">
        <f t="shared" si="243"/>
        <v>0.26480813090941324</v>
      </c>
      <c r="R64" s="883">
        <f t="shared" si="243"/>
        <v>0.91130028834270993</v>
      </c>
      <c r="S64" s="883">
        <f t="shared" si="243"/>
        <v>4.5127069695802779</v>
      </c>
      <c r="T64" s="883">
        <f t="shared" si="243"/>
        <v>0.12944419535362583</v>
      </c>
      <c r="U64" s="883">
        <f t="shared" si="243"/>
        <v>0.27169117647058894</v>
      </c>
      <c r="V64" s="883">
        <f t="shared" si="243"/>
        <v>0.30107758620689595</v>
      </c>
      <c r="W64" s="883">
        <f t="shared" si="243"/>
        <v>-1.1210840638424182</v>
      </c>
      <c r="X64" s="883">
        <f t="shared" si="243"/>
        <v>0.28348575293321909</v>
      </c>
      <c r="Y64" s="883">
        <f t="shared" ref="Y64" si="244">+Y63/U63-1</f>
        <v>0.22865127548562003</v>
      </c>
      <c r="Z64" s="883">
        <f t="shared" ref="Z64" si="245">+Z63/V63-1</f>
        <v>0.41286142859772279</v>
      </c>
      <c r="AA64" s="883">
        <f t="shared" ref="AA64" si="246">+AA63/W63-1</f>
        <v>13.982982405538106</v>
      </c>
      <c r="AB64" s="883">
        <f t="shared" ref="AB64" si="247">+AB63/X63-1</f>
        <v>0.30114792625130904</v>
      </c>
      <c r="AC64" s="883">
        <f t="shared" ref="AC64" si="248">+AC63/Y63-1</f>
        <v>0.24126345856176057</v>
      </c>
      <c r="AD64" s="883">
        <f t="shared" ref="AD64" si="249">+AD63/Z63-1</f>
        <v>0.35998256482390745</v>
      </c>
      <c r="AE64" s="883"/>
      <c r="AF64" s="883"/>
      <c r="AG64" s="883"/>
      <c r="AH64" s="883"/>
      <c r="AI64" s="883"/>
      <c r="AJ64" s="883"/>
      <c r="AK64" s="883">
        <f t="shared" ref="AK64:AN64" si="250">+AK63/AJ63-1</f>
        <v>-9.2178428826888648E-2</v>
      </c>
      <c r="AL64" s="883">
        <f t="shared" si="250"/>
        <v>-0.49948731786292389</v>
      </c>
      <c r="AM64" s="883">
        <f t="shared" si="250"/>
        <v>-0.90096501159091968</v>
      </c>
      <c r="AN64" s="883">
        <f t="shared" si="250"/>
        <v>11.786064235165787</v>
      </c>
      <c r="AO64" s="883">
        <f t="shared" ref="AO64:AU64" si="251">+AO63/AN63-1</f>
        <v>0.88611205722071196</v>
      </c>
      <c r="AP64" s="883">
        <f t="shared" si="251"/>
        <v>7.099162547120752E-2</v>
      </c>
      <c r="AQ64" s="883">
        <f t="shared" si="251"/>
        <v>-0.3281625426800957</v>
      </c>
      <c r="AR64" s="883">
        <f t="shared" si="251"/>
        <v>2.8886623164763261</v>
      </c>
      <c r="AS64" s="883">
        <f t="shared" si="251"/>
        <v>0.24161994272114873</v>
      </c>
      <c r="AT64" s="883">
        <f t="shared" si="251"/>
        <v>8.0881062993405139E-2</v>
      </c>
      <c r="AU64" s="883">
        <f t="shared" si="251"/>
        <v>0.54355497045439494</v>
      </c>
      <c r="AV64" s="883">
        <f t="shared" ref="AV64" si="252">+AV63/AU63-1</f>
        <v>0.48265622027274979</v>
      </c>
    </row>
    <row r="65" spans="1:54" ht="13" x14ac:dyDescent="0.3">
      <c r="A65" s="890" t="str">
        <f>+A51</f>
        <v>Organic CC %</v>
      </c>
      <c r="C65" s="883"/>
      <c r="D65" s="883"/>
      <c r="E65" s="883"/>
      <c r="F65" s="883"/>
      <c r="G65" s="883">
        <f>+(G63-G193)/C63-1</f>
        <v>0.61658282320140501</v>
      </c>
      <c r="H65" s="883">
        <f t="shared" ref="H65:AD65" si="253">+(H63-H193)/D63-1</f>
        <v>-0.193065923667332</v>
      </c>
      <c r="I65" s="883">
        <f t="shared" si="253"/>
        <v>-0.306048180550333</v>
      </c>
      <c r="J65" s="883">
        <f t="shared" si="253"/>
        <v>4.3274391633451854</v>
      </c>
      <c r="K65" s="883">
        <f t="shared" si="253"/>
        <v>-1.4314773468640318</v>
      </c>
      <c r="L65" s="883">
        <f t="shared" si="253"/>
        <v>0.43822066101150603</v>
      </c>
      <c r="M65" s="883">
        <f t="shared" si="253"/>
        <v>1.6042553289447463</v>
      </c>
      <c r="N65" s="883">
        <f t="shared" si="253"/>
        <v>0.91156002140552861</v>
      </c>
      <c r="O65" s="883">
        <f t="shared" si="253"/>
        <v>-1.4596569174520497</v>
      </c>
      <c r="P65" s="883">
        <f t="shared" si="253"/>
        <v>0.31379668240106673</v>
      </c>
      <c r="Q65" s="883">
        <f t="shared" si="253"/>
        <v>0.26480813090941324</v>
      </c>
      <c r="R65" s="883">
        <f t="shared" si="253"/>
        <v>0.91130028834270993</v>
      </c>
      <c r="S65" s="883">
        <f t="shared" si="253"/>
        <v>4.5127069695802779</v>
      </c>
      <c r="T65" s="883">
        <f t="shared" si="253"/>
        <v>0.12944419535362583</v>
      </c>
      <c r="U65" s="883">
        <f t="shared" si="253"/>
        <v>0.27169117647058894</v>
      </c>
      <c r="V65" s="883">
        <f t="shared" si="253"/>
        <v>0.30107758620689595</v>
      </c>
      <c r="W65" s="883">
        <f t="shared" si="253"/>
        <v>-1.1210840638424182</v>
      </c>
      <c r="X65" s="883">
        <f t="shared" si="253"/>
        <v>0.28348575293321909</v>
      </c>
      <c r="Y65" s="883">
        <f t="shared" si="253"/>
        <v>0.22865127548562003</v>
      </c>
      <c r="Z65" s="883">
        <f t="shared" si="253"/>
        <v>0.41286142859772279</v>
      </c>
      <c r="AA65" s="883">
        <f t="shared" si="253"/>
        <v>13.982982405538106</v>
      </c>
      <c r="AB65" s="883">
        <f t="shared" si="253"/>
        <v>0.30114792625130904</v>
      </c>
      <c r="AC65" s="883">
        <f t="shared" si="253"/>
        <v>0.24126345856176057</v>
      </c>
      <c r="AD65" s="883">
        <f t="shared" si="253"/>
        <v>0.35998256482390745</v>
      </c>
      <c r="AE65" s="883"/>
      <c r="AF65" s="883"/>
      <c r="AG65" s="883"/>
      <c r="AH65" s="883"/>
      <c r="AI65" s="883"/>
      <c r="AJ65" s="883"/>
      <c r="AK65" s="883"/>
      <c r="AL65" s="883">
        <f t="shared" ref="AL65:AV65" si="254">+(AL63-AL193)/AK63-1</f>
        <v>-0.49948731786292389</v>
      </c>
      <c r="AM65" s="883">
        <f t="shared" si="254"/>
        <v>-0.90096501159091968</v>
      </c>
      <c r="AN65" s="883">
        <f t="shared" si="254"/>
        <v>11.786064235165787</v>
      </c>
      <c r="AO65" s="883">
        <f t="shared" si="254"/>
        <v>0.88611205722071196</v>
      </c>
      <c r="AP65" s="883">
        <f t="shared" si="254"/>
        <v>7.099162547120752E-2</v>
      </c>
      <c r="AQ65" s="883">
        <f t="shared" si="254"/>
        <v>-0.34068369882838523</v>
      </c>
      <c r="AR65" s="883">
        <f t="shared" si="254"/>
        <v>2.7811881225433916</v>
      </c>
      <c r="AS65" s="883">
        <f t="shared" si="254"/>
        <v>0.23138367984085151</v>
      </c>
      <c r="AT65" s="883">
        <f t="shared" si="254"/>
        <v>8.0881062993405139E-2</v>
      </c>
      <c r="AU65" s="883">
        <f t="shared" si="254"/>
        <v>0.54355497045439494</v>
      </c>
      <c r="AV65" s="883">
        <f>+(AV63-AV193)/AU63-1</f>
        <v>0.48265622027274979</v>
      </c>
    </row>
    <row r="66" spans="1:54" ht="13" x14ac:dyDescent="0.3">
      <c r="A66" s="890" t="s">
        <v>660</v>
      </c>
      <c r="C66" s="883">
        <f>+C63/C$11</f>
        <v>-6.565093866636966E-2</v>
      </c>
      <c r="D66" s="883">
        <f>+D63/D$11</f>
        <v>0.14926708308484257</v>
      </c>
      <c r="E66" s="883">
        <f>+E63/E$11</f>
        <v>9.4364506499455172E-2</v>
      </c>
      <c r="F66" s="883">
        <f>+F63/F$11</f>
        <v>7.814633613458381E-3</v>
      </c>
      <c r="G66" s="883">
        <f>+G63/G$11</f>
        <v>-0.10373326177169512</v>
      </c>
      <c r="H66" s="883">
        <f t="shared" ref="H66:W66" si="255">+H63/H$11</f>
        <v>0.11919210743946056</v>
      </c>
      <c r="I66" s="883">
        <f t="shared" si="255"/>
        <v>6.5311058743010061E-2</v>
      </c>
      <c r="J66" s="883">
        <f t="shared" si="255"/>
        <v>4.1103480074815284E-2</v>
      </c>
      <c r="K66" s="883">
        <f t="shared" si="255"/>
        <v>3.2008841923657515E-2</v>
      </c>
      <c r="L66" s="883">
        <f t="shared" si="255"/>
        <v>0.11982347233114876</v>
      </c>
      <c r="M66" s="883">
        <f t="shared" si="255"/>
        <v>0.11516403371201976</v>
      </c>
      <c r="N66" s="883">
        <f t="shared" si="255"/>
        <v>5.4964654977233442E-2</v>
      </c>
      <c r="O66" s="883">
        <f t="shared" si="255"/>
        <v>-1.297766761779596E-2</v>
      </c>
      <c r="P66" s="883">
        <f t="shared" si="255"/>
        <v>0.14705243133817011</v>
      </c>
      <c r="Q66" s="883">
        <f t="shared" si="255"/>
        <v>0.1354446768250174</v>
      </c>
      <c r="R66" s="883">
        <f t="shared" si="255"/>
        <v>9.1737677692322883E-2</v>
      </c>
      <c r="S66" s="883">
        <f t="shared" si="255"/>
        <v>-6.734799482535575E-2</v>
      </c>
      <c r="T66" s="883">
        <f t="shared" si="255"/>
        <v>0.14836127259044363</v>
      </c>
      <c r="U66" s="883">
        <f t="shared" si="255"/>
        <v>0.15445773192368872</v>
      </c>
      <c r="V66" s="883">
        <f t="shared" si="255"/>
        <v>0.11237691033301681</v>
      </c>
      <c r="W66" s="883">
        <f t="shared" si="255"/>
        <v>7.2201940518262057E-3</v>
      </c>
      <c r="X66" s="883">
        <f>+X63/X$11</f>
        <v>0.17290658152229887</v>
      </c>
      <c r="Y66" s="883">
        <f t="shared" ref="Y66:Z66" si="256">+Y63/Y$11</f>
        <v>0.17135495366112621</v>
      </c>
      <c r="Z66" s="883">
        <f t="shared" si="256"/>
        <v>0.14370543428001267</v>
      </c>
      <c r="AA66" s="883">
        <f t="shared" ref="AA66" si="257">+AA63/AA$11</f>
        <v>9.4261491895972327E-2</v>
      </c>
      <c r="AB66" s="883">
        <f t="shared" ref="AB66:AD66" si="258">+AB63/AB$11</f>
        <v>0.1984842377399994</v>
      </c>
      <c r="AC66" s="883">
        <f t="shared" si="258"/>
        <v>0.19048903662110536</v>
      </c>
      <c r="AD66" s="883">
        <f t="shared" si="258"/>
        <v>0.17636434217377842</v>
      </c>
      <c r="AE66" s="883"/>
      <c r="AF66" s="883"/>
      <c r="AG66" s="883"/>
      <c r="AH66" s="883"/>
      <c r="AI66" s="883"/>
      <c r="AJ66" s="883">
        <f t="shared" ref="AJ66:AN66" si="259">+AJ63/AJ$11</f>
        <v>4.8127844191365454E-2</v>
      </c>
      <c r="AK66" s="883">
        <f t="shared" si="259"/>
        <v>4.030219030333209E-2</v>
      </c>
      <c r="AL66" s="883">
        <f t="shared" si="259"/>
        <v>1.9560389499459038E-2</v>
      </c>
      <c r="AM66" s="883">
        <f t="shared" si="259"/>
        <v>2.104961613383788E-3</v>
      </c>
      <c r="AN66" s="883">
        <f t="shared" si="259"/>
        <v>2.643500026448501E-2</v>
      </c>
      <c r="AO66" s="883">
        <f t="shared" ref="AO66:AU66" si="260">+AO63/AO$11</f>
        <v>4.8272157291764282E-2</v>
      </c>
      <c r="AP66" s="883">
        <f t="shared" si="260"/>
        <v>4.6710220605029537E-2</v>
      </c>
      <c r="AQ66" s="883">
        <f t="shared" si="260"/>
        <v>3.0627471139018092E-2</v>
      </c>
      <c r="AR66" s="883">
        <f t="shared" si="260"/>
        <v>8.0659959915666726E-2</v>
      </c>
      <c r="AS66" s="883">
        <f t="shared" si="260"/>
        <v>9.124805978184182E-2</v>
      </c>
      <c r="AT66" s="883">
        <f t="shared" si="260"/>
        <v>9.0539241672009482E-2</v>
      </c>
      <c r="AU66" s="883">
        <f t="shared" si="260"/>
        <v>0.12586584081224703</v>
      </c>
      <c r="AV66" s="883">
        <f t="shared" ref="AV66" si="261">+AV63/AV$11</f>
        <v>0.16575283603409327</v>
      </c>
    </row>
    <row r="67" spans="1:54" ht="13" x14ac:dyDescent="0.3">
      <c r="A67" s="890" t="s">
        <v>661</v>
      </c>
      <c r="C67" s="883"/>
      <c r="D67" s="883"/>
      <c r="E67" s="883"/>
      <c r="F67" s="883"/>
      <c r="G67" s="883">
        <f t="shared" ref="G67:X67" si="262">+(G63-C63)/(G$11-C$11)</f>
        <v>-1.7518512140520088</v>
      </c>
      <c r="H67" s="883">
        <f t="shared" si="262"/>
        <v>-2.7335318198735021</v>
      </c>
      <c r="I67" s="883">
        <f t="shared" si="262"/>
        <v>-1.8203485392106704</v>
      </c>
      <c r="J67" s="883">
        <f t="shared" si="262"/>
        <v>0.7173654593009563</v>
      </c>
      <c r="K67" s="883">
        <f t="shared" si="262"/>
        <v>0.33860100668487958</v>
      </c>
      <c r="L67" s="883">
        <f t="shared" si="262"/>
        <v>0.12119474474221179</v>
      </c>
      <c r="M67" s="883">
        <f t="shared" si="262"/>
        <v>0.2101325273536753</v>
      </c>
      <c r="N67" s="883">
        <f t="shared" si="262"/>
        <v>8.3956167025718953E-2</v>
      </c>
      <c r="O67" s="883">
        <f t="shared" si="262"/>
        <v>-0.58320235085081618</v>
      </c>
      <c r="P67" s="883">
        <f t="shared" si="262"/>
        <v>0.45404951741502575</v>
      </c>
      <c r="Q67" s="883">
        <f t="shared" si="262"/>
        <v>0.40433444906515209</v>
      </c>
      <c r="R67" s="883">
        <f t="shared" si="262"/>
        <v>0.34507200915061992</v>
      </c>
      <c r="S67" s="883">
        <f t="shared" si="262"/>
        <v>-0.94041887337506058</v>
      </c>
      <c r="T67" s="883">
        <f t="shared" si="262"/>
        <v>0.15931572923479387</v>
      </c>
      <c r="U67" s="883">
        <f t="shared" si="262"/>
        <v>0.31957085787241113</v>
      </c>
      <c r="V67" s="883">
        <f t="shared" si="262"/>
        <v>0.44462126034372879</v>
      </c>
      <c r="W67" s="883">
        <f t="shared" si="262"/>
        <v>0.58330759026730239</v>
      </c>
      <c r="X67" s="883">
        <f t="shared" si="262"/>
        <v>0.41524346908448662</v>
      </c>
      <c r="Y67" s="883">
        <f t="shared" ref="Y67" si="263">+(Y63-U63)/(Y$11-U$11)</f>
        <v>0.3285462781635109</v>
      </c>
      <c r="Z67" s="883">
        <f t="shared" ref="Z67" si="264">+(Z63-V63)/(Z$11-V$11)</f>
        <v>0.44249812601096916</v>
      </c>
      <c r="AA67" s="883">
        <f t="shared" ref="AA67" si="265">+(AA63-W63)/(AA$11-W$11)</f>
        <v>0.68373693637787003</v>
      </c>
      <c r="AB67" s="883">
        <f t="shared" ref="AB67" si="266">+(AB63-X63)/(AB$11-X$11)</f>
        <v>0.39011219581674178</v>
      </c>
      <c r="AC67" s="883">
        <f t="shared" ref="AC67" si="267">+(AC63-Y63)/(AC$11-Y$11)</f>
        <v>0.35461447464321816</v>
      </c>
      <c r="AD67" s="883">
        <f t="shared" ref="AD67" si="268">+(AD63-Z63)/(AD$11-Z$11)</f>
        <v>0.47836218439737965</v>
      </c>
      <c r="AE67" s="883"/>
      <c r="AF67" s="883"/>
      <c r="AG67" s="883"/>
      <c r="AH67" s="883"/>
      <c r="AI67" s="883"/>
      <c r="AJ67" s="883"/>
      <c r="AK67" s="883">
        <f t="shared" ref="AK67:AN67" si="269">+(AK63-AJ63)/(AK$11-AJ$11)</f>
        <v>-5.2752582955996212E-2</v>
      </c>
      <c r="AL67" s="883">
        <f t="shared" si="269"/>
        <v>-0.64406248912702879</v>
      </c>
      <c r="AM67" s="883">
        <f t="shared" si="269"/>
        <v>0.22107574675238761</v>
      </c>
      <c r="AN67" s="883">
        <f t="shared" si="269"/>
        <v>1.368670586004171</v>
      </c>
      <c r="AO67" s="883">
        <f t="shared" ref="AO67:AU67" si="270">+(AO63-AN63)/(AO$11-AN$11)</f>
        <v>0.71240800958411854</v>
      </c>
      <c r="AP67" s="883">
        <f t="shared" si="270"/>
        <v>3.2085943398150983E-2</v>
      </c>
      <c r="AQ67" s="883">
        <f t="shared" si="270"/>
        <v>-0.62247631231759482</v>
      </c>
      <c r="AR67" s="883">
        <f t="shared" si="270"/>
        <v>0.18564501658282809</v>
      </c>
      <c r="AS67" s="883">
        <f t="shared" si="270"/>
        <v>0.19979186957159828</v>
      </c>
      <c r="AT67" s="883">
        <f t="shared" si="270"/>
        <v>8.2605579592811743E-2</v>
      </c>
      <c r="AU67" s="883">
        <f t="shared" si="270"/>
        <v>0.4460636077963212</v>
      </c>
      <c r="AV67" s="883">
        <f t="shared" ref="AV67" si="271">+(AV63-AU63)/(AV$11-AU$11)</f>
        <v>0.48264891686561739</v>
      </c>
    </row>
    <row r="69" spans="1:54" s="876" customFormat="1" hidden="1" outlineLevel="1" x14ac:dyDescent="0.25">
      <c r="A69" s="876" t="s">
        <v>692</v>
      </c>
      <c r="C69" s="877">
        <f>+Model!AA202+Model!AA201</f>
        <v>18.510999999999999</v>
      </c>
      <c r="D69" s="877">
        <f>+Model!AB202+Model!AB201</f>
        <v>17.709999999999997</v>
      </c>
      <c r="E69" s="877">
        <f>+Model!AC202+Model!AC201</f>
        <v>17.038000000000004</v>
      </c>
      <c r="F69" s="877">
        <f>+Model!AD202+Model!AD201</f>
        <v>18.141000000000005</v>
      </c>
      <c r="G69" s="877">
        <f>+Model!AE202+Model!AE201</f>
        <v>17.146000000000001</v>
      </c>
      <c r="H69" s="877">
        <f>+Model!AF202+Model!AF201</f>
        <v>17.229999999999997</v>
      </c>
      <c r="I69" s="877">
        <f>+Model!AG202+Model!AG201</f>
        <v>18.414000000000001</v>
      </c>
      <c r="J69" s="877">
        <f>+Model!AH202+Model!AH201</f>
        <v>19.300999999999995</v>
      </c>
      <c r="K69" s="877">
        <f>+Model!AI202+Model!AI201</f>
        <v>18.277000000000001</v>
      </c>
      <c r="L69" s="877">
        <f>+Model!AJ202+Model!AJ201</f>
        <v>23.161000000000001</v>
      </c>
      <c r="M69" s="877">
        <f>+Model!AK202+Model!AK201</f>
        <v>23.599999999999994</v>
      </c>
      <c r="N69" s="877">
        <f>+Model!AL202+Model!AL201</f>
        <v>25.039000000000001</v>
      </c>
      <c r="O69" s="877">
        <f>+Model!AM202+Model!AM201</f>
        <v>24.146999999999998</v>
      </c>
      <c r="P69" s="877">
        <f>+Model!AN202+Model!AN201</f>
        <v>25.18</v>
      </c>
      <c r="Q69" s="877">
        <f>+Model!AO202+Model!AO201</f>
        <v>24.137</v>
      </c>
      <c r="R69" s="877">
        <f>+Model!AP202+Model!AP201</f>
        <v>24.450000000000003</v>
      </c>
      <c r="S69" s="877">
        <f>+Model!AQ202+Model!AQ201</f>
        <v>26.251000000000001</v>
      </c>
      <c r="T69" s="877">
        <f>+Model!AR202+Model!AR201</f>
        <v>27.462999999999997</v>
      </c>
      <c r="U69" s="877">
        <f>+Model!AS202+Model!AS201</f>
        <v>26.942000000000007</v>
      </c>
      <c r="V69" s="877">
        <f>+Model!AT202+Model!AT201</f>
        <v>29.701999999999998</v>
      </c>
      <c r="W69" s="877">
        <f>+Model!AU202+Model!AU201</f>
        <v>28.016999999999999</v>
      </c>
      <c r="X69" s="877"/>
      <c r="Y69" s="877"/>
      <c r="Z69" s="877"/>
      <c r="AA69" s="877"/>
      <c r="AB69" s="877"/>
      <c r="AC69" s="877"/>
      <c r="AD69" s="877"/>
      <c r="AE69" s="877"/>
      <c r="AF69" s="877"/>
      <c r="AG69" s="877"/>
      <c r="AH69" s="877"/>
      <c r="AI69" s="877"/>
      <c r="AJ69" s="877"/>
      <c r="AK69" s="877"/>
      <c r="AL69" s="877"/>
      <c r="AM69" s="877"/>
      <c r="AN69" s="877"/>
      <c r="AO69" s="877"/>
      <c r="AP69" s="877">
        <f>+SUM(C69:F69)</f>
        <v>71.400000000000006</v>
      </c>
      <c r="AQ69" s="877">
        <f>+SUM(G69:J69)</f>
        <v>72.090999999999994</v>
      </c>
      <c r="AR69" s="877">
        <f>SUM(K69:N69)</f>
        <v>90.076999999999998</v>
      </c>
      <c r="AS69" s="877">
        <f>+SUM(O69:R69)</f>
        <v>97.914000000000001</v>
      </c>
      <c r="AT69" s="877">
        <f>+SUM(S69:V69)</f>
        <v>110.358</v>
      </c>
      <c r="AU69" s="878"/>
      <c r="AV69" s="894"/>
    </row>
    <row r="70" spans="1:54" s="879" customFormat="1" ht="14" hidden="1" outlineLevel="1" x14ac:dyDescent="0.4">
      <c r="A70" s="876"/>
      <c r="C70" s="880"/>
      <c r="D70" s="880"/>
      <c r="E70" s="880"/>
      <c r="F70" s="880"/>
      <c r="G70" s="880"/>
      <c r="H70" s="880"/>
      <c r="I70" s="880"/>
      <c r="J70" s="880"/>
      <c r="K70" s="880"/>
      <c r="L70" s="880"/>
      <c r="M70" s="880"/>
      <c r="N70" s="880"/>
      <c r="O70" s="880"/>
      <c r="P70" s="880"/>
      <c r="Q70" s="880"/>
      <c r="R70" s="880"/>
      <c r="S70" s="880"/>
      <c r="T70" s="880"/>
      <c r="U70" s="880"/>
      <c r="V70" s="880"/>
      <c r="W70" s="880"/>
      <c r="X70" s="880"/>
      <c r="Y70" s="880"/>
      <c r="Z70" s="880"/>
      <c r="AA70" s="880"/>
      <c r="AB70" s="880"/>
      <c r="AC70" s="880"/>
      <c r="AD70" s="880"/>
      <c r="AE70" s="880"/>
      <c r="AF70" s="880"/>
      <c r="AG70" s="880"/>
      <c r="AH70" s="880"/>
      <c r="AI70" s="880"/>
      <c r="AJ70" s="880"/>
      <c r="AK70" s="880"/>
      <c r="AL70" s="880"/>
      <c r="AM70" s="880"/>
      <c r="AN70" s="880"/>
      <c r="AO70" s="880"/>
      <c r="AP70" s="880"/>
      <c r="AQ70" s="880"/>
      <c r="AR70" s="880"/>
      <c r="AS70" s="880"/>
      <c r="AT70" s="880"/>
      <c r="AU70" s="881"/>
      <c r="AV70" s="895"/>
    </row>
    <row r="71" spans="1:54" s="876" customFormat="1" collapsed="1" x14ac:dyDescent="0.25">
      <c r="A71" s="876" t="s">
        <v>763</v>
      </c>
      <c r="C71" s="877">
        <f>+Model!AA175</f>
        <v>0</v>
      </c>
      <c r="D71" s="877">
        <f>+Model!AB175</f>
        <v>0</v>
      </c>
      <c r="E71" s="877">
        <f>+Model!AC175</f>
        <v>0</v>
      </c>
      <c r="F71" s="877">
        <f>+Model!AD175</f>
        <v>0</v>
      </c>
      <c r="G71" s="877">
        <f>+Model!AE175</f>
        <v>0.74299999999999999</v>
      </c>
      <c r="H71" s="877">
        <f>+Model!AF175</f>
        <v>0.74199999999999999</v>
      </c>
      <c r="I71" s="877">
        <f>+Model!AG175</f>
        <v>1.7649999999999999</v>
      </c>
      <c r="J71" s="877">
        <f>+Model!AH175</f>
        <v>2.7629999999999999</v>
      </c>
      <c r="K71" s="877">
        <f>+Model!AI175</f>
        <v>2.052</v>
      </c>
      <c r="L71" s="877">
        <f>+Model!AJ175</f>
        <v>2.524</v>
      </c>
      <c r="M71" s="877">
        <f>+Model!AK175</f>
        <v>3.4990000000000001</v>
      </c>
      <c r="N71" s="877">
        <f>+Model!AL175</f>
        <v>3.5669999999999984</v>
      </c>
      <c r="O71" s="877">
        <f>+Model!AM175</f>
        <v>3.2130000000000001</v>
      </c>
      <c r="P71" s="877">
        <f>+Model!AN175</f>
        <v>3.214</v>
      </c>
      <c r="Q71" s="877">
        <f>+Model!AO175</f>
        <v>3.27</v>
      </c>
      <c r="R71" s="877">
        <f>+Model!AP175</f>
        <v>3.2710000000000008</v>
      </c>
      <c r="S71" s="877">
        <f>+Model!AQ175</f>
        <v>3.2890000000000001</v>
      </c>
      <c r="T71" s="877">
        <f>+Model!AR175</f>
        <v>3.2789999999999999</v>
      </c>
      <c r="U71" s="877">
        <f>+Model!AS175</f>
        <v>3.2800000000000002</v>
      </c>
      <c r="V71" s="877">
        <f>+Model!AT175</f>
        <v>5.3520000000000003</v>
      </c>
      <c r="W71" s="877">
        <f>+Model!AU175</f>
        <v>3.0150000000000001</v>
      </c>
      <c r="X71" s="1090">
        <f>+X236</f>
        <v>2.988</v>
      </c>
      <c r="Y71" s="1090">
        <f t="shared" ref="Y71:Z71" si="272">+Y236</f>
        <v>2.847</v>
      </c>
      <c r="Z71" s="1090">
        <f t="shared" si="272"/>
        <v>4.0279999999999996</v>
      </c>
      <c r="AA71" s="1090">
        <f t="shared" ref="AA71" si="273">+AA236</f>
        <v>2.5670000000000002</v>
      </c>
      <c r="AB71" s="1179">
        <v>2.75</v>
      </c>
      <c r="AC71" s="1179">
        <v>2.5</v>
      </c>
      <c r="AD71" s="1179">
        <f>10.4-AC71-AB71-AA71</f>
        <v>2.5830000000000002</v>
      </c>
      <c r="AE71" s="877"/>
      <c r="AF71" s="877"/>
      <c r="AG71" s="877"/>
      <c r="AH71" s="877"/>
      <c r="AI71" s="877"/>
      <c r="AJ71" s="877">
        <v>0</v>
      </c>
      <c r="AK71" s="877">
        <v>0</v>
      </c>
      <c r="AL71" s="877">
        <v>0</v>
      </c>
      <c r="AM71" s="877">
        <v>0</v>
      </c>
      <c r="AN71" s="877">
        <v>0</v>
      </c>
      <c r="AO71" s="877">
        <v>0</v>
      </c>
      <c r="AP71" s="877">
        <f>+AP69-AP72</f>
        <v>0</v>
      </c>
      <c r="AQ71" s="877">
        <f>+AQ69-AQ72</f>
        <v>6.0130000000000194</v>
      </c>
      <c r="AR71" s="877">
        <f>+AR69-AR72</f>
        <v>11.641999999999996</v>
      </c>
      <c r="AS71" s="877">
        <f>+AS69-AS72</f>
        <v>12.968000000000004</v>
      </c>
      <c r="AT71" s="877">
        <f>+AT69-AT72</f>
        <v>15.200000000000017</v>
      </c>
      <c r="AU71" s="877">
        <f>SUM(W71:Z71)</f>
        <v>12.878</v>
      </c>
      <c r="AV71" s="877">
        <f t="shared" ref="AV71:AV72" si="274">+SUM(AA71:AD71)</f>
        <v>10.4</v>
      </c>
    </row>
    <row r="72" spans="1:54" s="888" customFormat="1" x14ac:dyDescent="0.25">
      <c r="A72" s="884" t="s">
        <v>692</v>
      </c>
      <c r="C72" s="932">
        <f>+C43-C37</f>
        <v>18.510999999999999</v>
      </c>
      <c r="D72" s="932">
        <f>+D43-D37</f>
        <v>17.709999999999994</v>
      </c>
      <c r="E72" s="932">
        <f>+E43-E37</f>
        <v>17.038000000000004</v>
      </c>
      <c r="F72" s="932">
        <f>+F43-F37</f>
        <v>18.141000000000005</v>
      </c>
      <c r="G72" s="932">
        <f>+G43-G37</f>
        <v>16.403000000000002</v>
      </c>
      <c r="H72" s="932">
        <f>+H43-H37</f>
        <v>16.487999999999992</v>
      </c>
      <c r="I72" s="932">
        <f>+I43-I37</f>
        <v>16.649000000000001</v>
      </c>
      <c r="J72" s="932">
        <f>+J43-J37</f>
        <v>16.537999999999997</v>
      </c>
      <c r="K72" s="932">
        <f>+K43-K37</f>
        <v>16.225000000000001</v>
      </c>
      <c r="L72" s="932">
        <f>+L43-L37</f>
        <v>20.637</v>
      </c>
      <c r="M72" s="932">
        <f>+M43-M37</f>
        <v>20.100999999999992</v>
      </c>
      <c r="N72" s="932">
        <f>+N43-N37</f>
        <v>21.472000000000001</v>
      </c>
      <c r="O72" s="932">
        <f>+O43-O37</f>
        <v>20.933999999999997</v>
      </c>
      <c r="P72" s="932">
        <f>+P43-P37</f>
        <v>21.966000000000008</v>
      </c>
      <c r="Q72" s="932">
        <f>+Q43-Q37</f>
        <v>20.867000000000004</v>
      </c>
      <c r="R72" s="932">
        <f>+R43-R37</f>
        <v>21.179000000000009</v>
      </c>
      <c r="S72" s="932">
        <f>+S43-S37</f>
        <v>22.962</v>
      </c>
      <c r="T72" s="932">
        <f>+T43-T37</f>
        <v>24.183999999999997</v>
      </c>
      <c r="U72" s="932">
        <f>+U43-U37</f>
        <v>23.662000000000006</v>
      </c>
      <c r="V72" s="932">
        <f>+V43-V37</f>
        <v>24.349999999999994</v>
      </c>
      <c r="W72" s="932">
        <f>+W43-W37</f>
        <v>25.001999999999995</v>
      </c>
      <c r="X72" s="932">
        <f>+X43-X37</f>
        <v>23.474999999999994</v>
      </c>
      <c r="Y72" s="932">
        <f>+Y43-Y37</f>
        <v>24.137</v>
      </c>
      <c r="Z72" s="932">
        <f>+Z43-Z37</f>
        <v>24.191000000000003</v>
      </c>
      <c r="AA72" s="932">
        <f>+AA43-AA37</f>
        <v>25.567000000000007</v>
      </c>
      <c r="AB72" s="932">
        <f>+AB43-AB37</f>
        <v>25.567000000000021</v>
      </c>
      <c r="AC72" s="932">
        <f>+AC43-AC37</f>
        <v>25</v>
      </c>
      <c r="AD72" s="932">
        <f>+AD43-AD37</f>
        <v>25.054000000000002</v>
      </c>
      <c r="AJ72" s="932">
        <f t="shared" ref="AJ72:AN72" si="275">+AJ382</f>
        <v>65.736999999999995</v>
      </c>
      <c r="AK72" s="932">
        <f t="shared" si="275"/>
        <v>86.266999999999996</v>
      </c>
      <c r="AL72" s="932">
        <f t="shared" si="275"/>
        <v>83.801000000000002</v>
      </c>
      <c r="AM72" s="932">
        <f t="shared" si="275"/>
        <v>68.224999999999994</v>
      </c>
      <c r="AN72" s="932">
        <f t="shared" si="275"/>
        <v>74.28</v>
      </c>
      <c r="AO72" s="932">
        <f>+AO382</f>
        <v>75.260000000000005</v>
      </c>
      <c r="AP72" s="932">
        <f>+AP43-AP37</f>
        <v>71.399999999999977</v>
      </c>
      <c r="AQ72" s="932">
        <f>+AQ43-AQ37</f>
        <v>66.077999999999975</v>
      </c>
      <c r="AR72" s="932">
        <f>+AR43-AR37</f>
        <v>78.435000000000002</v>
      </c>
      <c r="AS72" s="932">
        <f>+AS43-AS37</f>
        <v>84.945999999999998</v>
      </c>
      <c r="AT72" s="932">
        <f>+AT43-AT37</f>
        <v>95.157999999999987</v>
      </c>
      <c r="AU72" s="932">
        <f>+AU43-AU37</f>
        <v>96.80499999999995</v>
      </c>
      <c r="AV72" s="932">
        <f t="shared" si="274"/>
        <v>101.18800000000003</v>
      </c>
    </row>
    <row r="73" spans="1:54" s="876" customFormat="1" ht="14" x14ac:dyDescent="0.4">
      <c r="A73" s="882" t="s">
        <v>693</v>
      </c>
      <c r="C73" s="877">
        <f t="shared" ref="C73:X73" si="276">+C49-C71-C72</f>
        <v>-13.752000000000024</v>
      </c>
      <c r="D73" s="877">
        <f t="shared" si="276"/>
        <v>33.290000000000006</v>
      </c>
      <c r="E73" s="877">
        <f t="shared" si="276"/>
        <v>23.267000000000017</v>
      </c>
      <c r="F73" s="877">
        <f t="shared" si="276"/>
        <v>2.680999999999969</v>
      </c>
      <c r="G73" s="877">
        <f t="shared" si="276"/>
        <v>-19.388000000000019</v>
      </c>
      <c r="H73" s="877">
        <f t="shared" si="276"/>
        <v>30.305000000000028</v>
      </c>
      <c r="I73" s="877">
        <f t="shared" si="276"/>
        <v>14.499000000000009</v>
      </c>
      <c r="J73" s="877">
        <f t="shared" si="276"/>
        <v>7.0410000000001531</v>
      </c>
      <c r="K73" s="877">
        <f t="shared" si="276"/>
        <v>12.063999999999993</v>
      </c>
      <c r="L73" s="877">
        <f t="shared" si="276"/>
        <v>38.451999999999956</v>
      </c>
      <c r="M73" s="877">
        <f t="shared" si="276"/>
        <v>38.552999999999997</v>
      </c>
      <c r="N73" s="877">
        <f t="shared" si="276"/>
        <v>21.387000000000057</v>
      </c>
      <c r="O73" s="877">
        <f t="shared" si="276"/>
        <v>-6.9770000000000039</v>
      </c>
      <c r="P73" s="877">
        <f t="shared" si="276"/>
        <v>56.91500000000002</v>
      </c>
      <c r="Q73" s="877">
        <f t="shared" si="276"/>
        <v>60.593999999999994</v>
      </c>
      <c r="R73" s="877">
        <f t="shared" si="276"/>
        <v>46.095999999999982</v>
      </c>
      <c r="S73" s="877">
        <f t="shared" si="276"/>
        <v>-28.718999999999994</v>
      </c>
      <c r="T73" s="877">
        <f t="shared" si="276"/>
        <v>68.073000000000036</v>
      </c>
      <c r="U73" s="877">
        <f t="shared" si="276"/>
        <v>72.199000000000012</v>
      </c>
      <c r="V73" s="877">
        <f t="shared" si="276"/>
        <v>53.94599999999997</v>
      </c>
      <c r="W73" s="877">
        <f t="shared" si="276"/>
        <v>3.3199999999999648</v>
      </c>
      <c r="X73" s="877">
        <f t="shared" si="276"/>
        <v>84.289000000000001</v>
      </c>
      <c r="Y73" s="877">
        <f t="shared" ref="Y73:Z73" si="277">+Y49-Y71-Y72</f>
        <v>88.313000000000002</v>
      </c>
      <c r="Z73" s="877">
        <f t="shared" si="277"/>
        <v>73.677999999999997</v>
      </c>
      <c r="AA73" s="877">
        <f t="shared" ref="AA73" si="278">+AA49-AA71-AA72</f>
        <v>47.343999999999994</v>
      </c>
      <c r="AB73" s="877">
        <f t="shared" ref="AB73:AD73" si="279">+AB49-AB71-AB72</f>
        <v>111.85464531458761</v>
      </c>
      <c r="AC73" s="877">
        <f t="shared" si="279"/>
        <v>112.36612743650551</v>
      </c>
      <c r="AD73" s="877">
        <f t="shared" si="279"/>
        <v>104.61190773999999</v>
      </c>
      <c r="AE73" s="877"/>
      <c r="AF73" s="877"/>
      <c r="AG73" s="877"/>
      <c r="AH73" s="877"/>
      <c r="AI73" s="877"/>
      <c r="AJ73" s="877">
        <f t="shared" ref="AJ73:AV73" si="280">+AJ49-AJ71-AJ72</f>
        <v>45.706000000000017</v>
      </c>
      <c r="AK73" s="877">
        <f t="shared" si="280"/>
        <v>22.855999999999938</v>
      </c>
      <c r="AL73" s="877">
        <f t="shared" si="280"/>
        <v>18.427000000000007</v>
      </c>
      <c r="AM73" s="877">
        <f t="shared" si="280"/>
        <v>13.914000000000044</v>
      </c>
      <c r="AN73" s="877">
        <f t="shared" si="280"/>
        <v>13.128999999999962</v>
      </c>
      <c r="AO73" s="877">
        <f t="shared" si="280"/>
        <v>25.545000000000002</v>
      </c>
      <c r="AP73" s="877">
        <f t="shared" si="280"/>
        <v>45.48599999999999</v>
      </c>
      <c r="AQ73" s="877">
        <f t="shared" si="280"/>
        <v>32.457000000000178</v>
      </c>
      <c r="AR73" s="877">
        <f t="shared" si="280"/>
        <v>110.45600000000002</v>
      </c>
      <c r="AS73" s="877">
        <f t="shared" si="280"/>
        <v>156.62800000000001</v>
      </c>
      <c r="AT73" s="877">
        <f t="shared" si="280"/>
        <v>165.49900000000005</v>
      </c>
      <c r="AU73" s="877">
        <f t="shared" si="280"/>
        <v>249.60000000000002</v>
      </c>
      <c r="AV73" s="877">
        <f t="shared" si="280"/>
        <v>376.17668049109312</v>
      </c>
      <c r="AX73" s="900">
        <f>+(AU73/AQ73)^(1/4)-1</f>
        <v>0.66526767292455724</v>
      </c>
    </row>
    <row r="74" spans="1:54" s="879" customFormat="1" ht="14" x14ac:dyDescent="0.4">
      <c r="A74" s="876" t="s">
        <v>694</v>
      </c>
      <c r="C74" s="880">
        <f>+Model!AA208+Model!AA209</f>
        <v>-0.50900000000000001</v>
      </c>
      <c r="D74" s="880">
        <f>+Model!AB208+Model!AB209</f>
        <v>0.31200000000000006</v>
      </c>
      <c r="E74" s="880">
        <f>+Model!AC208+Model!AC209</f>
        <v>-1.31</v>
      </c>
      <c r="F74" s="880">
        <f>+Model!AD208+Model!AD209</f>
        <v>-1.3680000000000001</v>
      </c>
      <c r="G74" s="880">
        <f>+Model!AE208+Model!AE209</f>
        <v>-0.90200000000000002</v>
      </c>
      <c r="H74" s="880">
        <f>+Model!AF208+Model!AF209</f>
        <v>-0.80600000000000005</v>
      </c>
      <c r="I74" s="880">
        <f>+Model!AG208+Model!AG209</f>
        <v>1.169</v>
      </c>
      <c r="J74" s="880">
        <f>+Model!AH208+Model!AH209</f>
        <v>-0.43099999999999983</v>
      </c>
      <c r="K74" s="880">
        <f>+Model!AI208+Model!AI209</f>
        <v>1.6780000000000002</v>
      </c>
      <c r="L74" s="880">
        <f>+Model!AJ208+Model!AJ209</f>
        <v>3.6630000000000003</v>
      </c>
      <c r="M74" s="880">
        <f>+Model!AK208+Model!AK209</f>
        <v>4.8850000000000007</v>
      </c>
      <c r="N74" s="880">
        <f>+Model!AL208+Model!AL209</f>
        <v>4.9239999999999986</v>
      </c>
      <c r="O74" s="880">
        <f>+Model!AM208+Model!AM209</f>
        <v>2.0820000000000003</v>
      </c>
      <c r="P74" s="880">
        <f>+Model!AN208+Model!AN209</f>
        <v>-2.0089999999999999</v>
      </c>
      <c r="Q74" s="880">
        <f>+Model!AO208+Model!AO209</f>
        <v>1.8770000000000002</v>
      </c>
      <c r="R74" s="880">
        <f>+Model!AP208+Model!AP209</f>
        <v>7.6039999999999983</v>
      </c>
      <c r="S74" s="880">
        <f>+Model!AQ208+Model!AQ209</f>
        <v>1.0089999999999999</v>
      </c>
      <c r="T74" s="880">
        <f>+Model!AR208+Model!AR209</f>
        <v>-1.8879999999999999</v>
      </c>
      <c r="U74" s="880">
        <f>+Model!AS208+Model!AS209</f>
        <v>-2.3809999999999998</v>
      </c>
      <c r="V74" s="880">
        <f>+Model!AT208+Model!AT209</f>
        <v>-3.7879999999999998</v>
      </c>
      <c r="W74" s="880">
        <f>+Model!AU208+Model!AU209</f>
        <v>-3.097</v>
      </c>
      <c r="X74" s="932">
        <f>+(X225+X224)*-1</f>
        <v>-4.516</v>
      </c>
      <c r="Y74" s="932">
        <f t="shared" ref="Y74:Z74" si="281">+(Y225+Y224)*-1</f>
        <v>-5.274</v>
      </c>
      <c r="Z74" s="932">
        <f t="shared" si="281"/>
        <v>-5.2010000000000005</v>
      </c>
      <c r="AA74" s="932">
        <f t="shared" ref="AA74" si="282">+(AA225+AA224)*-1</f>
        <v>-6.4250000000000007</v>
      </c>
      <c r="AB74" s="1180">
        <f t="shared" ref="AB74:AD74" si="283">+AA74</f>
        <v>-6.4250000000000007</v>
      </c>
      <c r="AC74" s="1180">
        <f t="shared" si="283"/>
        <v>-6.4250000000000007</v>
      </c>
      <c r="AD74" s="1180">
        <f t="shared" si="283"/>
        <v>-6.4250000000000007</v>
      </c>
      <c r="AE74" s="880"/>
      <c r="AF74" s="880"/>
      <c r="AG74" s="880"/>
      <c r="AH74" s="880"/>
      <c r="AI74" s="880"/>
      <c r="AJ74" s="880">
        <f>+Model!BD208+Model!BD209</f>
        <v>-0.85099999999999998</v>
      </c>
      <c r="AK74" s="880">
        <f>+Model!BE208+Model!BE209</f>
        <v>6.9000000000000006E-2</v>
      </c>
      <c r="AL74" s="880">
        <f>+Model!BF208+Model!BF209</f>
        <v>3.2909999999999999</v>
      </c>
      <c r="AM74" s="880">
        <f>+Model!BG208+Model!BG209</f>
        <v>0.61699999999999999</v>
      </c>
      <c r="AN74" s="880">
        <f>+Model!BH208+Model!BH209</f>
        <v>-1.8080000000000001</v>
      </c>
      <c r="AO74" s="880">
        <f>+Model!BI208+Model!BI209</f>
        <v>-0.96499999999999997</v>
      </c>
      <c r="AP74" s="880">
        <f>+SUM(C74:F74)</f>
        <v>-2.875</v>
      </c>
      <c r="AQ74" s="880">
        <f>+SUM(G74:J74)</f>
        <v>-0.97</v>
      </c>
      <c r="AR74" s="880">
        <f>SUM(K74:N74)</f>
        <v>15.149999999999999</v>
      </c>
      <c r="AS74" s="880">
        <f>+SUM(O74:R74)</f>
        <v>9.5539999999999985</v>
      </c>
      <c r="AT74" s="880">
        <f>+SUM(S74:V74)</f>
        <v>-7.048</v>
      </c>
      <c r="AU74" s="881">
        <f>SUM(W74:Z74)</f>
        <v>-18.088000000000001</v>
      </c>
      <c r="AV74" s="895">
        <f>+SUM(AA74:AD74)</f>
        <v>-25.700000000000003</v>
      </c>
    </row>
    <row r="75" spans="1:54" s="876" customFormat="1" x14ac:dyDescent="0.25">
      <c r="A75" s="882" t="s">
        <v>695</v>
      </c>
      <c r="C75" s="877">
        <f>+C73-C74</f>
        <v>-13.243000000000023</v>
      </c>
      <c r="D75" s="877">
        <f t="shared" ref="D75:AV75" si="284">+D73-D74</f>
        <v>32.978000000000009</v>
      </c>
      <c r="E75" s="877">
        <f t="shared" si="284"/>
        <v>24.577000000000016</v>
      </c>
      <c r="F75" s="877">
        <f t="shared" si="284"/>
        <v>4.0489999999999693</v>
      </c>
      <c r="G75" s="877">
        <f t="shared" si="284"/>
        <v>-18.486000000000018</v>
      </c>
      <c r="H75" s="877">
        <f t="shared" si="284"/>
        <v>31.111000000000029</v>
      </c>
      <c r="I75" s="877">
        <f t="shared" si="284"/>
        <v>13.330000000000009</v>
      </c>
      <c r="J75" s="877">
        <f t="shared" si="284"/>
        <v>7.4720000000001532</v>
      </c>
      <c r="K75" s="877">
        <f t="shared" si="284"/>
        <v>10.385999999999992</v>
      </c>
      <c r="L75" s="877">
        <f t="shared" si="284"/>
        <v>34.788999999999959</v>
      </c>
      <c r="M75" s="877">
        <f t="shared" si="284"/>
        <v>33.667999999999999</v>
      </c>
      <c r="N75" s="877">
        <f t="shared" si="284"/>
        <v>16.463000000000058</v>
      </c>
      <c r="O75" s="877">
        <f t="shared" si="284"/>
        <v>-9.0590000000000046</v>
      </c>
      <c r="P75" s="877">
        <f t="shared" si="284"/>
        <v>58.924000000000021</v>
      </c>
      <c r="Q75" s="877">
        <f t="shared" si="284"/>
        <v>58.716999999999992</v>
      </c>
      <c r="R75" s="877">
        <f t="shared" si="284"/>
        <v>38.491999999999983</v>
      </c>
      <c r="S75" s="877">
        <f t="shared" si="284"/>
        <v>-29.727999999999994</v>
      </c>
      <c r="T75" s="877">
        <f t="shared" si="284"/>
        <v>69.961000000000041</v>
      </c>
      <c r="U75" s="877">
        <f t="shared" si="284"/>
        <v>74.580000000000013</v>
      </c>
      <c r="V75" s="877">
        <f t="shared" si="284"/>
        <v>57.733999999999966</v>
      </c>
      <c r="W75" s="877">
        <f t="shared" si="284"/>
        <v>6.4169999999999643</v>
      </c>
      <c r="X75" s="877">
        <f>+X73-X74</f>
        <v>88.805000000000007</v>
      </c>
      <c r="Y75" s="877">
        <f t="shared" ref="Y75:Z75" si="285">+Y73-Y74</f>
        <v>93.587000000000003</v>
      </c>
      <c r="Z75" s="877">
        <f t="shared" si="285"/>
        <v>78.878999999999991</v>
      </c>
      <c r="AA75" s="877">
        <f t="shared" ref="AA75" si="286">+AA73-AA74</f>
        <v>53.768999999999991</v>
      </c>
      <c r="AB75" s="877">
        <f t="shared" ref="AB75:AD75" si="287">+AB73-AB74</f>
        <v>118.27964531458761</v>
      </c>
      <c r="AC75" s="877">
        <f t="shared" si="287"/>
        <v>118.7911274365055</v>
      </c>
      <c r="AD75" s="877">
        <f t="shared" si="287"/>
        <v>111.03690773999999</v>
      </c>
      <c r="AE75" s="877"/>
      <c r="AF75" s="877"/>
      <c r="AG75" s="877"/>
      <c r="AH75" s="877"/>
      <c r="AI75" s="877"/>
      <c r="AJ75" s="877">
        <f t="shared" si="284"/>
        <v>46.557000000000016</v>
      </c>
      <c r="AK75" s="877">
        <f t="shared" si="284"/>
        <v>22.786999999999939</v>
      </c>
      <c r="AL75" s="877">
        <f t="shared" si="284"/>
        <v>15.136000000000006</v>
      </c>
      <c r="AM75" s="877">
        <f t="shared" si="284"/>
        <v>13.297000000000043</v>
      </c>
      <c r="AN75" s="877">
        <f t="shared" si="284"/>
        <v>14.936999999999962</v>
      </c>
      <c r="AO75" s="877">
        <f t="shared" si="284"/>
        <v>26.51</v>
      </c>
      <c r="AP75" s="877">
        <f t="shared" si="284"/>
        <v>48.36099999999999</v>
      </c>
      <c r="AQ75" s="877">
        <f t="shared" si="284"/>
        <v>33.427000000000177</v>
      </c>
      <c r="AR75" s="877">
        <f t="shared" si="284"/>
        <v>95.306000000000012</v>
      </c>
      <c r="AS75" s="877">
        <f t="shared" si="284"/>
        <v>147.07400000000001</v>
      </c>
      <c r="AT75" s="877">
        <f t="shared" si="284"/>
        <v>172.54700000000005</v>
      </c>
      <c r="AU75" s="877">
        <f t="shared" si="284"/>
        <v>267.68800000000005</v>
      </c>
      <c r="AV75" s="877">
        <f t="shared" si="284"/>
        <v>401.87668049109311</v>
      </c>
    </row>
    <row r="76" spans="1:54" s="879" customFormat="1" ht="14" x14ac:dyDescent="0.4">
      <c r="A76" s="876" t="s">
        <v>761</v>
      </c>
      <c r="C76" s="880">
        <f>MAX(C75*0.26,0)</f>
        <v>0</v>
      </c>
      <c r="D76" s="880">
        <f t="shared" ref="D76:X76" si="288">MAX(D75*0.26,0)</f>
        <v>8.5742800000000017</v>
      </c>
      <c r="E76" s="880">
        <f t="shared" si="288"/>
        <v>6.3900200000000043</v>
      </c>
      <c r="F76" s="880">
        <f t="shared" si="288"/>
        <v>1.052739999999992</v>
      </c>
      <c r="G76" s="880">
        <f t="shared" si="288"/>
        <v>0</v>
      </c>
      <c r="H76" s="880">
        <f t="shared" si="288"/>
        <v>8.0888600000000075</v>
      </c>
      <c r="I76" s="880">
        <f t="shared" si="288"/>
        <v>3.4658000000000024</v>
      </c>
      <c r="J76" s="880">
        <f t="shared" si="288"/>
        <v>1.94272000000004</v>
      </c>
      <c r="K76" s="880">
        <f t="shared" si="288"/>
        <v>2.7003599999999981</v>
      </c>
      <c r="L76" s="880">
        <f t="shared" si="288"/>
        <v>9.0451399999999893</v>
      </c>
      <c r="M76" s="880">
        <f t="shared" si="288"/>
        <v>8.7536799999999992</v>
      </c>
      <c r="N76" s="880">
        <f t="shared" si="288"/>
        <v>4.2803800000000152</v>
      </c>
      <c r="O76" s="880">
        <f t="shared" si="288"/>
        <v>0</v>
      </c>
      <c r="P76" s="880">
        <f t="shared" si="288"/>
        <v>15.320240000000005</v>
      </c>
      <c r="Q76" s="880">
        <f t="shared" si="288"/>
        <v>15.266419999999998</v>
      </c>
      <c r="R76" s="880">
        <f t="shared" si="288"/>
        <v>10.007919999999997</v>
      </c>
      <c r="S76" s="880">
        <f t="shared" si="288"/>
        <v>0</v>
      </c>
      <c r="T76" s="880">
        <f t="shared" si="288"/>
        <v>18.18986000000001</v>
      </c>
      <c r="U76" s="880">
        <f t="shared" si="288"/>
        <v>19.390800000000002</v>
      </c>
      <c r="V76" s="880">
        <f t="shared" si="288"/>
        <v>15.010839999999991</v>
      </c>
      <c r="W76" s="880">
        <f t="shared" si="288"/>
        <v>1.6684199999999907</v>
      </c>
      <c r="X76" s="880">
        <f t="shared" si="288"/>
        <v>23.089300000000001</v>
      </c>
      <c r="Y76" s="880">
        <f t="shared" ref="Y76:Z76" si="289">MAX(Y75*0.26,0)</f>
        <v>24.332620000000002</v>
      </c>
      <c r="Z76" s="880">
        <f t="shared" si="289"/>
        <v>20.50854</v>
      </c>
      <c r="AA76" s="880">
        <f t="shared" ref="AA76" si="290">MAX(AA75*0.26,0)</f>
        <v>13.979939999999997</v>
      </c>
      <c r="AB76" s="880">
        <f t="shared" ref="AB76:AD76" si="291">MAX(AB75*0.26,0)</f>
        <v>30.752707781792779</v>
      </c>
      <c r="AC76" s="880">
        <f t="shared" si="291"/>
        <v>30.885693133491433</v>
      </c>
      <c r="AD76" s="880">
        <f t="shared" si="291"/>
        <v>28.869596012399999</v>
      </c>
      <c r="AE76" s="880"/>
      <c r="AF76" s="880"/>
      <c r="AG76" s="880"/>
      <c r="AH76" s="880"/>
      <c r="AI76" s="880"/>
      <c r="AJ76" s="880">
        <f t="shared" ref="AJ76:AO76" si="292">MAX(AJ75*0.26,0)</f>
        <v>12.104820000000005</v>
      </c>
      <c r="AK76" s="880">
        <f t="shared" si="292"/>
        <v>5.924619999999984</v>
      </c>
      <c r="AL76" s="880">
        <f t="shared" si="292"/>
        <v>3.935360000000002</v>
      </c>
      <c r="AM76" s="880">
        <f t="shared" si="292"/>
        <v>3.4572200000000115</v>
      </c>
      <c r="AN76" s="880">
        <f t="shared" si="292"/>
        <v>3.8836199999999903</v>
      </c>
      <c r="AO76" s="880">
        <f t="shared" si="292"/>
        <v>6.8926000000000007</v>
      </c>
      <c r="AP76" s="880">
        <f t="shared" ref="AP76:AV76" si="293">MAX(AP75*0.26,0)</f>
        <v>12.573859999999998</v>
      </c>
      <c r="AQ76" s="880">
        <f t="shared" si="293"/>
        <v>8.6910200000000462</v>
      </c>
      <c r="AR76" s="880">
        <f t="shared" si="293"/>
        <v>24.779560000000004</v>
      </c>
      <c r="AS76" s="880">
        <f t="shared" si="293"/>
        <v>38.239240000000002</v>
      </c>
      <c r="AT76" s="880">
        <f t="shared" si="293"/>
        <v>44.862220000000015</v>
      </c>
      <c r="AU76" s="880">
        <f t="shared" si="293"/>
        <v>69.598880000000008</v>
      </c>
      <c r="AV76" s="880">
        <f t="shared" si="293"/>
        <v>104.48793692768422</v>
      </c>
    </row>
    <row r="77" spans="1:54" x14ac:dyDescent="0.25">
      <c r="A77" s="882" t="s">
        <v>55</v>
      </c>
      <c r="C77" s="898">
        <f>+C75-C76</f>
        <v>-13.243000000000023</v>
      </c>
      <c r="D77" s="898">
        <f t="shared" ref="D77:AV77" si="294">+D75-D76</f>
        <v>24.403720000000007</v>
      </c>
      <c r="E77" s="898">
        <f t="shared" si="294"/>
        <v>18.186980000000013</v>
      </c>
      <c r="F77" s="898">
        <f t="shared" si="294"/>
        <v>2.9962599999999773</v>
      </c>
      <c r="G77" s="898">
        <f t="shared" si="294"/>
        <v>-18.486000000000018</v>
      </c>
      <c r="H77" s="898">
        <f t="shared" si="294"/>
        <v>23.022140000000022</v>
      </c>
      <c r="I77" s="898">
        <f t="shared" si="294"/>
        <v>9.8642000000000074</v>
      </c>
      <c r="J77" s="898">
        <f t="shared" si="294"/>
        <v>5.5292800000001137</v>
      </c>
      <c r="K77" s="898">
        <f t="shared" si="294"/>
        <v>7.685639999999994</v>
      </c>
      <c r="L77" s="898">
        <f t="shared" si="294"/>
        <v>25.74385999999997</v>
      </c>
      <c r="M77" s="898">
        <f t="shared" si="294"/>
        <v>24.91432</v>
      </c>
      <c r="N77" s="898">
        <f t="shared" si="294"/>
        <v>12.182620000000043</v>
      </c>
      <c r="O77" s="898">
        <f t="shared" si="294"/>
        <v>-9.0590000000000046</v>
      </c>
      <c r="P77" s="898">
        <f t="shared" si="294"/>
        <v>43.603760000000015</v>
      </c>
      <c r="Q77" s="898">
        <f t="shared" si="294"/>
        <v>43.450579999999995</v>
      </c>
      <c r="R77" s="898">
        <f t="shared" si="294"/>
        <v>28.484079999999985</v>
      </c>
      <c r="S77" s="898">
        <f t="shared" si="294"/>
        <v>-29.727999999999994</v>
      </c>
      <c r="T77" s="898">
        <f t="shared" si="294"/>
        <v>51.771140000000031</v>
      </c>
      <c r="U77" s="898">
        <f t="shared" si="294"/>
        <v>55.189200000000014</v>
      </c>
      <c r="V77" s="898">
        <f t="shared" si="294"/>
        <v>42.723159999999979</v>
      </c>
      <c r="W77" s="898">
        <f t="shared" si="294"/>
        <v>4.7485799999999738</v>
      </c>
      <c r="X77" s="898">
        <f>+X75-X76</f>
        <v>65.715699999999998</v>
      </c>
      <c r="Y77" s="898">
        <f t="shared" ref="Y77:Z77" si="295">+Y75-Y76</f>
        <v>69.254379999999998</v>
      </c>
      <c r="Z77" s="898">
        <f t="shared" si="295"/>
        <v>58.370459999999994</v>
      </c>
      <c r="AA77" s="898">
        <f t="shared" ref="AA77" si="296">+AA75-AA76</f>
        <v>39.789059999999992</v>
      </c>
      <c r="AB77" s="898">
        <f t="shared" ref="AB77:AD77" si="297">+AB75-AB76</f>
        <v>87.526937532794832</v>
      </c>
      <c r="AC77" s="898">
        <f t="shared" si="297"/>
        <v>87.905434303014076</v>
      </c>
      <c r="AD77" s="898">
        <f t="shared" si="297"/>
        <v>82.167311727599994</v>
      </c>
      <c r="AE77" s="898"/>
      <c r="AF77" s="898"/>
      <c r="AG77" s="898"/>
      <c r="AH77" s="898"/>
      <c r="AI77" s="898"/>
      <c r="AJ77" s="898">
        <f t="shared" si="294"/>
        <v>34.452180000000013</v>
      </c>
      <c r="AK77" s="898">
        <f t="shared" si="294"/>
        <v>16.862379999999956</v>
      </c>
      <c r="AL77" s="898">
        <f t="shared" si="294"/>
        <v>11.200640000000003</v>
      </c>
      <c r="AM77" s="898">
        <f t="shared" si="294"/>
        <v>9.8397800000000313</v>
      </c>
      <c r="AN77" s="898">
        <f t="shared" si="294"/>
        <v>11.053379999999972</v>
      </c>
      <c r="AO77" s="898">
        <f t="shared" si="294"/>
        <v>19.6174</v>
      </c>
      <c r="AP77" s="898">
        <f t="shared" si="294"/>
        <v>35.787139999999994</v>
      </c>
      <c r="AQ77" s="898">
        <f t="shared" si="294"/>
        <v>24.735980000000133</v>
      </c>
      <c r="AR77" s="898">
        <f t="shared" si="294"/>
        <v>70.526440000000008</v>
      </c>
      <c r="AS77" s="898">
        <f t="shared" si="294"/>
        <v>108.83476000000002</v>
      </c>
      <c r="AT77" s="898">
        <f t="shared" si="294"/>
        <v>127.68478000000005</v>
      </c>
      <c r="AU77" s="898">
        <f t="shared" si="294"/>
        <v>198.08912000000004</v>
      </c>
      <c r="AV77" s="898">
        <f t="shared" si="294"/>
        <v>297.38874356340887</v>
      </c>
    </row>
    <row r="78" spans="1:54" s="900" customFormat="1" ht="14" x14ac:dyDescent="0.4">
      <c r="A78" s="884" t="s">
        <v>696</v>
      </c>
      <c r="B78" s="934"/>
      <c r="C78" s="1117">
        <f>+Model!AA237</f>
        <v>38.434049000000002</v>
      </c>
      <c r="D78" s="1117">
        <f>+Model!AB237</f>
        <v>40.32526</v>
      </c>
      <c r="E78" s="1117">
        <f>+Model!AC237</f>
        <v>41.753323000000002</v>
      </c>
      <c r="F78" s="1117">
        <f>+Model!AD237</f>
        <v>41.667000000000002</v>
      </c>
      <c r="G78" s="1117">
        <f>+Model!AE237</f>
        <v>39.288556999999997</v>
      </c>
      <c r="H78" s="1117">
        <f>+Model!AF237</f>
        <v>39.973933000000002</v>
      </c>
      <c r="I78" s="1117">
        <f>+Model!AG237</f>
        <v>39.938898000000002</v>
      </c>
      <c r="J78" s="1117">
        <f>+Model!AH237</f>
        <v>41.166794000000003</v>
      </c>
      <c r="K78" s="1117">
        <f>+Model!AI237</f>
        <v>42.189672999999999</v>
      </c>
      <c r="L78" s="1117">
        <f>+Model!AJ237</f>
        <v>41.102424999999997</v>
      </c>
      <c r="M78" s="1117">
        <f>+Model!AK237</f>
        <v>41.690508999999999</v>
      </c>
      <c r="N78" s="1117">
        <f>+Model!AL237</f>
        <v>42.251632999999998</v>
      </c>
      <c r="O78" s="1117">
        <f>+Model!AM237</f>
        <v>40.559066000000001</v>
      </c>
      <c r="P78" s="1117">
        <f>+Model!AN237</f>
        <v>41.963399000000003</v>
      </c>
      <c r="Q78" s="1117">
        <f>+Model!AO237</f>
        <v>42.136042000000003</v>
      </c>
      <c r="R78" s="1117">
        <f>+Model!AP237</f>
        <v>42.574711999999998</v>
      </c>
      <c r="S78" s="1117">
        <f>+Model!AQ237</f>
        <v>42.076627999999999</v>
      </c>
      <c r="T78" s="1117">
        <f>+Model!AR237</f>
        <v>42.547333999999999</v>
      </c>
      <c r="U78" s="1117">
        <f>+Model!AS237</f>
        <v>42.714089999999999</v>
      </c>
      <c r="V78" s="1117">
        <f>+Model!AT237</f>
        <v>42.849355000000003</v>
      </c>
      <c r="W78" s="1117">
        <f>+Model!AU237</f>
        <v>42.982385000000001</v>
      </c>
      <c r="X78" s="1117">
        <v>43.463763</v>
      </c>
      <c r="Y78" s="1117">
        <v>43.655841000000002</v>
      </c>
      <c r="Z78" s="1117">
        <v>43.655841000000002</v>
      </c>
      <c r="AA78" s="1117">
        <v>43.708967000000001</v>
      </c>
      <c r="AB78" s="1117">
        <f t="shared" ref="AB78:AD78" si="298">+AA78</f>
        <v>43.708967000000001</v>
      </c>
      <c r="AC78" s="1117">
        <f t="shared" si="298"/>
        <v>43.708967000000001</v>
      </c>
      <c r="AD78" s="1117">
        <f t="shared" si="298"/>
        <v>43.708967000000001</v>
      </c>
      <c r="AE78" s="1117"/>
      <c r="AF78" s="1117"/>
      <c r="AG78" s="1117"/>
      <c r="AH78" s="1117"/>
      <c r="AI78" s="1117"/>
      <c r="AJ78" s="1117">
        <f>+Model!BD237</f>
        <v>39.017344999999999</v>
      </c>
      <c r="AK78" s="1117">
        <f>+Model!BE237</f>
        <v>39.230516000000001</v>
      </c>
      <c r="AL78" s="1117">
        <f>+Model!BF237</f>
        <v>37.625425</v>
      </c>
      <c r="AM78" s="1117">
        <f>+Model!BG237</f>
        <v>38.850388000000002</v>
      </c>
      <c r="AN78" s="1117">
        <f>+Model!BH237</f>
        <v>39.500934000000001</v>
      </c>
      <c r="AO78" s="1117">
        <f>+Model!BI237</f>
        <v>40.637743999999998</v>
      </c>
      <c r="AP78" s="1117">
        <f>+AVERAGE(C78:F78)</f>
        <v>40.544908</v>
      </c>
      <c r="AQ78" s="1117">
        <f>+AVERAGE(G78:J78)</f>
        <v>40.092045500000005</v>
      </c>
      <c r="AR78" s="1117">
        <f>AVERAGE(K78:N78)</f>
        <v>41.80856</v>
      </c>
      <c r="AS78" s="1117">
        <f>+AVERAGE(O78:R78)</f>
        <v>41.808304750000005</v>
      </c>
      <c r="AT78" s="1117">
        <f>+AVERAGE(S78:V78)</f>
        <v>42.546851750000002</v>
      </c>
      <c r="AU78" s="1117">
        <f>+AU77/AU79</f>
        <v>43.575588681622328</v>
      </c>
      <c r="AV78" s="1117">
        <f>+AV77/AV79</f>
        <v>43.708967000000001</v>
      </c>
      <c r="AW78" s="901"/>
      <c r="AX78" s="902"/>
      <c r="AY78" s="902"/>
      <c r="AZ78" s="902"/>
      <c r="BA78" s="902"/>
      <c r="BB78" s="902"/>
    </row>
    <row r="79" spans="1:54" ht="14" x14ac:dyDescent="0.4">
      <c r="A79" s="882" t="s">
        <v>697</v>
      </c>
      <c r="C79" s="899">
        <f t="shared" ref="C79:V79" si="299">+C77/C78</f>
        <v>-0.34456426904175574</v>
      </c>
      <c r="D79" s="899">
        <f t="shared" si="299"/>
        <v>0.60517204352805187</v>
      </c>
      <c r="E79" s="899">
        <f t="shared" si="299"/>
        <v>0.43558161825826441</v>
      </c>
      <c r="F79" s="899">
        <f t="shared" si="299"/>
        <v>7.1909664722681677E-2</v>
      </c>
      <c r="G79" s="899">
        <f t="shared" si="299"/>
        <v>-0.47051868054100382</v>
      </c>
      <c r="H79" s="899">
        <f t="shared" si="299"/>
        <v>0.57592881841273957</v>
      </c>
      <c r="I79" s="899">
        <f t="shared" si="299"/>
        <v>0.24698227777842061</v>
      </c>
      <c r="J79" s="899">
        <f t="shared" si="299"/>
        <v>0.13431407847791385</v>
      </c>
      <c r="K79" s="899">
        <f t="shared" si="299"/>
        <v>0.18216875015836206</v>
      </c>
      <c r="L79" s="899">
        <f t="shared" si="299"/>
        <v>0.6263343342880614</v>
      </c>
      <c r="M79" s="899">
        <f t="shared" si="299"/>
        <v>0.5976017227326248</v>
      </c>
      <c r="N79" s="899">
        <f t="shared" si="299"/>
        <v>0.28833489110349991</v>
      </c>
      <c r="O79" s="899">
        <f t="shared" si="299"/>
        <v>-0.2233532695254867</v>
      </c>
      <c r="P79" s="899">
        <f t="shared" si="299"/>
        <v>1.0390902796029466</v>
      </c>
      <c r="Q79" s="899">
        <f t="shared" si="299"/>
        <v>1.0311974722257964</v>
      </c>
      <c r="R79" s="899">
        <f t="shared" si="299"/>
        <v>0.66903752631374191</v>
      </c>
      <c r="S79" s="899">
        <f t="shared" si="299"/>
        <v>-0.70652049399015515</v>
      </c>
      <c r="T79" s="899">
        <f t="shared" si="299"/>
        <v>1.2167892822614934</v>
      </c>
      <c r="U79" s="899">
        <f t="shared" si="299"/>
        <v>1.2920607696429918</v>
      </c>
      <c r="V79" s="899">
        <f t="shared" si="299"/>
        <v>0.99705491482893915</v>
      </c>
      <c r="W79" s="899">
        <f>+W77/W78</f>
        <v>0.11047735019822594</v>
      </c>
      <c r="X79" s="899">
        <f>+X77/X78</f>
        <v>1.5119652663300229</v>
      </c>
      <c r="Y79" s="899">
        <f>+Y77/Y78</f>
        <v>1.5863714548529713</v>
      </c>
      <c r="Z79" s="899">
        <f t="shared" ref="Z79:AD79" si="300">+Z77/Z78</f>
        <v>1.3370595701042614</v>
      </c>
      <c r="AA79" s="899">
        <f t="shared" si="300"/>
        <v>0.91031801323513295</v>
      </c>
      <c r="AB79" s="899">
        <f t="shared" si="300"/>
        <v>2.0024938482942147</v>
      </c>
      <c r="AC79" s="899">
        <f t="shared" si="300"/>
        <v>2.0111533247403002</v>
      </c>
      <c r="AD79" s="899">
        <f t="shared" si="300"/>
        <v>1.8798731099639119</v>
      </c>
      <c r="AE79" s="898"/>
      <c r="AF79" s="898"/>
      <c r="AG79" s="898"/>
      <c r="AH79" s="898"/>
      <c r="AI79" s="898"/>
      <c r="AJ79" s="899">
        <f t="shared" ref="AJ79:AN79" si="301">+AJ77/AJ78</f>
        <v>0.88299652372553827</v>
      </c>
      <c r="AK79" s="899">
        <f t="shared" si="301"/>
        <v>0.42982814704756761</v>
      </c>
      <c r="AL79" s="899">
        <f t="shared" si="301"/>
        <v>0.29768806598197906</v>
      </c>
      <c r="AM79" s="899">
        <f t="shared" si="301"/>
        <v>0.25327366099921655</v>
      </c>
      <c r="AN79" s="899">
        <f t="shared" si="301"/>
        <v>0.27982578842312872</v>
      </c>
      <c r="AO79" s="899">
        <f>+AO77/AO78</f>
        <v>0.48273841185672123</v>
      </c>
      <c r="AP79" s="899">
        <f>+SUM(C79:F79)</f>
        <v>0.76809905746724227</v>
      </c>
      <c r="AQ79" s="899">
        <f>+SUM(G79:J79)</f>
        <v>0.48670649412807021</v>
      </c>
      <c r="AR79" s="899">
        <f>SUM(K79:N79)</f>
        <v>1.6944396982825483</v>
      </c>
      <c r="AS79" s="899">
        <f>+SUM(O79:R79)</f>
        <v>2.5159720086169983</v>
      </c>
      <c r="AT79" s="899">
        <f>+SUM(S79:V79)</f>
        <v>2.7993844727432693</v>
      </c>
      <c r="AU79" s="906">
        <f>+SUM(W79:Z79)</f>
        <v>4.5458736414854819</v>
      </c>
      <c r="AV79" s="906">
        <f>+SUM(AA79:AD79)</f>
        <v>6.8038382962335593</v>
      </c>
      <c r="AW79" s="906"/>
      <c r="AX79" s="900">
        <f>+(AU79/AQ79)^(1/4)-1</f>
        <v>0.74818566477341197</v>
      </c>
    </row>
    <row r="80" spans="1:54" x14ac:dyDescent="0.25">
      <c r="Y80" s="1571"/>
      <c r="AV80" s="906"/>
    </row>
    <row r="81" spans="1:50" x14ac:dyDescent="0.25">
      <c r="A81" s="910" t="s">
        <v>699</v>
      </c>
    </row>
    <row r="82" spans="1:50" x14ac:dyDescent="0.25">
      <c r="A82" s="876" t="s">
        <v>659</v>
      </c>
      <c r="C82" s="898">
        <f t="shared" ref="C82:W82" si="302">+C49</f>
        <v>4.7589999999999764</v>
      </c>
      <c r="D82" s="898">
        <f t="shared" si="302"/>
        <v>51</v>
      </c>
      <c r="E82" s="898">
        <f t="shared" si="302"/>
        <v>40.305000000000021</v>
      </c>
      <c r="F82" s="898">
        <f t="shared" si="302"/>
        <v>20.821999999999974</v>
      </c>
      <c r="G82" s="898">
        <f t="shared" si="302"/>
        <v>-2.2420000000000169</v>
      </c>
      <c r="H82" s="898">
        <f t="shared" si="302"/>
        <v>47.535000000000018</v>
      </c>
      <c r="I82" s="898">
        <f t="shared" si="302"/>
        <v>32.913000000000011</v>
      </c>
      <c r="J82" s="898">
        <f t="shared" si="302"/>
        <v>26.342000000000152</v>
      </c>
      <c r="K82" s="898">
        <f t="shared" si="302"/>
        <v>30.340999999999994</v>
      </c>
      <c r="L82" s="898">
        <f t="shared" si="302"/>
        <v>61.612999999999957</v>
      </c>
      <c r="M82" s="898">
        <f t="shared" si="302"/>
        <v>62.152999999999992</v>
      </c>
      <c r="N82" s="898">
        <f t="shared" si="302"/>
        <v>46.426000000000059</v>
      </c>
      <c r="O82" s="898">
        <f t="shared" si="302"/>
        <v>17.169999999999995</v>
      </c>
      <c r="P82" s="898">
        <f t="shared" si="302"/>
        <v>82.095000000000027</v>
      </c>
      <c r="Q82" s="898">
        <f t="shared" si="302"/>
        <v>84.730999999999995</v>
      </c>
      <c r="R82" s="898">
        <f t="shared" si="302"/>
        <v>70.545999999999992</v>
      </c>
      <c r="S82" s="898">
        <f t="shared" si="302"/>
        <v>-2.4679999999999946</v>
      </c>
      <c r="T82" s="898">
        <f t="shared" si="302"/>
        <v>95.53600000000003</v>
      </c>
      <c r="U82" s="898">
        <f t="shared" si="302"/>
        <v>99.14100000000002</v>
      </c>
      <c r="V82" s="898">
        <f t="shared" si="302"/>
        <v>83.647999999999968</v>
      </c>
      <c r="W82" s="898">
        <f t="shared" si="302"/>
        <v>31.336999999999961</v>
      </c>
      <c r="X82" s="898">
        <f t="shared" ref="X82:Y82" si="303">+X49</f>
        <v>110.752</v>
      </c>
      <c r="Y82" s="898">
        <f t="shared" si="303"/>
        <v>115.297</v>
      </c>
      <c r="Z82" s="898">
        <f t="shared" ref="Z82" si="304">+Z49</f>
        <v>101.89700000000001</v>
      </c>
      <c r="AA82" s="898">
        <f t="shared" ref="AA82" si="305">+AA49</f>
        <v>75.478000000000009</v>
      </c>
      <c r="AB82" s="898">
        <f t="shared" ref="AB82:AD82" si="306">+AB49</f>
        <v>140.17164531458764</v>
      </c>
      <c r="AC82" s="898">
        <f t="shared" si="306"/>
        <v>139.86612743650551</v>
      </c>
      <c r="AD82" s="898">
        <f t="shared" si="306"/>
        <v>132.24890773999999</v>
      </c>
      <c r="AJ82" s="898">
        <f t="shared" ref="AJ82:AU82" si="307">+AJ49</f>
        <v>111.44300000000001</v>
      </c>
      <c r="AK82" s="898">
        <f t="shared" si="307"/>
        <v>109.12299999999993</v>
      </c>
      <c r="AL82" s="898">
        <f t="shared" si="307"/>
        <v>102.22800000000001</v>
      </c>
      <c r="AM82" s="898">
        <f t="shared" si="307"/>
        <v>82.139000000000038</v>
      </c>
      <c r="AN82" s="898">
        <f t="shared" si="307"/>
        <v>87.408999999999963</v>
      </c>
      <c r="AO82" s="898">
        <f t="shared" si="307"/>
        <v>100.80500000000001</v>
      </c>
      <c r="AP82" s="898">
        <f t="shared" si="307"/>
        <v>116.88599999999997</v>
      </c>
      <c r="AQ82" s="898">
        <f t="shared" si="307"/>
        <v>104.54800000000017</v>
      </c>
      <c r="AR82" s="898">
        <f t="shared" si="307"/>
        <v>200.53300000000002</v>
      </c>
      <c r="AS82" s="898">
        <f t="shared" si="307"/>
        <v>254.542</v>
      </c>
      <c r="AT82" s="898">
        <f t="shared" si="307"/>
        <v>275.85700000000003</v>
      </c>
      <c r="AU82" s="898">
        <f t="shared" si="307"/>
        <v>359.28299999999996</v>
      </c>
      <c r="AV82" s="898">
        <f t="shared" ref="AV82" si="308">+AV49</f>
        <v>487.76468049109315</v>
      </c>
    </row>
    <row r="83" spans="1:50" x14ac:dyDescent="0.25">
      <c r="A83" s="911" t="s">
        <v>700</v>
      </c>
      <c r="C83" s="898">
        <f t="shared" ref="C83:W83" si="309">-C60</f>
        <v>-21.257999999999999</v>
      </c>
      <c r="D83" s="898">
        <f t="shared" si="309"/>
        <v>-12.956000000000001</v>
      </c>
      <c r="E83" s="898">
        <f t="shared" si="309"/>
        <v>-16.407</v>
      </c>
      <c r="F83" s="898">
        <f t="shared" si="309"/>
        <v>-18.819000000000003</v>
      </c>
      <c r="G83" s="898">
        <f t="shared" si="309"/>
        <v>-24.43</v>
      </c>
      <c r="H83" s="898">
        <f t="shared" si="309"/>
        <v>-16.835999999999999</v>
      </c>
      <c r="I83" s="898">
        <f t="shared" si="309"/>
        <v>-16.118000000000002</v>
      </c>
      <c r="J83" s="898">
        <f t="shared" si="309"/>
        <v>-15.288</v>
      </c>
      <c r="K83" s="898">
        <f t="shared" si="309"/>
        <v>-18.467000000000002</v>
      </c>
      <c r="L83" s="898">
        <f t="shared" si="309"/>
        <v>-16.542000000000002</v>
      </c>
      <c r="M83" s="898">
        <f t="shared" si="309"/>
        <v>-16.992000000000004</v>
      </c>
      <c r="N83" s="898">
        <f t="shared" si="309"/>
        <v>-24.576999999999995</v>
      </c>
      <c r="O83" s="898">
        <f t="shared" si="309"/>
        <v>-22.364000000000001</v>
      </c>
      <c r="P83" s="898">
        <f t="shared" si="309"/>
        <v>-21.875999999999998</v>
      </c>
      <c r="Q83" s="898">
        <f t="shared" si="309"/>
        <v>-27.611000000000001</v>
      </c>
      <c r="R83" s="898">
        <f t="shared" si="309"/>
        <v>-28.786000000000005</v>
      </c>
      <c r="S83" s="898">
        <f t="shared" si="309"/>
        <v>-26.164999999999999</v>
      </c>
      <c r="T83" s="898">
        <f t="shared" si="309"/>
        <v>-27.522000000000002</v>
      </c>
      <c r="U83" s="898">
        <f t="shared" si="309"/>
        <v>-26.501999999999999</v>
      </c>
      <c r="V83" s="898">
        <f t="shared" si="309"/>
        <v>-29.315000000000005</v>
      </c>
      <c r="W83" s="898">
        <f t="shared" si="309"/>
        <v>-27.87</v>
      </c>
      <c r="X83" s="898">
        <f t="shared" ref="X83:Y83" si="310">-X60</f>
        <v>-23.457000000000001</v>
      </c>
      <c r="Y83" s="898">
        <f t="shared" si="310"/>
        <v>-26.049000000000003</v>
      </c>
      <c r="Z83" s="898">
        <f t="shared" ref="Z83" si="311">-Z60</f>
        <v>-25.131999999999991</v>
      </c>
      <c r="AA83" s="898">
        <f t="shared" ref="AA83" si="312">-AA60</f>
        <v>-23.532</v>
      </c>
      <c r="AB83" s="898">
        <f t="shared" ref="AB83:AD83" si="313">-AB60</f>
        <v>-26.587937092479617</v>
      </c>
      <c r="AC83" s="898">
        <f t="shared" si="313"/>
        <v>-29.085846286785504</v>
      </c>
      <c r="AD83" s="898">
        <f t="shared" si="313"/>
        <v>-27.849846151292709</v>
      </c>
      <c r="AJ83" s="898">
        <f t="shared" ref="AJ83:AU83" si="314">-AJ60</f>
        <v>-70.62</v>
      </c>
      <c r="AK83" s="898">
        <f t="shared" si="314"/>
        <v>-72.063000000000002</v>
      </c>
      <c r="AL83" s="898">
        <f t="shared" si="314"/>
        <v>-83.679000000000002</v>
      </c>
      <c r="AM83" s="898">
        <f t="shared" si="314"/>
        <v>-80.302000000000007</v>
      </c>
      <c r="AN83" s="898">
        <f t="shared" si="314"/>
        <v>-63.921000000000006</v>
      </c>
      <c r="AO83" s="898">
        <f t="shared" si="314"/>
        <v>-56.504000000000005</v>
      </c>
      <c r="AP83" s="898">
        <f t="shared" si="314"/>
        <v>-69.44</v>
      </c>
      <c r="AQ83" s="898">
        <f t="shared" si="314"/>
        <v>-72.671999999999997</v>
      </c>
      <c r="AR83" s="898">
        <f t="shared" si="314"/>
        <v>-76.578000000000003</v>
      </c>
      <c r="AS83" s="898">
        <f t="shared" si="314"/>
        <v>-100.637</v>
      </c>
      <c r="AT83" s="898">
        <f t="shared" si="314"/>
        <v>-109.504</v>
      </c>
      <c r="AU83" s="898">
        <f t="shared" si="314"/>
        <v>-102.508</v>
      </c>
      <c r="AV83" s="898">
        <f t="shared" ref="AV83" si="315">-AV60</f>
        <v>-107.05562953055782</v>
      </c>
    </row>
    <row r="84" spans="1:50" x14ac:dyDescent="0.25">
      <c r="A84" s="876" t="s">
        <v>701</v>
      </c>
      <c r="C84" s="898">
        <f>-C74</f>
        <v>0.50900000000000001</v>
      </c>
      <c r="D84" s="898">
        <f t="shared" ref="D84:W84" si="316">-D74</f>
        <v>-0.31200000000000006</v>
      </c>
      <c r="E84" s="898">
        <f t="shared" si="316"/>
        <v>1.31</v>
      </c>
      <c r="F84" s="898">
        <f t="shared" si="316"/>
        <v>1.3680000000000001</v>
      </c>
      <c r="G84" s="898">
        <f t="shared" si="316"/>
        <v>0.90200000000000002</v>
      </c>
      <c r="H84" s="898">
        <f t="shared" si="316"/>
        <v>0.80600000000000005</v>
      </c>
      <c r="I84" s="898">
        <f t="shared" si="316"/>
        <v>-1.169</v>
      </c>
      <c r="J84" s="898">
        <f t="shared" si="316"/>
        <v>0.43099999999999983</v>
      </c>
      <c r="K84" s="898">
        <f t="shared" si="316"/>
        <v>-1.6780000000000002</v>
      </c>
      <c r="L84" s="898">
        <f t="shared" si="316"/>
        <v>-3.6630000000000003</v>
      </c>
      <c r="M84" s="898">
        <f t="shared" si="316"/>
        <v>-4.8850000000000007</v>
      </c>
      <c r="N84" s="898">
        <f t="shared" si="316"/>
        <v>-4.9239999999999986</v>
      </c>
      <c r="O84" s="898">
        <f t="shared" si="316"/>
        <v>-2.0820000000000003</v>
      </c>
      <c r="P84" s="898">
        <f t="shared" si="316"/>
        <v>2.0089999999999999</v>
      </c>
      <c r="Q84" s="898">
        <f t="shared" si="316"/>
        <v>-1.8770000000000002</v>
      </c>
      <c r="R84" s="898">
        <f t="shared" si="316"/>
        <v>-7.6039999999999983</v>
      </c>
      <c r="S84" s="898">
        <f t="shared" si="316"/>
        <v>-1.0089999999999999</v>
      </c>
      <c r="T84" s="898">
        <f t="shared" si="316"/>
        <v>1.8879999999999999</v>
      </c>
      <c r="U84" s="898">
        <f t="shared" si="316"/>
        <v>2.3809999999999998</v>
      </c>
      <c r="V84" s="898">
        <f t="shared" si="316"/>
        <v>3.7879999999999998</v>
      </c>
      <c r="W84" s="898">
        <f t="shared" si="316"/>
        <v>3.097</v>
      </c>
      <c r="X84" s="898">
        <f t="shared" ref="X84:Y84" si="317">-X74</f>
        <v>4.516</v>
      </c>
      <c r="Y84" s="898">
        <f t="shared" si="317"/>
        <v>5.274</v>
      </c>
      <c r="Z84" s="898">
        <f t="shared" ref="Z84:AA84" si="318">-Z74</f>
        <v>5.2010000000000005</v>
      </c>
      <c r="AA84" s="898">
        <f t="shared" si="318"/>
        <v>6.4250000000000007</v>
      </c>
      <c r="AB84" s="898">
        <f t="shared" ref="AB84:AD84" si="319">-AB74</f>
        <v>6.4250000000000007</v>
      </c>
      <c r="AC84" s="898">
        <f t="shared" si="319"/>
        <v>6.4250000000000007</v>
      </c>
      <c r="AD84" s="898">
        <f t="shared" si="319"/>
        <v>6.4250000000000007</v>
      </c>
      <c r="AJ84" s="898">
        <f t="shared" ref="AJ84:AO84" si="320">-AJ74</f>
        <v>0.85099999999999998</v>
      </c>
      <c r="AK84" s="898">
        <f t="shared" si="320"/>
        <v>-6.9000000000000006E-2</v>
      </c>
      <c r="AL84" s="898">
        <f t="shared" si="320"/>
        <v>-3.2909999999999999</v>
      </c>
      <c r="AM84" s="898">
        <f t="shared" si="320"/>
        <v>-0.61699999999999999</v>
      </c>
      <c r="AN84" s="898">
        <f t="shared" si="320"/>
        <v>1.8080000000000001</v>
      </c>
      <c r="AO84" s="898">
        <f t="shared" si="320"/>
        <v>0.96499999999999997</v>
      </c>
      <c r="AP84" s="898">
        <f t="shared" ref="AP84:AU84" si="321">-AP74</f>
        <v>2.875</v>
      </c>
      <c r="AQ84" s="898">
        <f t="shared" si="321"/>
        <v>0.97</v>
      </c>
      <c r="AR84" s="898">
        <f t="shared" si="321"/>
        <v>-15.149999999999999</v>
      </c>
      <c r="AS84" s="898">
        <f t="shared" si="321"/>
        <v>-9.5539999999999985</v>
      </c>
      <c r="AT84" s="898">
        <f t="shared" si="321"/>
        <v>7.048</v>
      </c>
      <c r="AU84" s="898">
        <f t="shared" si="321"/>
        <v>18.088000000000001</v>
      </c>
      <c r="AV84" s="898">
        <f t="shared" ref="AV84" si="322">-AV74</f>
        <v>25.700000000000003</v>
      </c>
    </row>
    <row r="85" spans="1:50" s="900" customFormat="1" ht="14" x14ac:dyDescent="0.4">
      <c r="A85" s="876" t="s">
        <v>702</v>
      </c>
      <c r="C85" s="905">
        <f>-C76</f>
        <v>0</v>
      </c>
      <c r="D85" s="905">
        <f t="shared" ref="D85:W85" si="323">-D76</f>
        <v>-8.5742800000000017</v>
      </c>
      <c r="E85" s="905">
        <f t="shared" si="323"/>
        <v>-6.3900200000000043</v>
      </c>
      <c r="F85" s="905">
        <f t="shared" si="323"/>
        <v>-1.052739999999992</v>
      </c>
      <c r="G85" s="905">
        <f t="shared" si="323"/>
        <v>0</v>
      </c>
      <c r="H85" s="905">
        <f t="shared" si="323"/>
        <v>-8.0888600000000075</v>
      </c>
      <c r="I85" s="905">
        <f t="shared" si="323"/>
        <v>-3.4658000000000024</v>
      </c>
      <c r="J85" s="905">
        <f t="shared" si="323"/>
        <v>-1.94272000000004</v>
      </c>
      <c r="K85" s="905">
        <f t="shared" si="323"/>
        <v>-2.7003599999999981</v>
      </c>
      <c r="L85" s="905">
        <f t="shared" si="323"/>
        <v>-9.0451399999999893</v>
      </c>
      <c r="M85" s="905">
        <f t="shared" si="323"/>
        <v>-8.7536799999999992</v>
      </c>
      <c r="N85" s="905">
        <f t="shared" si="323"/>
        <v>-4.2803800000000152</v>
      </c>
      <c r="O85" s="905">
        <f t="shared" si="323"/>
        <v>0</v>
      </c>
      <c r="P85" s="905">
        <f t="shared" si="323"/>
        <v>-15.320240000000005</v>
      </c>
      <c r="Q85" s="905">
        <f t="shared" si="323"/>
        <v>-15.266419999999998</v>
      </c>
      <c r="R85" s="905">
        <f t="shared" si="323"/>
        <v>-10.007919999999997</v>
      </c>
      <c r="S85" s="905">
        <f t="shared" si="323"/>
        <v>0</v>
      </c>
      <c r="T85" s="905">
        <f t="shared" si="323"/>
        <v>-18.18986000000001</v>
      </c>
      <c r="U85" s="905">
        <f t="shared" si="323"/>
        <v>-19.390800000000002</v>
      </c>
      <c r="V85" s="905">
        <f t="shared" si="323"/>
        <v>-15.010839999999991</v>
      </c>
      <c r="W85" s="905">
        <f t="shared" si="323"/>
        <v>-1.6684199999999907</v>
      </c>
      <c r="X85" s="905">
        <f t="shared" ref="X85:Y85" si="324">-X76</f>
        <v>-23.089300000000001</v>
      </c>
      <c r="Y85" s="905">
        <f t="shared" si="324"/>
        <v>-24.332620000000002</v>
      </c>
      <c r="Z85" s="905">
        <f t="shared" ref="Z85:AA85" si="325">-Z76</f>
        <v>-20.50854</v>
      </c>
      <c r="AA85" s="905">
        <f t="shared" si="325"/>
        <v>-13.979939999999997</v>
      </c>
      <c r="AB85" s="905">
        <f t="shared" ref="AB85:AD85" si="326">-AB76</f>
        <v>-30.752707781792779</v>
      </c>
      <c r="AC85" s="905">
        <f t="shared" si="326"/>
        <v>-30.885693133491433</v>
      </c>
      <c r="AD85" s="905">
        <f t="shared" si="326"/>
        <v>-28.869596012399999</v>
      </c>
      <c r="AJ85" s="905">
        <f t="shared" ref="AJ85:AO85" si="327">-AJ76</f>
        <v>-12.104820000000005</v>
      </c>
      <c r="AK85" s="905">
        <f t="shared" si="327"/>
        <v>-5.924619999999984</v>
      </c>
      <c r="AL85" s="905">
        <f t="shared" si="327"/>
        <v>-3.935360000000002</v>
      </c>
      <c r="AM85" s="905">
        <f t="shared" si="327"/>
        <v>-3.4572200000000115</v>
      </c>
      <c r="AN85" s="905">
        <f t="shared" si="327"/>
        <v>-3.8836199999999903</v>
      </c>
      <c r="AO85" s="905">
        <f t="shared" si="327"/>
        <v>-6.8926000000000007</v>
      </c>
      <c r="AP85" s="905">
        <f t="shared" ref="AP85:AU85" si="328">-AP76</f>
        <v>-12.573859999999998</v>
      </c>
      <c r="AQ85" s="905">
        <f t="shared" si="328"/>
        <v>-8.6910200000000462</v>
      </c>
      <c r="AR85" s="905">
        <f t="shared" si="328"/>
        <v>-24.779560000000004</v>
      </c>
      <c r="AS85" s="905">
        <f t="shared" si="328"/>
        <v>-38.239240000000002</v>
      </c>
      <c r="AT85" s="905">
        <f t="shared" si="328"/>
        <v>-44.862220000000015</v>
      </c>
      <c r="AU85" s="905">
        <f t="shared" si="328"/>
        <v>-69.598880000000008</v>
      </c>
      <c r="AV85" s="905">
        <f t="shared" ref="AV85" si="329">-AV76</f>
        <v>-104.48793692768422</v>
      </c>
    </row>
    <row r="86" spans="1:50" ht="14" x14ac:dyDescent="0.4">
      <c r="A86" s="882" t="s">
        <v>699</v>
      </c>
      <c r="C86" s="898">
        <f>+SUM(C82:C85)</f>
        <v>-15.990000000000023</v>
      </c>
      <c r="D86" s="898">
        <f t="shared" ref="D86:W86" si="330">+SUM(D82:D85)</f>
        <v>29.157719999999998</v>
      </c>
      <c r="E86" s="898">
        <f t="shared" si="330"/>
        <v>18.817980000000016</v>
      </c>
      <c r="F86" s="898">
        <f t="shared" si="330"/>
        <v>2.31825999999998</v>
      </c>
      <c r="G86" s="898">
        <f t="shared" si="330"/>
        <v>-25.770000000000017</v>
      </c>
      <c r="H86" s="898">
        <f t="shared" si="330"/>
        <v>23.416140000000013</v>
      </c>
      <c r="I86" s="898">
        <f t="shared" si="330"/>
        <v>12.160200000000007</v>
      </c>
      <c r="J86" s="898">
        <f t="shared" si="330"/>
        <v>9.54228000000011</v>
      </c>
      <c r="K86" s="898">
        <f t="shared" si="330"/>
        <v>7.4956399999999928</v>
      </c>
      <c r="L86" s="898">
        <f t="shared" si="330"/>
        <v>32.362859999999969</v>
      </c>
      <c r="M86" s="898">
        <f t="shared" si="330"/>
        <v>31.52231999999999</v>
      </c>
      <c r="N86" s="898">
        <f t="shared" si="330"/>
        <v>12.644620000000049</v>
      </c>
      <c r="O86" s="898">
        <f t="shared" si="330"/>
        <v>-7.2760000000000069</v>
      </c>
      <c r="P86" s="898">
        <f t="shared" si="330"/>
        <v>46.907760000000025</v>
      </c>
      <c r="Q86" s="898">
        <f t="shared" si="330"/>
        <v>39.976579999999991</v>
      </c>
      <c r="R86" s="898">
        <f t="shared" si="330"/>
        <v>24.148079999999993</v>
      </c>
      <c r="S86" s="898">
        <f t="shared" si="330"/>
        <v>-29.641999999999996</v>
      </c>
      <c r="T86" s="898">
        <f t="shared" si="330"/>
        <v>51.712140000000019</v>
      </c>
      <c r="U86" s="898">
        <f t="shared" si="330"/>
        <v>55.629200000000026</v>
      </c>
      <c r="V86" s="898">
        <f t="shared" si="330"/>
        <v>43.110159999999965</v>
      </c>
      <c r="W86" s="898">
        <f t="shared" si="330"/>
        <v>4.8955799999999687</v>
      </c>
      <c r="X86" s="898">
        <f t="shared" ref="X86:Y86" si="331">+SUM(X82:X85)</f>
        <v>68.721699999999998</v>
      </c>
      <c r="Y86" s="898">
        <f t="shared" si="331"/>
        <v>70.189379999999986</v>
      </c>
      <c r="Z86" s="898">
        <f t="shared" ref="Z86:AA86" si="332">+SUM(Z82:Z85)</f>
        <v>61.457460000000012</v>
      </c>
      <c r="AA86" s="898">
        <f t="shared" si="332"/>
        <v>44.39106000000001</v>
      </c>
      <c r="AB86" s="898">
        <f t="shared" ref="AB86:AD86" si="333">+SUM(AB82:AB85)</f>
        <v>89.256000440315233</v>
      </c>
      <c r="AC86" s="898">
        <f t="shared" si="333"/>
        <v>86.319588016228565</v>
      </c>
      <c r="AD86" s="898">
        <f t="shared" si="333"/>
        <v>81.954465576307285</v>
      </c>
      <c r="AJ86" s="898">
        <f t="shared" ref="AJ86:AO86" si="334">+SUM(AJ82:AJ85)</f>
        <v>29.569180000000003</v>
      </c>
      <c r="AK86" s="898">
        <f t="shared" si="334"/>
        <v>31.066379999999945</v>
      </c>
      <c r="AL86" s="898">
        <f t="shared" si="334"/>
        <v>11.322640000000003</v>
      </c>
      <c r="AM86" s="898">
        <f t="shared" si="334"/>
        <v>-2.2372199999999798</v>
      </c>
      <c r="AN86" s="898">
        <f t="shared" si="334"/>
        <v>21.412379999999967</v>
      </c>
      <c r="AO86" s="898">
        <f t="shared" si="334"/>
        <v>38.373400000000004</v>
      </c>
      <c r="AP86" s="898">
        <f t="shared" ref="AP86:AU86" si="335">+SUM(AP82:AP85)</f>
        <v>37.747139999999973</v>
      </c>
      <c r="AQ86" s="898">
        <f t="shared" si="335"/>
        <v>24.15498000000013</v>
      </c>
      <c r="AR86" s="898">
        <f t="shared" si="335"/>
        <v>84.025440000000003</v>
      </c>
      <c r="AS86" s="898">
        <f t="shared" si="335"/>
        <v>106.11176</v>
      </c>
      <c r="AT86" s="898">
        <f t="shared" si="335"/>
        <v>128.53878</v>
      </c>
      <c r="AU86" s="898">
        <f t="shared" si="335"/>
        <v>205.26411999999999</v>
      </c>
      <c r="AV86" s="898">
        <f t="shared" ref="AV86" si="336">+SUM(AV82:AV85)</f>
        <v>301.92111403285105</v>
      </c>
      <c r="AX86" s="900">
        <f>+(AU86/AQ86)^(1/4)-1</f>
        <v>0.70736584710132244</v>
      </c>
    </row>
    <row r="87" spans="1:50" ht="13" x14ac:dyDescent="0.3">
      <c r="A87" s="912"/>
    </row>
    <row r="88" spans="1:50" x14ac:dyDescent="0.25">
      <c r="A88" s="911" t="s">
        <v>658</v>
      </c>
      <c r="C88" s="898">
        <f t="shared" ref="C88:W88" si="337">+C48</f>
        <v>4.024</v>
      </c>
      <c r="D88" s="898">
        <f t="shared" si="337"/>
        <v>4.1399999999999997</v>
      </c>
      <c r="E88" s="898">
        <f t="shared" si="337"/>
        <v>3.9500000000000011</v>
      </c>
      <c r="F88" s="898">
        <f t="shared" si="337"/>
        <v>4.5619999999999976</v>
      </c>
      <c r="G88" s="898">
        <f t="shared" si="337"/>
        <v>5.5220000000000002</v>
      </c>
      <c r="H88" s="898">
        <f t="shared" si="337"/>
        <v>6.1769999999999996</v>
      </c>
      <c r="I88" s="898">
        <f t="shared" si="337"/>
        <v>6.0860000000000003</v>
      </c>
      <c r="J88" s="898">
        <f t="shared" si="337"/>
        <v>5.8240000000000016</v>
      </c>
      <c r="K88" s="898">
        <f t="shared" si="337"/>
        <v>8.8930000000000007</v>
      </c>
      <c r="L88" s="898">
        <f t="shared" si="337"/>
        <v>9.0739999999999981</v>
      </c>
      <c r="M88" s="898">
        <f t="shared" si="337"/>
        <v>12.854000000000003</v>
      </c>
      <c r="N88" s="898">
        <f t="shared" si="337"/>
        <v>8.5119999999999969</v>
      </c>
      <c r="O88" s="898">
        <f t="shared" si="337"/>
        <v>8.2859999999999996</v>
      </c>
      <c r="P88" s="898">
        <f t="shared" si="337"/>
        <v>0.60200000000000031</v>
      </c>
      <c r="Q88" s="898">
        <f t="shared" si="337"/>
        <v>5.5760000000000005</v>
      </c>
      <c r="R88" s="898">
        <f t="shared" si="337"/>
        <v>4.1059999999999999</v>
      </c>
      <c r="S88" s="898">
        <f t="shared" si="337"/>
        <v>5.51</v>
      </c>
      <c r="T88" s="898">
        <f t="shared" si="337"/>
        <v>4.9410000000000007</v>
      </c>
      <c r="U88" s="898">
        <f t="shared" si="337"/>
        <v>4.7449999999999992</v>
      </c>
      <c r="V88" s="898">
        <f t="shared" si="337"/>
        <v>5.1240000000000006</v>
      </c>
      <c r="W88" s="898">
        <f t="shared" si="337"/>
        <v>8.4260000000000002</v>
      </c>
      <c r="X88" s="898">
        <f t="shared" ref="X88:Y88" si="338">+X48</f>
        <v>7.5960000000000001</v>
      </c>
      <c r="Y88" s="898">
        <f t="shared" si="338"/>
        <v>5.25</v>
      </c>
      <c r="Z88" s="898">
        <f t="shared" ref="Z88:AD88" si="339">+Z48</f>
        <v>10.19</v>
      </c>
      <c r="AA88" s="898">
        <f t="shared" ref="AA88" si="340">+AA48</f>
        <v>8.4489999999999998</v>
      </c>
      <c r="AB88" s="1184">
        <f t="shared" si="339"/>
        <v>8</v>
      </c>
      <c r="AC88" s="1184">
        <f t="shared" si="339"/>
        <v>10</v>
      </c>
      <c r="AD88" s="1184">
        <f t="shared" si="339"/>
        <v>12</v>
      </c>
      <c r="AJ88" s="898">
        <f t="shared" ref="AJ88:AT88" si="341">+AJ48</f>
        <v>14.374000000000001</v>
      </c>
      <c r="AK88" s="898">
        <f t="shared" si="341"/>
        <v>22.827999999999999</v>
      </c>
      <c r="AL88" s="898">
        <f t="shared" si="341"/>
        <v>21.298999999999999</v>
      </c>
      <c r="AM88" s="898">
        <f t="shared" si="341"/>
        <v>18.616</v>
      </c>
      <c r="AN88" s="898">
        <f t="shared" si="341"/>
        <v>22.597999999999999</v>
      </c>
      <c r="AO88" s="898">
        <f t="shared" si="341"/>
        <v>20.817</v>
      </c>
      <c r="AP88" s="898">
        <f t="shared" si="341"/>
        <v>16.675999999999998</v>
      </c>
      <c r="AQ88" s="898">
        <f t="shared" si="341"/>
        <v>23.609000000000002</v>
      </c>
      <c r="AR88" s="898">
        <f t="shared" si="341"/>
        <v>39.332999999999998</v>
      </c>
      <c r="AS88" s="898">
        <f t="shared" si="341"/>
        <v>18.57</v>
      </c>
      <c r="AT88" s="898">
        <f t="shared" si="341"/>
        <v>20.32</v>
      </c>
      <c r="AU88" s="898">
        <f>SUM(W88:Z88)</f>
        <v>31.461999999999996</v>
      </c>
      <c r="AV88" s="1184">
        <f>+SUM(AA88:AD88)</f>
        <v>38.448999999999998</v>
      </c>
    </row>
    <row r="89" spans="1:50" s="900" customFormat="1" ht="14" x14ac:dyDescent="0.4">
      <c r="A89" s="911" t="s">
        <v>703</v>
      </c>
      <c r="C89" s="905">
        <f>+C90-C88-C86</f>
        <v>-58.383999999999972</v>
      </c>
      <c r="D89" s="905">
        <f t="shared" ref="D89:W89" si="342">+D90-D88-D86</f>
        <v>27.723280000000003</v>
      </c>
      <c r="E89" s="905">
        <f t="shared" si="342"/>
        <v>9.2360199999999857</v>
      </c>
      <c r="F89" s="905">
        <f t="shared" si="342"/>
        <v>42.610740000000021</v>
      </c>
      <c r="G89" s="905">
        <f t="shared" si="342"/>
        <v>-90.995999999999981</v>
      </c>
      <c r="H89" s="905">
        <f t="shared" si="342"/>
        <v>19.119859999999996</v>
      </c>
      <c r="I89" s="905">
        <f t="shared" si="342"/>
        <v>-10.074200000000003</v>
      </c>
      <c r="J89" s="905">
        <f t="shared" si="342"/>
        <v>46.735719999999894</v>
      </c>
      <c r="K89" s="905">
        <f t="shared" si="342"/>
        <v>-149.38863999999998</v>
      </c>
      <c r="L89" s="905">
        <f t="shared" si="342"/>
        <v>-23.402859999999976</v>
      </c>
      <c r="M89" s="905">
        <f t="shared" si="342"/>
        <v>29.710680000000028</v>
      </c>
      <c r="N89" s="905">
        <f t="shared" si="342"/>
        <v>77.294379999999947</v>
      </c>
      <c r="O89" s="905">
        <f t="shared" si="342"/>
        <v>-154.88399999999999</v>
      </c>
      <c r="P89" s="905">
        <f t="shared" si="342"/>
        <v>50.45623999999998</v>
      </c>
      <c r="Q89" s="905">
        <f t="shared" si="342"/>
        <v>19.907419999999988</v>
      </c>
      <c r="R89" s="905">
        <f t="shared" si="342"/>
        <v>68.440920000000006</v>
      </c>
      <c r="S89" s="905">
        <f t="shared" si="342"/>
        <v>-145.17899999999997</v>
      </c>
      <c r="T89" s="905">
        <f t="shared" si="342"/>
        <v>80.152860000000018</v>
      </c>
      <c r="U89" s="905">
        <f t="shared" si="342"/>
        <v>-1.8382000000000076</v>
      </c>
      <c r="V89" s="905">
        <f t="shared" si="342"/>
        <v>19.380840000000042</v>
      </c>
      <c r="W89" s="905">
        <f t="shared" si="342"/>
        <v>-176.49658000000002</v>
      </c>
      <c r="X89" s="905">
        <f t="shared" ref="X89:Y89" si="343">+X90-X88-X86</f>
        <v>73.559300000000007</v>
      </c>
      <c r="Y89" s="905">
        <f t="shared" si="343"/>
        <v>-32.92237999999999</v>
      </c>
      <c r="Z89" s="905">
        <f t="shared" ref="Z89:AA89" si="344">+Z90-Z88-Z86</f>
        <v>75.422539999999984</v>
      </c>
      <c r="AA89" s="905">
        <f t="shared" si="344"/>
        <v>-218.37606000000002</v>
      </c>
      <c r="AB89" s="905">
        <f>+X89/(X11-T11)*(AB11-X11)</f>
        <v>106.75557459542561</v>
      </c>
      <c r="AC89" s="905">
        <f>+Y89/(Y11-U11)*(AC11-Y11)</f>
        <v>-39.543751950343392</v>
      </c>
      <c r="AD89" s="905">
        <f>+Z89/(Z11-V11)*(AD11-Z11)</f>
        <v>85.947346758303141</v>
      </c>
      <c r="AJ89" s="905">
        <f t="shared" ref="AJ89:AO89" si="345">+AJ90-AJ88-AJ86</f>
        <v>-114.56318</v>
      </c>
      <c r="AK89" s="905">
        <f t="shared" si="345"/>
        <v>-125.95737999999994</v>
      </c>
      <c r="AL89" s="905">
        <f t="shared" si="345"/>
        <v>-116.30064000000002</v>
      </c>
      <c r="AM89" s="905">
        <f t="shared" si="345"/>
        <v>25.097219999999965</v>
      </c>
      <c r="AN89" s="905">
        <f t="shared" si="345"/>
        <v>-19.203379999999978</v>
      </c>
      <c r="AO89" s="905">
        <f t="shared" si="345"/>
        <v>-12.067399999999999</v>
      </c>
      <c r="AP89" s="905">
        <f>+AP90-AP88-AP86</f>
        <v>17.74286000000005</v>
      </c>
      <c r="AQ89" s="905">
        <f>+AQ90-AQ88-AQ86</f>
        <v>-40.020980000000108</v>
      </c>
      <c r="AR89" s="905">
        <f>+AR90-AR88-AR86</f>
        <v>-65.786439999999999</v>
      </c>
      <c r="AS89" s="905">
        <f>+AS90-AS88-AS86</f>
        <v>-18.434759999999983</v>
      </c>
      <c r="AT89" s="905">
        <f>+AT90-AT88-AT86</f>
        <v>-55.212779999999952</v>
      </c>
      <c r="AU89" s="905">
        <f>SUM(W89:Z89)</f>
        <v>-60.437120000000036</v>
      </c>
      <c r="AV89" s="905">
        <f t="shared" ref="AV89:AV90" si="346">+SUM(AA89:AD89)</f>
        <v>-65.216890596614675</v>
      </c>
    </row>
    <row r="90" spans="1:50" ht="14" x14ac:dyDescent="0.4">
      <c r="A90" s="882" t="s">
        <v>704</v>
      </c>
      <c r="C90" s="898">
        <f t="shared" ref="C90:W90" si="347">+C99+C83</f>
        <v>-70.349999999999994</v>
      </c>
      <c r="D90" s="898">
        <f t="shared" si="347"/>
        <v>61.021000000000001</v>
      </c>
      <c r="E90" s="898">
        <f t="shared" si="347"/>
        <v>32.004000000000005</v>
      </c>
      <c r="F90" s="898">
        <f t="shared" si="347"/>
        <v>49.491</v>
      </c>
      <c r="G90" s="898">
        <f t="shared" si="347"/>
        <v>-111.244</v>
      </c>
      <c r="H90" s="898">
        <f t="shared" si="347"/>
        <v>48.713000000000008</v>
      </c>
      <c r="I90" s="898">
        <f t="shared" si="347"/>
        <v>8.1720000000000041</v>
      </c>
      <c r="J90" s="898">
        <f t="shared" si="347"/>
        <v>62.102000000000004</v>
      </c>
      <c r="K90" s="898">
        <f t="shared" si="347"/>
        <v>-133</v>
      </c>
      <c r="L90" s="898">
        <f t="shared" si="347"/>
        <v>18.033999999999992</v>
      </c>
      <c r="M90" s="898">
        <f t="shared" si="347"/>
        <v>74.087000000000018</v>
      </c>
      <c r="N90" s="898">
        <f t="shared" si="347"/>
        <v>98.450999999999993</v>
      </c>
      <c r="O90" s="898">
        <f t="shared" si="347"/>
        <v>-153.874</v>
      </c>
      <c r="P90" s="898">
        <f t="shared" si="347"/>
        <v>97.966000000000008</v>
      </c>
      <c r="Q90" s="898">
        <f t="shared" si="347"/>
        <v>65.45999999999998</v>
      </c>
      <c r="R90" s="898">
        <f t="shared" si="347"/>
        <v>96.694999999999993</v>
      </c>
      <c r="S90" s="898">
        <f t="shared" si="347"/>
        <v>-169.31099999999998</v>
      </c>
      <c r="T90" s="898">
        <f t="shared" si="347"/>
        <v>136.80600000000004</v>
      </c>
      <c r="U90" s="898">
        <f t="shared" si="347"/>
        <v>58.536000000000016</v>
      </c>
      <c r="V90" s="898">
        <f t="shared" si="347"/>
        <v>67.615000000000009</v>
      </c>
      <c r="W90" s="898">
        <f t="shared" si="347"/>
        <v>-163.17500000000007</v>
      </c>
      <c r="X90" s="898">
        <f t="shared" ref="X90:Y90" si="348">+X99+X83</f>
        <v>149.87700000000001</v>
      </c>
      <c r="Y90" s="898">
        <f t="shared" si="348"/>
        <v>42.516999999999996</v>
      </c>
      <c r="Z90" s="898">
        <f t="shared" ref="Z90:AA90" si="349">+Z99+Z83</f>
        <v>147.07</v>
      </c>
      <c r="AA90" s="898">
        <f t="shared" si="349"/>
        <v>-165.536</v>
      </c>
      <c r="AB90" s="898">
        <f>+AB89+AB88+AB86</f>
        <v>204.01157503574086</v>
      </c>
      <c r="AC90" s="898">
        <f t="shared" ref="AC90:AD90" si="350">+AC89+AC88+AC86</f>
        <v>56.775836065885173</v>
      </c>
      <c r="AD90" s="898">
        <f t="shared" si="350"/>
        <v>179.90181233461044</v>
      </c>
      <c r="AJ90" s="898">
        <f t="shared" ref="AJ90:AO90" si="351">+AJ99+AJ83</f>
        <v>-70.62</v>
      </c>
      <c r="AK90" s="898">
        <f t="shared" si="351"/>
        <v>-72.063000000000002</v>
      </c>
      <c r="AL90" s="898">
        <f t="shared" si="351"/>
        <v>-83.679000000000002</v>
      </c>
      <c r="AM90" s="898">
        <f t="shared" si="351"/>
        <v>41.475999999999985</v>
      </c>
      <c r="AN90" s="898">
        <f t="shared" si="351"/>
        <v>24.806999999999988</v>
      </c>
      <c r="AO90" s="898">
        <f t="shared" si="351"/>
        <v>47.123000000000005</v>
      </c>
      <c r="AP90" s="898">
        <f>+AP99+AP83</f>
        <v>72.166000000000025</v>
      </c>
      <c r="AQ90" s="898">
        <f>+AQ99+AQ83</f>
        <v>7.7430000000000234</v>
      </c>
      <c r="AR90" s="898">
        <f>+AR99+AR83</f>
        <v>57.572000000000003</v>
      </c>
      <c r="AS90" s="898">
        <f>+AS99+AS83</f>
        <v>106.24700000000001</v>
      </c>
      <c r="AT90" s="898">
        <f>+AT99+AT83</f>
        <v>93.646000000000058</v>
      </c>
      <c r="AU90" s="898">
        <f>SUM(W90:Z90)</f>
        <v>176.28899999999993</v>
      </c>
      <c r="AV90" s="898">
        <f t="shared" si="346"/>
        <v>275.15322343623649</v>
      </c>
      <c r="AX90" s="900">
        <f>+(AU90/AQ90)^(1/4)-1</f>
        <v>1.1843840098256768</v>
      </c>
    </row>
    <row r="91" spans="1:50" ht="13" x14ac:dyDescent="0.3">
      <c r="A91" s="913"/>
      <c r="S91" s="906"/>
      <c r="W91" s="906"/>
      <c r="X91" s="898"/>
      <c r="Y91" s="898"/>
      <c r="Z91" s="898"/>
      <c r="AA91" s="906"/>
      <c r="AB91" s="898"/>
      <c r="AC91" s="898"/>
      <c r="AD91" s="898"/>
    </row>
    <row r="92" spans="1:50" x14ac:dyDescent="0.25">
      <c r="A92" s="876" t="s">
        <v>770</v>
      </c>
      <c r="C92" s="898">
        <f>+Model!AA589+Model!AA593</f>
        <v>0</v>
      </c>
      <c r="D92" s="898">
        <f>+Model!AB589+Model!AB593</f>
        <v>0</v>
      </c>
      <c r="E92" s="898">
        <f>+Model!AC589+Model!AC593</f>
        <v>0</v>
      </c>
      <c r="F92" s="898">
        <f>+Model!AD589+Model!AD593</f>
        <v>0</v>
      </c>
      <c r="G92" s="898">
        <f>+Model!AE589+Model!AE593</f>
        <v>0</v>
      </c>
      <c r="H92" s="898">
        <f>+Model!AF589+Model!AF593</f>
        <v>0</v>
      </c>
      <c r="I92" s="898">
        <f>+Model!AG589+Model!AG593</f>
        <v>0</v>
      </c>
      <c r="J92" s="898">
        <f>+Model!AH589+Model!AH593</f>
        <v>0</v>
      </c>
      <c r="K92" s="930">
        <v>420</v>
      </c>
      <c r="L92" s="930">
        <v>420</v>
      </c>
      <c r="M92" s="930">
        <v>420</v>
      </c>
      <c r="N92" s="930">
        <v>420</v>
      </c>
      <c r="O92" s="930">
        <v>420</v>
      </c>
      <c r="P92" s="930">
        <v>420</v>
      </c>
      <c r="Q92" s="930">
        <v>420</v>
      </c>
      <c r="R92" s="930">
        <v>420</v>
      </c>
      <c r="S92" s="930">
        <v>420</v>
      </c>
      <c r="T92" s="930">
        <v>420</v>
      </c>
      <c r="U92" s="930">
        <v>420</v>
      </c>
      <c r="V92" s="930">
        <v>420</v>
      </c>
      <c r="W92" s="930">
        <v>420</v>
      </c>
      <c r="X92" s="930">
        <f>+W92</f>
        <v>420</v>
      </c>
      <c r="Y92" s="930">
        <f t="shared" ref="Y92" si="352">+X92</f>
        <v>420</v>
      </c>
      <c r="Z92" s="930">
        <f t="shared" ref="Z92" si="353">+Y92</f>
        <v>420</v>
      </c>
      <c r="AA92" s="930">
        <f t="shared" ref="AA92" si="354">+Z92</f>
        <v>420</v>
      </c>
      <c r="AB92" s="930"/>
      <c r="AC92" s="930"/>
      <c r="AD92" s="930"/>
      <c r="AE92" s="898"/>
      <c r="AF92" s="898"/>
      <c r="AG92" s="898"/>
      <c r="AH92" s="898"/>
      <c r="AI92" s="898"/>
      <c r="AJ92" s="898">
        <f>+Model!BD589+Model!BD593</f>
        <v>0</v>
      </c>
      <c r="AK92" s="898">
        <f>+Model!BE589+Model!BE593</f>
        <v>0</v>
      </c>
      <c r="AL92" s="898">
        <f>+Model!BF589+Model!BF593</f>
        <v>0</v>
      </c>
      <c r="AM92" s="898">
        <f>+Model!BG589+Model!BG593</f>
        <v>0</v>
      </c>
      <c r="AN92" s="898">
        <f>+Model!BH589+Model!BH593</f>
        <v>0</v>
      </c>
      <c r="AO92" s="898">
        <f>+Model!BI589+Model!BI593</f>
        <v>0</v>
      </c>
      <c r="AP92" s="898">
        <f>+F92</f>
        <v>0</v>
      </c>
      <c r="AQ92" s="898">
        <f>+J92</f>
        <v>0</v>
      </c>
      <c r="AR92" s="898">
        <f>+N92</f>
        <v>420</v>
      </c>
      <c r="AS92" s="898">
        <f>+R92</f>
        <v>420</v>
      </c>
      <c r="AT92" s="898">
        <f>+V92</f>
        <v>420</v>
      </c>
      <c r="AU92" s="898">
        <f t="shared" ref="AU92:AU94" si="355">+Z92</f>
        <v>420</v>
      </c>
    </row>
    <row r="93" spans="1:50" x14ac:dyDescent="0.25">
      <c r="A93" s="876" t="str">
        <f>+A338</f>
        <v>Current Marketable Securities (corporate bonds, Tbills, commercial paper)</v>
      </c>
      <c r="C93" s="898"/>
      <c r="D93" s="898"/>
      <c r="E93" s="898"/>
      <c r="F93" s="898"/>
      <c r="G93" s="898">
        <v>0</v>
      </c>
      <c r="H93" s="898">
        <v>0</v>
      </c>
      <c r="I93" s="898">
        <v>0</v>
      </c>
      <c r="J93" s="898">
        <v>0</v>
      </c>
      <c r="K93" s="898">
        <v>0</v>
      </c>
      <c r="L93" s="898">
        <v>0</v>
      </c>
      <c r="M93" s="898">
        <v>0</v>
      </c>
      <c r="N93" s="898">
        <f t="shared" ref="N93:X93" si="356">-N338</f>
        <v>-17.3</v>
      </c>
      <c r="O93" s="898">
        <f t="shared" si="356"/>
        <v>-29.5</v>
      </c>
      <c r="P93" s="898">
        <f t="shared" si="356"/>
        <v>-51.5</v>
      </c>
      <c r="Q93" s="898">
        <f t="shared" si="356"/>
        <v>-61.2</v>
      </c>
      <c r="R93" s="898">
        <f t="shared" si="356"/>
        <v>-63</v>
      </c>
      <c r="S93" s="898">
        <f t="shared" si="356"/>
        <v>-75.099999999999994</v>
      </c>
      <c r="T93" s="898">
        <f t="shared" si="356"/>
        <v>-82.9</v>
      </c>
      <c r="U93" s="898">
        <f t="shared" si="356"/>
        <v>-79.3</v>
      </c>
      <c r="V93" s="898">
        <f t="shared" si="356"/>
        <v>-111.9</v>
      </c>
      <c r="W93" s="898">
        <f t="shared" si="356"/>
        <v>-105.3</v>
      </c>
      <c r="X93" s="898">
        <f t="shared" si="356"/>
        <v>-151.19999999999999</v>
      </c>
      <c r="Y93" s="898">
        <f t="shared" ref="Y93:Z93" si="357">-Y338</f>
        <v>-194.12300000000005</v>
      </c>
      <c r="Z93" s="898">
        <f t="shared" si="357"/>
        <v>-213.58600000000007</v>
      </c>
      <c r="AA93" s="898">
        <f t="shared" ref="AA93" si="358">-AA338</f>
        <v>-221.63499999999999</v>
      </c>
      <c r="AB93" s="898"/>
      <c r="AC93" s="898"/>
      <c r="AD93" s="898"/>
      <c r="AE93" s="898"/>
      <c r="AF93" s="898"/>
      <c r="AG93" s="898"/>
      <c r="AH93" s="898"/>
      <c r="AI93" s="898"/>
      <c r="AJ93" s="898"/>
      <c r="AK93" s="898"/>
      <c r="AL93" s="898">
        <v>0</v>
      </c>
      <c r="AM93" s="898">
        <v>0</v>
      </c>
      <c r="AN93" s="898">
        <v>0</v>
      </c>
      <c r="AO93" s="898">
        <v>0</v>
      </c>
      <c r="AP93" s="898">
        <v>0</v>
      </c>
      <c r="AQ93" s="898">
        <v>0</v>
      </c>
      <c r="AR93" s="898">
        <f t="shared" ref="AR93:AT93" si="359">-AR338</f>
        <v>-17.3</v>
      </c>
      <c r="AS93" s="898">
        <f t="shared" si="359"/>
        <v>-63</v>
      </c>
      <c r="AT93" s="898">
        <f t="shared" si="359"/>
        <v>-111.9</v>
      </c>
      <c r="AU93" s="898">
        <f t="shared" si="355"/>
        <v>-213.58600000000007</v>
      </c>
    </row>
    <row r="94" spans="1:50" s="900" customFormat="1" ht="14" x14ac:dyDescent="0.4">
      <c r="A94" s="876" t="s">
        <v>797</v>
      </c>
      <c r="C94" s="905">
        <f>+Model!AA551*-1</f>
        <v>-143.04900000000001</v>
      </c>
      <c r="D94" s="905">
        <f>+Model!AB551*-1</f>
        <v>-203.27500000000001</v>
      </c>
      <c r="E94" s="905">
        <f>+Model!AC551*-1</f>
        <v>-234.02500000000001</v>
      </c>
      <c r="F94" s="905">
        <f>+Model!AD551*-1</f>
        <v>-283.12099999999998</v>
      </c>
      <c r="G94" s="905">
        <f>+Model!AE551*-1</f>
        <v>-165.94399999999999</v>
      </c>
      <c r="H94" s="905">
        <f>+Model!AF551*-1</f>
        <v>-211.64099999999999</v>
      </c>
      <c r="I94" s="905">
        <f>+Model!AG551*-1</f>
        <v>-150.03399999999999</v>
      </c>
      <c r="J94" s="905">
        <f>+Model!AH551*-1</f>
        <v>-212.29900000000001</v>
      </c>
      <c r="K94" s="905">
        <f>+Model!AI551*-1</f>
        <v>-308.78399999999999</v>
      </c>
      <c r="L94" s="905">
        <f>+Model!AJ551*-1</f>
        <v>-258.10700000000003</v>
      </c>
      <c r="M94" s="905">
        <f>+Model!AK551*-1</f>
        <v>-329.03100000000001</v>
      </c>
      <c r="N94" s="905">
        <f>+Model!AL551*-1</f>
        <v>-386.08</v>
      </c>
      <c r="O94" s="905">
        <f>+Model!AM551*-1</f>
        <v>-218.51900000000001</v>
      </c>
      <c r="P94" s="905">
        <f>+Model!AN551*-1</f>
        <v>-256.98599999999999</v>
      </c>
      <c r="Q94" s="905">
        <f>+Model!AO551*-1</f>
        <v>-308.56400000000002</v>
      </c>
      <c r="R94" s="905">
        <f>+Model!AP551*-1</f>
        <v>-389.39800000000002</v>
      </c>
      <c r="S94" s="905">
        <f>+Model!AQ551*-1</f>
        <v>-194.524</v>
      </c>
      <c r="T94" s="905">
        <f>+Model!AR551*-1</f>
        <v>-318.279</v>
      </c>
      <c r="U94" s="905">
        <f>+Model!AS551*-1</f>
        <v>-373.678</v>
      </c>
      <c r="V94" s="905">
        <f>+Model!AT551*-1</f>
        <v>-410.80700000000002</v>
      </c>
      <c r="W94" s="905">
        <f>+Model!AU551*-1</f>
        <v>-254.626</v>
      </c>
      <c r="X94" s="905">
        <f>-X283</f>
        <v>-354.387</v>
      </c>
      <c r="Y94" s="905">
        <f t="shared" ref="Y94:Z94" si="360">-Y283</f>
        <v>-376.577</v>
      </c>
      <c r="Z94" s="905">
        <f t="shared" si="360"/>
        <v>-500.61399999999998</v>
      </c>
      <c r="AA94" s="905">
        <f t="shared" ref="AA94" si="361">-AA283</f>
        <v>-317.76499999999999</v>
      </c>
      <c r="AB94" s="905"/>
      <c r="AC94" s="905"/>
      <c r="AD94" s="905"/>
      <c r="AE94" s="905"/>
      <c r="AF94" s="905"/>
      <c r="AG94" s="905"/>
      <c r="AH94" s="905"/>
      <c r="AI94" s="905"/>
      <c r="AJ94" s="905">
        <f>+Model!BD551*-1</f>
        <v>-181.48</v>
      </c>
      <c r="AK94" s="905">
        <f>+Model!BE551*-1</f>
        <v>-196.10900000000001</v>
      </c>
      <c r="AL94" s="905">
        <f>+Model!BF551*-1</f>
        <v>-195.852</v>
      </c>
      <c r="AM94" s="905">
        <f>+Model!BG551*-1</f>
        <v>-213.989</v>
      </c>
      <c r="AN94" s="905">
        <f>+Model!BH551*-1</f>
        <v>-230.864</v>
      </c>
      <c r="AO94" s="905">
        <f>+Model!BI551*-1</f>
        <v>-231.113</v>
      </c>
      <c r="AP94" s="905">
        <f>+F94</f>
        <v>-283.12099999999998</v>
      </c>
      <c r="AQ94" s="905">
        <f>+J94</f>
        <v>-212.29900000000001</v>
      </c>
      <c r="AR94" s="905">
        <f>+N94</f>
        <v>-386.08</v>
      </c>
      <c r="AS94" s="905">
        <f>+R94</f>
        <v>-389.39800000000002</v>
      </c>
      <c r="AT94" s="905">
        <f>+V94</f>
        <v>-410.80700000000002</v>
      </c>
      <c r="AU94" s="905">
        <f t="shared" si="355"/>
        <v>-500.61399999999998</v>
      </c>
    </row>
    <row r="95" spans="1:50" x14ac:dyDescent="0.25">
      <c r="A95" s="882" t="s">
        <v>105</v>
      </c>
      <c r="B95" s="898"/>
      <c r="C95" s="898">
        <f t="shared" ref="C95:F95" si="362">+C92+C94+C93</f>
        <v>-143.04900000000001</v>
      </c>
      <c r="D95" s="898">
        <f t="shared" si="362"/>
        <v>-203.27500000000001</v>
      </c>
      <c r="E95" s="898">
        <f t="shared" si="362"/>
        <v>-234.02500000000001</v>
      </c>
      <c r="F95" s="898">
        <f t="shared" si="362"/>
        <v>-283.12099999999998</v>
      </c>
      <c r="G95" s="898">
        <f>+G92+G94+G93</f>
        <v>-165.94399999999999</v>
      </c>
      <c r="H95" s="898">
        <f t="shared" ref="H95:X95" si="363">+H92+H94+H93</f>
        <v>-211.64099999999999</v>
      </c>
      <c r="I95" s="898">
        <f t="shared" si="363"/>
        <v>-150.03399999999999</v>
      </c>
      <c r="J95" s="898">
        <f t="shared" si="363"/>
        <v>-212.29900000000001</v>
      </c>
      <c r="K95" s="898">
        <f t="shared" si="363"/>
        <v>111.21600000000001</v>
      </c>
      <c r="L95" s="898">
        <f t="shared" si="363"/>
        <v>161.89299999999997</v>
      </c>
      <c r="M95" s="898">
        <f t="shared" si="363"/>
        <v>90.968999999999994</v>
      </c>
      <c r="N95" s="898">
        <f t="shared" si="363"/>
        <v>16.620000000000015</v>
      </c>
      <c r="O95" s="898">
        <f t="shared" si="363"/>
        <v>171.98099999999999</v>
      </c>
      <c r="P95" s="898">
        <f t="shared" si="363"/>
        <v>111.51400000000001</v>
      </c>
      <c r="Q95" s="898">
        <f t="shared" si="363"/>
        <v>50.235999999999976</v>
      </c>
      <c r="R95" s="898">
        <f t="shared" si="363"/>
        <v>-32.398000000000025</v>
      </c>
      <c r="S95" s="898">
        <f t="shared" si="363"/>
        <v>150.376</v>
      </c>
      <c r="T95" s="898">
        <f t="shared" si="363"/>
        <v>18.820999999999998</v>
      </c>
      <c r="U95" s="898">
        <f t="shared" si="363"/>
        <v>-32.977999999999994</v>
      </c>
      <c r="V95" s="898">
        <f t="shared" si="363"/>
        <v>-102.70700000000002</v>
      </c>
      <c r="W95" s="898">
        <f t="shared" si="363"/>
        <v>60.073999999999998</v>
      </c>
      <c r="X95" s="898">
        <f t="shared" si="363"/>
        <v>-85.586999999999989</v>
      </c>
      <c r="Y95" s="898">
        <f t="shared" ref="Y95:Z95" si="364">+Y92+Y94+Y93</f>
        <v>-150.70000000000005</v>
      </c>
      <c r="Z95" s="898">
        <f t="shared" si="364"/>
        <v>-294.20000000000005</v>
      </c>
      <c r="AA95" s="898">
        <f t="shared" ref="AA95" si="365">+AA92+AA94+AA93</f>
        <v>-119.39999999999998</v>
      </c>
      <c r="AB95" s="898">
        <f t="shared" ref="AB95:AD95" si="366">+AA95-AB90</f>
        <v>-323.41157503574084</v>
      </c>
      <c r="AC95" s="898">
        <f t="shared" si="366"/>
        <v>-380.18741110162603</v>
      </c>
      <c r="AD95" s="898">
        <f t="shared" si="366"/>
        <v>-560.08922343623647</v>
      </c>
      <c r="AE95" s="898"/>
      <c r="AF95" s="898">
        <f t="shared" ref="AF95" si="367">+AF92+AF94+AF93</f>
        <v>0</v>
      </c>
      <c r="AG95" s="898">
        <f t="shared" ref="AG95" si="368">+AG92+AG94+AG93</f>
        <v>0</v>
      </c>
      <c r="AH95" s="898">
        <f t="shared" ref="AH95" si="369">+AH92+AH94+AH93</f>
        <v>0</v>
      </c>
      <c r="AI95" s="898">
        <f t="shared" ref="AI95" si="370">+AI92+AI94+AI93</f>
        <v>0</v>
      </c>
      <c r="AJ95" s="898">
        <f t="shared" ref="AJ95" si="371">+AJ92+AJ94+AJ93</f>
        <v>-181.48</v>
      </c>
      <c r="AK95" s="898">
        <f t="shared" ref="AK95" si="372">+AK92+AK94+AK93</f>
        <v>-196.10900000000001</v>
      </c>
      <c r="AL95" s="898">
        <f t="shared" ref="AL95" si="373">+AL92+AL94+AL93</f>
        <v>-195.852</v>
      </c>
      <c r="AM95" s="898">
        <f t="shared" ref="AM95" si="374">+AM92+AM94+AM93</f>
        <v>-213.989</v>
      </c>
      <c r="AN95" s="898">
        <f t="shared" ref="AN95" si="375">+AN92+AN94+AN93</f>
        <v>-230.864</v>
      </c>
      <c r="AO95" s="898">
        <f t="shared" ref="AO95" si="376">+AO92+AO94+AO93</f>
        <v>-231.113</v>
      </c>
      <c r="AP95" s="898">
        <f t="shared" ref="AP95" si="377">+AP92+AP94+AP93</f>
        <v>-283.12099999999998</v>
      </c>
      <c r="AQ95" s="898">
        <f t="shared" ref="AQ95" si="378">+AQ92+AQ94+AQ93</f>
        <v>-212.29900000000001</v>
      </c>
      <c r="AR95" s="898">
        <f t="shared" ref="AR95" si="379">+AR92+AR94+AR93</f>
        <v>16.620000000000015</v>
      </c>
      <c r="AS95" s="898">
        <f t="shared" ref="AS95" si="380">+AS92+AS94+AS93</f>
        <v>-32.398000000000025</v>
      </c>
      <c r="AT95" s="898">
        <f t="shared" ref="AT95" si="381">+AT92+AT94+AT93</f>
        <v>-102.70700000000002</v>
      </c>
      <c r="AU95" s="898">
        <f>+Z95</f>
        <v>-294.20000000000005</v>
      </c>
      <c r="AV95" s="898">
        <f>+AD95</f>
        <v>-560.08922343623647</v>
      </c>
    </row>
    <row r="96" spans="1:50" s="887" customFormat="1" ht="13" x14ac:dyDescent="0.3">
      <c r="A96" s="913" t="s">
        <v>705</v>
      </c>
      <c r="F96" s="974">
        <f>F95/SUM(C82:F82)</f>
        <v>-2.4221976969012546</v>
      </c>
      <c r="G96" s="974">
        <f t="shared" ref="G96:W96" si="382">G95/SUM(D82:G82)</f>
        <v>-1.510160622468945</v>
      </c>
      <c r="H96" s="974">
        <f t="shared" si="382"/>
        <v>-1.9887333208043603</v>
      </c>
      <c r="I96" s="974">
        <f t="shared" si="382"/>
        <v>-1.515066445853698</v>
      </c>
      <c r="J96" s="974">
        <f t="shared" si="382"/>
        <v>-2.0306366453686313</v>
      </c>
      <c r="K96" s="974">
        <f t="shared" si="382"/>
        <v>0.81102011944782615</v>
      </c>
      <c r="L96" s="974">
        <f t="shared" si="382"/>
        <v>1.0706571698774534</v>
      </c>
      <c r="M96" s="974">
        <f t="shared" si="382"/>
        <v>0.50412581948362112</v>
      </c>
      <c r="N96" s="974">
        <f t="shared" si="382"/>
        <v>8.2879127126208721E-2</v>
      </c>
      <c r="O96" s="974">
        <f t="shared" si="382"/>
        <v>0.91790757997886441</v>
      </c>
      <c r="P96" s="974">
        <f t="shared" si="382"/>
        <v>0.53652739554665985</v>
      </c>
      <c r="Q96" s="974">
        <f t="shared" si="382"/>
        <v>0.21801737681297775</v>
      </c>
      <c r="R96" s="974">
        <f t="shared" si="382"/>
        <v>-0.12727958450864699</v>
      </c>
      <c r="S96" s="974">
        <f t="shared" si="382"/>
        <v>0.64015938425910157</v>
      </c>
      <c r="T96" s="974">
        <f t="shared" si="382"/>
        <v>7.5785701342889908E-2</v>
      </c>
      <c r="U96" s="974">
        <f t="shared" si="382"/>
        <v>-0.12550855359555474</v>
      </c>
      <c r="V96" s="974">
        <f t="shared" si="382"/>
        <v>-0.37231971637478845</v>
      </c>
      <c r="W96" s="974">
        <f t="shared" si="382"/>
        <v>0.19399861784784697</v>
      </c>
      <c r="X96" s="974">
        <f t="shared" ref="X96" si="383">X95/SUM(U82:X82)</f>
        <v>-0.2634435080245508</v>
      </c>
      <c r="Y96" s="974">
        <f t="shared" ref="Y96" si="384">Y95/SUM(V82:Y82)</f>
        <v>-0.44189142431546446</v>
      </c>
      <c r="Z96" s="974">
        <f t="shared" ref="Z96" si="385">Z95/SUM(W82:Z82)</f>
        <v>-0.81885310465566163</v>
      </c>
      <c r="AA96" s="974">
        <f t="shared" ref="AA96" si="386">AA95/SUM(X82:AA82)</f>
        <v>-0.29596652653287853</v>
      </c>
      <c r="AB96" s="974">
        <f t="shared" ref="AB96" si="387">AB95/SUM(Y82:AB82)</f>
        <v>-0.7471787527357312</v>
      </c>
      <c r="AC96" s="974">
        <f t="shared" ref="AC96" si="388">AC95/SUM(Z82:AC82)</f>
        <v>-0.83116920591220511</v>
      </c>
      <c r="AD96" s="974">
        <f t="shared" ref="AD96" si="389">AD95/SUM(AA82:AD82)</f>
        <v>-1.1482775318465561</v>
      </c>
      <c r="AJ96" s="974">
        <f t="shared" ref="AJ96:AT96" si="390">+AJ95/AJ82</f>
        <v>-1.6284558025178788</v>
      </c>
      <c r="AK96" s="974">
        <f t="shared" si="390"/>
        <v>-1.7971371754808805</v>
      </c>
      <c r="AL96" s="974">
        <f t="shared" si="390"/>
        <v>-1.9158351919239347</v>
      </c>
      <c r="AM96" s="974">
        <f t="shared" si="390"/>
        <v>-2.6052058096641049</v>
      </c>
      <c r="AN96" s="974">
        <f t="shared" si="390"/>
        <v>-2.6411925545424397</v>
      </c>
      <c r="AO96" s="974">
        <f t="shared" si="390"/>
        <v>-2.2926739745052327</v>
      </c>
      <c r="AP96" s="974">
        <f t="shared" si="390"/>
        <v>-2.4221976969012546</v>
      </c>
      <c r="AQ96" s="974">
        <f t="shared" si="390"/>
        <v>-2.0306366453686313</v>
      </c>
      <c r="AR96" s="974">
        <f t="shared" si="390"/>
        <v>8.2879127126208721E-2</v>
      </c>
      <c r="AS96" s="974">
        <f t="shared" si="390"/>
        <v>-0.12727958450864699</v>
      </c>
      <c r="AT96" s="974">
        <f t="shared" si="390"/>
        <v>-0.37231971637478845</v>
      </c>
      <c r="AU96" s="974">
        <f>+AU95/AU82</f>
        <v>-0.81885310465566163</v>
      </c>
      <c r="AV96" s="974">
        <f>+AV95/AV82</f>
        <v>-1.1482775318465561</v>
      </c>
    </row>
    <row r="97" spans="1:48" ht="13" x14ac:dyDescent="0.3">
      <c r="A97" s="912"/>
    </row>
    <row r="98" spans="1:48" x14ac:dyDescent="0.25">
      <c r="A98" s="1102" t="s">
        <v>706</v>
      </c>
    </row>
    <row r="99" spans="1:48" x14ac:dyDescent="0.25">
      <c r="A99" s="914" t="s">
        <v>115</v>
      </c>
      <c r="C99" s="898">
        <f>+Model!AA449</f>
        <v>-49.091999999999992</v>
      </c>
      <c r="D99" s="898">
        <f>+Model!AB449</f>
        <v>73.977000000000004</v>
      </c>
      <c r="E99" s="898">
        <f>+Model!AC449</f>
        <v>48.411000000000001</v>
      </c>
      <c r="F99" s="898">
        <f>+Model!AD449</f>
        <v>68.31</v>
      </c>
      <c r="G99" s="898">
        <f>+Model!AE449</f>
        <v>-86.813999999999993</v>
      </c>
      <c r="H99" s="898">
        <f>+Model!AF449</f>
        <v>65.549000000000007</v>
      </c>
      <c r="I99" s="898">
        <f>+Model!AG449</f>
        <v>24.290000000000006</v>
      </c>
      <c r="J99" s="898">
        <f>+Model!AH449</f>
        <v>77.39</v>
      </c>
      <c r="K99" s="898">
        <f>+Model!AI449</f>
        <v>-114.533</v>
      </c>
      <c r="L99" s="898">
        <f>+Model!AJ449</f>
        <v>34.575999999999993</v>
      </c>
      <c r="M99" s="898">
        <f>+Model!AK449</f>
        <v>91.079000000000022</v>
      </c>
      <c r="N99" s="898">
        <f>+Model!AL449</f>
        <v>123.02799999999999</v>
      </c>
      <c r="O99" s="898">
        <f>+Model!AM449</f>
        <v>-131.51</v>
      </c>
      <c r="P99" s="898">
        <f>+Model!AN449</f>
        <v>119.84200000000001</v>
      </c>
      <c r="Q99" s="898">
        <f>+Model!AO449</f>
        <v>93.070999999999984</v>
      </c>
      <c r="R99" s="898">
        <f>+Model!AP449</f>
        <v>125.48099999999999</v>
      </c>
      <c r="S99" s="898">
        <f>+Model!AQ449</f>
        <v>-143.14599999999999</v>
      </c>
      <c r="T99" s="898">
        <f>+Model!AR449</f>
        <v>164.32800000000003</v>
      </c>
      <c r="U99" s="898">
        <f>+Model!AS449</f>
        <v>85.038000000000011</v>
      </c>
      <c r="V99" s="898">
        <f>+Model!AT449</f>
        <v>96.93</v>
      </c>
      <c r="W99" s="898">
        <f>+W409</f>
        <v>-135.30500000000006</v>
      </c>
      <c r="X99" s="898">
        <f t="shared" ref="X99:Y99" si="391">+X409</f>
        <v>173.334</v>
      </c>
      <c r="Y99" s="898">
        <f t="shared" si="391"/>
        <v>68.566000000000003</v>
      </c>
      <c r="Z99" s="898">
        <f t="shared" ref="Z99:AA99" si="392">+Z409</f>
        <v>172.202</v>
      </c>
      <c r="AA99" s="898">
        <f t="shared" si="392"/>
        <v>-142.00399999999999</v>
      </c>
      <c r="AB99" s="1183"/>
      <c r="AC99" s="1183"/>
      <c r="AD99" s="1183"/>
      <c r="AJ99" s="898"/>
      <c r="AK99" s="898"/>
      <c r="AL99" s="898"/>
      <c r="AM99" s="898">
        <f t="shared" ref="AM99:AN99" si="393">+AM409</f>
        <v>121.77799999999999</v>
      </c>
      <c r="AN99" s="898">
        <f t="shared" si="393"/>
        <v>88.727999999999994</v>
      </c>
      <c r="AO99" s="898">
        <f>+AO409</f>
        <v>103.62700000000001</v>
      </c>
      <c r="AP99" s="877">
        <f>+SUM(C99:F99)</f>
        <v>141.60600000000002</v>
      </c>
      <c r="AQ99" s="877">
        <f>+SUM(G99:J99)</f>
        <v>80.41500000000002</v>
      </c>
      <c r="AR99" s="877">
        <f>SUM(K99:N99)</f>
        <v>134.15</v>
      </c>
      <c r="AS99" s="877">
        <f>+SUM(O99:R99)</f>
        <v>206.88400000000001</v>
      </c>
      <c r="AT99" s="877">
        <f>+SUM(S99:V99)</f>
        <v>203.15000000000006</v>
      </c>
      <c r="AU99" s="877">
        <f>SUM(W99:Z99)</f>
        <v>278.79699999999991</v>
      </c>
      <c r="AV99" s="898">
        <f t="shared" ref="AV99" si="394">+SUM(AA99:AD99)</f>
        <v>-142.00399999999999</v>
      </c>
    </row>
    <row r="100" spans="1:48" x14ac:dyDescent="0.25">
      <c r="A100" s="914" t="s">
        <v>707</v>
      </c>
      <c r="C100" s="898">
        <f>+Model!AA484+Model!AA485+Model!AA487+Model!AA492</f>
        <v>0.01</v>
      </c>
      <c r="D100" s="898">
        <f>+Model!AB484+Model!AB485+Model!AB487+Model!AB492</f>
        <v>1.0249999999999999</v>
      </c>
      <c r="E100" s="898">
        <f>+Model!AC484+Model!AC485+Model!AC487+Model!AC492</f>
        <v>1.1479999999999999</v>
      </c>
      <c r="F100" s="898">
        <f>+Model!AD484+Model!AD485+Model!AD487+Model!AD492</f>
        <v>0.84699999999999998</v>
      </c>
      <c r="G100" s="898">
        <f>+Model!AE484+Model!AE485+Model!AE487+Model!AE492</f>
        <v>4.2000000000000003E-2</v>
      </c>
      <c r="H100" s="898">
        <f>+Model!AF484+Model!AF485+Model!AF487+Model!AF492</f>
        <v>5.9999999999999984E-3</v>
      </c>
      <c r="I100" s="898">
        <f>+Model!AG484+Model!AG485+Model!AG487+Model!AG492</f>
        <v>0</v>
      </c>
      <c r="J100" s="898">
        <f>+Model!AH484+Model!AH485+Model!AH487+Model!AH492</f>
        <v>1.6E-2</v>
      </c>
      <c r="K100" s="898">
        <f>+Model!AI484+Model!AI485+Model!AI487+Model!AI492</f>
        <v>3.2000000000000001E-2</v>
      </c>
      <c r="L100" s="898">
        <f>+Model!AJ484+Model!AJ485+Model!AJ487+Model!AJ492</f>
        <v>0.27100000000000002</v>
      </c>
      <c r="M100" s="898">
        <f>+Model!AK484+Model!AK485+Model!AK487+Model!AK492</f>
        <v>0.42099999999999999</v>
      </c>
      <c r="N100" s="898">
        <f>+Model!AL484+Model!AL485+Model!AL487+Model!AL492</f>
        <v>2.4000000000000021E-2</v>
      </c>
      <c r="O100" s="898">
        <f>+Model!AM484+Model!AM485+Model!AM487+Model!AM492</f>
        <v>0.246</v>
      </c>
      <c r="P100" s="898">
        <f>+Model!AN484+Model!AN485+Model!AN487+Model!AN492</f>
        <v>0</v>
      </c>
      <c r="Q100" s="898">
        <f>+Model!AO484+Model!AO485+Model!AO487+Model!AO492</f>
        <v>0.14500000000000002</v>
      </c>
      <c r="R100" s="898">
        <f>+Model!AP484+Model!AP485+Model!AP487+Model!AP492</f>
        <v>2.2999999999999965E-2</v>
      </c>
      <c r="S100" s="898">
        <f>+Model!AQ484+Model!AQ485+Model!AQ487+Model!AQ492</f>
        <v>0.01</v>
      </c>
      <c r="T100" s="898">
        <f>+Model!AR484+Model!AR485+Model!AR487+Model!AR492</f>
        <v>0</v>
      </c>
      <c r="U100" s="898">
        <f>+Model!AS484+Model!AS485+Model!AS487+Model!AS492</f>
        <v>0.01</v>
      </c>
      <c r="V100" s="898">
        <f>+Model!AT484+Model!AT485+Model!AT487+Model!AT492</f>
        <v>0</v>
      </c>
      <c r="W100" s="898">
        <f>+Model!AU484+Model!AU485+Model!AU487+Model!AU492</f>
        <v>0</v>
      </c>
      <c r="X100" s="898">
        <f>+X445+X447+X452</f>
        <v>0</v>
      </c>
      <c r="Y100" s="898">
        <f t="shared" ref="Y100:Z100" si="395">+Y445+Y447+Y452</f>
        <v>0</v>
      </c>
      <c r="Z100" s="898">
        <f t="shared" si="395"/>
        <v>0</v>
      </c>
      <c r="AA100" s="898">
        <f t="shared" ref="AA100" si="396">+AA445+AA447+AA452</f>
        <v>0</v>
      </c>
      <c r="AB100" s="898"/>
      <c r="AC100" s="898"/>
      <c r="AD100" s="898"/>
      <c r="AJ100" s="898">
        <f>+Model!BD484+Model!BD485+Model!BD487+Model!BD492</f>
        <v>7.2530000000000001</v>
      </c>
      <c r="AK100" s="898">
        <f>+Model!BE484+Model!BE485+Model!BE487+Model!BE492</f>
        <v>-38.254000000000005</v>
      </c>
      <c r="AL100" s="898">
        <f>+Model!BF484+Model!BF485+Model!BF487+Model!BF492</f>
        <v>-25.899000000000001</v>
      </c>
      <c r="AM100" s="898">
        <f>+Model!BG484+Model!BG485+Model!BG487+Model!BG492</f>
        <v>1.4E-2</v>
      </c>
      <c r="AN100" s="898">
        <f>+Model!BH484+Model!BH485+Model!BH487+Model!BH492</f>
        <v>6.9530000000000003</v>
      </c>
      <c r="AO100" s="898">
        <f>+Model!BI484+Model!BI485+Model!BI487+Model!BI492</f>
        <v>-27.285999999999998</v>
      </c>
      <c r="AP100" s="877">
        <f>+SUM(C100:F100)</f>
        <v>3.03</v>
      </c>
      <c r="AQ100" s="877">
        <f>+SUM(G100:J100)</f>
        <v>6.4000000000000001E-2</v>
      </c>
      <c r="AR100" s="877">
        <f>SUM(K100:N100)</f>
        <v>0.748</v>
      </c>
      <c r="AS100" s="877">
        <f>+SUM(O100:R100)</f>
        <v>0.41399999999999998</v>
      </c>
      <c r="AT100" s="877">
        <f>+SUM(S100:V100)</f>
        <v>0.02</v>
      </c>
      <c r="AU100" s="877">
        <f t="shared" ref="AU100:AU103" si="397">SUM(W100:Z100)</f>
        <v>0</v>
      </c>
    </row>
    <row r="101" spans="1:48" x14ac:dyDescent="0.25">
      <c r="A101" s="914" t="s">
        <v>708</v>
      </c>
      <c r="C101" s="898">
        <f>Model!AA491+Model!AA484</f>
        <v>-6.0720000000000001</v>
      </c>
      <c r="D101" s="898">
        <f>Model!AB491+Model!AB484</f>
        <v>-0.83300000000000018</v>
      </c>
      <c r="E101" s="898">
        <f>Model!AC491+Model!AC484</f>
        <v>-2.7510000000000003</v>
      </c>
      <c r="F101" s="898">
        <f>Model!AD491+Model!AD484</f>
        <v>-0.3019999999999996</v>
      </c>
      <c r="G101" s="898">
        <f>Model!AE491+Model!AE484</f>
        <v>-4.6980000000000004</v>
      </c>
      <c r="H101" s="898">
        <f>Model!AF491+Model!AF484</f>
        <v>-0.18499999999999961</v>
      </c>
      <c r="I101" s="898">
        <f>Model!AG491+Model!AG484</f>
        <v>-1.6209999999999996</v>
      </c>
      <c r="J101" s="898">
        <f>Model!AH491+Model!AH484</f>
        <v>-0.25700000000000056</v>
      </c>
      <c r="K101" s="898">
        <f>Model!AI491+Model!AI484</f>
        <v>-5.8079999999999998</v>
      </c>
      <c r="L101" s="898">
        <f>Model!AJ491+Model!AJ484</f>
        <v>-0.30000000000000071</v>
      </c>
      <c r="M101" s="898">
        <f>Model!AK491+Model!AK484</f>
        <v>-2.7639999999999993</v>
      </c>
      <c r="N101" s="898">
        <f>Model!AL491+Model!AL484</f>
        <v>-0.35599999999999987</v>
      </c>
      <c r="O101" s="898">
        <f>Model!AM491+Model!AM484</f>
        <v>-6.0430000000000001</v>
      </c>
      <c r="P101" s="898">
        <f>Model!AN491+Model!AN484</f>
        <v>-29.361000000000004</v>
      </c>
      <c r="Q101" s="898">
        <f>Model!AO491+Model!AO484</f>
        <v>-2.0589999999999975</v>
      </c>
      <c r="R101" s="898">
        <f>Model!AP491+Model!AP484</f>
        <v>-0.39199999999999591</v>
      </c>
      <c r="S101" s="898">
        <f>Model!AQ491+Model!AQ484</f>
        <v>-8.9049999999999994</v>
      </c>
      <c r="T101" s="898">
        <f>Model!AR491+Model!AR484</f>
        <v>-1.4290000000000003</v>
      </c>
      <c r="U101" s="898">
        <f>Model!AS491+Model!AS484</f>
        <v>-2.6020000000000003</v>
      </c>
      <c r="V101" s="898">
        <f>Model!AT491+Model!AT484</f>
        <v>-0.60500000000000043</v>
      </c>
      <c r="W101" s="898">
        <f>Model!AU491+Model!AU484</f>
        <v>-2.09</v>
      </c>
      <c r="X101" s="898">
        <f>X451</f>
        <v>-1.0710000000000002</v>
      </c>
      <c r="Y101" s="898">
        <f t="shared" ref="Y101:Z101" si="398">Y451</f>
        <v>-4.4359999999999999</v>
      </c>
      <c r="Z101" s="898">
        <f t="shared" si="398"/>
        <v>-0.60299999999999976</v>
      </c>
      <c r="AA101" s="898">
        <f t="shared" ref="AA101" si="399">AA451</f>
        <v>-11.204000000000001</v>
      </c>
      <c r="AB101" s="898"/>
      <c r="AC101" s="898"/>
      <c r="AD101" s="898"/>
      <c r="AJ101" s="898">
        <f>Model!BD491+Model!BD484</f>
        <v>-2.5459999999999998</v>
      </c>
      <c r="AK101" s="898">
        <f>Model!BE491+Model!BE484</f>
        <v>-53.566000000000003</v>
      </c>
      <c r="AL101" s="898">
        <f>Model!BF491+Model!BF484</f>
        <v>-29.124000000000002</v>
      </c>
      <c r="AM101" s="898">
        <f>Model!BG491+Model!BG484</f>
        <v>-3.3940000000000001</v>
      </c>
      <c r="AN101" s="898">
        <f>Model!BH491+Model!BH484</f>
        <v>-6.1909999999999998</v>
      </c>
      <c r="AO101" s="898">
        <f>Model!BI491+Model!BI484</f>
        <v>-37.795999999999999</v>
      </c>
      <c r="AP101" s="877">
        <f>+SUM(C101:F101)</f>
        <v>-9.9580000000000002</v>
      </c>
      <c r="AQ101" s="877">
        <f>+SUM(G101:J101)</f>
        <v>-6.7610000000000001</v>
      </c>
      <c r="AR101" s="877">
        <f>SUM(K101:N101)</f>
        <v>-9.2279999999999998</v>
      </c>
      <c r="AS101" s="877">
        <f>+SUM(O101:R101)</f>
        <v>-37.854999999999997</v>
      </c>
      <c r="AT101" s="877">
        <f>+SUM(S101:V101)</f>
        <v>-13.541</v>
      </c>
      <c r="AU101" s="877">
        <f t="shared" si="397"/>
        <v>-8.1999999999999993</v>
      </c>
    </row>
    <row r="102" spans="1:48" x14ac:dyDescent="0.25">
      <c r="A102" s="914" t="s">
        <v>709</v>
      </c>
      <c r="C102" s="898">
        <f>+Model!AA498</f>
        <v>0</v>
      </c>
      <c r="D102" s="898">
        <f>+Model!AB498</f>
        <v>0</v>
      </c>
      <c r="E102" s="898">
        <f>+Model!AC498</f>
        <v>0</v>
      </c>
      <c r="F102" s="898">
        <f>+Model!AD498</f>
        <v>0</v>
      </c>
      <c r="G102" s="898">
        <f>+Model!AE498</f>
        <v>0</v>
      </c>
      <c r="H102" s="898">
        <f>+Model!AF498</f>
        <v>0</v>
      </c>
      <c r="I102" s="898">
        <f>+Model!AG498</f>
        <v>0</v>
      </c>
      <c r="J102" s="898">
        <f>+Model!AH498</f>
        <v>0</v>
      </c>
      <c r="K102" s="898">
        <f>+Model!AI498</f>
        <v>0</v>
      </c>
      <c r="L102" s="898">
        <f>+Model!AJ498</f>
        <v>0</v>
      </c>
      <c r="M102" s="898">
        <f>+Model!AK498</f>
        <v>0</v>
      </c>
      <c r="N102" s="898">
        <f>+Model!AL498</f>
        <v>0</v>
      </c>
      <c r="O102" s="898">
        <f>+Model!AM498</f>
        <v>0</v>
      </c>
      <c r="P102" s="898">
        <f>+Model!AN498</f>
        <v>0</v>
      </c>
      <c r="Q102" s="898">
        <f>+Model!AO498</f>
        <v>0</v>
      </c>
      <c r="R102" s="898">
        <f>+Model!AP498</f>
        <v>0</v>
      </c>
      <c r="S102" s="898">
        <f>+Model!AQ498</f>
        <v>0</v>
      </c>
      <c r="T102" s="898">
        <f>+Model!AR498</f>
        <v>0</v>
      </c>
      <c r="U102" s="898">
        <f>+Model!AS498</f>
        <v>0</v>
      </c>
      <c r="V102" s="898">
        <f>+Model!AT498</f>
        <v>0</v>
      </c>
      <c r="W102" s="898">
        <f>+Model!AU498</f>
        <v>0</v>
      </c>
      <c r="X102" s="898">
        <v>0</v>
      </c>
      <c r="Y102" s="898">
        <v>0</v>
      </c>
      <c r="Z102" s="898">
        <v>0</v>
      </c>
      <c r="AA102" s="898">
        <v>0</v>
      </c>
      <c r="AB102" s="898"/>
      <c r="AC102" s="898"/>
      <c r="AD102" s="898"/>
      <c r="AJ102" s="898">
        <f>+Model!BD498</f>
        <v>0</v>
      </c>
      <c r="AK102" s="898">
        <f>+Model!BE498</f>
        <v>0</v>
      </c>
      <c r="AL102" s="898">
        <f>+Model!BF498</f>
        <v>0</v>
      </c>
      <c r="AM102" s="898">
        <f>+Model!BG498</f>
        <v>0</v>
      </c>
      <c r="AN102" s="898">
        <f>+Model!BH498</f>
        <v>0</v>
      </c>
      <c r="AO102" s="898">
        <f>+Model!BI498</f>
        <v>0</v>
      </c>
      <c r="AP102" s="877">
        <f>+SUM(C102:F102)</f>
        <v>0</v>
      </c>
      <c r="AQ102" s="877">
        <f>+SUM(G102:J102)</f>
        <v>0</v>
      </c>
      <c r="AR102" s="877">
        <f>SUM(K102:N102)</f>
        <v>0</v>
      </c>
      <c r="AS102" s="877">
        <f>+SUM(O102:R102)</f>
        <v>0</v>
      </c>
      <c r="AT102" s="877">
        <f>+SUM(S102:V102)</f>
        <v>0</v>
      </c>
      <c r="AU102" s="877">
        <f t="shared" si="397"/>
        <v>0</v>
      </c>
    </row>
    <row r="103" spans="1:48" x14ac:dyDescent="0.25">
      <c r="A103" s="914" t="s">
        <v>710</v>
      </c>
      <c r="C103" s="898">
        <f>+Model!AA458+Model!AA459+Model!AA460+Model!AA461+Model!AA462+Model!AA465+Model!AA468+Model!AA469+Model!AA472</f>
        <v>0</v>
      </c>
      <c r="D103" s="898">
        <f>+Model!AB458+Model!AB459+Model!AB460+Model!AB461+Model!AB462+Model!AB465+Model!AB468+Model!AB469+Model!AB472</f>
        <v>0</v>
      </c>
      <c r="E103" s="898">
        <f>+Model!AC458+Model!AC459+Model!AC460+Model!AC461+Model!AC462+Model!AC465+Model!AC468+Model!AC469+Model!AC472</f>
        <v>0</v>
      </c>
      <c r="F103" s="898">
        <f>+Model!AD458+Model!AD459+Model!AD460+Model!AD461+Model!AD462+Model!AD465+Model!AD468+Model!AD469+Model!AD472</f>
        <v>0</v>
      </c>
      <c r="G103" s="898">
        <f>+Model!AE458+Model!AE459+Model!AE460+Model!AE461+Model!AE462+Model!AE465+Model!AE468+Model!AE469+Model!AE472</f>
        <v>0</v>
      </c>
      <c r="H103" s="898">
        <f>+Model!AF458+Model!AF459+Model!AF460+Model!AF461+Model!AF462+Model!AF465+Model!AF468+Model!AF469+Model!AF472</f>
        <v>0</v>
      </c>
      <c r="I103" s="898">
        <f>+Model!AG458+Model!AG459+Model!AG460+Model!AG461+Model!AG462+Model!AG465+Model!AG468+Model!AG469+Model!AG472</f>
        <v>-167.995</v>
      </c>
      <c r="J103" s="898">
        <f>+Model!AH458+Model!AH459+Model!AH460+Model!AH461+Model!AH462+Model!AH465+Model!AH468+Model!AH469+Model!AH472</f>
        <v>0</v>
      </c>
      <c r="K103" s="898">
        <f>+Model!AI458+Model!AI459+Model!AI460+Model!AI461+Model!AI462+Model!AI465+Model!AI468+Model!AI469+Model!AI472</f>
        <v>0</v>
      </c>
      <c r="L103" s="898">
        <f>+Model!AJ458+Model!AJ459+Model!AJ460+Model!AJ461+Model!AJ462+Model!AJ465+Model!AJ468+Model!AJ469+Model!AJ472</f>
        <v>-70.756</v>
      </c>
      <c r="M103" s="898">
        <f>+Model!AK458+Model!AK459+Model!AK460+Model!AK461+Model!AK462+Model!AK465+Model!AK468+Model!AK469+Model!AK472</f>
        <v>-6.9000000000004391E-2</v>
      </c>
      <c r="N103" s="898">
        <f>+Model!AL458+Model!AL459+Model!AL460+Model!AL461+Model!AL462+Model!AL465+Model!AL468+Model!AL469+Model!AL472</f>
        <v>-0.31299999999999528</v>
      </c>
      <c r="O103" s="898">
        <f>+Model!AM458+Model!AM459+Model!AM460+Model!AM461+Model!AM462+Model!AM465+Model!AM468+Model!AM469+Model!AM472</f>
        <v>0</v>
      </c>
      <c r="P103" s="898">
        <f>+Model!AN458+Model!AN459+Model!AN460+Model!AN461+Model!AN462+Model!AN465+Model!AN468+Model!AN469+Model!AN472</f>
        <v>0</v>
      </c>
      <c r="Q103" s="898">
        <f>+Model!AO458+Model!AO459+Model!AO460+Model!AO461+Model!AO462+Model!AO465+Model!AO468+Model!AO469+Model!AO472</f>
        <v>0</v>
      </c>
      <c r="R103" s="898">
        <f>+Model!AP458+Model!AP459+Model!AP460+Model!AP461+Model!AP462+Model!AP465+Model!AP468+Model!AP469+Model!AP472</f>
        <v>0</v>
      </c>
      <c r="S103" s="898">
        <f>+Model!AQ458+Model!AQ459+Model!AQ460+Model!AQ461+Model!AQ462+Model!AQ465+Model!AQ468+Model!AQ469+Model!AQ472</f>
        <v>-1.409</v>
      </c>
      <c r="T103" s="898">
        <f>+Model!AR458+Model!AR459+Model!AR460+Model!AR461+Model!AR462+Model!AR465+Model!AR468+Model!AR469+Model!AR472</f>
        <v>0</v>
      </c>
      <c r="U103" s="898">
        <f>+Model!AS458+Model!AS459+Model!AS460+Model!AS461+Model!AS462+Model!AS465+Model!AS468+Model!AS469+Model!AS472</f>
        <v>0</v>
      </c>
      <c r="V103" s="898">
        <f>+Model!AT458+Model!AT459+Model!AT460+Model!AT461+Model!AT462+Model!AT465+Model!AT468+Model!AT469+Model!AT472</f>
        <v>0</v>
      </c>
      <c r="W103" s="898">
        <f>+Model!AU458+Model!AU459+Model!AU460+Model!AU461+Model!AU462+Model!AU465+Model!AU468+Model!AU469+Model!AU472</f>
        <v>0</v>
      </c>
      <c r="X103" s="898">
        <v>0</v>
      </c>
      <c r="Y103" s="898">
        <v>0</v>
      </c>
      <c r="Z103" s="898">
        <v>0</v>
      </c>
      <c r="AA103" s="898">
        <v>0</v>
      </c>
      <c r="AB103" s="898"/>
      <c r="AC103" s="898"/>
      <c r="AD103" s="898"/>
      <c r="AJ103" s="898">
        <f>+Model!BD458+Model!BD459+Model!BD460+Model!BD461+Model!BD462+Model!BD465+Model!BD468+Model!BD469+Model!BD472</f>
        <v>0</v>
      </c>
      <c r="AK103" s="898">
        <f>+Model!BE458+Model!BE459+Model!BE460+Model!BE461+Model!BE462+Model!BE465+Model!BE468+Model!BE469+Model!BE472</f>
        <v>0</v>
      </c>
      <c r="AL103" s="898">
        <f>+Model!BF458+Model!BF459+Model!BF460+Model!BF461+Model!BF462+Model!BF465+Model!BF468+Model!BF469+Model!BF472</f>
        <v>0</v>
      </c>
      <c r="AM103" s="898">
        <f>+Model!BG458+Model!BG459+Model!BG460+Model!BG461+Model!BG462+Model!BG465+Model!BG468+Model!BG469+Model!BG472</f>
        <v>-19.952999999999999</v>
      </c>
      <c r="AN103" s="898">
        <f>+Model!BH458+Model!BH459+Model!BH460+Model!BH461+Model!BH462+Model!BH465+Model!BH468+Model!BH469+Model!BH472</f>
        <v>7.0999999999999994E-2</v>
      </c>
      <c r="AO103" s="898">
        <f>+Model!BI458+Model!BI459+Model!BI460+Model!BI461+Model!BI462+Model!BI465+Model!BI468+Model!BI469+Model!BI472</f>
        <v>0</v>
      </c>
      <c r="AP103" s="898">
        <f>+Model!BJ458+Model!BJ459+Model!BJ460+Model!BJ461+Model!BJ462+Model!BJ465+Model!BJ468+Model!BJ469+Model!BJ472</f>
        <v>0</v>
      </c>
      <c r="AQ103" s="877">
        <f>+SUM(G103:J103)</f>
        <v>-167.995</v>
      </c>
      <c r="AR103" s="877">
        <f>SUM(K103:N103)</f>
        <v>-71.138000000000005</v>
      </c>
      <c r="AS103" s="877">
        <f>+SUM(O103:R103)</f>
        <v>0</v>
      </c>
      <c r="AT103" s="877">
        <f>+SUM(S103:V103)</f>
        <v>-1.409</v>
      </c>
      <c r="AU103" s="877">
        <f t="shared" si="397"/>
        <v>0</v>
      </c>
    </row>
    <row r="104" spans="1:48" ht="14.5" x14ac:dyDescent="0.35">
      <c r="X104"/>
      <c r="Y104"/>
      <c r="Z104"/>
      <c r="AA104"/>
      <c r="AB104"/>
      <c r="AC104"/>
      <c r="AD104"/>
    </row>
    <row r="105" spans="1:48" ht="14.5" x14ac:dyDescent="0.35">
      <c r="X105"/>
      <c r="Y105"/>
      <c r="Z105"/>
      <c r="AA105"/>
      <c r="AB105"/>
      <c r="AC105"/>
      <c r="AD105"/>
    </row>
    <row r="106" spans="1:48" ht="14.5" x14ac:dyDescent="0.35">
      <c r="A106" s="915" t="s">
        <v>711</v>
      </c>
      <c r="B106" s="916"/>
      <c r="C106" s="917"/>
      <c r="D106" s="917"/>
      <c r="E106" s="917"/>
      <c r="F106" s="917"/>
      <c r="G106" s="917"/>
      <c r="H106" s="917"/>
      <c r="I106" s="917"/>
      <c r="J106" s="917"/>
      <c r="K106" s="917"/>
      <c r="L106" s="917"/>
      <c r="M106" s="917"/>
      <c r="N106" s="917"/>
      <c r="O106" s="917"/>
      <c r="P106" s="918"/>
      <c r="Q106" s="876"/>
      <c r="X106"/>
      <c r="Y106"/>
      <c r="Z106"/>
      <c r="AA106"/>
      <c r="AB106"/>
      <c r="AC106"/>
      <c r="AD106"/>
    </row>
    <row r="107" spans="1:48" ht="14.5" x14ac:dyDescent="0.35">
      <c r="A107" s="876"/>
      <c r="B107" s="876"/>
      <c r="C107" s="919"/>
      <c r="D107" s="919"/>
      <c r="E107" s="919"/>
      <c r="F107" s="919"/>
      <c r="O107" s="920" t="s">
        <v>712</v>
      </c>
      <c r="P107" s="920" t="s">
        <v>713</v>
      </c>
      <c r="Q107" s="876"/>
      <c r="X107"/>
      <c r="Y107"/>
      <c r="Z107"/>
      <c r="AA107"/>
      <c r="AB107"/>
      <c r="AC107"/>
      <c r="AD107"/>
    </row>
    <row r="108" spans="1:48" ht="14.5" x14ac:dyDescent="0.35">
      <c r="A108" s="876" t="s">
        <v>714</v>
      </c>
      <c r="B108" s="876"/>
      <c r="C108" s="919"/>
      <c r="D108" s="919"/>
      <c r="E108" s="919"/>
      <c r="F108" s="919"/>
      <c r="O108" s="921">
        <f>+P108*P111</f>
        <v>4683.7013552779999</v>
      </c>
      <c r="P108" s="906">
        <f>+Base!D89</f>
        <v>103.93</v>
      </c>
      <c r="Q108" s="876"/>
      <c r="X108"/>
      <c r="Y108"/>
      <c r="Z108"/>
      <c r="AA108"/>
      <c r="AB108"/>
      <c r="AC108"/>
      <c r="AD108"/>
    </row>
    <row r="109" spans="1:48" ht="15" x14ac:dyDescent="0.4">
      <c r="A109" s="876" t="s">
        <v>771</v>
      </c>
      <c r="B109" s="876"/>
      <c r="C109" s="919"/>
      <c r="D109" s="919"/>
      <c r="E109" s="919"/>
      <c r="F109" s="919"/>
      <c r="O109" s="905">
        <f>+Base!C90</f>
        <v>-119.39999999999998</v>
      </c>
      <c r="P109" s="922">
        <f>+O109/P111</f>
        <v>-2.6494520164092421</v>
      </c>
      <c r="Q109" s="923"/>
      <c r="X109"/>
      <c r="Y109"/>
      <c r="Z109"/>
      <c r="AA109"/>
      <c r="AB109"/>
      <c r="AC109"/>
      <c r="AD109"/>
    </row>
    <row r="110" spans="1:48" ht="14.5" x14ac:dyDescent="0.35">
      <c r="A110" s="912" t="s">
        <v>715</v>
      </c>
      <c r="B110" s="912"/>
      <c r="C110" s="919"/>
      <c r="D110" s="919"/>
      <c r="E110" s="919"/>
      <c r="F110" s="919"/>
      <c r="O110" s="924">
        <f>+O109+O108</f>
        <v>4564.3013552780003</v>
      </c>
      <c r="P110" s="925">
        <f>+O110/P111</f>
        <v>101.28054798359076</v>
      </c>
      <c r="Q110" s="876"/>
      <c r="X110"/>
      <c r="Y110"/>
      <c r="Z110"/>
      <c r="AA110"/>
      <c r="AB110"/>
      <c r="AC110"/>
      <c r="AD110"/>
    </row>
    <row r="111" spans="1:48" ht="14.5" x14ac:dyDescent="0.35">
      <c r="A111" s="926" t="s">
        <v>879</v>
      </c>
      <c r="B111" s="926"/>
      <c r="C111" s="919"/>
      <c r="D111" s="919"/>
      <c r="E111" s="919"/>
      <c r="F111" s="919"/>
      <c r="O111" s="898"/>
      <c r="P111" s="927">
        <f>+Base!D92</f>
        <v>45.065922787241412</v>
      </c>
      <c r="Q111" s="928"/>
      <c r="X111"/>
      <c r="Y111"/>
      <c r="Z111"/>
      <c r="AA111"/>
      <c r="AB111"/>
      <c r="AC111"/>
      <c r="AD111"/>
    </row>
    <row r="112" spans="1:48" ht="14.5" x14ac:dyDescent="0.35">
      <c r="X112"/>
      <c r="Y112"/>
      <c r="Z112"/>
      <c r="AA112"/>
      <c r="AB112"/>
      <c r="AC112"/>
      <c r="AD112"/>
    </row>
    <row r="113" spans="1:48" ht="13" x14ac:dyDescent="0.3">
      <c r="A113" s="904" t="s">
        <v>655</v>
      </c>
      <c r="B113" s="903"/>
      <c r="J113" s="953"/>
      <c r="N113" s="953"/>
      <c r="R113" s="953"/>
      <c r="V113" s="953"/>
      <c r="AA113" s="1271"/>
    </row>
    <row r="114" spans="1:48" x14ac:dyDescent="0.25">
      <c r="J114" s="953"/>
      <c r="N114" s="953"/>
      <c r="R114" s="953"/>
      <c r="V114" s="953"/>
      <c r="AA114" s="1271"/>
    </row>
    <row r="115" spans="1:48" x14ac:dyDescent="0.25">
      <c r="A115" s="888" t="s">
        <v>654</v>
      </c>
      <c r="J115" s="953"/>
      <c r="N115" s="953"/>
      <c r="O115" s="906"/>
      <c r="R115" s="953"/>
      <c r="V115" s="953"/>
      <c r="AA115" s="1271"/>
    </row>
    <row r="116" spans="1:48" s="876" customFormat="1" x14ac:dyDescent="0.25">
      <c r="A116" s="876" t="s">
        <v>918</v>
      </c>
      <c r="C116" s="877">
        <f t="shared" ref="C116:F116" si="400">+C249</f>
        <v>114</v>
      </c>
      <c r="D116" s="877">
        <f t="shared" si="400"/>
        <v>111.9</v>
      </c>
      <c r="E116" s="877">
        <f t="shared" si="400"/>
        <v>112.8</v>
      </c>
      <c r="F116" s="877">
        <f t="shared" si="400"/>
        <v>106.4</v>
      </c>
      <c r="G116" s="877">
        <f t="shared" ref="G116:W116" si="401">+G249</f>
        <v>110.8</v>
      </c>
      <c r="H116" s="877">
        <f t="shared" si="401"/>
        <v>106.8</v>
      </c>
      <c r="I116" s="877">
        <f t="shared" si="401"/>
        <v>108.9</v>
      </c>
      <c r="J116" s="954">
        <f t="shared" si="401"/>
        <v>106.2</v>
      </c>
      <c r="K116" s="877">
        <f t="shared" si="401"/>
        <v>164.6</v>
      </c>
      <c r="L116" s="877">
        <f t="shared" si="401"/>
        <v>161.19999999999999</v>
      </c>
      <c r="M116" s="877">
        <f t="shared" si="401"/>
        <v>155.80000000000001</v>
      </c>
      <c r="N116" s="954">
        <f t="shared" si="401"/>
        <v>147.19999999999999</v>
      </c>
      <c r="O116" s="877">
        <f t="shared" si="401"/>
        <v>147.6</v>
      </c>
      <c r="P116" s="877">
        <f t="shared" si="401"/>
        <v>145.6</v>
      </c>
      <c r="Q116" s="877">
        <f t="shared" si="401"/>
        <v>143.80000000000001</v>
      </c>
      <c r="R116" s="954">
        <f t="shared" si="401"/>
        <v>136.5</v>
      </c>
      <c r="S116" s="877">
        <f t="shared" si="401"/>
        <v>112.3</v>
      </c>
      <c r="T116" s="877">
        <f t="shared" si="401"/>
        <v>111.2</v>
      </c>
      <c r="U116" s="877">
        <f t="shared" si="401"/>
        <v>114.6</v>
      </c>
      <c r="V116" s="954">
        <f t="shared" si="401"/>
        <v>110.6</v>
      </c>
      <c r="W116" s="877">
        <f t="shared" si="401"/>
        <v>117.6</v>
      </c>
      <c r="X116" s="877">
        <f t="shared" ref="X116:Y116" si="402">+X249</f>
        <v>120.7</v>
      </c>
      <c r="Y116" s="877">
        <f t="shared" si="402"/>
        <v>124.6</v>
      </c>
      <c r="Z116" s="877">
        <f t="shared" ref="Z116" si="403">+Z249</f>
        <v>120.6</v>
      </c>
      <c r="AA116" s="1272">
        <f t="shared" ref="AA116" si="404">+AA249</f>
        <v>130.89999999999998</v>
      </c>
      <c r="AB116" s="1294">
        <f>+AA116+AB118</f>
        <v>132.89999999999998</v>
      </c>
      <c r="AC116" s="1294">
        <f t="shared" ref="AC116:AD116" si="405">+AB116+AC118</f>
        <v>135.89999999999998</v>
      </c>
      <c r="AD116" s="1294">
        <f t="shared" si="405"/>
        <v>130.89999999999998</v>
      </c>
      <c r="AE116" s="877"/>
      <c r="AF116" s="877"/>
      <c r="AG116" s="877"/>
      <c r="AH116" s="877"/>
      <c r="AI116" s="877"/>
      <c r="AJ116" s="877"/>
      <c r="AK116" s="877"/>
      <c r="AL116" s="877"/>
      <c r="AM116" s="877"/>
      <c r="AN116" s="877"/>
      <c r="AO116" s="877"/>
      <c r="AP116" s="877">
        <f>+AP249</f>
        <v>111.2</v>
      </c>
      <c r="AQ116" s="877">
        <f>+AQ249</f>
        <v>107.8</v>
      </c>
      <c r="AR116" s="877">
        <f>+AR249</f>
        <v>156.69999999999999</v>
      </c>
      <c r="AS116" s="877">
        <f>+AS249</f>
        <v>143.19999999999999</v>
      </c>
      <c r="AT116" s="877">
        <f>+AT249</f>
        <v>112.3</v>
      </c>
      <c r="AU116" s="878">
        <f>AVERAGE(W116:Z116)</f>
        <v>120.875</v>
      </c>
      <c r="AV116" s="898">
        <f>+AVERAGE(AA116:AD116)</f>
        <v>132.64999999999998</v>
      </c>
    </row>
    <row r="117" spans="1:48" s="887" customFormat="1" ht="13" x14ac:dyDescent="0.3">
      <c r="A117" s="890" t="s">
        <v>657</v>
      </c>
      <c r="G117" s="993">
        <f t="shared" ref="G117" si="406">+G116/C116-1</f>
        <v>-2.8070175438596467E-2</v>
      </c>
      <c r="H117" s="993">
        <f t="shared" ref="H117" si="407">+H116/D116-1</f>
        <v>-4.5576407506702443E-2</v>
      </c>
      <c r="I117" s="993">
        <f t="shared" ref="I117" si="408">+I116/E116-1</f>
        <v>-3.4574468085106336E-2</v>
      </c>
      <c r="J117" s="994">
        <f t="shared" ref="J117" si="409">+J116/F116-1</f>
        <v>-1.87969924812037E-3</v>
      </c>
      <c r="K117" s="993">
        <f t="shared" ref="K117" si="410">+K116/G116-1</f>
        <v>0.48555956678700363</v>
      </c>
      <c r="L117" s="993">
        <f t="shared" ref="L117" si="411">+L116/H116-1</f>
        <v>0.50936329588014972</v>
      </c>
      <c r="M117" s="993">
        <f t="shared" ref="M117" si="412">+M116/I116-1</f>
        <v>0.4306703397612488</v>
      </c>
      <c r="N117" s="994">
        <f t="shared" ref="N117" si="413">+N116/J116-1</f>
        <v>0.38606403013182655</v>
      </c>
      <c r="O117" s="993">
        <f t="shared" ref="O117" si="414">+O116/K116-1</f>
        <v>-0.10328068043742411</v>
      </c>
      <c r="P117" s="993">
        <f t="shared" ref="P117" si="415">+P116/L116-1</f>
        <v>-9.6774193548387122E-2</v>
      </c>
      <c r="Q117" s="993">
        <f t="shared" ref="Q117" si="416">+Q116/M116-1</f>
        <v>-7.7021822849807409E-2</v>
      </c>
      <c r="R117" s="994">
        <f t="shared" ref="R117" si="417">+R116/N116-1</f>
        <v>-7.2690217391304324E-2</v>
      </c>
      <c r="S117" s="993">
        <f t="shared" ref="S117" si="418">+S116/O116-1</f>
        <v>-0.23915989159891593</v>
      </c>
      <c r="T117" s="993">
        <f t="shared" ref="T117" si="419">+T116/P116-1</f>
        <v>-0.2362637362637362</v>
      </c>
      <c r="U117" s="993">
        <f t="shared" ref="U117" si="420">+U116/Q116-1</f>
        <v>-0.20305980528511836</v>
      </c>
      <c r="V117" s="994">
        <f t="shared" ref="V117" si="421">+V116/R116-1</f>
        <v>-0.18974358974358974</v>
      </c>
      <c r="W117" s="993">
        <f t="shared" ref="W117" si="422">+W116/S116-1</f>
        <v>4.7195013357079318E-2</v>
      </c>
      <c r="X117" s="993">
        <f t="shared" ref="X117" si="423">+X116/T116-1</f>
        <v>8.5431654676259017E-2</v>
      </c>
      <c r="Y117" s="993">
        <f t="shared" ref="Y117" si="424">+Y116/U116-1</f>
        <v>8.7260034904014017E-2</v>
      </c>
      <c r="Z117" s="993">
        <f t="shared" ref="Z117" si="425">+Z116/V116-1</f>
        <v>9.0415913200723397E-2</v>
      </c>
      <c r="AA117" s="1277">
        <f t="shared" ref="AA117" si="426">+AA116/W116-1</f>
        <v>0.11309523809523792</v>
      </c>
      <c r="AB117" s="993">
        <f t="shared" ref="AB117:AD117" si="427">+AB116/X116-1</f>
        <v>0.101077050538525</v>
      </c>
      <c r="AC117" s="993">
        <f t="shared" si="427"/>
        <v>9.0690208667736583E-2</v>
      </c>
      <c r="AD117" s="993">
        <f t="shared" si="427"/>
        <v>8.5406301824212161E-2</v>
      </c>
      <c r="AE117" s="993"/>
      <c r="AF117" s="993"/>
      <c r="AG117" s="993"/>
      <c r="AH117" s="993"/>
      <c r="AI117" s="993"/>
      <c r="AJ117" s="993"/>
      <c r="AK117" s="993"/>
      <c r="AL117" s="993"/>
      <c r="AM117" s="993"/>
      <c r="AN117" s="993"/>
      <c r="AO117" s="993"/>
      <c r="AP117" s="993"/>
      <c r="AQ117" s="993">
        <f t="shared" ref="AQ117:AV117" si="428">+AQ116/AP116-1</f>
        <v>-3.0575539568345356E-2</v>
      </c>
      <c r="AR117" s="993">
        <f t="shared" si="428"/>
        <v>0.45361781076066787</v>
      </c>
      <c r="AS117" s="993">
        <f t="shared" si="428"/>
        <v>-8.6151882578174854E-2</v>
      </c>
      <c r="AT117" s="993">
        <f t="shared" si="428"/>
        <v>-0.21578212290502785</v>
      </c>
      <c r="AU117" s="993">
        <f t="shared" si="428"/>
        <v>7.6357969723953811E-2</v>
      </c>
      <c r="AV117" s="993">
        <f t="shared" si="428"/>
        <v>9.7414684591520029E-2</v>
      </c>
    </row>
    <row r="118" spans="1:48" s="923" customFormat="1" ht="13" x14ac:dyDescent="0.3">
      <c r="A118" s="926" t="s">
        <v>893</v>
      </c>
      <c r="C118" s="989"/>
      <c r="D118" s="989">
        <f t="shared" ref="D118" si="429">+D116-C116</f>
        <v>-2.0999999999999943</v>
      </c>
      <c r="E118" s="989">
        <f t="shared" ref="E118" si="430">+E116-D116</f>
        <v>0.89999999999999147</v>
      </c>
      <c r="F118" s="989">
        <f t="shared" ref="F118" si="431">+F116-E116</f>
        <v>-6.3999999999999915</v>
      </c>
      <c r="G118" s="989">
        <f t="shared" ref="G118" si="432">+G116-F116</f>
        <v>4.3999999999999915</v>
      </c>
      <c r="H118" s="989">
        <f t="shared" ref="H118:W118" si="433">+H116-G116</f>
        <v>-4</v>
      </c>
      <c r="I118" s="989">
        <f t="shared" si="433"/>
        <v>2.1000000000000085</v>
      </c>
      <c r="J118" s="990">
        <f t="shared" si="433"/>
        <v>-2.7000000000000028</v>
      </c>
      <c r="K118" s="989">
        <f t="shared" si="433"/>
        <v>58.399999999999991</v>
      </c>
      <c r="L118" s="989">
        <f t="shared" si="433"/>
        <v>-3.4000000000000057</v>
      </c>
      <c r="M118" s="989">
        <f t="shared" si="433"/>
        <v>-5.3999999999999773</v>
      </c>
      <c r="N118" s="990">
        <f t="shared" si="433"/>
        <v>-8.6000000000000227</v>
      </c>
      <c r="O118" s="989">
        <f t="shared" si="433"/>
        <v>0.40000000000000568</v>
      </c>
      <c r="P118" s="989">
        <f t="shared" si="433"/>
        <v>-2</v>
      </c>
      <c r="Q118" s="989">
        <f t="shared" si="433"/>
        <v>-1.7999999999999829</v>
      </c>
      <c r="R118" s="990">
        <f t="shared" si="433"/>
        <v>-7.3000000000000114</v>
      </c>
      <c r="S118" s="989">
        <f t="shared" si="433"/>
        <v>-24.200000000000003</v>
      </c>
      <c r="T118" s="989">
        <f t="shared" si="433"/>
        <v>-1.0999999999999943</v>
      </c>
      <c r="U118" s="989">
        <f t="shared" si="433"/>
        <v>3.3999999999999915</v>
      </c>
      <c r="V118" s="990">
        <f t="shared" si="433"/>
        <v>-4</v>
      </c>
      <c r="W118" s="989">
        <f t="shared" si="433"/>
        <v>7</v>
      </c>
      <c r="X118" s="989">
        <f t="shared" ref="X118" si="434">+X116-W116</f>
        <v>3.1000000000000085</v>
      </c>
      <c r="Y118" s="989">
        <f t="shared" ref="Y118" si="435">+Y116-X116</f>
        <v>3.8999999999999915</v>
      </c>
      <c r="Z118" s="989">
        <f t="shared" ref="Z118" si="436">+Z116-Y116</f>
        <v>-4</v>
      </c>
      <c r="AA118" s="1278">
        <f t="shared" ref="AA118" si="437">+AA116-Z116</f>
        <v>10.299999999999983</v>
      </c>
      <c r="AB118" s="1293">
        <v>2</v>
      </c>
      <c r="AC118" s="1293">
        <v>3</v>
      </c>
      <c r="AD118" s="1293">
        <v>-5</v>
      </c>
      <c r="AE118" s="989"/>
      <c r="AF118" s="989"/>
      <c r="AG118" s="989"/>
      <c r="AH118" s="989"/>
      <c r="AI118" s="989"/>
      <c r="AJ118" s="989"/>
      <c r="AK118" s="989"/>
      <c r="AL118" s="989"/>
      <c r="AM118" s="989"/>
      <c r="AN118" s="989"/>
      <c r="AO118" s="989"/>
      <c r="AP118" s="989"/>
      <c r="AQ118" s="989">
        <f t="shared" ref="AQ118:AR118" si="438">+AQ116-AP116</f>
        <v>-3.4000000000000057</v>
      </c>
      <c r="AR118" s="989">
        <f t="shared" si="438"/>
        <v>48.899999999999991</v>
      </c>
      <c r="AS118" s="989">
        <f t="shared" ref="AS118" si="439">+AS116-AR116</f>
        <v>-13.5</v>
      </c>
      <c r="AT118" s="989">
        <f t="shared" ref="AT118:AV118" si="440">+AT116-AS116</f>
        <v>-30.899999999999991</v>
      </c>
      <c r="AU118" s="991">
        <f t="shared" si="440"/>
        <v>8.5750000000000028</v>
      </c>
      <c r="AV118" s="992">
        <f t="shared" si="440"/>
        <v>11.774999999999977</v>
      </c>
    </row>
    <row r="119" spans="1:48" s="876" customFormat="1" ht="13" x14ac:dyDescent="0.3">
      <c r="C119" s="877"/>
      <c r="D119" s="877"/>
      <c r="E119" s="877"/>
      <c r="F119" s="877"/>
      <c r="G119" s="877"/>
      <c r="H119" s="877"/>
      <c r="I119" s="877"/>
      <c r="J119" s="954"/>
      <c r="K119" s="877"/>
      <c r="L119" s="877"/>
      <c r="M119" s="877"/>
      <c r="N119" s="954"/>
      <c r="O119" s="877"/>
      <c r="P119" s="877"/>
      <c r="Q119" s="877"/>
      <c r="R119" s="954"/>
      <c r="S119" s="877"/>
      <c r="T119" s="877"/>
      <c r="U119" s="877"/>
      <c r="V119" s="954"/>
      <c r="W119" s="877"/>
      <c r="X119" s="877"/>
      <c r="Y119" s="878"/>
      <c r="Z119" s="989"/>
      <c r="AA119" s="1278"/>
      <c r="AB119" s="878"/>
      <c r="AC119" s="878"/>
      <c r="AD119" s="878"/>
      <c r="AE119" s="877"/>
      <c r="AF119" s="877"/>
      <c r="AG119" s="877"/>
      <c r="AH119" s="877"/>
      <c r="AI119" s="877"/>
      <c r="AJ119" s="877"/>
      <c r="AK119" s="877"/>
      <c r="AL119" s="877"/>
      <c r="AM119" s="877"/>
      <c r="AN119" s="877"/>
      <c r="AO119" s="877"/>
      <c r="AP119" s="877"/>
      <c r="AQ119" s="877"/>
      <c r="AR119" s="877"/>
      <c r="AS119" s="877"/>
      <c r="AT119" s="877"/>
      <c r="AU119" s="878"/>
      <c r="AV119" s="894"/>
    </row>
    <row r="120" spans="1:48" s="923" customFormat="1" ht="13" x14ac:dyDescent="0.3">
      <c r="A120" s="1197" t="s">
        <v>912</v>
      </c>
      <c r="C120" s="989"/>
      <c r="D120" s="989"/>
      <c r="E120" s="989"/>
      <c r="F120" s="989"/>
      <c r="G120" s="989"/>
      <c r="H120" s="989"/>
      <c r="I120" s="989"/>
      <c r="J120" s="990"/>
      <c r="K120" s="989"/>
      <c r="L120" s="989"/>
      <c r="M120" s="989"/>
      <c r="N120" s="990"/>
      <c r="O120" s="989"/>
      <c r="P120" s="989"/>
      <c r="Q120" s="989"/>
      <c r="R120" s="990"/>
      <c r="S120" s="989"/>
      <c r="T120" s="989"/>
      <c r="U120" s="989"/>
      <c r="V120" s="990"/>
      <c r="W120" s="989"/>
      <c r="X120" s="989"/>
      <c r="Y120" s="991"/>
      <c r="Z120" s="989"/>
      <c r="AA120" s="1279"/>
      <c r="AB120" s="991"/>
      <c r="AC120" s="991"/>
      <c r="AD120" s="991"/>
      <c r="AE120" s="989"/>
      <c r="AF120" s="989"/>
      <c r="AG120" s="989"/>
      <c r="AH120" s="989"/>
      <c r="AI120" s="989"/>
      <c r="AJ120" s="989"/>
      <c r="AK120" s="989"/>
      <c r="AL120" s="989"/>
      <c r="AM120" s="989"/>
      <c r="AN120" s="989"/>
      <c r="AO120" s="989"/>
      <c r="AP120" s="989"/>
      <c r="AQ120" s="989"/>
      <c r="AR120" s="989"/>
      <c r="AS120" s="989"/>
      <c r="AT120" s="989"/>
      <c r="AU120" s="991"/>
      <c r="AV120" s="992"/>
    </row>
    <row r="121" spans="1:48" s="923" customFormat="1" ht="13" x14ac:dyDescent="0.3">
      <c r="A121" s="926" t="s">
        <v>979</v>
      </c>
      <c r="C121" s="989"/>
      <c r="D121" s="989"/>
      <c r="E121" s="989"/>
      <c r="F121" s="989"/>
      <c r="G121" s="989"/>
      <c r="H121" s="989"/>
      <c r="I121" s="989"/>
      <c r="J121" s="990"/>
      <c r="K121" s="989"/>
      <c r="L121" s="989"/>
      <c r="M121" s="989"/>
      <c r="N121" s="990"/>
      <c r="O121" s="989"/>
      <c r="P121" s="989"/>
      <c r="Q121" s="989"/>
      <c r="R121" s="990"/>
      <c r="S121" s="989"/>
      <c r="T121" s="989"/>
      <c r="U121" s="989"/>
      <c r="V121" s="990"/>
      <c r="W121" s="989"/>
      <c r="X121" s="989"/>
      <c r="Y121" s="991"/>
      <c r="Z121" s="989"/>
      <c r="AA121" s="1279"/>
      <c r="AB121" s="991"/>
      <c r="AC121" s="991"/>
      <c r="AD121" s="991"/>
      <c r="AE121" s="989"/>
      <c r="AF121" s="989"/>
      <c r="AG121" s="989"/>
      <c r="AH121" s="989"/>
      <c r="AI121" s="989"/>
      <c r="AJ121" s="989"/>
      <c r="AK121" s="989"/>
      <c r="AL121" s="989"/>
      <c r="AM121" s="989">
        <v>104.4</v>
      </c>
      <c r="AN121" s="989">
        <v>110.9</v>
      </c>
      <c r="AO121" s="989">
        <v>112.4</v>
      </c>
      <c r="AP121" s="989">
        <v>114</v>
      </c>
      <c r="AQ121" s="989">
        <v>110.8</v>
      </c>
      <c r="AR121" s="989"/>
      <c r="AS121" s="989"/>
      <c r="AT121" s="989"/>
      <c r="AU121" s="991"/>
      <c r="AV121" s="992"/>
    </row>
    <row r="122" spans="1:48" s="887" customFormat="1" ht="13" x14ac:dyDescent="0.3">
      <c r="A122" s="892" t="s">
        <v>657</v>
      </c>
      <c r="G122" s="993"/>
      <c r="H122" s="993"/>
      <c r="I122" s="993"/>
      <c r="J122" s="994"/>
      <c r="K122" s="993"/>
      <c r="L122" s="993"/>
      <c r="M122" s="993"/>
      <c r="N122" s="994"/>
      <c r="O122" s="993"/>
      <c r="P122" s="993"/>
      <c r="Q122" s="993"/>
      <c r="R122" s="994"/>
      <c r="S122" s="993"/>
      <c r="T122" s="993"/>
      <c r="U122" s="993"/>
      <c r="V122" s="994"/>
      <c r="W122" s="993"/>
      <c r="X122" s="993"/>
      <c r="Y122" s="993"/>
      <c r="Z122" s="993"/>
      <c r="AA122" s="1277"/>
      <c r="AB122" s="993"/>
      <c r="AC122" s="993"/>
      <c r="AD122" s="993"/>
      <c r="AE122" s="993"/>
      <c r="AF122" s="993"/>
      <c r="AG122" s="993"/>
      <c r="AH122" s="993"/>
      <c r="AI122" s="993"/>
      <c r="AJ122" s="993"/>
      <c r="AK122" s="993"/>
      <c r="AL122" s="993"/>
      <c r="AM122" s="993"/>
      <c r="AN122" s="993">
        <f t="shared" ref="AN122:AQ122" si="441">+AN121/AM121-1</f>
        <v>6.2260536398467403E-2</v>
      </c>
      <c r="AO122" s="993">
        <f t="shared" si="441"/>
        <v>1.352569882777277E-2</v>
      </c>
      <c r="AP122" s="993">
        <f t="shared" si="441"/>
        <v>1.4234875444839812E-2</v>
      </c>
      <c r="AQ122" s="993">
        <f t="shared" si="441"/>
        <v>-2.8070175438596467E-2</v>
      </c>
      <c r="AR122" s="993"/>
      <c r="AS122" s="993"/>
      <c r="AT122" s="993"/>
      <c r="AU122" s="993"/>
      <c r="AV122" s="993"/>
    </row>
    <row r="123" spans="1:48" s="876" customFormat="1" ht="13" x14ac:dyDescent="0.3">
      <c r="C123" s="877"/>
      <c r="D123" s="877"/>
      <c r="E123" s="877"/>
      <c r="F123" s="877"/>
      <c r="G123" s="877"/>
      <c r="H123" s="877"/>
      <c r="I123" s="877"/>
      <c r="J123" s="954"/>
      <c r="K123" s="877"/>
      <c r="L123" s="877"/>
      <c r="M123" s="877"/>
      <c r="N123" s="954"/>
      <c r="O123" s="877"/>
      <c r="P123" s="877"/>
      <c r="Q123" s="877"/>
      <c r="R123" s="954"/>
      <c r="S123" s="877"/>
      <c r="T123" s="877"/>
      <c r="U123" s="877"/>
      <c r="V123" s="954"/>
      <c r="W123" s="877"/>
      <c r="X123" s="877"/>
      <c r="Y123" s="878"/>
      <c r="Z123" s="989"/>
      <c r="AA123" s="1279"/>
      <c r="AB123" s="878"/>
      <c r="AC123" s="878"/>
      <c r="AD123" s="878"/>
      <c r="AE123" s="877"/>
      <c r="AF123" s="877"/>
      <c r="AG123" s="877"/>
      <c r="AH123" s="877"/>
      <c r="AI123" s="877"/>
      <c r="AJ123" s="877"/>
      <c r="AK123" s="877"/>
      <c r="AL123" s="877"/>
      <c r="AM123" s="877"/>
      <c r="AN123" s="877"/>
      <c r="AO123" s="877"/>
      <c r="AP123" s="877"/>
      <c r="AQ123" s="877"/>
      <c r="AR123" s="877"/>
      <c r="AS123" s="877"/>
      <c r="AT123" s="877"/>
      <c r="AU123" s="878"/>
      <c r="AV123" s="894"/>
    </row>
    <row r="124" spans="1:48" s="888" customFormat="1" ht="14" x14ac:dyDescent="0.4">
      <c r="A124" s="884" t="s">
        <v>878</v>
      </c>
      <c r="C124" s="945"/>
      <c r="D124" s="945"/>
      <c r="E124" s="945"/>
      <c r="F124" s="945"/>
      <c r="G124" s="945">
        <f t="shared" ref="G124:W124" si="442">+G254</f>
        <v>1860</v>
      </c>
      <c r="H124" s="945">
        <f t="shared" si="442"/>
        <v>1953</v>
      </c>
      <c r="I124" s="945">
        <f t="shared" si="442"/>
        <v>1946</v>
      </c>
      <c r="J124" s="955">
        <f t="shared" si="442"/>
        <v>1992</v>
      </c>
      <c r="K124" s="945">
        <f t="shared" si="442"/>
        <v>1718</v>
      </c>
      <c r="L124" s="945">
        <f t="shared" si="442"/>
        <v>1755</v>
      </c>
      <c r="M124" s="945">
        <f t="shared" si="442"/>
        <v>1876</v>
      </c>
      <c r="N124" s="955">
        <f t="shared" si="442"/>
        <v>2035</v>
      </c>
      <c r="O124" s="945">
        <f t="shared" si="442"/>
        <v>1885</v>
      </c>
      <c r="P124" s="945">
        <f t="shared" si="442"/>
        <v>1953</v>
      </c>
      <c r="Q124" s="945">
        <f t="shared" si="442"/>
        <v>2006</v>
      </c>
      <c r="R124" s="955">
        <f t="shared" si="442"/>
        <v>2266</v>
      </c>
      <c r="S124" s="945">
        <f t="shared" si="442"/>
        <v>2216</v>
      </c>
      <c r="T124" s="945">
        <f t="shared" si="442"/>
        <v>2281</v>
      </c>
      <c r="U124" s="945">
        <f t="shared" si="442"/>
        <v>2332</v>
      </c>
      <c r="V124" s="955">
        <f t="shared" si="442"/>
        <v>2455</v>
      </c>
      <c r="W124" s="945">
        <f t="shared" si="442"/>
        <v>2381</v>
      </c>
      <c r="X124" s="945">
        <f t="shared" ref="X124:Y124" si="443">+X254</f>
        <v>2465</v>
      </c>
      <c r="Y124" s="945">
        <f t="shared" si="443"/>
        <v>2507</v>
      </c>
      <c r="Z124" s="945">
        <f t="shared" ref="Z124:AA124" si="444">+Z254</f>
        <v>2735</v>
      </c>
      <c r="AA124" s="1280">
        <f t="shared" si="444"/>
        <v>2400</v>
      </c>
      <c r="AB124" s="987">
        <f>+X124*(1+AB130)</f>
        <v>2440.35</v>
      </c>
      <c r="AC124" s="987">
        <f t="shared" ref="AC124:AD124" si="445">+Y124*(1+AC130)</f>
        <v>2469.395</v>
      </c>
      <c r="AD124" s="987">
        <f t="shared" si="445"/>
        <v>2680.2999999999997</v>
      </c>
      <c r="AJ124" s="945"/>
      <c r="AK124" s="945"/>
      <c r="AL124" s="945"/>
      <c r="AM124" s="945"/>
      <c r="AN124" s="945"/>
      <c r="AO124" s="945"/>
      <c r="AP124" s="945"/>
      <c r="AQ124" s="945">
        <f>+AQ254</f>
        <v>7775</v>
      </c>
      <c r="AR124" s="945">
        <f>+AR254</f>
        <v>7389</v>
      </c>
      <c r="AS124" s="945">
        <f>+AS254</f>
        <v>8104</v>
      </c>
      <c r="AT124" s="945">
        <f>+AT254</f>
        <v>9270</v>
      </c>
      <c r="AU124" s="987">
        <f>+AU125/AU116*1000</f>
        <v>10090.955946225438</v>
      </c>
      <c r="AV124" s="905">
        <f>+AV125/AV116*1000</f>
        <v>9988.1233735393889</v>
      </c>
    </row>
    <row r="125" spans="1:48" s="876" customFormat="1" x14ac:dyDescent="0.25">
      <c r="A125" s="882" t="s">
        <v>880</v>
      </c>
      <c r="C125" s="877"/>
      <c r="D125" s="877"/>
      <c r="E125" s="877"/>
      <c r="F125" s="877"/>
      <c r="G125" s="877">
        <f t="shared" ref="G125:V125" si="446">+G124*G116/1000</f>
        <v>206.08799999999999</v>
      </c>
      <c r="H125" s="877">
        <f t="shared" si="446"/>
        <v>208.5804</v>
      </c>
      <c r="I125" s="877">
        <f t="shared" si="446"/>
        <v>211.91940000000002</v>
      </c>
      <c r="J125" s="954">
        <f t="shared" si="446"/>
        <v>211.5504</v>
      </c>
      <c r="K125" s="877">
        <f t="shared" si="446"/>
        <v>282.78280000000001</v>
      </c>
      <c r="L125" s="877">
        <f t="shared" si="446"/>
        <v>282.90600000000001</v>
      </c>
      <c r="M125" s="877">
        <f t="shared" si="446"/>
        <v>292.28080000000006</v>
      </c>
      <c r="N125" s="954">
        <f t="shared" si="446"/>
        <v>299.55200000000002</v>
      </c>
      <c r="O125" s="877">
        <f t="shared" si="446"/>
        <v>278.226</v>
      </c>
      <c r="P125" s="877">
        <f t="shared" si="446"/>
        <v>284.35679999999996</v>
      </c>
      <c r="Q125" s="877">
        <f t="shared" si="446"/>
        <v>288.46280000000007</v>
      </c>
      <c r="R125" s="954">
        <f t="shared" si="446"/>
        <v>309.30900000000003</v>
      </c>
      <c r="S125" s="877">
        <f t="shared" si="446"/>
        <v>248.85679999999999</v>
      </c>
      <c r="T125" s="877">
        <f t="shared" si="446"/>
        <v>253.6472</v>
      </c>
      <c r="U125" s="877">
        <f t="shared" si="446"/>
        <v>267.24720000000002</v>
      </c>
      <c r="V125" s="954">
        <f t="shared" si="446"/>
        <v>271.52300000000002</v>
      </c>
      <c r="W125" s="877">
        <f>+W124*W116/1000</f>
        <v>280.00559999999996</v>
      </c>
      <c r="X125" s="877">
        <f t="shared" ref="X125:Y125" si="447">+X124*X116/1000</f>
        <v>297.52550000000002</v>
      </c>
      <c r="Y125" s="877">
        <f t="shared" si="447"/>
        <v>312.37220000000002</v>
      </c>
      <c r="Z125" s="877">
        <f t="shared" ref="Z125:AD125" si="448">+Z124*Z116/1000</f>
        <v>329.84100000000001</v>
      </c>
      <c r="AA125" s="1295">
        <f t="shared" si="448"/>
        <v>314.15999999999997</v>
      </c>
      <c r="AB125" s="1294">
        <f t="shared" si="448"/>
        <v>324.32251499999995</v>
      </c>
      <c r="AC125" s="1294">
        <f t="shared" si="448"/>
        <v>335.59078049999994</v>
      </c>
      <c r="AD125" s="1294">
        <f t="shared" si="448"/>
        <v>350.85126999999989</v>
      </c>
      <c r="AE125" s="877"/>
      <c r="AF125" s="877"/>
      <c r="AG125" s="877"/>
      <c r="AH125" s="877"/>
      <c r="AI125" s="877"/>
      <c r="AJ125" s="877"/>
      <c r="AK125" s="877"/>
      <c r="AL125" s="877"/>
      <c r="AM125" s="877"/>
      <c r="AN125" s="877"/>
      <c r="AO125" s="877"/>
      <c r="AP125" s="877"/>
      <c r="AQ125" s="877">
        <f t="shared" ref="AQ125" si="449">+AQ124*AQ116/1000</f>
        <v>838.14499999999998</v>
      </c>
      <c r="AR125" s="877">
        <f t="shared" ref="AR125" si="450">+AR124*AR116/1000</f>
        <v>1157.8562999999999</v>
      </c>
      <c r="AS125" s="877">
        <f t="shared" ref="AS125" si="451">+AS124*AS116/1000</f>
        <v>1160.4927999999998</v>
      </c>
      <c r="AT125" s="877">
        <f t="shared" ref="AT125" si="452">+AT124*AT116/1000</f>
        <v>1041.021</v>
      </c>
      <c r="AU125" s="878">
        <f>+SUM(W125:Z125)</f>
        <v>1219.7442999999998</v>
      </c>
      <c r="AV125" s="894">
        <f>+SUM(AA125:AD125)</f>
        <v>1324.9245654999997</v>
      </c>
    </row>
    <row r="126" spans="1:48" s="888" customFormat="1" ht="14" x14ac:dyDescent="0.4">
      <c r="A126" s="884" t="s">
        <v>881</v>
      </c>
      <c r="C126" s="945"/>
      <c r="D126" s="945"/>
      <c r="E126" s="945"/>
      <c r="F126" s="945"/>
      <c r="G126" s="945">
        <f>+G127-G125</f>
        <v>27.47799999999998</v>
      </c>
      <c r="H126" s="945">
        <f t="shared" ref="H126:W126" si="453">+H127-H125</f>
        <v>24.038599999999974</v>
      </c>
      <c r="I126" s="945">
        <f t="shared" si="453"/>
        <v>21.227599999999967</v>
      </c>
      <c r="J126" s="955">
        <f t="shared" si="453"/>
        <v>22.925600000000031</v>
      </c>
      <c r="K126" s="945">
        <f t="shared" si="453"/>
        <v>31.065199999999948</v>
      </c>
      <c r="L126" s="945">
        <f t="shared" si="453"/>
        <v>31.083000000000027</v>
      </c>
      <c r="M126" s="945">
        <f t="shared" si="453"/>
        <v>30.023199999999918</v>
      </c>
      <c r="N126" s="955">
        <f t="shared" si="453"/>
        <v>30.505999999999972</v>
      </c>
      <c r="O126" s="945">
        <f t="shared" si="453"/>
        <v>28.115000000000009</v>
      </c>
      <c r="P126" s="945">
        <f t="shared" si="453"/>
        <v>28.884200000000021</v>
      </c>
      <c r="Q126" s="945">
        <f t="shared" si="453"/>
        <v>27.395199999999932</v>
      </c>
      <c r="R126" s="955">
        <f t="shared" si="453"/>
        <v>29.033999999999992</v>
      </c>
      <c r="S126" s="945">
        <f t="shared" si="453"/>
        <v>22.801200000000023</v>
      </c>
      <c r="T126" s="945">
        <f t="shared" si="453"/>
        <v>21.116800000000012</v>
      </c>
      <c r="U126" s="945">
        <f t="shared" si="453"/>
        <v>22.318799999999953</v>
      </c>
      <c r="V126" s="955">
        <f t="shared" si="453"/>
        <v>23.878999999999962</v>
      </c>
      <c r="W126" s="945">
        <f t="shared" si="453"/>
        <v>19.332400000000064</v>
      </c>
      <c r="X126" s="945">
        <f t="shared" ref="X126:Y126" si="454">+X127-X125</f>
        <v>16.376499999999965</v>
      </c>
      <c r="Y126" s="945">
        <f t="shared" si="454"/>
        <v>16.521799999999985</v>
      </c>
      <c r="Z126" s="945">
        <f t="shared" ref="Z126:AA126" si="455">+Z127-Z125</f>
        <v>17.216999999999985</v>
      </c>
      <c r="AA126" s="1280">
        <f t="shared" si="455"/>
        <v>15.247000000000014</v>
      </c>
      <c r="AB126" s="987">
        <f t="shared" ref="AB126:AD126" si="456">+X126*(1+AB132)</f>
        <v>13.101199999999972</v>
      </c>
      <c r="AC126" s="987">
        <f t="shared" si="456"/>
        <v>13.217439999999989</v>
      </c>
      <c r="AD126" s="987">
        <f t="shared" si="456"/>
        <v>13.773599999999988</v>
      </c>
      <c r="AJ126" s="945"/>
      <c r="AK126" s="945"/>
      <c r="AL126" s="945"/>
      <c r="AM126" s="945"/>
      <c r="AN126" s="945"/>
      <c r="AO126" s="945"/>
      <c r="AP126" s="945"/>
      <c r="AQ126" s="945">
        <f t="shared" ref="AQ126" si="457">+AQ127-AQ125</f>
        <v>95.663000000000011</v>
      </c>
      <c r="AR126" s="945">
        <f t="shared" ref="AR126" si="458">+AR127-AR125</f>
        <v>122.34270000000015</v>
      </c>
      <c r="AS126" s="945">
        <f t="shared" ref="AS126" si="459">+AS127-AS125</f>
        <v>113.29020000000014</v>
      </c>
      <c r="AT126" s="945">
        <f t="shared" ref="AT126" si="460">+AT127-AT125</f>
        <v>90.370000000000118</v>
      </c>
      <c r="AU126" s="987">
        <f>+SUM(W126:Z126)</f>
        <v>69.447699999999998</v>
      </c>
      <c r="AV126" s="905">
        <f>+SUM(AA126:AD126)</f>
        <v>55.339239999999961</v>
      </c>
    </row>
    <row r="127" spans="1:48" s="876" customFormat="1" x14ac:dyDescent="0.25">
      <c r="A127" s="882" t="s">
        <v>882</v>
      </c>
      <c r="C127" s="877">
        <f>+C213</f>
        <v>238.51499999999999</v>
      </c>
      <c r="D127" s="877">
        <f t="shared" ref="D127:W127" si="461">+D213</f>
        <v>242.57500000000002</v>
      </c>
      <c r="E127" s="877">
        <f t="shared" si="461"/>
        <v>241.23600000000002</v>
      </c>
      <c r="F127" s="877">
        <f t="shared" si="461"/>
        <v>243.60500000000002</v>
      </c>
      <c r="G127" s="877">
        <f t="shared" si="461"/>
        <v>233.56599999999997</v>
      </c>
      <c r="H127" s="877">
        <f t="shared" si="461"/>
        <v>232.61899999999997</v>
      </c>
      <c r="I127" s="877">
        <f t="shared" si="461"/>
        <v>233.14699999999999</v>
      </c>
      <c r="J127" s="954">
        <f t="shared" si="461"/>
        <v>234.47600000000003</v>
      </c>
      <c r="K127" s="877">
        <f t="shared" si="461"/>
        <v>313.84799999999996</v>
      </c>
      <c r="L127" s="877">
        <f t="shared" si="461"/>
        <v>313.98900000000003</v>
      </c>
      <c r="M127" s="877">
        <f t="shared" si="461"/>
        <v>322.30399999999997</v>
      </c>
      <c r="N127" s="954">
        <f t="shared" si="461"/>
        <v>330.05799999999999</v>
      </c>
      <c r="O127" s="877">
        <f t="shared" si="461"/>
        <v>306.34100000000001</v>
      </c>
      <c r="P127" s="877">
        <f t="shared" si="461"/>
        <v>313.24099999999999</v>
      </c>
      <c r="Q127" s="877">
        <f t="shared" si="461"/>
        <v>315.858</v>
      </c>
      <c r="R127" s="954">
        <f t="shared" si="461"/>
        <v>338.34300000000002</v>
      </c>
      <c r="S127" s="877">
        <f t="shared" si="461"/>
        <v>271.65800000000002</v>
      </c>
      <c r="T127" s="877">
        <f t="shared" si="461"/>
        <v>274.76400000000001</v>
      </c>
      <c r="U127" s="877">
        <f t="shared" si="461"/>
        <v>289.56599999999997</v>
      </c>
      <c r="V127" s="954">
        <f t="shared" si="461"/>
        <v>295.40199999999999</v>
      </c>
      <c r="W127" s="877">
        <f t="shared" si="461"/>
        <v>299.33800000000002</v>
      </c>
      <c r="X127" s="877">
        <f t="shared" ref="X127:Y127" si="462">+X213</f>
        <v>313.90199999999999</v>
      </c>
      <c r="Y127" s="877">
        <f t="shared" si="462"/>
        <v>328.89400000000001</v>
      </c>
      <c r="Z127" s="877">
        <f t="shared" ref="Z127:AA127" si="463">+Z213</f>
        <v>347.05799999999999</v>
      </c>
      <c r="AA127" s="1272">
        <f t="shared" si="463"/>
        <v>329.40699999999998</v>
      </c>
      <c r="AB127" s="878">
        <f t="shared" ref="AB127:AD127" si="464">+AB126+AB125</f>
        <v>337.4237149999999</v>
      </c>
      <c r="AC127" s="878">
        <f t="shared" si="464"/>
        <v>348.80822049999995</v>
      </c>
      <c r="AD127" s="878">
        <f t="shared" si="464"/>
        <v>364.62486999999987</v>
      </c>
      <c r="AE127" s="877"/>
      <c r="AF127" s="877"/>
      <c r="AG127" s="877"/>
      <c r="AH127" s="877"/>
      <c r="AI127" s="877"/>
      <c r="AJ127" s="877"/>
      <c r="AK127" s="877"/>
      <c r="AL127" s="877"/>
      <c r="AM127" s="877"/>
      <c r="AN127" s="877"/>
      <c r="AO127" s="877"/>
      <c r="AP127" s="877">
        <f t="shared" ref="AP127" si="465">+AP213</f>
        <v>965.93099999999993</v>
      </c>
      <c r="AQ127" s="877">
        <f t="shared" ref="AQ127:AS127" si="466">+AQ213</f>
        <v>933.80799999999999</v>
      </c>
      <c r="AR127" s="877">
        <f t="shared" si="466"/>
        <v>1280.1990000000001</v>
      </c>
      <c r="AS127" s="877">
        <f t="shared" si="466"/>
        <v>1273.7829999999999</v>
      </c>
      <c r="AT127" s="877">
        <f t="shared" ref="AT127" si="467">+AT213</f>
        <v>1131.3910000000001</v>
      </c>
      <c r="AU127" s="878">
        <f>+AU126+AU125</f>
        <v>1289.1919999999998</v>
      </c>
      <c r="AV127" s="894">
        <f>+AV126+AV125</f>
        <v>1380.2638054999998</v>
      </c>
    </row>
    <row r="128" spans="1:48" x14ac:dyDescent="0.25">
      <c r="J128" s="953"/>
      <c r="N128" s="953"/>
      <c r="R128" s="953"/>
      <c r="V128" s="953"/>
      <c r="AA128" s="1271"/>
    </row>
    <row r="129" spans="1:50" s="887" customFormat="1" ht="13" x14ac:dyDescent="0.3">
      <c r="A129" s="889" t="s">
        <v>657</v>
      </c>
      <c r="J129" s="963"/>
      <c r="N129" s="963"/>
      <c r="R129" s="963"/>
      <c r="V129" s="963"/>
      <c r="AA129" s="1274"/>
    </row>
    <row r="130" spans="1:50" s="891" customFormat="1" ht="13" x14ac:dyDescent="0.3">
      <c r="A130" s="890" t="str">
        <f>+A124</f>
        <v>Revenue per Enrollment</v>
      </c>
      <c r="G130" s="896"/>
      <c r="H130" s="896"/>
      <c r="I130" s="896"/>
      <c r="J130" s="965"/>
      <c r="K130" s="896">
        <f t="shared" ref="K130:W131" si="468">+K124/G124-1</f>
        <v>-7.6344086021505331E-2</v>
      </c>
      <c r="L130" s="896">
        <f t="shared" si="468"/>
        <v>-0.10138248847926268</v>
      </c>
      <c r="M130" s="896">
        <f t="shared" si="468"/>
        <v>-3.5971223021582732E-2</v>
      </c>
      <c r="N130" s="965">
        <f t="shared" si="468"/>
        <v>2.1586345381526151E-2</v>
      </c>
      <c r="O130" s="896">
        <f t="shared" si="468"/>
        <v>9.720605355064027E-2</v>
      </c>
      <c r="P130" s="896">
        <f t="shared" si="468"/>
        <v>0.11282051282051286</v>
      </c>
      <c r="Q130" s="896">
        <f t="shared" si="468"/>
        <v>6.9296375266524546E-2</v>
      </c>
      <c r="R130" s="965">
        <f t="shared" si="468"/>
        <v>0.11351351351351346</v>
      </c>
      <c r="S130" s="896">
        <f t="shared" si="468"/>
        <v>0.17559681697612728</v>
      </c>
      <c r="T130" s="896">
        <f t="shared" si="468"/>
        <v>0.16794674859190994</v>
      </c>
      <c r="U130" s="896">
        <f t="shared" si="468"/>
        <v>0.16251246261216346</v>
      </c>
      <c r="V130" s="965">
        <f t="shared" si="468"/>
        <v>8.3406884377758228E-2</v>
      </c>
      <c r="W130" s="896">
        <f t="shared" si="468"/>
        <v>7.4458483754512583E-2</v>
      </c>
      <c r="X130" s="896">
        <f t="shared" ref="X130:X133" si="469">+X124/T124-1</f>
        <v>8.0666374397194263E-2</v>
      </c>
      <c r="Y130" s="896">
        <f t="shared" ref="Y130:Y133" si="470">+Y124/U124-1</f>
        <v>7.5042881646655291E-2</v>
      </c>
      <c r="Z130" s="896">
        <f t="shared" ref="Z130:Z133" si="471">+Z124/V124-1</f>
        <v>0.11405295315682284</v>
      </c>
      <c r="AA130" s="1276">
        <f t="shared" ref="AA130:AA133" si="472">+AA124/W124-1</f>
        <v>7.9798404031918846E-3</v>
      </c>
      <c r="AB130" s="1181">
        <v>-0.01</v>
      </c>
      <c r="AC130" s="1181">
        <v>-1.4999999999999999E-2</v>
      </c>
      <c r="AD130" s="1181">
        <v>-0.02</v>
      </c>
      <c r="AE130" s="896"/>
      <c r="AF130" s="896"/>
      <c r="AG130" s="896"/>
      <c r="AH130" s="896"/>
      <c r="AI130" s="896"/>
      <c r="AJ130" s="896"/>
      <c r="AK130" s="896"/>
      <c r="AL130" s="896"/>
      <c r="AM130" s="896"/>
      <c r="AN130" s="896"/>
      <c r="AO130" s="896"/>
      <c r="AP130" s="896"/>
      <c r="AQ130" s="896"/>
      <c r="AR130" s="896">
        <f t="shared" ref="AR130:AT133" si="473">+AR124/AQ124-1</f>
        <v>-4.9646302250803909E-2</v>
      </c>
      <c r="AS130" s="896">
        <f t="shared" si="473"/>
        <v>9.6765462173501238E-2</v>
      </c>
      <c r="AT130" s="896">
        <f t="shared" si="473"/>
        <v>0.14387956564659432</v>
      </c>
      <c r="AU130" s="896">
        <f t="shared" ref="AU130:AU133" si="474">+AU124/AT124-1</f>
        <v>8.8560511998429181E-2</v>
      </c>
      <c r="AV130" s="896">
        <f t="shared" ref="AV130:AV133" si="475">+AV124/AU124-1</f>
        <v>-1.0190567993165645E-2</v>
      </c>
    </row>
    <row r="131" spans="1:50" s="887" customFormat="1" ht="13" x14ac:dyDescent="0.3">
      <c r="A131" s="892" t="str">
        <f>+A125</f>
        <v>Enrollment Revenue</v>
      </c>
      <c r="G131" s="883"/>
      <c r="H131" s="883"/>
      <c r="I131" s="883"/>
      <c r="J131" s="964"/>
      <c r="K131" s="883">
        <f t="shared" si="468"/>
        <v>0.37214587943014643</v>
      </c>
      <c r="L131" s="883">
        <f t="shared" si="468"/>
        <v>0.3563402889245586</v>
      </c>
      <c r="M131" s="883">
        <f t="shared" si="468"/>
        <v>0.37920737789933345</v>
      </c>
      <c r="N131" s="964">
        <f t="shared" si="468"/>
        <v>0.4159840870071625</v>
      </c>
      <c r="O131" s="883">
        <f t="shared" si="468"/>
        <v>-1.611413424013064E-2</v>
      </c>
      <c r="P131" s="883">
        <f t="shared" si="468"/>
        <v>5.1282051282048879E-3</v>
      </c>
      <c r="Q131" s="883">
        <f t="shared" si="468"/>
        <v>-1.3062780723194889E-2</v>
      </c>
      <c r="R131" s="964">
        <f t="shared" si="468"/>
        <v>3.2571974148061011E-2</v>
      </c>
      <c r="S131" s="883">
        <f t="shared" si="468"/>
        <v>-0.10555879033591398</v>
      </c>
      <c r="T131" s="883">
        <f t="shared" si="468"/>
        <v>-0.10799671398749733</v>
      </c>
      <c r="U131" s="883">
        <f t="shared" si="468"/>
        <v>-7.3547091687385824E-2</v>
      </c>
      <c r="V131" s="964">
        <f t="shared" si="468"/>
        <v>-0.12216262701699598</v>
      </c>
      <c r="W131" s="883">
        <f t="shared" si="468"/>
        <v>0.12516756624693381</v>
      </c>
      <c r="X131" s="883">
        <f t="shared" si="469"/>
        <v>0.17298949091494031</v>
      </c>
      <c r="Y131" s="883">
        <f t="shared" si="470"/>
        <v>0.16885116102245412</v>
      </c>
      <c r="Z131" s="883">
        <f t="shared" si="471"/>
        <v>0.21478106827045962</v>
      </c>
      <c r="AA131" s="1275">
        <f t="shared" si="472"/>
        <v>0.12197756044879116</v>
      </c>
      <c r="AB131" s="883">
        <f t="shared" ref="AB131" si="476">+AB125/X125-1</f>
        <v>9.0066280033139767E-2</v>
      </c>
      <c r="AC131" s="883">
        <f t="shared" ref="AC131" si="477">+AC125/Y125-1</f>
        <v>7.4329855537720535E-2</v>
      </c>
      <c r="AD131" s="883">
        <f t="shared" ref="AD131" si="478">+AD125/Z125-1</f>
        <v>6.369817578772774E-2</v>
      </c>
      <c r="AE131" s="883"/>
      <c r="AF131" s="883"/>
      <c r="AG131" s="883"/>
      <c r="AH131" s="883"/>
      <c r="AI131" s="883"/>
      <c r="AJ131" s="883"/>
      <c r="AK131" s="883"/>
      <c r="AL131" s="883"/>
      <c r="AM131" s="883"/>
      <c r="AN131" s="883"/>
      <c r="AO131" s="883"/>
      <c r="AP131" s="883"/>
      <c r="AQ131" s="883"/>
      <c r="AR131" s="883">
        <f t="shared" si="473"/>
        <v>0.38145106157049202</v>
      </c>
      <c r="AS131" s="883">
        <f t="shared" si="473"/>
        <v>2.2770528605318141E-3</v>
      </c>
      <c r="AT131" s="883">
        <f t="shared" si="473"/>
        <v>-0.10294919537630898</v>
      </c>
      <c r="AU131" s="883">
        <f t="shared" si="474"/>
        <v>0.17168078261629671</v>
      </c>
      <c r="AV131" s="883">
        <f t="shared" si="475"/>
        <v>8.6231405631491675E-2</v>
      </c>
      <c r="AX131" s="1417"/>
    </row>
    <row r="132" spans="1:50" s="891" customFormat="1" ht="13" x14ac:dyDescent="0.3">
      <c r="A132" s="890" t="str">
        <f>+A126</f>
        <v>Non-Enrollment Revenue</v>
      </c>
      <c r="G132" s="896"/>
      <c r="H132" s="896"/>
      <c r="I132" s="896"/>
      <c r="J132" s="965"/>
      <c r="K132" s="896">
        <f t="shared" ref="K132:W133" si="479">+K126/G126-1</f>
        <v>0.13054807482349395</v>
      </c>
      <c r="L132" s="896">
        <f t="shared" si="479"/>
        <v>0.29304535205877458</v>
      </c>
      <c r="M132" s="896">
        <f t="shared" si="479"/>
        <v>0.41434735909853049</v>
      </c>
      <c r="N132" s="965">
        <f t="shared" si="479"/>
        <v>0.33065219667096746</v>
      </c>
      <c r="O132" s="896">
        <f t="shared" si="479"/>
        <v>-9.4968002781245398E-2</v>
      </c>
      <c r="P132" s="896">
        <f t="shared" si="479"/>
        <v>-7.0739632596596325E-2</v>
      </c>
      <c r="Q132" s="896">
        <f t="shared" si="479"/>
        <v>-8.7532308348210464E-2</v>
      </c>
      <c r="R132" s="965">
        <f t="shared" si="479"/>
        <v>-4.8252802727331678E-2</v>
      </c>
      <c r="S132" s="896">
        <f t="shared" si="479"/>
        <v>-0.18900231193313122</v>
      </c>
      <c r="T132" s="896">
        <f t="shared" si="479"/>
        <v>-0.26891518546471782</v>
      </c>
      <c r="U132" s="896">
        <f t="shared" si="479"/>
        <v>-0.18530253475061287</v>
      </c>
      <c r="V132" s="965">
        <f t="shared" si="479"/>
        <v>-0.17755045808362713</v>
      </c>
      <c r="W132" s="896">
        <f t="shared" si="479"/>
        <v>-0.15213234391172203</v>
      </c>
      <c r="X132" s="896">
        <f t="shared" si="469"/>
        <v>-0.22448003485376788</v>
      </c>
      <c r="Y132" s="896">
        <f t="shared" si="470"/>
        <v>-0.25973618653332531</v>
      </c>
      <c r="Z132" s="896">
        <f t="shared" si="471"/>
        <v>-0.27898990745006025</v>
      </c>
      <c r="AA132" s="1276">
        <f t="shared" si="472"/>
        <v>-0.21132399495148224</v>
      </c>
      <c r="AB132" s="1181">
        <v>-0.2</v>
      </c>
      <c r="AC132" s="1181">
        <v>-0.2</v>
      </c>
      <c r="AD132" s="1181">
        <v>-0.2</v>
      </c>
      <c r="AE132" s="896"/>
      <c r="AF132" s="896"/>
      <c r="AG132" s="896"/>
      <c r="AH132" s="896"/>
      <c r="AI132" s="896"/>
      <c r="AJ132" s="896"/>
      <c r="AK132" s="896"/>
      <c r="AL132" s="896"/>
      <c r="AM132" s="896"/>
      <c r="AN132" s="896"/>
      <c r="AO132" s="896"/>
      <c r="AP132" s="896"/>
      <c r="AQ132" s="896"/>
      <c r="AR132" s="896">
        <f t="shared" si="473"/>
        <v>0.27889257079539775</v>
      </c>
      <c r="AS132" s="896">
        <f t="shared" si="473"/>
        <v>-7.3992972200221163E-2</v>
      </c>
      <c r="AT132" s="896">
        <f t="shared" si="473"/>
        <v>-0.20231405717352424</v>
      </c>
      <c r="AU132" s="896">
        <f t="shared" si="474"/>
        <v>-0.23151820294345571</v>
      </c>
      <c r="AV132" s="896">
        <f t="shared" si="475"/>
        <v>-0.20315230022016617</v>
      </c>
    </row>
    <row r="133" spans="1:50" s="887" customFormat="1" ht="13" x14ac:dyDescent="0.3">
      <c r="A133" s="892" t="str">
        <f>+A127</f>
        <v>General Education Total Revenue</v>
      </c>
      <c r="G133" s="883">
        <f>+G127/C127-1</f>
        <v>-2.0749219126679708E-2</v>
      </c>
      <c r="H133" s="883">
        <f>+H127/D127-1</f>
        <v>-4.1042976399052078E-2</v>
      </c>
      <c r="I133" s="883">
        <f>+I127/E127-1</f>
        <v>-3.3531479546999754E-2</v>
      </c>
      <c r="J133" s="964">
        <f>+J127/F127-1</f>
        <v>-3.7474600275035352E-2</v>
      </c>
      <c r="K133" s="883">
        <f t="shared" si="479"/>
        <v>0.34372297337797453</v>
      </c>
      <c r="L133" s="883">
        <f t="shared" si="479"/>
        <v>0.34979945748197738</v>
      </c>
      <c r="M133" s="883">
        <f t="shared" si="479"/>
        <v>0.38240680772216673</v>
      </c>
      <c r="N133" s="964">
        <f t="shared" si="479"/>
        <v>0.40764086729558646</v>
      </c>
      <c r="O133" s="883">
        <f t="shared" si="479"/>
        <v>-2.391922204379171E-2</v>
      </c>
      <c r="P133" s="883">
        <f t="shared" si="479"/>
        <v>-2.3822490596805412E-3</v>
      </c>
      <c r="Q133" s="883">
        <f t="shared" si="479"/>
        <v>-1.9999751787132536E-2</v>
      </c>
      <c r="R133" s="964">
        <f t="shared" si="479"/>
        <v>2.510164880111998E-2</v>
      </c>
      <c r="S133" s="883">
        <f t="shared" si="479"/>
        <v>-0.11321697063076763</v>
      </c>
      <c r="T133" s="883">
        <f t="shared" si="479"/>
        <v>-0.12283513333184348</v>
      </c>
      <c r="U133" s="883">
        <f t="shared" si="479"/>
        <v>-8.3239936933685477E-2</v>
      </c>
      <c r="V133" s="964">
        <f t="shared" si="479"/>
        <v>-0.12691558566306982</v>
      </c>
      <c r="W133" s="883">
        <f t="shared" si="479"/>
        <v>0.10189282112067377</v>
      </c>
      <c r="X133" s="883">
        <f t="shared" si="469"/>
        <v>0.14244224134166039</v>
      </c>
      <c r="Y133" s="883">
        <f t="shared" si="470"/>
        <v>0.13581705034430858</v>
      </c>
      <c r="Z133" s="883">
        <f t="shared" si="471"/>
        <v>0.17486679169403052</v>
      </c>
      <c r="AA133" s="1275">
        <f t="shared" si="472"/>
        <v>0.1004516633370971</v>
      </c>
      <c r="AB133" s="883">
        <f t="shared" ref="AB133:AD133" si="480">+AB127/X127-1</f>
        <v>7.4933307210530486E-2</v>
      </c>
      <c r="AC133" s="883">
        <f t="shared" si="480"/>
        <v>6.0549053798488073E-2</v>
      </c>
      <c r="AD133" s="883">
        <f t="shared" si="480"/>
        <v>5.0616525191754302E-2</v>
      </c>
      <c r="AE133" s="883"/>
      <c r="AF133" s="883"/>
      <c r="AG133" s="883"/>
      <c r="AH133" s="883"/>
      <c r="AI133" s="883"/>
      <c r="AJ133" s="883"/>
      <c r="AK133" s="883"/>
      <c r="AL133" s="883"/>
      <c r="AM133" s="883"/>
      <c r="AN133" s="883"/>
      <c r="AO133" s="883"/>
      <c r="AP133" s="883"/>
      <c r="AQ133" s="883">
        <f>+AQ127/AP127-1</f>
        <v>-3.3255998616878335E-2</v>
      </c>
      <c r="AR133" s="883">
        <f t="shared" si="473"/>
        <v>0.37094456247965324</v>
      </c>
      <c r="AS133" s="883">
        <f t="shared" si="473"/>
        <v>-5.0117208340266783E-3</v>
      </c>
      <c r="AT133" s="883">
        <f t="shared" si="473"/>
        <v>-0.11178670150253212</v>
      </c>
      <c r="AU133" s="883">
        <f t="shared" si="474"/>
        <v>0.13947521237131966</v>
      </c>
      <c r="AV133" s="883">
        <f t="shared" si="475"/>
        <v>7.0642546261534322E-2</v>
      </c>
    </row>
    <row r="134" spans="1:50" s="887" customFormat="1" ht="13" x14ac:dyDescent="0.3">
      <c r="A134" s="892" t="s">
        <v>884</v>
      </c>
      <c r="G134" s="883">
        <f>+G133</f>
        <v>-2.0749219126679708E-2</v>
      </c>
      <c r="H134" s="883">
        <f t="shared" ref="H134:W134" si="481">+H133</f>
        <v>-4.1042976399052078E-2</v>
      </c>
      <c r="I134" s="883">
        <f t="shared" si="481"/>
        <v>-3.3531479546999754E-2</v>
      </c>
      <c r="J134" s="964">
        <f t="shared" si="481"/>
        <v>-3.7474600275035352E-2</v>
      </c>
      <c r="K134" s="883">
        <f t="shared" si="481"/>
        <v>0.34372297337797453</v>
      </c>
      <c r="L134" s="883">
        <f t="shared" si="481"/>
        <v>0.34979945748197738</v>
      </c>
      <c r="M134" s="883">
        <f t="shared" si="481"/>
        <v>0.38240680772216673</v>
      </c>
      <c r="N134" s="964">
        <f t="shared" si="481"/>
        <v>0.40764086729558646</v>
      </c>
      <c r="O134" s="883">
        <f t="shared" si="481"/>
        <v>-2.391922204379171E-2</v>
      </c>
      <c r="P134" s="883">
        <f t="shared" si="481"/>
        <v>-2.3822490596805412E-3</v>
      </c>
      <c r="Q134" s="883">
        <f t="shared" si="481"/>
        <v>-1.9999751787132536E-2</v>
      </c>
      <c r="R134" s="964">
        <f t="shared" si="481"/>
        <v>2.510164880111998E-2</v>
      </c>
      <c r="S134" s="883">
        <f t="shared" si="481"/>
        <v>-0.11321697063076763</v>
      </c>
      <c r="T134" s="883">
        <f t="shared" si="481"/>
        <v>-0.12283513333184348</v>
      </c>
      <c r="U134" s="883">
        <f t="shared" si="481"/>
        <v>-8.3239936933685477E-2</v>
      </c>
      <c r="V134" s="964">
        <f t="shared" si="481"/>
        <v>-0.12691558566306982</v>
      </c>
      <c r="W134" s="883">
        <f t="shared" si="481"/>
        <v>0.10189282112067377</v>
      </c>
      <c r="X134" s="883">
        <f t="shared" ref="X134:Y134" si="482">+X133</f>
        <v>0.14244224134166039</v>
      </c>
      <c r="Y134" s="883">
        <f t="shared" si="482"/>
        <v>0.13581705034430858</v>
      </c>
      <c r="Z134" s="883">
        <f t="shared" ref="Z134" si="483">+Z133</f>
        <v>0.17486679169403052</v>
      </c>
      <c r="AA134" s="1275">
        <f t="shared" ref="AA134" si="484">+AA133</f>
        <v>0.1004516633370971</v>
      </c>
      <c r="AB134" s="883">
        <f t="shared" ref="AB134:AD134" si="485">+AB133</f>
        <v>7.4933307210530486E-2</v>
      </c>
      <c r="AC134" s="883">
        <f t="shared" si="485"/>
        <v>6.0549053798488073E-2</v>
      </c>
      <c r="AD134" s="883">
        <f t="shared" si="485"/>
        <v>5.0616525191754302E-2</v>
      </c>
      <c r="AE134" s="883"/>
      <c r="AF134" s="883"/>
      <c r="AG134" s="883"/>
      <c r="AH134" s="883"/>
      <c r="AI134" s="883"/>
      <c r="AJ134" s="883"/>
      <c r="AK134" s="883"/>
      <c r="AL134" s="883"/>
      <c r="AM134" s="883"/>
      <c r="AN134" s="883"/>
      <c r="AO134" s="883"/>
      <c r="AP134" s="883"/>
      <c r="AQ134" s="883">
        <f t="shared" ref="AQ134" si="486">+AQ133</f>
        <v>-3.3255998616878335E-2</v>
      </c>
      <c r="AR134" s="883">
        <f t="shared" ref="AR134" si="487">+AR133</f>
        <v>0.37094456247965324</v>
      </c>
      <c r="AS134" s="883">
        <f t="shared" ref="AS134" si="488">+AS133</f>
        <v>-5.0117208340266783E-3</v>
      </c>
      <c r="AT134" s="883">
        <f t="shared" ref="AT134" si="489">+AT133</f>
        <v>-0.11178670150253212</v>
      </c>
      <c r="AU134" s="883">
        <f t="shared" ref="AU134:AV134" si="490">+AU133</f>
        <v>0.13947521237131966</v>
      </c>
      <c r="AV134" s="883">
        <f t="shared" si="490"/>
        <v>7.0642546261534322E-2</v>
      </c>
    </row>
    <row r="135" spans="1:50" x14ac:dyDescent="0.25">
      <c r="J135" s="953"/>
      <c r="N135" s="953"/>
      <c r="R135" s="953"/>
      <c r="V135" s="953"/>
      <c r="AA135" s="1271"/>
    </row>
    <row r="136" spans="1:50" ht="13" x14ac:dyDescent="0.3">
      <c r="A136" s="904" t="s">
        <v>656</v>
      </c>
      <c r="B136" s="903"/>
      <c r="J136" s="953"/>
      <c r="N136" s="953"/>
      <c r="R136" s="953"/>
      <c r="V136" s="953"/>
      <c r="AA136" s="1271"/>
    </row>
    <row r="137" spans="1:50" x14ac:dyDescent="0.25">
      <c r="J137" s="953"/>
      <c r="N137" s="953"/>
      <c r="R137" s="953"/>
      <c r="V137" s="953"/>
      <c r="AA137" s="1271"/>
    </row>
    <row r="138" spans="1:50" x14ac:dyDescent="0.25">
      <c r="A138" s="888" t="s">
        <v>654</v>
      </c>
      <c r="J138" s="953"/>
      <c r="N138" s="953"/>
      <c r="R138" s="953"/>
      <c r="V138" s="953"/>
      <c r="AA138" s="1271"/>
    </row>
    <row r="139" spans="1:50" s="876" customFormat="1" x14ac:dyDescent="0.25">
      <c r="A139" s="876" t="s">
        <v>919</v>
      </c>
      <c r="C139" s="877">
        <f t="shared" ref="C139:F139" si="491">+C248</f>
        <v>7.1</v>
      </c>
      <c r="D139" s="877">
        <f t="shared" si="491"/>
        <v>6.8</v>
      </c>
      <c r="E139" s="877">
        <f t="shared" si="491"/>
        <v>6.7</v>
      </c>
      <c r="F139" s="877">
        <f t="shared" si="491"/>
        <v>6.4</v>
      </c>
      <c r="G139" s="877">
        <f t="shared" ref="G139:W139" si="492">+G248</f>
        <v>13.6</v>
      </c>
      <c r="H139" s="877">
        <f t="shared" si="492"/>
        <v>13.1</v>
      </c>
      <c r="I139" s="877">
        <f t="shared" si="492"/>
        <v>13.2</v>
      </c>
      <c r="J139" s="954">
        <f t="shared" si="492"/>
        <v>12.7</v>
      </c>
      <c r="K139" s="877">
        <f t="shared" si="492"/>
        <v>30.8</v>
      </c>
      <c r="L139" s="877">
        <f t="shared" si="492"/>
        <v>30.3</v>
      </c>
      <c r="M139" s="877">
        <f t="shared" si="492"/>
        <v>29.5</v>
      </c>
      <c r="N139" s="954">
        <f t="shared" si="492"/>
        <v>28.2</v>
      </c>
      <c r="O139" s="877">
        <f t="shared" si="492"/>
        <v>42</v>
      </c>
      <c r="P139" s="877">
        <f t="shared" si="492"/>
        <v>41.9</v>
      </c>
      <c r="Q139" s="877">
        <f t="shared" si="492"/>
        <v>42</v>
      </c>
      <c r="R139" s="954">
        <f t="shared" si="492"/>
        <v>41.9</v>
      </c>
      <c r="S139" s="877">
        <f t="shared" si="492"/>
        <v>61.6</v>
      </c>
      <c r="T139" s="877">
        <f t="shared" si="492"/>
        <v>66.3</v>
      </c>
      <c r="U139" s="877">
        <f t="shared" si="492"/>
        <v>67.2</v>
      </c>
      <c r="V139" s="954">
        <f t="shared" si="492"/>
        <v>65.5</v>
      </c>
      <c r="W139" s="877">
        <f t="shared" si="492"/>
        <v>70.3</v>
      </c>
      <c r="X139" s="877">
        <f t="shared" ref="X139:Y139" si="493">+X248</f>
        <v>72.400000000000006</v>
      </c>
      <c r="Y139" s="877">
        <f t="shared" si="493"/>
        <v>73.8</v>
      </c>
      <c r="Z139" s="877">
        <f t="shared" ref="Z139:AA139" si="494">+Z248</f>
        <v>72.8</v>
      </c>
      <c r="AA139" s="1272">
        <f t="shared" si="494"/>
        <v>91.7</v>
      </c>
      <c r="AB139" s="1294">
        <f>+AA139+AB141</f>
        <v>93.7</v>
      </c>
      <c r="AC139" s="1294">
        <f t="shared" ref="AC139:AD139" si="495">+AB139+AC141</f>
        <v>93.7</v>
      </c>
      <c r="AD139" s="1294">
        <f t="shared" si="495"/>
        <v>91.7</v>
      </c>
      <c r="AE139" s="877"/>
      <c r="AF139" s="877"/>
      <c r="AG139" s="877"/>
      <c r="AH139" s="877"/>
      <c r="AI139" s="877"/>
      <c r="AJ139" s="877"/>
      <c r="AK139" s="877"/>
      <c r="AL139" s="877"/>
      <c r="AM139" s="877"/>
      <c r="AN139" s="877"/>
      <c r="AO139" s="877"/>
      <c r="AP139" s="877">
        <f>+AP248</f>
        <v>6.7</v>
      </c>
      <c r="AQ139" s="877">
        <f>+AQ248</f>
        <v>13.1</v>
      </c>
      <c r="AR139" s="877">
        <f>+AR248</f>
        <v>29.6</v>
      </c>
      <c r="AS139" s="877">
        <f>+AS248</f>
        <v>41.9</v>
      </c>
      <c r="AT139" s="877">
        <f>+AT248</f>
        <v>65.900000000000006</v>
      </c>
      <c r="AU139" s="878">
        <f>AVERAGE(W139:Z139)</f>
        <v>72.325000000000003</v>
      </c>
      <c r="AV139" s="898">
        <f>+AVERAGE(AA139:AD139)</f>
        <v>92.7</v>
      </c>
    </row>
    <row r="140" spans="1:50" s="887" customFormat="1" ht="13" x14ac:dyDescent="0.3">
      <c r="A140" s="890" t="s">
        <v>657</v>
      </c>
      <c r="G140" s="993">
        <f t="shared" ref="G140" si="496">+G139/C139-1</f>
        <v>0.91549295774647899</v>
      </c>
      <c r="H140" s="993">
        <f t="shared" ref="H140" si="497">+H139/D139-1</f>
        <v>0.92647058823529416</v>
      </c>
      <c r="I140" s="993">
        <f t="shared" ref="I140" si="498">+I139/E139-1</f>
        <v>0.9701492537313432</v>
      </c>
      <c r="J140" s="994">
        <f t="shared" ref="J140" si="499">+J139/F139-1</f>
        <v>0.98437499999999978</v>
      </c>
      <c r="K140" s="993">
        <f t="shared" ref="K140" si="500">+K139/G139-1</f>
        <v>1.2647058823529411</v>
      </c>
      <c r="L140" s="993">
        <f t="shared" ref="L140" si="501">+L139/H139-1</f>
        <v>1.3129770992366412</v>
      </c>
      <c r="M140" s="993">
        <f t="shared" ref="M140" si="502">+M139/I139-1</f>
        <v>1.2348484848484849</v>
      </c>
      <c r="N140" s="994">
        <f t="shared" ref="N140" si="503">+N139/J139-1</f>
        <v>1.2204724409448819</v>
      </c>
      <c r="O140" s="993">
        <f t="shared" ref="O140" si="504">+O139/K139-1</f>
        <v>0.36363636363636354</v>
      </c>
      <c r="P140" s="993">
        <f t="shared" ref="P140" si="505">+P139/L139-1</f>
        <v>0.38283828382838281</v>
      </c>
      <c r="Q140" s="993">
        <f t="shared" ref="Q140" si="506">+Q139/M139-1</f>
        <v>0.42372881355932202</v>
      </c>
      <c r="R140" s="994">
        <f t="shared" ref="R140" si="507">+R139/N139-1</f>
        <v>0.48581560283687941</v>
      </c>
      <c r="S140" s="993">
        <f t="shared" ref="S140" si="508">+S139/O139-1</f>
        <v>0.46666666666666679</v>
      </c>
      <c r="T140" s="993">
        <f t="shared" ref="T140" si="509">+T139/P139-1</f>
        <v>0.58233890214797124</v>
      </c>
      <c r="U140" s="993">
        <f t="shared" ref="U140" si="510">+U139/Q139-1</f>
        <v>0.60000000000000009</v>
      </c>
      <c r="V140" s="994">
        <f t="shared" ref="V140" si="511">+V139/R139-1</f>
        <v>0.56324582338902163</v>
      </c>
      <c r="W140" s="993">
        <f t="shared" ref="W140" si="512">+W139/S139-1</f>
        <v>0.14123376623376616</v>
      </c>
      <c r="X140" s="993">
        <f t="shared" ref="X140" si="513">+X139/T139-1</f>
        <v>9.2006033182503888E-2</v>
      </c>
      <c r="Y140" s="993">
        <f t="shared" ref="Y140" si="514">+Y139/U139-1</f>
        <v>9.8214285714285587E-2</v>
      </c>
      <c r="Z140" s="993">
        <f t="shared" ref="Z140" si="515">+Z139/V139-1</f>
        <v>0.11145038167938925</v>
      </c>
      <c r="AA140" s="1277">
        <f t="shared" ref="AA140" si="516">+AA139/W139-1</f>
        <v>0.30440967283072551</v>
      </c>
      <c r="AB140" s="993">
        <f t="shared" ref="AB140" si="517">+AB139/X139-1</f>
        <v>0.2941988950276242</v>
      </c>
      <c r="AC140" s="993">
        <f t="shared" ref="AC140" si="518">+AC139/Y139-1</f>
        <v>0.26964769647696496</v>
      </c>
      <c r="AD140" s="993">
        <f t="shared" ref="AD140" si="519">+AD139/Z139-1</f>
        <v>0.2596153846153848</v>
      </c>
      <c r="AE140" s="993"/>
      <c r="AF140" s="993"/>
      <c r="AG140" s="993"/>
      <c r="AH140" s="993"/>
      <c r="AI140" s="993"/>
      <c r="AJ140" s="993"/>
      <c r="AK140" s="993"/>
      <c r="AL140" s="993"/>
      <c r="AM140" s="993"/>
      <c r="AN140" s="993"/>
      <c r="AO140" s="993"/>
      <c r="AP140" s="993"/>
      <c r="AQ140" s="993">
        <f>+AQ139/AP139-1</f>
        <v>0.9552238805970148</v>
      </c>
      <c r="AR140" s="993">
        <f>+AR139/AQ139-1</f>
        <v>1.2595419847328246</v>
      </c>
      <c r="AS140" s="993">
        <f>+AS139/AR139-1</f>
        <v>0.41554054054054035</v>
      </c>
      <c r="AT140" s="993">
        <f>+AT139/AS139-1</f>
        <v>0.57279236276849654</v>
      </c>
      <c r="AU140" s="993">
        <f>+AU139/AT139-1</f>
        <v>9.7496206373292926E-2</v>
      </c>
      <c r="AV140" s="993">
        <f t="shared" ref="AV140" si="520">+AV139/AU139-1</f>
        <v>0.28171448323539572</v>
      </c>
    </row>
    <row r="141" spans="1:50" s="923" customFormat="1" ht="13" x14ac:dyDescent="0.3">
      <c r="A141" s="926" t="s">
        <v>893</v>
      </c>
      <c r="C141" s="989"/>
      <c r="D141" s="989">
        <f t="shared" ref="D141" si="521">+D139-C139</f>
        <v>-0.29999999999999982</v>
      </c>
      <c r="E141" s="989">
        <f t="shared" ref="E141" si="522">+E139-D139</f>
        <v>-9.9999999999999645E-2</v>
      </c>
      <c r="F141" s="989">
        <f t="shared" ref="F141" si="523">+F139-E139</f>
        <v>-0.29999999999999982</v>
      </c>
      <c r="G141" s="989">
        <f t="shared" ref="G141" si="524">+G139-F139</f>
        <v>7.1999999999999993</v>
      </c>
      <c r="H141" s="989">
        <f t="shared" ref="H141" si="525">+H139-G139</f>
        <v>-0.5</v>
      </c>
      <c r="I141" s="989">
        <f t="shared" ref="I141" si="526">+I139-H139</f>
        <v>9.9999999999999645E-2</v>
      </c>
      <c r="J141" s="990">
        <f t="shared" ref="J141" si="527">+J139-I139</f>
        <v>-0.5</v>
      </c>
      <c r="K141" s="989">
        <f t="shared" ref="K141" si="528">+K139-J139</f>
        <v>18.100000000000001</v>
      </c>
      <c r="L141" s="989">
        <f t="shared" ref="L141" si="529">+L139-K139</f>
        <v>-0.5</v>
      </c>
      <c r="M141" s="989">
        <f t="shared" ref="M141" si="530">+M139-L139</f>
        <v>-0.80000000000000071</v>
      </c>
      <c r="N141" s="990">
        <f t="shared" ref="N141" si="531">+N139-M139</f>
        <v>-1.3000000000000007</v>
      </c>
      <c r="O141" s="989">
        <f t="shared" ref="O141" si="532">+O139-N139</f>
        <v>13.8</v>
      </c>
      <c r="P141" s="989">
        <f t="shared" ref="P141" si="533">+P139-O139</f>
        <v>-0.10000000000000142</v>
      </c>
      <c r="Q141" s="989">
        <f t="shared" ref="Q141" si="534">+Q139-P139</f>
        <v>0.10000000000000142</v>
      </c>
      <c r="R141" s="990">
        <f t="shared" ref="R141" si="535">+R139-Q139</f>
        <v>-0.10000000000000142</v>
      </c>
      <c r="S141" s="989">
        <f t="shared" ref="S141" si="536">+S139-R139</f>
        <v>19.700000000000003</v>
      </c>
      <c r="T141" s="989">
        <f t="shared" ref="T141" si="537">+T139-S139</f>
        <v>4.6999999999999957</v>
      </c>
      <c r="U141" s="989">
        <f t="shared" ref="U141" si="538">+U139-T139</f>
        <v>0.90000000000000568</v>
      </c>
      <c r="V141" s="990">
        <f t="shared" ref="V141" si="539">+V139-U139</f>
        <v>-1.7000000000000028</v>
      </c>
      <c r="W141" s="989">
        <f t="shared" ref="W141" si="540">+W139-V139</f>
        <v>4.7999999999999972</v>
      </c>
      <c r="X141" s="989">
        <f t="shared" ref="X141" si="541">+X139-W139</f>
        <v>2.1000000000000085</v>
      </c>
      <c r="Y141" s="989">
        <f t="shared" ref="Y141" si="542">+Y139-X139</f>
        <v>1.3999999999999915</v>
      </c>
      <c r="Z141" s="989">
        <f t="shared" ref="Z141" si="543">+Z139-Y139</f>
        <v>-1</v>
      </c>
      <c r="AA141" s="1278">
        <f t="shared" ref="AA141" si="544">+AA139-Z139</f>
        <v>18.900000000000006</v>
      </c>
      <c r="AB141" s="1293">
        <v>2</v>
      </c>
      <c r="AC141" s="1293">
        <v>0</v>
      </c>
      <c r="AD141" s="1293">
        <v>-2</v>
      </c>
      <c r="AE141" s="989"/>
      <c r="AF141" s="989"/>
      <c r="AG141" s="989"/>
      <c r="AH141" s="989"/>
      <c r="AI141" s="989"/>
      <c r="AJ141" s="989"/>
      <c r="AK141" s="989"/>
      <c r="AL141" s="989"/>
      <c r="AM141" s="989"/>
      <c r="AN141" s="989"/>
      <c r="AO141" s="989"/>
      <c r="AP141" s="989"/>
      <c r="AQ141" s="989">
        <f t="shared" ref="AQ141:AR141" si="545">+AQ139-AP139</f>
        <v>6.3999999999999995</v>
      </c>
      <c r="AR141" s="989">
        <f t="shared" si="545"/>
        <v>16.5</v>
      </c>
      <c r="AS141" s="989">
        <f t="shared" ref="AS141" si="546">+AS139-AR139</f>
        <v>12.299999999999997</v>
      </c>
      <c r="AT141" s="989">
        <f t="shared" ref="AT141:AU141" si="547">+AT139-AS139</f>
        <v>24.000000000000007</v>
      </c>
      <c r="AU141" s="991">
        <f t="shared" si="547"/>
        <v>6.4249999999999972</v>
      </c>
      <c r="AV141" s="992">
        <f t="shared" ref="AV141" si="548">+AV139-AU139</f>
        <v>20.375</v>
      </c>
    </row>
    <row r="142" spans="1:50" s="876" customFormat="1" x14ac:dyDescent="0.25">
      <c r="C142" s="877"/>
      <c r="D142" s="877"/>
      <c r="E142" s="877"/>
      <c r="F142" s="877"/>
      <c r="G142" s="877"/>
      <c r="H142" s="877"/>
      <c r="I142" s="877"/>
      <c r="J142" s="954"/>
      <c r="K142" s="877"/>
      <c r="L142" s="877"/>
      <c r="M142" s="877"/>
      <c r="N142" s="954"/>
      <c r="O142" s="877"/>
      <c r="P142" s="877"/>
      <c r="Q142" s="877"/>
      <c r="R142" s="954"/>
      <c r="S142" s="877"/>
      <c r="T142" s="877"/>
      <c r="U142" s="877"/>
      <c r="V142" s="954"/>
      <c r="W142" s="877"/>
      <c r="X142" s="877"/>
      <c r="Y142" s="877"/>
      <c r="Z142" s="877"/>
      <c r="AA142" s="1272"/>
      <c r="AB142" s="877"/>
      <c r="AC142" s="877"/>
      <c r="AD142" s="877"/>
      <c r="AE142" s="877"/>
      <c r="AF142" s="877"/>
      <c r="AG142" s="877"/>
      <c r="AH142" s="877"/>
      <c r="AI142" s="877"/>
      <c r="AJ142" s="877"/>
      <c r="AK142" s="877"/>
      <c r="AL142" s="877"/>
      <c r="AM142" s="877"/>
      <c r="AN142" s="877"/>
      <c r="AO142" s="877"/>
      <c r="AP142" s="877"/>
      <c r="AQ142" s="877"/>
      <c r="AR142" s="877"/>
      <c r="AS142" s="877"/>
      <c r="AT142" s="877"/>
      <c r="AU142" s="878"/>
      <c r="AV142" s="894"/>
    </row>
    <row r="143" spans="1:50" s="888" customFormat="1" ht="14" x14ac:dyDescent="0.4">
      <c r="A143" s="884" t="s">
        <v>878</v>
      </c>
      <c r="C143" s="945"/>
      <c r="D143" s="945"/>
      <c r="E143" s="945"/>
      <c r="F143" s="945"/>
      <c r="G143" s="945">
        <f t="shared" ref="G143:W143" si="549">+G253</f>
        <v>1720</v>
      </c>
      <c r="H143" s="945">
        <f t="shared" si="549"/>
        <v>1866</v>
      </c>
      <c r="I143" s="945">
        <f t="shared" si="549"/>
        <v>1569</v>
      </c>
      <c r="J143" s="955">
        <f t="shared" si="549"/>
        <v>2097</v>
      </c>
      <c r="K143" s="945">
        <f t="shared" si="549"/>
        <v>1564</v>
      </c>
      <c r="L143" s="945">
        <f t="shared" si="549"/>
        <v>1681</v>
      </c>
      <c r="M143" s="945">
        <f t="shared" si="549"/>
        <v>1759</v>
      </c>
      <c r="N143" s="955">
        <f t="shared" si="549"/>
        <v>1690</v>
      </c>
      <c r="O143" s="945">
        <f t="shared" si="549"/>
        <v>1688</v>
      </c>
      <c r="P143" s="945">
        <f t="shared" si="549"/>
        <v>1794</v>
      </c>
      <c r="Q143" s="945">
        <f t="shared" si="549"/>
        <v>1981</v>
      </c>
      <c r="R143" s="955">
        <f t="shared" si="549"/>
        <v>2177</v>
      </c>
      <c r="S143" s="945">
        <f t="shared" si="549"/>
        <v>2029</v>
      </c>
      <c r="T143" s="945">
        <f t="shared" si="549"/>
        <v>2319</v>
      </c>
      <c r="U143" s="945">
        <f t="shared" si="549"/>
        <v>2237</v>
      </c>
      <c r="V143" s="955">
        <f t="shared" si="549"/>
        <v>2389</v>
      </c>
      <c r="W143" s="945">
        <f t="shared" si="549"/>
        <v>2144</v>
      </c>
      <c r="X143" s="945">
        <f t="shared" ref="X143:Y143" si="550">+X253</f>
        <v>2281</v>
      </c>
      <c r="Y143" s="945">
        <f t="shared" si="550"/>
        <v>2272</v>
      </c>
      <c r="Z143" s="945">
        <f t="shared" ref="Z143:AA143" si="551">+Z253</f>
        <v>2294</v>
      </c>
      <c r="AA143" s="1280">
        <f t="shared" si="551"/>
        <v>2166</v>
      </c>
      <c r="AB143" s="987">
        <f>+X143*(1+AB149)</f>
        <v>2258.19</v>
      </c>
      <c r="AC143" s="987">
        <f t="shared" ref="AC143:AD143" si="552">+Y143*(1+AC149)</f>
        <v>2237.92</v>
      </c>
      <c r="AD143" s="987">
        <f t="shared" si="552"/>
        <v>2259.59</v>
      </c>
      <c r="AJ143" s="945"/>
      <c r="AK143" s="945"/>
      <c r="AL143" s="945"/>
      <c r="AM143" s="945"/>
      <c r="AN143" s="945"/>
      <c r="AO143" s="945"/>
      <c r="AP143" s="945"/>
      <c r="AQ143" s="945">
        <f>+AQ253</f>
        <v>7268</v>
      </c>
      <c r="AR143" s="945">
        <f>+AR253</f>
        <v>6711</v>
      </c>
      <c r="AS143" s="945">
        <f>+AS253</f>
        <v>7640</v>
      </c>
      <c r="AT143" s="945">
        <f>+AT253</f>
        <v>8885</v>
      </c>
      <c r="AU143" s="987">
        <f>+AU144/AU139*1000</f>
        <v>8994.7376425855509</v>
      </c>
      <c r="AV143" s="905">
        <f>+SUM(AA143:AD143)</f>
        <v>8921.7000000000007</v>
      </c>
    </row>
    <row r="144" spans="1:50" s="876" customFormat="1" x14ac:dyDescent="0.25">
      <c r="A144" s="882" t="s">
        <v>885</v>
      </c>
      <c r="C144" s="877"/>
      <c r="D144" s="877"/>
      <c r="E144" s="877"/>
      <c r="F144" s="877"/>
      <c r="G144" s="877">
        <f>+G146</f>
        <v>23.555</v>
      </c>
      <c r="H144" s="877">
        <f>+H146</f>
        <v>24.94</v>
      </c>
      <c r="I144" s="877">
        <f t="shared" ref="I144:W144" si="553">+I143*I139/1000</f>
        <v>20.710799999999999</v>
      </c>
      <c r="J144" s="954">
        <f t="shared" si="553"/>
        <v>26.631899999999998</v>
      </c>
      <c r="K144" s="877">
        <f t="shared" si="553"/>
        <v>48.171200000000006</v>
      </c>
      <c r="L144" s="877">
        <f t="shared" si="553"/>
        <v>50.9343</v>
      </c>
      <c r="M144" s="877">
        <f t="shared" si="553"/>
        <v>51.890500000000003</v>
      </c>
      <c r="N144" s="954">
        <f t="shared" si="553"/>
        <v>47.658000000000001</v>
      </c>
      <c r="O144" s="877">
        <f t="shared" si="553"/>
        <v>70.896000000000001</v>
      </c>
      <c r="P144" s="877">
        <f t="shared" si="553"/>
        <v>75.168599999999998</v>
      </c>
      <c r="Q144" s="877">
        <f t="shared" si="553"/>
        <v>83.201999999999998</v>
      </c>
      <c r="R144" s="954">
        <f t="shared" si="553"/>
        <v>91.216300000000004</v>
      </c>
      <c r="S144" s="877">
        <f t="shared" si="553"/>
        <v>124.9864</v>
      </c>
      <c r="T144" s="877">
        <f t="shared" si="553"/>
        <v>153.74969999999999</v>
      </c>
      <c r="U144" s="877">
        <f t="shared" si="553"/>
        <v>150.32640000000001</v>
      </c>
      <c r="V144" s="954">
        <f t="shared" si="553"/>
        <v>156.4795</v>
      </c>
      <c r="W144" s="877">
        <f t="shared" si="553"/>
        <v>150.72319999999999</v>
      </c>
      <c r="X144" s="877">
        <f t="shared" ref="X144:Y144" si="554">+X143*X139/1000</f>
        <v>165.14440000000002</v>
      </c>
      <c r="Y144" s="877">
        <f t="shared" si="554"/>
        <v>167.67359999999999</v>
      </c>
      <c r="Z144" s="877">
        <f t="shared" ref="Z144:AD144" si="555">+Z143*Z139/1000</f>
        <v>167.00319999999999</v>
      </c>
      <c r="AA144" s="1295">
        <f t="shared" si="555"/>
        <v>198.62220000000002</v>
      </c>
      <c r="AB144" s="1294">
        <f t="shared" si="555"/>
        <v>211.59240300000002</v>
      </c>
      <c r="AC144" s="1294">
        <f t="shared" si="555"/>
        <v>209.69310400000003</v>
      </c>
      <c r="AD144" s="1294">
        <f t="shared" si="555"/>
        <v>207.20440300000001</v>
      </c>
      <c r="AE144" s="877"/>
      <c r="AF144" s="877"/>
      <c r="AG144" s="877"/>
      <c r="AH144" s="877"/>
      <c r="AI144" s="877"/>
      <c r="AJ144" s="877"/>
      <c r="AK144" s="877"/>
      <c r="AL144" s="877"/>
      <c r="AM144" s="877"/>
      <c r="AN144" s="877"/>
      <c r="AO144" s="877"/>
      <c r="AP144" s="877"/>
      <c r="AQ144" s="877">
        <f>+AQ143*AQ139/1000</f>
        <v>95.210800000000006</v>
      </c>
      <c r="AR144" s="877">
        <f>+AR143*AR139/1000</f>
        <v>198.6456</v>
      </c>
      <c r="AS144" s="877">
        <f>+AS143*AS139/1000</f>
        <v>320.11599999999999</v>
      </c>
      <c r="AT144" s="877">
        <f>+AT143*AT139/1000</f>
        <v>585.52149999999995</v>
      </c>
      <c r="AU144" s="878">
        <f>+SUM(W144:Z144)</f>
        <v>650.5444</v>
      </c>
      <c r="AV144" s="894">
        <f>+SUM(AA144:AD144)</f>
        <v>827.11211000000003</v>
      </c>
    </row>
    <row r="145" spans="1:51" s="888" customFormat="1" ht="14" x14ac:dyDescent="0.4">
      <c r="A145" s="884" t="s">
        <v>886</v>
      </c>
      <c r="C145" s="945"/>
      <c r="D145" s="945"/>
      <c r="E145" s="945"/>
      <c r="F145" s="945"/>
      <c r="G145" s="945">
        <f>+G146-G144</f>
        <v>0</v>
      </c>
      <c r="H145" s="945">
        <f t="shared" ref="H145" si="556">+H146-H144</f>
        <v>0</v>
      </c>
      <c r="I145" s="945">
        <f t="shared" ref="I145" si="557">+I146-I144</f>
        <v>3.2962000000000025</v>
      </c>
      <c r="J145" s="955">
        <f t="shared" ref="J145" si="558">+J146-J144</f>
        <v>7.8231000000000002</v>
      </c>
      <c r="K145" s="945">
        <f t="shared" ref="K145" si="559">+K146-K144</f>
        <v>8.9407999999999959</v>
      </c>
      <c r="L145" s="945">
        <f t="shared" ref="L145" si="560">+L146-L144</f>
        <v>11.221699999999998</v>
      </c>
      <c r="M145" s="945">
        <f t="shared" ref="M145" si="561">+M146-M144</f>
        <v>17.950499999999991</v>
      </c>
      <c r="N145" s="955">
        <f t="shared" ref="N145" si="562">+N146-N144</f>
        <v>19.793999999999997</v>
      </c>
      <c r="O145" s="945">
        <f t="shared" ref="O145" si="563">+O146-O144</f>
        <v>22.989000000000004</v>
      </c>
      <c r="P145" s="945">
        <f t="shared" ref="P145" si="564">+P146-P144</f>
        <v>21.097400000000007</v>
      </c>
      <c r="Q145" s="945">
        <f t="shared" ref="Q145" si="565">+Q146-Q144</f>
        <v>22.662000000000006</v>
      </c>
      <c r="R145" s="955">
        <f t="shared" ref="R145" si="566">+R146-R144</f>
        <v>25.651699999999991</v>
      </c>
      <c r="S145" s="945">
        <f t="shared" ref="S145" si="567">+S146-S144</f>
        <v>28.505599999999987</v>
      </c>
      <c r="T145" s="945">
        <f t="shared" ref="T145" si="568">+T146-T144</f>
        <v>29.921300000000002</v>
      </c>
      <c r="U145" s="945">
        <f t="shared" ref="U145" si="569">+U146-U144</f>
        <v>30.391599999999983</v>
      </c>
      <c r="V145" s="955">
        <f t="shared" ref="V145" si="570">+V146-V144</f>
        <v>31.607500000000016</v>
      </c>
      <c r="W145" s="945">
        <f t="shared" ref="W145:X145" si="571">+W146-W144</f>
        <v>30.119799999999998</v>
      </c>
      <c r="X145" s="945">
        <f t="shared" si="571"/>
        <v>25.821599999999989</v>
      </c>
      <c r="Y145" s="945">
        <f t="shared" ref="Y145:Z145" si="572">+Y146-Y144</f>
        <v>24.269400000000019</v>
      </c>
      <c r="Z145" s="945">
        <f t="shared" si="572"/>
        <v>20.121800000000007</v>
      </c>
      <c r="AA145" s="1280">
        <f t="shared" ref="AA145" si="573">+AA146-AA144</f>
        <v>23.054799999999972</v>
      </c>
      <c r="AB145" s="987">
        <f>+X145*(1+AB151)</f>
        <v>23.239439999999991</v>
      </c>
      <c r="AC145" s="987">
        <f t="shared" ref="AC145" si="574">+Y145*(1+AC151)</f>
        <v>23.055930000000018</v>
      </c>
      <c r="AD145" s="987">
        <f t="shared" ref="AD145" si="575">+Z145*(1+AD151)</f>
        <v>20.121800000000007</v>
      </c>
      <c r="AE145" s="1269"/>
      <c r="AJ145" s="945"/>
      <c r="AK145" s="945"/>
      <c r="AL145" s="945"/>
      <c r="AM145" s="945"/>
      <c r="AN145" s="945"/>
      <c r="AO145" s="945"/>
      <c r="AP145" s="945"/>
      <c r="AQ145" s="945">
        <f t="shared" ref="AQ145" si="576">+AQ146-AQ144</f>
        <v>11.746199999999988</v>
      </c>
      <c r="AR145" s="945">
        <f t="shared" ref="AR145" si="577">+AR146-AR144</f>
        <v>57.915399999999977</v>
      </c>
      <c r="AS145" s="945">
        <f t="shared" ref="AS145" si="578">+AS146-AS144</f>
        <v>92.766999999999996</v>
      </c>
      <c r="AT145" s="945">
        <f t="shared" ref="AT145" si="579">+AT146-AT144</f>
        <v>120.44550000000004</v>
      </c>
      <c r="AU145" s="987">
        <f>+SUM(W145:Z145)</f>
        <v>100.33260000000001</v>
      </c>
      <c r="AV145" s="905">
        <f>+SUM(AA145:AD145)</f>
        <v>89.471969999999985</v>
      </c>
    </row>
    <row r="146" spans="1:51" s="876" customFormat="1" x14ac:dyDescent="0.25">
      <c r="A146" s="882" t="s">
        <v>883</v>
      </c>
      <c r="C146" s="877">
        <f t="shared" ref="C146:F146" si="580">+C212</f>
        <v>12.798999999999999</v>
      </c>
      <c r="D146" s="877">
        <f t="shared" si="580"/>
        <v>12.297000000000001</v>
      </c>
      <c r="E146" s="877">
        <f t="shared" si="580"/>
        <v>12.016</v>
      </c>
      <c r="F146" s="877">
        <f t="shared" si="580"/>
        <v>12.709</v>
      </c>
      <c r="G146" s="877">
        <f>+G212</f>
        <v>23.555</v>
      </c>
      <c r="H146" s="877">
        <f t="shared" ref="H146:W146" si="581">+H212</f>
        <v>24.94</v>
      </c>
      <c r="I146" s="877">
        <f t="shared" si="581"/>
        <v>24.007000000000001</v>
      </c>
      <c r="J146" s="954">
        <f t="shared" si="581"/>
        <v>34.454999999999998</v>
      </c>
      <c r="K146" s="877">
        <f t="shared" si="581"/>
        <v>57.112000000000002</v>
      </c>
      <c r="L146" s="877">
        <f t="shared" si="581"/>
        <v>62.155999999999999</v>
      </c>
      <c r="M146" s="877">
        <f t="shared" si="581"/>
        <v>69.840999999999994</v>
      </c>
      <c r="N146" s="954">
        <f t="shared" si="581"/>
        <v>67.451999999999998</v>
      </c>
      <c r="O146" s="877">
        <f t="shared" si="581"/>
        <v>93.885000000000005</v>
      </c>
      <c r="P146" s="877">
        <f t="shared" si="581"/>
        <v>96.266000000000005</v>
      </c>
      <c r="Q146" s="877">
        <f t="shared" si="581"/>
        <v>105.864</v>
      </c>
      <c r="R146" s="954">
        <f t="shared" si="581"/>
        <v>116.86799999999999</v>
      </c>
      <c r="S146" s="877">
        <f t="shared" si="581"/>
        <v>153.49199999999999</v>
      </c>
      <c r="T146" s="877">
        <f t="shared" si="581"/>
        <v>183.67099999999999</v>
      </c>
      <c r="U146" s="877">
        <f t="shared" si="581"/>
        <v>180.71799999999999</v>
      </c>
      <c r="V146" s="954">
        <f t="shared" si="581"/>
        <v>188.08700000000002</v>
      </c>
      <c r="W146" s="877">
        <f t="shared" si="581"/>
        <v>180.84299999999999</v>
      </c>
      <c r="X146" s="877">
        <f t="shared" ref="X146:Y146" si="582">+X212</f>
        <v>190.96600000000001</v>
      </c>
      <c r="Y146" s="877">
        <f t="shared" si="582"/>
        <v>191.94300000000001</v>
      </c>
      <c r="Z146" s="877">
        <f t="shared" ref="Z146:AA146" si="583">+Z212</f>
        <v>187.125</v>
      </c>
      <c r="AA146" s="1272">
        <f t="shared" si="583"/>
        <v>221.67699999999999</v>
      </c>
      <c r="AB146" s="878">
        <f t="shared" ref="AB146:AD146" si="584">+AB145+AB144</f>
        <v>234.83184300000002</v>
      </c>
      <c r="AC146" s="878">
        <f t="shared" si="584"/>
        <v>232.74903400000005</v>
      </c>
      <c r="AD146" s="878">
        <f t="shared" si="584"/>
        <v>227.32620300000002</v>
      </c>
      <c r="AE146" s="877"/>
      <c r="AF146" s="877"/>
      <c r="AG146" s="877"/>
      <c r="AH146" s="877"/>
      <c r="AI146" s="877"/>
      <c r="AJ146" s="877"/>
      <c r="AK146" s="877"/>
      <c r="AL146" s="877"/>
      <c r="AM146" s="877"/>
      <c r="AN146" s="877"/>
      <c r="AO146" s="877"/>
      <c r="AP146" s="877">
        <f t="shared" ref="AP146:AT146" si="585">+AP212</f>
        <v>49.820999999999998</v>
      </c>
      <c r="AQ146" s="877">
        <f t="shared" si="585"/>
        <v>106.95699999999999</v>
      </c>
      <c r="AR146" s="877">
        <f t="shared" si="585"/>
        <v>256.56099999999998</v>
      </c>
      <c r="AS146" s="877">
        <f t="shared" si="585"/>
        <v>412.88299999999998</v>
      </c>
      <c r="AT146" s="877">
        <f t="shared" si="585"/>
        <v>705.96699999999998</v>
      </c>
      <c r="AU146" s="878">
        <f>+AU145+AU144</f>
        <v>750.87699999999995</v>
      </c>
      <c r="AV146" s="894">
        <f>+AV145+AV144</f>
        <v>916.58407999999997</v>
      </c>
    </row>
    <row r="147" spans="1:51" x14ac:dyDescent="0.25">
      <c r="J147" s="953"/>
      <c r="N147" s="953"/>
      <c r="R147" s="953"/>
      <c r="V147" s="953"/>
      <c r="AA147" s="1271"/>
    </row>
    <row r="148" spans="1:51" s="887" customFormat="1" ht="13" x14ac:dyDescent="0.3">
      <c r="A148" s="889" t="s">
        <v>657</v>
      </c>
      <c r="J148" s="963"/>
      <c r="N148" s="963"/>
      <c r="R148" s="963"/>
      <c r="V148" s="963"/>
      <c r="AA148" s="1274"/>
    </row>
    <row r="149" spans="1:51" s="891" customFormat="1" ht="13" x14ac:dyDescent="0.3">
      <c r="A149" s="890" t="str">
        <f>+A143</f>
        <v>Revenue per Enrollment</v>
      </c>
      <c r="G149" s="896"/>
      <c r="H149" s="896"/>
      <c r="I149" s="896"/>
      <c r="J149" s="965"/>
      <c r="K149" s="896">
        <f t="shared" ref="K149:W150" si="586">+K143/G143-1</f>
        <v>-9.0697674418604657E-2</v>
      </c>
      <c r="L149" s="896">
        <f t="shared" si="586"/>
        <v>-9.9142550911039629E-2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c>
      <c r="R149" s="965">
        <f t="shared" si="586"/>
        <v>0.28816568047337277</v>
      </c>
      <c r="S149" s="896">
        <f t="shared" si="586"/>
        <v>0.20201421800947861</v>
      </c>
      <c r="T149" s="896">
        <f t="shared" si="586"/>
        <v>0.29264214046822734</v>
      </c>
      <c r="U149" s="896">
        <f t="shared" si="586"/>
        <v>0.12922766279656739</v>
      </c>
      <c r="V149" s="965">
        <f t="shared" si="586"/>
        <v>9.7381717960496106E-2</v>
      </c>
      <c r="W149" s="896">
        <f t="shared" si="586"/>
        <v>5.6678166584524403E-2</v>
      </c>
      <c r="X149" s="896">
        <f t="shared" ref="X149:X152" si="587">+X143/T143-1</f>
        <v>-1.6386373436826251E-2</v>
      </c>
      <c r="Y149" s="896">
        <f t="shared" ref="Y149:Y152" si="588">+Y143/U143-1</f>
        <v>1.5645954403218587E-2</v>
      </c>
      <c r="Z149" s="896">
        <f t="shared" ref="Z149:Z152" si="589">+Z143/V143-1</f>
        <v>-3.976559229803267E-2</v>
      </c>
      <c r="AA149" s="1276">
        <f t="shared" ref="AA149:AA152" si="590">+AA143/W143-1</f>
        <v>1.0261194029850706E-2</v>
      </c>
      <c r="AB149" s="1181">
        <v>-0.01</v>
      </c>
      <c r="AC149" s="1181">
        <v>-1.4999999999999999E-2</v>
      </c>
      <c r="AD149" s="1181">
        <v>-1.4999999999999999E-2</v>
      </c>
      <c r="AE149" s="896"/>
      <c r="AF149" s="896"/>
      <c r="AG149" s="896"/>
      <c r="AH149" s="896"/>
      <c r="AI149" s="896"/>
      <c r="AJ149" s="896"/>
      <c r="AK149" s="896"/>
      <c r="AL149" s="896"/>
      <c r="AM149" s="896"/>
      <c r="AN149" s="896"/>
      <c r="AO149" s="896"/>
      <c r="AP149" s="896"/>
      <c r="AQ149" s="896"/>
      <c r="AR149" s="896">
        <f t="shared" ref="AR149:AT152" si="591">+AR143/AQ143-1</f>
        <v>-7.6637314254265232E-2</v>
      </c>
      <c r="AS149" s="896">
        <f t="shared" si="591"/>
        <v>0.13842944419609604</v>
      </c>
      <c r="AT149" s="896">
        <f t="shared" si="591"/>
        <v>0.16295811518324599</v>
      </c>
      <c r="AU149" s="896">
        <f t="shared" ref="AU149:AU152" si="592">+AU143/AT143-1</f>
        <v>1.2350888304507812E-2</v>
      </c>
      <c r="AV149" s="896">
        <f t="shared" ref="AV149:AV152" si="593">+AV143/AU143-1</f>
        <v>-8.1200414606595883E-3</v>
      </c>
    </row>
    <row r="150" spans="1:51" s="887" customFormat="1" ht="13" x14ac:dyDescent="0.3">
      <c r="A150" s="892" t="str">
        <f>+A144</f>
        <v>Middle-High School Enrollment Revenue</v>
      </c>
      <c r="G150" s="883"/>
      <c r="H150" s="883"/>
      <c r="I150" s="883"/>
      <c r="J150" s="964"/>
      <c r="K150" s="883">
        <f t="shared" si="586"/>
        <v>1.0450520059435369</v>
      </c>
      <c r="L150" s="883">
        <f t="shared" si="586"/>
        <v>1.0422734562951081</v>
      </c>
      <c r="M150" s="883">
        <f t="shared" si="586"/>
        <v>1.5054802325356822</v>
      </c>
      <c r="N150" s="964">
        <f t="shared" si="586"/>
        <v>0.78950807114775912</v>
      </c>
      <c r="O150" s="883">
        <f t="shared" si="586"/>
        <v>0.47175075563822344</v>
      </c>
      <c r="P150" s="883">
        <f t="shared" si="586"/>
        <v>0.47579528922553171</v>
      </c>
      <c r="Q150" s="883">
        <f t="shared" si="586"/>
        <v>0.60341488326379578</v>
      </c>
      <c r="R150" s="964">
        <f t="shared" si="586"/>
        <v>0.91397666708632341</v>
      </c>
      <c r="S150" s="883">
        <f t="shared" si="586"/>
        <v>0.762954186413902</v>
      </c>
      <c r="T150" s="883">
        <f t="shared" si="586"/>
        <v>1.0453979454186988</v>
      </c>
      <c r="U150" s="883">
        <f t="shared" si="586"/>
        <v>0.806764260474508</v>
      </c>
      <c r="V150" s="964">
        <f t="shared" si="586"/>
        <v>0.7154773872652147</v>
      </c>
      <c r="W150" s="883">
        <f t="shared" si="586"/>
        <v>0.20591680374824772</v>
      </c>
      <c r="X150" s="883">
        <f t="shared" si="587"/>
        <v>7.4112014527508263E-2</v>
      </c>
      <c r="Y150" s="883">
        <f t="shared" si="588"/>
        <v>0.11539689635353456</v>
      </c>
      <c r="Z150" s="883">
        <f t="shared" si="589"/>
        <v>6.725289894203379E-2</v>
      </c>
      <c r="AA150" s="1275">
        <f t="shared" si="590"/>
        <v>0.31779447357805579</v>
      </c>
      <c r="AB150" s="883">
        <f t="shared" ref="AB150:AB152" si="594">+AB144/X144-1</f>
        <v>0.28125690607734799</v>
      </c>
      <c r="AC150" s="883">
        <f t="shared" ref="AC150:AC152" si="595">+AC144/Y144-1</f>
        <v>0.25060298102981049</v>
      </c>
      <c r="AD150" s="883">
        <f t="shared" ref="AD150:AD152" si="596">+AD144/Z144-1</f>
        <v>0.240721153846154</v>
      </c>
      <c r="AE150" s="883"/>
      <c r="AF150" s="883"/>
      <c r="AG150" s="883"/>
      <c r="AH150" s="883"/>
      <c r="AI150" s="883"/>
      <c r="AJ150" s="883"/>
      <c r="AK150" s="883"/>
      <c r="AL150" s="883"/>
      <c r="AM150" s="883"/>
      <c r="AN150" s="883"/>
      <c r="AO150" s="883"/>
      <c r="AP150" s="883"/>
      <c r="AQ150" s="883"/>
      <c r="AR150" s="883">
        <f t="shared" si="591"/>
        <v>1.0863767555781485</v>
      </c>
      <c r="AS150" s="883">
        <f t="shared" si="591"/>
        <v>0.61149303080460871</v>
      </c>
      <c r="AT150" s="883">
        <f t="shared" si="591"/>
        <v>0.82909164177985462</v>
      </c>
      <c r="AU150" s="883">
        <f t="shared" si="592"/>
        <v>0.11105125943283056</v>
      </c>
      <c r="AV150" s="883">
        <f t="shared" si="593"/>
        <v>0.27141531000804875</v>
      </c>
    </row>
    <row r="151" spans="1:51" s="891" customFormat="1" ht="13" x14ac:dyDescent="0.3">
      <c r="A151" s="890" t="str">
        <f>+A145</f>
        <v>Adult Learning</v>
      </c>
      <c r="G151" s="896"/>
      <c r="H151" s="896"/>
      <c r="I151" s="896"/>
      <c r="J151" s="965"/>
      <c r="K151" s="966" t="s">
        <v>890</v>
      </c>
      <c r="L151" s="966" t="s">
        <v>890</v>
      </c>
      <c r="M151" s="896">
        <f t="shared" ref="M151:W152" si="597">+M145/I145-1</f>
        <v>4.4458163946362408</v>
      </c>
      <c r="N151" s="965">
        <f t="shared" si="597"/>
        <v>1.5301990259615748</v>
      </c>
      <c r="O151" s="896">
        <f t="shared" si="597"/>
        <v>1.5712464209019346</v>
      </c>
      <c r="P151" s="896">
        <f t="shared" si="597"/>
        <v>0.88005382428687362</v>
      </c>
      <c r="Q151" s="896">
        <f t="shared" si="597"/>
        <v>0.26247179744296911</v>
      </c>
      <c r="R151" s="965">
        <f t="shared" si="597"/>
        <v>0.29593311104375042</v>
      </c>
      <c r="S151" s="896">
        <f t="shared" si="597"/>
        <v>0.23996694071077385</v>
      </c>
      <c r="T151" s="896">
        <f t="shared" si="597"/>
        <v>0.4182458501995503</v>
      </c>
      <c r="U151" s="896">
        <f t="shared" si="597"/>
        <v>0.34108198746800689</v>
      </c>
      <c r="V151" s="965">
        <f t="shared" si="597"/>
        <v>0.23217954365597704</v>
      </c>
      <c r="W151" s="896">
        <f t="shared" si="597"/>
        <v>5.6627469690166521E-2</v>
      </c>
      <c r="X151" s="896">
        <f t="shared" si="587"/>
        <v>-0.13701610558364818</v>
      </c>
      <c r="Y151" s="896">
        <f t="shared" si="588"/>
        <v>-0.20144382000289451</v>
      </c>
      <c r="Z151" s="896">
        <f t="shared" si="589"/>
        <v>-0.36338527248279684</v>
      </c>
      <c r="AA151" s="1276">
        <f t="shared" si="590"/>
        <v>-0.23456331051335089</v>
      </c>
      <c r="AB151" s="1181">
        <v>-0.1</v>
      </c>
      <c r="AC151" s="1181">
        <v>-0.05</v>
      </c>
      <c r="AD151" s="1181">
        <v>0</v>
      </c>
      <c r="AE151" s="896"/>
      <c r="AF151" s="896"/>
      <c r="AG151" s="896"/>
      <c r="AH151" s="896"/>
      <c r="AI151" s="896"/>
      <c r="AJ151" s="896"/>
      <c r="AK151" s="896"/>
      <c r="AL151" s="896"/>
      <c r="AM151" s="896"/>
      <c r="AN151" s="896"/>
      <c r="AO151" s="896"/>
      <c r="AP151" s="896"/>
      <c r="AQ151" s="896"/>
      <c r="AR151" s="896">
        <f t="shared" si="591"/>
        <v>3.9305647783964206</v>
      </c>
      <c r="AS151" s="896">
        <f t="shared" si="591"/>
        <v>0.6017674055605251</v>
      </c>
      <c r="AT151" s="896">
        <f t="shared" si="591"/>
        <v>0.29836579818254383</v>
      </c>
      <c r="AU151" s="896">
        <f t="shared" si="592"/>
        <v>-0.16698755868836956</v>
      </c>
      <c r="AV151" s="896">
        <f t="shared" si="593"/>
        <v>-0.10824627289634703</v>
      </c>
    </row>
    <row r="152" spans="1:51" s="887" customFormat="1" ht="13" x14ac:dyDescent="0.3">
      <c r="A152" s="892" t="str">
        <f>+A146</f>
        <v>Career Learning Total Revenue</v>
      </c>
      <c r="G152" s="883">
        <f t="shared" ref="G152:L152" si="598">+G146/C146-1</f>
        <v>0.84037815454332376</v>
      </c>
      <c r="H152" s="883">
        <f t="shared" si="598"/>
        <v>1.028136943970074</v>
      </c>
      <c r="I152" s="883">
        <f t="shared" si="598"/>
        <v>0.99791944074567263</v>
      </c>
      <c r="J152" s="964">
        <f t="shared" si="598"/>
        <v>1.7110708946415927</v>
      </c>
      <c r="K152" s="883">
        <f t="shared" si="598"/>
        <v>1.424623222245808</v>
      </c>
      <c r="L152" s="883">
        <f t="shared" si="598"/>
        <v>1.4922213311948673</v>
      </c>
      <c r="M152" s="883">
        <f t="shared" si="597"/>
        <v>1.9091931519973335</v>
      </c>
      <c r="N152" s="964">
        <f t="shared" si="597"/>
        <v>0.95768393556813236</v>
      </c>
      <c r="O152" s="883">
        <f t="shared" si="597"/>
        <v>0.64387519260400627</v>
      </c>
      <c r="P152" s="883">
        <f t="shared" si="597"/>
        <v>0.54878048780487809</v>
      </c>
      <c r="Q152" s="883">
        <f t="shared" si="597"/>
        <v>0.51578585644535457</v>
      </c>
      <c r="R152" s="964">
        <f t="shared" si="597"/>
        <v>0.73260985589752714</v>
      </c>
      <c r="S152" s="883">
        <f t="shared" si="597"/>
        <v>0.63489375299568596</v>
      </c>
      <c r="T152" s="883">
        <f t="shared" si="597"/>
        <v>0.90795296366318312</v>
      </c>
      <c r="U152" s="883">
        <f t="shared" si="597"/>
        <v>0.70707700445855037</v>
      </c>
      <c r="V152" s="964">
        <f t="shared" si="597"/>
        <v>0.60939692644693189</v>
      </c>
      <c r="W152" s="883">
        <f t="shared" si="597"/>
        <v>0.17819169728715512</v>
      </c>
      <c r="X152" s="883">
        <f t="shared" si="587"/>
        <v>3.9717756205388977E-2</v>
      </c>
      <c r="Y152" s="883">
        <f t="shared" si="588"/>
        <v>6.2113347867949198E-2</v>
      </c>
      <c r="Z152" s="883">
        <f t="shared" si="589"/>
        <v>-5.1146543886606555E-3</v>
      </c>
      <c r="AA152" s="1275">
        <f t="shared" si="590"/>
        <v>0.22579806793738211</v>
      </c>
      <c r="AB152" s="883">
        <f t="shared" si="594"/>
        <v>0.22970498936983552</v>
      </c>
      <c r="AC152" s="883">
        <f t="shared" si="595"/>
        <v>0.21259454108771902</v>
      </c>
      <c r="AD152" s="883">
        <f t="shared" si="596"/>
        <v>0.21483608817635291</v>
      </c>
      <c r="AE152" s="883"/>
      <c r="AF152" s="883"/>
      <c r="AG152" s="883"/>
      <c r="AH152" s="883"/>
      <c r="AI152" s="883"/>
      <c r="AJ152" s="883"/>
      <c r="AK152" s="883"/>
      <c r="AL152" s="883"/>
      <c r="AM152" s="883"/>
      <c r="AN152" s="883"/>
      <c r="AO152" s="883"/>
      <c r="AP152" s="883"/>
      <c r="AQ152" s="883">
        <f>+AQ146/AP146-1</f>
        <v>1.1468256357760782</v>
      </c>
      <c r="AR152" s="883">
        <f t="shared" si="591"/>
        <v>1.398730330880634</v>
      </c>
      <c r="AS152" s="883">
        <f t="shared" si="591"/>
        <v>0.60929759394451999</v>
      </c>
      <c r="AT152" s="883">
        <f t="shared" si="591"/>
        <v>0.70984758394024472</v>
      </c>
      <c r="AU152" s="883">
        <f t="shared" si="592"/>
        <v>6.3614871516657345E-2</v>
      </c>
      <c r="AV152" s="883">
        <f t="shared" si="593"/>
        <v>0.22068471933485778</v>
      </c>
    </row>
    <row r="153" spans="1:51" s="887" customFormat="1" ht="13" x14ac:dyDescent="0.3">
      <c r="A153" s="892" t="s">
        <v>884</v>
      </c>
      <c r="G153" s="883">
        <f>+G152</f>
        <v>0.84037815454332376</v>
      </c>
      <c r="H153" s="883">
        <f t="shared" ref="H153" si="599">+H152</f>
        <v>1.028136943970074</v>
      </c>
      <c r="I153" s="883">
        <f t="shared" ref="I153:AD153" si="600">+(I146-I181)/E146-1</f>
        <v>0.72360186418109174</v>
      </c>
      <c r="J153" s="964">
        <f t="shared" si="600"/>
        <v>1.0955149893776062</v>
      </c>
      <c r="K153" s="883">
        <f t="shared" si="600"/>
        <v>1.0450520059435369</v>
      </c>
      <c r="L153" s="883">
        <f t="shared" si="600"/>
        <v>1.0422734562951081</v>
      </c>
      <c r="M153" s="883">
        <f t="shared" si="600"/>
        <v>1.1614737368267587</v>
      </c>
      <c r="N153" s="964">
        <f t="shared" si="600"/>
        <v>0.60052532288492255</v>
      </c>
      <c r="O153" s="883">
        <f t="shared" si="600"/>
        <v>0.4284055890180698</v>
      </c>
      <c r="P153" s="883">
        <f t="shared" si="600"/>
        <v>0.38749276015187628</v>
      </c>
      <c r="Q153" s="883">
        <f t="shared" si="600"/>
        <v>0.51578585644535457</v>
      </c>
      <c r="R153" s="964">
        <f t="shared" si="600"/>
        <v>0.73260985589752714</v>
      </c>
      <c r="S153" s="883">
        <f t="shared" si="600"/>
        <v>0.63489375299568596</v>
      </c>
      <c r="T153" s="883">
        <f t="shared" si="600"/>
        <v>0.90795296366318312</v>
      </c>
      <c r="U153" s="883">
        <f t="shared" si="600"/>
        <v>0.70707700445855037</v>
      </c>
      <c r="V153" s="964">
        <f t="shared" si="600"/>
        <v>0.60939692644693189</v>
      </c>
      <c r="W153" s="883">
        <f t="shared" si="600"/>
        <v>0.17819169728715512</v>
      </c>
      <c r="X153" s="883">
        <f t="shared" si="600"/>
        <v>3.9717756205388977E-2</v>
      </c>
      <c r="Y153" s="883">
        <f t="shared" si="600"/>
        <v>6.2113347867949198E-2</v>
      </c>
      <c r="Z153" s="883">
        <f t="shared" si="600"/>
        <v>-5.1146543886606555E-3</v>
      </c>
      <c r="AA153" s="1275">
        <f t="shared" si="600"/>
        <v>0.22579806793738211</v>
      </c>
      <c r="AB153" s="883">
        <f t="shared" si="600"/>
        <v>0.22970498936983552</v>
      </c>
      <c r="AC153" s="883">
        <f t="shared" si="600"/>
        <v>0.21259454108771902</v>
      </c>
      <c r="AD153" s="883">
        <f t="shared" si="600"/>
        <v>0.21483608817635291</v>
      </c>
      <c r="AE153" s="883"/>
      <c r="AF153" s="883"/>
      <c r="AG153" s="883"/>
      <c r="AH153" s="883"/>
      <c r="AI153" s="883"/>
      <c r="AJ153" s="883"/>
      <c r="AK153" s="883"/>
      <c r="AL153" s="883"/>
      <c r="AM153" s="883"/>
      <c r="AN153" s="883"/>
      <c r="AO153" s="883"/>
      <c r="AP153" s="883"/>
      <c r="AQ153" s="883">
        <f>+(AQ146-AQ181)/AP146-1</f>
        <v>0.92364063346781444</v>
      </c>
      <c r="AR153" s="883">
        <f>+(AR146-AR181)/AQ146-1</f>
        <v>0.92733621922828813</v>
      </c>
      <c r="AS153" s="883">
        <f>+(AS146-AS181)/AR146-1</f>
        <v>0.5222582543722547</v>
      </c>
      <c r="AT153" s="883">
        <f>+(AT146-AT181)/AS146-1</f>
        <v>0.70984758394024472</v>
      </c>
      <c r="AU153" s="883">
        <f t="shared" ref="AU153:AV153" si="601">+AU152</f>
        <v>6.3614871516657345E-2</v>
      </c>
      <c r="AV153" s="883">
        <f t="shared" si="601"/>
        <v>0.22068471933485778</v>
      </c>
    </row>
    <row r="154" spans="1:51" x14ac:dyDescent="0.25">
      <c r="J154" s="953"/>
      <c r="N154" s="953"/>
      <c r="R154" s="953"/>
      <c r="V154" s="953"/>
      <c r="AA154" s="1271"/>
    </row>
    <row r="155" spans="1:51" ht="13" x14ac:dyDescent="0.3">
      <c r="A155" s="904" t="s">
        <v>915</v>
      </c>
      <c r="B155" s="903"/>
      <c r="F155" s="906"/>
      <c r="J155" s="953"/>
      <c r="N155" s="953"/>
      <c r="R155" s="953"/>
      <c r="V155" s="953"/>
      <c r="AA155" s="1271"/>
    </row>
    <row r="156" spans="1:51" x14ac:dyDescent="0.25">
      <c r="F156" s="898"/>
      <c r="G156" s="906"/>
      <c r="J156" s="953"/>
      <c r="N156" s="953"/>
      <c r="R156" s="953"/>
      <c r="V156" s="953"/>
      <c r="AA156" s="1271"/>
    </row>
    <row r="157" spans="1:51" x14ac:dyDescent="0.25">
      <c r="A157" s="888" t="s">
        <v>654</v>
      </c>
      <c r="G157" s="906"/>
      <c r="J157" s="953"/>
      <c r="N157" s="953"/>
      <c r="R157" s="953"/>
      <c r="V157" s="953"/>
      <c r="AA157" s="1271"/>
    </row>
    <row r="158" spans="1:51" s="876" customFormat="1" x14ac:dyDescent="0.25">
      <c r="A158" s="876" t="s">
        <v>918</v>
      </c>
      <c r="C158" s="877">
        <f t="shared" ref="C158:G158" si="602">+C139+C116</f>
        <v>121.1</v>
      </c>
      <c r="D158" s="877">
        <f t="shared" si="602"/>
        <v>118.7</v>
      </c>
      <c r="E158" s="877">
        <f t="shared" si="602"/>
        <v>119.5</v>
      </c>
      <c r="F158" s="877">
        <f t="shared" si="602"/>
        <v>112.80000000000001</v>
      </c>
      <c r="G158" s="877">
        <f t="shared" si="602"/>
        <v>124.39999999999999</v>
      </c>
      <c r="H158" s="877">
        <f t="shared" ref="H158:Y158" si="603">+H139+H116</f>
        <v>119.89999999999999</v>
      </c>
      <c r="I158" s="877">
        <f t="shared" si="603"/>
        <v>122.10000000000001</v>
      </c>
      <c r="J158" s="954">
        <f t="shared" si="603"/>
        <v>118.9</v>
      </c>
      <c r="K158" s="877">
        <f t="shared" si="603"/>
        <v>195.4</v>
      </c>
      <c r="L158" s="877">
        <f t="shared" si="603"/>
        <v>191.5</v>
      </c>
      <c r="M158" s="877">
        <f t="shared" si="603"/>
        <v>185.3</v>
      </c>
      <c r="N158" s="954">
        <f t="shared" si="603"/>
        <v>175.39999999999998</v>
      </c>
      <c r="O158" s="877">
        <f t="shared" si="603"/>
        <v>189.6</v>
      </c>
      <c r="P158" s="877">
        <f t="shared" si="603"/>
        <v>187.5</v>
      </c>
      <c r="Q158" s="877">
        <f t="shared" si="603"/>
        <v>185.8</v>
      </c>
      <c r="R158" s="954">
        <f t="shared" si="603"/>
        <v>178.4</v>
      </c>
      <c r="S158" s="877">
        <f t="shared" si="603"/>
        <v>173.9</v>
      </c>
      <c r="T158" s="877">
        <f t="shared" si="603"/>
        <v>177.5</v>
      </c>
      <c r="U158" s="877">
        <f t="shared" si="603"/>
        <v>181.8</v>
      </c>
      <c r="V158" s="954">
        <f t="shared" si="603"/>
        <v>176.1</v>
      </c>
      <c r="W158" s="877">
        <f t="shared" si="603"/>
        <v>187.89999999999998</v>
      </c>
      <c r="X158" s="877">
        <f t="shared" si="603"/>
        <v>193.10000000000002</v>
      </c>
      <c r="Y158" s="1110">
        <f t="shared" si="603"/>
        <v>198.39999999999998</v>
      </c>
      <c r="Z158" s="1110">
        <f t="shared" ref="Z158" si="604">+Z139+Z116</f>
        <v>193.39999999999998</v>
      </c>
      <c r="AA158" s="1281">
        <f t="shared" ref="AA158" si="605">+AA139+AA116</f>
        <v>222.59999999999997</v>
      </c>
      <c r="AB158" s="1110">
        <f t="shared" ref="AB158:AD158" si="606">+AB139+AB116</f>
        <v>226.59999999999997</v>
      </c>
      <c r="AC158" s="1110">
        <f t="shared" si="606"/>
        <v>229.59999999999997</v>
      </c>
      <c r="AD158" s="1110">
        <f t="shared" si="606"/>
        <v>222.59999999999997</v>
      </c>
      <c r="AE158" s="877"/>
      <c r="AF158" s="877"/>
      <c r="AG158" s="877"/>
      <c r="AH158" s="877"/>
      <c r="AI158" s="877"/>
      <c r="AJ158" s="877"/>
      <c r="AK158" s="877"/>
      <c r="AL158" s="877"/>
      <c r="AM158" s="877"/>
      <c r="AN158" s="877"/>
      <c r="AO158" s="877"/>
      <c r="AP158" s="877">
        <f>+AP139+AP116</f>
        <v>117.9</v>
      </c>
      <c r="AQ158" s="877">
        <f>+AQ139+AQ116</f>
        <v>120.89999999999999</v>
      </c>
      <c r="AR158" s="877">
        <f t="shared" ref="AR158:AT158" si="607">+AR139+AR116</f>
        <v>186.29999999999998</v>
      </c>
      <c r="AS158" s="877">
        <f t="shared" si="607"/>
        <v>185.1</v>
      </c>
      <c r="AT158" s="877">
        <f t="shared" si="607"/>
        <v>178.2</v>
      </c>
      <c r="AU158" s="878">
        <f>+AU139+AU116</f>
        <v>193.2</v>
      </c>
      <c r="AV158" s="894">
        <f>+AV139+AV116</f>
        <v>225.34999999999997</v>
      </c>
      <c r="AY158" s="1418"/>
    </row>
    <row r="159" spans="1:51" s="887" customFormat="1" ht="13" x14ac:dyDescent="0.3">
      <c r="A159" s="890" t="s">
        <v>657</v>
      </c>
      <c r="G159" s="993">
        <f t="shared" ref="G159" si="608">+G158/C158-1</f>
        <v>2.725020644095788E-2</v>
      </c>
      <c r="H159" s="993">
        <f t="shared" ref="H159" si="609">+H158/D158-1</f>
        <v>1.0109519797809607E-2</v>
      </c>
      <c r="I159" s="993">
        <f t="shared" ref="I159" si="610">+I158/E158-1</f>
        <v>2.1757322175732341E-2</v>
      </c>
      <c r="J159" s="994">
        <f t="shared" ref="J159" si="611">+J158/F158-1</f>
        <v>5.4078014184397061E-2</v>
      </c>
      <c r="K159" s="993">
        <f t="shared" ref="K159" si="612">+K158/G158-1</f>
        <v>0.57073954983922848</v>
      </c>
      <c r="L159" s="993">
        <f t="shared" ref="L159" si="613">+L158/H158-1</f>
        <v>0.59716430358632211</v>
      </c>
      <c r="M159" s="993">
        <f t="shared" ref="M159" si="614">+M158/I158-1</f>
        <v>0.51760851760851767</v>
      </c>
      <c r="N159" s="994">
        <f t="shared" ref="N159" si="615">+N158/J158-1</f>
        <v>0.47518923465096696</v>
      </c>
      <c r="O159" s="993">
        <f t="shared" ref="O159" si="616">+O158/K158-1</f>
        <v>-2.9682702149437135E-2</v>
      </c>
      <c r="P159" s="993">
        <f t="shared" ref="P159" si="617">+P158/L158-1</f>
        <v>-2.0887728459530019E-2</v>
      </c>
      <c r="Q159" s="993">
        <f t="shared" ref="Q159" si="618">+Q158/M158-1</f>
        <v>2.6983270372369361E-3</v>
      </c>
      <c r="R159" s="994">
        <f t="shared" ref="R159" si="619">+R158/N158-1</f>
        <v>1.7103762827822333E-2</v>
      </c>
      <c r="S159" s="993">
        <f t="shared" ref="S159" si="620">+S158/O158-1</f>
        <v>-8.2805907172995741E-2</v>
      </c>
      <c r="T159" s="993">
        <f t="shared" ref="T159" si="621">+T158/P158-1</f>
        <v>-5.3333333333333344E-2</v>
      </c>
      <c r="U159" s="993">
        <f t="shared" ref="U159" si="622">+U158/Q158-1</f>
        <v>-2.1528525296017231E-2</v>
      </c>
      <c r="V159" s="994">
        <f t="shared" ref="V159" si="623">+V158/R158-1</f>
        <v>-1.2892376681614359E-2</v>
      </c>
      <c r="W159" s="993">
        <f t="shared" ref="W159" si="624">+W158/S158-1</f>
        <v>8.0506037952846388E-2</v>
      </c>
      <c r="X159" s="993">
        <f t="shared" ref="X159" si="625">+X158/T158-1</f>
        <v>8.7887323943662166E-2</v>
      </c>
      <c r="Y159" s="993">
        <f>+Y158/U158-1</f>
        <v>9.1309130913091119E-2</v>
      </c>
      <c r="Z159" s="993">
        <f t="shared" ref="Z159" si="626">+Z158/V158-1</f>
        <v>9.8239636570130573E-2</v>
      </c>
      <c r="AA159" s="1277">
        <f t="shared" ref="AA159" si="627">+AA158/W158-1</f>
        <v>0.18467269824374655</v>
      </c>
      <c r="AB159" s="993">
        <f t="shared" ref="AB159:AD159" si="628">+AB158/X158-1</f>
        <v>0.17348524080787131</v>
      </c>
      <c r="AC159" s="993">
        <f t="shared" si="628"/>
        <v>0.157258064516129</v>
      </c>
      <c r="AD159" s="993">
        <f t="shared" si="628"/>
        <v>0.15098241985522232</v>
      </c>
      <c r="AE159" s="993"/>
      <c r="AF159" s="993"/>
      <c r="AG159" s="993"/>
      <c r="AH159" s="993"/>
      <c r="AI159" s="993"/>
      <c r="AJ159" s="993"/>
      <c r="AK159" s="993"/>
      <c r="AL159" s="993"/>
      <c r="AM159" s="993"/>
      <c r="AN159" s="993"/>
      <c r="AO159" s="993"/>
      <c r="AP159" s="993"/>
      <c r="AQ159" s="993">
        <f>+AQ158/AP158-1</f>
        <v>2.5445292620865034E-2</v>
      </c>
      <c r="AR159" s="993">
        <f>+AR158/AQ158-1</f>
        <v>0.54094292803970223</v>
      </c>
      <c r="AS159" s="993">
        <f>+AS158/AR158-1</f>
        <v>-6.4412238325280979E-3</v>
      </c>
      <c r="AT159" s="993">
        <f>+AT158/AS158-1</f>
        <v>-3.7277147487844386E-2</v>
      </c>
      <c r="AU159" s="993">
        <f>+AU158/AT158-1</f>
        <v>8.4175084175084125E-2</v>
      </c>
      <c r="AV159" s="993">
        <f t="shared" ref="AV159" si="629">+AV158/AU158-1</f>
        <v>0.16640786749482395</v>
      </c>
    </row>
    <row r="160" spans="1:51" s="923" customFormat="1" ht="13" x14ac:dyDescent="0.3">
      <c r="A160" s="926" t="s">
        <v>893</v>
      </c>
      <c r="C160" s="989"/>
      <c r="D160" s="989">
        <f t="shared" ref="D160" si="630">+D158-C158</f>
        <v>-2.3999999999999915</v>
      </c>
      <c r="E160" s="989">
        <f t="shared" ref="E160" si="631">+E158-D158</f>
        <v>0.79999999999999716</v>
      </c>
      <c r="F160" s="989">
        <f t="shared" ref="F160" si="632">+F158-E158</f>
        <v>-6.6999999999999886</v>
      </c>
      <c r="G160" s="989">
        <f t="shared" ref="G160" si="633">+G158-F158</f>
        <v>11.59999999999998</v>
      </c>
      <c r="H160" s="989">
        <f t="shared" ref="H160" si="634">+H158-G158</f>
        <v>-4.5</v>
      </c>
      <c r="I160" s="989">
        <f t="shared" ref="I160" si="635">+I158-H158</f>
        <v>2.2000000000000171</v>
      </c>
      <c r="J160" s="990">
        <f t="shared" ref="J160" si="636">+J158-I158</f>
        <v>-3.2000000000000028</v>
      </c>
      <c r="K160" s="989">
        <f t="shared" ref="K160" si="637">+K158-J158</f>
        <v>76.5</v>
      </c>
      <c r="L160" s="989">
        <f t="shared" ref="L160" si="638">+L158-K158</f>
        <v>-3.9000000000000057</v>
      </c>
      <c r="M160" s="989">
        <f t="shared" ref="M160" si="639">+M158-L158</f>
        <v>-6.1999999999999886</v>
      </c>
      <c r="N160" s="990">
        <f t="shared" ref="N160" si="640">+N158-M158</f>
        <v>-9.9000000000000341</v>
      </c>
      <c r="O160" s="989">
        <f t="shared" ref="O160" si="641">+O158-N158</f>
        <v>14.200000000000017</v>
      </c>
      <c r="P160" s="989">
        <f t="shared" ref="P160" si="642">+P158-O158</f>
        <v>-2.0999999999999943</v>
      </c>
      <c r="Q160" s="989">
        <f t="shared" ref="Q160" si="643">+Q158-P158</f>
        <v>-1.6999999999999886</v>
      </c>
      <c r="R160" s="990">
        <f t="shared" ref="R160" si="644">+R158-Q158</f>
        <v>-7.4000000000000057</v>
      </c>
      <c r="S160" s="989">
        <f t="shared" ref="S160" si="645">+S158-R158</f>
        <v>-4.5</v>
      </c>
      <c r="T160" s="989">
        <f t="shared" ref="T160" si="646">+T158-S158</f>
        <v>3.5999999999999943</v>
      </c>
      <c r="U160" s="989">
        <f t="shared" ref="U160" si="647">+U158-T158</f>
        <v>4.3000000000000114</v>
      </c>
      <c r="V160" s="990">
        <f t="shared" ref="V160" si="648">+V158-U158</f>
        <v>-5.7000000000000171</v>
      </c>
      <c r="W160" s="989">
        <f t="shared" ref="W160" si="649">+W158-V158</f>
        <v>11.799999999999983</v>
      </c>
      <c r="X160" s="989">
        <f t="shared" ref="X160" si="650">+X158-W158</f>
        <v>5.2000000000000455</v>
      </c>
      <c r="Y160" s="991">
        <f t="shared" ref="Y160" si="651">+Y158-X158</f>
        <v>5.2999999999999545</v>
      </c>
      <c r="Z160" s="991">
        <f t="shared" ref="Z160" si="652">+Z158-Y158</f>
        <v>-5</v>
      </c>
      <c r="AA160" s="1279">
        <f t="shared" ref="AA160" si="653">+AA158-Z158</f>
        <v>29.199999999999989</v>
      </c>
      <c r="AB160" s="991">
        <f t="shared" ref="AB160" si="654">+AB158-AA158</f>
        <v>4</v>
      </c>
      <c r="AC160" s="991">
        <f t="shared" ref="AC160" si="655">+AC158-AB158</f>
        <v>3</v>
      </c>
      <c r="AD160" s="991">
        <f t="shared" ref="AD160" si="656">+AD158-AC158</f>
        <v>-7</v>
      </c>
      <c r="AE160" s="989"/>
      <c r="AF160" s="989"/>
      <c r="AG160" s="989"/>
      <c r="AH160" s="989"/>
      <c r="AI160" s="989"/>
      <c r="AJ160" s="989"/>
      <c r="AK160" s="989"/>
      <c r="AL160" s="989"/>
      <c r="AM160" s="989"/>
      <c r="AN160" s="989"/>
      <c r="AO160" s="989"/>
      <c r="AP160" s="989"/>
      <c r="AQ160" s="989">
        <f t="shared" ref="AQ160:AR160" si="657">+AQ158-AP158</f>
        <v>2.9999999999999858</v>
      </c>
      <c r="AR160" s="989">
        <f t="shared" si="657"/>
        <v>65.399999999999991</v>
      </c>
      <c r="AS160" s="989">
        <f t="shared" ref="AS160" si="658">+AS158-AR158</f>
        <v>-1.1999999999999886</v>
      </c>
      <c r="AT160" s="989">
        <f t="shared" ref="AT160" si="659">+AT158-AS158</f>
        <v>-6.9000000000000057</v>
      </c>
      <c r="AU160" s="991">
        <f t="shared" ref="AU160" si="660">+AU158-AT158</f>
        <v>15</v>
      </c>
      <c r="AV160" s="992">
        <f t="shared" ref="AV160" si="661">+AV158-AU158</f>
        <v>32.149999999999977</v>
      </c>
    </row>
    <row r="161" spans="1:51" s="876" customFormat="1" x14ac:dyDescent="0.25">
      <c r="C161" s="877"/>
      <c r="D161" s="877"/>
      <c r="E161" s="877"/>
      <c r="F161" s="877"/>
      <c r="G161" s="877"/>
      <c r="H161" s="877"/>
      <c r="I161" s="877"/>
      <c r="J161" s="954"/>
      <c r="K161" s="877"/>
      <c r="L161" s="877"/>
      <c r="M161" s="877"/>
      <c r="N161" s="954"/>
      <c r="O161" s="877"/>
      <c r="P161" s="877"/>
      <c r="Q161" s="877"/>
      <c r="R161" s="954"/>
      <c r="S161" s="877"/>
      <c r="T161" s="877"/>
      <c r="U161" s="877"/>
      <c r="V161" s="954"/>
      <c r="W161" s="877"/>
      <c r="X161" s="877"/>
      <c r="Y161" s="878"/>
      <c r="Z161" s="878"/>
      <c r="AA161" s="1282"/>
      <c r="AB161" s="878"/>
      <c r="AC161" s="878"/>
      <c r="AD161" s="878"/>
      <c r="AE161" s="877"/>
      <c r="AF161" s="877"/>
      <c r="AG161" s="877"/>
      <c r="AH161" s="877"/>
      <c r="AI161" s="877"/>
      <c r="AJ161" s="877"/>
      <c r="AK161" s="877"/>
      <c r="AL161" s="877"/>
      <c r="AM161" s="877"/>
      <c r="AN161" s="877"/>
      <c r="AO161" s="877"/>
      <c r="AP161" s="877"/>
      <c r="AQ161" s="877"/>
      <c r="AR161" s="877"/>
      <c r="AS161" s="877"/>
      <c r="AT161" s="877"/>
      <c r="AU161" s="878"/>
      <c r="AV161" s="894"/>
    </row>
    <row r="162" spans="1:51" s="888" customFormat="1" ht="14" x14ac:dyDescent="0.4">
      <c r="A162" s="884" t="s">
        <v>878</v>
      </c>
      <c r="C162" s="945"/>
      <c r="D162" s="945"/>
      <c r="E162" s="945"/>
      <c r="F162" s="945"/>
      <c r="G162" s="945">
        <f>+G163/G158*1000</f>
        <v>1846.0048231511255</v>
      </c>
      <c r="H162" s="945">
        <f t="shared" ref="H162:Y162" si="662">+H163/H158*1000</f>
        <v>1947.6263552960802</v>
      </c>
      <c r="I162" s="945">
        <f t="shared" si="662"/>
        <v>1905.2432432432433</v>
      </c>
      <c r="J162" s="955">
        <f t="shared" si="662"/>
        <v>2003.2153069806559</v>
      </c>
      <c r="K162" s="945">
        <f t="shared" si="662"/>
        <v>1693.725690890481</v>
      </c>
      <c r="L162" s="945">
        <f t="shared" si="662"/>
        <v>1743.2913838120105</v>
      </c>
      <c r="M162" s="945">
        <f t="shared" si="662"/>
        <v>1857.373448461954</v>
      </c>
      <c r="N162" s="955">
        <f t="shared" si="662"/>
        <v>1979.5324971493733</v>
      </c>
      <c r="O162" s="945">
        <f t="shared" si="662"/>
        <v>1841.3607594936709</v>
      </c>
      <c r="P162" s="945">
        <f t="shared" si="662"/>
        <v>1917.4687999999999</v>
      </c>
      <c r="Q162" s="945">
        <f t="shared" si="662"/>
        <v>2000.3487621097959</v>
      </c>
      <c r="R162" s="955">
        <f t="shared" si="662"/>
        <v>2245.0969730941702</v>
      </c>
      <c r="S162" s="945">
        <f t="shared" si="662"/>
        <v>2149.759631972398</v>
      </c>
      <c r="T162" s="945">
        <f t="shared" si="662"/>
        <v>2295.1938028169011</v>
      </c>
      <c r="U162" s="945">
        <f t="shared" si="662"/>
        <v>2296.8844884488449</v>
      </c>
      <c r="V162" s="955">
        <f t="shared" si="662"/>
        <v>2430.4514480408861</v>
      </c>
      <c r="W162" s="945">
        <f t="shared" si="662"/>
        <v>2292.3299627461415</v>
      </c>
      <c r="X162" s="945">
        <f t="shared" si="662"/>
        <v>2396.0119109269808</v>
      </c>
      <c r="Y162" s="1118">
        <f t="shared" si="662"/>
        <v>2419.5856854838712</v>
      </c>
      <c r="Z162" s="1118">
        <f t="shared" ref="Z162" si="663">+Z163/Z158*1000</f>
        <v>2568.9979317476736</v>
      </c>
      <c r="AA162" s="1283">
        <f t="shared" ref="AA162" si="664">+AA163/AA158*1000</f>
        <v>2303.6037735849059</v>
      </c>
      <c r="AB162" s="987">
        <f t="shared" ref="AB162:AD162" si="665">+AB163/AB158*1000</f>
        <v>2365.0261165048546</v>
      </c>
      <c r="AC162" s="987">
        <f t="shared" si="665"/>
        <v>2374.9298105400699</v>
      </c>
      <c r="AD162" s="987">
        <f t="shared" si="665"/>
        <v>2506.988647798742</v>
      </c>
      <c r="AJ162" s="945"/>
      <c r="AK162" s="945"/>
      <c r="AL162" s="945"/>
      <c r="AM162" s="945"/>
      <c r="AN162" s="945"/>
      <c r="AO162" s="945"/>
      <c r="AP162" s="945"/>
      <c r="AQ162" s="987">
        <f t="shared" ref="AQ162" si="666">+AQ163/AQ158*1000</f>
        <v>7720.0645161290331</v>
      </c>
      <c r="AR162" s="945">
        <f t="shared" ref="AR162" si="667">+AR163/AR158*1000</f>
        <v>7281.2769726247998</v>
      </c>
      <c r="AS162" s="945">
        <f t="shared" ref="AS162" si="668">+AS163/AS158*1000</f>
        <v>7998.9670448406259</v>
      </c>
      <c r="AT162" s="945">
        <f t="shared" ref="AT162" si="669">+AT163/AT158*1000</f>
        <v>9127.6234567901229</v>
      </c>
      <c r="AU162" s="987">
        <f t="shared" ref="AU162:AV162" si="670">+AU163/AU158*1000</f>
        <v>9680.5833333333321</v>
      </c>
      <c r="AV162" s="905">
        <f t="shared" si="670"/>
        <v>9549.7522764588412</v>
      </c>
    </row>
    <row r="163" spans="1:51" s="876" customFormat="1" x14ac:dyDescent="0.25">
      <c r="A163" s="882" t="s">
        <v>880</v>
      </c>
      <c r="C163" s="877"/>
      <c r="D163" s="877"/>
      <c r="E163" s="877"/>
      <c r="F163" s="877"/>
      <c r="G163" s="877">
        <f>+G144+G125</f>
        <v>229.643</v>
      </c>
      <c r="H163" s="877">
        <f t="shared" ref="H163:Y163" si="671">+H144+H125</f>
        <v>233.5204</v>
      </c>
      <c r="I163" s="877">
        <f t="shared" si="671"/>
        <v>232.63020000000003</v>
      </c>
      <c r="J163" s="954">
        <f t="shared" si="671"/>
        <v>238.1823</v>
      </c>
      <c r="K163" s="877">
        <f t="shared" si="671"/>
        <v>330.95400000000001</v>
      </c>
      <c r="L163" s="877">
        <f t="shared" si="671"/>
        <v>333.84030000000001</v>
      </c>
      <c r="M163" s="877">
        <f t="shared" si="671"/>
        <v>344.17130000000009</v>
      </c>
      <c r="N163" s="954">
        <f t="shared" si="671"/>
        <v>347.21000000000004</v>
      </c>
      <c r="O163" s="877">
        <f t="shared" si="671"/>
        <v>349.12200000000001</v>
      </c>
      <c r="P163" s="877">
        <f t="shared" si="671"/>
        <v>359.52539999999999</v>
      </c>
      <c r="Q163" s="877">
        <f t="shared" si="671"/>
        <v>371.66480000000007</v>
      </c>
      <c r="R163" s="954">
        <f t="shared" si="671"/>
        <v>400.52530000000002</v>
      </c>
      <c r="S163" s="877">
        <f t="shared" si="671"/>
        <v>373.84320000000002</v>
      </c>
      <c r="T163" s="877">
        <f t="shared" si="671"/>
        <v>407.39689999999996</v>
      </c>
      <c r="U163" s="877">
        <f t="shared" si="671"/>
        <v>417.57360000000006</v>
      </c>
      <c r="V163" s="954">
        <f t="shared" si="671"/>
        <v>428.00250000000005</v>
      </c>
      <c r="W163" s="877">
        <f t="shared" si="671"/>
        <v>430.72879999999998</v>
      </c>
      <c r="X163" s="877">
        <f t="shared" si="671"/>
        <v>462.66990000000004</v>
      </c>
      <c r="Y163" s="878">
        <f t="shared" si="671"/>
        <v>480.04579999999999</v>
      </c>
      <c r="Z163" s="878">
        <f t="shared" ref="Z163" si="672">+Z144+Z125</f>
        <v>496.8442</v>
      </c>
      <c r="AA163" s="1282">
        <f t="shared" ref="AA163" si="673">+AA144+AA125</f>
        <v>512.78219999999999</v>
      </c>
      <c r="AB163" s="878">
        <f t="shared" ref="AB163:AD163" si="674">+AB144+AB125</f>
        <v>535.91491799999994</v>
      </c>
      <c r="AC163" s="878">
        <f t="shared" si="674"/>
        <v>545.2838845</v>
      </c>
      <c r="AD163" s="878">
        <f t="shared" si="674"/>
        <v>558.05567299999984</v>
      </c>
      <c r="AE163" s="877"/>
      <c r="AF163" s="877"/>
      <c r="AG163" s="877"/>
      <c r="AH163" s="877"/>
      <c r="AI163" s="877"/>
      <c r="AJ163" s="877"/>
      <c r="AK163" s="877"/>
      <c r="AL163" s="877"/>
      <c r="AM163" s="877"/>
      <c r="AN163" s="877"/>
      <c r="AO163" s="877"/>
      <c r="AP163" s="877"/>
      <c r="AQ163" s="878">
        <f t="shared" ref="AQ163:AU163" si="675">+AQ144+AQ125</f>
        <v>933.35580000000004</v>
      </c>
      <c r="AR163" s="877">
        <f t="shared" si="675"/>
        <v>1356.5019</v>
      </c>
      <c r="AS163" s="877">
        <f t="shared" si="675"/>
        <v>1480.6087999999997</v>
      </c>
      <c r="AT163" s="877">
        <f t="shared" si="675"/>
        <v>1626.5425</v>
      </c>
      <c r="AU163" s="878">
        <f t="shared" si="675"/>
        <v>1870.2886999999998</v>
      </c>
      <c r="AV163" s="894">
        <f t="shared" ref="AV163" si="676">+AV144+AV125</f>
        <v>2152.0366754999995</v>
      </c>
    </row>
    <row r="164" spans="1:51" x14ac:dyDescent="0.25">
      <c r="J164" s="953"/>
      <c r="N164" s="953"/>
      <c r="R164" s="953"/>
      <c r="V164" s="953"/>
      <c r="AA164" s="1271"/>
    </row>
    <row r="165" spans="1:51" s="887" customFormat="1" ht="13" x14ac:dyDescent="0.3">
      <c r="A165" s="889" t="s">
        <v>657</v>
      </c>
      <c r="J165" s="963"/>
      <c r="N165" s="963"/>
      <c r="R165" s="963"/>
      <c r="V165" s="963"/>
      <c r="AA165" s="1274"/>
    </row>
    <row r="166" spans="1:51" s="891" customFormat="1" ht="13" x14ac:dyDescent="0.3">
      <c r="A166" s="890" t="str">
        <f>+A162</f>
        <v>Revenue per Enrollment</v>
      </c>
      <c r="G166" s="896"/>
      <c r="H166" s="896"/>
      <c r="I166" s="896"/>
      <c r="J166" s="965"/>
      <c r="K166" s="896">
        <f t="shared" ref="K166:X167" si="677">+K162/G162-1</f>
        <v>-8.2491188728696985E-2</v>
      </c>
      <c r="L166" s="896">
        <f t="shared" si="677"/>
        <v>-0.10491487288022783</v>
      </c>
      <c r="M166" s="896">
        <f t="shared" si="677"/>
        <v>-2.5125293030721862E-2</v>
      </c>
      <c r="N166" s="965">
        <f t="shared" si="677"/>
        <v>-1.1822398595275563E-2</v>
      </c>
      <c r="O166" s="896">
        <f t="shared" si="677"/>
        <v>8.7165867175085676E-2</v>
      </c>
      <c r="P166" s="896">
        <f t="shared" si="677"/>
        <v>9.9912967967018762E-2</v>
      </c>
      <c r="Q166" s="896">
        <f t="shared" si="677"/>
        <v>7.6977149515212506E-2</v>
      </c>
      <c r="R166" s="965">
        <f t="shared" si="677"/>
        <v>0.13415514841369025</v>
      </c>
      <c r="S166" s="896">
        <f t="shared" si="677"/>
        <v>0.16748422105157124</v>
      </c>
      <c r="T166" s="896">
        <f t="shared" si="677"/>
        <v>0.19699147272534567</v>
      </c>
      <c r="U166" s="896">
        <f t="shared" si="677"/>
        <v>0.14824201257099223</v>
      </c>
      <c r="V166" s="965">
        <f t="shared" si="677"/>
        <v>8.2559674333916311E-2</v>
      </c>
      <c r="W166" s="896">
        <f t="shared" si="677"/>
        <v>6.6319196180521622E-2</v>
      </c>
      <c r="X166" s="1111">
        <f t="shared" si="677"/>
        <v>4.3925749532063518E-2</v>
      </c>
      <c r="Y166" s="1111">
        <f t="shared" ref="Y166" si="678">+Y162/U162-1</f>
        <v>5.3420708639070558E-2</v>
      </c>
      <c r="Z166" s="1111">
        <f t="shared" ref="Z166:Z167" si="679">+Z162/V162-1</f>
        <v>5.7004423527351467E-2</v>
      </c>
      <c r="AA166" s="1284">
        <f t="shared" ref="AA166:AA167" si="680">+AA162/W162-1</f>
        <v>4.9180576190954728E-3</v>
      </c>
      <c r="AB166" s="1111">
        <f t="shared" ref="AB166:AB167" si="681">+AB162/X162-1</f>
        <v>-1.2932237223369336E-2</v>
      </c>
      <c r="AC166" s="1111">
        <f t="shared" ref="AC166:AC167" si="682">+AC162/Y162-1</f>
        <v>-1.845600063337749E-2</v>
      </c>
      <c r="AD166" s="1111">
        <f t="shared" ref="AD166:AD167" si="683">+AD162/Z162-1</f>
        <v>-2.4137537513215124E-2</v>
      </c>
      <c r="AE166" s="896"/>
      <c r="AF166" s="896"/>
      <c r="AG166" s="896"/>
      <c r="AH166" s="896"/>
      <c r="AI166" s="896"/>
      <c r="AJ166" s="896"/>
      <c r="AK166" s="896"/>
      <c r="AL166" s="896"/>
      <c r="AM166" s="896"/>
      <c r="AN166" s="896"/>
      <c r="AO166" s="896"/>
      <c r="AP166" s="896"/>
      <c r="AQ166" s="896"/>
      <c r="AR166" s="896">
        <f t="shared" ref="AR166:AU167" si="684">+AR162/AQ162-1</f>
        <v>-5.6837289712735273E-2</v>
      </c>
      <c r="AS166" s="896">
        <f t="shared" si="684"/>
        <v>9.8566511741567275E-2</v>
      </c>
      <c r="AT166" s="896">
        <f t="shared" si="684"/>
        <v>0.14110027027520844</v>
      </c>
      <c r="AU166" s="896">
        <f t="shared" si="684"/>
        <v>6.0580925490726356E-2</v>
      </c>
      <c r="AV166" s="896">
        <f t="shared" ref="AV166:AV167" si="685">+AV162/AU162-1</f>
        <v>-1.3514790624651551E-2</v>
      </c>
    </row>
    <row r="167" spans="1:51" s="887" customFormat="1" ht="13" x14ac:dyDescent="0.3">
      <c r="A167" s="892" t="str">
        <f>+A163</f>
        <v>Enrollment Revenue</v>
      </c>
      <c r="G167" s="883"/>
      <c r="H167" s="883"/>
      <c r="I167" s="883"/>
      <c r="J167" s="964"/>
      <c r="K167" s="883">
        <f t="shared" si="677"/>
        <v>0.44116737718981214</v>
      </c>
      <c r="L167" s="883">
        <f t="shared" si="677"/>
        <v>0.42959801370672546</v>
      </c>
      <c r="M167" s="883">
        <f t="shared" si="677"/>
        <v>0.47947815889768419</v>
      </c>
      <c r="N167" s="964">
        <f t="shared" si="677"/>
        <v>0.45774895951546379</v>
      </c>
      <c r="O167" s="883">
        <f t="shared" si="677"/>
        <v>5.4895846552693195E-2</v>
      </c>
      <c r="P167" s="883">
        <f t="shared" si="677"/>
        <v>7.6938284563007997E-2</v>
      </c>
      <c r="Q167" s="883">
        <f t="shared" si="677"/>
        <v>7.9883186076235901E-2</v>
      </c>
      <c r="R167" s="964">
        <f t="shared" si="677"/>
        <v>0.15355346908211165</v>
      </c>
      <c r="S167" s="883">
        <f t="shared" si="677"/>
        <v>7.0809631017237473E-2</v>
      </c>
      <c r="T167" s="883">
        <f t="shared" si="677"/>
        <v>0.13315192751332727</v>
      </c>
      <c r="U167" s="883">
        <f t="shared" si="677"/>
        <v>0.1235220553574079</v>
      </c>
      <c r="V167" s="964">
        <f t="shared" si="677"/>
        <v>6.8602907232077515E-2</v>
      </c>
      <c r="W167" s="883">
        <f t="shared" si="677"/>
        <v>0.15216432985807948</v>
      </c>
      <c r="X167" s="883">
        <f t="shared" si="677"/>
        <v>0.13567359005431823</v>
      </c>
      <c r="Y167" s="883">
        <f>+Y163/U163-1</f>
        <v>0.1496076380307565</v>
      </c>
      <c r="Z167" s="883">
        <f t="shared" si="679"/>
        <v>0.1608441539476988</v>
      </c>
      <c r="AA167" s="1275">
        <f t="shared" si="680"/>
        <v>0.19049898683347855</v>
      </c>
      <c r="AB167" s="883">
        <f t="shared" si="681"/>
        <v>0.15830945129562113</v>
      </c>
      <c r="AC167" s="883">
        <f t="shared" si="682"/>
        <v>0.13589970894443826</v>
      </c>
      <c r="AD167" s="883">
        <f t="shared" si="683"/>
        <v>0.12320053851891566</v>
      </c>
      <c r="AE167" s="883"/>
      <c r="AF167" s="883"/>
      <c r="AG167" s="883"/>
      <c r="AH167" s="883"/>
      <c r="AI167" s="883"/>
      <c r="AJ167" s="883"/>
      <c r="AK167" s="883"/>
      <c r="AL167" s="883"/>
      <c r="AM167" s="883"/>
      <c r="AN167" s="883"/>
      <c r="AO167" s="883"/>
      <c r="AP167" s="883"/>
      <c r="AQ167" s="883"/>
      <c r="AR167" s="883">
        <f t="shared" si="684"/>
        <v>0.45335990840791895</v>
      </c>
      <c r="AS167" s="883">
        <f t="shared" si="684"/>
        <v>9.1490398944520379E-2</v>
      </c>
      <c r="AT167" s="883">
        <f t="shared" si="684"/>
        <v>9.8563307201740447E-2</v>
      </c>
      <c r="AU167" s="883">
        <f t="shared" si="684"/>
        <v>0.14985541416839698</v>
      </c>
      <c r="AV167" s="883">
        <f t="shared" si="685"/>
        <v>0.15064410938268491</v>
      </c>
    </row>
    <row r="168" spans="1:51" s="887" customFormat="1" ht="13" x14ac:dyDescent="0.3">
      <c r="A168" s="892" t="s">
        <v>884</v>
      </c>
      <c r="G168" s="883"/>
      <c r="H168" s="883"/>
      <c r="I168" s="883"/>
      <c r="J168" s="964"/>
      <c r="K168" s="883">
        <f>+K167</f>
        <v>0.44116737718981214</v>
      </c>
      <c r="L168" s="883">
        <f t="shared" ref="L168:Y168" si="686">+L167</f>
        <v>0.42959801370672546</v>
      </c>
      <c r="M168" s="883">
        <f t="shared" si="686"/>
        <v>0.47947815889768419</v>
      </c>
      <c r="N168" s="964">
        <f t="shared" si="686"/>
        <v>0.45774895951546379</v>
      </c>
      <c r="O168" s="883">
        <f t="shared" si="686"/>
        <v>5.4895846552693195E-2</v>
      </c>
      <c r="P168" s="883">
        <f t="shared" si="686"/>
        <v>7.6938284563007997E-2</v>
      </c>
      <c r="Q168" s="883">
        <f t="shared" si="686"/>
        <v>7.9883186076235901E-2</v>
      </c>
      <c r="R168" s="964">
        <f t="shared" si="686"/>
        <v>0.15355346908211165</v>
      </c>
      <c r="S168" s="883">
        <f t="shared" si="686"/>
        <v>7.0809631017237473E-2</v>
      </c>
      <c r="T168" s="883">
        <f t="shared" si="686"/>
        <v>0.13315192751332727</v>
      </c>
      <c r="U168" s="883">
        <f t="shared" si="686"/>
        <v>0.1235220553574079</v>
      </c>
      <c r="V168" s="964">
        <f t="shared" si="686"/>
        <v>6.8602907232077515E-2</v>
      </c>
      <c r="W168" s="883">
        <f t="shared" si="686"/>
        <v>0.15216432985807948</v>
      </c>
      <c r="X168" s="883">
        <f t="shared" si="686"/>
        <v>0.13567359005431823</v>
      </c>
      <c r="Y168" s="883">
        <f t="shared" si="686"/>
        <v>0.1496076380307565</v>
      </c>
      <c r="Z168" s="883">
        <f t="shared" ref="Z168" si="687">+Z167</f>
        <v>0.1608441539476988</v>
      </c>
      <c r="AA168" s="1275">
        <f t="shared" ref="AA168" si="688">+AA167</f>
        <v>0.19049898683347855</v>
      </c>
      <c r="AB168" s="883">
        <f t="shared" ref="AB168:AD168" si="689">+AB167</f>
        <v>0.15830945129562113</v>
      </c>
      <c r="AC168" s="883">
        <f t="shared" si="689"/>
        <v>0.13589970894443826</v>
      </c>
      <c r="AD168" s="883">
        <f t="shared" si="689"/>
        <v>0.12320053851891566</v>
      </c>
      <c r="AE168" s="883"/>
      <c r="AF168" s="883"/>
      <c r="AG168" s="883"/>
      <c r="AH168" s="883"/>
      <c r="AI168" s="883"/>
      <c r="AJ168" s="883"/>
      <c r="AK168" s="883"/>
      <c r="AL168" s="883"/>
      <c r="AM168" s="883"/>
      <c r="AN168" s="883"/>
      <c r="AO168" s="883"/>
      <c r="AP168" s="883"/>
      <c r="AQ168" s="883"/>
      <c r="AR168" s="883">
        <f t="shared" ref="AR168:AT168" si="690">+AR167</f>
        <v>0.45335990840791895</v>
      </c>
      <c r="AS168" s="883">
        <f t="shared" si="690"/>
        <v>9.1490398944520379E-2</v>
      </c>
      <c r="AT168" s="883">
        <f t="shared" si="690"/>
        <v>9.8563307201740447E-2</v>
      </c>
      <c r="AU168" s="883">
        <f t="shared" ref="AU168:AV168" si="691">+AU167</f>
        <v>0.14985541416839698</v>
      </c>
      <c r="AV168" s="883">
        <f t="shared" si="691"/>
        <v>0.15064410938268491</v>
      </c>
    </row>
    <row r="169" spans="1:51" x14ac:dyDescent="0.25">
      <c r="J169" s="953"/>
      <c r="N169" s="953"/>
      <c r="R169" s="953"/>
      <c r="V169" s="953"/>
      <c r="AA169" s="1271"/>
    </row>
    <row r="170" spans="1:51" s="876" customFormat="1" x14ac:dyDescent="0.25">
      <c r="A170" s="876" t="str">
        <f>+A217</f>
        <v>Instructional Costs and Services</v>
      </c>
      <c r="C170" s="877">
        <f t="shared" ref="C170:AU170" si="692">+C217</f>
        <v>158.98500000000001</v>
      </c>
      <c r="D170" s="877">
        <f t="shared" si="692"/>
        <v>160.32900000000001</v>
      </c>
      <c r="E170" s="877">
        <f t="shared" si="692"/>
        <v>168.26</v>
      </c>
      <c r="F170" s="877">
        <f t="shared" si="692"/>
        <v>175.863</v>
      </c>
      <c r="G170" s="877">
        <f t="shared" si="692"/>
        <v>169.358</v>
      </c>
      <c r="H170" s="877">
        <f t="shared" si="692"/>
        <v>167.47</v>
      </c>
      <c r="I170" s="877">
        <f t="shared" si="692"/>
        <v>178.96799999999999</v>
      </c>
      <c r="J170" s="954">
        <f t="shared" si="692"/>
        <v>177.43599999999998</v>
      </c>
      <c r="K170" s="877">
        <f t="shared" si="692"/>
        <v>241.06899999999999</v>
      </c>
      <c r="L170" s="877">
        <f t="shared" si="692"/>
        <v>246.75400000000002</v>
      </c>
      <c r="M170" s="877">
        <f t="shared" si="692"/>
        <v>253.12799999999999</v>
      </c>
      <c r="N170" s="954">
        <f t="shared" si="692"/>
        <v>260.90899999999999</v>
      </c>
      <c r="O170" s="877">
        <f t="shared" si="692"/>
        <v>273.82400000000001</v>
      </c>
      <c r="P170" s="877">
        <f t="shared" si="692"/>
        <v>261.95</v>
      </c>
      <c r="Q170" s="877">
        <f t="shared" si="692"/>
        <v>266.88299999999998</v>
      </c>
      <c r="R170" s="954">
        <f t="shared" si="692"/>
        <v>287.53399999999993</v>
      </c>
      <c r="S170" s="877">
        <f t="shared" si="692"/>
        <v>295.50099999999998</v>
      </c>
      <c r="T170" s="877">
        <f t="shared" si="692"/>
        <v>288.34699999999998</v>
      </c>
      <c r="U170" s="877">
        <f t="shared" si="692"/>
        <v>295.03199999999998</v>
      </c>
      <c r="V170" s="954">
        <f t="shared" si="692"/>
        <v>311.40800000000013</v>
      </c>
      <c r="W170" s="877">
        <f>+W24</f>
        <v>307.29300000000001</v>
      </c>
      <c r="X170" s="877">
        <f>+X24</f>
        <v>303.69400000000002</v>
      </c>
      <c r="Y170" s="1110">
        <f>+Y24</f>
        <v>319.50799999999998</v>
      </c>
      <c r="Z170" s="1110">
        <f>+Z24</f>
        <v>345.971</v>
      </c>
      <c r="AA170" s="1281">
        <f>+AA24</f>
        <v>335.23099999999999</v>
      </c>
      <c r="AB170" s="1110">
        <f>+AB24</f>
        <v>337.11661268541235</v>
      </c>
      <c r="AC170" s="1110">
        <f>+AC24</f>
        <v>346.0622070634945</v>
      </c>
      <c r="AD170" s="1110">
        <f>+AD24</f>
        <v>367.00966525999996</v>
      </c>
      <c r="AE170" s="877"/>
      <c r="AF170" s="877">
        <f t="shared" si="692"/>
        <v>0</v>
      </c>
      <c r="AG170" s="877">
        <f t="shared" si="692"/>
        <v>0</v>
      </c>
      <c r="AH170" s="877">
        <f t="shared" si="692"/>
        <v>0</v>
      </c>
      <c r="AI170" s="877">
        <f t="shared" si="692"/>
        <v>0</v>
      </c>
      <c r="AJ170" s="877">
        <f t="shared" si="692"/>
        <v>498.39800000000002</v>
      </c>
      <c r="AK170" s="877">
        <f t="shared" si="692"/>
        <v>569.21900000000005</v>
      </c>
      <c r="AL170" s="877">
        <f t="shared" si="692"/>
        <v>607.75599999999997</v>
      </c>
      <c r="AM170" s="877">
        <f t="shared" si="692"/>
        <v>546.51</v>
      </c>
      <c r="AN170" s="877">
        <f t="shared" si="692"/>
        <v>557.31600000000003</v>
      </c>
      <c r="AO170" s="877">
        <f t="shared" si="692"/>
        <v>592.495</v>
      </c>
      <c r="AP170" s="877">
        <f t="shared" si="692"/>
        <v>663.43700000000001</v>
      </c>
      <c r="AQ170" s="877">
        <f t="shared" si="692"/>
        <v>693.23199999999997</v>
      </c>
      <c r="AR170" s="877">
        <f t="shared" si="692"/>
        <v>1001.86</v>
      </c>
      <c r="AS170" s="877">
        <f t="shared" si="692"/>
        <v>1090.191</v>
      </c>
      <c r="AT170" s="877">
        <f t="shared" si="692"/>
        <v>1190.288</v>
      </c>
      <c r="AU170" s="878">
        <f t="shared" si="692"/>
        <v>1276.4660000000001</v>
      </c>
      <c r="AV170" s="894">
        <f>+AV24</f>
        <v>1385.4194850089068</v>
      </c>
      <c r="AY170" s="1418"/>
    </row>
    <row r="171" spans="1:51" s="888" customFormat="1" ht="14" x14ac:dyDescent="0.4">
      <c r="A171" s="884" t="str">
        <f>+A158</f>
        <v>Enrollments (#K)</v>
      </c>
      <c r="C171" s="945">
        <f t="shared" ref="C171:AV171" si="693">+C158</f>
        <v>121.1</v>
      </c>
      <c r="D171" s="945">
        <f t="shared" si="693"/>
        <v>118.7</v>
      </c>
      <c r="E171" s="945">
        <f t="shared" si="693"/>
        <v>119.5</v>
      </c>
      <c r="F171" s="945">
        <f t="shared" si="693"/>
        <v>112.80000000000001</v>
      </c>
      <c r="G171" s="945">
        <f t="shared" si="693"/>
        <v>124.39999999999999</v>
      </c>
      <c r="H171" s="945">
        <f t="shared" si="693"/>
        <v>119.89999999999999</v>
      </c>
      <c r="I171" s="945">
        <f t="shared" si="693"/>
        <v>122.10000000000001</v>
      </c>
      <c r="J171" s="955">
        <f t="shared" si="693"/>
        <v>118.9</v>
      </c>
      <c r="K171" s="945">
        <f t="shared" si="693"/>
        <v>195.4</v>
      </c>
      <c r="L171" s="945">
        <f t="shared" si="693"/>
        <v>191.5</v>
      </c>
      <c r="M171" s="945">
        <f t="shared" si="693"/>
        <v>185.3</v>
      </c>
      <c r="N171" s="955">
        <f t="shared" si="693"/>
        <v>175.39999999999998</v>
      </c>
      <c r="O171" s="945">
        <f t="shared" si="693"/>
        <v>189.6</v>
      </c>
      <c r="P171" s="945">
        <f t="shared" si="693"/>
        <v>187.5</v>
      </c>
      <c r="Q171" s="945">
        <f t="shared" si="693"/>
        <v>185.8</v>
      </c>
      <c r="R171" s="955">
        <f t="shared" si="693"/>
        <v>178.4</v>
      </c>
      <c r="S171" s="945">
        <f t="shared" si="693"/>
        <v>173.9</v>
      </c>
      <c r="T171" s="945">
        <f t="shared" si="693"/>
        <v>177.5</v>
      </c>
      <c r="U171" s="945">
        <f t="shared" si="693"/>
        <v>181.8</v>
      </c>
      <c r="V171" s="955">
        <f t="shared" si="693"/>
        <v>176.1</v>
      </c>
      <c r="W171" s="945">
        <f t="shared" si="693"/>
        <v>187.89999999999998</v>
      </c>
      <c r="X171" s="945">
        <f t="shared" si="693"/>
        <v>193.10000000000002</v>
      </c>
      <c r="Y171" s="1118">
        <f t="shared" si="693"/>
        <v>198.39999999999998</v>
      </c>
      <c r="Z171" s="1118">
        <f t="shared" si="693"/>
        <v>193.39999999999998</v>
      </c>
      <c r="AA171" s="1283">
        <f t="shared" si="693"/>
        <v>222.59999999999997</v>
      </c>
      <c r="AB171" s="987">
        <f t="shared" si="693"/>
        <v>226.59999999999997</v>
      </c>
      <c r="AC171" s="987">
        <f t="shared" si="693"/>
        <v>229.59999999999997</v>
      </c>
      <c r="AD171" s="987">
        <f t="shared" si="693"/>
        <v>222.59999999999997</v>
      </c>
      <c r="AJ171" s="945"/>
      <c r="AK171" s="945"/>
      <c r="AL171" s="945"/>
      <c r="AM171" s="945"/>
      <c r="AN171" s="945"/>
      <c r="AO171" s="945"/>
      <c r="AP171" s="945">
        <f t="shared" si="693"/>
        <v>117.9</v>
      </c>
      <c r="AQ171" s="987">
        <f t="shared" si="693"/>
        <v>120.89999999999999</v>
      </c>
      <c r="AR171" s="945">
        <f t="shared" si="693"/>
        <v>186.29999999999998</v>
      </c>
      <c r="AS171" s="945">
        <f t="shared" si="693"/>
        <v>185.1</v>
      </c>
      <c r="AT171" s="945">
        <f t="shared" si="693"/>
        <v>178.2</v>
      </c>
      <c r="AU171" s="987">
        <f t="shared" si="693"/>
        <v>193.2</v>
      </c>
      <c r="AV171" s="905">
        <f t="shared" si="693"/>
        <v>225.34999999999997</v>
      </c>
    </row>
    <row r="172" spans="1:51" s="876" customFormat="1" x14ac:dyDescent="0.25">
      <c r="A172" s="882" t="s">
        <v>1615</v>
      </c>
      <c r="B172" s="1270"/>
      <c r="C172" s="1270">
        <f t="shared" ref="C172:N172" si="694">+C170/C171</f>
        <v>1.3128406275805122</v>
      </c>
      <c r="D172" s="1270">
        <f t="shared" si="694"/>
        <v>1.3507076663858466</v>
      </c>
      <c r="E172" s="1270">
        <f t="shared" si="694"/>
        <v>1.4080334728033472</v>
      </c>
      <c r="F172" s="1270">
        <f t="shared" si="694"/>
        <v>1.5590691489361701</v>
      </c>
      <c r="G172" s="1270">
        <f t="shared" si="694"/>
        <v>1.3613987138263668</v>
      </c>
      <c r="H172" s="1270">
        <f t="shared" si="694"/>
        <v>1.3967472894078399</v>
      </c>
      <c r="I172" s="1270">
        <f t="shared" si="694"/>
        <v>1.4657493857493855</v>
      </c>
      <c r="J172" s="1270">
        <f t="shared" si="694"/>
        <v>1.4923128679562656</v>
      </c>
      <c r="K172" s="1270">
        <f t="shared" si="694"/>
        <v>1.2337205731832139</v>
      </c>
      <c r="L172" s="1270">
        <f t="shared" si="694"/>
        <v>1.2885326370757182</v>
      </c>
      <c r="M172" s="1270">
        <f t="shared" si="694"/>
        <v>1.3660442525634104</v>
      </c>
      <c r="N172" s="1270">
        <f t="shared" si="694"/>
        <v>1.487508551881414</v>
      </c>
      <c r="O172" s="1459">
        <f>+O170/O171</f>
        <v>1.4442194092827005</v>
      </c>
      <c r="P172" s="1459">
        <f t="shared" ref="P172:AV172" si="695">+P170/P171</f>
        <v>1.3970666666666667</v>
      </c>
      <c r="Q172" s="1459">
        <f t="shared" si="695"/>
        <v>1.436399354144241</v>
      </c>
      <c r="R172" s="1460">
        <f t="shared" si="695"/>
        <v>1.6117376681614346</v>
      </c>
      <c r="S172" s="1459">
        <f t="shared" si="695"/>
        <v>1.6992581943645773</v>
      </c>
      <c r="T172" s="1459">
        <f t="shared" si="695"/>
        <v>1.6244901408450703</v>
      </c>
      <c r="U172" s="1459">
        <f t="shared" si="695"/>
        <v>1.6228382838283826</v>
      </c>
      <c r="V172" s="1460">
        <f t="shared" si="695"/>
        <v>1.7683588869960258</v>
      </c>
      <c r="W172" s="1459">
        <f t="shared" si="695"/>
        <v>1.6354071314529006</v>
      </c>
      <c r="X172" s="1459">
        <f t="shared" si="695"/>
        <v>1.5727291558777834</v>
      </c>
      <c r="Y172" s="1459">
        <f t="shared" si="695"/>
        <v>1.6104233870967744</v>
      </c>
      <c r="Z172" s="1459">
        <f t="shared" si="695"/>
        <v>1.7888883143743539</v>
      </c>
      <c r="AA172" s="1461">
        <f t="shared" si="695"/>
        <v>1.5059793351302788</v>
      </c>
      <c r="AB172" s="1459">
        <f t="shared" si="695"/>
        <v>1.4877167373583955</v>
      </c>
      <c r="AC172" s="1459">
        <f t="shared" si="695"/>
        <v>1.5072395778026766</v>
      </c>
      <c r="AD172" s="1459">
        <f t="shared" si="695"/>
        <v>1.648740634591195</v>
      </c>
      <c r="AE172" s="1459"/>
      <c r="AF172" s="1459"/>
      <c r="AG172" s="1459"/>
      <c r="AH172" s="1459"/>
      <c r="AI172" s="1459"/>
      <c r="AJ172" s="1459"/>
      <c r="AK172" s="1459"/>
      <c r="AL172" s="1459"/>
      <c r="AM172" s="1459"/>
      <c r="AN172" s="1459"/>
      <c r="AO172" s="1459"/>
      <c r="AP172" s="1459">
        <f t="shared" si="695"/>
        <v>5.6271162001696355</v>
      </c>
      <c r="AQ172" s="1459">
        <f t="shared" si="695"/>
        <v>5.7339288668320929</v>
      </c>
      <c r="AR172" s="1459">
        <f t="shared" si="695"/>
        <v>5.3776704240472366</v>
      </c>
      <c r="AS172" s="1459">
        <f t="shared" si="695"/>
        <v>5.8897406807131283</v>
      </c>
      <c r="AT172" s="1459">
        <f t="shared" si="695"/>
        <v>6.6795061728395071</v>
      </c>
      <c r="AU172" s="1459">
        <f t="shared" si="695"/>
        <v>6.6069668737060052</v>
      </c>
      <c r="AV172" s="1462">
        <f t="shared" si="695"/>
        <v>6.1478566008826583</v>
      </c>
    </row>
    <row r="173" spans="1:51" s="887" customFormat="1" ht="13" x14ac:dyDescent="0.3">
      <c r="A173" s="892" t="s">
        <v>657</v>
      </c>
      <c r="G173" s="993">
        <f t="shared" ref="G173" si="696">+G172/C172-1</f>
        <v>3.6987038049960619E-2</v>
      </c>
      <c r="H173" s="993">
        <f t="shared" ref="H173" si="697">+H172/D172-1</f>
        <v>3.4085556903059366E-2</v>
      </c>
      <c r="I173" s="993">
        <f t="shared" ref="I173" si="698">+I172/E172-1</f>
        <v>4.0990440966668151E-2</v>
      </c>
      <c r="J173" s="994">
        <f t="shared" ref="J173" si="699">+J172/F172-1</f>
        <v>-4.2818037304795387E-2</v>
      </c>
      <c r="K173" s="993">
        <f t="shared" ref="K173" si="700">+K172/G172-1</f>
        <v>-9.3784531560411777E-2</v>
      </c>
      <c r="L173" s="993">
        <f t="shared" ref="L173" si="701">+L172/H172-1</f>
        <v>-7.7476185672785469E-2</v>
      </c>
      <c r="M173" s="993">
        <f t="shared" ref="M173" si="702">+M172/I172-1</f>
        <v>-6.8023315687762986E-2</v>
      </c>
      <c r="N173" s="994">
        <f t="shared" ref="N173" si="703">+N172/J172-1</f>
        <v>-3.2193758949697893E-3</v>
      </c>
      <c r="O173" s="993">
        <f t="shared" ref="O173" si="704">+O172/K172-1</f>
        <v>0.17062116063799038</v>
      </c>
      <c r="P173" s="993">
        <f t="shared" ref="P173" si="705">+P172/L172-1</f>
        <v>8.42307183132458E-2</v>
      </c>
      <c r="Q173" s="993">
        <f t="shared" ref="Q173" si="706">+Q172/M172-1</f>
        <v>5.1502798279636774E-2</v>
      </c>
      <c r="R173" s="994">
        <f t="shared" ref="R173" si="707">+R172/N172-1</f>
        <v>8.3514892148280229E-2</v>
      </c>
      <c r="S173" s="993">
        <f t="shared" ref="S173" si="708">+S172/O172-1</f>
        <v>0.17659282477622051</v>
      </c>
      <c r="T173" s="993">
        <f t="shared" ref="T173" si="709">+T172/P172-1</f>
        <v>0.16278641499694846</v>
      </c>
      <c r="U173" s="993">
        <f t="shared" ref="U173" si="710">+U172/Q172-1</f>
        <v>0.12979602723033512</v>
      </c>
      <c r="V173" s="994">
        <f t="shared" ref="V173" si="711">+V172/R172-1</f>
        <v>9.7175379051142041E-2</v>
      </c>
      <c r="W173" s="993">
        <f t="shared" ref="W173" si="712">+W172/S172-1</f>
        <v>-3.7575845226718529E-2</v>
      </c>
      <c r="X173" s="993">
        <f t="shared" ref="X173" si="713">+X172/T172-1</f>
        <v>-3.1862911116444459E-2</v>
      </c>
      <c r="Y173" s="993">
        <f>+Y172/U172-1</f>
        <v>-7.65011329552856E-3</v>
      </c>
      <c r="Z173" s="993">
        <f t="shared" ref="Z173" si="714">+Z172/V172-1</f>
        <v>1.1609310490814595E-2</v>
      </c>
      <c r="AA173" s="1277">
        <f t="shared" ref="AA173" si="715">+AA172/W172-1</f>
        <v>-7.9141024784230796E-2</v>
      </c>
      <c r="AB173" s="993">
        <f t="shared" ref="AB173" si="716">+AB172/X172-1</f>
        <v>-5.4054074219753501E-2</v>
      </c>
      <c r="AC173" s="993">
        <f t="shared" ref="AC173" si="717">+AC172/Y172-1</f>
        <v>-6.4072473189870083E-2</v>
      </c>
      <c r="AD173" s="993">
        <f t="shared" ref="AD173" si="718">+AD172/Z172-1</f>
        <v>-7.834344864183107E-2</v>
      </c>
      <c r="AE173" s="993"/>
      <c r="AF173" s="993"/>
      <c r="AG173" s="993"/>
      <c r="AH173" s="993"/>
      <c r="AI173" s="993"/>
      <c r="AJ173" s="993"/>
      <c r="AK173" s="993"/>
      <c r="AL173" s="993"/>
      <c r="AM173" s="993"/>
      <c r="AN173" s="993"/>
      <c r="AO173" s="993"/>
      <c r="AP173" s="993"/>
      <c r="AQ173" s="993">
        <f>+AQ172/AP172-1</f>
        <v>1.8981777319479809E-2</v>
      </c>
      <c r="AR173" s="993">
        <f>+AR172/AQ172-1</f>
        <v>-6.2131646739748247E-2</v>
      </c>
      <c r="AS173" s="993">
        <f>+AS172/AR172-1</f>
        <v>9.5221576684223042E-2</v>
      </c>
      <c r="AT173" s="993">
        <f>+AT172/AS172-1</f>
        <v>0.1340917257550216</v>
      </c>
      <c r="AU173" s="993">
        <f>+AU172/AT172-1</f>
        <v>-1.0859979354231997E-2</v>
      </c>
      <c r="AV173" s="993">
        <f t="shared" ref="AV173" si="719">+AV172/AU172-1</f>
        <v>-6.9488811068583622E-2</v>
      </c>
    </row>
    <row r="174" spans="1:51" s="887" customFormat="1" ht="13" x14ac:dyDescent="0.3">
      <c r="A174" s="892" t="s">
        <v>891</v>
      </c>
      <c r="G174" s="993"/>
      <c r="H174" s="993"/>
      <c r="I174" s="993"/>
      <c r="J174" s="994"/>
      <c r="K174" s="993"/>
      <c r="L174" s="993"/>
      <c r="M174" s="993"/>
      <c r="N174" s="994"/>
      <c r="O174" s="993">
        <f t="shared" ref="O174:AC174" si="720">+O172/N172-1</f>
        <v>-2.9101777293287445E-2</v>
      </c>
      <c r="P174" s="993">
        <f t="shared" si="720"/>
        <v>-3.2649292976510536E-2</v>
      </c>
      <c r="Q174" s="993">
        <f t="shared" si="720"/>
        <v>2.8153765611930393E-2</v>
      </c>
      <c r="R174" s="994">
        <f t="shared" si="720"/>
        <v>0.12206794267298626</v>
      </c>
      <c r="S174" s="993">
        <f t="shared" si="720"/>
        <v>5.4301967331309209E-2</v>
      </c>
      <c r="T174" s="993">
        <f t="shared" si="720"/>
        <v>-4.4000407805869557E-2</v>
      </c>
      <c r="U174" s="993">
        <f t="shared" si="720"/>
        <v>-1.0168464400949206E-3</v>
      </c>
      <c r="V174" s="994">
        <f t="shared" si="720"/>
        <v>8.9670427804026565E-2</v>
      </c>
      <c r="W174" s="993">
        <f t="shared" si="720"/>
        <v>-7.5183695188127286E-2</v>
      </c>
      <c r="X174" s="993">
        <f t="shared" si="720"/>
        <v>-3.8325609794445437E-2</v>
      </c>
      <c r="Y174" s="993">
        <f t="shared" si="720"/>
        <v>2.3967401556787893E-2</v>
      </c>
      <c r="Z174" s="993">
        <f t="shared" si="720"/>
        <v>0.11081863856889895</v>
      </c>
      <c r="AA174" s="1277">
        <f t="shared" si="720"/>
        <v>-0.15814792738641137</v>
      </c>
      <c r="AB174" s="993">
        <f t="shared" si="720"/>
        <v>-1.2126725344676403E-2</v>
      </c>
      <c r="AC174" s="993">
        <f t="shared" si="720"/>
        <v>1.3122686566628294E-2</v>
      </c>
      <c r="AD174" s="993">
        <f>+AD172/AC172-1</f>
        <v>9.3880932316549925E-2</v>
      </c>
      <c r="AE174" s="993"/>
      <c r="AF174" s="993"/>
      <c r="AG174" s="993"/>
      <c r="AH174" s="993"/>
      <c r="AI174" s="993"/>
      <c r="AJ174" s="993"/>
      <c r="AK174" s="993"/>
      <c r="AL174" s="993"/>
      <c r="AM174" s="993"/>
      <c r="AN174" s="993"/>
      <c r="AO174" s="993"/>
      <c r="AP174" s="993"/>
      <c r="AQ174" s="993"/>
      <c r="AR174" s="993"/>
      <c r="AS174" s="993"/>
      <c r="AT174" s="993"/>
      <c r="AU174" s="993"/>
      <c r="AV174" s="993"/>
    </row>
    <row r="175" spans="1:51" x14ac:dyDescent="0.25">
      <c r="J175" s="953"/>
      <c r="N175" s="953"/>
      <c r="R175" s="953"/>
      <c r="V175" s="953"/>
      <c r="AA175" s="1271"/>
    </row>
    <row r="176" spans="1:51" ht="13" x14ac:dyDescent="0.3">
      <c r="A176" s="904" t="s">
        <v>913</v>
      </c>
      <c r="B176" s="903"/>
      <c r="J176" s="953"/>
      <c r="N176" s="953"/>
      <c r="R176" s="953"/>
      <c r="V176" s="953"/>
      <c r="AA176" s="1271"/>
    </row>
    <row r="177" spans="1:48" x14ac:dyDescent="0.25">
      <c r="J177" s="953"/>
      <c r="N177" s="953"/>
      <c r="R177" s="953"/>
      <c r="V177" s="953"/>
      <c r="AA177" s="1271"/>
    </row>
    <row r="178" spans="1:48" x14ac:dyDescent="0.25">
      <c r="A178" s="888" t="s">
        <v>2504</v>
      </c>
      <c r="J178" s="953"/>
      <c r="N178" s="953"/>
      <c r="R178" s="953"/>
      <c r="V178" s="953"/>
      <c r="AA178" s="1271"/>
      <c r="AU178" s="967"/>
      <c r="AV178" s="933"/>
    </row>
    <row r="179" spans="1:48" s="876" customFormat="1" x14ac:dyDescent="0.25">
      <c r="A179" s="876" t="s">
        <v>887</v>
      </c>
      <c r="C179" s="877"/>
      <c r="D179" s="877"/>
      <c r="E179" s="877"/>
      <c r="F179" s="877"/>
      <c r="G179" s="877"/>
      <c r="H179" s="877"/>
      <c r="I179" s="877">
        <f>+I145</f>
        <v>3.2962000000000025</v>
      </c>
      <c r="J179" s="954">
        <f>+J145</f>
        <v>7.8231000000000002</v>
      </c>
      <c r="K179" s="877">
        <f>+K145</f>
        <v>8.9407999999999959</v>
      </c>
      <c r="L179" s="877">
        <f>+K179</f>
        <v>8.9407999999999959</v>
      </c>
      <c r="M179" s="877">
        <f>+L179-I179</f>
        <v>5.6445999999999934</v>
      </c>
      <c r="N179" s="954">
        <v>0</v>
      </c>
      <c r="O179" s="877">
        <v>0</v>
      </c>
      <c r="P179" s="877">
        <v>0</v>
      </c>
      <c r="Q179" s="877">
        <v>0</v>
      </c>
      <c r="R179" s="954">
        <v>0</v>
      </c>
      <c r="S179" s="877">
        <v>0</v>
      </c>
      <c r="T179" s="877">
        <v>0</v>
      </c>
      <c r="U179" s="877">
        <v>0</v>
      </c>
      <c r="V179" s="954">
        <v>0</v>
      </c>
      <c r="W179" s="877">
        <v>0</v>
      </c>
      <c r="X179" s="878">
        <v>0</v>
      </c>
      <c r="Y179" s="878">
        <v>0</v>
      </c>
      <c r="Z179" s="878">
        <v>0</v>
      </c>
      <c r="AA179" s="1282">
        <v>0</v>
      </c>
      <c r="AB179" s="878">
        <v>0</v>
      </c>
      <c r="AC179" s="878">
        <v>0</v>
      </c>
      <c r="AD179" s="878">
        <v>0</v>
      </c>
      <c r="AE179" s="877"/>
      <c r="AF179" s="877"/>
      <c r="AG179" s="877"/>
      <c r="AH179" s="877"/>
      <c r="AI179" s="877"/>
      <c r="AJ179" s="877"/>
      <c r="AK179" s="877"/>
      <c r="AL179" s="877"/>
      <c r="AM179" s="877"/>
      <c r="AN179" s="877"/>
      <c r="AO179" s="877"/>
      <c r="AP179" s="877"/>
      <c r="AQ179" s="877">
        <f>SUM(G179:J179)</f>
        <v>11.119300000000003</v>
      </c>
      <c r="AR179" s="877">
        <f>SUM(K179:N179)</f>
        <v>23.526199999999985</v>
      </c>
      <c r="AS179" s="877">
        <f>SUM(O179:R179)</f>
        <v>0</v>
      </c>
      <c r="AT179" s="877">
        <f>+SUM(S179:V179)</f>
        <v>0</v>
      </c>
      <c r="AU179" s="968">
        <f t="shared" ref="AU179:AU181" si="721">+SUM(W179:Z179)</f>
        <v>0</v>
      </c>
      <c r="AV179" s="894">
        <f>+SUM(AA179:AD179)</f>
        <v>0</v>
      </c>
    </row>
    <row r="180" spans="1:48" s="888" customFormat="1" x14ac:dyDescent="0.25">
      <c r="A180" s="884" t="s">
        <v>888</v>
      </c>
      <c r="C180" s="945"/>
      <c r="D180" s="945"/>
      <c r="E180" s="945"/>
      <c r="F180" s="945"/>
      <c r="G180" s="945"/>
      <c r="H180" s="945"/>
      <c r="I180" s="945">
        <v>0</v>
      </c>
      <c r="J180" s="955">
        <v>0</v>
      </c>
      <c r="K180" s="945">
        <v>0</v>
      </c>
      <c r="L180" s="945">
        <f>+L145-L179</f>
        <v>2.2809000000000026</v>
      </c>
      <c r="M180" s="945">
        <f>+M145-M179</f>
        <v>12.305899999999998</v>
      </c>
      <c r="N180" s="955">
        <f>+M180</f>
        <v>12.305899999999998</v>
      </c>
      <c r="O180" s="945">
        <f>+N180</f>
        <v>12.305899999999998</v>
      </c>
      <c r="P180" s="945">
        <f>+O180-L180</f>
        <v>10.024999999999995</v>
      </c>
      <c r="Q180" s="945">
        <v>0</v>
      </c>
      <c r="R180" s="955">
        <v>0</v>
      </c>
      <c r="S180" s="945">
        <v>0</v>
      </c>
      <c r="T180" s="945">
        <v>0</v>
      </c>
      <c r="U180" s="945">
        <v>0</v>
      </c>
      <c r="V180" s="955">
        <v>0</v>
      </c>
      <c r="W180" s="945">
        <v>0</v>
      </c>
      <c r="X180" s="1118">
        <v>0</v>
      </c>
      <c r="Y180" s="1118">
        <v>0</v>
      </c>
      <c r="Z180" s="1118">
        <v>0</v>
      </c>
      <c r="AA180" s="1283">
        <v>0</v>
      </c>
      <c r="AB180" s="987">
        <v>0</v>
      </c>
      <c r="AC180" s="987">
        <v>0</v>
      </c>
      <c r="AD180" s="987">
        <v>0</v>
      </c>
      <c r="AJ180" s="945"/>
      <c r="AK180" s="945"/>
      <c r="AL180" s="945"/>
      <c r="AM180" s="945"/>
      <c r="AN180" s="945"/>
      <c r="AO180" s="945"/>
      <c r="AP180" s="945"/>
      <c r="AQ180" s="945">
        <f t="shared" ref="AQ180:AQ181" si="722">SUM(G180:J180)</f>
        <v>0</v>
      </c>
      <c r="AR180" s="945">
        <f t="shared" ref="AR180:AR181" si="723">SUM(K180:N180)</f>
        <v>26.892699999999998</v>
      </c>
      <c r="AS180" s="945">
        <f t="shared" ref="AS180:AS181" si="724">SUM(O180:R180)</f>
        <v>22.330899999999993</v>
      </c>
      <c r="AT180" s="945">
        <f t="shared" ref="AT180:AT181" si="725">+SUM(S180:V180)</f>
        <v>0</v>
      </c>
      <c r="AU180" s="969">
        <f t="shared" si="721"/>
        <v>0</v>
      </c>
      <c r="AV180" s="987">
        <f t="shared" ref="AV180:AV181" si="726">+SUM(AA180:AD180)</f>
        <v>0</v>
      </c>
    </row>
    <row r="181" spans="1:48" s="876" customFormat="1" x14ac:dyDescent="0.25">
      <c r="A181" s="882" t="s">
        <v>889</v>
      </c>
      <c r="C181" s="877"/>
      <c r="D181" s="877"/>
      <c r="E181" s="877"/>
      <c r="F181" s="877"/>
      <c r="G181" s="877"/>
      <c r="H181" s="877"/>
      <c r="I181" s="877">
        <f>+SUM(I179:I180)</f>
        <v>3.2962000000000025</v>
      </c>
      <c r="J181" s="954">
        <f t="shared" ref="J181:W181" si="727">+SUM(J179:J180)</f>
        <v>7.8231000000000002</v>
      </c>
      <c r="K181" s="877">
        <f t="shared" si="727"/>
        <v>8.9407999999999959</v>
      </c>
      <c r="L181" s="877">
        <f t="shared" si="727"/>
        <v>11.221699999999998</v>
      </c>
      <c r="M181" s="877">
        <f t="shared" si="727"/>
        <v>17.950499999999991</v>
      </c>
      <c r="N181" s="954">
        <f t="shared" si="727"/>
        <v>12.305899999999998</v>
      </c>
      <c r="O181" s="877">
        <f t="shared" si="727"/>
        <v>12.305899999999998</v>
      </c>
      <c r="P181" s="877">
        <f t="shared" si="727"/>
        <v>10.024999999999995</v>
      </c>
      <c r="Q181" s="877">
        <f t="shared" si="727"/>
        <v>0</v>
      </c>
      <c r="R181" s="954">
        <f t="shared" si="727"/>
        <v>0</v>
      </c>
      <c r="S181" s="877">
        <f t="shared" si="727"/>
        <v>0</v>
      </c>
      <c r="T181" s="877">
        <f t="shared" si="727"/>
        <v>0</v>
      </c>
      <c r="U181" s="877">
        <f t="shared" si="727"/>
        <v>0</v>
      </c>
      <c r="V181" s="954">
        <f t="shared" si="727"/>
        <v>0</v>
      </c>
      <c r="W181" s="877">
        <f t="shared" si="727"/>
        <v>0</v>
      </c>
      <c r="X181" s="878">
        <v>0</v>
      </c>
      <c r="Y181" s="878">
        <v>0</v>
      </c>
      <c r="Z181" s="878">
        <v>0</v>
      </c>
      <c r="AA181" s="1282">
        <v>0</v>
      </c>
      <c r="AB181" s="878">
        <v>0</v>
      </c>
      <c r="AC181" s="878">
        <v>0</v>
      </c>
      <c r="AD181" s="878">
        <v>0</v>
      </c>
      <c r="AE181" s="877"/>
      <c r="AF181" s="877"/>
      <c r="AG181" s="877"/>
      <c r="AH181" s="877"/>
      <c r="AI181" s="877"/>
      <c r="AJ181" s="877"/>
      <c r="AK181" s="877"/>
      <c r="AL181" s="877"/>
      <c r="AM181" s="877"/>
      <c r="AN181" s="877"/>
      <c r="AO181" s="877"/>
      <c r="AP181" s="877"/>
      <c r="AQ181" s="877">
        <f t="shared" si="722"/>
        <v>11.119300000000003</v>
      </c>
      <c r="AR181" s="877">
        <f t="shared" si="723"/>
        <v>50.418899999999979</v>
      </c>
      <c r="AS181" s="877">
        <f t="shared" si="724"/>
        <v>22.330899999999993</v>
      </c>
      <c r="AT181" s="877">
        <f t="shared" si="725"/>
        <v>0</v>
      </c>
      <c r="AU181" s="968">
        <f t="shared" si="721"/>
        <v>0</v>
      </c>
      <c r="AV181" s="894">
        <f t="shared" si="726"/>
        <v>0</v>
      </c>
    </row>
    <row r="182" spans="1:48" x14ac:dyDescent="0.25">
      <c r="J182" s="953"/>
      <c r="N182" s="953"/>
      <c r="R182" s="953"/>
      <c r="V182" s="953"/>
      <c r="AA182" s="1271"/>
      <c r="AU182" s="967"/>
    </row>
    <row r="183" spans="1:48" x14ac:dyDescent="0.25">
      <c r="A183" s="884" t="s">
        <v>914</v>
      </c>
      <c r="J183" s="953"/>
      <c r="N183" s="953"/>
      <c r="R183" s="953"/>
      <c r="V183" s="953"/>
      <c r="AA183" s="1271"/>
      <c r="AK183" s="884">
        <v>122.1</v>
      </c>
      <c r="AL183" s="884">
        <v>129.80000000000001</v>
      </c>
      <c r="AM183" s="884">
        <v>18.5</v>
      </c>
      <c r="AN183" s="884">
        <v>28.7</v>
      </c>
      <c r="AO183" s="1098" t="s">
        <v>890</v>
      </c>
      <c r="AP183" s="1098" t="s">
        <v>890</v>
      </c>
      <c r="AQ183" s="1098" t="s">
        <v>890</v>
      </c>
      <c r="AR183" s="1098" t="s">
        <v>890</v>
      </c>
      <c r="AS183" s="1098" t="s">
        <v>890</v>
      </c>
      <c r="AT183" s="1098" t="s">
        <v>890</v>
      </c>
      <c r="AU183" s="1099" t="s">
        <v>890</v>
      </c>
      <c r="AV183" s="1098" t="s">
        <v>890</v>
      </c>
    </row>
    <row r="184" spans="1:48" x14ac:dyDescent="0.25">
      <c r="J184" s="953"/>
      <c r="N184" s="953"/>
      <c r="R184" s="953"/>
      <c r="V184" s="953"/>
      <c r="AA184" s="1271"/>
      <c r="AO184" s="1098"/>
      <c r="AP184" s="1098"/>
      <c r="AQ184" s="1098"/>
      <c r="AR184" s="1098"/>
      <c r="AS184" s="1098"/>
      <c r="AT184" s="1098"/>
      <c r="AU184" s="1099"/>
      <c r="AV184" s="1098"/>
    </row>
    <row r="185" spans="1:48" x14ac:dyDescent="0.25">
      <c r="A185" s="888" t="s">
        <v>2506</v>
      </c>
      <c r="J185" s="953"/>
      <c r="N185" s="953"/>
      <c r="R185" s="953"/>
      <c r="V185" s="953"/>
      <c r="AA185" s="1271"/>
      <c r="AU185" s="967"/>
      <c r="AV185" s="933"/>
    </row>
    <row r="186" spans="1:48" s="876" customFormat="1" x14ac:dyDescent="0.25">
      <c r="A186" s="876" t="s">
        <v>887</v>
      </c>
      <c r="C186" s="877"/>
      <c r="D186" s="877"/>
      <c r="E186" s="877"/>
      <c r="F186" s="877"/>
      <c r="G186" s="877"/>
      <c r="H186" s="877"/>
      <c r="I186" s="877">
        <f>+I179*I$40/2</f>
        <v>0.14324115121678077</v>
      </c>
      <c r="J186" s="954">
        <f t="shared" ref="J186:AD186" si="728">+J179*J$40/2</f>
        <v>0.227306273356365</v>
      </c>
      <c r="K186" s="877">
        <f t="shared" si="728"/>
        <v>0.27727904248436469</v>
      </c>
      <c r="L186" s="877">
        <f t="shared" si="728"/>
        <v>0.59483316274309028</v>
      </c>
      <c r="M186" s="877">
        <f t="shared" si="728"/>
        <v>0.39516302337145653</v>
      </c>
      <c r="N186" s="954">
        <f t="shared" si="728"/>
        <v>0</v>
      </c>
      <c r="O186" s="877">
        <f t="shared" si="728"/>
        <v>0</v>
      </c>
      <c r="P186" s="877">
        <f t="shared" si="728"/>
        <v>0</v>
      </c>
      <c r="Q186" s="877">
        <f t="shared" si="728"/>
        <v>0</v>
      </c>
      <c r="R186" s="954">
        <f t="shared" si="728"/>
        <v>0</v>
      </c>
      <c r="S186" s="877">
        <f t="shared" si="728"/>
        <v>0</v>
      </c>
      <c r="T186" s="877">
        <f t="shared" si="728"/>
        <v>0</v>
      </c>
      <c r="U186" s="877">
        <f t="shared" si="728"/>
        <v>0</v>
      </c>
      <c r="V186" s="954">
        <f t="shared" si="728"/>
        <v>0</v>
      </c>
      <c r="W186" s="877">
        <f t="shared" si="728"/>
        <v>0</v>
      </c>
      <c r="X186" s="878">
        <f t="shared" si="728"/>
        <v>0</v>
      </c>
      <c r="Y186" s="878">
        <f t="shared" si="728"/>
        <v>0</v>
      </c>
      <c r="Z186" s="878">
        <f t="shared" si="728"/>
        <v>0</v>
      </c>
      <c r="AA186" s="1282">
        <f t="shared" si="728"/>
        <v>0</v>
      </c>
      <c r="AB186" s="878">
        <f t="shared" si="728"/>
        <v>0</v>
      </c>
      <c r="AC186" s="878">
        <f t="shared" si="728"/>
        <v>0</v>
      </c>
      <c r="AD186" s="878">
        <f t="shared" si="728"/>
        <v>0</v>
      </c>
      <c r="AE186" s="877"/>
      <c r="AF186" s="877"/>
      <c r="AG186" s="877"/>
      <c r="AH186" s="877"/>
      <c r="AI186" s="877"/>
      <c r="AJ186" s="877"/>
      <c r="AK186" s="877"/>
      <c r="AL186" s="877"/>
      <c r="AM186" s="877"/>
      <c r="AN186" s="877"/>
      <c r="AO186" s="877"/>
      <c r="AP186" s="877"/>
      <c r="AQ186" s="877">
        <f>SUM(G186:J186)</f>
        <v>0.37054742457314577</v>
      </c>
      <c r="AR186" s="877">
        <f>SUM(K186:N186)</f>
        <v>1.2672752285989115</v>
      </c>
      <c r="AS186" s="877">
        <f>SUM(O186:R186)</f>
        <v>0</v>
      </c>
      <c r="AT186" s="877">
        <f>+SUM(S186:V186)</f>
        <v>0</v>
      </c>
      <c r="AU186" s="968">
        <f t="shared" ref="AU186:AU188" si="729">+SUM(W186:Z186)</f>
        <v>0</v>
      </c>
      <c r="AV186" s="894">
        <f>+SUM(AA186:AD186)</f>
        <v>0</v>
      </c>
    </row>
    <row r="187" spans="1:48" s="888" customFormat="1" x14ac:dyDescent="0.25">
      <c r="A187" s="884" t="s">
        <v>888</v>
      </c>
      <c r="C187" s="945"/>
      <c r="D187" s="945"/>
      <c r="E187" s="945"/>
      <c r="F187" s="945"/>
      <c r="G187" s="945"/>
      <c r="H187" s="945"/>
      <c r="I187" s="945">
        <f t="shared" ref="I187:AD187" si="730">+I180*I$40/2</f>
        <v>0</v>
      </c>
      <c r="J187" s="955">
        <f t="shared" si="730"/>
        <v>0</v>
      </c>
      <c r="K187" s="945">
        <f t="shared" si="730"/>
        <v>0</v>
      </c>
      <c r="L187" s="945">
        <f t="shared" si="730"/>
        <v>0.15174872057318323</v>
      </c>
      <c r="M187" s="945">
        <f t="shared" si="730"/>
        <v>0.8615024358336838</v>
      </c>
      <c r="N187" s="955">
        <f t="shared" si="730"/>
        <v>0.51801118135392898</v>
      </c>
      <c r="O187" s="945">
        <f t="shared" si="730"/>
        <v>6.9519821051106045E-2</v>
      </c>
      <c r="P187" s="945">
        <f t="shared" si="730"/>
        <v>0.74336736002070769</v>
      </c>
      <c r="Q187" s="945">
        <f t="shared" si="730"/>
        <v>0</v>
      </c>
      <c r="R187" s="955">
        <f t="shared" si="730"/>
        <v>0</v>
      </c>
      <c r="S187" s="945">
        <f t="shared" si="730"/>
        <v>0</v>
      </c>
      <c r="T187" s="945">
        <f t="shared" si="730"/>
        <v>0</v>
      </c>
      <c r="U187" s="945">
        <f t="shared" si="730"/>
        <v>0</v>
      </c>
      <c r="V187" s="955">
        <f t="shared" si="730"/>
        <v>0</v>
      </c>
      <c r="W187" s="945">
        <f t="shared" si="730"/>
        <v>0</v>
      </c>
      <c r="X187" s="1118">
        <f t="shared" si="730"/>
        <v>0</v>
      </c>
      <c r="Y187" s="1118">
        <f t="shared" si="730"/>
        <v>0</v>
      </c>
      <c r="Z187" s="1118">
        <f t="shared" si="730"/>
        <v>0</v>
      </c>
      <c r="AA187" s="1283">
        <f t="shared" si="730"/>
        <v>0</v>
      </c>
      <c r="AB187" s="987">
        <f t="shared" si="730"/>
        <v>0</v>
      </c>
      <c r="AC187" s="987">
        <f t="shared" si="730"/>
        <v>0</v>
      </c>
      <c r="AD187" s="987">
        <f t="shared" si="730"/>
        <v>0</v>
      </c>
      <c r="AJ187" s="945"/>
      <c r="AK187" s="945"/>
      <c r="AL187" s="945"/>
      <c r="AM187" s="945"/>
      <c r="AN187" s="945"/>
      <c r="AO187" s="945"/>
      <c r="AP187" s="945"/>
      <c r="AQ187" s="945">
        <f t="shared" ref="AQ187:AQ188" si="731">SUM(G187:J187)</f>
        <v>0</v>
      </c>
      <c r="AR187" s="945">
        <f t="shared" ref="AR187:AR188" si="732">SUM(K187:N187)</f>
        <v>1.5312623377607959</v>
      </c>
      <c r="AS187" s="945">
        <f t="shared" ref="AS187:AS188" si="733">SUM(O187:R187)</f>
        <v>0.81288718107181368</v>
      </c>
      <c r="AT187" s="945">
        <f t="shared" ref="AT187:AT188" si="734">+SUM(S187:V187)</f>
        <v>0</v>
      </c>
      <c r="AU187" s="969">
        <f t="shared" si="729"/>
        <v>0</v>
      </c>
      <c r="AV187" s="987">
        <f t="shared" ref="AV187:AV188" si="735">+SUM(AA187:AD187)</f>
        <v>0</v>
      </c>
    </row>
    <row r="188" spans="1:48" s="876" customFormat="1" x14ac:dyDescent="0.25">
      <c r="A188" s="882" t="s">
        <v>889</v>
      </c>
      <c r="C188" s="877"/>
      <c r="D188" s="877"/>
      <c r="E188" s="877"/>
      <c r="F188" s="877"/>
      <c r="G188" s="877"/>
      <c r="H188" s="877"/>
      <c r="I188" s="877">
        <f>+SUM(I186:I187)</f>
        <v>0.14324115121678077</v>
      </c>
      <c r="J188" s="954">
        <f t="shared" ref="J188:W188" si="736">+SUM(J186:J187)</f>
        <v>0.227306273356365</v>
      </c>
      <c r="K188" s="877">
        <f t="shared" si="736"/>
        <v>0.27727904248436469</v>
      </c>
      <c r="L188" s="877">
        <f t="shared" si="736"/>
        <v>0.74658188331627351</v>
      </c>
      <c r="M188" s="877">
        <f t="shared" si="736"/>
        <v>1.2566654592051403</v>
      </c>
      <c r="N188" s="954">
        <f t="shared" si="736"/>
        <v>0.51801118135392898</v>
      </c>
      <c r="O188" s="877">
        <f t="shared" si="736"/>
        <v>6.9519821051106045E-2</v>
      </c>
      <c r="P188" s="877">
        <f t="shared" si="736"/>
        <v>0.74336736002070769</v>
      </c>
      <c r="Q188" s="877">
        <f t="shared" si="736"/>
        <v>0</v>
      </c>
      <c r="R188" s="954">
        <f t="shared" si="736"/>
        <v>0</v>
      </c>
      <c r="S188" s="877">
        <f t="shared" si="736"/>
        <v>0</v>
      </c>
      <c r="T188" s="877">
        <f t="shared" si="736"/>
        <v>0</v>
      </c>
      <c r="U188" s="877">
        <f t="shared" si="736"/>
        <v>0</v>
      </c>
      <c r="V188" s="954">
        <f t="shared" si="736"/>
        <v>0</v>
      </c>
      <c r="W188" s="877">
        <f t="shared" si="736"/>
        <v>0</v>
      </c>
      <c r="X188" s="878">
        <v>0</v>
      </c>
      <c r="Y188" s="878">
        <v>0</v>
      </c>
      <c r="Z188" s="878">
        <v>0</v>
      </c>
      <c r="AA188" s="1282">
        <v>0</v>
      </c>
      <c r="AB188" s="878">
        <v>0</v>
      </c>
      <c r="AC188" s="878">
        <v>0</v>
      </c>
      <c r="AD188" s="878">
        <v>0</v>
      </c>
      <c r="AE188" s="877"/>
      <c r="AF188" s="877"/>
      <c r="AG188" s="877"/>
      <c r="AH188" s="877"/>
      <c r="AI188" s="877"/>
      <c r="AJ188" s="877"/>
      <c r="AK188" s="877"/>
      <c r="AL188" s="877"/>
      <c r="AM188" s="877"/>
      <c r="AN188" s="877"/>
      <c r="AO188" s="877"/>
      <c r="AP188" s="877"/>
      <c r="AQ188" s="877">
        <f t="shared" si="731"/>
        <v>0.37054742457314577</v>
      </c>
      <c r="AR188" s="877">
        <f t="shared" si="732"/>
        <v>2.7985375663597072</v>
      </c>
      <c r="AS188" s="877">
        <f t="shared" si="733"/>
        <v>0.81288718107181368</v>
      </c>
      <c r="AT188" s="877">
        <f t="shared" si="734"/>
        <v>0</v>
      </c>
      <c r="AU188" s="968">
        <f t="shared" si="729"/>
        <v>0</v>
      </c>
      <c r="AV188" s="894">
        <f t="shared" si="735"/>
        <v>0</v>
      </c>
    </row>
    <row r="189" spans="1:48" x14ac:dyDescent="0.25">
      <c r="J189" s="953"/>
      <c r="N189" s="953"/>
      <c r="R189" s="953"/>
      <c r="V189" s="953"/>
      <c r="AA189" s="1271"/>
      <c r="AO189" s="1098"/>
      <c r="AP189" s="1098"/>
      <c r="AQ189" s="1098"/>
      <c r="AR189" s="1098"/>
      <c r="AS189" s="1098"/>
      <c r="AT189" s="1098"/>
      <c r="AU189" s="1099"/>
      <c r="AV189" s="1098"/>
    </row>
    <row r="190" spans="1:48" x14ac:dyDescent="0.25">
      <c r="A190" s="888" t="s">
        <v>2505</v>
      </c>
      <c r="J190" s="953"/>
      <c r="N190" s="953"/>
      <c r="R190" s="953"/>
      <c r="V190" s="953"/>
      <c r="AA190" s="1271"/>
      <c r="AU190" s="967"/>
      <c r="AV190" s="933"/>
    </row>
    <row r="191" spans="1:48" s="876" customFormat="1" x14ac:dyDescent="0.25">
      <c r="A191" s="876" t="s">
        <v>887</v>
      </c>
      <c r="C191" s="877"/>
      <c r="D191" s="877"/>
      <c r="E191" s="877"/>
      <c r="F191" s="877"/>
      <c r="G191" s="877"/>
      <c r="H191" s="877"/>
      <c r="I191" s="877">
        <f>+I179*I$52/2</f>
        <v>0.2109394187918526</v>
      </c>
      <c r="J191" s="954">
        <f t="shared" ref="J191:AD191" si="737">+J179*J$52/2</f>
        <v>0.3831393558198965</v>
      </c>
      <c r="K191" s="877">
        <f t="shared" si="737"/>
        <v>0.36563620444252726</v>
      </c>
      <c r="L191" s="877">
        <f t="shared" si="737"/>
        <v>0.73225685626553494</v>
      </c>
      <c r="M191" s="877">
        <f t="shared" si="737"/>
        <v>0.4473202817835234</v>
      </c>
      <c r="N191" s="954">
        <f t="shared" si="737"/>
        <v>0</v>
      </c>
      <c r="O191" s="877">
        <f t="shared" si="737"/>
        <v>0</v>
      </c>
      <c r="P191" s="877">
        <f t="shared" si="737"/>
        <v>0</v>
      </c>
      <c r="Q191" s="877">
        <f t="shared" si="737"/>
        <v>0</v>
      </c>
      <c r="R191" s="954">
        <f t="shared" si="737"/>
        <v>0</v>
      </c>
      <c r="S191" s="877">
        <f t="shared" si="737"/>
        <v>0</v>
      </c>
      <c r="T191" s="877">
        <f t="shared" si="737"/>
        <v>0</v>
      </c>
      <c r="U191" s="877">
        <f t="shared" si="737"/>
        <v>0</v>
      </c>
      <c r="V191" s="954">
        <f t="shared" si="737"/>
        <v>0</v>
      </c>
      <c r="W191" s="877">
        <f t="shared" si="737"/>
        <v>0</v>
      </c>
      <c r="X191" s="878">
        <f t="shared" si="737"/>
        <v>0</v>
      </c>
      <c r="Y191" s="878">
        <f t="shared" si="737"/>
        <v>0</v>
      </c>
      <c r="Z191" s="878">
        <f t="shared" si="737"/>
        <v>0</v>
      </c>
      <c r="AA191" s="1282">
        <f t="shared" si="737"/>
        <v>0</v>
      </c>
      <c r="AB191" s="878">
        <f t="shared" si="737"/>
        <v>0</v>
      </c>
      <c r="AC191" s="878">
        <f t="shared" si="737"/>
        <v>0</v>
      </c>
      <c r="AD191" s="878">
        <f t="shared" si="737"/>
        <v>0</v>
      </c>
      <c r="AE191" s="877"/>
      <c r="AF191" s="877"/>
      <c r="AG191" s="877"/>
      <c r="AH191" s="877"/>
      <c r="AI191" s="877"/>
      <c r="AJ191" s="877"/>
      <c r="AK191" s="877"/>
      <c r="AL191" s="877"/>
      <c r="AM191" s="877"/>
      <c r="AN191" s="877"/>
      <c r="AO191" s="877"/>
      <c r="AP191" s="877"/>
      <c r="AQ191" s="877">
        <f>SUM(G191:J191)</f>
        <v>0.59407877461174907</v>
      </c>
      <c r="AR191" s="877">
        <f>SUM(K191:N191)</f>
        <v>1.5452133424915855</v>
      </c>
      <c r="AS191" s="877">
        <f>SUM(O191:R191)</f>
        <v>0</v>
      </c>
      <c r="AT191" s="877">
        <f>+SUM(S191:V191)</f>
        <v>0</v>
      </c>
      <c r="AU191" s="968">
        <f t="shared" ref="AU191:AU193" si="738">+SUM(W191:Z191)</f>
        <v>0</v>
      </c>
      <c r="AV191" s="894">
        <f>+SUM(AA191:AD191)</f>
        <v>0</v>
      </c>
    </row>
    <row r="192" spans="1:48" s="888" customFormat="1" x14ac:dyDescent="0.25">
      <c r="A192" s="884" t="s">
        <v>888</v>
      </c>
      <c r="C192" s="945"/>
      <c r="D192" s="945"/>
      <c r="E192" s="945"/>
      <c r="F192" s="945"/>
      <c r="G192" s="945"/>
      <c r="H192" s="945"/>
      <c r="I192" s="945">
        <f t="shared" ref="I192:AD192" si="739">+I180*I$52/2</f>
        <v>0</v>
      </c>
      <c r="J192" s="955">
        <f t="shared" si="739"/>
        <v>0</v>
      </c>
      <c r="K192" s="945">
        <f t="shared" si="739"/>
        <v>0</v>
      </c>
      <c r="L192" s="945">
        <f t="shared" si="739"/>
        <v>0.18680707134216865</v>
      </c>
      <c r="M192" s="945">
        <f t="shared" si="739"/>
        <v>0.97521146858942453</v>
      </c>
      <c r="N192" s="955">
        <f t="shared" si="739"/>
        <v>0.71861552338306034</v>
      </c>
      <c r="O192" s="945">
        <f t="shared" si="739"/>
        <v>0.26396623782562839</v>
      </c>
      <c r="P192" s="945">
        <f t="shared" si="739"/>
        <v>1.0048697275016054</v>
      </c>
      <c r="Q192" s="945">
        <f t="shared" si="739"/>
        <v>0</v>
      </c>
      <c r="R192" s="955">
        <f t="shared" si="739"/>
        <v>0</v>
      </c>
      <c r="S192" s="945">
        <f t="shared" si="739"/>
        <v>0</v>
      </c>
      <c r="T192" s="945">
        <f t="shared" si="739"/>
        <v>0</v>
      </c>
      <c r="U192" s="945">
        <f t="shared" si="739"/>
        <v>0</v>
      </c>
      <c r="V192" s="955">
        <f t="shared" si="739"/>
        <v>0</v>
      </c>
      <c r="W192" s="945">
        <f t="shared" si="739"/>
        <v>0</v>
      </c>
      <c r="X192" s="1118">
        <f t="shared" si="739"/>
        <v>0</v>
      </c>
      <c r="Y192" s="1118">
        <f t="shared" si="739"/>
        <v>0</v>
      </c>
      <c r="Z192" s="1118">
        <f t="shared" si="739"/>
        <v>0</v>
      </c>
      <c r="AA192" s="1283">
        <f t="shared" si="739"/>
        <v>0</v>
      </c>
      <c r="AB192" s="987">
        <f t="shared" si="739"/>
        <v>0</v>
      </c>
      <c r="AC192" s="987">
        <f t="shared" si="739"/>
        <v>0</v>
      </c>
      <c r="AD192" s="987">
        <f t="shared" si="739"/>
        <v>0</v>
      </c>
      <c r="AJ192" s="945"/>
      <c r="AK192" s="945"/>
      <c r="AL192" s="945"/>
      <c r="AM192" s="945"/>
      <c r="AN192" s="945"/>
      <c r="AO192" s="945"/>
      <c r="AP192" s="945"/>
      <c r="AQ192" s="945">
        <f t="shared" ref="AQ192:AQ193" si="740">SUM(G192:J192)</f>
        <v>0</v>
      </c>
      <c r="AR192" s="945">
        <f t="shared" ref="AR192:AR193" si="741">SUM(K192:N192)</f>
        <v>1.8806340633146537</v>
      </c>
      <c r="AS192" s="945">
        <f t="shared" ref="AS192:AS193" si="742">SUM(O192:R192)</f>
        <v>1.2688359653272339</v>
      </c>
      <c r="AT192" s="945">
        <f t="shared" ref="AT192:AT193" si="743">+SUM(S192:V192)</f>
        <v>0</v>
      </c>
      <c r="AU192" s="969">
        <f t="shared" si="738"/>
        <v>0</v>
      </c>
      <c r="AV192" s="987">
        <f t="shared" ref="AV192:AV193" si="744">+SUM(AA192:AD192)</f>
        <v>0</v>
      </c>
    </row>
    <row r="193" spans="1:60" s="876" customFormat="1" x14ac:dyDescent="0.25">
      <c r="A193" s="882" t="s">
        <v>889</v>
      </c>
      <c r="C193" s="877"/>
      <c r="D193" s="877"/>
      <c r="E193" s="877"/>
      <c r="F193" s="877"/>
      <c r="G193" s="877"/>
      <c r="H193" s="877"/>
      <c r="I193" s="877">
        <f>+SUM(I191:I192)</f>
        <v>0.2109394187918526</v>
      </c>
      <c r="J193" s="954">
        <f t="shared" ref="J193:W193" si="745">+SUM(J191:J192)</f>
        <v>0.3831393558198965</v>
      </c>
      <c r="K193" s="877">
        <f t="shared" si="745"/>
        <v>0.36563620444252726</v>
      </c>
      <c r="L193" s="877">
        <f t="shared" si="745"/>
        <v>0.91906392760770361</v>
      </c>
      <c r="M193" s="877">
        <f t="shared" si="745"/>
        <v>1.422531750372948</v>
      </c>
      <c r="N193" s="954">
        <f t="shared" si="745"/>
        <v>0.71861552338306034</v>
      </c>
      <c r="O193" s="877">
        <f t="shared" si="745"/>
        <v>0.26396623782562839</v>
      </c>
      <c r="P193" s="877">
        <f t="shared" si="745"/>
        <v>1.0048697275016054</v>
      </c>
      <c r="Q193" s="877">
        <f t="shared" si="745"/>
        <v>0</v>
      </c>
      <c r="R193" s="954">
        <f t="shared" si="745"/>
        <v>0</v>
      </c>
      <c r="S193" s="877">
        <f t="shared" si="745"/>
        <v>0</v>
      </c>
      <c r="T193" s="877">
        <f t="shared" si="745"/>
        <v>0</v>
      </c>
      <c r="U193" s="877">
        <f t="shared" si="745"/>
        <v>0</v>
      </c>
      <c r="V193" s="954">
        <f t="shared" si="745"/>
        <v>0</v>
      </c>
      <c r="W193" s="877">
        <f t="shared" si="745"/>
        <v>0</v>
      </c>
      <c r="X193" s="878">
        <v>0</v>
      </c>
      <c r="Y193" s="878">
        <v>0</v>
      </c>
      <c r="Z193" s="878">
        <v>0</v>
      </c>
      <c r="AA193" s="1282">
        <v>0</v>
      </c>
      <c r="AB193" s="878">
        <v>0</v>
      </c>
      <c r="AC193" s="878">
        <v>0</v>
      </c>
      <c r="AD193" s="878">
        <v>0</v>
      </c>
      <c r="AE193" s="877"/>
      <c r="AF193" s="877"/>
      <c r="AG193" s="877"/>
      <c r="AH193" s="877"/>
      <c r="AI193" s="877"/>
      <c r="AJ193" s="877"/>
      <c r="AK193" s="877"/>
      <c r="AL193" s="877"/>
      <c r="AM193" s="877"/>
      <c r="AN193" s="877"/>
      <c r="AO193" s="877"/>
      <c r="AP193" s="877"/>
      <c r="AQ193" s="877">
        <f t="shared" si="740"/>
        <v>0.59407877461174907</v>
      </c>
      <c r="AR193" s="877">
        <f t="shared" si="741"/>
        <v>3.4258474058062394</v>
      </c>
      <c r="AS193" s="877">
        <f t="shared" si="742"/>
        <v>1.2688359653272339</v>
      </c>
      <c r="AT193" s="877">
        <f t="shared" si="743"/>
        <v>0</v>
      </c>
      <c r="AU193" s="968">
        <f t="shared" si="738"/>
        <v>0</v>
      </c>
      <c r="AV193" s="894">
        <f t="shared" si="744"/>
        <v>0</v>
      </c>
    </row>
    <row r="194" spans="1:60" x14ac:dyDescent="0.25">
      <c r="J194" s="953"/>
      <c r="N194" s="953"/>
      <c r="R194" s="953"/>
      <c r="V194" s="953"/>
      <c r="AA194" s="1271"/>
      <c r="AO194" s="1098"/>
      <c r="AP194" s="1098"/>
      <c r="AQ194" s="1098"/>
      <c r="AR194" s="1098"/>
      <c r="AS194" s="1098"/>
      <c r="AT194" s="1098"/>
      <c r="AU194" s="1099"/>
      <c r="AV194" s="1098"/>
    </row>
    <row r="195" spans="1:60" x14ac:dyDescent="0.25">
      <c r="J195" s="953"/>
      <c r="N195" s="953"/>
      <c r="R195" s="953"/>
      <c r="V195" s="953"/>
      <c r="AA195" s="1271"/>
      <c r="AO195" s="1098"/>
      <c r="AP195" s="1098"/>
      <c r="AQ195" s="1098"/>
      <c r="AR195" s="1098"/>
      <c r="AS195" s="1098"/>
      <c r="AT195" s="1098"/>
      <c r="AU195" s="1099"/>
      <c r="AV195" s="1098"/>
    </row>
    <row r="196" spans="1:60" ht="13" x14ac:dyDescent="0.3">
      <c r="A196" s="904" t="s">
        <v>1078</v>
      </c>
      <c r="B196" s="903"/>
      <c r="J196" s="953"/>
      <c r="N196" s="953"/>
      <c r="R196" s="953"/>
      <c r="V196" s="953"/>
      <c r="AA196" s="1271"/>
      <c r="AO196" s="1098"/>
      <c r="AP196" s="1098"/>
      <c r="AQ196" s="1098"/>
      <c r="AR196" s="1098"/>
      <c r="AS196" s="1098"/>
      <c r="AT196" s="1098"/>
      <c r="AU196" s="1099"/>
      <c r="AV196" s="1098"/>
    </row>
    <row r="197" spans="1:60" x14ac:dyDescent="0.25">
      <c r="J197" s="953"/>
      <c r="N197" s="953"/>
      <c r="R197" s="953"/>
      <c r="V197" s="953"/>
      <c r="AA197" s="1271"/>
      <c r="AO197" s="1098"/>
      <c r="AP197" s="1098"/>
      <c r="AQ197" s="1098"/>
      <c r="AR197" s="1098"/>
      <c r="AS197" s="1098"/>
      <c r="AT197" s="1098"/>
      <c r="AU197" s="1099"/>
      <c r="AV197" s="1098"/>
    </row>
    <row r="198" spans="1:60" x14ac:dyDescent="0.25">
      <c r="A198" s="884" t="s">
        <v>1083</v>
      </c>
      <c r="J198" s="953"/>
      <c r="N198" s="953"/>
      <c r="R198" s="953"/>
      <c r="V198" s="953"/>
      <c r="AA198" s="1271"/>
      <c r="AM198" s="1098" t="s">
        <v>890</v>
      </c>
      <c r="AN198" s="884">
        <v>77</v>
      </c>
      <c r="AO198" s="1098">
        <v>75</v>
      </c>
      <c r="AP198" s="1098">
        <v>75</v>
      </c>
      <c r="AQ198" s="1098">
        <v>76</v>
      </c>
      <c r="AR198" s="1098"/>
      <c r="AS198" s="1098"/>
      <c r="AT198" s="1098"/>
      <c r="AU198" s="1099"/>
      <c r="AV198" s="1098"/>
    </row>
    <row r="199" spans="1:60" x14ac:dyDescent="0.25">
      <c r="A199" s="884" t="s">
        <v>1084</v>
      </c>
      <c r="J199" s="953"/>
      <c r="N199" s="953"/>
      <c r="R199" s="953"/>
      <c r="V199" s="953"/>
      <c r="AA199" s="1271"/>
      <c r="AM199" s="884">
        <v>33</v>
      </c>
      <c r="AN199" s="884">
        <v>33</v>
      </c>
      <c r="AO199" s="1098">
        <v>31</v>
      </c>
      <c r="AP199" s="1098">
        <v>30</v>
      </c>
      <c r="AQ199" s="1098">
        <v>30</v>
      </c>
      <c r="AR199" s="1098"/>
      <c r="AS199" s="1098"/>
      <c r="AT199" s="1098"/>
      <c r="AU199" s="1099"/>
      <c r="AV199" s="1098"/>
    </row>
    <row r="200" spans="1:60" ht="16" x14ac:dyDescent="0.6">
      <c r="J200" s="953"/>
      <c r="N200" s="953"/>
      <c r="R200" s="953"/>
      <c r="V200" s="953"/>
      <c r="AA200" s="1271"/>
      <c r="AO200" s="1098"/>
      <c r="AP200" s="1098"/>
      <c r="AQ200" s="1098"/>
      <c r="AR200" s="1098"/>
      <c r="AS200" s="1098"/>
      <c r="AT200" s="1098"/>
      <c r="AU200" s="1099"/>
      <c r="AV200" s="1098"/>
      <c r="AZ200" s="893" t="s">
        <v>776</v>
      </c>
      <c r="BA200" s="893" t="s">
        <v>775</v>
      </c>
      <c r="BB200" s="893" t="s">
        <v>774</v>
      </c>
      <c r="BC200" s="893" t="s">
        <v>684</v>
      </c>
      <c r="BD200" s="893" t="s">
        <v>685</v>
      </c>
      <c r="BE200" s="893" t="s">
        <v>686</v>
      </c>
      <c r="BF200" s="893" t="s">
        <v>687</v>
      </c>
      <c r="BG200" s="893" t="s">
        <v>688</v>
      </c>
      <c r="BH200" s="893" t="s">
        <v>946</v>
      </c>
    </row>
    <row r="201" spans="1:60" x14ac:dyDescent="0.25">
      <c r="A201" s="884" t="s">
        <v>1079</v>
      </c>
      <c r="J201" s="953"/>
      <c r="N201" s="953"/>
      <c r="R201" s="953"/>
      <c r="V201" s="953"/>
      <c r="AA201" s="1271"/>
      <c r="AO201" s="1098"/>
      <c r="AP201" s="1098"/>
      <c r="AQ201" s="1098"/>
      <c r="AR201" s="1098">
        <v>77</v>
      </c>
      <c r="AS201" s="1098">
        <v>80</v>
      </c>
      <c r="AT201" s="1098">
        <v>87</v>
      </c>
      <c r="AU201" s="1099">
        <v>91</v>
      </c>
      <c r="AV201" s="1098"/>
      <c r="AY201" s="884" t="s">
        <v>1079</v>
      </c>
      <c r="AZ201" s="933"/>
      <c r="BA201" s="933"/>
      <c r="BB201" s="933"/>
      <c r="BC201" s="933"/>
      <c r="BD201" s="933"/>
      <c r="BE201" s="933">
        <f>+AR201</f>
        <v>77</v>
      </c>
      <c r="BF201" s="933">
        <f t="shared" ref="BF201:BF202" si="746">+AS201</f>
        <v>80</v>
      </c>
      <c r="BG201" s="933">
        <f t="shared" ref="BG201:BG202" si="747">+AT201</f>
        <v>87</v>
      </c>
      <c r="BH201" s="933">
        <f t="shared" ref="BH201:BH202" si="748">+AU201</f>
        <v>91</v>
      </c>
    </row>
    <row r="202" spans="1:60" x14ac:dyDescent="0.25">
      <c r="A202" s="884" t="s">
        <v>1080</v>
      </c>
      <c r="J202" s="953"/>
      <c r="N202" s="953"/>
      <c r="R202" s="953"/>
      <c r="V202" s="953"/>
      <c r="AA202" s="1271"/>
      <c r="AO202" s="1098"/>
      <c r="AP202" s="1098"/>
      <c r="AQ202" s="1098"/>
      <c r="AR202" s="1098">
        <v>30</v>
      </c>
      <c r="AS202" s="1098">
        <v>30</v>
      </c>
      <c r="AT202" s="1098">
        <v>31</v>
      </c>
      <c r="AU202" s="1099">
        <v>31</v>
      </c>
      <c r="AV202" s="1098"/>
      <c r="AY202" s="884" t="s">
        <v>1080</v>
      </c>
      <c r="AZ202" s="933"/>
      <c r="BA202" s="933"/>
      <c r="BB202" s="933"/>
      <c r="BC202" s="933"/>
      <c r="BD202" s="933"/>
      <c r="BE202" s="933">
        <f t="shared" ref="BE202" si="749">+AR202</f>
        <v>30</v>
      </c>
      <c r="BF202" s="933">
        <f t="shared" si="746"/>
        <v>30</v>
      </c>
      <c r="BG202" s="933">
        <f t="shared" si="747"/>
        <v>31</v>
      </c>
      <c r="BH202" s="933">
        <f t="shared" si="748"/>
        <v>31</v>
      </c>
    </row>
    <row r="203" spans="1:60" x14ac:dyDescent="0.25">
      <c r="J203" s="953"/>
      <c r="N203" s="953"/>
      <c r="R203" s="953"/>
      <c r="V203" s="953"/>
      <c r="AA203" s="1271"/>
      <c r="AO203" s="1098"/>
      <c r="AP203" s="1098"/>
      <c r="AQ203" s="1098"/>
      <c r="AR203" s="1098"/>
      <c r="AS203" s="1098"/>
      <c r="AT203" s="1098"/>
      <c r="AU203" s="1099"/>
      <c r="AV203" s="1098"/>
      <c r="AY203" s="884" t="s">
        <v>1083</v>
      </c>
      <c r="AZ203" s="933"/>
      <c r="BA203" s="933">
        <f t="shared" ref="BA203:BD203" si="750">+AN198</f>
        <v>77</v>
      </c>
      <c r="BB203" s="933">
        <f t="shared" si="750"/>
        <v>75</v>
      </c>
      <c r="BC203" s="933">
        <f t="shared" si="750"/>
        <v>75</v>
      </c>
      <c r="BD203" s="933">
        <f t="shared" si="750"/>
        <v>76</v>
      </c>
      <c r="BE203" s="933"/>
      <c r="BF203" s="933"/>
      <c r="BG203" s="933"/>
      <c r="BH203" s="933"/>
    </row>
    <row r="204" spans="1:60" x14ac:dyDescent="0.25">
      <c r="A204" s="884" t="s">
        <v>1081</v>
      </c>
      <c r="J204" s="953"/>
      <c r="N204" s="953"/>
      <c r="R204" s="953"/>
      <c r="V204" s="953"/>
      <c r="AA204" s="1271"/>
      <c r="AO204" s="1098"/>
      <c r="AP204" s="1098"/>
      <c r="AQ204" s="1098"/>
      <c r="AR204" s="1098">
        <v>33</v>
      </c>
      <c r="AS204" s="1098">
        <v>42</v>
      </c>
      <c r="AT204" s="1098">
        <v>52</v>
      </c>
      <c r="AU204" s="1099">
        <v>56</v>
      </c>
      <c r="AV204" s="1098"/>
      <c r="AY204" s="884" t="s">
        <v>1084</v>
      </c>
      <c r="AZ204" s="933">
        <f t="shared" ref="AZ204:BD204" si="751">+AM199</f>
        <v>33</v>
      </c>
      <c r="BA204" s="933">
        <f t="shared" si="751"/>
        <v>33</v>
      </c>
      <c r="BB204" s="933">
        <f t="shared" si="751"/>
        <v>31</v>
      </c>
      <c r="BC204" s="933">
        <f t="shared" si="751"/>
        <v>30</v>
      </c>
      <c r="BD204" s="933">
        <f t="shared" si="751"/>
        <v>30</v>
      </c>
      <c r="BE204" s="933"/>
      <c r="BF204" s="933"/>
      <c r="BG204" s="933"/>
      <c r="BH204" s="933"/>
    </row>
    <row r="205" spans="1:60" x14ac:dyDescent="0.25">
      <c r="A205" s="884" t="s">
        <v>1082</v>
      </c>
      <c r="J205" s="953"/>
      <c r="N205" s="953"/>
      <c r="R205" s="953"/>
      <c r="V205" s="953"/>
      <c r="AA205" s="1271"/>
      <c r="AO205" s="1098"/>
      <c r="AP205" s="1098"/>
      <c r="AQ205" s="1098"/>
      <c r="AR205" s="1098">
        <v>23</v>
      </c>
      <c r="AS205" s="1098">
        <v>24</v>
      </c>
      <c r="AT205" s="1098">
        <v>27</v>
      </c>
      <c r="AU205" s="1099">
        <v>27</v>
      </c>
      <c r="AV205" s="1098"/>
      <c r="AW205" s="906"/>
    </row>
    <row r="206" spans="1:60" x14ac:dyDescent="0.25">
      <c r="J206" s="953"/>
      <c r="N206" s="953"/>
      <c r="P206" s="898"/>
      <c r="R206" s="953"/>
      <c r="V206" s="953"/>
      <c r="AA206" s="1271"/>
      <c r="AU206" s="967"/>
    </row>
    <row r="207" spans="1:60" ht="13" x14ac:dyDescent="0.3">
      <c r="A207" s="904" t="s">
        <v>772</v>
      </c>
      <c r="B207" s="903"/>
      <c r="J207" s="953"/>
      <c r="N207" s="953"/>
      <c r="R207" s="953"/>
      <c r="V207" s="953"/>
      <c r="AA207" s="1271"/>
      <c r="AU207" s="967"/>
    </row>
    <row r="208" spans="1:60" x14ac:dyDescent="0.25">
      <c r="A208" s="936"/>
      <c r="C208" s="937"/>
      <c r="J208" s="953"/>
      <c r="N208" s="953"/>
      <c r="R208" s="953"/>
      <c r="V208" s="953"/>
      <c r="AA208" s="1271"/>
      <c r="AU208" s="967"/>
    </row>
    <row r="209" spans="1:48" x14ac:dyDescent="0.25">
      <c r="A209" s="944" t="s">
        <v>654</v>
      </c>
      <c r="J209" s="953"/>
      <c r="N209" s="953"/>
      <c r="R209" s="953"/>
      <c r="V209" s="953"/>
      <c r="Z209" s="898"/>
      <c r="AA209" s="1271"/>
      <c r="AU209" s="967"/>
    </row>
    <row r="210" spans="1:48" x14ac:dyDescent="0.25">
      <c r="A210" s="884" t="s">
        <v>782</v>
      </c>
      <c r="C210" s="877">
        <f>+Model!AA29</f>
        <v>0</v>
      </c>
      <c r="D210" s="877">
        <f>+Model!AB29</f>
        <v>0</v>
      </c>
      <c r="E210" s="877">
        <f>+Model!AC29</f>
        <v>0</v>
      </c>
      <c r="F210" s="877">
        <f>+Model!AD29</f>
        <v>0</v>
      </c>
      <c r="G210" s="877">
        <f>+Model!AE29</f>
        <v>23.555</v>
      </c>
      <c r="H210" s="877">
        <f>+Model!AF29</f>
        <v>24.94</v>
      </c>
      <c r="I210" s="877">
        <f>+Model!AG29</f>
        <v>20.82</v>
      </c>
      <c r="J210" s="954">
        <f>+Model!AH29</f>
        <v>26.689</v>
      </c>
      <c r="K210" s="877">
        <f>+Model!AI29</f>
        <v>48.771000000000001</v>
      </c>
      <c r="L210" s="877">
        <f>+Model!AJ29</f>
        <v>51.375999999999998</v>
      </c>
      <c r="M210" s="877">
        <f>+Model!AK29</f>
        <v>52.381999999999998</v>
      </c>
      <c r="N210" s="954">
        <f>+Model!AL29</f>
        <v>48.244999999999997</v>
      </c>
      <c r="O210" s="877">
        <f>+Model!AM29</f>
        <v>71.411000000000001</v>
      </c>
      <c r="P210" s="877">
        <f>+Model!AN29</f>
        <v>75.287000000000006</v>
      </c>
      <c r="Q210" s="877">
        <f>+Model!AO29</f>
        <v>83.238</v>
      </c>
      <c r="R210" s="954">
        <f>+Model!AP29</f>
        <v>91.478999999999999</v>
      </c>
      <c r="S210" s="877">
        <f>+Model!AQ29</f>
        <v>125.535</v>
      </c>
      <c r="T210" s="877">
        <f>+Model!AR29</f>
        <v>153.79499999999999</v>
      </c>
      <c r="U210" s="877">
        <f>+Model!AS29</f>
        <v>150.77199999999999</v>
      </c>
      <c r="V210" s="954">
        <f>+Model!AT29</f>
        <v>156.66800000000001</v>
      </c>
      <c r="W210" s="877">
        <f>+Model!AU29</f>
        <v>150.97399999999999</v>
      </c>
      <c r="X210" s="877">
        <v>165.08</v>
      </c>
      <c r="Y210" s="877">
        <v>167.91900000000001</v>
      </c>
      <c r="Z210" s="877">
        <v>167.21899999999999</v>
      </c>
      <c r="AA210" s="1272">
        <v>198.88499999999999</v>
      </c>
      <c r="AB210" s="877"/>
      <c r="AC210" s="877"/>
      <c r="AD210" s="877"/>
      <c r="AJ210" s="877"/>
      <c r="AK210" s="877"/>
      <c r="AL210" s="877"/>
      <c r="AM210" s="877"/>
      <c r="AN210" s="877"/>
      <c r="AO210" s="877"/>
      <c r="AP210" s="877">
        <f>+Model!BJ29</f>
        <v>0</v>
      </c>
      <c r="AQ210" s="877">
        <f>+Model!BK29</f>
        <v>96.003999999999991</v>
      </c>
      <c r="AR210" s="877">
        <f>+Model!BL29</f>
        <v>200.774</v>
      </c>
      <c r="AS210" s="877">
        <f>+Model!BM29</f>
        <v>321.416</v>
      </c>
      <c r="AT210" s="877">
        <f>+Model!BN29</f>
        <v>586.77</v>
      </c>
      <c r="AU210" s="968">
        <f>SUM(W210:Z210)</f>
        <v>651.19200000000001</v>
      </c>
    </row>
    <row r="211" spans="1:48" s="879" customFormat="1" ht="14" x14ac:dyDescent="0.4">
      <c r="A211" s="876" t="s">
        <v>783</v>
      </c>
      <c r="C211" s="880">
        <f>+Model!AA30</f>
        <v>0</v>
      </c>
      <c r="D211" s="880">
        <f>+Model!AB30</f>
        <v>0</v>
      </c>
      <c r="E211" s="880">
        <f>+Model!AC30</f>
        <v>0</v>
      </c>
      <c r="F211" s="880">
        <f>+Model!AD30</f>
        <v>0</v>
      </c>
      <c r="G211" s="880">
        <f>+Model!AE30</f>
        <v>0</v>
      </c>
      <c r="H211" s="880">
        <f>+Model!AF30</f>
        <v>0</v>
      </c>
      <c r="I211" s="880">
        <f>+Model!AG30</f>
        <v>3.1869999999999998</v>
      </c>
      <c r="J211" s="956">
        <f>+Model!AH30</f>
        <v>7.766</v>
      </c>
      <c r="K211" s="880">
        <f>+Model!AI30</f>
        <v>8.3409999999999993</v>
      </c>
      <c r="L211" s="880">
        <f>+Model!AJ30</f>
        <v>10.78</v>
      </c>
      <c r="M211" s="880">
        <f>+Model!AK30</f>
        <v>17.459</v>
      </c>
      <c r="N211" s="956">
        <f>+Model!AL30</f>
        <v>19.207000000000001</v>
      </c>
      <c r="O211" s="880">
        <f>+Model!AM30</f>
        <v>22.474</v>
      </c>
      <c r="P211" s="880">
        <f>+Model!AN30</f>
        <v>20.978999999999999</v>
      </c>
      <c r="Q211" s="880">
        <f>+Model!AO30</f>
        <v>22.626000000000001</v>
      </c>
      <c r="R211" s="956">
        <f>+Model!AP30</f>
        <v>25.388999999999999</v>
      </c>
      <c r="S211" s="880">
        <f>+Model!AQ30</f>
        <v>27.957000000000001</v>
      </c>
      <c r="T211" s="880">
        <f>+Model!AR30</f>
        <v>29.876000000000001</v>
      </c>
      <c r="U211" s="880">
        <f>+Model!AS30</f>
        <v>29.946000000000002</v>
      </c>
      <c r="V211" s="956">
        <f>+Model!AT30</f>
        <v>31.419</v>
      </c>
      <c r="W211" s="880">
        <f>+Model!AU30</f>
        <v>29.869</v>
      </c>
      <c r="X211" s="880">
        <v>25.885999999999999</v>
      </c>
      <c r="Y211" s="880">
        <v>24.024000000000001</v>
      </c>
      <c r="Z211" s="880">
        <v>19.905999999999999</v>
      </c>
      <c r="AA211" s="1273">
        <v>22.792000000000002</v>
      </c>
      <c r="AB211" s="880"/>
      <c r="AC211" s="880"/>
      <c r="AD211" s="880"/>
      <c r="AE211" s="880"/>
      <c r="AF211" s="880"/>
      <c r="AG211" s="880"/>
      <c r="AH211" s="880"/>
      <c r="AI211" s="880"/>
      <c r="AJ211" s="880"/>
      <c r="AK211" s="880"/>
      <c r="AL211" s="880"/>
      <c r="AM211" s="880"/>
      <c r="AN211" s="880"/>
      <c r="AO211" s="880"/>
      <c r="AP211" s="880">
        <f>+Model!BJ30</f>
        <v>0</v>
      </c>
      <c r="AQ211" s="880">
        <f>+Model!BK30</f>
        <v>10.952999999999999</v>
      </c>
      <c r="AR211" s="880">
        <f>+Model!BL30</f>
        <v>55.786999999999999</v>
      </c>
      <c r="AS211" s="880">
        <f>+Model!BM30</f>
        <v>91.466999999999999</v>
      </c>
      <c r="AT211" s="880">
        <f>+Model!BN30</f>
        <v>119.197</v>
      </c>
      <c r="AU211" s="970">
        <f t="shared" ref="AU211:AU241" si="752">SUM(W211:Z211)</f>
        <v>99.685000000000002</v>
      </c>
      <c r="AV211" s="895"/>
    </row>
    <row r="212" spans="1:48" s="876" customFormat="1" x14ac:dyDescent="0.25">
      <c r="A212" s="882" t="s">
        <v>784</v>
      </c>
      <c r="C212" s="877">
        <f>+Model!AA31</f>
        <v>12.798999999999999</v>
      </c>
      <c r="D212" s="877">
        <f>+Model!AB31</f>
        <v>12.297000000000001</v>
      </c>
      <c r="E212" s="877">
        <f>+Model!AC31</f>
        <v>12.016</v>
      </c>
      <c r="F212" s="877">
        <f>+Model!AD31</f>
        <v>12.709</v>
      </c>
      <c r="G212" s="877">
        <f t="shared" ref="G212:V212" si="753">+SUM(G210:G211)</f>
        <v>23.555</v>
      </c>
      <c r="H212" s="877">
        <f t="shared" si="753"/>
        <v>24.94</v>
      </c>
      <c r="I212" s="877">
        <f t="shared" si="753"/>
        <v>24.007000000000001</v>
      </c>
      <c r="J212" s="954">
        <f t="shared" si="753"/>
        <v>34.454999999999998</v>
      </c>
      <c r="K212" s="877">
        <f t="shared" si="753"/>
        <v>57.112000000000002</v>
      </c>
      <c r="L212" s="877">
        <f t="shared" si="753"/>
        <v>62.155999999999999</v>
      </c>
      <c r="M212" s="877">
        <f t="shared" si="753"/>
        <v>69.840999999999994</v>
      </c>
      <c r="N212" s="954">
        <f t="shared" si="753"/>
        <v>67.451999999999998</v>
      </c>
      <c r="O212" s="877">
        <f t="shared" si="753"/>
        <v>93.885000000000005</v>
      </c>
      <c r="P212" s="877">
        <f t="shared" si="753"/>
        <v>96.266000000000005</v>
      </c>
      <c r="Q212" s="877">
        <f t="shared" si="753"/>
        <v>105.864</v>
      </c>
      <c r="R212" s="954">
        <f t="shared" si="753"/>
        <v>116.86799999999999</v>
      </c>
      <c r="S212" s="877">
        <f t="shared" si="753"/>
        <v>153.49199999999999</v>
      </c>
      <c r="T212" s="877">
        <f t="shared" si="753"/>
        <v>183.67099999999999</v>
      </c>
      <c r="U212" s="877">
        <f t="shared" si="753"/>
        <v>180.71799999999999</v>
      </c>
      <c r="V212" s="954">
        <f t="shared" si="753"/>
        <v>188.08700000000002</v>
      </c>
      <c r="W212" s="877">
        <f>+SUM(W210:W211)</f>
        <v>180.84299999999999</v>
      </c>
      <c r="X212" s="877">
        <f>+SUM(X210:X211)</f>
        <v>190.96600000000001</v>
      </c>
      <c r="Y212" s="877">
        <f>+SUM(Y210:Y211)</f>
        <v>191.94300000000001</v>
      </c>
      <c r="Z212" s="877">
        <f>+SUM(Z210:Z211)</f>
        <v>187.125</v>
      </c>
      <c r="AA212" s="1272">
        <f>+SUM(AA210:AA211)</f>
        <v>221.67699999999999</v>
      </c>
      <c r="AB212" s="877"/>
      <c r="AC212" s="877"/>
      <c r="AD212" s="877"/>
      <c r="AE212" s="877"/>
      <c r="AF212" s="877"/>
      <c r="AG212" s="877"/>
      <c r="AH212" s="877"/>
      <c r="AI212" s="877"/>
      <c r="AJ212" s="877"/>
      <c r="AK212" s="877"/>
      <c r="AL212" s="877"/>
      <c r="AM212" s="877"/>
      <c r="AN212" s="877"/>
      <c r="AO212" s="877"/>
      <c r="AP212" s="877">
        <f>+Model!BJ31</f>
        <v>49.820999999999998</v>
      </c>
      <c r="AQ212" s="877">
        <f t="shared" ref="AQ212:AS212" si="754">+SUM(AQ210:AQ211)</f>
        <v>106.95699999999999</v>
      </c>
      <c r="AR212" s="877">
        <f t="shared" si="754"/>
        <v>256.56099999999998</v>
      </c>
      <c r="AS212" s="877">
        <f t="shared" si="754"/>
        <v>412.88299999999998</v>
      </c>
      <c r="AT212" s="877">
        <f>+SUM(AT210:AT211)</f>
        <v>705.96699999999998</v>
      </c>
      <c r="AU212" s="968">
        <f t="shared" si="752"/>
        <v>750.87699999999995</v>
      </c>
      <c r="AV212" s="894"/>
    </row>
    <row r="213" spans="1:48" s="879" customFormat="1" ht="14" x14ac:dyDescent="0.4">
      <c r="A213" s="876" t="s">
        <v>655</v>
      </c>
      <c r="C213" s="880">
        <f>+Model!AA28</f>
        <v>238.51499999999999</v>
      </c>
      <c r="D213" s="880">
        <f>+Model!AB28</f>
        <v>242.57500000000002</v>
      </c>
      <c r="E213" s="880">
        <f>+Model!AC28</f>
        <v>241.23600000000002</v>
      </c>
      <c r="F213" s="880">
        <f>+Model!AD28</f>
        <v>243.60500000000002</v>
      </c>
      <c r="G213" s="880">
        <f>+Model!AE28</f>
        <v>233.56599999999997</v>
      </c>
      <c r="H213" s="880">
        <f>+Model!AF28</f>
        <v>232.61899999999997</v>
      </c>
      <c r="I213" s="880">
        <f>+Model!AG28</f>
        <v>233.14699999999999</v>
      </c>
      <c r="J213" s="956">
        <f>+Model!AH28</f>
        <v>234.47600000000003</v>
      </c>
      <c r="K213" s="880">
        <f>+Model!AI28</f>
        <v>313.84799999999996</v>
      </c>
      <c r="L213" s="880">
        <f>+Model!AJ28</f>
        <v>313.98900000000003</v>
      </c>
      <c r="M213" s="880">
        <f>+Model!AK28</f>
        <v>322.30399999999997</v>
      </c>
      <c r="N213" s="956">
        <f>+Model!AL28</f>
        <v>330.05799999999999</v>
      </c>
      <c r="O213" s="880">
        <f>+Model!AM28</f>
        <v>306.34100000000001</v>
      </c>
      <c r="P213" s="880">
        <f>+Model!AN28</f>
        <v>313.24099999999999</v>
      </c>
      <c r="Q213" s="880">
        <f>+Model!AO28</f>
        <v>315.858</v>
      </c>
      <c r="R213" s="956">
        <f>+Model!AP28</f>
        <v>338.34300000000002</v>
      </c>
      <c r="S213" s="880">
        <f>+Model!AQ28</f>
        <v>271.65800000000002</v>
      </c>
      <c r="T213" s="880">
        <f>+Model!AR28</f>
        <v>274.76400000000001</v>
      </c>
      <c r="U213" s="880">
        <f>+Model!AS28</f>
        <v>289.56599999999997</v>
      </c>
      <c r="V213" s="956">
        <f>+Model!AT28</f>
        <v>295.40199999999999</v>
      </c>
      <c r="W213" s="880">
        <f>+Model!AU28</f>
        <v>299.33800000000002</v>
      </c>
      <c r="X213" s="880">
        <v>313.90199999999999</v>
      </c>
      <c r="Y213" s="880">
        <v>328.89400000000001</v>
      </c>
      <c r="Z213" s="880">
        <v>347.05799999999999</v>
      </c>
      <c r="AA213" s="1273">
        <v>329.40699999999998</v>
      </c>
      <c r="AB213" s="880"/>
      <c r="AC213" s="880"/>
      <c r="AD213" s="880"/>
      <c r="AE213" s="880"/>
      <c r="AF213" s="880"/>
      <c r="AG213" s="880"/>
      <c r="AH213" s="880"/>
      <c r="AI213" s="880"/>
      <c r="AJ213" s="880"/>
      <c r="AK213" s="880"/>
      <c r="AL213" s="880"/>
      <c r="AM213" s="880"/>
      <c r="AN213" s="880"/>
      <c r="AO213" s="880"/>
      <c r="AP213" s="880">
        <f>+Model!BJ28</f>
        <v>965.93099999999993</v>
      </c>
      <c r="AQ213" s="880">
        <f>+Model!BK28</f>
        <v>933.80799999999999</v>
      </c>
      <c r="AR213" s="880">
        <f>+Model!BL28</f>
        <v>1280.1990000000001</v>
      </c>
      <c r="AS213" s="880">
        <f>+Model!BM28</f>
        <v>1273.7829999999999</v>
      </c>
      <c r="AT213" s="880">
        <f>+Model!BN28</f>
        <v>1131.3910000000001</v>
      </c>
      <c r="AU213" s="970">
        <f t="shared" si="752"/>
        <v>1289.192</v>
      </c>
      <c r="AV213" s="895"/>
    </row>
    <row r="214" spans="1:48" s="876" customFormat="1" x14ac:dyDescent="0.25">
      <c r="A214" s="882" t="s">
        <v>662</v>
      </c>
      <c r="C214" s="877">
        <f t="shared" ref="C214:AA214" si="755">+C212+C213</f>
        <v>251.31399999999999</v>
      </c>
      <c r="D214" s="877">
        <f t="shared" si="755"/>
        <v>254.87200000000001</v>
      </c>
      <c r="E214" s="877">
        <f t="shared" si="755"/>
        <v>253.25200000000001</v>
      </c>
      <c r="F214" s="877">
        <f t="shared" si="755"/>
        <v>256.31400000000002</v>
      </c>
      <c r="G214" s="877">
        <f t="shared" si="755"/>
        <v>257.12099999999998</v>
      </c>
      <c r="H214" s="877">
        <f t="shared" si="755"/>
        <v>257.55899999999997</v>
      </c>
      <c r="I214" s="877">
        <f t="shared" si="755"/>
        <v>257.154</v>
      </c>
      <c r="J214" s="954">
        <f t="shared" si="755"/>
        <v>268.93100000000004</v>
      </c>
      <c r="K214" s="877">
        <f t="shared" si="755"/>
        <v>370.96</v>
      </c>
      <c r="L214" s="877">
        <f t="shared" si="755"/>
        <v>376.14500000000004</v>
      </c>
      <c r="M214" s="877">
        <f t="shared" si="755"/>
        <v>392.14499999999998</v>
      </c>
      <c r="N214" s="954">
        <f t="shared" si="755"/>
        <v>397.51</v>
      </c>
      <c r="O214" s="877">
        <f t="shared" si="755"/>
        <v>400.226</v>
      </c>
      <c r="P214" s="877">
        <f t="shared" si="755"/>
        <v>409.50700000000001</v>
      </c>
      <c r="Q214" s="877">
        <f t="shared" si="755"/>
        <v>421.72199999999998</v>
      </c>
      <c r="R214" s="954">
        <f t="shared" si="755"/>
        <v>455.21100000000001</v>
      </c>
      <c r="S214" s="877">
        <f t="shared" si="755"/>
        <v>425.15</v>
      </c>
      <c r="T214" s="877">
        <f t="shared" si="755"/>
        <v>458.435</v>
      </c>
      <c r="U214" s="877">
        <f t="shared" si="755"/>
        <v>470.28399999999999</v>
      </c>
      <c r="V214" s="954">
        <f t="shared" si="755"/>
        <v>483.48900000000003</v>
      </c>
      <c r="W214" s="877">
        <f t="shared" si="755"/>
        <v>480.18100000000004</v>
      </c>
      <c r="X214" s="877">
        <f t="shared" si="755"/>
        <v>504.86799999999999</v>
      </c>
      <c r="Y214" s="877">
        <f t="shared" si="755"/>
        <v>520.83699999999999</v>
      </c>
      <c r="Z214" s="877">
        <f t="shared" si="755"/>
        <v>534.18299999999999</v>
      </c>
      <c r="AA214" s="1272">
        <f t="shared" si="755"/>
        <v>551.08399999999995</v>
      </c>
      <c r="AB214" s="877"/>
      <c r="AC214" s="877"/>
      <c r="AD214" s="877"/>
      <c r="AE214" s="877"/>
      <c r="AF214" s="877"/>
      <c r="AG214" s="877"/>
      <c r="AH214" s="877"/>
      <c r="AI214" s="877"/>
      <c r="AJ214" s="877">
        <f t="shared" ref="AJ214:AN214" si="756">+AJ216</f>
        <v>848.22</v>
      </c>
      <c r="AK214" s="877">
        <f t="shared" si="756"/>
        <v>919.553</v>
      </c>
      <c r="AL214" s="877">
        <f t="shared" si="756"/>
        <v>948.29399999999998</v>
      </c>
      <c r="AM214" s="877">
        <f t="shared" si="756"/>
        <v>872.7</v>
      </c>
      <c r="AN214" s="877">
        <f t="shared" si="756"/>
        <v>888.51900000000001</v>
      </c>
      <c r="AO214" s="877">
        <f>+AO216</f>
        <v>917.73400000000004</v>
      </c>
      <c r="AP214" s="877">
        <f>+AP212+AP213</f>
        <v>1015.752</v>
      </c>
      <c r="AQ214" s="877">
        <f>+AQ212+AQ213</f>
        <v>1040.7649999999999</v>
      </c>
      <c r="AR214" s="877">
        <f>+AR212+AR213</f>
        <v>1536.76</v>
      </c>
      <c r="AS214" s="877">
        <f>+AS212+AS213</f>
        <v>1686.6659999999999</v>
      </c>
      <c r="AT214" s="877">
        <f>+AT212+AT213</f>
        <v>1837.3580000000002</v>
      </c>
      <c r="AU214" s="968">
        <f t="shared" si="752"/>
        <v>2040.069</v>
      </c>
      <c r="AV214" s="894"/>
    </row>
    <row r="215" spans="1:48" x14ac:dyDescent="0.25">
      <c r="A215" s="936"/>
      <c r="J215" s="953"/>
      <c r="N215" s="953"/>
      <c r="R215" s="953"/>
      <c r="V215" s="953"/>
      <c r="AA215" s="1271"/>
      <c r="AU215" s="967"/>
    </row>
    <row r="216" spans="1:48" x14ac:dyDescent="0.25">
      <c r="A216" s="884" t="s">
        <v>654</v>
      </c>
      <c r="C216" s="877">
        <f>+Model!AA144</f>
        <v>251.31399999999999</v>
      </c>
      <c r="D216" s="877">
        <f>+Model!AB144</f>
        <v>254.87200000000001</v>
      </c>
      <c r="E216" s="877">
        <f>+Model!AC144</f>
        <v>253.25200000000001</v>
      </c>
      <c r="F216" s="877">
        <f>+Model!AD144</f>
        <v>256.31399999999996</v>
      </c>
      <c r="G216" s="877">
        <f>+Model!AE144</f>
        <v>257.12099999999998</v>
      </c>
      <c r="H216" s="877">
        <f>+Model!AF144</f>
        <v>257.55900000000003</v>
      </c>
      <c r="I216" s="877">
        <f>+Model!AG144</f>
        <v>257.154</v>
      </c>
      <c r="J216" s="954">
        <f>+Model!AH144</f>
        <v>268.93100000000015</v>
      </c>
      <c r="K216" s="877">
        <f>+Model!AI144</f>
        <v>370.96</v>
      </c>
      <c r="L216" s="877">
        <f>+Model!AJ144</f>
        <v>376.14499999999998</v>
      </c>
      <c r="M216" s="877">
        <f>+Model!AK144</f>
        <v>392.14499999999998</v>
      </c>
      <c r="N216" s="954">
        <f>+Model!AL144</f>
        <v>397.51000000000005</v>
      </c>
      <c r="O216" s="877">
        <f>+Model!AM144</f>
        <v>400.226</v>
      </c>
      <c r="P216" s="877">
        <f>+Model!AN144</f>
        <v>409.50700000000001</v>
      </c>
      <c r="Q216" s="877">
        <f>+Model!AO144</f>
        <v>421.72199999999998</v>
      </c>
      <c r="R216" s="954">
        <f>+Model!AP144</f>
        <v>455.2109999999999</v>
      </c>
      <c r="S216" s="877">
        <f>+Model!AQ144</f>
        <v>425.15</v>
      </c>
      <c r="T216" s="877">
        <f>+Model!AR144</f>
        <v>458.435</v>
      </c>
      <c r="U216" s="877">
        <f>+Model!AS144</f>
        <v>470.28399999999999</v>
      </c>
      <c r="V216" s="954">
        <f>+Model!AT144</f>
        <v>483.48900000000015</v>
      </c>
      <c r="W216" s="877">
        <f>+Model!AU144</f>
        <v>480.18099999999998</v>
      </c>
      <c r="X216" s="877">
        <v>504.86799999999999</v>
      </c>
      <c r="Y216" s="877">
        <v>520.83699999999999</v>
      </c>
      <c r="Z216" s="877">
        <v>534.18299999999999</v>
      </c>
      <c r="AA216" s="1272">
        <v>551.08399999999995</v>
      </c>
      <c r="AB216" s="877"/>
      <c r="AC216" s="877"/>
      <c r="AD216" s="877"/>
      <c r="AJ216" s="877">
        <f>+Model!BD144</f>
        <v>848.22</v>
      </c>
      <c r="AK216" s="877">
        <f>+Model!BE144</f>
        <v>919.553</v>
      </c>
      <c r="AL216" s="877">
        <f>+Model!BF144</f>
        <v>948.29399999999998</v>
      </c>
      <c r="AM216" s="877">
        <f>+Model!BG144</f>
        <v>872.7</v>
      </c>
      <c r="AN216" s="877">
        <f>+Model!BH144</f>
        <v>888.51900000000001</v>
      </c>
      <c r="AO216" s="877">
        <f>+Model!BI144</f>
        <v>917.73400000000004</v>
      </c>
      <c r="AP216" s="877">
        <f>+Model!BJ144</f>
        <v>1015.752</v>
      </c>
      <c r="AQ216" s="877">
        <f>+Model!BK144</f>
        <v>1040.7650000000001</v>
      </c>
      <c r="AR216" s="877">
        <f>+Model!BL144</f>
        <v>1536.76</v>
      </c>
      <c r="AS216" s="877">
        <f>+Model!BM144</f>
        <v>1686.6659999999999</v>
      </c>
      <c r="AT216" s="877">
        <f>+Model!BN144</f>
        <v>1837.3579999999999</v>
      </c>
      <c r="AU216" s="968">
        <f t="shared" si="752"/>
        <v>2040.069</v>
      </c>
    </row>
    <row r="217" spans="1:48" s="879" customFormat="1" ht="14" x14ac:dyDescent="0.4">
      <c r="A217" s="876" t="s">
        <v>785</v>
      </c>
      <c r="C217" s="880">
        <f>+Model!AA145</f>
        <v>158.98500000000001</v>
      </c>
      <c r="D217" s="880">
        <f>+Model!AB145</f>
        <v>160.32900000000001</v>
      </c>
      <c r="E217" s="880">
        <f>+Model!AC145</f>
        <v>168.26</v>
      </c>
      <c r="F217" s="880">
        <f>+Model!AD145</f>
        <v>175.863</v>
      </c>
      <c r="G217" s="880">
        <f>+Model!AE145</f>
        <v>169.358</v>
      </c>
      <c r="H217" s="880">
        <f>+Model!AF145</f>
        <v>167.47</v>
      </c>
      <c r="I217" s="880">
        <f>+Model!AG145</f>
        <v>178.96799999999999</v>
      </c>
      <c r="J217" s="956">
        <f>+Model!AH145</f>
        <v>177.43599999999998</v>
      </c>
      <c r="K217" s="880">
        <f>+Model!AI145</f>
        <v>241.06899999999999</v>
      </c>
      <c r="L217" s="880">
        <f>+Model!AJ145</f>
        <v>246.75400000000002</v>
      </c>
      <c r="M217" s="880">
        <f>+Model!AK145</f>
        <v>253.12799999999999</v>
      </c>
      <c r="N217" s="956">
        <f>+Model!AL145</f>
        <v>260.90899999999999</v>
      </c>
      <c r="O217" s="880">
        <f>+Model!AM145</f>
        <v>273.82400000000001</v>
      </c>
      <c r="P217" s="880">
        <f>+Model!AN145</f>
        <v>261.95</v>
      </c>
      <c r="Q217" s="880">
        <f>+Model!AO145</f>
        <v>266.88299999999998</v>
      </c>
      <c r="R217" s="956">
        <f>+Model!AP145</f>
        <v>287.53399999999993</v>
      </c>
      <c r="S217" s="880">
        <f>+Model!AQ145</f>
        <v>295.50099999999998</v>
      </c>
      <c r="T217" s="880">
        <f>+Model!AR145</f>
        <v>288.34699999999998</v>
      </c>
      <c r="U217" s="880">
        <f>+Model!AS145</f>
        <v>295.03199999999998</v>
      </c>
      <c r="V217" s="956">
        <f>+Model!AT145</f>
        <v>311.40800000000013</v>
      </c>
      <c r="W217" s="880">
        <f>+Model!AU145</f>
        <v>307.29300000000001</v>
      </c>
      <c r="X217" s="880">
        <v>303.69400000000002</v>
      </c>
      <c r="Y217" s="880">
        <v>319.50799999999998</v>
      </c>
      <c r="Z217" s="880">
        <v>345.971</v>
      </c>
      <c r="AA217" s="1273">
        <v>335.23099999999999</v>
      </c>
      <c r="AB217" s="880"/>
      <c r="AC217" s="880"/>
      <c r="AD217" s="880"/>
      <c r="AE217" s="880"/>
      <c r="AF217" s="880"/>
      <c r="AG217" s="880"/>
      <c r="AH217" s="880"/>
      <c r="AI217" s="880"/>
      <c r="AJ217" s="880">
        <f>+Model!BD145</f>
        <v>498.39800000000002</v>
      </c>
      <c r="AK217" s="880">
        <f>+Model!BE145</f>
        <v>569.21900000000005</v>
      </c>
      <c r="AL217" s="880">
        <f>+Model!BF145</f>
        <v>607.75599999999997</v>
      </c>
      <c r="AM217" s="880">
        <f>+Model!BG145</f>
        <v>546.51</v>
      </c>
      <c r="AN217" s="880">
        <f>+Model!BH145</f>
        <v>557.31600000000003</v>
      </c>
      <c r="AO217" s="880">
        <f>+Model!BI145</f>
        <v>592.495</v>
      </c>
      <c r="AP217" s="880">
        <f>+Model!BJ145</f>
        <v>663.43700000000001</v>
      </c>
      <c r="AQ217" s="880">
        <f>+Model!BK145</f>
        <v>693.23199999999997</v>
      </c>
      <c r="AR217" s="880">
        <f>+Model!BL145</f>
        <v>1001.86</v>
      </c>
      <c r="AS217" s="880">
        <f>+Model!BM145</f>
        <v>1090.191</v>
      </c>
      <c r="AT217" s="880">
        <f>+Model!BN145</f>
        <v>1190.288</v>
      </c>
      <c r="AU217" s="970">
        <f t="shared" si="752"/>
        <v>1276.4660000000001</v>
      </c>
      <c r="AV217" s="895"/>
    </row>
    <row r="218" spans="1:48" s="876" customFormat="1" x14ac:dyDescent="0.25">
      <c r="A218" s="882" t="s">
        <v>786</v>
      </c>
      <c r="C218" s="877">
        <f t="shared" ref="C218" si="757">+C216-C217</f>
        <v>92.328999999999979</v>
      </c>
      <c r="D218" s="877">
        <f t="shared" ref="D218" si="758">+D216-D217</f>
        <v>94.543000000000006</v>
      </c>
      <c r="E218" s="877">
        <f t="shared" ref="E218" si="759">+E216-E217</f>
        <v>84.992000000000019</v>
      </c>
      <c r="F218" s="877">
        <f t="shared" ref="F218" si="760">+F216-F217</f>
        <v>80.450999999999965</v>
      </c>
      <c r="G218" s="877">
        <f t="shared" ref="G218" si="761">+G216-G217</f>
        <v>87.762999999999977</v>
      </c>
      <c r="H218" s="877">
        <f t="shared" ref="H218" si="762">+H216-H217</f>
        <v>90.089000000000027</v>
      </c>
      <c r="I218" s="877">
        <f t="shared" ref="I218" si="763">+I216-I217</f>
        <v>78.186000000000007</v>
      </c>
      <c r="J218" s="954">
        <f t="shared" ref="J218" si="764">+J216-J217</f>
        <v>91.495000000000175</v>
      </c>
      <c r="K218" s="877">
        <f t="shared" ref="K218" si="765">+K216-K217</f>
        <v>129.89099999999999</v>
      </c>
      <c r="L218" s="877">
        <f t="shared" ref="L218" si="766">+L216-L217</f>
        <v>129.39099999999996</v>
      </c>
      <c r="M218" s="877">
        <f t="shared" ref="M218" si="767">+M216-M217</f>
        <v>139.017</v>
      </c>
      <c r="N218" s="954">
        <f t="shared" ref="N218" si="768">+N216-N217</f>
        <v>136.60100000000006</v>
      </c>
      <c r="O218" s="877">
        <f t="shared" ref="O218" si="769">+O216-O217</f>
        <v>126.40199999999999</v>
      </c>
      <c r="P218" s="877">
        <f t="shared" ref="P218" si="770">+P216-P217</f>
        <v>147.55700000000002</v>
      </c>
      <c r="Q218" s="877">
        <f t="shared" ref="Q218" si="771">+Q216-Q217</f>
        <v>154.839</v>
      </c>
      <c r="R218" s="954">
        <f t="shared" ref="R218" si="772">+R216-R217</f>
        <v>167.67699999999996</v>
      </c>
      <c r="S218" s="877">
        <f t="shared" ref="S218" si="773">+S216-S217</f>
        <v>129.649</v>
      </c>
      <c r="T218" s="877">
        <f t="shared" ref="T218" si="774">+T216-T217</f>
        <v>170.08800000000002</v>
      </c>
      <c r="U218" s="877">
        <f t="shared" ref="U218" si="775">+U216-U217</f>
        <v>175.25200000000001</v>
      </c>
      <c r="V218" s="954">
        <f t="shared" ref="V218" si="776">+V216-V217</f>
        <v>172.08100000000002</v>
      </c>
      <c r="W218" s="877">
        <f t="shared" ref="W218:X218" si="777">+W216-W217</f>
        <v>172.88799999999998</v>
      </c>
      <c r="X218" s="877">
        <f t="shared" si="777"/>
        <v>201.17399999999998</v>
      </c>
      <c r="Y218" s="877">
        <f t="shared" ref="Y218:AA218" si="778">+Y216-Y217</f>
        <v>201.32900000000001</v>
      </c>
      <c r="Z218" s="877">
        <f t="shared" si="778"/>
        <v>188.21199999999999</v>
      </c>
      <c r="AA218" s="1272">
        <f t="shared" si="778"/>
        <v>215.85299999999995</v>
      </c>
      <c r="AB218" s="1270"/>
      <c r="AC218" s="1270"/>
      <c r="AD218" s="877"/>
      <c r="AE218" s="877"/>
      <c r="AF218" s="877"/>
      <c r="AG218" s="877"/>
      <c r="AH218" s="877"/>
      <c r="AI218" s="877"/>
      <c r="AJ218" s="877">
        <f t="shared" ref="AJ218:AS218" si="779">+AJ216-AJ217</f>
        <v>349.822</v>
      </c>
      <c r="AK218" s="877">
        <f t="shared" si="779"/>
        <v>350.33399999999995</v>
      </c>
      <c r="AL218" s="877">
        <f t="shared" si="779"/>
        <v>340.53800000000001</v>
      </c>
      <c r="AM218" s="877">
        <f t="shared" si="779"/>
        <v>326.19000000000005</v>
      </c>
      <c r="AN218" s="877">
        <f t="shared" si="779"/>
        <v>331.20299999999997</v>
      </c>
      <c r="AO218" s="877">
        <f t="shared" si="779"/>
        <v>325.23900000000003</v>
      </c>
      <c r="AP218" s="877">
        <f t="shared" si="779"/>
        <v>352.31499999999994</v>
      </c>
      <c r="AQ218" s="877">
        <f t="shared" si="779"/>
        <v>347.53300000000013</v>
      </c>
      <c r="AR218" s="877">
        <f t="shared" si="779"/>
        <v>534.9</v>
      </c>
      <c r="AS218" s="877">
        <f t="shared" si="779"/>
        <v>596.47499999999991</v>
      </c>
      <c r="AT218" s="877">
        <f>+AT216-AT217</f>
        <v>647.06999999999994</v>
      </c>
      <c r="AU218" s="968">
        <f t="shared" si="752"/>
        <v>763.60299999999995</v>
      </c>
      <c r="AV218" s="894"/>
    </row>
    <row r="219" spans="1:48" x14ac:dyDescent="0.25">
      <c r="A219" s="936" t="s">
        <v>787</v>
      </c>
      <c r="C219" s="877">
        <f>+Model!AA147</f>
        <v>106.081</v>
      </c>
      <c r="D219" s="877">
        <f>+Model!AB147</f>
        <v>61.253</v>
      </c>
      <c r="E219" s="877">
        <f>+Model!AC147</f>
        <v>61.725000000000001</v>
      </c>
      <c r="F219" s="877">
        <f>+Model!AD147</f>
        <v>77.77</v>
      </c>
      <c r="G219" s="877">
        <f>+Model!AE147</f>
        <v>107.151</v>
      </c>
      <c r="H219" s="877">
        <f>+Model!AF147</f>
        <v>59.783999999999999</v>
      </c>
      <c r="I219" s="877">
        <f>+Model!AG147</f>
        <v>63.686999999999998</v>
      </c>
      <c r="J219" s="954">
        <f>+Model!AH147</f>
        <v>84.454000000000022</v>
      </c>
      <c r="K219" s="877">
        <f>+Model!AI147</f>
        <v>117.827</v>
      </c>
      <c r="L219" s="877">
        <f>+Model!AJ147</f>
        <v>90.939000000000007</v>
      </c>
      <c r="M219" s="877">
        <f>+Model!AK147</f>
        <v>100.464</v>
      </c>
      <c r="N219" s="954">
        <f>+Model!AL147</f>
        <v>115.214</v>
      </c>
      <c r="O219" s="877">
        <f>+Model!AM147</f>
        <v>133.37899999999999</v>
      </c>
      <c r="P219" s="877">
        <f>+Model!AN147</f>
        <v>90.641999999999996</v>
      </c>
      <c r="Q219" s="877">
        <f>+Model!AO147</f>
        <v>94.245000000000005</v>
      </c>
      <c r="R219" s="954">
        <f>+Model!AP147</f>
        <v>121.58099999999999</v>
      </c>
      <c r="S219" s="877">
        <f>+Model!AQ147</f>
        <v>158.36799999999999</v>
      </c>
      <c r="T219" s="877">
        <f>+Model!AR147</f>
        <v>102.015</v>
      </c>
      <c r="U219" s="877">
        <f>+Model!AS147</f>
        <v>103.053</v>
      </c>
      <c r="V219" s="954">
        <f>+Model!AT147</f>
        <v>118.13500000000005</v>
      </c>
      <c r="W219" s="877">
        <f>+Model!AU147</f>
        <v>169.56800000000001</v>
      </c>
      <c r="X219" s="877">
        <v>116.88500000000001</v>
      </c>
      <c r="Y219" s="877">
        <v>113.01600000000001</v>
      </c>
      <c r="Z219" s="877">
        <v>114.53400000000001</v>
      </c>
      <c r="AA219" s="1272">
        <v>168.50899999999999</v>
      </c>
      <c r="AB219" s="906"/>
      <c r="AC219" s="906"/>
      <c r="AJ219" s="877">
        <f>+Model!BD147</f>
        <v>283.03199999999998</v>
      </c>
      <c r="AK219" s="877">
        <f>+Model!BE147</f>
        <v>313.25799999999998</v>
      </c>
      <c r="AL219" s="877">
        <f>+Model!BF147</f>
        <v>307.73</v>
      </c>
      <c r="AM219" s="877">
        <f>+Model!BG147</f>
        <v>302.20499999999998</v>
      </c>
      <c r="AN219" s="877">
        <f>+Model!BH147</f>
        <v>305.61700000000002</v>
      </c>
      <c r="AO219" s="877">
        <f>+Model!BI147</f>
        <v>290.44600000000003</v>
      </c>
      <c r="AP219" s="877">
        <f>+Model!BJ147</f>
        <v>306.82900000000001</v>
      </c>
      <c r="AQ219" s="877">
        <f>+Model!BK147</f>
        <v>315.07600000000002</v>
      </c>
      <c r="AR219" s="877">
        <f>+Model!BL147</f>
        <v>424.44400000000002</v>
      </c>
      <c r="AS219" s="877">
        <f>+Model!BM147</f>
        <v>439.84699999999998</v>
      </c>
      <c r="AT219" s="877">
        <f>+Model!BN147</f>
        <v>481.57100000000003</v>
      </c>
      <c r="AU219" s="968">
        <f t="shared" si="752"/>
        <v>514.00300000000004</v>
      </c>
    </row>
    <row r="220" spans="1:48" s="879" customFormat="1" ht="14" x14ac:dyDescent="0.4">
      <c r="A220" s="876" t="s">
        <v>791</v>
      </c>
      <c r="C220" s="880">
        <f>+Model!AA148</f>
        <v>0</v>
      </c>
      <c r="D220" s="880">
        <f>+Model!AB148</f>
        <v>0</v>
      </c>
      <c r="E220" s="880">
        <f>+Model!AC148</f>
        <v>0</v>
      </c>
      <c r="F220" s="880">
        <f>+Model!AD148</f>
        <v>0</v>
      </c>
      <c r="G220" s="880">
        <f>+Model!AE148</f>
        <v>0</v>
      </c>
      <c r="H220" s="880">
        <f>+Model!AF148</f>
        <v>0</v>
      </c>
      <c r="I220" s="880">
        <f>+Model!AG148</f>
        <v>0</v>
      </c>
      <c r="J220" s="956">
        <f>+Model!AH148</f>
        <v>0</v>
      </c>
      <c r="K220" s="880">
        <f>+Model!AI148</f>
        <v>0</v>
      </c>
      <c r="L220" s="880">
        <f>+Model!AJ148</f>
        <v>0</v>
      </c>
      <c r="M220" s="880">
        <f>+Model!AK148</f>
        <v>0</v>
      </c>
      <c r="N220" s="956">
        <f>+Model!AL148</f>
        <v>0</v>
      </c>
      <c r="O220" s="880">
        <f>+Model!AM148</f>
        <v>0</v>
      </c>
      <c r="P220" s="880">
        <f>+Model!AN148</f>
        <v>0</v>
      </c>
      <c r="Q220" s="880">
        <f>+Model!AO148</f>
        <v>0</v>
      </c>
      <c r="R220" s="956">
        <f>+Model!AP148</f>
        <v>0</v>
      </c>
      <c r="S220" s="880">
        <f>+Model!AQ148</f>
        <v>0</v>
      </c>
      <c r="T220" s="880">
        <f>+Model!AR148</f>
        <v>0</v>
      </c>
      <c r="U220" s="880">
        <f>+Model!AS148</f>
        <v>0</v>
      </c>
      <c r="V220" s="956">
        <f>+Model!AT148</f>
        <v>0</v>
      </c>
      <c r="W220" s="880">
        <f>+Model!AU148</f>
        <v>0</v>
      </c>
      <c r="X220" s="880">
        <v>0</v>
      </c>
      <c r="Y220" s="880">
        <v>0</v>
      </c>
      <c r="Z220" s="880">
        <v>0</v>
      </c>
      <c r="AA220" s="1273">
        <v>0</v>
      </c>
      <c r="AB220" s="880"/>
      <c r="AC220" s="880"/>
      <c r="AD220" s="880"/>
      <c r="AE220" s="880"/>
      <c r="AF220" s="880"/>
      <c r="AG220" s="880"/>
      <c r="AH220" s="880"/>
      <c r="AI220" s="880"/>
      <c r="AJ220" s="880">
        <f>+Model!BD148</f>
        <v>21.084</v>
      </c>
      <c r="AK220" s="880">
        <f>+Model!BE148</f>
        <v>14.22</v>
      </c>
      <c r="AL220" s="880">
        <f>+Model!BF148</f>
        <v>14.381</v>
      </c>
      <c r="AM220" s="880">
        <f>+Model!BG148</f>
        <v>10.071</v>
      </c>
      <c r="AN220" s="880">
        <f>+Model!BH148</f>
        <v>12.457000000000001</v>
      </c>
      <c r="AO220" s="880">
        <f>+Model!BI148</f>
        <v>9.2479999999999993</v>
      </c>
      <c r="AP220" s="880">
        <f>+Model!BJ148</f>
        <v>0</v>
      </c>
      <c r="AQ220" s="880">
        <f>+Model!BK148</f>
        <v>0</v>
      </c>
      <c r="AR220" s="880">
        <f>+Model!BL148</f>
        <v>0</v>
      </c>
      <c r="AS220" s="880">
        <f>+Model!BM148</f>
        <v>0</v>
      </c>
      <c r="AT220" s="880">
        <f>+Model!BN148</f>
        <v>0</v>
      </c>
      <c r="AU220" s="970">
        <f t="shared" si="752"/>
        <v>0</v>
      </c>
      <c r="AV220" s="895"/>
    </row>
    <row r="221" spans="1:48" s="876" customFormat="1" x14ac:dyDescent="0.25">
      <c r="A221" s="882" t="s">
        <v>545</v>
      </c>
      <c r="C221" s="877">
        <f t="shared" ref="C221" si="780">+C218-C220-C219</f>
        <v>-13.752000000000024</v>
      </c>
      <c r="D221" s="877">
        <f t="shared" ref="D221" si="781">+D218-D220-D219</f>
        <v>33.290000000000006</v>
      </c>
      <c r="E221" s="877">
        <f t="shared" ref="E221" si="782">+E218-E220-E219</f>
        <v>23.267000000000017</v>
      </c>
      <c r="F221" s="877">
        <f t="shared" ref="F221" si="783">+F218-F220-F219</f>
        <v>2.680999999999969</v>
      </c>
      <c r="G221" s="877">
        <f t="shared" ref="G221" si="784">+G218-G220-G219</f>
        <v>-19.388000000000019</v>
      </c>
      <c r="H221" s="877">
        <f t="shared" ref="H221" si="785">+H218-H220-H219</f>
        <v>30.305000000000028</v>
      </c>
      <c r="I221" s="877">
        <f t="shared" ref="I221" si="786">+I218-I220-I219</f>
        <v>14.499000000000009</v>
      </c>
      <c r="J221" s="954">
        <f t="shared" ref="J221" si="787">+J218-J220-J219</f>
        <v>7.0410000000001531</v>
      </c>
      <c r="K221" s="877">
        <f t="shared" ref="K221" si="788">+K218-K220-K219</f>
        <v>12.063999999999993</v>
      </c>
      <c r="L221" s="877">
        <f t="shared" ref="L221" si="789">+L218-L220-L219</f>
        <v>38.451999999999956</v>
      </c>
      <c r="M221" s="877">
        <f t="shared" ref="M221" si="790">+M218-M220-M219</f>
        <v>38.552999999999997</v>
      </c>
      <c r="N221" s="954">
        <f t="shared" ref="N221" si="791">+N218-N220-N219</f>
        <v>21.387000000000057</v>
      </c>
      <c r="O221" s="877">
        <f t="shared" ref="O221" si="792">+O218-O220-O219</f>
        <v>-6.9770000000000039</v>
      </c>
      <c r="P221" s="877">
        <f t="shared" ref="P221" si="793">+P218-P220-P219</f>
        <v>56.91500000000002</v>
      </c>
      <c r="Q221" s="877">
        <f t="shared" ref="Q221" si="794">+Q218-Q220-Q219</f>
        <v>60.593999999999994</v>
      </c>
      <c r="R221" s="954">
        <f t="shared" ref="R221" si="795">+R218-R220-R219</f>
        <v>46.095999999999975</v>
      </c>
      <c r="S221" s="877">
        <f t="shared" ref="S221" si="796">+S218-S220-S219</f>
        <v>-28.718999999999994</v>
      </c>
      <c r="T221" s="877">
        <f t="shared" ref="T221" si="797">+T218-T220-T219</f>
        <v>68.073000000000022</v>
      </c>
      <c r="U221" s="877">
        <f t="shared" ref="U221" si="798">+U218-U220-U219</f>
        <v>72.199000000000012</v>
      </c>
      <c r="V221" s="954">
        <f t="shared" ref="V221" si="799">+V218-V220-V219</f>
        <v>53.94599999999997</v>
      </c>
      <c r="W221" s="877">
        <f t="shared" ref="W221:X221" si="800">+W218-W220-W219</f>
        <v>3.3199999999999648</v>
      </c>
      <c r="X221" s="877">
        <f t="shared" si="800"/>
        <v>84.288999999999973</v>
      </c>
      <c r="Y221" s="877">
        <f t="shared" ref="Y221:AA221" si="801">+Y218-Y220-Y219</f>
        <v>88.313000000000002</v>
      </c>
      <c r="Z221" s="877">
        <f t="shared" si="801"/>
        <v>73.677999999999983</v>
      </c>
      <c r="AA221" s="1272">
        <f t="shared" si="801"/>
        <v>47.343999999999966</v>
      </c>
      <c r="AB221" s="877"/>
      <c r="AC221" s="877"/>
      <c r="AD221" s="877"/>
      <c r="AE221" s="877"/>
      <c r="AF221" s="877"/>
      <c r="AG221" s="877"/>
      <c r="AH221" s="877"/>
      <c r="AI221" s="877"/>
      <c r="AJ221" s="877">
        <f t="shared" ref="AJ221:AS221" si="802">+AJ218-AJ220-AJ219</f>
        <v>45.706000000000017</v>
      </c>
      <c r="AK221" s="877">
        <f t="shared" si="802"/>
        <v>22.855999999999938</v>
      </c>
      <c r="AL221" s="877">
        <f t="shared" si="802"/>
        <v>18.427000000000021</v>
      </c>
      <c r="AM221" s="877">
        <f t="shared" si="802"/>
        <v>13.914000000000044</v>
      </c>
      <c r="AN221" s="877">
        <f t="shared" si="802"/>
        <v>13.128999999999962</v>
      </c>
      <c r="AO221" s="877">
        <f t="shared" si="802"/>
        <v>25.545000000000016</v>
      </c>
      <c r="AP221" s="877">
        <f t="shared" si="802"/>
        <v>45.485999999999933</v>
      </c>
      <c r="AQ221" s="877">
        <f t="shared" si="802"/>
        <v>32.457000000000107</v>
      </c>
      <c r="AR221" s="877">
        <f t="shared" si="802"/>
        <v>110.45599999999996</v>
      </c>
      <c r="AS221" s="877">
        <f t="shared" si="802"/>
        <v>156.62799999999993</v>
      </c>
      <c r="AT221" s="877">
        <f>+AT218-AT220-AT219</f>
        <v>165.49899999999991</v>
      </c>
      <c r="AU221" s="968">
        <f t="shared" si="752"/>
        <v>249.59999999999991</v>
      </c>
      <c r="AV221" s="894"/>
    </row>
    <row r="222" spans="1:48" s="876" customFormat="1" x14ac:dyDescent="0.25">
      <c r="A222" s="936" t="s">
        <v>792</v>
      </c>
      <c r="C222" s="898">
        <f>+Model!AA151</f>
        <v>0</v>
      </c>
      <c r="D222" s="898">
        <f>+Model!AB151</f>
        <v>0</v>
      </c>
      <c r="E222" s="898">
        <f>+Model!AC151</f>
        <v>0</v>
      </c>
      <c r="F222" s="898">
        <f>+Model!AD151</f>
        <v>0</v>
      </c>
      <c r="G222" s="898">
        <f>+Model!AE151</f>
        <v>0</v>
      </c>
      <c r="H222" s="898">
        <f>+Model!AF151</f>
        <v>0</v>
      </c>
      <c r="I222" s="898">
        <f>+Model!AG151</f>
        <v>0</v>
      </c>
      <c r="J222" s="957">
        <f>+Model!AH151</f>
        <v>0</v>
      </c>
      <c r="K222" s="898">
        <f>+Model!AI151</f>
        <v>0</v>
      </c>
      <c r="L222" s="898">
        <f>+Model!AJ151</f>
        <v>0</v>
      </c>
      <c r="M222" s="898">
        <f>+Model!AK151</f>
        <v>0</v>
      </c>
      <c r="N222" s="957">
        <f>+Model!AL151</f>
        <v>0</v>
      </c>
      <c r="O222" s="898">
        <f>+Model!AM151</f>
        <v>0</v>
      </c>
      <c r="P222" s="898">
        <f>+Model!AN151</f>
        <v>0</v>
      </c>
      <c r="Q222" s="898">
        <f>+Model!AO151</f>
        <v>0</v>
      </c>
      <c r="R222" s="957">
        <f>+Model!AP151</f>
        <v>0</v>
      </c>
      <c r="S222" s="898">
        <f>+Model!AQ151</f>
        <v>0</v>
      </c>
      <c r="T222" s="898">
        <f>+Model!AR151</f>
        <v>0</v>
      </c>
      <c r="U222" s="898">
        <f>+Model!AS151</f>
        <v>0</v>
      </c>
      <c r="V222" s="957">
        <f>+Model!AT151</f>
        <v>0</v>
      </c>
      <c r="W222" s="898">
        <f>+Model!AU151</f>
        <v>0</v>
      </c>
      <c r="X222" s="877">
        <v>0</v>
      </c>
      <c r="Y222" s="877">
        <v>0</v>
      </c>
      <c r="Z222" s="877">
        <v>0</v>
      </c>
      <c r="AA222" s="1272">
        <v>0</v>
      </c>
      <c r="AB222" s="877"/>
      <c r="AC222" s="877"/>
      <c r="AD222" s="877"/>
      <c r="AE222" s="877"/>
      <c r="AF222" s="877"/>
      <c r="AG222" s="877"/>
      <c r="AH222" s="877"/>
      <c r="AI222" s="877"/>
      <c r="AJ222" s="898">
        <f>+Model!BD151</f>
        <v>0</v>
      </c>
      <c r="AK222" s="898">
        <f>+Model!BE151</f>
        <v>6.4039999999999999</v>
      </c>
      <c r="AL222" s="898">
        <f>+Model!BF151</f>
        <v>0</v>
      </c>
      <c r="AM222" s="898">
        <f>+Model!BG151</f>
        <v>0</v>
      </c>
      <c r="AN222" s="898">
        <f>+Model!BH151</f>
        <v>0</v>
      </c>
      <c r="AO222" s="898">
        <f>+Model!BI151</f>
        <v>0</v>
      </c>
      <c r="AP222" s="898">
        <f>+Model!BJ151</f>
        <v>0</v>
      </c>
      <c r="AQ222" s="898">
        <f>+Model!BK151</f>
        <v>0</v>
      </c>
      <c r="AR222" s="898">
        <f>+Model!BL151</f>
        <v>0</v>
      </c>
      <c r="AS222" s="898">
        <f>+Model!BM151</f>
        <v>0</v>
      </c>
      <c r="AT222" s="898">
        <f>+Model!BN151</f>
        <v>0</v>
      </c>
      <c r="AU222" s="971">
        <f t="shared" si="752"/>
        <v>0</v>
      </c>
      <c r="AV222" s="894"/>
    </row>
    <row r="223" spans="1:48" s="876" customFormat="1" x14ac:dyDescent="0.25">
      <c r="A223" s="936" t="s">
        <v>793</v>
      </c>
      <c r="C223" s="898">
        <f>+Model!AA152</f>
        <v>0</v>
      </c>
      <c r="D223" s="898">
        <f>+Model!AB152</f>
        <v>0</v>
      </c>
      <c r="E223" s="898">
        <f>+Model!AC152</f>
        <v>0</v>
      </c>
      <c r="F223" s="898">
        <f>+Model!AD152</f>
        <v>0</v>
      </c>
      <c r="G223" s="898">
        <f>+Model!AE152</f>
        <v>0</v>
      </c>
      <c r="H223" s="898">
        <f>+Model!AF152</f>
        <v>0</v>
      </c>
      <c r="I223" s="898">
        <f>+Model!AG152</f>
        <v>0</v>
      </c>
      <c r="J223" s="957">
        <f>+Model!AH152</f>
        <v>0</v>
      </c>
      <c r="K223" s="898">
        <f>+Model!AI152</f>
        <v>0</v>
      </c>
      <c r="L223" s="898">
        <f>+Model!AJ152</f>
        <v>0</v>
      </c>
      <c r="M223" s="898">
        <f>+Model!AK152</f>
        <v>0</v>
      </c>
      <c r="N223" s="957">
        <f>+Model!AL152</f>
        <v>0</v>
      </c>
      <c r="O223" s="898">
        <f>+Model!AM152</f>
        <v>0</v>
      </c>
      <c r="P223" s="898">
        <f>+Model!AN152</f>
        <v>0</v>
      </c>
      <c r="Q223" s="898">
        <f>+Model!AO152</f>
        <v>0</v>
      </c>
      <c r="R223" s="957">
        <f>+Model!AP152</f>
        <v>0</v>
      </c>
      <c r="S223" s="898">
        <f>+Model!AQ152</f>
        <v>0</v>
      </c>
      <c r="T223" s="898">
        <f>+Model!AR152</f>
        <v>0</v>
      </c>
      <c r="U223" s="898">
        <f>+Model!AS152</f>
        <v>0</v>
      </c>
      <c r="V223" s="957">
        <f>+Model!AT152</f>
        <v>0</v>
      </c>
      <c r="W223" s="898">
        <f>+Model!AU152</f>
        <v>0</v>
      </c>
      <c r="X223" s="877">
        <v>0</v>
      </c>
      <c r="Y223" s="877">
        <v>0</v>
      </c>
      <c r="Z223" s="877">
        <v>0</v>
      </c>
      <c r="AA223" s="1272">
        <v>0</v>
      </c>
      <c r="AB223" s="877"/>
      <c r="AC223" s="877"/>
      <c r="AD223" s="877"/>
      <c r="AE223" s="877"/>
      <c r="AF223" s="877"/>
      <c r="AG223" s="877"/>
      <c r="AH223" s="877"/>
      <c r="AI223" s="877"/>
      <c r="AJ223" s="898">
        <f>+Model!BD152</f>
        <v>0</v>
      </c>
      <c r="AK223" s="898">
        <f>+Model!BE152</f>
        <v>0</v>
      </c>
      <c r="AL223" s="898">
        <f>+Model!BF152</f>
        <v>0</v>
      </c>
      <c r="AM223" s="898">
        <f>+Model!BG152</f>
        <v>0</v>
      </c>
      <c r="AN223" s="898">
        <f>+Model!BH152</f>
        <v>-10</v>
      </c>
      <c r="AO223" s="898">
        <f>+Model!BI152</f>
        <v>0</v>
      </c>
      <c r="AP223" s="898">
        <f>+Model!BJ152</f>
        <v>0</v>
      </c>
      <c r="AQ223" s="898">
        <f>+Model!BK152</f>
        <v>0</v>
      </c>
      <c r="AR223" s="898">
        <f>+Model!BL152</f>
        <v>0</v>
      </c>
      <c r="AS223" s="898">
        <f>+Model!BM152</f>
        <v>0</v>
      </c>
      <c r="AT223" s="898">
        <f>+Model!BN152</f>
        <v>0</v>
      </c>
      <c r="AU223" s="971">
        <f t="shared" si="752"/>
        <v>0</v>
      </c>
      <c r="AV223" s="894"/>
    </row>
    <row r="224" spans="1:48" x14ac:dyDescent="0.25">
      <c r="A224" s="936" t="s">
        <v>788</v>
      </c>
      <c r="C224" s="898">
        <f>+Model!AA153</f>
        <v>0.316</v>
      </c>
      <c r="D224" s="898">
        <f>+Model!AB153</f>
        <v>0.47699999999999998</v>
      </c>
      <c r="E224" s="898">
        <f>+Model!AC153</f>
        <v>0.754</v>
      </c>
      <c r="F224" s="898">
        <f>+Model!AD153</f>
        <v>1.2140000000000002</v>
      </c>
      <c r="G224" s="898">
        <f>+Model!AE153</f>
        <v>0.91</v>
      </c>
      <c r="H224" s="898">
        <f>+Model!AF153</f>
        <v>0.441</v>
      </c>
      <c r="I224" s="898">
        <f>+Model!AG153</f>
        <v>-7.5999999999999998E-2</v>
      </c>
      <c r="J224" s="957">
        <f>+Model!AH153</f>
        <v>-0.57700000000000018</v>
      </c>
      <c r="K224" s="898">
        <f>+Model!AI153</f>
        <v>-2.1070000000000002</v>
      </c>
      <c r="L224" s="898">
        <f>+Model!AJ153</f>
        <v>-5.024</v>
      </c>
      <c r="M224" s="898">
        <f>+Model!AK153</f>
        <v>-5.3710000000000004</v>
      </c>
      <c r="N224" s="957">
        <f>+Model!AL153</f>
        <v>-5.4769999999999985</v>
      </c>
      <c r="O224" s="898">
        <f>+Model!AM153</f>
        <v>-1.9930000000000001</v>
      </c>
      <c r="P224" s="898">
        <f>+Model!AN153</f>
        <v>-1.875</v>
      </c>
      <c r="Q224" s="898">
        <f>+Model!AO153</f>
        <v>-2.3730000000000002</v>
      </c>
      <c r="R224" s="957">
        <f>+Model!AP153</f>
        <v>-2.0359999999999987</v>
      </c>
      <c r="S224" s="898">
        <f>+Model!AQ153</f>
        <v>-2.0459999999999998</v>
      </c>
      <c r="T224" s="898">
        <f>+Model!AR153</f>
        <v>-2.0819999999999999</v>
      </c>
      <c r="U224" s="898">
        <f>+Model!AS153</f>
        <v>-2.206</v>
      </c>
      <c r="V224" s="957">
        <f>+Model!AT153</f>
        <v>-2.0700000000000007</v>
      </c>
      <c r="W224" s="898">
        <f>+Model!AU153</f>
        <v>-2.0680000000000001</v>
      </c>
      <c r="X224" s="877">
        <v>-2.0219999999999998</v>
      </c>
      <c r="Y224" s="877">
        <v>-2.4039999999999999</v>
      </c>
      <c r="Z224" s="877">
        <v>-2.3180000000000001</v>
      </c>
      <c r="AA224" s="1272">
        <v>-2.3530000000000002</v>
      </c>
      <c r="AB224" s="877"/>
      <c r="AC224" s="877"/>
      <c r="AD224" s="877"/>
      <c r="AJ224" s="898">
        <f>+Model!BD153</f>
        <v>0.85099999999999998</v>
      </c>
      <c r="AK224" s="898">
        <f>+Model!BE153</f>
        <v>-6.9000000000000006E-2</v>
      </c>
      <c r="AL224" s="898">
        <f>+Model!BF153</f>
        <v>-3.2909999999999999</v>
      </c>
      <c r="AM224" s="898">
        <f>+Model!BG153</f>
        <v>-0.61699999999999999</v>
      </c>
      <c r="AN224" s="898">
        <f>+Model!BH153</f>
        <v>1.8080000000000001</v>
      </c>
      <c r="AO224" s="898">
        <f>+Model!BI153</f>
        <v>0.96499999999999997</v>
      </c>
      <c r="AP224" s="898">
        <f>+Model!BJ153</f>
        <v>2.7610000000000001</v>
      </c>
      <c r="AQ224" s="898">
        <f>+Model!BK153</f>
        <v>0.69799999999999995</v>
      </c>
      <c r="AR224" s="898">
        <f>+Model!BL153</f>
        <v>-17.978999999999999</v>
      </c>
      <c r="AS224" s="898">
        <f>+Model!BM153</f>
        <v>-8.2769999999999992</v>
      </c>
      <c r="AT224" s="898">
        <f>+Model!BN153</f>
        <v>-8.4039999999999999</v>
      </c>
      <c r="AU224" s="971">
        <f t="shared" si="752"/>
        <v>-8.8119999999999994</v>
      </c>
    </row>
    <row r="225" spans="1:48" s="879" customFormat="1" ht="14" x14ac:dyDescent="0.4">
      <c r="A225" s="876" t="s">
        <v>789</v>
      </c>
      <c r="C225" s="880">
        <f>+Model!AA154</f>
        <v>0.193</v>
      </c>
      <c r="D225" s="880">
        <f>+Model!AB154</f>
        <v>-0.78900000000000003</v>
      </c>
      <c r="E225" s="880">
        <f>+Model!AC154</f>
        <v>0.55600000000000005</v>
      </c>
      <c r="F225" s="880">
        <f>+Model!AD154</f>
        <v>0.15399999999999997</v>
      </c>
      <c r="G225" s="880">
        <f>+Model!AE154</f>
        <v>-8.0000000000000002E-3</v>
      </c>
      <c r="H225" s="880">
        <f>+Model!AF154</f>
        <v>0.36499999999999999</v>
      </c>
      <c r="I225" s="880">
        <f>+Model!AG154</f>
        <v>-1.093</v>
      </c>
      <c r="J225" s="956">
        <f>+Model!AH154</f>
        <v>1.008</v>
      </c>
      <c r="K225" s="880">
        <f>+Model!AI154</f>
        <v>0.42899999999999999</v>
      </c>
      <c r="L225" s="880">
        <f>+Model!AJ154</f>
        <v>1.361</v>
      </c>
      <c r="M225" s="880">
        <f>+Model!AK154</f>
        <v>0.48599999999999999</v>
      </c>
      <c r="N225" s="956">
        <f>+Model!AL154</f>
        <v>0.55299999999999994</v>
      </c>
      <c r="O225" s="880">
        <f>+Model!AM154</f>
        <v>-8.8999999999999996E-2</v>
      </c>
      <c r="P225" s="880">
        <f>+Model!AN154</f>
        <v>3.8839999999999999</v>
      </c>
      <c r="Q225" s="880">
        <f>+Model!AO154</f>
        <v>0.496</v>
      </c>
      <c r="R225" s="956">
        <f>+Model!AP154</f>
        <v>-5.5679999999999996</v>
      </c>
      <c r="S225" s="880">
        <f>+Model!AQ154</f>
        <v>1.0369999999999999</v>
      </c>
      <c r="T225" s="880">
        <f>+Model!AR154</f>
        <v>3.9699999999999998</v>
      </c>
      <c r="U225" s="880">
        <f>+Model!AS154</f>
        <v>4.5869999999999997</v>
      </c>
      <c r="V225" s="956">
        <f>+Model!AT154</f>
        <v>5.8580000000000005</v>
      </c>
      <c r="W225" s="880">
        <f>+Model!AU154</f>
        <v>5.165</v>
      </c>
      <c r="X225" s="880">
        <v>6.5380000000000003</v>
      </c>
      <c r="Y225" s="880">
        <v>7.6779999999999999</v>
      </c>
      <c r="Z225" s="880">
        <v>7.5190000000000001</v>
      </c>
      <c r="AA225" s="1273">
        <v>8.7780000000000005</v>
      </c>
      <c r="AB225" s="880"/>
      <c r="AC225" s="880"/>
      <c r="AD225" s="880"/>
      <c r="AE225" s="880"/>
      <c r="AF225" s="880"/>
      <c r="AG225" s="880"/>
      <c r="AH225" s="880"/>
      <c r="AI225" s="880"/>
      <c r="AJ225" s="880">
        <f>+Model!BD154</f>
        <v>0</v>
      </c>
      <c r="AK225" s="880">
        <f>+Model!BE154</f>
        <v>0</v>
      </c>
      <c r="AL225" s="880">
        <f>+Model!BF154</f>
        <v>0</v>
      </c>
      <c r="AM225" s="880">
        <f>+Model!BG154</f>
        <v>0</v>
      </c>
      <c r="AN225" s="880">
        <f>+Model!BH154</f>
        <v>0</v>
      </c>
      <c r="AO225" s="880">
        <f>+Model!BI154</f>
        <v>0</v>
      </c>
      <c r="AP225" s="880">
        <f>+Model!BJ154</f>
        <v>0.114</v>
      </c>
      <c r="AQ225" s="880">
        <f>+Model!BK154</f>
        <v>0.27200000000000002</v>
      </c>
      <c r="AR225" s="880">
        <f>+Model!BL154</f>
        <v>2.8290000000000002</v>
      </c>
      <c r="AS225" s="880">
        <f>+Model!BM154</f>
        <v>-1.2769999999999999</v>
      </c>
      <c r="AT225" s="880">
        <f>+Model!BN154</f>
        <v>15.452</v>
      </c>
      <c r="AU225" s="970">
        <f t="shared" si="752"/>
        <v>26.9</v>
      </c>
      <c r="AV225" s="895"/>
    </row>
    <row r="226" spans="1:48" s="876" customFormat="1" x14ac:dyDescent="0.25">
      <c r="A226" s="882" t="s">
        <v>790</v>
      </c>
      <c r="C226" s="877">
        <f t="shared" ref="C226" si="803">+SUM(C221:C225)</f>
        <v>-13.243000000000023</v>
      </c>
      <c r="D226" s="877">
        <f t="shared" ref="D226" si="804">+SUM(D221:D225)</f>
        <v>32.978000000000002</v>
      </c>
      <c r="E226" s="877">
        <f t="shared" ref="E226" si="805">+SUM(E221:E225)</f>
        <v>24.577000000000019</v>
      </c>
      <c r="F226" s="877">
        <f t="shared" ref="F226" si="806">+SUM(F221:F225)</f>
        <v>4.0489999999999693</v>
      </c>
      <c r="G226" s="877">
        <f t="shared" ref="G226" si="807">+SUM(G221:G225)</f>
        <v>-18.486000000000018</v>
      </c>
      <c r="H226" s="877">
        <f t="shared" ref="H226" si="808">+SUM(H221:H225)</f>
        <v>31.111000000000026</v>
      </c>
      <c r="I226" s="877">
        <f t="shared" ref="I226" si="809">+SUM(I221:I225)</f>
        <v>13.330000000000009</v>
      </c>
      <c r="J226" s="954">
        <f t="shared" ref="J226" si="810">+SUM(J221:J225)</f>
        <v>7.4720000000001532</v>
      </c>
      <c r="K226" s="877">
        <f t="shared" ref="K226" si="811">+SUM(K221:K225)</f>
        <v>10.385999999999994</v>
      </c>
      <c r="L226" s="877">
        <f t="shared" ref="L226" si="812">+SUM(L221:L225)</f>
        <v>34.788999999999952</v>
      </c>
      <c r="M226" s="877">
        <f t="shared" ref="M226" si="813">+SUM(M221:M225)</f>
        <v>33.667999999999992</v>
      </c>
      <c r="N226" s="954">
        <f t="shared" ref="N226" si="814">+SUM(N221:N225)</f>
        <v>16.463000000000058</v>
      </c>
      <c r="O226" s="877">
        <f t="shared" ref="O226" si="815">+SUM(O221:O225)</f>
        <v>-9.0590000000000046</v>
      </c>
      <c r="P226" s="877">
        <f t="shared" ref="P226" si="816">+SUM(P221:P225)</f>
        <v>58.924000000000021</v>
      </c>
      <c r="Q226" s="877">
        <f t="shared" ref="Q226" si="817">+SUM(Q221:Q225)</f>
        <v>58.716999999999999</v>
      </c>
      <c r="R226" s="954">
        <f t="shared" ref="R226" si="818">+SUM(R221:R225)</f>
        <v>38.491999999999976</v>
      </c>
      <c r="S226" s="877">
        <f t="shared" ref="S226" si="819">+SUM(S221:S225)</f>
        <v>-29.727999999999994</v>
      </c>
      <c r="T226" s="877">
        <f t="shared" ref="T226" si="820">+SUM(T221:T225)</f>
        <v>69.961000000000027</v>
      </c>
      <c r="U226" s="877">
        <f t="shared" ref="U226" si="821">+SUM(U221:U225)</f>
        <v>74.580000000000013</v>
      </c>
      <c r="V226" s="954">
        <f t="shared" ref="V226:X226" si="822">+SUM(V221:V225)</f>
        <v>57.733999999999966</v>
      </c>
      <c r="W226" s="877">
        <f t="shared" ref="W226" si="823">+SUM(W221:W225)</f>
        <v>6.4169999999999643</v>
      </c>
      <c r="X226" s="877">
        <f t="shared" si="822"/>
        <v>88.804999999999964</v>
      </c>
      <c r="Y226" s="877">
        <f t="shared" ref="Y226:AA226" si="824">+SUM(Y221:Y225)</f>
        <v>93.587000000000003</v>
      </c>
      <c r="Z226" s="877">
        <f t="shared" si="824"/>
        <v>78.878999999999991</v>
      </c>
      <c r="AA226" s="1272">
        <f t="shared" si="824"/>
        <v>53.768999999999963</v>
      </c>
      <c r="AB226" s="877"/>
      <c r="AC226" s="877"/>
      <c r="AD226" s="877"/>
      <c r="AE226" s="877"/>
      <c r="AF226" s="877"/>
      <c r="AG226" s="877"/>
      <c r="AH226" s="877"/>
      <c r="AI226" s="877"/>
      <c r="AJ226" s="877">
        <f t="shared" ref="AJ226:AS226" si="825">+SUM(AJ221:AJ225)</f>
        <v>46.557000000000016</v>
      </c>
      <c r="AK226" s="877">
        <f t="shared" si="825"/>
        <v>29.190999999999939</v>
      </c>
      <c r="AL226" s="877">
        <f t="shared" si="825"/>
        <v>15.136000000000021</v>
      </c>
      <c r="AM226" s="877">
        <f t="shared" si="825"/>
        <v>13.297000000000043</v>
      </c>
      <c r="AN226" s="877">
        <f t="shared" si="825"/>
        <v>4.9369999999999621</v>
      </c>
      <c r="AO226" s="877">
        <f t="shared" si="825"/>
        <v>26.510000000000016</v>
      </c>
      <c r="AP226" s="877">
        <f t="shared" si="825"/>
        <v>48.360999999999933</v>
      </c>
      <c r="AQ226" s="877">
        <f t="shared" si="825"/>
        <v>33.427000000000106</v>
      </c>
      <c r="AR226" s="877">
        <f t="shared" si="825"/>
        <v>95.305999999999955</v>
      </c>
      <c r="AS226" s="877">
        <f t="shared" si="825"/>
        <v>147.07399999999996</v>
      </c>
      <c r="AT226" s="877">
        <f>+SUM(AT221:AT225)</f>
        <v>172.54699999999991</v>
      </c>
      <c r="AU226" s="968">
        <f t="shared" si="752"/>
        <v>267.68799999999987</v>
      </c>
      <c r="AV226" s="894"/>
    </row>
    <row r="227" spans="1:48" x14ac:dyDescent="0.25">
      <c r="A227" s="936" t="s">
        <v>794</v>
      </c>
      <c r="C227" s="898">
        <f>+Model!AA156</f>
        <v>5.0579999999999998</v>
      </c>
      <c r="D227" s="898">
        <f>+Model!AB156</f>
        <v>-9.0739999999999998</v>
      </c>
      <c r="E227" s="898">
        <f>+Model!AC156</f>
        <v>-5.8419999999999996</v>
      </c>
      <c r="F227" s="898">
        <f>+Model!AD156</f>
        <v>-0.66199999999999992</v>
      </c>
      <c r="G227" s="898">
        <f>+Model!AE156</f>
        <v>8.8179999999999996</v>
      </c>
      <c r="H227" s="898">
        <f>+Model!AF156</f>
        <v>-10.391999999999999</v>
      </c>
      <c r="I227" s="898">
        <f>+Model!AG156</f>
        <v>-4.4189999999999996</v>
      </c>
      <c r="J227" s="957">
        <f>+Model!AH156</f>
        <v>-2.5480000000000009</v>
      </c>
      <c r="K227" s="898">
        <f>+Model!AI156</f>
        <v>2.3759999999999999</v>
      </c>
      <c r="L227" s="898">
        <f>+Model!AJ156</f>
        <v>-10.641999999999999</v>
      </c>
      <c r="M227" s="898">
        <f>+Model!AK156</f>
        <v>-10.275</v>
      </c>
      <c r="N227" s="957">
        <f>+Model!AL156</f>
        <v>-5.9980000000000011</v>
      </c>
      <c r="O227" s="898">
        <f>+Model!AM156</f>
        <v>2.8929999999999998</v>
      </c>
      <c r="P227" s="898">
        <f>+Model!AN156</f>
        <v>-15.928000000000001</v>
      </c>
      <c r="Q227" s="898">
        <f>+Model!AO156</f>
        <v>-16.716000000000001</v>
      </c>
      <c r="R227" s="957">
        <f>+Model!AP156</f>
        <v>-10.337</v>
      </c>
      <c r="S227" s="898">
        <f>+Model!AQ156</f>
        <v>7.5069999999999997</v>
      </c>
      <c r="T227" s="898">
        <f>+Model!AR156</f>
        <v>-18.86</v>
      </c>
      <c r="U227" s="898">
        <f>+Model!AS156</f>
        <v>-19.524999999999999</v>
      </c>
      <c r="V227" s="957">
        <f>+Model!AT156</f>
        <v>-14.467999999999998</v>
      </c>
      <c r="W227" s="898">
        <f>+Model!AU156</f>
        <v>-1.536</v>
      </c>
      <c r="X227" s="877">
        <v>-22.19</v>
      </c>
      <c r="Y227" s="877">
        <v>-24.657</v>
      </c>
      <c r="Z227" s="877">
        <v>-16.099</v>
      </c>
      <c r="AA227" s="1272">
        <v>-11.276999999999999</v>
      </c>
      <c r="AB227" s="877"/>
      <c r="AC227" s="877"/>
      <c r="AD227" s="877"/>
      <c r="AJ227" s="898">
        <f>+Model!BD156</f>
        <v>-20.023</v>
      </c>
      <c r="AK227" s="898">
        <f>+Model!BE156</f>
        <v>-11.074999999999999</v>
      </c>
      <c r="AL227" s="898">
        <f>+Model!BF156</f>
        <v>-5.8100000000000005</v>
      </c>
      <c r="AM227" s="898">
        <f>+Model!BG156</f>
        <v>-4.7460000000000004</v>
      </c>
      <c r="AN227" s="898">
        <f>+Model!BH156</f>
        <v>-5.3959999999999999</v>
      </c>
      <c r="AO227" s="898">
        <f>+Model!BI156</f>
        <v>0.91</v>
      </c>
      <c r="AP227" s="898">
        <f>+Model!BJ156</f>
        <v>-10.52</v>
      </c>
      <c r="AQ227" s="898">
        <f>+Model!BK156</f>
        <v>-8.5410000000000004</v>
      </c>
      <c r="AR227" s="898">
        <f>+Model!BL156</f>
        <v>-24.539000000000001</v>
      </c>
      <c r="AS227" s="898">
        <f>+Model!BM156</f>
        <v>-40.088000000000001</v>
      </c>
      <c r="AT227" s="898">
        <f>+Model!BN156</f>
        <v>-45.345999999999997</v>
      </c>
      <c r="AU227" s="971">
        <f t="shared" si="752"/>
        <v>-64.481999999999999</v>
      </c>
    </row>
    <row r="228" spans="1:48" s="879" customFormat="1" ht="14" x14ac:dyDescent="0.4">
      <c r="A228" s="876" t="s">
        <v>795</v>
      </c>
      <c r="C228" s="880">
        <f>+Model!AA157</f>
        <v>-9.7000000000000003E-2</v>
      </c>
      <c r="D228" s="880">
        <f>+Model!AB157</f>
        <v>-0.192</v>
      </c>
      <c r="E228" s="880">
        <f>+Model!AC157</f>
        <v>-0.27300000000000002</v>
      </c>
      <c r="F228" s="880">
        <f>+Model!AD157</f>
        <v>-6.9999999999999951E-2</v>
      </c>
      <c r="G228" s="880">
        <f>+Model!AE157</f>
        <v>-6.2E-2</v>
      </c>
      <c r="H228" s="880">
        <f>+Model!AF157</f>
        <v>-0.125</v>
      </c>
      <c r="I228" s="880">
        <f>+Model!AG157</f>
        <v>-0.157</v>
      </c>
      <c r="J228" s="956">
        <f>+Model!AH157</f>
        <v>-3.6000000000000032E-2</v>
      </c>
      <c r="K228" s="880">
        <f>+Model!AI157</f>
        <v>-9.6000000000000002E-2</v>
      </c>
      <c r="L228" s="880">
        <f>+Model!AJ157</f>
        <v>0.35399999999999998</v>
      </c>
      <c r="M228" s="880">
        <f>+Model!AK157</f>
        <v>0.39600000000000002</v>
      </c>
      <c r="N228" s="956">
        <f>+Model!AL157</f>
        <v>3.0000000000000027E-2</v>
      </c>
      <c r="O228" s="880">
        <f>+Model!AM157</f>
        <v>0.28299999999999997</v>
      </c>
      <c r="P228" s="880">
        <f>+Model!AN157</f>
        <v>-0.99199999999999999</v>
      </c>
      <c r="Q228" s="880">
        <f>+Model!AO157</f>
        <v>0.91800000000000004</v>
      </c>
      <c r="R228" s="956">
        <f>+Model!AP157</f>
        <v>-6.4999999999999974E-2</v>
      </c>
      <c r="S228" s="880">
        <f>+Model!AQ157</f>
        <v>-0.45100000000000001</v>
      </c>
      <c r="T228" s="880">
        <f>+Model!AR157</f>
        <v>-0.39600000000000002</v>
      </c>
      <c r="U228" s="880">
        <f>+Model!AS157</f>
        <v>0.40699999999999997</v>
      </c>
      <c r="V228" s="956">
        <f>+Model!AT157</f>
        <v>0.10599999999999998</v>
      </c>
      <c r="W228" s="880">
        <f>+Model!AU157</f>
        <v>-3.0000000000000001E-3</v>
      </c>
      <c r="X228" s="880">
        <v>0.221</v>
      </c>
      <c r="Y228" s="880">
        <v>0.75700000000000001</v>
      </c>
      <c r="Z228" s="880">
        <v>2E-3</v>
      </c>
      <c r="AA228" s="1273">
        <v>-1.61</v>
      </c>
      <c r="AB228" s="880"/>
      <c r="AC228" s="880"/>
      <c r="AD228" s="880"/>
      <c r="AE228" s="880"/>
      <c r="AF228" s="880"/>
      <c r="AG228" s="880"/>
      <c r="AH228" s="880"/>
      <c r="AI228" s="880"/>
      <c r="AJ228" s="880">
        <f>+Model!BD157</f>
        <v>0</v>
      </c>
      <c r="AK228" s="880">
        <f>+Model!BE157</f>
        <v>0</v>
      </c>
      <c r="AL228" s="880">
        <f>+Model!BF157</f>
        <v>0</v>
      </c>
      <c r="AM228" s="880">
        <f>+Model!BG157</f>
        <v>0</v>
      </c>
      <c r="AN228" s="880">
        <f>+Model!BH157</f>
        <v>0</v>
      </c>
      <c r="AO228" s="880">
        <f>+Model!BI157</f>
        <v>0</v>
      </c>
      <c r="AP228" s="880">
        <f>+Model!BJ157</f>
        <v>-0.63200000000000001</v>
      </c>
      <c r="AQ228" s="880">
        <f>+Model!BK157</f>
        <v>-0.38</v>
      </c>
      <c r="AR228" s="880">
        <f>+Model!BL157</f>
        <v>0.68400000000000005</v>
      </c>
      <c r="AS228" s="880">
        <f>+Model!BM157</f>
        <v>0.14399999999999999</v>
      </c>
      <c r="AT228" s="880">
        <f>+Model!BN157</f>
        <v>-0.33400000000000002</v>
      </c>
      <c r="AU228" s="970">
        <f t="shared" si="752"/>
        <v>0.97699999999999998</v>
      </c>
      <c r="AV228" s="895"/>
    </row>
    <row r="229" spans="1:48" s="876" customFormat="1" x14ac:dyDescent="0.25">
      <c r="A229" s="882" t="s">
        <v>872</v>
      </c>
      <c r="C229" s="877">
        <f t="shared" ref="C229" si="826">+SUM(C226:C228)</f>
        <v>-8.2820000000000231</v>
      </c>
      <c r="D229" s="877">
        <f t="shared" ref="D229" si="827">+SUM(D226:D228)</f>
        <v>23.712000000000003</v>
      </c>
      <c r="E229" s="877">
        <f t="shared" ref="E229" si="828">+SUM(E226:E228)</f>
        <v>18.462000000000021</v>
      </c>
      <c r="F229" s="877">
        <f t="shared" ref="F229" si="829">+SUM(F226:F228)</f>
        <v>3.3169999999999695</v>
      </c>
      <c r="G229" s="877">
        <f t="shared" ref="G229" si="830">+SUM(G226:G228)</f>
        <v>-9.7300000000000182</v>
      </c>
      <c r="H229" s="877">
        <f t="shared" ref="H229" si="831">+SUM(H226:H228)</f>
        <v>20.594000000000026</v>
      </c>
      <c r="I229" s="877">
        <f t="shared" ref="I229" si="832">+SUM(I226:I228)</f>
        <v>8.7540000000000084</v>
      </c>
      <c r="J229" s="954">
        <f t="shared" ref="J229" si="833">+SUM(J226:J228)</f>
        <v>4.8880000000001527</v>
      </c>
      <c r="K229" s="877">
        <f t="shared" ref="K229" si="834">+SUM(K226:K228)</f>
        <v>12.665999999999993</v>
      </c>
      <c r="L229" s="877">
        <f t="shared" ref="L229" si="835">+SUM(L226:L228)</f>
        <v>24.500999999999951</v>
      </c>
      <c r="M229" s="877">
        <f t="shared" ref="M229" si="836">+SUM(M226:M228)</f>
        <v>23.788999999999994</v>
      </c>
      <c r="N229" s="954">
        <f t="shared" ref="N229" si="837">+SUM(N226:N228)</f>
        <v>10.495000000000056</v>
      </c>
      <c r="O229" s="877">
        <f t="shared" ref="O229" si="838">+SUM(O226:O228)</f>
        <v>-5.8830000000000044</v>
      </c>
      <c r="P229" s="877">
        <f t="shared" ref="P229" si="839">+SUM(P226:P228)</f>
        <v>42.004000000000026</v>
      </c>
      <c r="Q229" s="877">
        <f t="shared" ref="Q229" si="840">+SUM(Q226:Q228)</f>
        <v>42.918999999999997</v>
      </c>
      <c r="R229" s="954">
        <f t="shared" ref="R229" si="841">+SUM(R226:R228)</f>
        <v>28.089999999999975</v>
      </c>
      <c r="S229" s="877">
        <f t="shared" ref="S229" si="842">+SUM(S226:S228)</f>
        <v>-22.671999999999997</v>
      </c>
      <c r="T229" s="877">
        <f t="shared" ref="T229" si="843">+SUM(T226:T228)</f>
        <v>50.705000000000027</v>
      </c>
      <c r="U229" s="877">
        <f t="shared" ref="U229" si="844">+SUM(U226:U228)</f>
        <v>55.46200000000001</v>
      </c>
      <c r="V229" s="954">
        <f t="shared" ref="V229" si="845">+SUM(V226:V228)</f>
        <v>43.371999999999971</v>
      </c>
      <c r="W229" s="877">
        <f t="shared" ref="W229:X229" si="846">+SUM(W226:W228)</f>
        <v>4.8779999999999646</v>
      </c>
      <c r="X229" s="877">
        <f t="shared" si="846"/>
        <v>66.83599999999997</v>
      </c>
      <c r="Y229" s="877">
        <f t="shared" ref="Y229:AA229" si="847">+SUM(Y226:Y228)</f>
        <v>69.687000000000012</v>
      </c>
      <c r="Z229" s="877">
        <f t="shared" si="847"/>
        <v>62.781999999999989</v>
      </c>
      <c r="AA229" s="1272">
        <f t="shared" si="847"/>
        <v>40.881999999999962</v>
      </c>
      <c r="AB229" s="877">
        <v>86.25</v>
      </c>
      <c r="AC229" s="877"/>
      <c r="AD229" s="877"/>
      <c r="AE229" s="877"/>
      <c r="AF229" s="877"/>
      <c r="AG229" s="877"/>
      <c r="AH229" s="877"/>
      <c r="AI229" s="877"/>
      <c r="AJ229" s="877">
        <f t="shared" ref="AJ229:AS229" si="848">+SUM(AJ226:AJ228)</f>
        <v>26.534000000000017</v>
      </c>
      <c r="AK229" s="877">
        <f t="shared" si="848"/>
        <v>18.115999999999939</v>
      </c>
      <c r="AL229" s="877">
        <f t="shared" si="848"/>
        <v>9.3260000000000201</v>
      </c>
      <c r="AM229" s="877">
        <f t="shared" si="848"/>
        <v>8.5510000000000428</v>
      </c>
      <c r="AN229" s="877">
        <f t="shared" si="848"/>
        <v>-0.45900000000003782</v>
      </c>
      <c r="AO229" s="877">
        <f t="shared" si="848"/>
        <v>27.420000000000016</v>
      </c>
      <c r="AP229" s="877">
        <f t="shared" si="848"/>
        <v>37.208999999999939</v>
      </c>
      <c r="AQ229" s="877">
        <f t="shared" si="848"/>
        <v>24.506000000000107</v>
      </c>
      <c r="AR229" s="877">
        <f t="shared" si="848"/>
        <v>71.450999999999951</v>
      </c>
      <c r="AS229" s="877">
        <f t="shared" si="848"/>
        <v>107.12999999999997</v>
      </c>
      <c r="AT229" s="877">
        <f>+SUM(AT226:AT228)</f>
        <v>126.8669999999999</v>
      </c>
      <c r="AU229" s="968">
        <f t="shared" si="752"/>
        <v>204.18299999999994</v>
      </c>
      <c r="AV229" s="894"/>
    </row>
    <row r="230" spans="1:48" s="879" customFormat="1" ht="14" x14ac:dyDescent="0.4">
      <c r="A230" s="876" t="s">
        <v>225</v>
      </c>
      <c r="C230" s="880">
        <f>+Model!AA159</f>
        <v>0</v>
      </c>
      <c r="D230" s="880">
        <f>+Model!AB159</f>
        <v>0</v>
      </c>
      <c r="E230" s="880">
        <f>+Model!AC159</f>
        <v>0</v>
      </c>
      <c r="F230" s="880">
        <f>+Model!AD159</f>
        <v>0</v>
      </c>
      <c r="G230" s="880">
        <f>+Model!AE159</f>
        <v>0</v>
      </c>
      <c r="H230" s="880">
        <f>+Model!AF159</f>
        <v>0</v>
      </c>
      <c r="I230" s="880">
        <f>+Model!AG159</f>
        <v>0</v>
      </c>
      <c r="J230" s="956">
        <f>+Model!AH159</f>
        <v>0</v>
      </c>
      <c r="K230" s="880">
        <f>+Model!AI159</f>
        <v>0</v>
      </c>
      <c r="L230" s="880">
        <f>+Model!AJ159</f>
        <v>0</v>
      </c>
      <c r="M230" s="880">
        <f>+Model!AK159</f>
        <v>0</v>
      </c>
      <c r="N230" s="956">
        <f>+Model!AL159</f>
        <v>0</v>
      </c>
      <c r="O230" s="880">
        <f>+Model!AM159</f>
        <v>0</v>
      </c>
      <c r="P230" s="880">
        <f>+Model!AN159</f>
        <v>0</v>
      </c>
      <c r="Q230" s="880">
        <f>+Model!AO159</f>
        <v>0</v>
      </c>
      <c r="R230" s="956">
        <f>+Model!AP159</f>
        <v>0</v>
      </c>
      <c r="S230" s="880">
        <f>+Model!AQ159</f>
        <v>0</v>
      </c>
      <c r="T230" s="880">
        <f>+Model!AR159</f>
        <v>0</v>
      </c>
      <c r="U230" s="880">
        <f>+Model!AS159</f>
        <v>0</v>
      </c>
      <c r="V230" s="956">
        <f>+Model!AT159</f>
        <v>0</v>
      </c>
      <c r="W230" s="880">
        <f>+Model!AU159</f>
        <v>0</v>
      </c>
      <c r="X230" s="880">
        <v>0</v>
      </c>
      <c r="Y230" s="880">
        <v>0</v>
      </c>
      <c r="Z230" s="880">
        <v>0</v>
      </c>
      <c r="AA230" s="1273">
        <v>0</v>
      </c>
      <c r="AB230" s="880"/>
      <c r="AC230" s="880"/>
      <c r="AD230" s="880"/>
      <c r="AE230" s="880"/>
      <c r="AF230" s="880"/>
      <c r="AG230" s="880"/>
      <c r="AH230" s="880"/>
      <c r="AI230" s="880"/>
      <c r="AJ230" s="880">
        <f>+Model!BD159</f>
        <v>1.577</v>
      </c>
      <c r="AK230" s="880">
        <f>+Model!BE159</f>
        <v>1.484</v>
      </c>
      <c r="AL230" s="880">
        <f>+Model!BF159</f>
        <v>1.6619999999999999</v>
      </c>
      <c r="AM230" s="880">
        <f>+Model!BG159</f>
        <v>0.48399999999999999</v>
      </c>
      <c r="AN230" s="880">
        <f>+Model!BH159</f>
        <v>0.91</v>
      </c>
      <c r="AO230" s="880">
        <f>+Model!BI159</f>
        <v>0.2</v>
      </c>
      <c r="AP230" s="880">
        <f>+Model!BJ159</f>
        <v>0</v>
      </c>
      <c r="AQ230" s="880">
        <f>+Model!BK159</f>
        <v>0</v>
      </c>
      <c r="AR230" s="880">
        <f>+Model!BL159</f>
        <v>0</v>
      </c>
      <c r="AS230" s="880">
        <f>+Model!BM159</f>
        <v>0</v>
      </c>
      <c r="AT230" s="880">
        <f>+Model!BN159</f>
        <v>0</v>
      </c>
      <c r="AU230" s="970">
        <f t="shared" si="752"/>
        <v>0</v>
      </c>
      <c r="AV230" s="895"/>
    </row>
    <row r="231" spans="1:48" s="876" customFormat="1" x14ac:dyDescent="0.25">
      <c r="A231" s="882" t="s">
        <v>551</v>
      </c>
      <c r="C231" s="877">
        <f t="shared" ref="C231" si="849">+C229-C230</f>
        <v>-8.2820000000000231</v>
      </c>
      <c r="D231" s="877">
        <f t="shared" ref="D231" si="850">+D229-D230</f>
        <v>23.712000000000003</v>
      </c>
      <c r="E231" s="877">
        <f t="shared" ref="E231" si="851">+E229-E230</f>
        <v>18.462000000000021</v>
      </c>
      <c r="F231" s="877">
        <f t="shared" ref="F231" si="852">+F229-F230</f>
        <v>3.3169999999999695</v>
      </c>
      <c r="G231" s="877">
        <f t="shared" ref="G231" si="853">+G229-G230</f>
        <v>-9.7300000000000182</v>
      </c>
      <c r="H231" s="877">
        <f t="shared" ref="H231" si="854">+H229-H230</f>
        <v>20.594000000000026</v>
      </c>
      <c r="I231" s="877">
        <f t="shared" ref="I231" si="855">+I229-I230</f>
        <v>8.7540000000000084</v>
      </c>
      <c r="J231" s="954">
        <f t="shared" ref="J231" si="856">+J229-J230</f>
        <v>4.8880000000001527</v>
      </c>
      <c r="K231" s="877">
        <f t="shared" ref="K231" si="857">+K229-K230</f>
        <v>12.665999999999993</v>
      </c>
      <c r="L231" s="877">
        <f t="shared" ref="L231" si="858">+L229-L230</f>
        <v>24.500999999999951</v>
      </c>
      <c r="M231" s="877">
        <f t="shared" ref="M231" si="859">+M229-M230</f>
        <v>23.788999999999994</v>
      </c>
      <c r="N231" s="954">
        <f t="shared" ref="N231" si="860">+N229-N230</f>
        <v>10.495000000000056</v>
      </c>
      <c r="O231" s="877">
        <f t="shared" ref="O231" si="861">+O229-O230</f>
        <v>-5.8830000000000044</v>
      </c>
      <c r="P231" s="877">
        <f t="shared" ref="P231" si="862">+P229-P230</f>
        <v>42.004000000000026</v>
      </c>
      <c r="Q231" s="877">
        <f t="shared" ref="Q231" si="863">+Q229-Q230</f>
        <v>42.918999999999997</v>
      </c>
      <c r="R231" s="954">
        <f t="shared" ref="R231" si="864">+R229-R230</f>
        <v>28.089999999999975</v>
      </c>
      <c r="S231" s="877">
        <f t="shared" ref="S231" si="865">+S229-S230</f>
        <v>-22.671999999999997</v>
      </c>
      <c r="T231" s="877">
        <f t="shared" ref="T231" si="866">+T229-T230</f>
        <v>50.705000000000027</v>
      </c>
      <c r="U231" s="877">
        <f t="shared" ref="U231" si="867">+U229-U230</f>
        <v>55.46200000000001</v>
      </c>
      <c r="V231" s="954">
        <f t="shared" ref="V231" si="868">+V229-V230</f>
        <v>43.371999999999971</v>
      </c>
      <c r="W231" s="877">
        <f t="shared" ref="W231:X231" si="869">+W229-W230</f>
        <v>4.8779999999999646</v>
      </c>
      <c r="X231" s="877">
        <f t="shared" si="869"/>
        <v>66.83599999999997</v>
      </c>
      <c r="Y231" s="877">
        <f t="shared" ref="Y231:AA231" si="870">+Y229-Y230</f>
        <v>69.687000000000012</v>
      </c>
      <c r="Z231" s="877">
        <f t="shared" si="870"/>
        <v>62.781999999999989</v>
      </c>
      <c r="AA231" s="1272">
        <f t="shared" si="870"/>
        <v>40.881999999999962</v>
      </c>
      <c r="AB231" s="877"/>
      <c r="AC231" s="877"/>
      <c r="AD231" s="877"/>
      <c r="AE231" s="877"/>
      <c r="AF231" s="877"/>
      <c r="AG231" s="877"/>
      <c r="AH231" s="877"/>
      <c r="AI231" s="877"/>
      <c r="AJ231" s="877">
        <f t="shared" ref="AJ231:AS231" si="871">+AJ229-AJ230</f>
        <v>24.957000000000015</v>
      </c>
      <c r="AK231" s="877">
        <f t="shared" si="871"/>
        <v>16.631999999999941</v>
      </c>
      <c r="AL231" s="877">
        <f t="shared" si="871"/>
        <v>7.6640000000000201</v>
      </c>
      <c r="AM231" s="877">
        <f t="shared" si="871"/>
        <v>8.0670000000000428</v>
      </c>
      <c r="AN231" s="877">
        <f t="shared" si="871"/>
        <v>-1.369000000000038</v>
      </c>
      <c r="AO231" s="877">
        <f t="shared" si="871"/>
        <v>27.220000000000017</v>
      </c>
      <c r="AP231" s="877">
        <f t="shared" si="871"/>
        <v>37.208999999999939</v>
      </c>
      <c r="AQ231" s="877">
        <f t="shared" si="871"/>
        <v>24.506000000000107</v>
      </c>
      <c r="AR231" s="877">
        <f t="shared" si="871"/>
        <v>71.450999999999951</v>
      </c>
      <c r="AS231" s="877">
        <f t="shared" si="871"/>
        <v>107.12999999999997</v>
      </c>
      <c r="AT231" s="877">
        <f>+AT229-AT230</f>
        <v>126.8669999999999</v>
      </c>
      <c r="AU231" s="968">
        <f t="shared" si="752"/>
        <v>204.18299999999994</v>
      </c>
      <c r="AV231" s="894"/>
    </row>
    <row r="232" spans="1:48" s="876" customFormat="1" x14ac:dyDescent="0.25">
      <c r="A232" s="882"/>
      <c r="C232" s="877"/>
      <c r="D232" s="877"/>
      <c r="E232" s="877"/>
      <c r="F232" s="877"/>
      <c r="G232" s="877"/>
      <c r="H232" s="877"/>
      <c r="I232" s="877"/>
      <c r="J232" s="954"/>
      <c r="K232" s="877"/>
      <c r="L232" s="877"/>
      <c r="M232" s="877"/>
      <c r="N232" s="954"/>
      <c r="O232" s="877"/>
      <c r="P232" s="877"/>
      <c r="Q232" s="877"/>
      <c r="R232" s="954"/>
      <c r="S232" s="877"/>
      <c r="T232" s="877"/>
      <c r="U232" s="877"/>
      <c r="V232" s="954"/>
      <c r="W232" s="877"/>
      <c r="X232" s="877"/>
      <c r="Y232" s="877"/>
      <c r="Z232" s="877"/>
      <c r="AA232" s="1272"/>
      <c r="AB232" s="1270"/>
      <c r="AC232" s="877"/>
      <c r="AD232" s="877"/>
      <c r="AE232" s="877"/>
      <c r="AF232" s="877"/>
      <c r="AG232" s="877"/>
      <c r="AH232" s="877"/>
      <c r="AI232" s="877"/>
      <c r="AJ232" s="877"/>
      <c r="AK232" s="877"/>
      <c r="AL232" s="877"/>
      <c r="AM232" s="877"/>
      <c r="AN232" s="877"/>
      <c r="AO232" s="877"/>
      <c r="AP232" s="877"/>
      <c r="AQ232" s="877"/>
      <c r="AR232" s="877"/>
      <c r="AS232" s="877"/>
      <c r="AT232" s="877"/>
      <c r="AU232" s="968"/>
      <c r="AV232" s="894"/>
    </row>
    <row r="233" spans="1:48" s="876" customFormat="1" x14ac:dyDescent="0.25">
      <c r="A233" s="943" t="s">
        <v>732</v>
      </c>
      <c r="C233" s="877"/>
      <c r="D233" s="877"/>
      <c r="E233" s="877"/>
      <c r="F233" s="877"/>
      <c r="G233" s="877"/>
      <c r="H233" s="877"/>
      <c r="I233" s="877"/>
      <c r="J233" s="954"/>
      <c r="K233" s="877"/>
      <c r="L233" s="877"/>
      <c r="M233" s="877"/>
      <c r="N233" s="954"/>
      <c r="O233" s="877"/>
      <c r="P233" s="877"/>
      <c r="Q233" s="877"/>
      <c r="R233" s="954"/>
      <c r="S233" s="877"/>
      <c r="T233" s="877"/>
      <c r="U233" s="877"/>
      <c r="V233" s="954"/>
      <c r="W233" s="877"/>
      <c r="X233" s="877"/>
      <c r="Y233" s="877"/>
      <c r="Z233" s="877"/>
      <c r="AA233" s="1272"/>
      <c r="AB233" s="877"/>
      <c r="AC233" s="877"/>
      <c r="AD233" s="877"/>
      <c r="AE233" s="877"/>
      <c r="AF233" s="877"/>
      <c r="AG233" s="877"/>
      <c r="AH233" s="877"/>
      <c r="AI233" s="877"/>
      <c r="AJ233" s="877"/>
      <c r="AK233" s="877"/>
      <c r="AL233" s="877"/>
      <c r="AM233" s="877"/>
      <c r="AN233" s="877"/>
      <c r="AO233" s="877"/>
      <c r="AP233" s="877"/>
      <c r="AQ233" s="877"/>
      <c r="AR233" s="877"/>
      <c r="AS233" s="877"/>
      <c r="AT233" s="877"/>
      <c r="AU233" s="968"/>
      <c r="AV233" s="894"/>
    </row>
    <row r="234" spans="1:48" s="876" customFormat="1" x14ac:dyDescent="0.25">
      <c r="A234" s="876" t="str">
        <f>+Model!A173</f>
        <v>Income from Operations</v>
      </c>
      <c r="C234" s="877"/>
      <c r="D234" s="877"/>
      <c r="E234" s="877"/>
      <c r="F234" s="877"/>
      <c r="G234" s="877">
        <f t="shared" ref="G234:V234" si="872">+G221</f>
        <v>-19.388000000000019</v>
      </c>
      <c r="H234" s="877">
        <f t="shared" si="872"/>
        <v>30.305000000000028</v>
      </c>
      <c r="I234" s="877">
        <f t="shared" si="872"/>
        <v>14.499000000000009</v>
      </c>
      <c r="J234" s="954">
        <f t="shared" si="872"/>
        <v>7.0410000000001531</v>
      </c>
      <c r="K234" s="877">
        <f t="shared" si="872"/>
        <v>12.063999999999993</v>
      </c>
      <c r="L234" s="877">
        <f t="shared" si="872"/>
        <v>38.451999999999956</v>
      </c>
      <c r="M234" s="877">
        <f t="shared" si="872"/>
        <v>38.552999999999997</v>
      </c>
      <c r="N234" s="954">
        <f t="shared" si="872"/>
        <v>21.387000000000057</v>
      </c>
      <c r="O234" s="877">
        <f t="shared" si="872"/>
        <v>-6.9770000000000039</v>
      </c>
      <c r="P234" s="877">
        <f t="shared" si="872"/>
        <v>56.91500000000002</v>
      </c>
      <c r="Q234" s="877">
        <f t="shared" si="872"/>
        <v>60.593999999999994</v>
      </c>
      <c r="R234" s="954">
        <f t="shared" si="872"/>
        <v>46.095999999999975</v>
      </c>
      <c r="S234" s="877">
        <f t="shared" si="872"/>
        <v>-28.718999999999994</v>
      </c>
      <c r="T234" s="877">
        <f t="shared" si="872"/>
        <v>68.073000000000022</v>
      </c>
      <c r="U234" s="877">
        <f t="shared" si="872"/>
        <v>72.199000000000012</v>
      </c>
      <c r="V234" s="954">
        <f t="shared" si="872"/>
        <v>53.94599999999997</v>
      </c>
      <c r="W234" s="877">
        <f>+W221</f>
        <v>3.3199999999999648</v>
      </c>
      <c r="X234" s="877">
        <v>84.289000000000001</v>
      </c>
      <c r="Y234" s="877">
        <v>88.313000000000002</v>
      </c>
      <c r="Z234" s="877">
        <v>73.677999999999997</v>
      </c>
      <c r="AA234" s="1272">
        <v>47.344000000000001</v>
      </c>
      <c r="AB234" s="877"/>
      <c r="AC234" s="877"/>
      <c r="AD234" s="877"/>
      <c r="AE234" s="877"/>
      <c r="AF234" s="877"/>
      <c r="AG234" s="877"/>
      <c r="AH234" s="877"/>
      <c r="AI234" s="877"/>
      <c r="AJ234" s="877"/>
      <c r="AK234" s="877"/>
      <c r="AL234" s="877">
        <f t="shared" ref="AL234:AN234" si="873">+AL221</f>
        <v>18.427000000000021</v>
      </c>
      <c r="AM234" s="877">
        <f t="shared" si="873"/>
        <v>13.914000000000044</v>
      </c>
      <c r="AN234" s="877">
        <f t="shared" si="873"/>
        <v>13.128999999999962</v>
      </c>
      <c r="AO234" s="877">
        <f t="shared" ref="AO234:AS234" si="874">+AO221</f>
        <v>25.545000000000016</v>
      </c>
      <c r="AP234" s="877">
        <f t="shared" si="874"/>
        <v>45.485999999999933</v>
      </c>
      <c r="AQ234" s="877">
        <f t="shared" si="874"/>
        <v>32.457000000000107</v>
      </c>
      <c r="AR234" s="877">
        <f t="shared" si="874"/>
        <v>110.45599999999996</v>
      </c>
      <c r="AS234" s="877">
        <f t="shared" si="874"/>
        <v>156.62799999999993</v>
      </c>
      <c r="AT234" s="877">
        <f>+AT221</f>
        <v>165.49899999999991</v>
      </c>
      <c r="AU234" s="968">
        <f t="shared" si="752"/>
        <v>249.59999999999997</v>
      </c>
      <c r="AV234" s="894"/>
    </row>
    <row r="235" spans="1:48" x14ac:dyDescent="0.25">
      <c r="A235" s="936" t="str">
        <f>+Model!A174</f>
        <v>Stock-based compensation</v>
      </c>
      <c r="C235" s="898"/>
      <c r="D235" s="898"/>
      <c r="E235" s="898"/>
      <c r="F235" s="898"/>
      <c r="G235" s="898">
        <f t="shared" ref="G235:V235" si="875">+G383</f>
        <v>5.5220000000000002</v>
      </c>
      <c r="H235" s="898">
        <f t="shared" si="875"/>
        <v>6.1769999999999996</v>
      </c>
      <c r="I235" s="898">
        <f t="shared" si="875"/>
        <v>6.0860000000000003</v>
      </c>
      <c r="J235" s="957">
        <f t="shared" si="875"/>
        <v>5.8240000000000016</v>
      </c>
      <c r="K235" s="898">
        <f t="shared" si="875"/>
        <v>8.8930000000000007</v>
      </c>
      <c r="L235" s="898">
        <f t="shared" si="875"/>
        <v>9.0739999999999981</v>
      </c>
      <c r="M235" s="898">
        <f t="shared" si="875"/>
        <v>12.854000000000003</v>
      </c>
      <c r="N235" s="957">
        <f t="shared" si="875"/>
        <v>8.5119999999999969</v>
      </c>
      <c r="O235" s="898">
        <f t="shared" si="875"/>
        <v>8.2859999999999996</v>
      </c>
      <c r="P235" s="898">
        <f t="shared" si="875"/>
        <v>0.60200000000000031</v>
      </c>
      <c r="Q235" s="898">
        <f t="shared" si="875"/>
        <v>5.5760000000000005</v>
      </c>
      <c r="R235" s="957">
        <f t="shared" si="875"/>
        <v>4.1059999999999999</v>
      </c>
      <c r="S235" s="898">
        <f t="shared" si="875"/>
        <v>5.51</v>
      </c>
      <c r="T235" s="898">
        <f t="shared" si="875"/>
        <v>4.9410000000000007</v>
      </c>
      <c r="U235" s="898">
        <f t="shared" si="875"/>
        <v>4.7449999999999992</v>
      </c>
      <c r="V235" s="957">
        <f t="shared" si="875"/>
        <v>5.1240000000000006</v>
      </c>
      <c r="W235" s="898">
        <f>+W383</f>
        <v>8.4260000000000002</v>
      </c>
      <c r="X235" s="877">
        <v>7.5960000000000001</v>
      </c>
      <c r="Y235" s="877">
        <v>5.25</v>
      </c>
      <c r="Z235" s="877">
        <v>10.19</v>
      </c>
      <c r="AA235" s="1272">
        <v>8.4489999999999998</v>
      </c>
      <c r="AB235" s="877"/>
      <c r="AC235" s="877"/>
      <c r="AD235" s="877"/>
      <c r="AJ235" s="898"/>
      <c r="AK235" s="898"/>
      <c r="AL235" s="898">
        <f t="shared" ref="AL235:AN235" si="876">+AL383</f>
        <v>21.298999999999999</v>
      </c>
      <c r="AM235" s="898">
        <f t="shared" si="876"/>
        <v>18.616</v>
      </c>
      <c r="AN235" s="898">
        <f t="shared" si="876"/>
        <v>22.597999999999999</v>
      </c>
      <c r="AO235" s="898">
        <f t="shared" ref="AO235:AS235" si="877">+AO383</f>
        <v>20.817</v>
      </c>
      <c r="AP235" s="898">
        <f t="shared" si="877"/>
        <v>16.675999999999998</v>
      </c>
      <c r="AQ235" s="898">
        <f t="shared" si="877"/>
        <v>23.609000000000002</v>
      </c>
      <c r="AR235" s="898">
        <f t="shared" si="877"/>
        <v>39.332999999999998</v>
      </c>
      <c r="AS235" s="898">
        <f t="shared" si="877"/>
        <v>18.57</v>
      </c>
      <c r="AT235" s="898">
        <f>+AT383</f>
        <v>20.32</v>
      </c>
      <c r="AU235" s="971">
        <f t="shared" si="752"/>
        <v>31.461999999999996</v>
      </c>
    </row>
    <row r="236" spans="1:48" s="879" customFormat="1" ht="14" x14ac:dyDescent="0.4">
      <c r="A236" s="876" t="str">
        <f>+Model!A175</f>
        <v>Amortization of intangible assets</v>
      </c>
      <c r="C236" s="880"/>
      <c r="D236" s="880"/>
      <c r="E236" s="880"/>
      <c r="F236" s="880"/>
      <c r="G236" s="880">
        <f>+Model!AE175</f>
        <v>0.74299999999999999</v>
      </c>
      <c r="H236" s="880">
        <f>+Model!AF175</f>
        <v>0.74199999999999999</v>
      </c>
      <c r="I236" s="880">
        <f>+Model!AG175</f>
        <v>1.7649999999999999</v>
      </c>
      <c r="J236" s="956">
        <f>+Model!AH175</f>
        <v>2.7629999999999999</v>
      </c>
      <c r="K236" s="880">
        <f>+Model!AI175</f>
        <v>2.052</v>
      </c>
      <c r="L236" s="880">
        <f>+Model!AJ175</f>
        <v>2.524</v>
      </c>
      <c r="M236" s="880">
        <f>+Model!AK175</f>
        <v>3.4990000000000001</v>
      </c>
      <c r="N236" s="956">
        <f>+Model!AL175</f>
        <v>3.5669999999999984</v>
      </c>
      <c r="O236" s="880">
        <f>+Model!AM175</f>
        <v>3.2130000000000001</v>
      </c>
      <c r="P236" s="880">
        <f>+Model!AN175</f>
        <v>3.214</v>
      </c>
      <c r="Q236" s="880">
        <f>+Model!AO175</f>
        <v>3.27</v>
      </c>
      <c r="R236" s="956">
        <f>+Model!AP175</f>
        <v>3.2710000000000008</v>
      </c>
      <c r="S236" s="880">
        <f>+Model!AQ175</f>
        <v>3.2890000000000001</v>
      </c>
      <c r="T236" s="880">
        <f>+Model!AR175</f>
        <v>3.2789999999999999</v>
      </c>
      <c r="U236" s="880">
        <f>+Model!AS175</f>
        <v>3.2800000000000002</v>
      </c>
      <c r="V236" s="956">
        <f>+Model!AT175</f>
        <v>5.3520000000000003</v>
      </c>
      <c r="W236" s="880">
        <f>+Model!AU175</f>
        <v>3.0150000000000001</v>
      </c>
      <c r="X236" s="880">
        <v>2.988</v>
      </c>
      <c r="Y236" s="880">
        <v>2.847</v>
      </c>
      <c r="Z236" s="880">
        <v>4.0279999999999996</v>
      </c>
      <c r="AA236" s="1273">
        <v>2.5670000000000002</v>
      </c>
      <c r="AB236" s="880"/>
      <c r="AC236" s="880"/>
      <c r="AD236" s="880"/>
      <c r="AE236" s="880"/>
      <c r="AF236" s="880"/>
      <c r="AG236" s="880"/>
      <c r="AH236" s="880"/>
      <c r="AI236" s="880"/>
      <c r="AJ236" s="880"/>
      <c r="AK236" s="880"/>
      <c r="AL236" s="880">
        <f>+Model!BF175</f>
        <v>0</v>
      </c>
      <c r="AM236" s="880">
        <f>+Model!BG175</f>
        <v>0</v>
      </c>
      <c r="AN236" s="880">
        <f>+Model!BH175</f>
        <v>0</v>
      </c>
      <c r="AO236" s="880">
        <f>+Model!BI175</f>
        <v>0</v>
      </c>
      <c r="AP236" s="880">
        <f>+Model!BJ175</f>
        <v>0</v>
      </c>
      <c r="AQ236" s="880">
        <f>+Model!BK175</f>
        <v>6.0129999999999999</v>
      </c>
      <c r="AR236" s="880">
        <f>+Model!BL175</f>
        <v>11.641999999999999</v>
      </c>
      <c r="AS236" s="880">
        <f>+Model!BM175</f>
        <v>12.968</v>
      </c>
      <c r="AT236" s="880">
        <f>+Model!BN175</f>
        <v>15.2</v>
      </c>
      <c r="AU236" s="970">
        <f t="shared" si="752"/>
        <v>12.878</v>
      </c>
      <c r="AV236" s="895"/>
    </row>
    <row r="237" spans="1:48" s="876" customFormat="1" x14ac:dyDescent="0.25">
      <c r="A237" s="882" t="str">
        <f>+Model!A176</f>
        <v>Adjusted Operating Income (loss)</v>
      </c>
      <c r="C237" s="877"/>
      <c r="D237" s="877"/>
      <c r="E237" s="877"/>
      <c r="F237" s="877"/>
      <c r="G237" s="877">
        <f t="shared" ref="G237:V237" si="878">+SUM(G234:G236)</f>
        <v>-13.123000000000019</v>
      </c>
      <c r="H237" s="877">
        <f t="shared" si="878"/>
        <v>37.224000000000025</v>
      </c>
      <c r="I237" s="877">
        <f t="shared" si="878"/>
        <v>22.350000000000009</v>
      </c>
      <c r="J237" s="954">
        <f t="shared" si="878"/>
        <v>15.628000000000155</v>
      </c>
      <c r="K237" s="877">
        <f t="shared" si="878"/>
        <v>23.008999999999993</v>
      </c>
      <c r="L237" s="877">
        <f t="shared" si="878"/>
        <v>50.049999999999955</v>
      </c>
      <c r="M237" s="877">
        <f t="shared" si="878"/>
        <v>54.905999999999999</v>
      </c>
      <c r="N237" s="954">
        <f t="shared" si="878"/>
        <v>33.466000000000051</v>
      </c>
      <c r="O237" s="877">
        <f t="shared" si="878"/>
        <v>4.5219999999999958</v>
      </c>
      <c r="P237" s="877">
        <f t="shared" si="878"/>
        <v>60.731000000000023</v>
      </c>
      <c r="Q237" s="877">
        <f t="shared" si="878"/>
        <v>69.439999999999984</v>
      </c>
      <c r="R237" s="954">
        <f t="shared" si="878"/>
        <v>53.472999999999978</v>
      </c>
      <c r="S237" s="877">
        <f t="shared" si="878"/>
        <v>-19.919999999999995</v>
      </c>
      <c r="T237" s="877">
        <f t="shared" si="878"/>
        <v>76.293000000000021</v>
      </c>
      <c r="U237" s="877">
        <f t="shared" si="878"/>
        <v>80.224000000000018</v>
      </c>
      <c r="V237" s="954">
        <f t="shared" si="878"/>
        <v>64.421999999999969</v>
      </c>
      <c r="W237" s="877">
        <f>+SUM(W234:W236)</f>
        <v>14.760999999999965</v>
      </c>
      <c r="X237" s="877">
        <f>+SUM(X234:X236)</f>
        <v>94.873000000000005</v>
      </c>
      <c r="Y237" s="877">
        <f t="shared" ref="Y237:AA237" si="879">+SUM(Y234:Y236)</f>
        <v>96.41</v>
      </c>
      <c r="Z237" s="877">
        <f t="shared" si="879"/>
        <v>87.896000000000001</v>
      </c>
      <c r="AA237" s="1272">
        <f t="shared" si="879"/>
        <v>58.36</v>
      </c>
      <c r="AB237" s="877"/>
      <c r="AC237" s="877"/>
      <c r="AD237" s="877"/>
      <c r="AE237" s="877"/>
      <c r="AF237" s="877"/>
      <c r="AG237" s="877"/>
      <c r="AH237" s="877"/>
      <c r="AI237" s="877"/>
      <c r="AJ237" s="877"/>
      <c r="AK237" s="877"/>
      <c r="AL237" s="877">
        <f t="shared" ref="AL237" si="880">+SUM(AL234:AL236)</f>
        <v>39.72600000000002</v>
      </c>
      <c r="AM237" s="877">
        <f t="shared" ref="AM237" si="881">+SUM(AM234:AM236)</f>
        <v>32.530000000000044</v>
      </c>
      <c r="AN237" s="877">
        <f t="shared" ref="AN237" si="882">+SUM(AN234:AN236)</f>
        <v>35.726999999999961</v>
      </c>
      <c r="AO237" s="877">
        <f t="shared" ref="AO237:AS237" si="883">+SUM(AO234:AO236)</f>
        <v>46.362000000000016</v>
      </c>
      <c r="AP237" s="877">
        <f t="shared" si="883"/>
        <v>62.161999999999935</v>
      </c>
      <c r="AQ237" s="877">
        <f t="shared" si="883"/>
        <v>62.079000000000107</v>
      </c>
      <c r="AR237" s="877">
        <f t="shared" si="883"/>
        <v>161.43099999999995</v>
      </c>
      <c r="AS237" s="877">
        <f t="shared" si="883"/>
        <v>188.16599999999991</v>
      </c>
      <c r="AT237" s="877">
        <f>+SUM(AT234:AT236)</f>
        <v>201.01899999999989</v>
      </c>
      <c r="AU237" s="968">
        <f t="shared" si="752"/>
        <v>293.94</v>
      </c>
      <c r="AV237" s="894"/>
    </row>
    <row r="238" spans="1:48" s="879" customFormat="1" ht="14" x14ac:dyDescent="0.4">
      <c r="A238" s="876" t="s">
        <v>692</v>
      </c>
      <c r="C238" s="880"/>
      <c r="D238" s="880"/>
      <c r="E238" s="880"/>
      <c r="F238" s="880"/>
      <c r="G238" s="880">
        <f t="shared" ref="G238:AA238" si="884">+G382-G236</f>
        <v>16.403000000000002</v>
      </c>
      <c r="H238" s="880">
        <f t="shared" si="884"/>
        <v>16.487999999999996</v>
      </c>
      <c r="I238" s="880">
        <f t="shared" si="884"/>
        <v>16.649000000000001</v>
      </c>
      <c r="J238" s="956">
        <f t="shared" si="884"/>
        <v>16.537999999999997</v>
      </c>
      <c r="K238" s="880">
        <f t="shared" si="884"/>
        <v>16.225000000000001</v>
      </c>
      <c r="L238" s="880">
        <f t="shared" si="884"/>
        <v>20.637</v>
      </c>
      <c r="M238" s="880">
        <f t="shared" si="884"/>
        <v>20.100999999999996</v>
      </c>
      <c r="N238" s="956">
        <f t="shared" si="884"/>
        <v>21.472000000000001</v>
      </c>
      <c r="O238" s="880">
        <f t="shared" si="884"/>
        <v>20.933999999999997</v>
      </c>
      <c r="P238" s="880">
        <f t="shared" si="884"/>
        <v>21.966000000000001</v>
      </c>
      <c r="Q238" s="880">
        <f t="shared" si="884"/>
        <v>20.867000000000001</v>
      </c>
      <c r="R238" s="956">
        <f t="shared" si="884"/>
        <v>21.179000000000002</v>
      </c>
      <c r="S238" s="880">
        <f t="shared" si="884"/>
        <v>22.962</v>
      </c>
      <c r="T238" s="880">
        <f t="shared" si="884"/>
        <v>24.183999999999997</v>
      </c>
      <c r="U238" s="880">
        <f t="shared" si="884"/>
        <v>23.662000000000006</v>
      </c>
      <c r="V238" s="956">
        <f t="shared" si="884"/>
        <v>24.349999999999998</v>
      </c>
      <c r="W238" s="880">
        <f t="shared" si="884"/>
        <v>25.001999999999999</v>
      </c>
      <c r="X238" s="880">
        <f t="shared" si="884"/>
        <v>23.474999999999998</v>
      </c>
      <c r="Y238" s="880">
        <f t="shared" si="884"/>
        <v>24.137000000000004</v>
      </c>
      <c r="Z238" s="880">
        <f t="shared" si="884"/>
        <v>24.19100000000001</v>
      </c>
      <c r="AA238" s="1273">
        <f t="shared" si="884"/>
        <v>25.567</v>
      </c>
      <c r="AB238" s="880"/>
      <c r="AC238" s="880"/>
      <c r="AD238" s="880"/>
      <c r="AE238" s="880"/>
      <c r="AF238" s="880"/>
      <c r="AG238" s="880"/>
      <c r="AH238" s="880"/>
      <c r="AI238" s="880"/>
      <c r="AJ238" s="880"/>
      <c r="AK238" s="880"/>
      <c r="AL238" s="880">
        <f t="shared" ref="AL238:AT238" si="885">+AL382-AL236</f>
        <v>83.801000000000002</v>
      </c>
      <c r="AM238" s="880">
        <f t="shared" si="885"/>
        <v>68.224999999999994</v>
      </c>
      <c r="AN238" s="880">
        <f t="shared" si="885"/>
        <v>74.28</v>
      </c>
      <c r="AO238" s="880">
        <f t="shared" si="885"/>
        <v>75.260000000000005</v>
      </c>
      <c r="AP238" s="880">
        <f t="shared" si="885"/>
        <v>71.400000000000006</v>
      </c>
      <c r="AQ238" s="880">
        <f t="shared" si="885"/>
        <v>66.077999999999989</v>
      </c>
      <c r="AR238" s="880">
        <f t="shared" si="885"/>
        <v>78.435000000000002</v>
      </c>
      <c r="AS238" s="880">
        <f t="shared" si="885"/>
        <v>84.945999999999998</v>
      </c>
      <c r="AT238" s="880">
        <f t="shared" si="885"/>
        <v>95.158000000000001</v>
      </c>
      <c r="AU238" s="970">
        <f t="shared" si="752"/>
        <v>96.805000000000007</v>
      </c>
      <c r="AV238" s="895"/>
    </row>
    <row r="239" spans="1:48" s="876" customFormat="1" x14ac:dyDescent="0.25">
      <c r="A239" s="882" t="s">
        <v>58</v>
      </c>
      <c r="C239" s="877"/>
      <c r="D239" s="877"/>
      <c r="E239" s="877"/>
      <c r="F239" s="877"/>
      <c r="G239" s="877">
        <f t="shared" ref="G239:V239" si="886">+G238+G237</f>
        <v>3.2799999999999834</v>
      </c>
      <c r="H239" s="877">
        <f t="shared" si="886"/>
        <v>53.712000000000018</v>
      </c>
      <c r="I239" s="877">
        <f t="shared" si="886"/>
        <v>38.999000000000009</v>
      </c>
      <c r="J239" s="954">
        <f t="shared" si="886"/>
        <v>32.166000000000153</v>
      </c>
      <c r="K239" s="877">
        <f t="shared" si="886"/>
        <v>39.233999999999995</v>
      </c>
      <c r="L239" s="877">
        <f t="shared" si="886"/>
        <v>70.686999999999955</v>
      </c>
      <c r="M239" s="877">
        <f t="shared" si="886"/>
        <v>75.006999999999991</v>
      </c>
      <c r="N239" s="954">
        <f t="shared" si="886"/>
        <v>54.938000000000052</v>
      </c>
      <c r="O239" s="877">
        <f t="shared" si="886"/>
        <v>25.455999999999992</v>
      </c>
      <c r="P239" s="877">
        <f t="shared" si="886"/>
        <v>82.697000000000031</v>
      </c>
      <c r="Q239" s="877">
        <f t="shared" si="886"/>
        <v>90.306999999999988</v>
      </c>
      <c r="R239" s="954">
        <f t="shared" si="886"/>
        <v>74.651999999999987</v>
      </c>
      <c r="S239" s="877">
        <f t="shared" si="886"/>
        <v>3.0420000000000051</v>
      </c>
      <c r="T239" s="877">
        <f t="shared" si="886"/>
        <v>100.47700000000002</v>
      </c>
      <c r="U239" s="877">
        <f t="shared" si="886"/>
        <v>103.88600000000002</v>
      </c>
      <c r="V239" s="954">
        <f t="shared" si="886"/>
        <v>88.771999999999963</v>
      </c>
      <c r="W239" s="877">
        <f>+W238+W237</f>
        <v>39.762999999999963</v>
      </c>
      <c r="X239" s="877">
        <v>118.348</v>
      </c>
      <c r="Y239" s="877">
        <v>120.547</v>
      </c>
      <c r="Z239" s="877">
        <v>112.087</v>
      </c>
      <c r="AA239" s="1272">
        <v>83.927000000000007</v>
      </c>
      <c r="AB239" s="877"/>
      <c r="AC239" s="877"/>
      <c r="AD239" s="877"/>
      <c r="AE239" s="877"/>
      <c r="AF239" s="877"/>
      <c r="AG239" s="877"/>
      <c r="AH239" s="877"/>
      <c r="AI239" s="877"/>
      <c r="AJ239" s="877"/>
      <c r="AK239" s="877"/>
      <c r="AL239" s="877">
        <f t="shared" ref="AL239" si="887">+AL238+AL237</f>
        <v>123.52700000000002</v>
      </c>
      <c r="AM239" s="877">
        <f t="shared" ref="AM239" si="888">+AM238+AM237</f>
        <v>100.75500000000004</v>
      </c>
      <c r="AN239" s="877">
        <f t="shared" ref="AN239" si="889">+AN238+AN237</f>
        <v>110.00699999999996</v>
      </c>
      <c r="AO239" s="877">
        <f t="shared" ref="AO239:AS239" si="890">+AO238+AO237</f>
        <v>121.62200000000001</v>
      </c>
      <c r="AP239" s="877">
        <f t="shared" si="890"/>
        <v>133.56199999999995</v>
      </c>
      <c r="AQ239" s="877">
        <f t="shared" si="890"/>
        <v>128.1570000000001</v>
      </c>
      <c r="AR239" s="877">
        <f t="shared" si="890"/>
        <v>239.86599999999996</v>
      </c>
      <c r="AS239" s="877">
        <f t="shared" si="890"/>
        <v>273.11199999999991</v>
      </c>
      <c r="AT239" s="877">
        <f>+AT238+AT237</f>
        <v>296.17699999999991</v>
      </c>
      <c r="AU239" s="968">
        <f t="shared" si="752"/>
        <v>390.74499999999995</v>
      </c>
      <c r="AV239" s="894"/>
    </row>
    <row r="240" spans="1:48" s="879" customFormat="1" ht="14" x14ac:dyDescent="0.4">
      <c r="A240" s="876" t="s">
        <v>658</v>
      </c>
      <c r="C240" s="880"/>
      <c r="D240" s="880"/>
      <c r="E240" s="880"/>
      <c r="F240" s="880"/>
      <c r="G240" s="880">
        <f t="shared" ref="G240:V240" si="891">+G235*-1</f>
        <v>-5.5220000000000002</v>
      </c>
      <c r="H240" s="880">
        <f t="shared" si="891"/>
        <v>-6.1769999999999996</v>
      </c>
      <c r="I240" s="880">
        <f t="shared" si="891"/>
        <v>-6.0860000000000003</v>
      </c>
      <c r="J240" s="956">
        <f t="shared" si="891"/>
        <v>-5.8240000000000016</v>
      </c>
      <c r="K240" s="880">
        <f t="shared" si="891"/>
        <v>-8.8930000000000007</v>
      </c>
      <c r="L240" s="880">
        <f t="shared" si="891"/>
        <v>-9.0739999999999981</v>
      </c>
      <c r="M240" s="880">
        <f t="shared" si="891"/>
        <v>-12.854000000000003</v>
      </c>
      <c r="N240" s="956">
        <f t="shared" si="891"/>
        <v>-8.5119999999999969</v>
      </c>
      <c r="O240" s="880">
        <f t="shared" si="891"/>
        <v>-8.2859999999999996</v>
      </c>
      <c r="P240" s="880">
        <f t="shared" si="891"/>
        <v>-0.60200000000000031</v>
      </c>
      <c r="Q240" s="880">
        <f t="shared" si="891"/>
        <v>-5.5760000000000005</v>
      </c>
      <c r="R240" s="956">
        <f t="shared" si="891"/>
        <v>-4.1059999999999999</v>
      </c>
      <c r="S240" s="880">
        <f t="shared" si="891"/>
        <v>-5.51</v>
      </c>
      <c r="T240" s="880">
        <f t="shared" si="891"/>
        <v>-4.9410000000000007</v>
      </c>
      <c r="U240" s="880">
        <f t="shared" si="891"/>
        <v>-4.7449999999999992</v>
      </c>
      <c r="V240" s="956">
        <f t="shared" si="891"/>
        <v>-5.1240000000000006</v>
      </c>
      <c r="W240" s="880">
        <f>+W235*-1</f>
        <v>-8.4260000000000002</v>
      </c>
      <c r="X240" s="880">
        <f t="shared" ref="X240:Y240" si="892">+X235*-1</f>
        <v>-7.5960000000000001</v>
      </c>
      <c r="Y240" s="880">
        <f t="shared" si="892"/>
        <v>-5.25</v>
      </c>
      <c r="Z240" s="880">
        <f t="shared" ref="Z240:AA240" si="893">+Z235*-1</f>
        <v>-10.19</v>
      </c>
      <c r="AA240" s="1273">
        <f t="shared" si="893"/>
        <v>-8.4489999999999998</v>
      </c>
      <c r="AB240" s="880"/>
      <c r="AC240" s="880"/>
      <c r="AD240" s="880"/>
      <c r="AE240" s="880"/>
      <c r="AF240" s="880"/>
      <c r="AG240" s="880"/>
      <c r="AH240" s="880"/>
      <c r="AI240" s="880"/>
      <c r="AJ240" s="880"/>
      <c r="AK240" s="880"/>
      <c r="AL240" s="880">
        <f t="shared" ref="AL240:AN240" si="894">+AL235*-1</f>
        <v>-21.298999999999999</v>
      </c>
      <c r="AM240" s="880">
        <f t="shared" si="894"/>
        <v>-18.616</v>
      </c>
      <c r="AN240" s="880">
        <f t="shared" si="894"/>
        <v>-22.597999999999999</v>
      </c>
      <c r="AO240" s="880">
        <f t="shared" ref="AO240:AS240" si="895">+AO235*-1</f>
        <v>-20.817</v>
      </c>
      <c r="AP240" s="880">
        <f t="shared" si="895"/>
        <v>-16.675999999999998</v>
      </c>
      <c r="AQ240" s="880">
        <f t="shared" si="895"/>
        <v>-23.609000000000002</v>
      </c>
      <c r="AR240" s="880">
        <f t="shared" si="895"/>
        <v>-39.332999999999998</v>
      </c>
      <c r="AS240" s="880">
        <f t="shared" si="895"/>
        <v>-18.57</v>
      </c>
      <c r="AT240" s="880">
        <f>+AT235*-1</f>
        <v>-20.32</v>
      </c>
      <c r="AU240" s="970">
        <f t="shared" si="752"/>
        <v>-31.461999999999996</v>
      </c>
      <c r="AV240" s="895"/>
    </row>
    <row r="241" spans="1:48" s="876" customFormat="1" x14ac:dyDescent="0.25">
      <c r="A241" s="882" t="s">
        <v>659</v>
      </c>
      <c r="C241" s="877"/>
      <c r="D241" s="877"/>
      <c r="E241" s="877"/>
      <c r="F241" s="877"/>
      <c r="G241" s="877">
        <f t="shared" ref="G241:V241" si="896">+G240+G239</f>
        <v>-2.2420000000000169</v>
      </c>
      <c r="H241" s="877">
        <f t="shared" si="896"/>
        <v>47.535000000000018</v>
      </c>
      <c r="I241" s="877">
        <f t="shared" si="896"/>
        <v>32.913000000000011</v>
      </c>
      <c r="J241" s="954">
        <f t="shared" si="896"/>
        <v>26.342000000000152</v>
      </c>
      <c r="K241" s="877">
        <f t="shared" si="896"/>
        <v>30.340999999999994</v>
      </c>
      <c r="L241" s="877">
        <f t="shared" si="896"/>
        <v>61.612999999999957</v>
      </c>
      <c r="M241" s="877">
        <f t="shared" si="896"/>
        <v>62.152999999999992</v>
      </c>
      <c r="N241" s="954">
        <f t="shared" si="896"/>
        <v>46.426000000000059</v>
      </c>
      <c r="O241" s="877">
        <f t="shared" si="896"/>
        <v>17.169999999999995</v>
      </c>
      <c r="P241" s="877">
        <f t="shared" si="896"/>
        <v>82.095000000000027</v>
      </c>
      <c r="Q241" s="877">
        <f t="shared" si="896"/>
        <v>84.730999999999995</v>
      </c>
      <c r="R241" s="954">
        <f t="shared" si="896"/>
        <v>70.545999999999992</v>
      </c>
      <c r="S241" s="877">
        <f t="shared" si="896"/>
        <v>-2.4679999999999946</v>
      </c>
      <c r="T241" s="877">
        <f t="shared" si="896"/>
        <v>95.536000000000016</v>
      </c>
      <c r="U241" s="877">
        <f t="shared" si="896"/>
        <v>99.14100000000002</v>
      </c>
      <c r="V241" s="954">
        <f t="shared" si="896"/>
        <v>83.647999999999968</v>
      </c>
      <c r="W241" s="877">
        <f>+W240+W239</f>
        <v>31.336999999999961</v>
      </c>
      <c r="X241" s="877">
        <f t="shared" ref="X241:Y241" si="897">+X240+X239</f>
        <v>110.752</v>
      </c>
      <c r="Y241" s="877">
        <f t="shared" si="897"/>
        <v>115.297</v>
      </c>
      <c r="Z241" s="877">
        <f t="shared" ref="Z241:AA241" si="898">+Z240+Z239</f>
        <v>101.89700000000001</v>
      </c>
      <c r="AA241" s="1272">
        <f t="shared" si="898"/>
        <v>75.478000000000009</v>
      </c>
      <c r="AB241" s="877"/>
      <c r="AC241" s="877"/>
      <c r="AD241" s="877"/>
      <c r="AE241" s="877"/>
      <c r="AF241" s="877"/>
      <c r="AG241" s="877"/>
      <c r="AH241" s="877"/>
      <c r="AI241" s="877"/>
      <c r="AJ241" s="877"/>
      <c r="AK241" s="877"/>
      <c r="AL241" s="877">
        <f t="shared" ref="AL241" si="899">+AL240+AL239</f>
        <v>102.22800000000001</v>
      </c>
      <c r="AM241" s="877">
        <f t="shared" ref="AM241" si="900">+AM240+AM239</f>
        <v>82.139000000000038</v>
      </c>
      <c r="AN241" s="877">
        <f t="shared" ref="AN241" si="901">+AN240+AN239</f>
        <v>87.408999999999963</v>
      </c>
      <c r="AO241" s="877">
        <f t="shared" ref="AO241:AS241" si="902">+AO240+AO239</f>
        <v>100.80500000000001</v>
      </c>
      <c r="AP241" s="877">
        <f t="shared" si="902"/>
        <v>116.88599999999995</v>
      </c>
      <c r="AQ241" s="877">
        <f t="shared" si="902"/>
        <v>104.54800000000009</v>
      </c>
      <c r="AR241" s="877">
        <f t="shared" si="902"/>
        <v>200.53299999999996</v>
      </c>
      <c r="AS241" s="877">
        <f t="shared" si="902"/>
        <v>254.54199999999992</v>
      </c>
      <c r="AT241" s="877">
        <f>+AT240+AT239</f>
        <v>275.85699999999991</v>
      </c>
      <c r="AU241" s="968">
        <f t="shared" si="752"/>
        <v>359.28299999999996</v>
      </c>
      <c r="AV241" s="894"/>
    </row>
    <row r="242" spans="1:48" s="876" customFormat="1" x14ac:dyDescent="0.25">
      <c r="A242" s="882"/>
      <c r="C242" s="877"/>
      <c r="D242" s="877"/>
      <c r="E242" s="877"/>
      <c r="F242" s="877"/>
      <c r="G242" s="877"/>
      <c r="H242" s="877"/>
      <c r="I242" s="877"/>
      <c r="J242" s="954"/>
      <c r="K242" s="877"/>
      <c r="L242" s="877"/>
      <c r="M242" s="877"/>
      <c r="N242" s="954"/>
      <c r="O242" s="877"/>
      <c r="P242" s="877"/>
      <c r="Q242" s="877"/>
      <c r="R242" s="954"/>
      <c r="S242" s="877"/>
      <c r="T242" s="877"/>
      <c r="U242" s="877"/>
      <c r="V242" s="954"/>
      <c r="W242" s="877"/>
      <c r="X242" s="877"/>
      <c r="Y242" s="877"/>
      <c r="Z242" s="877"/>
      <c r="AA242" s="1272"/>
      <c r="AB242" s="877"/>
      <c r="AC242" s="877"/>
      <c r="AD242" s="877"/>
      <c r="AE242" s="877"/>
      <c r="AF242" s="877"/>
      <c r="AG242" s="877"/>
      <c r="AH242" s="877"/>
      <c r="AI242" s="877"/>
      <c r="AJ242" s="877"/>
      <c r="AK242" s="877"/>
      <c r="AL242" s="877"/>
      <c r="AM242" s="877"/>
      <c r="AN242" s="877"/>
      <c r="AO242" s="877"/>
      <c r="AP242" s="877"/>
      <c r="AQ242" s="877"/>
      <c r="AR242" s="877"/>
      <c r="AS242" s="877"/>
      <c r="AT242" s="877"/>
      <c r="AU242" s="878"/>
      <c r="AV242" s="894"/>
    </row>
    <row r="243" spans="1:48" s="876" customFormat="1" x14ac:dyDescent="0.25">
      <c r="A243" s="1463" t="s">
        <v>912</v>
      </c>
      <c r="C243" s="877"/>
      <c r="D243" s="877"/>
      <c r="E243" s="877"/>
      <c r="F243" s="877"/>
      <c r="G243" s="877"/>
      <c r="H243" s="877"/>
      <c r="I243" s="877"/>
      <c r="J243" s="954"/>
      <c r="K243" s="877"/>
      <c r="L243" s="877"/>
      <c r="M243" s="877"/>
      <c r="N243" s="954"/>
      <c r="O243" s="877"/>
      <c r="P243" s="877"/>
      <c r="Q243" s="877"/>
      <c r="R243" s="954"/>
      <c r="S243" s="877"/>
      <c r="T243" s="877"/>
      <c r="U243" s="877"/>
      <c r="V243" s="954"/>
      <c r="W243" s="877"/>
      <c r="X243" s="877"/>
      <c r="Y243" s="877"/>
      <c r="Z243" s="877"/>
      <c r="AA243" s="1272"/>
      <c r="AB243" s="877"/>
      <c r="AC243" s="877"/>
      <c r="AD243" s="877"/>
      <c r="AE243" s="877"/>
      <c r="AF243" s="877"/>
      <c r="AG243" s="877"/>
      <c r="AH243" s="877"/>
      <c r="AI243" s="877"/>
      <c r="AJ243" s="877"/>
      <c r="AK243" s="877"/>
      <c r="AL243" s="877"/>
      <c r="AM243" s="877"/>
      <c r="AN243" s="877"/>
      <c r="AO243" s="877"/>
      <c r="AP243" s="877"/>
      <c r="AQ243" s="877"/>
      <c r="AR243" s="877"/>
      <c r="AS243" s="877"/>
      <c r="AT243" s="877"/>
      <c r="AU243" s="878"/>
      <c r="AV243" s="894"/>
    </row>
    <row r="244" spans="1:48" s="876" customFormat="1" x14ac:dyDescent="0.25">
      <c r="A244" s="882" t="s">
        <v>1616</v>
      </c>
      <c r="C244" s="877"/>
      <c r="D244" s="877"/>
      <c r="E244" s="877"/>
      <c r="F244" s="877"/>
      <c r="G244" s="877"/>
      <c r="H244" s="877"/>
      <c r="I244" s="877"/>
      <c r="J244" s="954"/>
      <c r="K244" s="877"/>
      <c r="L244" s="877"/>
      <c r="M244" s="877"/>
      <c r="N244" s="954"/>
      <c r="O244" s="877"/>
      <c r="P244" s="877"/>
      <c r="Q244" s="877"/>
      <c r="R244" s="954"/>
      <c r="S244" s="877"/>
      <c r="T244" s="877"/>
      <c r="U244" s="877"/>
      <c r="V244" s="954"/>
      <c r="W244" s="877"/>
      <c r="X244" s="877"/>
      <c r="Y244" s="877"/>
      <c r="Z244" s="877"/>
      <c r="AA244" s="1272"/>
      <c r="AB244" s="877"/>
      <c r="AC244" s="877"/>
      <c r="AD244" s="877"/>
      <c r="AE244" s="877"/>
      <c r="AF244" s="877"/>
      <c r="AG244" s="877"/>
      <c r="AH244" s="877"/>
      <c r="AI244" s="877"/>
      <c r="AJ244" s="877"/>
      <c r="AK244" s="877"/>
      <c r="AL244" s="877"/>
      <c r="AM244" s="877"/>
      <c r="AN244" s="877"/>
      <c r="AO244" s="877"/>
      <c r="AP244" s="877"/>
      <c r="AQ244" s="877"/>
      <c r="AR244" s="877">
        <v>60.3</v>
      </c>
      <c r="AS244" s="877">
        <v>86.5</v>
      </c>
      <c r="AT244" s="877">
        <v>96.8</v>
      </c>
      <c r="AU244" s="878">
        <v>96.5</v>
      </c>
      <c r="AV244" s="894"/>
    </row>
    <row r="245" spans="1:48" s="876" customFormat="1" x14ac:dyDescent="0.25">
      <c r="A245" s="882" t="s">
        <v>1617</v>
      </c>
      <c r="C245" s="877"/>
      <c r="D245" s="877"/>
      <c r="E245" s="877"/>
      <c r="F245" s="877"/>
      <c r="G245" s="877"/>
      <c r="H245" s="877"/>
      <c r="I245" s="877"/>
      <c r="J245" s="954"/>
      <c r="K245" s="877"/>
      <c r="L245" s="877"/>
      <c r="M245" s="877"/>
      <c r="N245" s="954"/>
      <c r="O245" s="877"/>
      <c r="P245" s="877"/>
      <c r="Q245" s="877"/>
      <c r="R245" s="954"/>
      <c r="S245" s="877"/>
      <c r="T245" s="877"/>
      <c r="U245" s="877"/>
      <c r="V245" s="954"/>
      <c r="W245" s="877"/>
      <c r="X245" s="877"/>
      <c r="Y245" s="877"/>
      <c r="Z245" s="877"/>
      <c r="AA245" s="1272"/>
      <c r="AB245" s="877"/>
      <c r="AC245" s="877"/>
      <c r="AD245" s="877"/>
      <c r="AE245" s="877"/>
      <c r="AF245" s="877"/>
      <c r="AG245" s="877"/>
      <c r="AH245" s="877"/>
      <c r="AI245" s="877"/>
      <c r="AJ245" s="877"/>
      <c r="AK245" s="877"/>
      <c r="AL245" s="877">
        <v>29.6</v>
      </c>
      <c r="AM245" s="877">
        <v>31.2</v>
      </c>
      <c r="AN245" s="877">
        <v>36.799999999999997</v>
      </c>
      <c r="AO245" s="877">
        <v>37.5</v>
      </c>
      <c r="AP245" s="877">
        <v>38</v>
      </c>
      <c r="AQ245" s="877">
        <v>32.700000000000003</v>
      </c>
      <c r="AR245" s="877">
        <v>23</v>
      </c>
      <c r="AS245" s="877"/>
      <c r="AT245" s="877"/>
      <c r="AU245" s="878"/>
      <c r="AV245" s="894"/>
    </row>
    <row r="246" spans="1:48" s="876" customFormat="1" x14ac:dyDescent="0.25">
      <c r="A246" s="882"/>
      <c r="C246" s="877"/>
      <c r="D246" s="877"/>
      <c r="E246" s="877"/>
      <c r="F246" s="877"/>
      <c r="G246" s="877"/>
      <c r="H246" s="877"/>
      <c r="I246" s="877"/>
      <c r="J246" s="954"/>
      <c r="K246" s="877"/>
      <c r="L246" s="877"/>
      <c r="M246" s="877"/>
      <c r="N246" s="954"/>
      <c r="O246" s="877"/>
      <c r="P246" s="877"/>
      <c r="Q246" s="877"/>
      <c r="R246" s="954"/>
      <c r="S246" s="877"/>
      <c r="T246" s="877"/>
      <c r="U246" s="877"/>
      <c r="V246" s="954"/>
      <c r="W246" s="877"/>
      <c r="X246" s="877"/>
      <c r="Y246" s="877"/>
      <c r="Z246" s="877"/>
      <c r="AA246" s="1272"/>
      <c r="AB246" s="877"/>
      <c r="AC246" s="877"/>
      <c r="AD246" s="877"/>
      <c r="AE246" s="877"/>
      <c r="AF246" s="877"/>
      <c r="AG246" s="877"/>
      <c r="AH246" s="877"/>
      <c r="AI246" s="877"/>
      <c r="AJ246" s="877"/>
      <c r="AK246" s="877"/>
      <c r="AL246" s="877"/>
      <c r="AM246" s="877"/>
      <c r="AN246" s="877"/>
      <c r="AO246" s="877"/>
      <c r="AP246" s="877"/>
      <c r="AQ246" s="877"/>
      <c r="AR246" s="877"/>
      <c r="AS246" s="877"/>
      <c r="AT246" s="877"/>
      <c r="AU246" s="878"/>
      <c r="AV246" s="894"/>
    </row>
    <row r="247" spans="1:48" x14ac:dyDescent="0.25">
      <c r="A247" s="943" t="s">
        <v>917</v>
      </c>
      <c r="C247" s="937"/>
      <c r="J247" s="953"/>
      <c r="N247" s="953"/>
      <c r="R247" s="953"/>
      <c r="V247" s="953"/>
      <c r="AA247" s="1271"/>
    </row>
    <row r="248" spans="1:48" s="876" customFormat="1" x14ac:dyDescent="0.25">
      <c r="A248" s="876" t="s">
        <v>656</v>
      </c>
      <c r="C248" s="877">
        <f>+Model!AA57</f>
        <v>7.1</v>
      </c>
      <c r="D248" s="877">
        <f>+Model!AB57</f>
        <v>6.8</v>
      </c>
      <c r="E248" s="877">
        <f>+Model!AC57</f>
        <v>6.7</v>
      </c>
      <c r="F248" s="877">
        <f>+Model!AD57</f>
        <v>6.4</v>
      </c>
      <c r="G248" s="877">
        <f>+Model!AE57</f>
        <v>13.6</v>
      </c>
      <c r="H248" s="877">
        <f>+Model!AF57</f>
        <v>13.1</v>
      </c>
      <c r="I248" s="877">
        <f>+Model!AG57</f>
        <v>13.2</v>
      </c>
      <c r="J248" s="954">
        <f>+Model!AH57</f>
        <v>12.7</v>
      </c>
      <c r="K248" s="877">
        <f>+Model!AI57</f>
        <v>30.8</v>
      </c>
      <c r="L248" s="877">
        <f>+Model!AJ57</f>
        <v>30.3</v>
      </c>
      <c r="M248" s="877">
        <f>+Model!AK57</f>
        <v>29.5</v>
      </c>
      <c r="N248" s="954">
        <f>+Model!AL57</f>
        <v>28.2</v>
      </c>
      <c r="O248" s="877">
        <f>+Model!AM57</f>
        <v>42</v>
      </c>
      <c r="P248" s="877">
        <f>+Model!AN57</f>
        <v>41.9</v>
      </c>
      <c r="Q248" s="877">
        <f>+Model!AO57</f>
        <v>42</v>
      </c>
      <c r="R248" s="954">
        <f>+Model!AP57</f>
        <v>41.9</v>
      </c>
      <c r="S248" s="877">
        <f>+Model!AQ57</f>
        <v>61.6</v>
      </c>
      <c r="T248" s="877">
        <f>+Model!AR57</f>
        <v>66.3</v>
      </c>
      <c r="U248" s="877">
        <f>+Model!AS57</f>
        <v>67.2</v>
      </c>
      <c r="V248" s="954">
        <f>+Model!AT57</f>
        <v>65.5</v>
      </c>
      <c r="W248" s="877">
        <f>+Model!AU57</f>
        <v>70.3</v>
      </c>
      <c r="X248" s="877">
        <v>72.400000000000006</v>
      </c>
      <c r="Y248" s="877">
        <v>73.8</v>
      </c>
      <c r="Z248" s="877">
        <v>72.8</v>
      </c>
      <c r="AA248" s="1272">
        <v>91.7</v>
      </c>
      <c r="AB248" s="877"/>
      <c r="AC248" s="877"/>
      <c r="AD248" s="877"/>
      <c r="AE248" s="877"/>
      <c r="AF248" s="877"/>
      <c r="AG248" s="877"/>
      <c r="AH248" s="877"/>
      <c r="AI248" s="877"/>
      <c r="AJ248" s="877"/>
      <c r="AK248" s="877"/>
      <c r="AL248" s="877"/>
      <c r="AM248" s="877"/>
      <c r="AN248" s="877"/>
      <c r="AO248" s="877"/>
      <c r="AP248" s="877">
        <f>+Model!BJ57</f>
        <v>6.7</v>
      </c>
      <c r="AQ248" s="877">
        <f>+Model!BK57</f>
        <v>13.1</v>
      </c>
      <c r="AR248" s="877">
        <f>+Model!BL57</f>
        <v>29.6</v>
      </c>
      <c r="AS248" s="877">
        <f>+Model!BM57</f>
        <v>41.9</v>
      </c>
      <c r="AT248" s="877">
        <f>+Model!BN57</f>
        <v>65.900000000000006</v>
      </c>
      <c r="AU248" s="968">
        <f>+AVERAGE(W248:Z248)</f>
        <v>72.325000000000003</v>
      </c>
      <c r="AV248" s="894"/>
    </row>
    <row r="249" spans="1:48" s="888" customFormat="1" ht="14" x14ac:dyDescent="0.4">
      <c r="A249" s="884" t="s">
        <v>655</v>
      </c>
      <c r="C249" s="945">
        <f>+Model!AA56</f>
        <v>114</v>
      </c>
      <c r="D249" s="945">
        <f>+Model!AB56</f>
        <v>111.9</v>
      </c>
      <c r="E249" s="945">
        <f>+Model!AC56</f>
        <v>112.8</v>
      </c>
      <c r="F249" s="945">
        <f>+Model!AD56</f>
        <v>106.4</v>
      </c>
      <c r="G249" s="945">
        <f>+Model!AE56</f>
        <v>110.8</v>
      </c>
      <c r="H249" s="945">
        <f>+Model!AF56</f>
        <v>106.8</v>
      </c>
      <c r="I249" s="945">
        <f>+Model!AG56</f>
        <v>108.9</v>
      </c>
      <c r="J249" s="955">
        <f>+Model!AH56</f>
        <v>106.2</v>
      </c>
      <c r="K249" s="945">
        <f>+Model!AI56</f>
        <v>164.6</v>
      </c>
      <c r="L249" s="945">
        <f>+Model!AJ56</f>
        <v>161.19999999999999</v>
      </c>
      <c r="M249" s="945">
        <f>+Model!AK56</f>
        <v>155.80000000000001</v>
      </c>
      <c r="N249" s="955">
        <f>+Model!AL56</f>
        <v>147.19999999999999</v>
      </c>
      <c r="O249" s="945">
        <f>+Model!AM56</f>
        <v>147.6</v>
      </c>
      <c r="P249" s="945">
        <f>+Model!AN56</f>
        <v>145.6</v>
      </c>
      <c r="Q249" s="945">
        <f>+Model!AO56</f>
        <v>143.80000000000001</v>
      </c>
      <c r="R249" s="955">
        <f>+Model!AP56</f>
        <v>136.5</v>
      </c>
      <c r="S249" s="945">
        <f>+Model!AQ56</f>
        <v>112.3</v>
      </c>
      <c r="T249" s="945">
        <f>+Model!AR56</f>
        <v>111.2</v>
      </c>
      <c r="U249" s="945">
        <f>+Model!AS56</f>
        <v>114.6</v>
      </c>
      <c r="V249" s="955">
        <f>+Model!AT56</f>
        <v>110.6</v>
      </c>
      <c r="W249" s="945">
        <f>+Model!AU56</f>
        <v>117.6</v>
      </c>
      <c r="X249" s="880">
        <v>120.7</v>
      </c>
      <c r="Y249" s="880">
        <v>124.6</v>
      </c>
      <c r="Z249" s="880">
        <v>120.6</v>
      </c>
      <c r="AA249" s="1273">
        <f>+AA250-AA248</f>
        <v>130.89999999999998</v>
      </c>
      <c r="AB249" s="880"/>
      <c r="AC249" s="880"/>
      <c r="AD249" s="880"/>
      <c r="AJ249" s="945"/>
      <c r="AK249" s="945"/>
      <c r="AL249" s="945"/>
      <c r="AM249" s="945"/>
      <c r="AN249" s="945"/>
      <c r="AO249" s="945"/>
      <c r="AP249" s="945">
        <f>+Model!BJ56</f>
        <v>111.2</v>
      </c>
      <c r="AQ249" s="945">
        <f>+Model!BK56</f>
        <v>107.8</v>
      </c>
      <c r="AR249" s="945">
        <f>+Model!BL56</f>
        <v>156.69999999999999</v>
      </c>
      <c r="AS249" s="945">
        <f>+Model!BM56</f>
        <v>143.19999999999999</v>
      </c>
      <c r="AT249" s="945">
        <f>+Model!BN56</f>
        <v>112.3</v>
      </c>
      <c r="AU249" s="970">
        <f t="shared" ref="AU249:AU250" si="903">+AVERAGE(W249:Z249)</f>
        <v>120.875</v>
      </c>
    </row>
    <row r="250" spans="1:48" s="876" customFormat="1" x14ac:dyDescent="0.25">
      <c r="A250" s="882" t="s">
        <v>773</v>
      </c>
      <c r="C250" s="877">
        <f t="shared" ref="C250:Z250" si="904">+C249+C248</f>
        <v>121.1</v>
      </c>
      <c r="D250" s="877">
        <f t="shared" si="904"/>
        <v>118.7</v>
      </c>
      <c r="E250" s="877">
        <f t="shared" si="904"/>
        <v>119.5</v>
      </c>
      <c r="F250" s="877">
        <f t="shared" si="904"/>
        <v>112.80000000000001</v>
      </c>
      <c r="G250" s="877">
        <f t="shared" si="904"/>
        <v>124.39999999999999</v>
      </c>
      <c r="H250" s="877">
        <f t="shared" si="904"/>
        <v>119.89999999999999</v>
      </c>
      <c r="I250" s="877">
        <f t="shared" si="904"/>
        <v>122.10000000000001</v>
      </c>
      <c r="J250" s="954">
        <f t="shared" si="904"/>
        <v>118.9</v>
      </c>
      <c r="K250" s="877">
        <f t="shared" si="904"/>
        <v>195.4</v>
      </c>
      <c r="L250" s="877">
        <f t="shared" si="904"/>
        <v>191.5</v>
      </c>
      <c r="M250" s="877">
        <f t="shared" si="904"/>
        <v>185.3</v>
      </c>
      <c r="N250" s="954">
        <f t="shared" si="904"/>
        <v>175.39999999999998</v>
      </c>
      <c r="O250" s="877">
        <f t="shared" si="904"/>
        <v>189.6</v>
      </c>
      <c r="P250" s="877">
        <f t="shared" si="904"/>
        <v>187.5</v>
      </c>
      <c r="Q250" s="877">
        <f t="shared" si="904"/>
        <v>185.8</v>
      </c>
      <c r="R250" s="954">
        <f t="shared" si="904"/>
        <v>178.4</v>
      </c>
      <c r="S250" s="877">
        <f t="shared" si="904"/>
        <v>173.9</v>
      </c>
      <c r="T250" s="877">
        <f t="shared" si="904"/>
        <v>177.5</v>
      </c>
      <c r="U250" s="877">
        <f t="shared" si="904"/>
        <v>181.8</v>
      </c>
      <c r="V250" s="954">
        <f t="shared" si="904"/>
        <v>176.1</v>
      </c>
      <c r="W250" s="877">
        <f t="shared" si="904"/>
        <v>187.89999999999998</v>
      </c>
      <c r="X250" s="877">
        <f t="shared" si="904"/>
        <v>193.10000000000002</v>
      </c>
      <c r="Y250" s="877">
        <f t="shared" si="904"/>
        <v>198.39999999999998</v>
      </c>
      <c r="Z250" s="877">
        <f t="shared" si="904"/>
        <v>193.39999999999998</v>
      </c>
      <c r="AA250" s="1272">
        <v>222.6</v>
      </c>
      <c r="AB250" s="877"/>
      <c r="AC250" s="877"/>
      <c r="AD250" s="877"/>
      <c r="AE250" s="877"/>
      <c r="AF250" s="877"/>
      <c r="AG250" s="877"/>
      <c r="AH250" s="877"/>
      <c r="AI250" s="877"/>
      <c r="AJ250" s="877"/>
      <c r="AK250" s="877"/>
      <c r="AL250" s="877"/>
      <c r="AM250" s="877"/>
      <c r="AN250" s="877"/>
      <c r="AO250" s="877"/>
      <c r="AP250" s="877">
        <f>+AP249+AP248</f>
        <v>117.9</v>
      </c>
      <c r="AQ250" s="877">
        <f>+AQ249+AQ248</f>
        <v>120.89999999999999</v>
      </c>
      <c r="AR250" s="877">
        <f>+AR249+AR248</f>
        <v>186.29999999999998</v>
      </c>
      <c r="AS250" s="877">
        <f>+AS249+AS248</f>
        <v>185.1</v>
      </c>
      <c r="AT250" s="877">
        <f>+AT249+AT248</f>
        <v>178.2</v>
      </c>
      <c r="AU250" s="968">
        <f t="shared" si="903"/>
        <v>193.2</v>
      </c>
      <c r="AV250" s="894"/>
    </row>
    <row r="251" spans="1:48" x14ac:dyDescent="0.25">
      <c r="A251" s="936"/>
      <c r="J251" s="953"/>
      <c r="N251" s="953"/>
      <c r="R251" s="953"/>
      <c r="V251" s="953"/>
      <c r="AA251" s="1271"/>
    </row>
    <row r="252" spans="1:48" x14ac:dyDescent="0.25">
      <c r="A252" s="943" t="s">
        <v>878</v>
      </c>
      <c r="C252" s="937"/>
      <c r="J252" s="953"/>
      <c r="N252" s="953"/>
      <c r="R252" s="953"/>
      <c r="V252" s="953"/>
      <c r="Z252" s="877"/>
      <c r="AA252" s="1272"/>
      <c r="AB252" s="877"/>
      <c r="AC252" s="877"/>
      <c r="AD252" s="877"/>
    </row>
    <row r="253" spans="1:48" s="876" customFormat="1" x14ac:dyDescent="0.25">
      <c r="A253" s="876" t="s">
        <v>656</v>
      </c>
      <c r="C253" s="877"/>
      <c r="D253" s="877"/>
      <c r="E253" s="877"/>
      <c r="F253" s="877"/>
      <c r="G253" s="877">
        <f>+Model!AE62</f>
        <v>1720</v>
      </c>
      <c r="H253" s="877">
        <f>+Model!AF62</f>
        <v>1866</v>
      </c>
      <c r="I253" s="877">
        <f>+Model!AG62</f>
        <v>1569</v>
      </c>
      <c r="J253" s="954">
        <f>+Model!AH62</f>
        <v>2097</v>
      </c>
      <c r="K253" s="877">
        <f>+Model!AI62</f>
        <v>1564</v>
      </c>
      <c r="L253" s="877">
        <f>+Model!AJ62</f>
        <v>1681</v>
      </c>
      <c r="M253" s="877">
        <f>+Model!AK62</f>
        <v>1759</v>
      </c>
      <c r="N253" s="954">
        <f>+Model!AL62</f>
        <v>1690</v>
      </c>
      <c r="O253" s="877">
        <f>+Model!AM62</f>
        <v>1688</v>
      </c>
      <c r="P253" s="877">
        <f>+Model!AN62</f>
        <v>1794</v>
      </c>
      <c r="Q253" s="877">
        <f>+Model!AO62</f>
        <v>1981</v>
      </c>
      <c r="R253" s="954">
        <f>+Model!AP62</f>
        <v>2177</v>
      </c>
      <c r="S253" s="877">
        <f>+Model!AQ62</f>
        <v>2029</v>
      </c>
      <c r="T253" s="877">
        <f>+Model!AR62</f>
        <v>2319</v>
      </c>
      <c r="U253" s="877">
        <f>+Model!AS62</f>
        <v>2237</v>
      </c>
      <c r="V253" s="954">
        <f>+Model!AT62</f>
        <v>2389</v>
      </c>
      <c r="W253" s="877">
        <f>+Model!AU62</f>
        <v>2144</v>
      </c>
      <c r="X253" s="877">
        <v>2281</v>
      </c>
      <c r="Y253" s="877">
        <v>2272</v>
      </c>
      <c r="Z253" s="877">
        <v>2294</v>
      </c>
      <c r="AA253" s="1272">
        <v>2166</v>
      </c>
      <c r="AB253" s="877"/>
      <c r="AC253" s="877"/>
      <c r="AD253" s="877"/>
      <c r="AE253" s="877"/>
      <c r="AF253" s="877"/>
      <c r="AG253" s="877"/>
      <c r="AH253" s="877"/>
      <c r="AI253" s="877"/>
      <c r="AJ253" s="877"/>
      <c r="AK253" s="877"/>
      <c r="AL253" s="877"/>
      <c r="AM253" s="877"/>
      <c r="AN253" s="877"/>
      <c r="AO253" s="877"/>
      <c r="AP253" s="877"/>
      <c r="AQ253" s="877">
        <f>+Model!BK62</f>
        <v>7268</v>
      </c>
      <c r="AR253" s="877">
        <f>+Model!BL62</f>
        <v>6711</v>
      </c>
      <c r="AS253" s="877">
        <f>+Model!BM62</f>
        <v>7640</v>
      </c>
      <c r="AT253" s="877">
        <f>+Model!BN62</f>
        <v>8885</v>
      </c>
      <c r="AU253" s="878">
        <v>8946</v>
      </c>
      <c r="AV253" s="894"/>
    </row>
    <row r="254" spans="1:48" x14ac:dyDescent="0.25">
      <c r="A254" s="884" t="s">
        <v>655</v>
      </c>
      <c r="C254" s="877"/>
      <c r="D254" s="877"/>
      <c r="E254" s="877"/>
      <c r="F254" s="877"/>
      <c r="G254" s="877">
        <f>+Model!AE60</f>
        <v>1860</v>
      </c>
      <c r="H254" s="877">
        <f>+Model!AF60</f>
        <v>1953</v>
      </c>
      <c r="I254" s="877">
        <f>+Model!AG60</f>
        <v>1946</v>
      </c>
      <c r="J254" s="954">
        <f>+Model!AH60</f>
        <v>1992</v>
      </c>
      <c r="K254" s="877">
        <f>+Model!AI60</f>
        <v>1718</v>
      </c>
      <c r="L254" s="877">
        <f>+Model!AJ60</f>
        <v>1755</v>
      </c>
      <c r="M254" s="877">
        <f>+Model!AK60</f>
        <v>1876</v>
      </c>
      <c r="N254" s="954">
        <f>+Model!AL60</f>
        <v>2035</v>
      </c>
      <c r="O254" s="877">
        <f>+Model!AM60</f>
        <v>1885</v>
      </c>
      <c r="P254" s="877">
        <f>+Model!AN60</f>
        <v>1953</v>
      </c>
      <c r="Q254" s="877">
        <f>+Model!AO60</f>
        <v>2006</v>
      </c>
      <c r="R254" s="954">
        <f>+Model!AP60</f>
        <v>2266</v>
      </c>
      <c r="S254" s="877">
        <f>+Model!AQ60</f>
        <v>2216</v>
      </c>
      <c r="T254" s="877">
        <f>+Model!AR60</f>
        <v>2281</v>
      </c>
      <c r="U254" s="877">
        <f>+Model!AS60</f>
        <v>2332</v>
      </c>
      <c r="V254" s="954">
        <f>+Model!AT60</f>
        <v>2455</v>
      </c>
      <c r="W254" s="877">
        <f>+Model!AU60</f>
        <v>2381</v>
      </c>
      <c r="X254" s="877">
        <v>2465</v>
      </c>
      <c r="Y254" s="877">
        <v>2507</v>
      </c>
      <c r="Z254" s="877">
        <v>2735</v>
      </c>
      <c r="AA254" s="1272">
        <v>2400</v>
      </c>
      <c r="AB254" s="877"/>
      <c r="AC254" s="877"/>
      <c r="AD254" s="877"/>
      <c r="AJ254" s="877"/>
      <c r="AK254" s="877"/>
      <c r="AL254" s="877"/>
      <c r="AM254" s="877"/>
      <c r="AN254" s="877"/>
      <c r="AO254" s="877"/>
      <c r="AP254" s="877"/>
      <c r="AQ254" s="877">
        <f>+Model!BK60</f>
        <v>7775</v>
      </c>
      <c r="AR254" s="877">
        <f>+Model!BL60</f>
        <v>7389</v>
      </c>
      <c r="AS254" s="877">
        <f>+Model!BM60</f>
        <v>8104</v>
      </c>
      <c r="AT254" s="877">
        <f>+Model!BN60</f>
        <v>9270</v>
      </c>
      <c r="AU254" s="878">
        <v>10028</v>
      </c>
    </row>
    <row r="255" spans="1:48" x14ac:dyDescent="0.25">
      <c r="A255" s="936"/>
      <c r="J255" s="953"/>
      <c r="N255" s="953"/>
      <c r="R255" s="953"/>
      <c r="V255" s="953"/>
      <c r="AA255" s="1272"/>
      <c r="AU255" s="878"/>
    </row>
    <row r="256" spans="1:48" x14ac:dyDescent="0.25">
      <c r="A256" s="944" t="s">
        <v>654</v>
      </c>
      <c r="C256" s="937"/>
      <c r="J256" s="953"/>
      <c r="N256" s="953"/>
      <c r="R256" s="953"/>
      <c r="V256" s="953"/>
      <c r="AA256" s="1271"/>
    </row>
    <row r="257" spans="1:58" s="876" customFormat="1" x14ac:dyDescent="0.25">
      <c r="A257" s="876" t="s">
        <v>451</v>
      </c>
      <c r="C257" s="877">
        <f>+Model!AA49</f>
        <v>12.798999999999999</v>
      </c>
      <c r="D257" s="877">
        <f>+Model!AB49</f>
        <v>12.297000000000001</v>
      </c>
      <c r="E257" s="877">
        <f>+Model!AC49</f>
        <v>12.016</v>
      </c>
      <c r="F257" s="877">
        <f>+Model!AD49</f>
        <v>12.709</v>
      </c>
      <c r="G257" s="877">
        <f>+Model!AE49</f>
        <v>23.422999999999998</v>
      </c>
      <c r="H257" s="877">
        <f>+Model!AF49</f>
        <v>24.356000000000002</v>
      </c>
      <c r="I257" s="877">
        <f>+Model!AG49</f>
        <v>20.585999999999999</v>
      </c>
      <c r="J257" s="954">
        <f>+Model!AH49</f>
        <v>26.498000000000001</v>
      </c>
      <c r="K257" s="877">
        <f>+Model!AI49</f>
        <v>47.993000000000002</v>
      </c>
      <c r="L257" s="877">
        <f>+Model!AJ49</f>
        <v>50.228000000000002</v>
      </c>
      <c r="M257" s="877">
        <f>+Model!AK49</f>
        <v>51.177999999999997</v>
      </c>
      <c r="N257" s="954">
        <f>+Model!AL49</f>
        <v>47.027999999999999</v>
      </c>
      <c r="O257" s="950"/>
      <c r="P257" s="950"/>
      <c r="Q257" s="950"/>
      <c r="R257" s="960"/>
      <c r="S257" s="950"/>
      <c r="T257" s="950"/>
      <c r="U257" s="950"/>
      <c r="V257" s="960"/>
      <c r="W257" s="950"/>
      <c r="X257" s="950"/>
      <c r="Y257" s="950"/>
      <c r="Z257" s="950"/>
      <c r="AA257" s="1285"/>
      <c r="AB257" s="950"/>
      <c r="AC257" s="950"/>
      <c r="AD257" s="950"/>
      <c r="AE257" s="877"/>
      <c r="AF257" s="950"/>
      <c r="AG257" s="950"/>
      <c r="AH257" s="950"/>
      <c r="AI257" s="950"/>
      <c r="AJ257" s="950"/>
      <c r="AK257" s="950"/>
      <c r="AL257" s="950"/>
      <c r="AM257" s="950"/>
      <c r="AN257" s="950"/>
      <c r="AO257" s="950"/>
      <c r="AP257" s="877">
        <f>+Model!BJ49</f>
        <v>49.820999999999998</v>
      </c>
      <c r="AQ257" s="877">
        <f>+Model!BK49</f>
        <v>94.863</v>
      </c>
      <c r="AR257" s="877">
        <f>+Model!BL49</f>
        <v>196.42699999999999</v>
      </c>
      <c r="AS257" s="950"/>
      <c r="AT257" s="950"/>
      <c r="AU257" s="878"/>
      <c r="AV257" s="894"/>
    </row>
    <row r="258" spans="1:58" s="876" customFormat="1" x14ac:dyDescent="0.25">
      <c r="A258" s="876" t="s">
        <v>453</v>
      </c>
      <c r="C258" s="877">
        <f>+Model!AA50</f>
        <v>0</v>
      </c>
      <c r="D258" s="877">
        <f>+Model!AB50</f>
        <v>0</v>
      </c>
      <c r="E258" s="877">
        <f>+Model!AC50</f>
        <v>0</v>
      </c>
      <c r="F258" s="877">
        <f>+Model!AD50</f>
        <v>0</v>
      </c>
      <c r="G258" s="877">
        <f>+Model!AE50</f>
        <v>0.108</v>
      </c>
      <c r="H258" s="877">
        <f>+Model!AF50</f>
        <v>0.48099999999999998</v>
      </c>
      <c r="I258" s="877">
        <f>+Model!AG50</f>
        <v>8.2000000000000003E-2</v>
      </c>
      <c r="J258" s="954">
        <f>+Model!AH50</f>
        <v>1E-3</v>
      </c>
      <c r="K258" s="877">
        <f>+Model!AI50</f>
        <v>0.56499999999999995</v>
      </c>
      <c r="L258" s="877">
        <f>+Model!AJ50</f>
        <v>0.47699999999999998</v>
      </c>
      <c r="M258" s="877">
        <f>+Model!AK50</f>
        <v>0.54100000000000004</v>
      </c>
      <c r="N258" s="954">
        <f>+Model!AL50</f>
        <v>0.58199999999999996</v>
      </c>
      <c r="O258" s="950"/>
      <c r="P258" s="950"/>
      <c r="Q258" s="950"/>
      <c r="R258" s="960"/>
      <c r="S258" s="950"/>
      <c r="T258" s="950"/>
      <c r="U258" s="950"/>
      <c r="V258" s="960"/>
      <c r="W258" s="950"/>
      <c r="X258" s="950"/>
      <c r="Y258" s="950"/>
      <c r="Z258" s="950"/>
      <c r="AA258" s="1285"/>
      <c r="AB258" s="950"/>
      <c r="AC258" s="950"/>
      <c r="AD258" s="950"/>
      <c r="AE258" s="877"/>
      <c r="AF258" s="950"/>
      <c r="AG258" s="950"/>
      <c r="AH258" s="950"/>
      <c r="AI258" s="950"/>
      <c r="AJ258" s="950"/>
      <c r="AK258" s="950"/>
      <c r="AL258" s="950"/>
      <c r="AM258" s="950"/>
      <c r="AN258" s="950"/>
      <c r="AO258" s="950"/>
      <c r="AP258" s="877">
        <f>+Model!BJ50</f>
        <v>0</v>
      </c>
      <c r="AQ258" s="877">
        <f>+Model!BK50</f>
        <v>0.67199999999999993</v>
      </c>
      <c r="AR258" s="877">
        <f>+Model!BL50</f>
        <v>2.1649999999999996</v>
      </c>
      <c r="AS258" s="950"/>
      <c r="AT258" s="950"/>
      <c r="AU258" s="878"/>
      <c r="AV258" s="894"/>
    </row>
    <row r="259" spans="1:58" s="876" customFormat="1" x14ac:dyDescent="0.25">
      <c r="A259" s="876" t="s">
        <v>452</v>
      </c>
      <c r="C259" s="877">
        <f>+Model!AA51</f>
        <v>0</v>
      </c>
      <c r="D259" s="877">
        <f>+Model!AB51</f>
        <v>0</v>
      </c>
      <c r="E259" s="877">
        <f>+Model!AC51</f>
        <v>0</v>
      </c>
      <c r="F259" s="877">
        <f>+Model!AD51</f>
        <v>0</v>
      </c>
      <c r="G259" s="877">
        <f>+Model!AE51</f>
        <v>2.4E-2</v>
      </c>
      <c r="H259" s="877">
        <f>+Model!AF51</f>
        <v>0.10299999999999999</v>
      </c>
      <c r="I259" s="877">
        <f>+Model!AG51</f>
        <v>0.152</v>
      </c>
      <c r="J259" s="954">
        <f>+Model!AH51</f>
        <v>0.19</v>
      </c>
      <c r="K259" s="877">
        <f>+Model!AI51</f>
        <v>0.21299999999999999</v>
      </c>
      <c r="L259" s="877">
        <f>+Model!AJ51</f>
        <v>0.67100000000000004</v>
      </c>
      <c r="M259" s="877">
        <f>+Model!AK51</f>
        <v>0.66300000000000003</v>
      </c>
      <c r="N259" s="954">
        <f>+Model!AL51</f>
        <v>0.63500000000000001</v>
      </c>
      <c r="O259" s="950"/>
      <c r="P259" s="950"/>
      <c r="Q259" s="950"/>
      <c r="R259" s="960"/>
      <c r="S259" s="950"/>
      <c r="T259" s="950"/>
      <c r="U259" s="950"/>
      <c r="V259" s="960"/>
      <c r="W259" s="950"/>
      <c r="X259" s="950"/>
      <c r="Y259" s="950"/>
      <c r="Z259" s="950"/>
      <c r="AA259" s="1285"/>
      <c r="AB259" s="950"/>
      <c r="AC259" s="950"/>
      <c r="AD259" s="950"/>
      <c r="AE259" s="877"/>
      <c r="AF259" s="950"/>
      <c r="AG259" s="950"/>
      <c r="AH259" s="950"/>
      <c r="AI259" s="950"/>
      <c r="AJ259" s="950"/>
      <c r="AK259" s="950"/>
      <c r="AL259" s="950"/>
      <c r="AM259" s="950"/>
      <c r="AN259" s="950"/>
      <c r="AO259" s="950"/>
      <c r="AP259" s="877">
        <f>+Model!BJ51</f>
        <v>0</v>
      </c>
      <c r="AQ259" s="877">
        <f>+Model!BK51</f>
        <v>0.46900000000000003</v>
      </c>
      <c r="AR259" s="877">
        <f>+Model!BL51</f>
        <v>2.1820000000000004</v>
      </c>
      <c r="AS259" s="950"/>
      <c r="AT259" s="950"/>
      <c r="AU259" s="878"/>
      <c r="AV259" s="894"/>
    </row>
    <row r="260" spans="1:58" s="888" customFormat="1" x14ac:dyDescent="0.25">
      <c r="A260" s="884" t="str">
        <f>+Model!A52</f>
        <v>Private Pay Schools and Other (Galvanize) revenue, mm</v>
      </c>
      <c r="C260" s="945">
        <f>+Model!AA52</f>
        <v>0</v>
      </c>
      <c r="D260" s="945">
        <f>+Model!AB52</f>
        <v>0</v>
      </c>
      <c r="E260" s="945">
        <f>+Model!AC52</f>
        <v>0</v>
      </c>
      <c r="F260" s="945">
        <f>+Model!AD52</f>
        <v>0</v>
      </c>
      <c r="G260" s="945">
        <f>+Model!AE52</f>
        <v>0</v>
      </c>
      <c r="H260" s="945">
        <f>+Model!AF52</f>
        <v>0</v>
      </c>
      <c r="I260" s="945">
        <f>+Model!AG52</f>
        <v>3.1869999999999998</v>
      </c>
      <c r="J260" s="955">
        <f>+Model!AH52</f>
        <v>7.766</v>
      </c>
      <c r="K260" s="945">
        <f>+Model!AI52</f>
        <v>8.3409999999999993</v>
      </c>
      <c r="L260" s="945">
        <f>+Model!AJ52</f>
        <v>10.78</v>
      </c>
      <c r="M260" s="945">
        <f>+Model!AK52</f>
        <v>17.459</v>
      </c>
      <c r="N260" s="955">
        <f>+Model!AL52</f>
        <v>19.207000000000001</v>
      </c>
      <c r="O260" s="951"/>
      <c r="P260" s="951"/>
      <c r="Q260" s="951"/>
      <c r="R260" s="961"/>
      <c r="S260" s="951"/>
      <c r="T260" s="951"/>
      <c r="U260" s="951"/>
      <c r="V260" s="961"/>
      <c r="W260" s="951"/>
      <c r="X260" s="951"/>
      <c r="Y260" s="951"/>
      <c r="Z260" s="951"/>
      <c r="AA260" s="1286"/>
      <c r="AB260" s="951"/>
      <c r="AC260" s="951"/>
      <c r="AD260" s="951"/>
      <c r="AF260" s="951"/>
      <c r="AG260" s="951"/>
      <c r="AH260" s="951"/>
      <c r="AI260" s="951"/>
      <c r="AJ260" s="951"/>
      <c r="AK260" s="951"/>
      <c r="AL260" s="951"/>
      <c r="AM260" s="951"/>
      <c r="AN260" s="951"/>
      <c r="AO260" s="951"/>
      <c r="AP260" s="945">
        <f>+Model!BJ52</f>
        <v>0</v>
      </c>
      <c r="AQ260" s="945">
        <f>+Model!BK52</f>
        <v>10.952999999999999</v>
      </c>
      <c r="AR260" s="945">
        <f>+Model!BL52</f>
        <v>55.786999999999999</v>
      </c>
      <c r="AS260" s="950"/>
      <c r="AT260" s="950"/>
    </row>
    <row r="261" spans="1:58" s="876" customFormat="1" x14ac:dyDescent="0.25">
      <c r="A261" s="882" t="s">
        <v>873</v>
      </c>
      <c r="C261" s="877">
        <f t="shared" ref="C261:N261" si="905">+SUM(C257:C260)</f>
        <v>12.798999999999999</v>
      </c>
      <c r="D261" s="877">
        <f t="shared" si="905"/>
        <v>12.297000000000001</v>
      </c>
      <c r="E261" s="877">
        <f t="shared" si="905"/>
        <v>12.016</v>
      </c>
      <c r="F261" s="877">
        <f t="shared" si="905"/>
        <v>12.709</v>
      </c>
      <c r="G261" s="877">
        <f t="shared" si="905"/>
        <v>23.555</v>
      </c>
      <c r="H261" s="877">
        <f t="shared" si="905"/>
        <v>24.940000000000005</v>
      </c>
      <c r="I261" s="877">
        <f t="shared" si="905"/>
        <v>24.007000000000001</v>
      </c>
      <c r="J261" s="954">
        <f t="shared" si="905"/>
        <v>34.455000000000005</v>
      </c>
      <c r="K261" s="877">
        <f t="shared" si="905"/>
        <v>57.112000000000002</v>
      </c>
      <c r="L261" s="877">
        <f t="shared" si="905"/>
        <v>62.155999999999999</v>
      </c>
      <c r="M261" s="877">
        <f t="shared" si="905"/>
        <v>69.840999999999994</v>
      </c>
      <c r="N261" s="954">
        <f t="shared" si="905"/>
        <v>67.451999999999998</v>
      </c>
      <c r="O261" s="950"/>
      <c r="P261" s="950"/>
      <c r="Q261" s="950"/>
      <c r="R261" s="960"/>
      <c r="S261" s="950"/>
      <c r="T261" s="950"/>
      <c r="U261" s="950"/>
      <c r="V261" s="960"/>
      <c r="W261" s="950"/>
      <c r="X261" s="950"/>
      <c r="Y261" s="950"/>
      <c r="Z261" s="950"/>
      <c r="AA261" s="1285"/>
      <c r="AB261" s="950"/>
      <c r="AC261" s="950"/>
      <c r="AD261" s="950"/>
      <c r="AE261" s="877"/>
      <c r="AF261" s="950"/>
      <c r="AG261" s="950"/>
      <c r="AH261" s="950"/>
      <c r="AI261" s="950"/>
      <c r="AJ261" s="950"/>
      <c r="AK261" s="950"/>
      <c r="AL261" s="950"/>
      <c r="AM261" s="950"/>
      <c r="AN261" s="950"/>
      <c r="AO261" s="950"/>
      <c r="AP261" s="877">
        <f>+SUM(AP257:AP260)</f>
        <v>49.820999999999998</v>
      </c>
      <c r="AQ261" s="877">
        <f>+SUM(AQ257:AQ260)</f>
        <v>106.95699999999999</v>
      </c>
      <c r="AR261" s="877">
        <f>+SUM(AR257:AR260)</f>
        <v>256.56099999999998</v>
      </c>
      <c r="AS261" s="950"/>
      <c r="AT261" s="950"/>
      <c r="AU261" s="878"/>
      <c r="AV261" s="894"/>
    </row>
    <row r="262" spans="1:58" x14ac:dyDescent="0.25">
      <c r="A262" s="936"/>
      <c r="C262" s="937"/>
      <c r="J262" s="953"/>
      <c r="N262" s="953"/>
      <c r="O262" s="952"/>
      <c r="P262" s="952"/>
      <c r="Q262" s="952"/>
      <c r="R262" s="962"/>
      <c r="S262" s="952"/>
      <c r="T262" s="952"/>
      <c r="U262" s="952"/>
      <c r="V262" s="962"/>
      <c r="W262" s="952"/>
      <c r="X262" s="952"/>
      <c r="Y262" s="952"/>
      <c r="Z262" s="952"/>
      <c r="AA262" s="1287"/>
      <c r="AB262" s="952"/>
      <c r="AC262" s="952"/>
      <c r="AD262" s="952"/>
      <c r="AF262" s="952"/>
      <c r="AG262" s="952"/>
      <c r="AH262" s="952"/>
      <c r="AI262" s="952"/>
      <c r="AJ262" s="952"/>
      <c r="AK262" s="952"/>
      <c r="AL262" s="952"/>
      <c r="AM262" s="952"/>
      <c r="AN262" s="952"/>
      <c r="AO262" s="952"/>
      <c r="AS262" s="950"/>
      <c r="AT262" s="950"/>
    </row>
    <row r="263" spans="1:58" s="876" customFormat="1" x14ac:dyDescent="0.25">
      <c r="A263" s="876" t="s">
        <v>874</v>
      </c>
      <c r="C263" s="877">
        <f>+Model!AA40+Model!AA43</f>
        <v>207.744</v>
      </c>
      <c r="D263" s="877">
        <f>+Model!AB40+Model!AB43</f>
        <v>210.49600000000001</v>
      </c>
      <c r="E263" s="877">
        <f>+Model!AC40+Model!AC43</f>
        <v>210.62900000000002</v>
      </c>
      <c r="F263" s="877">
        <f>+Model!AD40+Model!AD43</f>
        <v>211.58500000000001</v>
      </c>
      <c r="G263" s="877">
        <f>+Model!AE40+Model!AE43</f>
        <v>204.11099999999999</v>
      </c>
      <c r="H263" s="877">
        <f>+Model!AF40+Model!AF43</f>
        <v>205.22</v>
      </c>
      <c r="I263" s="877">
        <f>+Model!AG40+Model!AG43</f>
        <v>207.74900000000002</v>
      </c>
      <c r="J263" s="954">
        <f>+Model!AH40+Model!AH43</f>
        <v>208.136</v>
      </c>
      <c r="K263" s="877">
        <f>+Model!AI40+Model!AI43</f>
        <v>279.21100000000001</v>
      </c>
      <c r="L263" s="877">
        <f>+Model!AJ40+Model!AJ43</f>
        <v>275.59899999999999</v>
      </c>
      <c r="M263" s="877">
        <f>+Model!AK40+Model!AK43</f>
        <v>285.10300000000001</v>
      </c>
      <c r="N263" s="954">
        <f>+Model!AL40+Model!AL43</f>
        <v>292.62599999999998</v>
      </c>
      <c r="O263" s="950"/>
      <c r="P263" s="950"/>
      <c r="Q263" s="950"/>
      <c r="R263" s="960"/>
      <c r="S263" s="950"/>
      <c r="T263" s="950"/>
      <c r="U263" s="950"/>
      <c r="V263" s="960"/>
      <c r="W263" s="950"/>
      <c r="X263" s="950"/>
      <c r="Y263" s="950"/>
      <c r="Z263" s="950"/>
      <c r="AA263" s="1285"/>
      <c r="AB263" s="950"/>
      <c r="AC263" s="950"/>
      <c r="AD263" s="950"/>
      <c r="AE263" s="877"/>
      <c r="AF263" s="950"/>
      <c r="AG263" s="950"/>
      <c r="AH263" s="950"/>
      <c r="AI263" s="950"/>
      <c r="AJ263" s="950"/>
      <c r="AK263" s="950"/>
      <c r="AL263" s="950"/>
      <c r="AM263" s="950"/>
      <c r="AN263" s="950"/>
      <c r="AO263" s="950"/>
      <c r="AP263" s="877">
        <f>+Model!BJ40+Model!BJ43</f>
        <v>840.45399999999995</v>
      </c>
      <c r="AQ263" s="877">
        <f>+Model!BK40+Model!BK43</f>
        <v>825.21600000000012</v>
      </c>
      <c r="AR263" s="877">
        <f>+Model!BL40+Model!BL43</f>
        <v>1132.539</v>
      </c>
      <c r="AS263" s="950"/>
      <c r="AT263" s="950"/>
      <c r="AU263" s="878"/>
      <c r="AV263" s="894"/>
    </row>
    <row r="264" spans="1:58" s="876" customFormat="1" x14ac:dyDescent="0.25">
      <c r="A264" s="876" t="s">
        <v>875</v>
      </c>
      <c r="C264" s="877">
        <f>+Model!AA41+Model!AA44</f>
        <v>8.2720000000000002</v>
      </c>
      <c r="D264" s="877">
        <f>+Model!AB41+Model!AB44</f>
        <v>8.9710000000000001</v>
      </c>
      <c r="E264" s="877">
        <f>+Model!AC41+Model!AC44</f>
        <v>9.3010000000000002</v>
      </c>
      <c r="F264" s="877">
        <f>+Model!AD41+Model!AD44</f>
        <v>8.98</v>
      </c>
      <c r="G264" s="877">
        <f>+Model!AE41+Model!AE44</f>
        <v>8.5510000000000002</v>
      </c>
      <c r="H264" s="877">
        <f>+Model!AF41+Model!AF44</f>
        <v>8.1449999999999996</v>
      </c>
      <c r="I264" s="877">
        <f>+Model!AG41+Model!AG44</f>
        <v>8.7969999999999988</v>
      </c>
      <c r="J264" s="954">
        <f>+Model!AH41+Model!AH44</f>
        <v>8.6080000000000005</v>
      </c>
      <c r="K264" s="877">
        <f>+Model!AI41+Model!AI44</f>
        <v>7.8710000000000004</v>
      </c>
      <c r="L264" s="877">
        <f>+Model!AJ41+Model!AJ44</f>
        <v>12.055999999999999</v>
      </c>
      <c r="M264" s="877">
        <f>+Model!AK41+Model!AK44</f>
        <v>11.7</v>
      </c>
      <c r="N264" s="954">
        <f>+Model!AL41+Model!AL44</f>
        <v>11.535</v>
      </c>
      <c r="O264" s="950"/>
      <c r="P264" s="950"/>
      <c r="Q264" s="950"/>
      <c r="R264" s="960"/>
      <c r="S264" s="950"/>
      <c r="T264" s="950"/>
      <c r="U264" s="950"/>
      <c r="V264" s="960"/>
      <c r="W264" s="950"/>
      <c r="X264" s="950"/>
      <c r="Y264" s="950"/>
      <c r="Z264" s="950"/>
      <c r="AA264" s="1285"/>
      <c r="AB264" s="950"/>
      <c r="AC264" s="950"/>
      <c r="AD264" s="950"/>
      <c r="AE264" s="877"/>
      <c r="AF264" s="950"/>
      <c r="AG264" s="950"/>
      <c r="AH264" s="950"/>
      <c r="AI264" s="950"/>
      <c r="AJ264" s="950"/>
      <c r="AK264" s="950"/>
      <c r="AL264" s="950"/>
      <c r="AM264" s="950"/>
      <c r="AN264" s="950"/>
      <c r="AO264" s="950"/>
      <c r="AP264" s="877">
        <f>+Model!BJ41+Model!BJ44</f>
        <v>35.524000000000001</v>
      </c>
      <c r="AQ264" s="877">
        <f>+Model!BK41+Model!BK44</f>
        <v>34.101000000000006</v>
      </c>
      <c r="AR264" s="877">
        <f>+Model!BL41+Model!BL44</f>
        <v>43.161999999999999</v>
      </c>
      <c r="AS264" s="950"/>
      <c r="AT264" s="950"/>
      <c r="AU264" s="878"/>
      <c r="AV264" s="894"/>
    </row>
    <row r="265" spans="1:58" s="888" customFormat="1" x14ac:dyDescent="0.25">
      <c r="A265" s="884" t="s">
        <v>876</v>
      </c>
      <c r="C265" s="945">
        <f>+Model!AA42+Model!AA45</f>
        <v>22.498999999999999</v>
      </c>
      <c r="D265" s="945">
        <f>+Model!AB42+Model!AB45</f>
        <v>23.108000000000001</v>
      </c>
      <c r="E265" s="945">
        <f>+Model!AC42+Model!AC45</f>
        <v>21.306000000000001</v>
      </c>
      <c r="F265" s="945">
        <f>+Model!AD42+Model!AD45</f>
        <v>23.04</v>
      </c>
      <c r="G265" s="945">
        <f>+Model!AE42+Model!AE45</f>
        <v>20.904</v>
      </c>
      <c r="H265" s="945">
        <f>+Model!AF42+Model!AF45</f>
        <v>19.253999999999998</v>
      </c>
      <c r="I265" s="945">
        <f>+Model!AG42+Model!AG45</f>
        <v>16.600999999999999</v>
      </c>
      <c r="J265" s="955">
        <f>+Model!AH42+Model!AH45</f>
        <v>17.731999999999999</v>
      </c>
      <c r="K265" s="945">
        <f>+Model!AI42+Model!AI45</f>
        <v>26.765999999999998</v>
      </c>
      <c r="L265" s="945">
        <f>+Model!AJ42+Model!AJ45</f>
        <v>26.334</v>
      </c>
      <c r="M265" s="945">
        <f>+Model!AK42+Model!AK45</f>
        <v>25.501000000000001</v>
      </c>
      <c r="N265" s="955">
        <f>+Model!AL42+Model!AL45</f>
        <v>25.896999999999998</v>
      </c>
      <c r="O265" s="951"/>
      <c r="P265" s="951"/>
      <c r="Q265" s="951"/>
      <c r="R265" s="961"/>
      <c r="S265" s="951"/>
      <c r="T265" s="951"/>
      <c r="U265" s="951"/>
      <c r="V265" s="961"/>
      <c r="W265" s="951"/>
      <c r="X265" s="951"/>
      <c r="Y265" s="951"/>
      <c r="Z265" s="951"/>
      <c r="AA265" s="1286"/>
      <c r="AB265" s="951"/>
      <c r="AC265" s="951"/>
      <c r="AD265" s="951"/>
      <c r="AF265" s="951"/>
      <c r="AG265" s="951"/>
      <c r="AH265" s="951"/>
      <c r="AI265" s="951"/>
      <c r="AJ265" s="951"/>
      <c r="AK265" s="951"/>
      <c r="AL265" s="951"/>
      <c r="AM265" s="951"/>
      <c r="AN265" s="951"/>
      <c r="AO265" s="951"/>
      <c r="AP265" s="945">
        <f>+Model!BJ42+Model!BJ45</f>
        <v>89.953000000000003</v>
      </c>
      <c r="AQ265" s="945">
        <f>+Model!BK42+Model!BK45</f>
        <v>74.491</v>
      </c>
      <c r="AR265" s="945">
        <f>+Model!BL42+Model!BL45</f>
        <v>104.49799999999999</v>
      </c>
      <c r="AS265" s="950"/>
      <c r="AT265" s="950"/>
    </row>
    <row r="266" spans="1:58" s="876" customFormat="1" x14ac:dyDescent="0.25">
      <c r="A266" s="882" t="s">
        <v>877</v>
      </c>
      <c r="C266" s="877">
        <f t="shared" ref="C266:N266" si="906">+SUM(C263:C265)</f>
        <v>238.51499999999999</v>
      </c>
      <c r="D266" s="877">
        <f t="shared" si="906"/>
        <v>242.57500000000002</v>
      </c>
      <c r="E266" s="877">
        <f t="shared" si="906"/>
        <v>241.23600000000002</v>
      </c>
      <c r="F266" s="877">
        <f t="shared" si="906"/>
        <v>243.60499999999999</v>
      </c>
      <c r="G266" s="877">
        <f t="shared" si="906"/>
        <v>233.56599999999997</v>
      </c>
      <c r="H266" s="877">
        <f t="shared" si="906"/>
        <v>232.619</v>
      </c>
      <c r="I266" s="877">
        <f t="shared" si="906"/>
        <v>233.14700000000002</v>
      </c>
      <c r="J266" s="954">
        <f t="shared" si="906"/>
        <v>234.476</v>
      </c>
      <c r="K266" s="877">
        <f t="shared" si="906"/>
        <v>313.84800000000001</v>
      </c>
      <c r="L266" s="877">
        <f t="shared" si="906"/>
        <v>313.98899999999998</v>
      </c>
      <c r="M266" s="877">
        <f t="shared" si="906"/>
        <v>322.30399999999997</v>
      </c>
      <c r="N266" s="954">
        <f t="shared" si="906"/>
        <v>330.05799999999999</v>
      </c>
      <c r="O266" s="950"/>
      <c r="P266" s="950"/>
      <c r="Q266" s="950"/>
      <c r="R266" s="960"/>
      <c r="S266" s="950"/>
      <c r="T266" s="950"/>
      <c r="U266" s="950"/>
      <c r="V266" s="960"/>
      <c r="W266" s="950"/>
      <c r="X266" s="950"/>
      <c r="Y266" s="950"/>
      <c r="Z266" s="950"/>
      <c r="AA266" s="1285"/>
      <c r="AB266" s="950"/>
      <c r="AC266" s="950"/>
      <c r="AD266" s="950"/>
      <c r="AE266" s="877"/>
      <c r="AF266" s="950"/>
      <c r="AG266" s="950"/>
      <c r="AH266" s="950"/>
      <c r="AI266" s="950"/>
      <c r="AJ266" s="950"/>
      <c r="AK266" s="950"/>
      <c r="AL266" s="950"/>
      <c r="AM266" s="950"/>
      <c r="AN266" s="950"/>
      <c r="AO266" s="950"/>
      <c r="AP266" s="877">
        <f>+SUM(AP263:AP265)</f>
        <v>965.93099999999993</v>
      </c>
      <c r="AQ266" s="877">
        <f>+SUM(AQ263:AQ265)</f>
        <v>933.80800000000011</v>
      </c>
      <c r="AR266" s="877">
        <f>+SUM(AR263:AR265)</f>
        <v>1280.1990000000001</v>
      </c>
      <c r="AS266" s="950"/>
      <c r="AT266" s="950"/>
      <c r="AU266" s="878"/>
      <c r="AV266" s="894"/>
    </row>
    <row r="267" spans="1:58" x14ac:dyDescent="0.25">
      <c r="A267" s="936"/>
      <c r="C267" s="937"/>
      <c r="J267" s="953"/>
      <c r="N267" s="953"/>
      <c r="R267" s="953"/>
      <c r="V267" s="953"/>
      <c r="AA267" s="1271"/>
    </row>
    <row r="268" spans="1:58" x14ac:dyDescent="0.25">
      <c r="A268" s="936" t="s">
        <v>973</v>
      </c>
      <c r="C268" s="937"/>
      <c r="J268" s="953"/>
      <c r="N268" s="953"/>
      <c r="R268" s="953"/>
      <c r="V268" s="953"/>
      <c r="AA268" s="1271"/>
      <c r="AL268" s="933"/>
      <c r="AM268" s="933"/>
      <c r="AN268" s="933">
        <v>-61</v>
      </c>
      <c r="AO268" s="933">
        <v>-66.7</v>
      </c>
      <c r="AP268" s="933">
        <v>-54.7</v>
      </c>
      <c r="AQ268" s="933">
        <v>-45.4</v>
      </c>
      <c r="AR268" s="933">
        <v>-63.4</v>
      </c>
      <c r="AS268" s="933">
        <v>-36.299999999999997</v>
      </c>
      <c r="AT268" s="933">
        <v>-23.8</v>
      </c>
      <c r="AU268" s="933">
        <v>-17</v>
      </c>
      <c r="AW268" s="884" t="s">
        <v>974</v>
      </c>
    </row>
    <row r="269" spans="1:58" x14ac:dyDescent="0.25">
      <c r="A269" s="936" t="s">
        <v>975</v>
      </c>
      <c r="C269" s="937"/>
      <c r="J269" s="953"/>
      <c r="N269" s="953"/>
      <c r="R269" s="953"/>
      <c r="V269" s="953"/>
      <c r="AA269" s="1271"/>
      <c r="AL269" s="933">
        <v>-338.2</v>
      </c>
      <c r="AM269" s="933">
        <v>-294.7</v>
      </c>
      <c r="AN269" s="933">
        <v>-292</v>
      </c>
      <c r="AO269" s="933">
        <v>-314.8</v>
      </c>
      <c r="AP269" s="933">
        <v>-342.7</v>
      </c>
      <c r="AQ269" s="933">
        <v>-325.5</v>
      </c>
      <c r="AR269" s="933">
        <v>-412.1</v>
      </c>
      <c r="AS269" s="933">
        <v>-460.5</v>
      </c>
      <c r="AT269" s="933">
        <v>-503.2</v>
      </c>
      <c r="AU269" s="933">
        <v>-576.4</v>
      </c>
    </row>
    <row r="270" spans="1:58" ht="13" x14ac:dyDescent="0.3">
      <c r="A270" s="936"/>
      <c r="C270" s="937"/>
      <c r="J270" s="953"/>
      <c r="N270" s="953"/>
      <c r="R270" s="953"/>
      <c r="V270" s="953"/>
      <c r="AA270" s="1271"/>
      <c r="AL270" s="933"/>
      <c r="AM270" s="933"/>
      <c r="AN270" s="933"/>
      <c r="AO270" s="933"/>
      <c r="AP270" s="933"/>
      <c r="AQ270" s="933"/>
      <c r="AR270" s="933"/>
      <c r="AS270" s="933"/>
      <c r="AT270" s="933"/>
      <c r="AU270" s="933"/>
      <c r="AX270" s="908" t="s">
        <v>982</v>
      </c>
    </row>
    <row r="271" spans="1:58" s="887" customFormat="1" ht="16" x14ac:dyDescent="0.6">
      <c r="A271" s="1194" t="s">
        <v>977</v>
      </c>
      <c r="C271" s="1192"/>
      <c r="J271" s="963"/>
      <c r="N271" s="963"/>
      <c r="R271" s="963"/>
      <c r="V271" s="963"/>
      <c r="AA271" s="1274"/>
      <c r="AL271" s="1193"/>
      <c r="AM271" s="1193"/>
      <c r="AN271" s="1193" t="s">
        <v>978</v>
      </c>
      <c r="AQ271" s="1193"/>
      <c r="AR271" s="1193"/>
      <c r="AS271" s="1193"/>
      <c r="AT271" s="1193"/>
      <c r="AU271" s="1193"/>
      <c r="AY271" s="893" t="s">
        <v>775</v>
      </c>
      <c r="AZ271" s="893" t="s">
        <v>774</v>
      </c>
      <c r="BA271" s="893" t="s">
        <v>684</v>
      </c>
      <c r="BB271" s="893" t="s">
        <v>685</v>
      </c>
      <c r="BC271" s="893" t="s">
        <v>686</v>
      </c>
      <c r="BD271" s="893" t="s">
        <v>687</v>
      </c>
      <c r="BE271" s="893" t="s">
        <v>688</v>
      </c>
      <c r="BF271" s="893" t="s">
        <v>946</v>
      </c>
    </row>
    <row r="272" spans="1:58" s="887" customFormat="1" ht="13" x14ac:dyDescent="0.3">
      <c r="A272" s="1195" t="str">
        <f>+A276</f>
        <v>Net School Operating Loss Reducution to Revenue</v>
      </c>
      <c r="C272" s="1192"/>
      <c r="J272" s="963"/>
      <c r="N272" s="963"/>
      <c r="R272" s="963"/>
      <c r="V272" s="963"/>
      <c r="AA272" s="1274"/>
      <c r="AL272" s="1193"/>
      <c r="AM272" s="1193"/>
      <c r="AN272" s="1193">
        <f>+AN268/AN121*1000</f>
        <v>-550.04508566275922</v>
      </c>
      <c r="AO272" s="1198">
        <f>+AO268/AO121*1000</f>
        <v>-593.41637010676152</v>
      </c>
      <c r="AP272" s="1193">
        <f>+AP268/AP158*1000</f>
        <v>-463.95250212044101</v>
      </c>
      <c r="AQ272" s="1193">
        <f>+AQ268/AQ158*1000</f>
        <v>-375.51695616211742</v>
      </c>
      <c r="AR272" s="1193">
        <f>+AR268/AR158*1000</f>
        <v>-340.31132581857219</v>
      </c>
      <c r="AS272" s="1193">
        <f>+AS268/AS158*1000</f>
        <v>-196.11021069692057</v>
      </c>
      <c r="AT272" s="1193">
        <f>+AT268/AT158*1000</f>
        <v>-133.55780022446689</v>
      </c>
      <c r="AU272" s="1193">
        <f>+AU268/AU158*1000</f>
        <v>-87.991718426501038</v>
      </c>
      <c r="AX272" s="884" t="s">
        <v>980</v>
      </c>
      <c r="AY272" s="1199">
        <f>+AN272</f>
        <v>-550.04508566275922</v>
      </c>
      <c r="AZ272" s="1200">
        <f t="shared" ref="AZ272:BF272" si="907">+AO272</f>
        <v>-593.41637010676152</v>
      </c>
      <c r="BA272" s="1199">
        <f t="shared" si="907"/>
        <v>-463.95250212044101</v>
      </c>
      <c r="BB272" s="1199">
        <f t="shared" si="907"/>
        <v>-375.51695616211742</v>
      </c>
      <c r="BC272" s="1199">
        <f t="shared" si="907"/>
        <v>-340.31132581857219</v>
      </c>
      <c r="BD272" s="1199">
        <f t="shared" si="907"/>
        <v>-196.11021069692057</v>
      </c>
      <c r="BE272" s="1199">
        <f t="shared" si="907"/>
        <v>-133.55780022446689</v>
      </c>
      <c r="BF272" s="1199">
        <f t="shared" si="907"/>
        <v>-87.991718426501038</v>
      </c>
    </row>
    <row r="273" spans="1:58" s="887" customFormat="1" ht="13" x14ac:dyDescent="0.3">
      <c r="A273" s="1195" t="str">
        <f>+A277</f>
        <v>Net School Operating Loss Expenses and Revenues</v>
      </c>
      <c r="C273" s="1192"/>
      <c r="J273" s="963"/>
      <c r="N273" s="963"/>
      <c r="R273" s="963"/>
      <c r="V273" s="963"/>
      <c r="AA273" s="1274"/>
      <c r="AM273" s="1196"/>
      <c r="AN273" s="1193">
        <f>+AN269/AN121*1000</f>
        <v>-2633.0027051397656</v>
      </c>
      <c r="AO273" s="1198">
        <f>+AO269/AO121*1000</f>
        <v>-2800.7117437722418</v>
      </c>
      <c r="AP273" s="1193">
        <f>+AP269/AP158*1000</f>
        <v>-2906.7005937234944</v>
      </c>
      <c r="AQ273" s="1193">
        <f>+AQ269/AQ158*1000</f>
        <v>-2692.3076923076924</v>
      </c>
      <c r="AR273" s="1193">
        <f>+AR269/AR158*1000</f>
        <v>-2212.0236178207197</v>
      </c>
      <c r="AS273" s="1193">
        <f>+AS269/AS158*1000</f>
        <v>-2487.8444084278767</v>
      </c>
      <c r="AT273" s="1193">
        <f>+AT269/AT158*1000</f>
        <v>-2823.793490460157</v>
      </c>
      <c r="AU273" s="1193">
        <f>+AU269/AU158*1000</f>
        <v>-2983.4368530020706</v>
      </c>
      <c r="AX273" s="884" t="s">
        <v>981</v>
      </c>
      <c r="AY273" s="1199">
        <v>-589</v>
      </c>
      <c r="AZ273" s="1200">
        <v>-614</v>
      </c>
      <c r="BA273" s="1199">
        <v>-464</v>
      </c>
      <c r="BB273" s="1199">
        <v>-376</v>
      </c>
      <c r="BC273" s="1199">
        <v>-340</v>
      </c>
      <c r="BD273" s="1199">
        <v>-196</v>
      </c>
      <c r="BE273" s="1199">
        <v>-134</v>
      </c>
      <c r="BF273" s="1199">
        <v>-87</v>
      </c>
    </row>
    <row r="274" spans="1:58" ht="13" x14ac:dyDescent="0.3">
      <c r="A274" s="936"/>
      <c r="C274" s="937"/>
      <c r="J274" s="953"/>
      <c r="N274" s="953"/>
      <c r="R274" s="953"/>
      <c r="V274" s="953"/>
      <c r="AA274" s="1271"/>
      <c r="AO274" s="967"/>
      <c r="AY274" s="1193"/>
      <c r="AZ274" s="1201" t="s">
        <v>983</v>
      </c>
      <c r="BA274" s="887" t="s">
        <v>984</v>
      </c>
    </row>
    <row r="275" spans="1:58" s="887" customFormat="1" ht="13" x14ac:dyDescent="0.3">
      <c r="A275" s="1194" t="s">
        <v>976</v>
      </c>
      <c r="C275" s="1192"/>
      <c r="J275" s="963"/>
      <c r="N275" s="963"/>
      <c r="R275" s="963"/>
      <c r="V275" s="963"/>
      <c r="AA275" s="1274"/>
      <c r="AL275" s="1193"/>
      <c r="AM275" s="1193"/>
      <c r="AN275" s="1193"/>
      <c r="AO275" s="1198"/>
      <c r="AP275" s="1193"/>
      <c r="AQ275" s="1193"/>
      <c r="AR275" s="1193"/>
      <c r="AS275" s="1193"/>
      <c r="AT275" s="1193"/>
      <c r="AU275" s="1193"/>
      <c r="AX275" s="887" t="s">
        <v>986</v>
      </c>
      <c r="AY275" s="1193">
        <v>0</v>
      </c>
      <c r="AZ275" s="1193">
        <v>0</v>
      </c>
      <c r="BA275" s="1193">
        <v>0</v>
      </c>
      <c r="BB275" s="1193">
        <v>0</v>
      </c>
      <c r="BC275" s="1193">
        <v>48.517000000000003</v>
      </c>
      <c r="BD275" s="1193">
        <v>61.773000000000003</v>
      </c>
      <c r="BE275" s="1193">
        <v>95.18</v>
      </c>
      <c r="BF275" s="1193">
        <v>125.636</v>
      </c>
    </row>
    <row r="276" spans="1:58" s="887" customFormat="1" ht="13" x14ac:dyDescent="0.3">
      <c r="A276" s="1195" t="str">
        <f>+A268</f>
        <v>Net School Operating Loss Reducution to Revenue</v>
      </c>
      <c r="C276" s="1192"/>
      <c r="J276" s="963"/>
      <c r="N276" s="963"/>
      <c r="R276" s="963"/>
      <c r="V276" s="963"/>
      <c r="AA276" s="1274"/>
      <c r="AL276" s="1193"/>
      <c r="AM276" s="1193"/>
      <c r="AN276" s="1193">
        <f>+AN268/AN121*1000</f>
        <v>-550.04508566275922</v>
      </c>
      <c r="AO276" s="1198">
        <f>+AO268/AO121*1000</f>
        <v>-593.41637010676152</v>
      </c>
      <c r="AP276" s="1193">
        <f>+AP268/AP116*1000</f>
        <v>-491.9064748201439</v>
      </c>
      <c r="AQ276" s="1193">
        <f>+AQ268/AQ116*1000</f>
        <v>-421.15027829313544</v>
      </c>
      <c r="AR276" s="1193">
        <f>+AR268/AR116*1000</f>
        <v>-404.59476707083604</v>
      </c>
      <c r="AS276" s="1193">
        <f>+AS268/AS116*1000</f>
        <v>-253.49162011173181</v>
      </c>
      <c r="AT276" s="1193">
        <f>+AT268/AT116*1000</f>
        <v>-211.93232413178987</v>
      </c>
      <c r="AU276" s="1193">
        <f>+AU268/AU116*1000</f>
        <v>-140.64115822130299</v>
      </c>
      <c r="AX276" s="887" t="s">
        <v>985</v>
      </c>
      <c r="AY276" s="1193">
        <v>0</v>
      </c>
      <c r="AZ276" s="1193">
        <v>0</v>
      </c>
      <c r="BA276" s="1193">
        <v>0</v>
      </c>
      <c r="BB276" s="1193">
        <v>0</v>
      </c>
      <c r="BC276" s="1193">
        <v>48.517000000000003</v>
      </c>
      <c r="BD276" s="1193">
        <v>61.773000000000003</v>
      </c>
      <c r="BE276" s="1193">
        <v>95.18</v>
      </c>
      <c r="BF276" s="1193">
        <v>125.636</v>
      </c>
    </row>
    <row r="277" spans="1:58" s="887" customFormat="1" ht="13" x14ac:dyDescent="0.3">
      <c r="A277" s="1195" t="str">
        <f>+A269</f>
        <v>Net School Operating Loss Expenses and Revenues</v>
      </c>
      <c r="C277" s="1192"/>
      <c r="J277" s="963"/>
      <c r="N277" s="963"/>
      <c r="R277" s="963"/>
      <c r="V277" s="963"/>
      <c r="AA277" s="1274"/>
      <c r="AM277" s="1196"/>
      <c r="AN277" s="1193">
        <f>+AN269/AN121*1000</f>
        <v>-2633.0027051397656</v>
      </c>
      <c r="AO277" s="1198">
        <f>+AO269/AO121*1000</f>
        <v>-2800.7117437722418</v>
      </c>
      <c r="AP277" s="1193">
        <f>+AP269/AP116*1000</f>
        <v>-3081.8345323741005</v>
      </c>
      <c r="AQ277" s="1193">
        <f>+AQ269/AQ116*1000</f>
        <v>-3019.4805194805194</v>
      </c>
      <c r="AR277" s="1193">
        <f>+AR269/AR116*1000</f>
        <v>-2629.8659859604345</v>
      </c>
      <c r="AS277" s="1193">
        <f>+AS269/AS116*1000</f>
        <v>-3215.7821229050282</v>
      </c>
      <c r="AT277" s="1193">
        <f>+AT269/AT116*1000</f>
        <v>-4480.8548530721282</v>
      </c>
      <c r="AU277" s="1193">
        <f>+AU269/AU116*1000</f>
        <v>-4768.5625646328845</v>
      </c>
    </row>
    <row r="278" spans="1:58" s="887" customFormat="1" ht="13" x14ac:dyDescent="0.3">
      <c r="A278" s="1195"/>
      <c r="C278" s="1192"/>
      <c r="J278" s="963"/>
      <c r="N278" s="963"/>
      <c r="R278" s="963"/>
      <c r="V278" s="963"/>
      <c r="AA278" s="1274"/>
      <c r="AM278" s="1196"/>
      <c r="AN278" s="1193"/>
      <c r="AO278" s="1193"/>
      <c r="AP278" s="1193"/>
      <c r="AQ278" s="1193"/>
      <c r="AR278" s="1193"/>
      <c r="AS278" s="1193"/>
      <c r="AT278" s="1193"/>
      <c r="AU278" s="1193"/>
    </row>
    <row r="279" spans="1:58" ht="13" x14ac:dyDescent="0.3">
      <c r="A279" s="904" t="s">
        <v>192</v>
      </c>
      <c r="B279" s="903"/>
      <c r="C279" s="937"/>
      <c r="J279" s="953"/>
      <c r="N279" s="953"/>
      <c r="R279" s="953"/>
      <c r="V279" s="953"/>
      <c r="AA279" s="1271"/>
    </row>
    <row r="280" spans="1:58" x14ac:dyDescent="0.25">
      <c r="A280" s="936"/>
      <c r="C280" s="937"/>
      <c r="J280" s="953"/>
      <c r="N280" s="953"/>
      <c r="R280" s="953"/>
      <c r="V280" s="953"/>
      <c r="AA280" s="1271"/>
    </row>
    <row r="281" spans="1:58" ht="13" x14ac:dyDescent="0.3">
      <c r="A281" s="946" t="s">
        <v>796</v>
      </c>
      <c r="C281" s="937"/>
      <c r="J281" s="953"/>
      <c r="N281" s="953"/>
      <c r="R281" s="953"/>
      <c r="V281" s="953"/>
      <c r="AA281" s="1271"/>
    </row>
    <row r="282" spans="1:58" x14ac:dyDescent="0.25">
      <c r="A282" s="944" t="s">
        <v>193</v>
      </c>
      <c r="C282" s="937"/>
      <c r="J282" s="953"/>
      <c r="N282" s="953"/>
      <c r="R282" s="953"/>
      <c r="V282" s="953"/>
      <c r="AA282" s="1271"/>
      <c r="AU282" s="967"/>
    </row>
    <row r="283" spans="1:58" x14ac:dyDescent="0.25">
      <c r="A283" s="936" t="s">
        <v>797</v>
      </c>
      <c r="C283" s="898">
        <f>+Model!AA551</f>
        <v>143.04900000000001</v>
      </c>
      <c r="D283" s="898">
        <f>+Model!AB551</f>
        <v>203.27500000000001</v>
      </c>
      <c r="E283" s="898">
        <f>+Model!AC551</f>
        <v>234.02500000000001</v>
      </c>
      <c r="F283" s="898">
        <f>+Model!AD551</f>
        <v>283.12099999999998</v>
      </c>
      <c r="G283" s="898">
        <f>+Model!AE551</f>
        <v>165.94399999999999</v>
      </c>
      <c r="H283" s="898">
        <f>+Model!AF551</f>
        <v>211.64099999999999</v>
      </c>
      <c r="I283" s="898">
        <f>+Model!AG551</f>
        <v>150.03399999999999</v>
      </c>
      <c r="J283" s="957">
        <f>+Model!AH551</f>
        <v>212.29900000000001</v>
      </c>
      <c r="K283" s="898">
        <f>+Model!AI551</f>
        <v>308.78399999999999</v>
      </c>
      <c r="L283" s="898">
        <f>+Model!AJ551</f>
        <v>258.10700000000003</v>
      </c>
      <c r="M283" s="898">
        <f>+Model!AK551</f>
        <v>329.03100000000001</v>
      </c>
      <c r="N283" s="957">
        <f>+Model!AL551</f>
        <v>386.08</v>
      </c>
      <c r="O283" s="898">
        <f>+Model!AM551</f>
        <v>218.51900000000001</v>
      </c>
      <c r="P283" s="898">
        <f>+Model!AN551</f>
        <v>256.98599999999999</v>
      </c>
      <c r="Q283" s="898">
        <f>+Model!AO551</f>
        <v>308.56400000000002</v>
      </c>
      <c r="R283" s="957">
        <f>+Model!AP551</f>
        <v>389.39800000000002</v>
      </c>
      <c r="S283" s="898">
        <f>+Model!AQ551</f>
        <v>194.524</v>
      </c>
      <c r="T283" s="898">
        <f>+Model!AR551</f>
        <v>318.279</v>
      </c>
      <c r="U283" s="898">
        <f>+Model!AS551</f>
        <v>373.678</v>
      </c>
      <c r="V283" s="957">
        <f>+Model!AT551</f>
        <v>410.80700000000002</v>
      </c>
      <c r="W283" s="898">
        <f>+Model!AU551</f>
        <v>254.626</v>
      </c>
      <c r="X283" s="877">
        <v>354.387</v>
      </c>
      <c r="Y283" s="877">
        <v>376.577</v>
      </c>
      <c r="Z283" s="877">
        <v>500.61399999999998</v>
      </c>
      <c r="AA283" s="1272">
        <v>317.76499999999999</v>
      </c>
      <c r="AB283" s="877"/>
      <c r="AC283" s="877"/>
      <c r="AD283" s="877"/>
      <c r="AF283" s="898">
        <f>+Model!AZ551</f>
        <v>49.460999999999999</v>
      </c>
      <c r="AG283" s="898">
        <f>+Model!BA551</f>
        <v>81.751000000000005</v>
      </c>
      <c r="AH283" s="898">
        <f>+Model!BB551</f>
        <v>193.09899999999999</v>
      </c>
      <c r="AI283" s="898">
        <f>+Model!BC551</f>
        <v>144.65199999999999</v>
      </c>
      <c r="AJ283" s="898">
        <f>+Model!BD551</f>
        <v>181.48</v>
      </c>
      <c r="AK283" s="898">
        <f>+Model!BE551</f>
        <v>196.10900000000001</v>
      </c>
      <c r="AL283" s="898">
        <f>+Model!BF551</f>
        <v>195.852</v>
      </c>
      <c r="AM283" s="898">
        <f>+Model!BG551</f>
        <v>213.989</v>
      </c>
      <c r="AN283" s="898">
        <f>+Model!BH551</f>
        <v>230.864</v>
      </c>
      <c r="AO283" s="898">
        <f>+Model!BI551</f>
        <v>231.113</v>
      </c>
      <c r="AP283" s="898">
        <f>+Model!BJ551</f>
        <v>283.12099999999998</v>
      </c>
      <c r="AQ283" s="898">
        <f>+Model!BK551</f>
        <v>212.29900000000001</v>
      </c>
      <c r="AR283" s="898">
        <f>+Model!BL551</f>
        <v>386.08</v>
      </c>
      <c r="AS283" s="898">
        <f>+Model!BM551</f>
        <v>389.39800000000002</v>
      </c>
      <c r="AT283" s="898">
        <f>+Model!BN551</f>
        <v>410.80700000000002</v>
      </c>
      <c r="AU283" s="971">
        <f>+Z283</f>
        <v>500.61399999999998</v>
      </c>
    </row>
    <row r="284" spans="1:58" x14ac:dyDescent="0.25">
      <c r="A284" s="936" t="s">
        <v>798</v>
      </c>
      <c r="C284" s="898">
        <f>+Model!AA552</f>
        <v>283.80599999999998</v>
      </c>
      <c r="D284" s="898">
        <f>+Model!AB552</f>
        <v>239.702</v>
      </c>
      <c r="E284" s="898">
        <f>+Model!AC552</f>
        <v>238.614</v>
      </c>
      <c r="F284" s="898">
        <f>+Model!AD552</f>
        <v>191.63900000000001</v>
      </c>
      <c r="G284" s="898">
        <f>+Model!AE552</f>
        <v>267.69</v>
      </c>
      <c r="H284" s="898">
        <f>+Model!AF552</f>
        <v>251.624</v>
      </c>
      <c r="I284" s="898">
        <f>+Model!AG552</f>
        <v>284.32600000000002</v>
      </c>
      <c r="J284" s="957">
        <f>+Model!AH552</f>
        <v>236.13399999999999</v>
      </c>
      <c r="K284" s="898">
        <f>+Model!AI552</f>
        <v>419.61500000000001</v>
      </c>
      <c r="L284" s="898">
        <f>+Model!AJ552</f>
        <v>435.25400000000002</v>
      </c>
      <c r="M284" s="898">
        <f>+Model!AK552</f>
        <v>422.786</v>
      </c>
      <c r="N284" s="957">
        <f>+Model!AL552</f>
        <v>369.303</v>
      </c>
      <c r="O284" s="898">
        <f>+Model!AM552</f>
        <v>519.39300000000003</v>
      </c>
      <c r="P284" s="898">
        <f>+Model!AN552</f>
        <v>430.43599999999998</v>
      </c>
      <c r="Q284" s="898">
        <f>+Model!AO552</f>
        <v>422.61500000000001</v>
      </c>
      <c r="R284" s="957">
        <f>+Model!AP552</f>
        <v>418.55799999999999</v>
      </c>
      <c r="S284" s="898">
        <f>+Model!AQ552</f>
        <v>543.70500000000004</v>
      </c>
      <c r="T284" s="898">
        <f>+Model!AR552</f>
        <v>442.166</v>
      </c>
      <c r="U284" s="898">
        <f>+Model!AS552</f>
        <v>474.66300000000001</v>
      </c>
      <c r="V284" s="957">
        <f>+Model!AT552</f>
        <v>463.72199999999998</v>
      </c>
      <c r="W284" s="898">
        <f>+Model!AU552</f>
        <v>629.6</v>
      </c>
      <c r="X284" s="877">
        <v>509.63499999999999</v>
      </c>
      <c r="Y284" s="877">
        <v>577.79200000000003</v>
      </c>
      <c r="Z284" s="877">
        <v>472.75400000000002</v>
      </c>
      <c r="AA284" s="1272">
        <v>675.70899999999995</v>
      </c>
      <c r="AB284" s="877"/>
      <c r="AC284" s="877"/>
      <c r="AD284" s="877"/>
      <c r="AF284" s="898">
        <f>+Model!AZ552</f>
        <v>53.031999999999996</v>
      </c>
      <c r="AG284" s="898">
        <f>+Model!BA552</f>
        <v>71.183999999999997</v>
      </c>
      <c r="AH284" s="898">
        <f>+Model!BB552</f>
        <v>96.234999999999999</v>
      </c>
      <c r="AI284" s="898">
        <f>+Model!BC552</f>
        <v>160.922</v>
      </c>
      <c r="AJ284" s="898">
        <f>+Model!BD552</f>
        <v>186.459</v>
      </c>
      <c r="AK284" s="898">
        <f>+Model!BE552</f>
        <v>194.67599999999999</v>
      </c>
      <c r="AL284" s="898">
        <f>+Model!BF552</f>
        <v>188.24600000000001</v>
      </c>
      <c r="AM284" s="898">
        <f>+Model!BG552</f>
        <v>169.554</v>
      </c>
      <c r="AN284" s="898">
        <f>+Model!BH552</f>
        <v>192.20500000000001</v>
      </c>
      <c r="AO284" s="898">
        <f>+Model!BI552</f>
        <v>176.31899999999999</v>
      </c>
      <c r="AP284" s="898">
        <f>+Model!BJ552</f>
        <v>191.63900000000001</v>
      </c>
      <c r="AQ284" s="898">
        <f>+Model!BK552</f>
        <v>236.13399999999999</v>
      </c>
      <c r="AR284" s="898">
        <f>+Model!BL552</f>
        <v>369.303</v>
      </c>
      <c r="AS284" s="898">
        <f>+Model!BM552</f>
        <v>418.55799999999999</v>
      </c>
      <c r="AT284" s="898">
        <f>+Model!BN552</f>
        <v>463.72199999999998</v>
      </c>
      <c r="AU284" s="971">
        <f t="shared" ref="AU284:AU334" si="908">+Z284</f>
        <v>472.75400000000002</v>
      </c>
    </row>
    <row r="285" spans="1:58" x14ac:dyDescent="0.25">
      <c r="A285" s="936" t="s">
        <v>195</v>
      </c>
      <c r="C285" s="898">
        <f>+Model!AA553</f>
        <v>18.116</v>
      </c>
      <c r="D285" s="898">
        <f>+Model!AB553</f>
        <v>17.068000000000001</v>
      </c>
      <c r="E285" s="898">
        <f>+Model!AC553</f>
        <v>17.195</v>
      </c>
      <c r="F285" s="898">
        <f>+Model!AD553</f>
        <v>29.946000000000002</v>
      </c>
      <c r="G285" s="898">
        <f>+Model!AE553</f>
        <v>20.515999999999998</v>
      </c>
      <c r="H285" s="898">
        <f>+Model!AF553</f>
        <v>20.071000000000002</v>
      </c>
      <c r="I285" s="898">
        <f>+Model!AG553</f>
        <v>19.579000000000001</v>
      </c>
      <c r="J285" s="957">
        <f>+Model!AH553</f>
        <v>28.3</v>
      </c>
      <c r="K285" s="898">
        <f>+Model!AI553</f>
        <v>24.009</v>
      </c>
      <c r="L285" s="898">
        <f>+Model!AJ553</f>
        <v>28.618000000000002</v>
      </c>
      <c r="M285" s="898">
        <f>+Model!AK553</f>
        <v>28.814</v>
      </c>
      <c r="N285" s="957">
        <f>+Model!AL553</f>
        <v>39.69</v>
      </c>
      <c r="O285" s="898">
        <f>+Model!AM553</f>
        <v>24.873000000000001</v>
      </c>
      <c r="P285" s="898">
        <f>+Model!AN553</f>
        <v>23.940999999999999</v>
      </c>
      <c r="Q285" s="898">
        <f>+Model!AO553</f>
        <v>23.986000000000001</v>
      </c>
      <c r="R285" s="957">
        <f>+Model!AP553</f>
        <v>36.003</v>
      </c>
      <c r="S285" s="898">
        <f>+Model!AQ553</f>
        <v>27.919</v>
      </c>
      <c r="T285" s="898">
        <f>+Model!AR553</f>
        <v>23.96</v>
      </c>
      <c r="U285" s="898">
        <f>+Model!AS553</f>
        <v>22.884</v>
      </c>
      <c r="V285" s="957">
        <f>+Model!AT553</f>
        <v>36.716000000000001</v>
      </c>
      <c r="W285" s="898">
        <f>+Model!AU553</f>
        <v>21.751999999999999</v>
      </c>
      <c r="X285" s="877">
        <v>19.506</v>
      </c>
      <c r="Y285" s="877">
        <v>21.038</v>
      </c>
      <c r="Z285" s="877">
        <v>36.747999999999998</v>
      </c>
      <c r="AA285" s="1272">
        <v>22.318999999999999</v>
      </c>
      <c r="AB285" s="877"/>
      <c r="AC285" s="877"/>
      <c r="AD285" s="877"/>
      <c r="AF285" s="898">
        <f>+Model!AZ553</f>
        <v>32.052</v>
      </c>
      <c r="AG285" s="898">
        <f>+Model!BA553</f>
        <v>26.193000000000001</v>
      </c>
      <c r="AH285" s="898">
        <f>+Model!BB553</f>
        <v>30.553999999999998</v>
      </c>
      <c r="AI285" s="898">
        <f>+Model!BC553</f>
        <v>37.853000000000002</v>
      </c>
      <c r="AJ285" s="898">
        <f>+Model!BD553</f>
        <v>44.395000000000003</v>
      </c>
      <c r="AK285" s="898">
        <f>+Model!BE553</f>
        <v>33.83</v>
      </c>
      <c r="AL285" s="898">
        <f>+Model!BF553</f>
        <v>29.571000000000002</v>
      </c>
      <c r="AM285" s="898">
        <f>+Model!BG553</f>
        <v>30.631</v>
      </c>
      <c r="AN285" s="898">
        <f>+Model!BH553</f>
        <v>30.503</v>
      </c>
      <c r="AO285" s="898">
        <f>+Model!BI553</f>
        <v>31.134</v>
      </c>
      <c r="AP285" s="898">
        <f>+Model!BJ553</f>
        <v>29.946000000000002</v>
      </c>
      <c r="AQ285" s="898">
        <f>+Model!BK553</f>
        <v>28.3</v>
      </c>
      <c r="AR285" s="898">
        <f>+Model!BL553</f>
        <v>39.69</v>
      </c>
      <c r="AS285" s="898">
        <f>+Model!BM553</f>
        <v>36.003</v>
      </c>
      <c r="AT285" s="898">
        <f>+Model!BN553</f>
        <v>36.716000000000001</v>
      </c>
      <c r="AU285" s="971">
        <f t="shared" si="908"/>
        <v>36.747999999999998</v>
      </c>
    </row>
    <row r="286" spans="1:58" x14ac:dyDescent="0.25">
      <c r="A286" s="936" t="s">
        <v>808</v>
      </c>
      <c r="C286" s="898">
        <f>+Model!AA554</f>
        <v>0</v>
      </c>
      <c r="D286" s="898">
        <f>+Model!AB554</f>
        <v>0</v>
      </c>
      <c r="E286" s="898">
        <f>+Model!AC554</f>
        <v>0</v>
      </c>
      <c r="F286" s="898">
        <f>+Model!AD554</f>
        <v>0</v>
      </c>
      <c r="G286" s="898">
        <f>+Model!AE554</f>
        <v>0</v>
      </c>
      <c r="H286" s="898">
        <f>+Model!AF554</f>
        <v>0</v>
      </c>
      <c r="I286" s="898">
        <f>+Model!AG554</f>
        <v>0</v>
      </c>
      <c r="J286" s="957">
        <f>+Model!AH554</f>
        <v>0</v>
      </c>
      <c r="K286" s="898">
        <f>+Model!AI554</f>
        <v>0</v>
      </c>
      <c r="L286" s="898">
        <f>+Model!AJ554</f>
        <v>0</v>
      </c>
      <c r="M286" s="898">
        <f>+Model!AK554</f>
        <v>0</v>
      </c>
      <c r="N286" s="957">
        <f>+Model!AL554</f>
        <v>0</v>
      </c>
      <c r="O286" s="898">
        <f>+Model!AM554</f>
        <v>0</v>
      </c>
      <c r="P286" s="898">
        <f>+Model!AN554</f>
        <v>0</v>
      </c>
      <c r="Q286" s="898">
        <f>+Model!AO554</f>
        <v>0</v>
      </c>
      <c r="R286" s="957">
        <f>+Model!AP554</f>
        <v>0</v>
      </c>
      <c r="S286" s="898">
        <f>+Model!AQ554</f>
        <v>0</v>
      </c>
      <c r="T286" s="898">
        <f>+Model!AR554</f>
        <v>0</v>
      </c>
      <c r="U286" s="898">
        <f>+Model!AS554</f>
        <v>0</v>
      </c>
      <c r="V286" s="957">
        <f>+Model!AT554</f>
        <v>0</v>
      </c>
      <c r="W286" s="898">
        <f>+Model!AU554</f>
        <v>0</v>
      </c>
      <c r="X286" s="877">
        <v>0</v>
      </c>
      <c r="Y286" s="877">
        <v>0</v>
      </c>
      <c r="Z286" s="877">
        <v>0</v>
      </c>
      <c r="AA286" s="1272">
        <v>0</v>
      </c>
      <c r="AB286" s="877"/>
      <c r="AC286" s="877"/>
      <c r="AD286" s="877"/>
      <c r="AF286" s="898">
        <f>+Model!AZ554</f>
        <v>3.8879999999999999</v>
      </c>
      <c r="AG286" s="898">
        <f>+Model!BA554</f>
        <v>4.6719999999999997</v>
      </c>
      <c r="AH286" s="898">
        <f>+Model!BB554</f>
        <v>7.1749999999999998</v>
      </c>
      <c r="AI286" s="898">
        <f>+Model!BC554</f>
        <v>16.14</v>
      </c>
      <c r="AJ286" s="898">
        <f>+Model!BD554</f>
        <v>11.368</v>
      </c>
      <c r="AK286" s="898">
        <f>+Model!BE554</f>
        <v>7.7320000000000002</v>
      </c>
      <c r="AL286" s="898">
        <f>+Model!BF554</f>
        <v>8.9890000000000008</v>
      </c>
      <c r="AM286" s="898">
        <f>+Model!BG554</f>
        <v>0</v>
      </c>
      <c r="AN286" s="898">
        <f>+Model!BH554</f>
        <v>0</v>
      </c>
      <c r="AO286" s="898">
        <f>+Model!BI554</f>
        <v>0</v>
      </c>
      <c r="AP286" s="898">
        <f>+Model!BJ554</f>
        <v>0</v>
      </c>
      <c r="AQ286" s="898">
        <f>+Model!BK554</f>
        <v>0</v>
      </c>
      <c r="AR286" s="898">
        <f>+Model!BL554</f>
        <v>0</v>
      </c>
      <c r="AS286" s="898">
        <f>+Model!BM554</f>
        <v>0</v>
      </c>
      <c r="AT286" s="898">
        <f>+Model!BN554</f>
        <v>0</v>
      </c>
      <c r="AU286" s="971">
        <f t="shared" si="908"/>
        <v>0</v>
      </c>
    </row>
    <row r="287" spans="1:58" x14ac:dyDescent="0.25">
      <c r="A287" s="936" t="s">
        <v>799</v>
      </c>
      <c r="C287" s="898">
        <f>+Model!AA555</f>
        <v>25.204999999999998</v>
      </c>
      <c r="D287" s="898">
        <f>+Model!AB555</f>
        <v>19.12</v>
      </c>
      <c r="E287" s="898">
        <f>+Model!AC555</f>
        <v>17.957999999999998</v>
      </c>
      <c r="F287" s="898">
        <f>+Model!AD555</f>
        <v>12.643000000000001</v>
      </c>
      <c r="G287" s="898">
        <f>+Model!AE555</f>
        <v>29.870999999999999</v>
      </c>
      <c r="H287" s="898">
        <f>+Model!AF555</f>
        <v>16.669</v>
      </c>
      <c r="I287" s="898">
        <f>+Model!AG555</f>
        <v>18.945</v>
      </c>
      <c r="J287" s="957">
        <f>+Model!AH555</f>
        <v>13.058</v>
      </c>
      <c r="K287" s="898">
        <f>+Model!AI555</f>
        <v>33.338000000000001</v>
      </c>
      <c r="L287" s="898">
        <f>+Model!AJ555</f>
        <v>21.525000000000002</v>
      </c>
      <c r="M287" s="898">
        <f>+Model!AK555</f>
        <v>26.655999999999999</v>
      </c>
      <c r="N287" s="957">
        <f>+Model!AL555</f>
        <v>19.452999999999999</v>
      </c>
      <c r="O287" s="898">
        <f>+Model!AM555</f>
        <v>38.357999999999997</v>
      </c>
      <c r="P287" s="898">
        <f>+Model!AN555</f>
        <v>29.24</v>
      </c>
      <c r="Q287" s="898">
        <f>+Model!AO555</f>
        <v>35.860999999999997</v>
      </c>
      <c r="R287" s="957">
        <f>+Model!AP555</f>
        <v>25.974</v>
      </c>
      <c r="S287" s="898">
        <f>+Model!AQ555</f>
        <v>71.149000000000001</v>
      </c>
      <c r="T287" s="898">
        <f>+Model!AR555</f>
        <v>43.822000000000003</v>
      </c>
      <c r="U287" s="898">
        <f>+Model!AS555</f>
        <v>39.012</v>
      </c>
      <c r="V287" s="957">
        <f>+Model!AT555</f>
        <v>24.817</v>
      </c>
      <c r="W287" s="898">
        <f>+Model!AU555</f>
        <v>50.35</v>
      </c>
      <c r="X287" s="877">
        <v>35.529000000000003</v>
      </c>
      <c r="Y287" s="877">
        <v>40.127000000000002</v>
      </c>
      <c r="Z287" s="877">
        <v>29.164000000000001</v>
      </c>
      <c r="AA287" s="1272">
        <v>53.902000000000001</v>
      </c>
      <c r="AB287" s="877"/>
      <c r="AC287" s="877"/>
      <c r="AD287" s="877"/>
      <c r="AF287" s="898">
        <f>+Model!AZ555</f>
        <v>9.1769999999999996</v>
      </c>
      <c r="AG287" s="898">
        <f>+Model!BA555</f>
        <v>8.8490000000000002</v>
      </c>
      <c r="AH287" s="898">
        <f>+Model!BB555</f>
        <v>10.423999999999999</v>
      </c>
      <c r="AI287" s="898">
        <f>+Model!BC555</f>
        <v>11.173</v>
      </c>
      <c r="AJ287" s="898">
        <f>+Model!BD555</f>
        <v>10.331</v>
      </c>
      <c r="AK287" s="898">
        <f>+Model!BE555</f>
        <v>7.3559999999999999</v>
      </c>
      <c r="AL287" s="898">
        <f>+Model!BF555</f>
        <v>11.428000000000001</v>
      </c>
      <c r="AM287" s="898">
        <f>+Model!BG555</f>
        <v>9.6340000000000003</v>
      </c>
      <c r="AN287" s="898">
        <f>+Model!BH555</f>
        <v>8.0060000000000002</v>
      </c>
      <c r="AO287" s="898">
        <f>+Model!BI555</f>
        <v>10.278</v>
      </c>
      <c r="AP287" s="898">
        <f>+Model!BJ555</f>
        <v>12.643000000000001</v>
      </c>
      <c r="AQ287" s="898">
        <f>+Model!BK555</f>
        <v>13.058</v>
      </c>
      <c r="AR287" s="898">
        <f>+Model!BL555</f>
        <v>19.452999999999999</v>
      </c>
      <c r="AS287" s="898">
        <f>+Model!BM555</f>
        <v>25.974</v>
      </c>
      <c r="AT287" s="898">
        <f>+Model!BN555</f>
        <v>24.817</v>
      </c>
      <c r="AU287" s="971">
        <f t="shared" si="908"/>
        <v>29.164000000000001</v>
      </c>
    </row>
    <row r="288" spans="1:58" x14ac:dyDescent="0.25">
      <c r="A288" s="936" t="s">
        <v>1185</v>
      </c>
      <c r="C288" s="898">
        <f>+Model!AA556</f>
        <v>15.028</v>
      </c>
      <c r="D288" s="898">
        <f>+Model!AB556</f>
        <v>14.446999999999999</v>
      </c>
      <c r="E288" s="898">
        <f>+Model!AC556</f>
        <v>14.180999999999999</v>
      </c>
      <c r="F288" s="898">
        <f>+Model!AD556</f>
        <v>11.807</v>
      </c>
      <c r="G288" s="898">
        <f>+Model!AE556</f>
        <v>13.789</v>
      </c>
      <c r="H288" s="898">
        <f>+Model!AF556</f>
        <v>13.189</v>
      </c>
      <c r="I288" s="898">
        <f>+Model!AG556</f>
        <v>13.314</v>
      </c>
      <c r="J288" s="957">
        <f>+Model!AH556</f>
        <v>10.98</v>
      </c>
      <c r="K288" s="898">
        <f>+Model!AI556</f>
        <v>19.245000000000001</v>
      </c>
      <c r="L288" s="898">
        <f>+Model!AJ556</f>
        <v>24.401999999999997</v>
      </c>
      <c r="M288" s="898">
        <f>+Model!AK556</f>
        <v>22.416</v>
      </c>
      <c r="N288" s="957">
        <f>+Model!AL556</f>
        <v>42.501999999999995</v>
      </c>
      <c r="O288" s="898">
        <f>+Model!AM556</f>
        <v>55.930999999999997</v>
      </c>
      <c r="P288" s="898">
        <f>+Model!AN556</f>
        <v>75.02300000000001</v>
      </c>
      <c r="Q288" s="898">
        <f>+Model!AO556</f>
        <v>80.552999999999997</v>
      </c>
      <c r="R288" s="957">
        <f>+Model!AP556</f>
        <v>80.600999999999999</v>
      </c>
      <c r="S288" s="898">
        <f>+Model!AQ556</f>
        <v>93.84</v>
      </c>
      <c r="T288" s="898">
        <f>+Model!AR556</f>
        <v>100.58799999999999</v>
      </c>
      <c r="U288" s="898">
        <f>+Model!AS556</f>
        <v>96.569000000000003</v>
      </c>
      <c r="V288" s="957">
        <f>+Model!AT556</f>
        <v>129.137</v>
      </c>
      <c r="W288" s="898">
        <f>+Model!AU556</f>
        <v>123.94799999999999</v>
      </c>
      <c r="X288" s="877">
        <v>169.815</v>
      </c>
      <c r="Y288" s="877">
        <v>193.547</v>
      </c>
      <c r="Z288" s="877">
        <f>191.672</f>
        <v>191.672</v>
      </c>
      <c r="AA288" s="1272">
        <f>204.473</f>
        <v>204.47300000000001</v>
      </c>
      <c r="AB288" s="877"/>
      <c r="AC288" s="877"/>
      <c r="AD288" s="877"/>
      <c r="AF288" s="898">
        <f>+Model!AZ556</f>
        <v>2.0870000000000002</v>
      </c>
      <c r="AG288" s="898">
        <f>+Model!BA556</f>
        <v>7.2859999999999996</v>
      </c>
      <c r="AH288" s="898">
        <f>+Model!BB556</f>
        <v>9.1110000000000007</v>
      </c>
      <c r="AI288" s="898">
        <f>+Model!BC556</f>
        <v>14.598000000000001</v>
      </c>
      <c r="AJ288" s="898">
        <f>+Model!BD556</f>
        <v>23.916</v>
      </c>
      <c r="AK288" s="898">
        <f>+Model!BE556</f>
        <v>25.498000000000001</v>
      </c>
      <c r="AL288" s="898">
        <f>+Model!BF556</f>
        <v>24.876999999999999</v>
      </c>
      <c r="AM288" s="898">
        <f>+Model!BG556</f>
        <v>22.047000000000001</v>
      </c>
      <c r="AN288" s="898">
        <f>+Model!BH556</f>
        <v>12.004</v>
      </c>
      <c r="AO288" s="898">
        <f>+Model!BI556</f>
        <v>10.388</v>
      </c>
      <c r="AP288" s="898">
        <f>+Model!BJ556</f>
        <v>11.807</v>
      </c>
      <c r="AQ288" s="898">
        <f>+Model!BK556</f>
        <v>10.98</v>
      </c>
      <c r="AR288" s="898">
        <f>+Model!BL556</f>
        <v>42.501999999999995</v>
      </c>
      <c r="AS288" s="898">
        <f>+Model!BM556</f>
        <v>80.600999999999999</v>
      </c>
      <c r="AT288" s="898">
        <f>+Model!BN556</f>
        <v>129.137</v>
      </c>
      <c r="AU288" s="971">
        <f t="shared" si="908"/>
        <v>191.672</v>
      </c>
    </row>
    <row r="289" spans="1:48" s="879" customFormat="1" ht="14" x14ac:dyDescent="0.4">
      <c r="A289" s="876" t="s">
        <v>1186</v>
      </c>
      <c r="C289" s="880">
        <f>+Model!AA557</f>
        <v>0</v>
      </c>
      <c r="D289" s="880">
        <f>+Model!AB557</f>
        <v>0</v>
      </c>
      <c r="E289" s="880">
        <f>+Model!AC557</f>
        <v>0</v>
      </c>
      <c r="F289" s="880">
        <f>+Model!AD557</f>
        <v>0.5</v>
      </c>
      <c r="G289" s="880">
        <f>+Model!AE557</f>
        <v>0.5</v>
      </c>
      <c r="H289" s="880">
        <f>+Model!AF557</f>
        <v>0.5</v>
      </c>
      <c r="I289" s="880">
        <f>+Model!AG557</f>
        <v>0.5</v>
      </c>
      <c r="J289" s="956">
        <f>+Model!AH557</f>
        <v>0.5</v>
      </c>
      <c r="K289" s="880">
        <f>+Model!AI557</f>
        <v>0.5</v>
      </c>
      <c r="L289" s="880">
        <f>+Model!AJ557</f>
        <v>0.57099999999999995</v>
      </c>
      <c r="M289" s="880">
        <f>+Model!AK557</f>
        <v>0.502</v>
      </c>
      <c r="N289" s="956">
        <f>+Model!AL557</f>
        <v>0.502</v>
      </c>
      <c r="O289" s="880">
        <f>+Model!AM557</f>
        <v>0.505</v>
      </c>
      <c r="P289" s="880">
        <f>+Model!AN557</f>
        <v>0.505</v>
      </c>
      <c r="Q289" s="880">
        <f>+Model!AO557</f>
        <v>0</v>
      </c>
      <c r="R289" s="956">
        <f>+Model!AP557</f>
        <v>0</v>
      </c>
      <c r="S289" s="880">
        <f>+Model!AQ557</f>
        <v>0</v>
      </c>
      <c r="T289" s="880">
        <f>+Model!AR557</f>
        <v>0</v>
      </c>
      <c r="U289" s="880">
        <f>+Model!AS557</f>
        <v>0</v>
      </c>
      <c r="V289" s="956">
        <f>+Model!AT557</f>
        <v>0</v>
      </c>
      <c r="W289" s="880">
        <f>+Model!AU557</f>
        <v>0</v>
      </c>
      <c r="X289" s="880">
        <v>0</v>
      </c>
      <c r="Y289" s="880">
        <v>0</v>
      </c>
      <c r="Z289" s="880">
        <v>14.494</v>
      </c>
      <c r="AA289" s="1273">
        <v>17.158000000000001</v>
      </c>
      <c r="AB289" s="880"/>
      <c r="AC289" s="880"/>
      <c r="AD289" s="880"/>
      <c r="AE289" s="880"/>
      <c r="AF289" s="880">
        <f>+Model!AZ557</f>
        <v>2.5</v>
      </c>
      <c r="AG289" s="880">
        <f>+Model!BA557</f>
        <v>3.343</v>
      </c>
      <c r="AH289" s="880">
        <f>+Model!BB557</f>
        <v>1.5009999999999999</v>
      </c>
      <c r="AI289" s="880">
        <f>+Model!BC557</f>
        <v>1.5009999999999999</v>
      </c>
      <c r="AJ289" s="880">
        <f>+Model!BD557</f>
        <v>0</v>
      </c>
      <c r="AK289" s="880">
        <f>+Model!BE557</f>
        <v>0</v>
      </c>
      <c r="AL289" s="880">
        <f>+Model!BF557</f>
        <v>0</v>
      </c>
      <c r="AM289" s="880">
        <f>+Model!BG557</f>
        <v>0</v>
      </c>
      <c r="AN289" s="880">
        <f>+Model!BH557</f>
        <v>0</v>
      </c>
      <c r="AO289" s="880">
        <f>+Model!BI557</f>
        <v>0</v>
      </c>
      <c r="AP289" s="880">
        <f>+Model!BJ557</f>
        <v>0.5</v>
      </c>
      <c r="AQ289" s="880">
        <f>+Model!BK557</f>
        <v>0.5</v>
      </c>
      <c r="AR289" s="880">
        <f>+Model!BL557</f>
        <v>0.502</v>
      </c>
      <c r="AS289" s="880">
        <f>+Model!BM557</f>
        <v>0</v>
      </c>
      <c r="AT289" s="880">
        <f>+Model!BN557</f>
        <v>0</v>
      </c>
      <c r="AU289" s="970">
        <f t="shared" si="908"/>
        <v>14.494</v>
      </c>
      <c r="AV289" s="895"/>
    </row>
    <row r="290" spans="1:48" s="876" customFormat="1" x14ac:dyDescent="0.25">
      <c r="A290" s="882" t="s">
        <v>197</v>
      </c>
      <c r="C290" s="877">
        <f t="shared" ref="C290" si="909">+SUM(C283:C289)</f>
        <v>485.20400000000001</v>
      </c>
      <c r="D290" s="877">
        <f t="shared" ref="D290" si="910">+SUM(D283:D289)</f>
        <v>493.61199999999997</v>
      </c>
      <c r="E290" s="877">
        <f t="shared" ref="E290" si="911">+SUM(E283:E289)</f>
        <v>521.97300000000007</v>
      </c>
      <c r="F290" s="877">
        <f t="shared" ref="F290" si="912">+SUM(F283:F289)</f>
        <v>529.65600000000006</v>
      </c>
      <c r="G290" s="877">
        <f t="shared" ref="G290" si="913">+SUM(G283:G289)</f>
        <v>498.31</v>
      </c>
      <c r="H290" s="877">
        <f t="shared" ref="H290" si="914">+SUM(H283:H289)</f>
        <v>513.69399999999996</v>
      </c>
      <c r="I290" s="877">
        <f t="shared" ref="I290" si="915">+SUM(I283:I289)</f>
        <v>486.69800000000004</v>
      </c>
      <c r="J290" s="954">
        <f t="shared" ref="J290" si="916">+SUM(J283:J289)</f>
        <v>501.27100000000002</v>
      </c>
      <c r="K290" s="877">
        <f t="shared" ref="K290" si="917">+SUM(K283:K289)</f>
        <v>805.49099999999999</v>
      </c>
      <c r="L290" s="877">
        <f t="shared" ref="L290" si="918">+SUM(L283:L289)</f>
        <v>768.4770000000002</v>
      </c>
      <c r="M290" s="877">
        <f t="shared" ref="M290" si="919">+SUM(M283:M289)</f>
        <v>830.20499999999993</v>
      </c>
      <c r="N290" s="954">
        <f t="shared" ref="N290" si="920">+SUM(N283:N289)</f>
        <v>857.53</v>
      </c>
      <c r="O290" s="877">
        <f t="shared" ref="O290" si="921">+SUM(O283:O289)</f>
        <v>857.57900000000006</v>
      </c>
      <c r="P290" s="877">
        <f t="shared" ref="P290" si="922">+SUM(P283:P289)</f>
        <v>816.13100000000009</v>
      </c>
      <c r="Q290" s="877">
        <f t="shared" ref="Q290" si="923">+SUM(Q283:Q289)</f>
        <v>871.57900000000006</v>
      </c>
      <c r="R290" s="954">
        <f t="shared" ref="R290" si="924">+SUM(R283:R289)</f>
        <v>950.53400000000011</v>
      </c>
      <c r="S290" s="877">
        <f t="shared" ref="S290" si="925">+SUM(S283:S289)</f>
        <v>931.13700000000006</v>
      </c>
      <c r="T290" s="877">
        <f t="shared" ref="T290" si="926">+SUM(T283:T289)</f>
        <v>928.81499999999994</v>
      </c>
      <c r="U290" s="877">
        <f t="shared" ref="U290" si="927">+SUM(U283:U289)</f>
        <v>1006.806</v>
      </c>
      <c r="V290" s="954">
        <f t="shared" ref="V290" si="928">+SUM(V283:V289)</f>
        <v>1065.1990000000001</v>
      </c>
      <c r="W290" s="877">
        <f t="shared" ref="W290:AA290" si="929">+SUM(W283:W289)</f>
        <v>1080.2760000000001</v>
      </c>
      <c r="X290" s="877">
        <f t="shared" si="929"/>
        <v>1088.8719999999998</v>
      </c>
      <c r="Y290" s="877">
        <f t="shared" si="929"/>
        <v>1209.0809999999999</v>
      </c>
      <c r="Z290" s="877">
        <f t="shared" si="929"/>
        <v>1245.4459999999999</v>
      </c>
      <c r="AA290" s="1272">
        <f t="shared" si="929"/>
        <v>1291.3259999999998</v>
      </c>
      <c r="AB290" s="877"/>
      <c r="AC290" s="877"/>
      <c r="AD290" s="877"/>
      <c r="AE290" s="877"/>
      <c r="AF290" s="877">
        <f t="shared" ref="AF290" si="930">+SUM(AF283:AF289)</f>
        <v>152.19699999999997</v>
      </c>
      <c r="AG290" s="877">
        <f t="shared" ref="AG290" si="931">+SUM(AG283:AG289)</f>
        <v>203.27799999999999</v>
      </c>
      <c r="AH290" s="877">
        <f t="shared" ref="AH290" si="932">+SUM(AH283:AH289)</f>
        <v>348.09899999999993</v>
      </c>
      <c r="AI290" s="877">
        <f t="shared" ref="AI290" si="933">+SUM(AI283:AI289)</f>
        <v>386.83899999999994</v>
      </c>
      <c r="AJ290" s="877">
        <f t="shared" ref="AJ290" si="934">+SUM(AJ283:AJ289)</f>
        <v>457.94899999999996</v>
      </c>
      <c r="AK290" s="877">
        <f t="shared" ref="AK290:AS290" si="935">+SUM(AK283:AK289)</f>
        <v>465.20099999999996</v>
      </c>
      <c r="AL290" s="877">
        <f t="shared" si="935"/>
        <v>458.96300000000002</v>
      </c>
      <c r="AM290" s="877">
        <f t="shared" si="935"/>
        <v>445.85500000000002</v>
      </c>
      <c r="AN290" s="877">
        <f t="shared" si="935"/>
        <v>473.58199999999999</v>
      </c>
      <c r="AO290" s="877">
        <f t="shared" si="935"/>
        <v>459.23200000000003</v>
      </c>
      <c r="AP290" s="877">
        <f t="shared" si="935"/>
        <v>529.65600000000006</v>
      </c>
      <c r="AQ290" s="877">
        <f t="shared" si="935"/>
        <v>501.27100000000002</v>
      </c>
      <c r="AR290" s="877">
        <f t="shared" si="935"/>
        <v>857.53</v>
      </c>
      <c r="AS290" s="877">
        <f t="shared" si="935"/>
        <v>950.53400000000011</v>
      </c>
      <c r="AT290" s="877">
        <f>+SUM(AT283:AT289)</f>
        <v>1065.1990000000001</v>
      </c>
      <c r="AU290" s="968">
        <f t="shared" si="908"/>
        <v>1245.4459999999999</v>
      </c>
      <c r="AV290" s="894"/>
    </row>
    <row r="291" spans="1:48" x14ac:dyDescent="0.25">
      <c r="A291" s="936" t="s">
        <v>801</v>
      </c>
      <c r="C291" s="898">
        <f>+Model!AA561</f>
        <v>0</v>
      </c>
      <c r="D291" s="898">
        <f>+Model!AB561</f>
        <v>0</v>
      </c>
      <c r="E291" s="898">
        <f>+Model!AC561</f>
        <v>0</v>
      </c>
      <c r="F291" s="898">
        <f>+Model!AD561</f>
        <v>0</v>
      </c>
      <c r="G291" s="898">
        <f>+Model!AE561</f>
        <v>0</v>
      </c>
      <c r="H291" s="898">
        <f>+Model!AF561</f>
        <v>0</v>
      </c>
      <c r="I291" s="898">
        <f>+Model!AG561</f>
        <v>106.929</v>
      </c>
      <c r="J291" s="957">
        <f>+Model!AH561</f>
        <v>111.768</v>
      </c>
      <c r="K291" s="898">
        <f>+Model!AI561</f>
        <v>107.747</v>
      </c>
      <c r="L291" s="898">
        <f>+Model!AJ561</f>
        <v>104.01</v>
      </c>
      <c r="M291" s="898">
        <f>+Model!AK561</f>
        <v>100.027</v>
      </c>
      <c r="N291" s="957">
        <f>+Model!AL561</f>
        <v>94.671000000000006</v>
      </c>
      <c r="O291" s="898">
        <f>+Model!AM561</f>
        <v>96.471000000000004</v>
      </c>
      <c r="P291" s="898">
        <f>+Model!AN561</f>
        <v>91.41</v>
      </c>
      <c r="Q291" s="898">
        <f>+Model!AO561</f>
        <v>87.516000000000005</v>
      </c>
      <c r="R291" s="957">
        <f>+Model!AP561</f>
        <v>85.456999999999994</v>
      </c>
      <c r="S291" s="898">
        <f>+Model!AQ561</f>
        <v>79.326999999999998</v>
      </c>
      <c r="T291" s="898">
        <f>+Model!AR561</f>
        <v>75.822999999999993</v>
      </c>
      <c r="U291" s="898">
        <f>+Model!AS561</f>
        <v>72.153999999999996</v>
      </c>
      <c r="V291" s="957">
        <f>+Model!AT561</f>
        <v>69.507999999999996</v>
      </c>
      <c r="W291" s="898">
        <f>+Model!AU561</f>
        <v>64.587999999999994</v>
      </c>
      <c r="X291" s="877">
        <v>60.686999999999998</v>
      </c>
      <c r="Y291" s="877">
        <v>57.725000000000001</v>
      </c>
      <c r="Z291" s="877">
        <v>54.503</v>
      </c>
      <c r="AA291" s="1272">
        <v>51.609000000000002</v>
      </c>
      <c r="AB291" s="877"/>
      <c r="AC291" s="877"/>
      <c r="AD291" s="877"/>
      <c r="AF291" s="898">
        <f>+Model!AZ561</f>
        <v>0</v>
      </c>
      <c r="AG291" s="898">
        <f>+Model!BA561</f>
        <v>0</v>
      </c>
      <c r="AH291" s="898">
        <f>+Model!BB561</f>
        <v>0</v>
      </c>
      <c r="AI291" s="898">
        <f>+Model!BC561</f>
        <v>0</v>
      </c>
      <c r="AJ291" s="898">
        <f>+Model!BD561</f>
        <v>0</v>
      </c>
      <c r="AK291" s="898">
        <f>+Model!BE561</f>
        <v>0</v>
      </c>
      <c r="AL291" s="898">
        <f>+Model!BF561</f>
        <v>0</v>
      </c>
      <c r="AM291" s="898">
        <f>+Model!BG561</f>
        <v>0</v>
      </c>
      <c r="AN291" s="898">
        <f>+Model!BH561</f>
        <v>0</v>
      </c>
      <c r="AO291" s="898">
        <f>+Model!BI561</f>
        <v>0</v>
      </c>
      <c r="AP291" s="898">
        <f>+Model!BJ561</f>
        <v>0</v>
      </c>
      <c r="AQ291" s="898">
        <f>+Model!BK561</f>
        <v>111.768</v>
      </c>
      <c r="AR291" s="898">
        <f>+Model!BL561</f>
        <v>94.671000000000006</v>
      </c>
      <c r="AS291" s="898">
        <f>+Model!BM561</f>
        <v>85.456999999999994</v>
      </c>
      <c r="AT291" s="898">
        <f>+Model!BN561</f>
        <v>69.507999999999996</v>
      </c>
      <c r="AU291" s="971">
        <f t="shared" si="908"/>
        <v>54.503</v>
      </c>
    </row>
    <row r="292" spans="1:48" x14ac:dyDescent="0.25">
      <c r="A292" s="936" t="s">
        <v>802</v>
      </c>
      <c r="C292" s="898">
        <f>+Model!AA562</f>
        <v>37.002000000000002</v>
      </c>
      <c r="D292" s="898">
        <f>+Model!AB562</f>
        <v>32.481000000000002</v>
      </c>
      <c r="E292" s="898">
        <f>+Model!AC562</f>
        <v>32.777999999999999</v>
      </c>
      <c r="F292" s="898">
        <f>+Model!AD562</f>
        <v>31.98</v>
      </c>
      <c r="G292" s="898">
        <f>+Model!AE562</f>
        <v>37.253</v>
      </c>
      <c r="H292" s="898">
        <f>+Model!AF562</f>
        <v>35.188000000000002</v>
      </c>
      <c r="I292" s="898">
        <f>+Model!AG562</f>
        <v>44.173999999999999</v>
      </c>
      <c r="J292" s="957">
        <f>+Model!AH562</f>
        <v>38.667999999999999</v>
      </c>
      <c r="K292" s="898">
        <f>+Model!AI562</f>
        <v>70.147000000000006</v>
      </c>
      <c r="L292" s="898">
        <f>+Model!AJ562</f>
        <v>78.503</v>
      </c>
      <c r="M292" s="898">
        <f>+Model!AK562</f>
        <v>82.918000000000006</v>
      </c>
      <c r="N292" s="957">
        <f>+Model!AL562</f>
        <v>72.069000000000003</v>
      </c>
      <c r="O292" s="898">
        <f>+Model!AM562</f>
        <v>76.884</v>
      </c>
      <c r="P292" s="898">
        <f>+Model!AN562</f>
        <v>74.149000000000001</v>
      </c>
      <c r="Q292" s="898">
        <f>+Model!AO562</f>
        <v>67.564999999999998</v>
      </c>
      <c r="R292" s="957">
        <f>+Model!AP562</f>
        <v>61.536999999999999</v>
      </c>
      <c r="S292" s="898">
        <f>+Model!AQ562</f>
        <v>72.307000000000002</v>
      </c>
      <c r="T292" s="898">
        <f>+Model!AR562</f>
        <v>68.123999999999995</v>
      </c>
      <c r="U292" s="898">
        <f>+Model!AS562</f>
        <v>61.326000000000001</v>
      </c>
      <c r="V292" s="957">
        <f>+Model!AT562</f>
        <v>52.332000000000001</v>
      </c>
      <c r="W292" s="898">
        <f>+Model!AU562</f>
        <v>61.085000000000001</v>
      </c>
      <c r="X292" s="877">
        <v>60.555</v>
      </c>
      <c r="Y292" s="877">
        <v>57.213000000000001</v>
      </c>
      <c r="Z292" s="877">
        <v>50.856000000000002</v>
      </c>
      <c r="AA292" s="1272">
        <v>84.801000000000002</v>
      </c>
      <c r="AB292" s="877"/>
      <c r="AC292" s="877"/>
      <c r="AD292" s="877"/>
      <c r="AF292" s="898">
        <f>+Model!AZ562</f>
        <v>37.86</v>
      </c>
      <c r="AG292" s="898">
        <f>+Model!BA562</f>
        <v>24.26</v>
      </c>
      <c r="AH292" s="898">
        <f>+Model!BB562</f>
        <v>46.625</v>
      </c>
      <c r="AI292" s="898">
        <f>+Model!BC562</f>
        <v>55.902999999999999</v>
      </c>
      <c r="AJ292" s="898">
        <f>+Model!BD562</f>
        <v>56.142000000000003</v>
      </c>
      <c r="AK292" s="898">
        <f>+Model!BE562</f>
        <v>48.581000000000003</v>
      </c>
      <c r="AL292" s="898">
        <f>+Model!BF562</f>
        <v>34.406999999999996</v>
      </c>
      <c r="AM292" s="898">
        <f>+Model!BG562</f>
        <v>28.446999999999999</v>
      </c>
      <c r="AN292" s="898">
        <f>+Model!BH562</f>
        <v>26.297000000000001</v>
      </c>
      <c r="AO292" s="898">
        <f>+Model!BI562</f>
        <v>28.867999999999999</v>
      </c>
      <c r="AP292" s="898">
        <f>+Model!BJ562</f>
        <v>31.98</v>
      </c>
      <c r="AQ292" s="898">
        <f>+Model!BK562</f>
        <v>38.667999999999999</v>
      </c>
      <c r="AR292" s="898">
        <f>+Model!BL562</f>
        <v>72.069000000000003</v>
      </c>
      <c r="AS292" s="898">
        <f>+Model!BM562</f>
        <v>61.536999999999999</v>
      </c>
      <c r="AT292" s="898">
        <f>+Model!BN562</f>
        <v>52.332000000000001</v>
      </c>
      <c r="AU292" s="971">
        <f t="shared" si="908"/>
        <v>50.856000000000002</v>
      </c>
    </row>
    <row r="293" spans="1:48" x14ac:dyDescent="0.25">
      <c r="A293" s="936" t="s">
        <v>803</v>
      </c>
      <c r="C293" s="898">
        <f>+Model!AA563</f>
        <v>54.162999999999997</v>
      </c>
      <c r="D293" s="898">
        <f>+Model!AB563</f>
        <v>52.997</v>
      </c>
      <c r="E293" s="898">
        <f>+Model!AC563</f>
        <v>51.692999999999998</v>
      </c>
      <c r="F293" s="898">
        <f>+Model!AD563</f>
        <v>51.164999999999999</v>
      </c>
      <c r="G293" s="898">
        <f>+Model!AE563</f>
        <v>50.231999999999999</v>
      </c>
      <c r="H293" s="898">
        <f>+Model!AF563</f>
        <v>49.259</v>
      </c>
      <c r="I293" s="898">
        <f>+Model!AG563</f>
        <v>48.304000000000002</v>
      </c>
      <c r="J293" s="957">
        <f>+Model!AH563</f>
        <v>48.493000000000002</v>
      </c>
      <c r="K293" s="898">
        <f>+Model!AI563</f>
        <v>49.262999999999998</v>
      </c>
      <c r="L293" s="898">
        <f>+Model!AJ563</f>
        <v>50.295999999999999</v>
      </c>
      <c r="M293" s="898">
        <f>+Model!AK563</f>
        <v>51.921999999999997</v>
      </c>
      <c r="N293" s="957">
        <f>+Model!AL563</f>
        <v>57.308</v>
      </c>
      <c r="O293" s="898">
        <f>+Model!AM563</f>
        <v>57.965000000000003</v>
      </c>
      <c r="P293" s="898">
        <f>+Model!AN563</f>
        <v>60.52</v>
      </c>
      <c r="Q293" s="898">
        <f>+Model!AO563</f>
        <v>64.921000000000006</v>
      </c>
      <c r="R293" s="957">
        <f>+Model!AP563</f>
        <v>71.8</v>
      </c>
      <c r="S293" s="898">
        <f>+Model!AQ563</f>
        <v>74.748000000000005</v>
      </c>
      <c r="T293" s="898">
        <f>+Model!AR563</f>
        <v>76.191999999999993</v>
      </c>
      <c r="U293" s="898">
        <f>+Model!AS563</f>
        <v>80.36</v>
      </c>
      <c r="V293" s="957">
        <f>+Model!AT563</f>
        <v>83.465000000000003</v>
      </c>
      <c r="W293" s="898">
        <f>+Model!AU563</f>
        <v>82.046000000000006</v>
      </c>
      <c r="X293" s="877">
        <v>81.412999999999997</v>
      </c>
      <c r="Y293" s="877">
        <v>83.32</v>
      </c>
      <c r="Z293" s="877">
        <v>81.951999999999998</v>
      </c>
      <c r="AA293" s="1272">
        <v>77.180999999999997</v>
      </c>
      <c r="AB293" s="877"/>
      <c r="AC293" s="877"/>
      <c r="AD293" s="877"/>
      <c r="AF293" s="898">
        <f>+Model!AZ563</f>
        <v>0</v>
      </c>
      <c r="AG293" s="898">
        <f>+Model!BA563</f>
        <v>16.452999999999999</v>
      </c>
      <c r="AH293" s="898">
        <f>+Model!BB563</f>
        <v>24.385999999999999</v>
      </c>
      <c r="AI293" s="898">
        <f>+Model!BC563</f>
        <v>34.709000000000003</v>
      </c>
      <c r="AJ293" s="898">
        <f>+Model!BD563</f>
        <v>43.503999999999998</v>
      </c>
      <c r="AK293" s="898">
        <f>+Model!BE563</f>
        <v>49.92</v>
      </c>
      <c r="AL293" s="898">
        <f>+Model!BF563</f>
        <v>62.683</v>
      </c>
      <c r="AM293" s="898">
        <f>+Model!BG563</f>
        <v>70.055000000000007</v>
      </c>
      <c r="AN293" s="898">
        <f>+Model!BH563</f>
        <v>62.695</v>
      </c>
      <c r="AO293" s="898">
        <f>+Model!BI563</f>
        <v>55.488</v>
      </c>
      <c r="AP293" s="898">
        <f>+Model!BJ563</f>
        <v>51.164999999999999</v>
      </c>
      <c r="AQ293" s="898">
        <f>+Model!BK563</f>
        <v>48.493000000000002</v>
      </c>
      <c r="AR293" s="898">
        <f>+Model!BL563</f>
        <v>57.308</v>
      </c>
      <c r="AS293" s="898">
        <f>+Model!BM563</f>
        <v>71.8</v>
      </c>
      <c r="AT293" s="898">
        <f>+Model!BN563</f>
        <v>83.465000000000003</v>
      </c>
      <c r="AU293" s="971">
        <f t="shared" si="908"/>
        <v>81.951999999999998</v>
      </c>
    </row>
    <row r="294" spans="1:48" x14ac:dyDescent="0.25">
      <c r="A294" s="936" t="s">
        <v>804</v>
      </c>
      <c r="C294" s="898">
        <f>+Model!AA564</f>
        <v>52.951999999999998</v>
      </c>
      <c r="D294" s="898">
        <f>+Model!AB564</f>
        <v>52.085000000000001</v>
      </c>
      <c r="E294" s="898">
        <f>+Model!AC564</f>
        <v>51.16</v>
      </c>
      <c r="F294" s="898">
        <f>+Model!AD564</f>
        <v>53.296999999999997</v>
      </c>
      <c r="G294" s="898">
        <f>+Model!AE564</f>
        <v>53.494999999999997</v>
      </c>
      <c r="H294" s="898">
        <f>+Model!AF564</f>
        <v>52.344999999999999</v>
      </c>
      <c r="I294" s="898">
        <f>+Model!AG564</f>
        <v>51.716999999999999</v>
      </c>
      <c r="J294" s="957">
        <f>+Model!AH564</f>
        <v>48.848999999999997</v>
      </c>
      <c r="K294" s="898">
        <f>+Model!AI564</f>
        <v>48.930999999999997</v>
      </c>
      <c r="L294" s="898">
        <f>+Model!AJ564</f>
        <v>48.146999999999998</v>
      </c>
      <c r="M294" s="898">
        <f>+Model!AK564</f>
        <v>48.481999999999999</v>
      </c>
      <c r="N294" s="957">
        <f>+Model!AL564</f>
        <v>50.375999999999998</v>
      </c>
      <c r="O294" s="898">
        <f>+Model!AM564</f>
        <v>49.866</v>
      </c>
      <c r="P294" s="898">
        <f>+Model!AN564</f>
        <v>49.786999999999999</v>
      </c>
      <c r="Q294" s="898">
        <f>+Model!AO564</f>
        <v>50.475999999999999</v>
      </c>
      <c r="R294" s="957">
        <f>+Model!AP564</f>
        <v>50.58</v>
      </c>
      <c r="S294" s="898">
        <f>+Model!AQ564</f>
        <v>51.43</v>
      </c>
      <c r="T294" s="898">
        <f>+Model!AR564</f>
        <v>50.557000000000002</v>
      </c>
      <c r="U294" s="898">
        <f>+Model!AS564</f>
        <v>50.97</v>
      </c>
      <c r="V294" s="957">
        <f>+Model!AT564</f>
        <v>50.786999999999999</v>
      </c>
      <c r="W294" s="898">
        <f>+Model!AU564</f>
        <v>50.113999999999997</v>
      </c>
      <c r="X294" s="877">
        <v>50.29</v>
      </c>
      <c r="Y294" s="877">
        <v>51.451000000000001</v>
      </c>
      <c r="Z294" s="877">
        <v>53.231999999999999</v>
      </c>
      <c r="AA294" s="1272">
        <v>52.753999999999998</v>
      </c>
      <c r="AB294" s="877"/>
      <c r="AC294" s="877"/>
      <c r="AD294" s="877"/>
      <c r="AF294" s="898">
        <f>+Model!AZ564</f>
        <v>31.649000000000001</v>
      </c>
      <c r="AG294" s="898">
        <f>+Model!BA564</f>
        <v>39.86</v>
      </c>
      <c r="AH294" s="898">
        <f>+Model!BB564</f>
        <v>55.619</v>
      </c>
      <c r="AI294" s="898">
        <f>+Model!BC564</f>
        <v>60.344999999999999</v>
      </c>
      <c r="AJ294" s="898">
        <f>+Model!BD564</f>
        <v>64.599000000000004</v>
      </c>
      <c r="AK294" s="898">
        <f>+Model!BE564</f>
        <v>60.781999999999996</v>
      </c>
      <c r="AL294" s="898">
        <f>+Model!BF564</f>
        <v>58.695999999999998</v>
      </c>
      <c r="AM294" s="898">
        <f>+Model!BG564</f>
        <v>63.366999999999997</v>
      </c>
      <c r="AN294" s="898">
        <f>+Model!BH564</f>
        <v>59.213000000000001</v>
      </c>
      <c r="AO294" s="898">
        <f>+Model!BI564</f>
        <v>53.558</v>
      </c>
      <c r="AP294" s="898">
        <f>+Model!BJ564</f>
        <v>53.296999999999997</v>
      </c>
      <c r="AQ294" s="898">
        <f>+Model!BK564</f>
        <v>48.848999999999997</v>
      </c>
      <c r="AR294" s="898">
        <f>+Model!BL564</f>
        <v>50.375999999999998</v>
      </c>
      <c r="AS294" s="898">
        <f>+Model!BM564</f>
        <v>50.58</v>
      </c>
      <c r="AT294" s="898">
        <f>+Model!BN564</f>
        <v>50.786999999999999</v>
      </c>
      <c r="AU294" s="971">
        <f t="shared" si="908"/>
        <v>53.231999999999999</v>
      </c>
    </row>
    <row r="295" spans="1:48" x14ac:dyDescent="0.25">
      <c r="A295" s="936" t="s">
        <v>805</v>
      </c>
      <c r="C295" s="898">
        <f>+Model!AA565</f>
        <v>17.209</v>
      </c>
      <c r="D295" s="898">
        <f>+Model!AB565</f>
        <v>16.466000000000001</v>
      </c>
      <c r="E295" s="898">
        <f>+Model!AC565</f>
        <v>15.723000000000001</v>
      </c>
      <c r="F295" s="898">
        <f>+Model!AD565</f>
        <v>14.981</v>
      </c>
      <c r="G295" s="898">
        <f>+Model!AE565</f>
        <v>14.238</v>
      </c>
      <c r="H295" s="898">
        <f>+Model!AF565</f>
        <v>13.494999999999999</v>
      </c>
      <c r="I295" s="898">
        <f>+Model!AG565</f>
        <v>43.893000000000001</v>
      </c>
      <c r="J295" s="957">
        <f>+Model!AH565</f>
        <v>77.450999999999993</v>
      </c>
      <c r="K295" s="898">
        <f>+Model!AI565</f>
        <v>75.36</v>
      </c>
      <c r="L295" s="898">
        <f>+Model!AJ565</f>
        <v>106.547</v>
      </c>
      <c r="M295" s="898">
        <f>+Model!AK565</f>
        <v>103.047</v>
      </c>
      <c r="N295" s="957">
        <f>+Model!AL565</f>
        <v>99.48</v>
      </c>
      <c r="O295" s="898">
        <f>+Model!AM565</f>
        <v>96.266999999999996</v>
      </c>
      <c r="P295" s="898">
        <f>+Model!AN565</f>
        <v>95.21</v>
      </c>
      <c r="Q295" s="898">
        <f>+Model!AO565</f>
        <v>91.94</v>
      </c>
      <c r="R295" s="957">
        <f>+Model!AP565</f>
        <v>88.668999999999997</v>
      </c>
      <c r="S295" s="898">
        <f>+Model!AQ565</f>
        <v>86.69</v>
      </c>
      <c r="T295" s="898">
        <f>+Model!AR565</f>
        <v>83.41</v>
      </c>
      <c r="U295" s="898">
        <f>+Model!AS565</f>
        <v>80.131</v>
      </c>
      <c r="V295" s="957">
        <f>+Model!AT565</f>
        <v>74.771000000000001</v>
      </c>
      <c r="W295" s="898">
        <f>+Model!AU565</f>
        <v>71.754999999999995</v>
      </c>
      <c r="X295" s="877">
        <v>68.768000000000001</v>
      </c>
      <c r="Y295" s="877">
        <v>64.668000000000006</v>
      </c>
      <c r="Z295" s="877">
        <v>60.281999999999996</v>
      </c>
      <c r="AA295" s="1272">
        <v>57.713999999999999</v>
      </c>
      <c r="AB295" s="877"/>
      <c r="AC295" s="877"/>
      <c r="AD295" s="877"/>
      <c r="AF295" s="898">
        <f>+Model!AZ565</f>
        <v>0.28399999999999997</v>
      </c>
      <c r="AG295" s="898">
        <f>+Model!BA565</f>
        <v>14.081</v>
      </c>
      <c r="AH295" s="898">
        <f>+Model!BB565</f>
        <v>38.290999999999997</v>
      </c>
      <c r="AI295" s="898">
        <f>+Model!BC565</f>
        <v>36.735999999999997</v>
      </c>
      <c r="AJ295" s="898">
        <f>+Model!BD565</f>
        <v>32.139000000000003</v>
      </c>
      <c r="AK295" s="898">
        <f>+Model!BE565</f>
        <v>23.707999999999998</v>
      </c>
      <c r="AL295" s="898">
        <f>+Model!BF565</f>
        <v>21.195</v>
      </c>
      <c r="AM295" s="898">
        <f>+Model!BG565</f>
        <v>23.102</v>
      </c>
      <c r="AN295" s="898">
        <f>+Model!BH565</f>
        <v>20.225999999999999</v>
      </c>
      <c r="AO295" s="898">
        <f>+Model!BI565</f>
        <v>17.951000000000001</v>
      </c>
      <c r="AP295" s="898">
        <f>+Model!BJ565</f>
        <v>14.981</v>
      </c>
      <c r="AQ295" s="898">
        <f>+Model!BK565</f>
        <v>77.450999999999993</v>
      </c>
      <c r="AR295" s="898">
        <f>+Model!BL565</f>
        <v>99.48</v>
      </c>
      <c r="AS295" s="898">
        <f>+Model!BM565</f>
        <v>88.668999999999997</v>
      </c>
      <c r="AT295" s="898">
        <f>+Model!BN565</f>
        <v>74.771000000000001</v>
      </c>
      <c r="AU295" s="971">
        <f t="shared" si="908"/>
        <v>60.281999999999996</v>
      </c>
    </row>
    <row r="296" spans="1:48" x14ac:dyDescent="0.25">
      <c r="A296" s="936" t="s">
        <v>203</v>
      </c>
      <c r="C296" s="898">
        <f>+Model!AA567</f>
        <v>90.197000000000003</v>
      </c>
      <c r="D296" s="898">
        <f>+Model!AB567</f>
        <v>90.197000000000003</v>
      </c>
      <c r="E296" s="898">
        <f>+Model!AC567</f>
        <v>90.197000000000003</v>
      </c>
      <c r="F296" s="898">
        <f>+Model!AD567</f>
        <v>90.197000000000003</v>
      </c>
      <c r="G296" s="898">
        <f>+Model!AE567</f>
        <v>90.197000000000003</v>
      </c>
      <c r="H296" s="898">
        <f>+Model!AF567</f>
        <v>90.197000000000003</v>
      </c>
      <c r="I296" s="898">
        <f>+Model!AG567</f>
        <v>197.803</v>
      </c>
      <c r="J296" s="957">
        <f>+Model!AH567</f>
        <v>174.93899999999999</v>
      </c>
      <c r="K296" s="898">
        <f>+Model!AI567</f>
        <v>174.523</v>
      </c>
      <c r="L296" s="898">
        <f>+Model!AJ567</f>
        <v>240.79900000000001</v>
      </c>
      <c r="M296" s="898">
        <f>+Model!AK567</f>
        <v>240.251</v>
      </c>
      <c r="N296" s="957">
        <f>+Model!AL567</f>
        <v>240.35300000000001</v>
      </c>
      <c r="O296" s="898">
        <f>+Model!AM567</f>
        <v>240.35300000000001</v>
      </c>
      <c r="P296" s="898">
        <f>+Model!AN567</f>
        <v>240.92099999999999</v>
      </c>
      <c r="Q296" s="898">
        <f>+Model!AO567</f>
        <v>240.952</v>
      </c>
      <c r="R296" s="957">
        <f>+Model!AP567</f>
        <v>241.02199999999999</v>
      </c>
      <c r="S296" s="898">
        <f>+Model!AQ567</f>
        <v>246.238</v>
      </c>
      <c r="T296" s="898">
        <f>+Model!AR567</f>
        <v>246.67599999999999</v>
      </c>
      <c r="U296" s="898">
        <f>+Model!AS567</f>
        <v>246.67599999999999</v>
      </c>
      <c r="V296" s="957">
        <f>+Model!AT567</f>
        <v>246.67599999999999</v>
      </c>
      <c r="W296" s="898">
        <f>+Model!AU567</f>
        <v>246.67599999999999</v>
      </c>
      <c r="X296" s="877">
        <v>246.67599999999999</v>
      </c>
      <c r="Y296" s="877">
        <v>246.67599999999999</v>
      </c>
      <c r="Z296" s="877">
        <v>246.67599999999999</v>
      </c>
      <c r="AA296" s="1272">
        <v>246.67599999999999</v>
      </c>
      <c r="AB296" s="877"/>
      <c r="AC296" s="877"/>
      <c r="AD296" s="877"/>
      <c r="AF296" s="898">
        <f>+Model!AZ567</f>
        <v>1.825</v>
      </c>
      <c r="AG296" s="898">
        <f>+Model!BA567</f>
        <v>1.825</v>
      </c>
      <c r="AH296" s="898">
        <f>+Model!BB567</f>
        <v>55.627000000000002</v>
      </c>
      <c r="AI296" s="898">
        <f>+Model!BC567</f>
        <v>61.619</v>
      </c>
      <c r="AJ296" s="898">
        <f>+Model!BD567</f>
        <v>61.412999999999997</v>
      </c>
      <c r="AK296" s="898">
        <f>+Model!BE567</f>
        <v>58.088000000000001</v>
      </c>
      <c r="AL296" s="898">
        <f>+Model!BF567</f>
        <v>66.16</v>
      </c>
      <c r="AM296" s="898">
        <f>+Model!BG567</f>
        <v>87.284999999999997</v>
      </c>
      <c r="AN296" s="898">
        <f>+Model!BH567</f>
        <v>87.213999999999999</v>
      </c>
      <c r="AO296" s="898">
        <f>+Model!BI567</f>
        <v>90.197000000000003</v>
      </c>
      <c r="AP296" s="898">
        <f>+Model!BJ567</f>
        <v>90.197000000000003</v>
      </c>
      <c r="AQ296" s="898">
        <f>+Model!BK567</f>
        <v>174.93899999999999</v>
      </c>
      <c r="AR296" s="898">
        <f>+Model!BL567</f>
        <v>240.35300000000001</v>
      </c>
      <c r="AS296" s="898">
        <f>+Model!BM567</f>
        <v>241.02199999999999</v>
      </c>
      <c r="AT296" s="898">
        <f>+Model!BN567</f>
        <v>246.67599999999999</v>
      </c>
      <c r="AU296" s="971">
        <f t="shared" si="908"/>
        <v>246.67599999999999</v>
      </c>
    </row>
    <row r="297" spans="1:48" x14ac:dyDescent="0.25">
      <c r="A297" s="936" t="s">
        <v>806</v>
      </c>
      <c r="C297" s="898">
        <f>+Model!AA570</f>
        <v>0</v>
      </c>
      <c r="D297" s="898">
        <f>+Model!AB570</f>
        <v>0</v>
      </c>
      <c r="E297" s="898">
        <f>+Model!AC570</f>
        <v>0</v>
      </c>
      <c r="F297" s="898">
        <f>+Model!AD570</f>
        <v>0</v>
      </c>
      <c r="G297" s="898">
        <f>+Model!AE570</f>
        <v>0</v>
      </c>
      <c r="H297" s="898">
        <f>+Model!AF570</f>
        <v>0</v>
      </c>
      <c r="I297" s="898">
        <f>+Model!AG570</f>
        <v>0</v>
      </c>
      <c r="J297" s="957">
        <f>+Model!AH570</f>
        <v>0</v>
      </c>
      <c r="K297" s="898">
        <f>+Model!AI570</f>
        <v>0</v>
      </c>
      <c r="L297" s="898">
        <f>+Model!AJ570</f>
        <v>0</v>
      </c>
      <c r="M297" s="898">
        <f>+Model!AK570</f>
        <v>0</v>
      </c>
      <c r="N297" s="957">
        <f>+Model!AL570</f>
        <v>0</v>
      </c>
      <c r="O297" s="898">
        <f>+Model!AM570</f>
        <v>0</v>
      </c>
      <c r="P297" s="898">
        <f>+Model!AN570</f>
        <v>0</v>
      </c>
      <c r="Q297" s="898">
        <f>+Model!AO570</f>
        <v>0</v>
      </c>
      <c r="R297" s="957">
        <f>+Model!AP570</f>
        <v>0</v>
      </c>
      <c r="S297" s="898">
        <f>+Model!AQ570</f>
        <v>0</v>
      </c>
      <c r="T297" s="898">
        <f>+Model!AR570</f>
        <v>0</v>
      </c>
      <c r="U297" s="898">
        <f>+Model!AS570</f>
        <v>0</v>
      </c>
      <c r="V297" s="957">
        <f>+Model!AT570</f>
        <v>8.7759999999999998</v>
      </c>
      <c r="W297" s="898">
        <f>+Model!AU570</f>
        <v>1.766</v>
      </c>
      <c r="X297" s="877">
        <v>9.4990000000000006</v>
      </c>
      <c r="Y297" s="877">
        <v>14.773</v>
      </c>
      <c r="Z297" s="877">
        <v>7.2</v>
      </c>
      <c r="AA297" s="1272">
        <v>0</v>
      </c>
      <c r="AB297" s="877"/>
      <c r="AC297" s="877"/>
      <c r="AD297" s="877"/>
      <c r="AF297" s="898">
        <f>+Model!AZ570</f>
        <v>14.619</v>
      </c>
      <c r="AG297" s="898">
        <f>+Model!BA570</f>
        <v>5.9119999999999999</v>
      </c>
      <c r="AH297" s="898">
        <f>+Model!BB570</f>
        <v>0</v>
      </c>
      <c r="AI297" s="898">
        <f>+Model!BC570</f>
        <v>0</v>
      </c>
      <c r="AJ297" s="898">
        <f>+Model!BD570</f>
        <v>0</v>
      </c>
      <c r="AK297" s="898">
        <f>+Model!BE570</f>
        <v>0</v>
      </c>
      <c r="AL297" s="898">
        <f>+Model!BF570</f>
        <v>0</v>
      </c>
      <c r="AM297" s="898">
        <f>+Model!BG570</f>
        <v>0</v>
      </c>
      <c r="AN297" s="898">
        <f>+Model!BH570</f>
        <v>0</v>
      </c>
      <c r="AO297" s="898">
        <f>+Model!BI570</f>
        <v>0</v>
      </c>
      <c r="AP297" s="898">
        <f>+Model!BJ570</f>
        <v>0</v>
      </c>
      <c r="AQ297" s="898">
        <f>+Model!BK570</f>
        <v>0</v>
      </c>
      <c r="AR297" s="898">
        <f>+Model!BL570</f>
        <v>0</v>
      </c>
      <c r="AS297" s="898">
        <f>+Model!BM570</f>
        <v>0</v>
      </c>
      <c r="AT297" s="898">
        <f>+Model!BN570</f>
        <v>8.7759999999999998</v>
      </c>
      <c r="AU297" s="971">
        <f t="shared" si="908"/>
        <v>7.2</v>
      </c>
    </row>
    <row r="298" spans="1:48" x14ac:dyDescent="0.25">
      <c r="A298" s="936" t="s">
        <v>807</v>
      </c>
      <c r="C298" s="898">
        <f>+Model!AA568</f>
        <v>46.075000000000003</v>
      </c>
      <c r="D298" s="898">
        <f>+Model!AB568</f>
        <v>43.865000000000002</v>
      </c>
      <c r="E298" s="898">
        <f>+Model!AC568</f>
        <v>43.485999999999997</v>
      </c>
      <c r="F298" s="898">
        <f>+Model!AD568</f>
        <v>47.33</v>
      </c>
      <c r="G298" s="898">
        <f>+Model!AE568</f>
        <v>68.772000000000006</v>
      </c>
      <c r="H298" s="898">
        <f>+Model!AF568</f>
        <v>71.772000000000006</v>
      </c>
      <c r="I298" s="898">
        <f>+Model!AG568</f>
        <v>55.487000000000002</v>
      </c>
      <c r="J298" s="957">
        <f>+Model!AH568</f>
        <v>71.323999999999998</v>
      </c>
      <c r="K298" s="898">
        <f>+Model!AI568</f>
        <v>72.513999999999996</v>
      </c>
      <c r="L298" s="898">
        <f>+Model!AJ568</f>
        <v>74.674999999999997</v>
      </c>
      <c r="M298" s="898">
        <f>+Model!AK568</f>
        <v>76.816000000000003</v>
      </c>
      <c r="N298" s="957">
        <f>+Model!AL568</f>
        <v>105.51</v>
      </c>
      <c r="O298" s="898">
        <f>+Model!AM568</f>
        <v>94.98</v>
      </c>
      <c r="P298" s="898">
        <f>+Model!AN568</f>
        <v>97.617000000000004</v>
      </c>
      <c r="Q298" s="898">
        <f>+Model!AO568</f>
        <v>99.582999999999998</v>
      </c>
      <c r="R298" s="957">
        <f>+Model!AP568</f>
        <v>93.945999999999998</v>
      </c>
      <c r="S298" s="898">
        <f>+Model!AQ568</f>
        <v>80.221000000000004</v>
      </c>
      <c r="T298" s="898">
        <f>+Model!AR568</f>
        <v>89.694000000000003</v>
      </c>
      <c r="U298" s="898">
        <f>+Model!AS568</f>
        <v>101.425</v>
      </c>
      <c r="V298" s="957">
        <f>+Model!AT568</f>
        <v>109.152</v>
      </c>
      <c r="W298" s="898">
        <f>+Model!AU568</f>
        <v>109.339</v>
      </c>
      <c r="X298" s="877">
        <v>115.43600000000001</v>
      </c>
      <c r="Y298" s="877">
        <v>107.306</v>
      </c>
      <c r="Z298" s="877">
        <v>120.318</v>
      </c>
      <c r="AA298" s="1272">
        <v>109.9</v>
      </c>
      <c r="AB298" s="877"/>
      <c r="AC298" s="877"/>
      <c r="AD298" s="877"/>
      <c r="AF298" s="898">
        <f>+Model!AZ568</f>
        <v>2.242</v>
      </c>
      <c r="AG298" s="898">
        <f>+Model!BA568</f>
        <v>2.2130000000000001</v>
      </c>
      <c r="AH298" s="898">
        <f>+Model!BB568</f>
        <v>3.448</v>
      </c>
      <c r="AI298" s="898">
        <f>+Model!BC568</f>
        <v>2.6840000000000002</v>
      </c>
      <c r="AJ298" s="898">
        <f>+Model!BD568</f>
        <v>3.15</v>
      </c>
      <c r="AK298" s="898">
        <f>+Model!BE568</f>
        <v>5.3869999999999996</v>
      </c>
      <c r="AL298" s="898">
        <f>+Model!BF568</f>
        <v>6.4950000000000001</v>
      </c>
      <c r="AM298" s="898">
        <f>+Model!BG568</f>
        <v>15.944000000000001</v>
      </c>
      <c r="AN298" s="898">
        <f>+Model!BH568</f>
        <v>6.0570000000000004</v>
      </c>
      <c r="AO298" s="898">
        <f>+Model!BI568</f>
        <v>34.668999999999997</v>
      </c>
      <c r="AP298" s="898">
        <f>+Model!BJ568</f>
        <v>47.33</v>
      </c>
      <c r="AQ298" s="898">
        <f>+Model!BK568</f>
        <v>71.323999999999998</v>
      </c>
      <c r="AR298" s="898">
        <f>+Model!BL568</f>
        <v>105.51</v>
      </c>
      <c r="AS298" s="898">
        <f>+Model!BM568</f>
        <v>93.945999999999998</v>
      </c>
      <c r="AT298" s="898">
        <f>+Model!BN568</f>
        <v>109.152</v>
      </c>
      <c r="AU298" s="971">
        <f t="shared" si="908"/>
        <v>120.318</v>
      </c>
    </row>
    <row r="299" spans="1:48" x14ac:dyDescent="0.25">
      <c r="A299" s="936" t="s">
        <v>809</v>
      </c>
      <c r="C299" s="898">
        <f>+Model!AA569</f>
        <v>2</v>
      </c>
      <c r="D299" s="898">
        <f>+Model!AB569</f>
        <v>2</v>
      </c>
      <c r="E299" s="898">
        <f>+Model!AC569</f>
        <v>2</v>
      </c>
      <c r="F299" s="898">
        <f>+Model!AD569</f>
        <v>1</v>
      </c>
      <c r="G299" s="898">
        <f>+Model!AE569</f>
        <v>1</v>
      </c>
      <c r="H299" s="898">
        <f>+Model!AF569</f>
        <v>1</v>
      </c>
      <c r="I299" s="898">
        <f>+Model!AG569</f>
        <v>1</v>
      </c>
      <c r="J299" s="957">
        <f>+Model!AH569</f>
        <v>0.5</v>
      </c>
      <c r="K299" s="898">
        <f>+Model!AI569</f>
        <v>0.5</v>
      </c>
      <c r="L299" s="898">
        <f>+Model!AJ569</f>
        <v>0.5</v>
      </c>
      <c r="M299" s="898">
        <f>+Model!AK569</f>
        <v>0.5</v>
      </c>
      <c r="N299" s="957">
        <f>+Model!AL569</f>
        <v>0</v>
      </c>
      <c r="O299" s="898">
        <f>+Model!AM569</f>
        <v>0</v>
      </c>
      <c r="P299" s="898">
        <f>+Model!AN569</f>
        <v>0</v>
      </c>
      <c r="Q299" s="898">
        <f>+Model!AO569</f>
        <v>0</v>
      </c>
      <c r="R299" s="957">
        <f>+Model!AP569</f>
        <v>0</v>
      </c>
      <c r="S299" s="898">
        <f>+Model!AQ569</f>
        <v>0</v>
      </c>
      <c r="T299" s="898">
        <f>+Model!AR569</f>
        <v>0</v>
      </c>
      <c r="U299" s="898">
        <f>+Model!AS569</f>
        <v>0</v>
      </c>
      <c r="V299" s="957">
        <f>+Model!AT569</f>
        <v>0</v>
      </c>
      <c r="W299" s="898">
        <f>+Model!AU569</f>
        <v>0</v>
      </c>
      <c r="X299" s="877">
        <v>0</v>
      </c>
      <c r="Y299" s="877">
        <v>0</v>
      </c>
      <c r="Z299" s="877">
        <v>0</v>
      </c>
      <c r="AA299" s="1272">
        <v>0</v>
      </c>
      <c r="AB299" s="877"/>
      <c r="AC299" s="877"/>
      <c r="AD299" s="877"/>
      <c r="AF299" s="898">
        <f>+Model!AZ569</f>
        <v>0</v>
      </c>
      <c r="AG299" s="898">
        <f>+Model!BA569</f>
        <v>0</v>
      </c>
      <c r="AH299" s="898">
        <f>+Model!BB569</f>
        <v>0</v>
      </c>
      <c r="AI299" s="898">
        <f>+Model!BC569</f>
        <v>0</v>
      </c>
      <c r="AJ299" s="898">
        <f>+Model!BD569</f>
        <v>0</v>
      </c>
      <c r="AK299" s="898">
        <f>+Model!BE569</f>
        <v>0</v>
      </c>
      <c r="AL299" s="898">
        <f>+Model!BF569</f>
        <v>0</v>
      </c>
      <c r="AM299" s="898">
        <f>+Model!BG569</f>
        <v>0</v>
      </c>
      <c r="AN299" s="898">
        <f>+Model!BH569</f>
        <v>0</v>
      </c>
      <c r="AO299" s="898">
        <f>+Model!BI569</f>
        <v>2</v>
      </c>
      <c r="AP299" s="898">
        <f>+Model!BJ569</f>
        <v>1</v>
      </c>
      <c r="AQ299" s="898">
        <f>+Model!BK569</f>
        <v>0.5</v>
      </c>
      <c r="AR299" s="898">
        <f>+Model!BL569</f>
        <v>0</v>
      </c>
      <c r="AS299" s="898">
        <f>+Model!BM569</f>
        <v>0</v>
      </c>
      <c r="AT299" s="898">
        <f>+Model!BN569</f>
        <v>0</v>
      </c>
      <c r="AU299" s="971">
        <f t="shared" si="908"/>
        <v>0</v>
      </c>
    </row>
    <row r="300" spans="1:48" s="879" customFormat="1" ht="14" x14ac:dyDescent="0.4">
      <c r="A300" s="876" t="s">
        <v>810</v>
      </c>
      <c r="C300" s="880">
        <f>+Model!AA571</f>
        <v>0</v>
      </c>
      <c r="D300" s="880">
        <f>+Model!AB571</f>
        <v>0</v>
      </c>
      <c r="E300" s="880">
        <f>+Model!AC571</f>
        <v>0</v>
      </c>
      <c r="F300" s="880">
        <f>+Model!AD571</f>
        <v>0</v>
      </c>
      <c r="G300" s="880">
        <f>+Model!AE571</f>
        <v>0</v>
      </c>
      <c r="H300" s="880">
        <f>+Model!AF571</f>
        <v>0</v>
      </c>
      <c r="I300" s="880">
        <f>+Model!AG571</f>
        <v>0</v>
      </c>
      <c r="J300" s="956">
        <f>+Model!AH571</f>
        <v>0</v>
      </c>
      <c r="K300" s="880">
        <f>+Model!AI571</f>
        <v>0</v>
      </c>
      <c r="L300" s="880">
        <f>+Model!AJ571</f>
        <v>0</v>
      </c>
      <c r="M300" s="880">
        <f>+Model!AK571</f>
        <v>0</v>
      </c>
      <c r="N300" s="956">
        <f>+Model!AL571</f>
        <v>0</v>
      </c>
      <c r="O300" s="880">
        <f>+Model!AM571</f>
        <v>0</v>
      </c>
      <c r="P300" s="880">
        <f>+Model!AN571</f>
        <v>0</v>
      </c>
      <c r="Q300" s="880">
        <f>+Model!AO571</f>
        <v>0</v>
      </c>
      <c r="R300" s="956">
        <f>+Model!AP571</f>
        <v>0</v>
      </c>
      <c r="S300" s="880">
        <f>+Model!AQ571</f>
        <v>0</v>
      </c>
      <c r="T300" s="880">
        <f>+Model!AR571</f>
        <v>0</v>
      </c>
      <c r="U300" s="880">
        <f>+Model!AS571</f>
        <v>0</v>
      </c>
      <c r="V300" s="956">
        <f>+Model!AT571</f>
        <v>0</v>
      </c>
      <c r="W300" s="880">
        <f>+Model!AU571</f>
        <v>0</v>
      </c>
      <c r="X300" s="880">
        <v>0</v>
      </c>
      <c r="Y300" s="880">
        <v>0</v>
      </c>
      <c r="Z300" s="880">
        <v>0</v>
      </c>
      <c r="AA300" s="1273">
        <v>0</v>
      </c>
      <c r="AB300" s="880"/>
      <c r="AC300" s="880"/>
      <c r="AD300" s="880"/>
      <c r="AE300" s="880"/>
      <c r="AF300" s="880">
        <f>+Model!AZ571</f>
        <v>0</v>
      </c>
      <c r="AG300" s="880">
        <f>+Model!BA571</f>
        <v>0</v>
      </c>
      <c r="AH300" s="880">
        <f>+Model!BB571</f>
        <v>10</v>
      </c>
      <c r="AI300" s="880">
        <f>+Model!BC571</f>
        <v>10</v>
      </c>
      <c r="AJ300" s="880">
        <f>+Model!BD571</f>
        <v>0</v>
      </c>
      <c r="AK300" s="880">
        <f>+Model!BE571</f>
        <v>0</v>
      </c>
      <c r="AL300" s="880">
        <f>+Model!BF571</f>
        <v>0</v>
      </c>
      <c r="AM300" s="880">
        <f>+Model!BG571</f>
        <v>0</v>
      </c>
      <c r="AN300" s="880">
        <f>+Model!BH571</f>
        <v>0</v>
      </c>
      <c r="AO300" s="880">
        <f>+Model!BI571</f>
        <v>0</v>
      </c>
      <c r="AP300" s="880">
        <f>+Model!BJ571</f>
        <v>0</v>
      </c>
      <c r="AQ300" s="880">
        <f>+Model!BK571</f>
        <v>0</v>
      </c>
      <c r="AR300" s="880">
        <f>+Model!BL571</f>
        <v>0</v>
      </c>
      <c r="AS300" s="880">
        <f>+Model!BM571</f>
        <v>0</v>
      </c>
      <c r="AT300" s="880">
        <f>+Model!BN571</f>
        <v>0</v>
      </c>
      <c r="AU300" s="970">
        <f t="shared" si="908"/>
        <v>0</v>
      </c>
      <c r="AV300" s="895"/>
    </row>
    <row r="301" spans="1:48" s="929" customFormat="1" ht="13" x14ac:dyDescent="0.3">
      <c r="A301" s="912" t="s">
        <v>207</v>
      </c>
      <c r="C301" s="947">
        <f t="shared" ref="C301" si="936">+SUM(C290:C300)</f>
        <v>784.80200000000002</v>
      </c>
      <c r="D301" s="947">
        <f t="shared" ref="D301" si="937">+SUM(D290:D300)</f>
        <v>783.70299999999997</v>
      </c>
      <c r="E301" s="947">
        <f t="shared" ref="E301" si="938">+SUM(E290:E300)</f>
        <v>809.01</v>
      </c>
      <c r="F301" s="947">
        <f t="shared" ref="F301" si="939">+SUM(F290:F300)</f>
        <v>819.60600000000011</v>
      </c>
      <c r="G301" s="947">
        <f t="shared" ref="G301" si="940">+SUM(G290:G300)</f>
        <v>813.49700000000007</v>
      </c>
      <c r="H301" s="947">
        <f t="shared" ref="H301" si="941">+SUM(H290:H300)</f>
        <v>826.95</v>
      </c>
      <c r="I301" s="947">
        <f t="shared" ref="I301" si="942">+SUM(I290:I300)</f>
        <v>1036.0050000000001</v>
      </c>
      <c r="J301" s="975">
        <f t="shared" ref="J301" si="943">+SUM(J290:J300)</f>
        <v>1073.2630000000001</v>
      </c>
      <c r="K301" s="947">
        <f t="shared" ref="K301" si="944">+SUM(K290:K300)</f>
        <v>1404.4759999999997</v>
      </c>
      <c r="L301" s="947">
        <f t="shared" ref="L301" si="945">+SUM(L290:L300)</f>
        <v>1471.9540000000002</v>
      </c>
      <c r="M301" s="947">
        <f t="shared" ref="M301" si="946">+SUM(M290:M300)</f>
        <v>1534.1679999999999</v>
      </c>
      <c r="N301" s="975">
        <f t="shared" ref="N301" si="947">+SUM(N290:N300)</f>
        <v>1577.297</v>
      </c>
      <c r="O301" s="947">
        <f t="shared" ref="O301" si="948">+SUM(O290:O300)</f>
        <v>1570.365</v>
      </c>
      <c r="P301" s="947">
        <f t="shared" ref="P301" si="949">+SUM(P290:P300)</f>
        <v>1525.7450000000001</v>
      </c>
      <c r="Q301" s="947">
        <f t="shared" ref="Q301" si="950">+SUM(Q290:Q300)</f>
        <v>1574.5320000000004</v>
      </c>
      <c r="R301" s="975">
        <f t="shared" ref="R301" si="951">+SUM(R290:R300)</f>
        <v>1643.5449999999998</v>
      </c>
      <c r="S301" s="947">
        <f t="shared" ref="S301" si="952">+SUM(S290:S300)</f>
        <v>1622.0980000000002</v>
      </c>
      <c r="T301" s="947">
        <f t="shared" ref="T301" si="953">+SUM(T290:T300)</f>
        <v>1619.2909999999999</v>
      </c>
      <c r="U301" s="947">
        <f t="shared" ref="U301" si="954">+SUM(U290:U300)</f>
        <v>1699.848</v>
      </c>
      <c r="V301" s="975">
        <f t="shared" ref="V301" si="955">+SUM(V290:V300)</f>
        <v>1760.6660000000002</v>
      </c>
      <c r="W301" s="947">
        <f t="shared" ref="W301:AA301" si="956">+SUM(W290:W300)</f>
        <v>1767.645</v>
      </c>
      <c r="X301" s="947">
        <f t="shared" si="956"/>
        <v>1782.1959999999997</v>
      </c>
      <c r="Y301" s="947">
        <f t="shared" si="956"/>
        <v>1892.2129999999995</v>
      </c>
      <c r="Z301" s="947">
        <f t="shared" si="956"/>
        <v>1920.4649999999997</v>
      </c>
      <c r="AA301" s="1288">
        <f t="shared" si="956"/>
        <v>1971.9609999999996</v>
      </c>
      <c r="AB301" s="947"/>
      <c r="AC301" s="947"/>
      <c r="AD301" s="947"/>
      <c r="AE301" s="947"/>
      <c r="AF301" s="947">
        <f t="shared" ref="AF301" si="957">+SUM(AF290:AF300)</f>
        <v>240.67599999999993</v>
      </c>
      <c r="AG301" s="947">
        <f t="shared" ref="AG301" si="958">+SUM(AG290:AG300)</f>
        <v>307.88200000000001</v>
      </c>
      <c r="AH301" s="947">
        <f t="shared" ref="AH301" si="959">+SUM(AH290:AH300)</f>
        <v>582.09499999999991</v>
      </c>
      <c r="AI301" s="947">
        <f t="shared" ref="AI301" si="960">+SUM(AI290:AI300)</f>
        <v>648.83499999999992</v>
      </c>
      <c r="AJ301" s="947">
        <f t="shared" ref="AJ301" si="961">+SUM(AJ290:AJ300)</f>
        <v>718.89600000000007</v>
      </c>
      <c r="AK301" s="947">
        <f t="shared" ref="AK301:AS301" si="962">+SUM(AK290:AK300)</f>
        <v>711.6669999999998</v>
      </c>
      <c r="AL301" s="947">
        <f t="shared" si="962"/>
        <v>708.59900000000005</v>
      </c>
      <c r="AM301" s="947">
        <f t="shared" si="962"/>
        <v>734.05499999999984</v>
      </c>
      <c r="AN301" s="947">
        <f t="shared" si="962"/>
        <v>735.28400000000011</v>
      </c>
      <c r="AO301" s="947">
        <f t="shared" si="962"/>
        <v>741.96299999999997</v>
      </c>
      <c r="AP301" s="947">
        <f t="shared" si="962"/>
        <v>819.60600000000011</v>
      </c>
      <c r="AQ301" s="947">
        <f t="shared" si="962"/>
        <v>1073.2630000000001</v>
      </c>
      <c r="AR301" s="947">
        <f t="shared" si="962"/>
        <v>1577.297</v>
      </c>
      <c r="AS301" s="947">
        <f t="shared" si="962"/>
        <v>1643.5449999999998</v>
      </c>
      <c r="AT301" s="947">
        <f>+SUM(AT290:AT300)</f>
        <v>1760.6660000000002</v>
      </c>
      <c r="AU301" s="976">
        <f t="shared" si="908"/>
        <v>1920.4649999999997</v>
      </c>
      <c r="AV301" s="949"/>
    </row>
    <row r="302" spans="1:48" x14ac:dyDescent="0.25">
      <c r="A302" s="936"/>
      <c r="J302" s="953"/>
      <c r="N302" s="953"/>
      <c r="R302" s="953"/>
      <c r="V302" s="953"/>
      <c r="AA302" s="1271"/>
      <c r="AU302" s="967"/>
    </row>
    <row r="303" spans="1:48" ht="13" x14ac:dyDescent="0.3">
      <c r="A303" s="946" t="s">
        <v>811</v>
      </c>
      <c r="J303" s="953"/>
      <c r="N303" s="953"/>
      <c r="R303" s="953"/>
      <c r="V303" s="953"/>
      <c r="AA303" s="1271"/>
      <c r="AU303" s="967"/>
    </row>
    <row r="304" spans="1:48" x14ac:dyDescent="0.25">
      <c r="A304" s="944" t="s">
        <v>208</v>
      </c>
      <c r="J304" s="953"/>
      <c r="N304" s="953"/>
      <c r="R304" s="953"/>
      <c r="V304" s="953"/>
      <c r="AA304" s="1271"/>
      <c r="AU304" s="967"/>
    </row>
    <row r="305" spans="1:48" x14ac:dyDescent="0.25">
      <c r="A305" s="936" t="s">
        <v>812</v>
      </c>
      <c r="C305" s="898">
        <f>+Model!AA580</f>
        <v>39.061999999999998</v>
      </c>
      <c r="D305" s="898">
        <f>+Model!AB580</f>
        <v>20.46</v>
      </c>
      <c r="E305" s="898">
        <f>+Model!AC580</f>
        <v>23.207999999999998</v>
      </c>
      <c r="F305" s="898">
        <f>+Model!AD580</f>
        <v>50.488</v>
      </c>
      <c r="G305" s="898">
        <f>+Model!AE580</f>
        <v>46.204000000000001</v>
      </c>
      <c r="H305" s="898">
        <f>+Model!AF580</f>
        <v>30.597999999999999</v>
      </c>
      <c r="I305" s="898">
        <f>+Model!AG580</f>
        <v>25.234999999999999</v>
      </c>
      <c r="J305" s="957">
        <f>+Model!AH580</f>
        <v>40.427999999999997</v>
      </c>
      <c r="K305" s="898">
        <f>+Model!AI580</f>
        <v>91.956999999999994</v>
      </c>
      <c r="L305" s="898">
        <f>+Model!AJ580</f>
        <v>39.250999999999998</v>
      </c>
      <c r="M305" s="898">
        <f>+Model!AK580</f>
        <v>47.042999999999999</v>
      </c>
      <c r="N305" s="957">
        <f>+Model!AL580</f>
        <v>62.143999999999998</v>
      </c>
      <c r="O305" s="898">
        <f>+Model!AM580</f>
        <v>58.588999999999999</v>
      </c>
      <c r="P305" s="898">
        <f>+Model!AN580</f>
        <v>33.820999999999998</v>
      </c>
      <c r="Q305" s="898">
        <f>+Model!AO580</f>
        <v>32.847999999999999</v>
      </c>
      <c r="R305" s="957">
        <f>+Model!AP580</f>
        <v>61.997</v>
      </c>
      <c r="S305" s="898">
        <f>+Model!AQ580</f>
        <v>68.956000000000003</v>
      </c>
      <c r="T305" s="898">
        <f>+Model!AR580</f>
        <v>32.808999999999997</v>
      </c>
      <c r="U305" s="898">
        <f>+Model!AS580</f>
        <v>35.252000000000002</v>
      </c>
      <c r="V305" s="957">
        <f>+Model!AT580</f>
        <v>48.853999999999999</v>
      </c>
      <c r="W305" s="898">
        <f>+Model!AU580</f>
        <v>74.585999999999999</v>
      </c>
      <c r="X305" s="877">
        <v>31.318999999999999</v>
      </c>
      <c r="Y305" s="877">
        <v>37.155999999999999</v>
      </c>
      <c r="Z305" s="877">
        <v>40.97</v>
      </c>
      <c r="AA305" s="1272">
        <v>50.057000000000002</v>
      </c>
      <c r="AB305" s="877"/>
      <c r="AC305" s="877"/>
      <c r="AD305" s="877"/>
      <c r="AF305" s="898">
        <f>+Model!AZ580</f>
        <v>10.366</v>
      </c>
      <c r="AG305" s="898">
        <f>+Model!BA580</f>
        <v>12.691000000000001</v>
      </c>
      <c r="AH305" s="898">
        <f>+Model!BB580</f>
        <v>21.175999999999998</v>
      </c>
      <c r="AI305" s="898">
        <f>+Model!BC580</f>
        <v>23.951000000000001</v>
      </c>
      <c r="AJ305" s="898">
        <f>+Model!BD580</f>
        <v>21.838000000000001</v>
      </c>
      <c r="AK305" s="898">
        <f>+Model!BE580</f>
        <v>30.975999999999999</v>
      </c>
      <c r="AL305" s="898">
        <f>+Model!BF580</f>
        <v>29.818999999999999</v>
      </c>
      <c r="AM305" s="898">
        <f>+Model!BG580</f>
        <v>25.919</v>
      </c>
      <c r="AN305" s="898">
        <f>+Model!BH580</f>
        <v>30.052</v>
      </c>
      <c r="AO305" s="898">
        <f>+Model!BI580</f>
        <v>29.361999999999998</v>
      </c>
      <c r="AP305" s="898">
        <f>+Model!BJ580</f>
        <v>50.488</v>
      </c>
      <c r="AQ305" s="898">
        <f>+Model!BK580</f>
        <v>40.427999999999997</v>
      </c>
      <c r="AR305" s="898">
        <f>+Model!BL580</f>
        <v>62.143999999999998</v>
      </c>
      <c r="AS305" s="898">
        <f>+Model!BM580</f>
        <v>61.997</v>
      </c>
      <c r="AT305" s="898">
        <f>+Model!BN580</f>
        <v>48.853999999999999</v>
      </c>
      <c r="AU305" s="971">
        <f t="shared" si="908"/>
        <v>40.97</v>
      </c>
    </row>
    <row r="306" spans="1:48" x14ac:dyDescent="0.25">
      <c r="A306" s="936" t="s">
        <v>813</v>
      </c>
      <c r="C306" s="898">
        <f>+Model!AA581</f>
        <v>14.016</v>
      </c>
      <c r="D306" s="898">
        <f>+Model!AB581</f>
        <v>14.619</v>
      </c>
      <c r="E306" s="898">
        <f>+Model!AC581</f>
        <v>17.706</v>
      </c>
      <c r="F306" s="898">
        <f>+Model!AD581</f>
        <v>20.684999999999999</v>
      </c>
      <c r="G306" s="898">
        <f>+Model!AE581</f>
        <v>18.59</v>
      </c>
      <c r="H306" s="898">
        <f>+Model!AF581</f>
        <v>19.616</v>
      </c>
      <c r="I306" s="898">
        <f>+Model!AG581</f>
        <v>25.952999999999999</v>
      </c>
      <c r="J306" s="957">
        <f>+Model!AH581</f>
        <v>27.350999999999999</v>
      </c>
      <c r="K306" s="898">
        <f>+Model!AI581</f>
        <v>25.782</v>
      </c>
      <c r="L306" s="898">
        <f>+Model!AJ581</f>
        <v>41.514000000000003</v>
      </c>
      <c r="M306" s="898">
        <f>+Model!AK581</f>
        <v>44.198999999999998</v>
      </c>
      <c r="N306" s="957">
        <f>+Model!AL581</f>
        <v>77.641999999999996</v>
      </c>
      <c r="O306" s="898">
        <f>+Model!AM581</f>
        <v>75.745999999999995</v>
      </c>
      <c r="P306" s="898">
        <f>+Model!AN581</f>
        <v>61.462000000000003</v>
      </c>
      <c r="Q306" s="898">
        <f>+Model!AO581</f>
        <v>55.152000000000001</v>
      </c>
      <c r="R306" s="957">
        <f>+Model!AP581</f>
        <v>63.2</v>
      </c>
      <c r="S306" s="898">
        <f>+Model!AQ581</f>
        <v>42.54</v>
      </c>
      <c r="T306" s="898">
        <f>+Model!AR581</f>
        <v>40.908999999999999</v>
      </c>
      <c r="U306" s="898">
        <f>+Model!AS581</f>
        <v>45.744999999999997</v>
      </c>
      <c r="V306" s="957">
        <f>+Model!AT581</f>
        <v>76.626000000000005</v>
      </c>
      <c r="W306" s="898">
        <f>+Model!AU581</f>
        <v>50.834000000000003</v>
      </c>
      <c r="X306" s="877">
        <v>56.334000000000003</v>
      </c>
      <c r="Y306" s="877">
        <v>67.671000000000006</v>
      </c>
      <c r="Z306" s="877">
        <v>60.795999999999999</v>
      </c>
      <c r="AA306" s="1272">
        <v>56.03</v>
      </c>
      <c r="AB306" s="877"/>
      <c r="AC306" s="877"/>
      <c r="AD306" s="877"/>
      <c r="AF306" s="898">
        <f>+Model!AZ581</f>
        <v>7.8289999999999997</v>
      </c>
      <c r="AG306" s="898">
        <f>+Model!BA581</f>
        <v>8.84</v>
      </c>
      <c r="AH306" s="898">
        <f>+Model!BB581</f>
        <v>14.125999999999999</v>
      </c>
      <c r="AI306" s="898">
        <f>+Model!BC581</f>
        <v>13.802</v>
      </c>
      <c r="AJ306" s="898">
        <f>+Model!BD581</f>
        <v>17.027000000000001</v>
      </c>
      <c r="AK306" s="898">
        <f>+Model!BE581</f>
        <v>20.539000000000001</v>
      </c>
      <c r="AL306" s="898">
        <f>+Model!BF581</f>
        <v>12.486000000000001</v>
      </c>
      <c r="AM306" s="898">
        <f>+Model!BG581</f>
        <v>26.876999999999999</v>
      </c>
      <c r="AN306" s="898">
        <f>+Model!BH581</f>
        <v>21.622</v>
      </c>
      <c r="AO306" s="898">
        <f>+Model!BI581</f>
        <v>14.345000000000001</v>
      </c>
      <c r="AP306" s="898">
        <f>+Model!BJ581</f>
        <v>20.684999999999999</v>
      </c>
      <c r="AQ306" s="898">
        <f>+Model!BK581</f>
        <v>27.350999999999999</v>
      </c>
      <c r="AR306" s="898">
        <f>+Model!BL581</f>
        <v>77.641999999999996</v>
      </c>
      <c r="AS306" s="898">
        <f>+Model!BM581</f>
        <v>63.2</v>
      </c>
      <c r="AT306" s="898">
        <f>+Model!BN581</f>
        <v>76.626000000000005</v>
      </c>
      <c r="AU306" s="971">
        <f t="shared" si="908"/>
        <v>60.795999999999999</v>
      </c>
    </row>
    <row r="307" spans="1:48" x14ac:dyDescent="0.25">
      <c r="A307" s="936" t="s">
        <v>814</v>
      </c>
      <c r="C307" s="898">
        <f>+Model!AA582</f>
        <v>18.728999999999999</v>
      </c>
      <c r="D307" s="898">
        <f>+Model!AB582</f>
        <v>28.12</v>
      </c>
      <c r="E307" s="898">
        <f>+Model!AC582</f>
        <v>30.548999999999999</v>
      </c>
      <c r="F307" s="898">
        <f>+Model!AD582</f>
        <v>41.997999999999998</v>
      </c>
      <c r="G307" s="898">
        <f>+Model!AE582</f>
        <v>18.960999999999999</v>
      </c>
      <c r="H307" s="898">
        <f>+Model!AF582</f>
        <v>28.055</v>
      </c>
      <c r="I307" s="898">
        <f>+Model!AG582</f>
        <v>28.384</v>
      </c>
      <c r="J307" s="957">
        <f>+Model!AH582</f>
        <v>47.226999999999997</v>
      </c>
      <c r="K307" s="898">
        <f>+Model!AI582</f>
        <v>27.597999999999999</v>
      </c>
      <c r="L307" s="898">
        <f>+Model!AJ582</f>
        <v>42.500999999999998</v>
      </c>
      <c r="M307" s="898">
        <f>+Model!AK582</f>
        <v>62.816000000000003</v>
      </c>
      <c r="N307" s="957">
        <f>+Model!AL582</f>
        <v>80.363</v>
      </c>
      <c r="O307" s="898">
        <f>+Model!AM582</f>
        <v>35.945</v>
      </c>
      <c r="P307" s="898">
        <f>+Model!AN582</f>
        <v>41.192999999999998</v>
      </c>
      <c r="Q307" s="898">
        <f>+Model!AO582</f>
        <v>59.843000000000004</v>
      </c>
      <c r="R307" s="957">
        <f>+Model!AP582</f>
        <v>73.027000000000001</v>
      </c>
      <c r="S307" s="898">
        <f>+Model!AQ582</f>
        <v>40.084000000000003</v>
      </c>
      <c r="T307" s="898">
        <f>+Model!AR582</f>
        <v>34.082999999999998</v>
      </c>
      <c r="U307" s="898">
        <f>+Model!AS582</f>
        <v>53.761000000000003</v>
      </c>
      <c r="V307" s="957">
        <f>+Model!AT582</f>
        <v>57.426000000000002</v>
      </c>
      <c r="W307" s="898">
        <f>+Model!AU582</f>
        <v>40.014000000000003</v>
      </c>
      <c r="X307" s="877">
        <v>43.076000000000001</v>
      </c>
      <c r="Y307" s="877">
        <v>62.383000000000003</v>
      </c>
      <c r="Z307" s="877">
        <v>64.878</v>
      </c>
      <c r="AA307" s="1272">
        <v>40.469000000000001</v>
      </c>
      <c r="AB307" s="877"/>
      <c r="AC307" s="877"/>
      <c r="AD307" s="877"/>
      <c r="AF307" s="898">
        <f>+Model!AZ582</f>
        <v>8.2910000000000004</v>
      </c>
      <c r="AG307" s="898">
        <f>+Model!BA582</f>
        <v>10.563000000000001</v>
      </c>
      <c r="AH307" s="898">
        <f>+Model!BB582</f>
        <v>13.086</v>
      </c>
      <c r="AI307" s="898">
        <f>+Model!BC582</f>
        <v>17.355</v>
      </c>
      <c r="AJ307" s="898">
        <f>+Model!BD582</f>
        <v>21.97</v>
      </c>
      <c r="AK307" s="898">
        <f>+Model!BE582</f>
        <v>17.399999999999999</v>
      </c>
      <c r="AL307" s="898">
        <f>+Model!BF582</f>
        <v>26.79</v>
      </c>
      <c r="AM307" s="898">
        <f>+Model!BG582</f>
        <v>31.042000000000002</v>
      </c>
      <c r="AN307" s="898">
        <f>+Model!BH582</f>
        <v>29.367000000000001</v>
      </c>
      <c r="AO307" s="898">
        <f>+Model!BI582</f>
        <v>36.049999999999997</v>
      </c>
      <c r="AP307" s="898">
        <f>+Model!BJ582</f>
        <v>41.997999999999998</v>
      </c>
      <c r="AQ307" s="898">
        <f>+Model!BK582</f>
        <v>47.226999999999997</v>
      </c>
      <c r="AR307" s="898">
        <f>+Model!BL582</f>
        <v>80.363</v>
      </c>
      <c r="AS307" s="898">
        <f>+Model!BM582</f>
        <v>73.027000000000001</v>
      </c>
      <c r="AT307" s="898">
        <f>+Model!BN582</f>
        <v>57.426000000000002</v>
      </c>
      <c r="AU307" s="971">
        <f t="shared" si="908"/>
        <v>64.878</v>
      </c>
    </row>
    <row r="308" spans="1:48" x14ac:dyDescent="0.25">
      <c r="A308" s="936" t="s">
        <v>815</v>
      </c>
      <c r="C308" s="898">
        <f>+Model!AA583</f>
        <v>69.433999999999997</v>
      </c>
      <c r="D308" s="898">
        <f>+Model!AB583</f>
        <v>51.475999999999999</v>
      </c>
      <c r="E308" s="898">
        <f>+Model!AC583</f>
        <v>52.826999999999998</v>
      </c>
      <c r="F308" s="898">
        <f>+Model!AD583</f>
        <v>22.827999999999999</v>
      </c>
      <c r="G308" s="898">
        <f>+Model!AE583</f>
        <v>25.556999999999999</v>
      </c>
      <c r="H308" s="898">
        <f>+Model!AF583</f>
        <v>23.568999999999999</v>
      </c>
      <c r="I308" s="898">
        <f>+Model!AG583</f>
        <v>39.618000000000002</v>
      </c>
      <c r="J308" s="957">
        <f>+Model!AH583</f>
        <v>24.417000000000002</v>
      </c>
      <c r="K308" s="898">
        <f>+Model!AI583</f>
        <v>55.372999999999998</v>
      </c>
      <c r="L308" s="898">
        <f>+Model!AJ583</f>
        <v>62.634999999999998</v>
      </c>
      <c r="M308" s="898">
        <f>+Model!AK583</f>
        <v>53.448999999999998</v>
      </c>
      <c r="N308" s="957">
        <f>+Model!AL583</f>
        <v>38.11</v>
      </c>
      <c r="O308" s="898">
        <f>+Model!AM583</f>
        <v>64.918000000000006</v>
      </c>
      <c r="P308" s="898">
        <f>+Model!AN583</f>
        <v>50.408999999999999</v>
      </c>
      <c r="Q308" s="898">
        <f>+Model!AO583</f>
        <v>51.53</v>
      </c>
      <c r="R308" s="957">
        <f>+Model!AP583</f>
        <v>53.63</v>
      </c>
      <c r="S308" s="898">
        <f>+Model!AQ583</f>
        <v>80.682000000000002</v>
      </c>
      <c r="T308" s="898">
        <f>+Model!AR583</f>
        <v>83.799000000000007</v>
      </c>
      <c r="U308" s="898">
        <f>+Model!AS583</f>
        <v>94.341999999999999</v>
      </c>
      <c r="V308" s="957">
        <f>+Model!AT583</f>
        <v>76.159000000000006</v>
      </c>
      <c r="W308" s="898">
        <f>+Model!AU583</f>
        <v>83.92</v>
      </c>
      <c r="X308" s="877">
        <v>64.236999999999995</v>
      </c>
      <c r="Y308" s="877">
        <v>70.906999999999996</v>
      </c>
      <c r="Z308" s="877">
        <v>35.741999999999997</v>
      </c>
      <c r="AA308" s="1272">
        <v>32.33</v>
      </c>
      <c r="AB308" s="1270"/>
      <c r="AC308" s="877"/>
      <c r="AD308" s="877"/>
      <c r="AF308" s="898">
        <f>+Model!AZ583</f>
        <v>3.3889999999999998</v>
      </c>
      <c r="AG308" s="898">
        <f>+Model!BA583</f>
        <v>9.593</v>
      </c>
      <c r="AH308" s="898">
        <f>+Model!BB583</f>
        <v>21.907</v>
      </c>
      <c r="AI308" s="898">
        <f>+Model!BC583</f>
        <v>25.41</v>
      </c>
      <c r="AJ308" s="898">
        <f>+Model!BD583</f>
        <v>28.567</v>
      </c>
      <c r="AK308" s="898">
        <f>+Model!BE583</f>
        <v>24.353000000000002</v>
      </c>
      <c r="AL308" s="898">
        <f>+Model!BF583</f>
        <v>24.927</v>
      </c>
      <c r="AM308" s="898">
        <f>+Model!BG583</f>
        <v>25.963999999999999</v>
      </c>
      <c r="AN308" s="898">
        <f>+Model!BH583</f>
        <v>24.83</v>
      </c>
      <c r="AO308" s="898">
        <f>+Model!BI583</f>
        <v>23.114000000000001</v>
      </c>
      <c r="AP308" s="898">
        <f>+Model!BJ583</f>
        <v>22.827999999999999</v>
      </c>
      <c r="AQ308" s="898">
        <f>+Model!BK583</f>
        <v>24.417000000000002</v>
      </c>
      <c r="AR308" s="898">
        <f>+Model!BL583</f>
        <v>38.11</v>
      </c>
      <c r="AS308" s="898">
        <f>+Model!BM583</f>
        <v>53.63</v>
      </c>
      <c r="AT308" s="898">
        <f>+Model!BN583</f>
        <v>76.159000000000006</v>
      </c>
      <c r="AU308" s="971">
        <f t="shared" si="908"/>
        <v>35.741999999999997</v>
      </c>
    </row>
    <row r="309" spans="1:48" x14ac:dyDescent="0.25">
      <c r="A309" s="936" t="s">
        <v>816</v>
      </c>
      <c r="C309" s="898">
        <f>+Model!AA576</f>
        <v>17.082999999999998</v>
      </c>
      <c r="D309" s="898">
        <f>+Model!AB576</f>
        <v>26.190999999999999</v>
      </c>
      <c r="E309" s="898">
        <f>+Model!AC576</f>
        <v>24.498999999999999</v>
      </c>
      <c r="F309" s="898">
        <f>+Model!AD576</f>
        <v>19.588000000000001</v>
      </c>
      <c r="G309" s="898">
        <f>+Model!AE576</f>
        <v>22.018999999999998</v>
      </c>
      <c r="H309" s="898">
        <f>+Model!AF576</f>
        <v>23.335999999999999</v>
      </c>
      <c r="I309" s="898">
        <f>+Model!AG576</f>
        <v>17.988</v>
      </c>
      <c r="J309" s="957">
        <f>+Model!AH576</f>
        <v>13.304</v>
      </c>
      <c r="K309" s="898">
        <f>+Model!AI576</f>
        <v>14.629</v>
      </c>
      <c r="L309" s="898">
        <f>+Model!AJ576</f>
        <v>21.506</v>
      </c>
      <c r="M309" s="898">
        <f>+Model!AK576</f>
        <v>26.036000000000001</v>
      </c>
      <c r="N309" s="957">
        <f>+Model!AL576</f>
        <v>27.335999999999999</v>
      </c>
      <c r="O309" s="898">
        <f>+Model!AM576</f>
        <v>32.412999999999997</v>
      </c>
      <c r="P309" s="898">
        <f>+Model!AN576</f>
        <v>36.08</v>
      </c>
      <c r="Q309" s="898">
        <f>+Model!AO576</f>
        <v>37.015999999999998</v>
      </c>
      <c r="R309" s="957">
        <f>+Model!AP576</f>
        <v>37.389000000000003</v>
      </c>
      <c r="S309" s="898">
        <f>+Model!AQ576</f>
        <v>43.627000000000002</v>
      </c>
      <c r="T309" s="898">
        <f>+Model!AR576</f>
        <v>44.377000000000002</v>
      </c>
      <c r="U309" s="898">
        <f>+Model!AS576</f>
        <v>40.970999999999997</v>
      </c>
      <c r="V309" s="957">
        <f>+Model!AT576</f>
        <v>35.621000000000002</v>
      </c>
      <c r="W309" s="898">
        <f>+Model!AU576</f>
        <v>35.064999999999998</v>
      </c>
      <c r="X309" s="877">
        <v>33.107999999999997</v>
      </c>
      <c r="Y309" s="877">
        <v>30.991</v>
      </c>
      <c r="Z309" s="877">
        <v>29.146000000000001</v>
      </c>
      <c r="AA309" s="1272">
        <v>39.133000000000003</v>
      </c>
      <c r="AB309" s="877"/>
      <c r="AC309" s="877"/>
      <c r="AD309" s="877"/>
      <c r="AF309" s="898">
        <f>+Model!AZ576</f>
        <v>10.24</v>
      </c>
      <c r="AG309" s="898">
        <f>+Model!BA576</f>
        <v>10.996</v>
      </c>
      <c r="AH309" s="898">
        <f>+Model!BB576</f>
        <v>11.914</v>
      </c>
      <c r="AI309" s="898">
        <f>+Model!BC576</f>
        <v>15.95</v>
      </c>
      <c r="AJ309" s="898">
        <f>+Model!BD576</f>
        <v>19.395</v>
      </c>
      <c r="AK309" s="898">
        <f>+Model!BE576</f>
        <v>20.492000000000001</v>
      </c>
      <c r="AL309" s="898">
        <f>+Model!BF576</f>
        <v>16.635000000000002</v>
      </c>
      <c r="AM309" s="898">
        <f>+Model!BG576</f>
        <v>13.21</v>
      </c>
      <c r="AN309" s="898">
        <f>+Model!BH576</f>
        <v>11.88</v>
      </c>
      <c r="AO309" s="898">
        <f>+Model!BI576</f>
        <v>13.353</v>
      </c>
      <c r="AP309" s="898">
        <f>+Model!BJ576</f>
        <v>19.588000000000001</v>
      </c>
      <c r="AQ309" s="898">
        <f>+Model!BK576</f>
        <v>13.304</v>
      </c>
      <c r="AR309" s="898">
        <f>+Model!BL576</f>
        <v>27.335999999999999</v>
      </c>
      <c r="AS309" s="898">
        <f>+Model!BM576</f>
        <v>37.389000000000003</v>
      </c>
      <c r="AT309" s="898">
        <f>+Model!BN576</f>
        <v>35.621000000000002</v>
      </c>
      <c r="AU309" s="971">
        <f t="shared" si="908"/>
        <v>29.146000000000001</v>
      </c>
    </row>
    <row r="310" spans="1:48" x14ac:dyDescent="0.25">
      <c r="A310" s="936" t="s">
        <v>817</v>
      </c>
      <c r="C310" s="898">
        <f>+Model!AA577</f>
        <v>0</v>
      </c>
      <c r="D310" s="898">
        <f>+Model!AB577</f>
        <v>0</v>
      </c>
      <c r="E310" s="898">
        <f>+Model!AC577</f>
        <v>0</v>
      </c>
      <c r="F310" s="898">
        <f>+Model!AD577</f>
        <v>0</v>
      </c>
      <c r="G310" s="898">
        <f>+Model!AE577</f>
        <v>8.3710000000000004</v>
      </c>
      <c r="H310" s="898">
        <f>+Model!AF577</f>
        <v>8.4960000000000004</v>
      </c>
      <c r="I310" s="898">
        <f>+Model!AG577</f>
        <v>20.440999999999999</v>
      </c>
      <c r="J310" s="957">
        <f>+Model!AH577</f>
        <v>20.689</v>
      </c>
      <c r="K310" s="898">
        <f>+Model!AI577</f>
        <v>20.655000000000001</v>
      </c>
      <c r="L310" s="898">
        <f>+Model!AJ577</f>
        <v>21.204000000000001</v>
      </c>
      <c r="M310" s="898">
        <f>+Model!AK577</f>
        <v>21.259</v>
      </c>
      <c r="N310" s="957">
        <f>+Model!AL577</f>
        <v>20.649000000000001</v>
      </c>
      <c r="O310" s="898">
        <f>+Model!AM577</f>
        <v>17.023</v>
      </c>
      <c r="P310" s="898">
        <f>+Model!AN577</f>
        <v>15.233000000000001</v>
      </c>
      <c r="Q310" s="898">
        <f>+Model!AO577</f>
        <v>13.79</v>
      </c>
      <c r="R310" s="957">
        <f>+Model!AP577</f>
        <v>12.83</v>
      </c>
      <c r="S310" s="898">
        <f>+Model!AQ577</f>
        <v>13.356</v>
      </c>
      <c r="T310" s="898">
        <f>+Model!AR577</f>
        <v>13.281000000000001</v>
      </c>
      <c r="U310" s="898">
        <f>+Model!AS577</f>
        <v>14.176</v>
      </c>
      <c r="V310" s="957">
        <f>+Model!AT577</f>
        <v>14.449</v>
      </c>
      <c r="W310" s="898">
        <f>+Model!AU577</f>
        <v>14.717000000000001</v>
      </c>
      <c r="X310" s="877">
        <v>12.827999999999999</v>
      </c>
      <c r="Y310" s="877">
        <v>12.853</v>
      </c>
      <c r="Z310" s="877">
        <v>12.747999999999999</v>
      </c>
      <c r="AA310" s="1272">
        <v>12.635999999999999</v>
      </c>
      <c r="AB310" s="877"/>
      <c r="AC310" s="877"/>
      <c r="AD310" s="877"/>
      <c r="AF310" s="898">
        <f>+Model!AZ577</f>
        <v>0</v>
      </c>
      <c r="AG310" s="898">
        <f>+Model!BA577</f>
        <v>0</v>
      </c>
      <c r="AH310" s="898">
        <f>+Model!BB577</f>
        <v>0</v>
      </c>
      <c r="AI310" s="898">
        <f>+Model!BC577</f>
        <v>0</v>
      </c>
      <c r="AJ310" s="898">
        <f>+Model!BD577</f>
        <v>0</v>
      </c>
      <c r="AK310" s="898">
        <f>+Model!BE577</f>
        <v>0</v>
      </c>
      <c r="AL310" s="898">
        <f>+Model!BF577</f>
        <v>0</v>
      </c>
      <c r="AM310" s="898">
        <f>+Model!BG577</f>
        <v>0</v>
      </c>
      <c r="AN310" s="898">
        <f>+Model!BH577</f>
        <v>0</v>
      </c>
      <c r="AO310" s="898">
        <f>+Model!BI577</f>
        <v>0</v>
      </c>
      <c r="AP310" s="898">
        <f>+Model!BJ577</f>
        <v>0</v>
      </c>
      <c r="AQ310" s="898">
        <f>+Model!BK577</f>
        <v>20.689</v>
      </c>
      <c r="AR310" s="898">
        <f>+Model!BL577</f>
        <v>20.649000000000001</v>
      </c>
      <c r="AS310" s="898">
        <f>+Model!BM577</f>
        <v>12.83</v>
      </c>
      <c r="AT310" s="898">
        <f>+Model!BN577</f>
        <v>14.449</v>
      </c>
      <c r="AU310" s="971">
        <f t="shared" si="908"/>
        <v>12.747999999999999</v>
      </c>
    </row>
    <row r="311" spans="1:48" x14ac:dyDescent="0.25">
      <c r="A311" s="936" t="s">
        <v>831</v>
      </c>
      <c r="C311" s="898">
        <f>+Model!AA578</f>
        <v>0</v>
      </c>
      <c r="D311" s="898">
        <f>+Model!AB578</f>
        <v>0</v>
      </c>
      <c r="E311" s="898">
        <f>+Model!AC578</f>
        <v>0</v>
      </c>
      <c r="F311" s="898">
        <f>+Model!AD578</f>
        <v>0</v>
      </c>
      <c r="G311" s="898">
        <f>+Model!AE578</f>
        <v>0</v>
      </c>
      <c r="H311" s="898">
        <f>+Model!AF578</f>
        <v>0</v>
      </c>
      <c r="I311" s="898">
        <f>+Model!AG578</f>
        <v>0</v>
      </c>
      <c r="J311" s="957">
        <f>+Model!AH578</f>
        <v>0</v>
      </c>
      <c r="K311" s="898">
        <f>+Model!AI578</f>
        <v>0</v>
      </c>
      <c r="L311" s="898">
        <f>+Model!AJ578</f>
        <v>0</v>
      </c>
      <c r="M311" s="898">
        <f>+Model!AK578</f>
        <v>0</v>
      </c>
      <c r="N311" s="957">
        <f>+Model!AL578</f>
        <v>0</v>
      </c>
      <c r="O311" s="898">
        <f>+Model!AM578</f>
        <v>0</v>
      </c>
      <c r="P311" s="898">
        <f>+Model!AN578</f>
        <v>0</v>
      </c>
      <c r="Q311" s="898">
        <f>+Model!AO578</f>
        <v>0</v>
      </c>
      <c r="R311" s="957">
        <f>+Model!AP578</f>
        <v>0</v>
      </c>
      <c r="S311" s="898">
        <f>+Model!AQ578</f>
        <v>0</v>
      </c>
      <c r="T311" s="898">
        <f>+Model!AR578</f>
        <v>0</v>
      </c>
      <c r="U311" s="898">
        <f>+Model!AS578</f>
        <v>0</v>
      </c>
      <c r="V311" s="957">
        <f>+Model!AT578</f>
        <v>0</v>
      </c>
      <c r="W311" s="898">
        <f>+Model!AU578</f>
        <v>0</v>
      </c>
      <c r="X311" s="877">
        <v>0</v>
      </c>
      <c r="Y311" s="877">
        <v>0</v>
      </c>
      <c r="Z311" s="877">
        <v>0</v>
      </c>
      <c r="AA311" s="1272">
        <v>0</v>
      </c>
      <c r="AB311" s="877"/>
      <c r="AC311" s="877"/>
      <c r="AD311" s="877"/>
      <c r="AF311" s="898">
        <f>+Model!AZ578</f>
        <v>1.034</v>
      </c>
      <c r="AG311" s="898">
        <f>+Model!BA578</f>
        <v>1.2509999999999999</v>
      </c>
      <c r="AH311" s="898">
        <f>+Model!BB578</f>
        <v>1.4430000000000001</v>
      </c>
      <c r="AI311" s="898">
        <f>+Model!BC578</f>
        <v>1.145</v>
      </c>
      <c r="AJ311" s="898">
        <f>+Model!BD578</f>
        <v>0.39</v>
      </c>
      <c r="AK311" s="898">
        <f>+Model!BE578</f>
        <v>0</v>
      </c>
      <c r="AL311" s="898">
        <f>+Model!BF578</f>
        <v>0</v>
      </c>
      <c r="AM311" s="898">
        <f>+Model!BG578</f>
        <v>0</v>
      </c>
      <c r="AN311" s="898">
        <f>+Model!BH578</f>
        <v>0</v>
      </c>
      <c r="AO311" s="898">
        <f>+Model!BI578</f>
        <v>0</v>
      </c>
      <c r="AP311" s="898">
        <f>+Model!BJ578</f>
        <v>0</v>
      </c>
      <c r="AQ311" s="898">
        <f>+Model!BK578</f>
        <v>0</v>
      </c>
      <c r="AR311" s="898">
        <f>+Model!BL578</f>
        <v>0</v>
      </c>
      <c r="AS311" s="898">
        <f>+Model!BM578</f>
        <v>0</v>
      </c>
      <c r="AT311" s="898">
        <f>+Model!BN578</f>
        <v>0</v>
      </c>
      <c r="AU311" s="971">
        <f t="shared" si="908"/>
        <v>0</v>
      </c>
    </row>
    <row r="312" spans="1:48" s="879" customFormat="1" ht="14" x14ac:dyDescent="0.4">
      <c r="A312" s="876" t="s">
        <v>832</v>
      </c>
      <c r="C312" s="880">
        <f>+Model!AA579</f>
        <v>0</v>
      </c>
      <c r="D312" s="880">
        <f>+Model!AB579</f>
        <v>0</v>
      </c>
      <c r="E312" s="880">
        <f>+Model!AC579</f>
        <v>0</v>
      </c>
      <c r="F312" s="880">
        <f>+Model!AD579</f>
        <v>0</v>
      </c>
      <c r="G312" s="880">
        <f>+Model!AE579</f>
        <v>0</v>
      </c>
      <c r="H312" s="880">
        <f>+Model!AF579</f>
        <v>0</v>
      </c>
      <c r="I312" s="880">
        <f>+Model!AG579</f>
        <v>100</v>
      </c>
      <c r="J312" s="956">
        <f>+Model!AH579</f>
        <v>100</v>
      </c>
      <c r="K312" s="880">
        <f>+Model!AI579</f>
        <v>0</v>
      </c>
      <c r="L312" s="880">
        <f>+Model!AJ579</f>
        <v>0</v>
      </c>
      <c r="M312" s="880">
        <f>+Model!AK579</f>
        <v>0</v>
      </c>
      <c r="N312" s="956">
        <f>+Model!AL579</f>
        <v>0</v>
      </c>
      <c r="O312" s="880">
        <f>+Model!AM579</f>
        <v>0</v>
      </c>
      <c r="P312" s="880">
        <f>+Model!AN579</f>
        <v>0</v>
      </c>
      <c r="Q312" s="880">
        <f>+Model!AO579</f>
        <v>0</v>
      </c>
      <c r="R312" s="956">
        <f>+Model!AP579</f>
        <v>0</v>
      </c>
      <c r="S312" s="880">
        <f>+Model!AQ579</f>
        <v>0</v>
      </c>
      <c r="T312" s="880">
        <f>+Model!AR579</f>
        <v>0</v>
      </c>
      <c r="U312" s="880">
        <f>+Model!AS579</f>
        <v>0</v>
      </c>
      <c r="V312" s="956">
        <f>+Model!AT579</f>
        <v>0</v>
      </c>
      <c r="W312" s="880">
        <f>+Model!AU579</f>
        <v>0</v>
      </c>
      <c r="X312" s="880">
        <v>0</v>
      </c>
      <c r="Y312" s="880">
        <v>0</v>
      </c>
      <c r="Z312" s="880">
        <v>0</v>
      </c>
      <c r="AA312" s="1273">
        <v>0</v>
      </c>
      <c r="AB312" s="880"/>
      <c r="AC312" s="880"/>
      <c r="AD312" s="880"/>
      <c r="AE312" s="880"/>
      <c r="AF312" s="880">
        <f>+Model!AZ579</f>
        <v>0</v>
      </c>
      <c r="AG312" s="880">
        <f>+Model!BA579</f>
        <v>0</v>
      </c>
      <c r="AH312" s="880">
        <f>+Model!BB579</f>
        <v>0</v>
      </c>
      <c r="AI312" s="880">
        <f>+Model!BC579</f>
        <v>0</v>
      </c>
      <c r="AJ312" s="880">
        <f>+Model!BD579</f>
        <v>0</v>
      </c>
      <c r="AK312" s="880">
        <f>+Model!BE579</f>
        <v>0</v>
      </c>
      <c r="AL312" s="880">
        <f>+Model!BF579</f>
        <v>0</v>
      </c>
      <c r="AM312" s="880">
        <f>+Model!BG579</f>
        <v>0</v>
      </c>
      <c r="AN312" s="880">
        <f>+Model!BH579</f>
        <v>0</v>
      </c>
      <c r="AO312" s="880">
        <f>+Model!BI579</f>
        <v>0</v>
      </c>
      <c r="AP312" s="880">
        <f>+Model!BJ579</f>
        <v>0</v>
      </c>
      <c r="AQ312" s="880">
        <f>+Model!BK579</f>
        <v>100</v>
      </c>
      <c r="AR312" s="880">
        <f>+Model!BL579</f>
        <v>0</v>
      </c>
      <c r="AS312" s="880">
        <f>+Model!BM579</f>
        <v>0</v>
      </c>
      <c r="AT312" s="880">
        <f>+Model!BN579</f>
        <v>0</v>
      </c>
      <c r="AU312" s="970">
        <f t="shared" si="908"/>
        <v>0</v>
      </c>
      <c r="AV312" s="895"/>
    </row>
    <row r="313" spans="1:48" s="876" customFormat="1" x14ac:dyDescent="0.25">
      <c r="A313" s="882" t="s">
        <v>210</v>
      </c>
      <c r="C313" s="877">
        <f t="shared" ref="C313" si="963">+SUM(C305:C312)</f>
        <v>158.32399999999998</v>
      </c>
      <c r="D313" s="877">
        <f t="shared" ref="D313" si="964">+SUM(D305:D312)</f>
        <v>140.86599999999999</v>
      </c>
      <c r="E313" s="877">
        <f t="shared" ref="E313" si="965">+SUM(E305:E312)</f>
        <v>148.78899999999999</v>
      </c>
      <c r="F313" s="877">
        <f t="shared" ref="F313" si="966">+SUM(F305:F312)</f>
        <v>155.58699999999999</v>
      </c>
      <c r="G313" s="877">
        <f t="shared" ref="G313" si="967">+SUM(G305:G312)</f>
        <v>139.702</v>
      </c>
      <c r="H313" s="877">
        <f t="shared" ref="H313" si="968">+SUM(H305:H312)</f>
        <v>133.67000000000002</v>
      </c>
      <c r="I313" s="877">
        <f t="shared" ref="I313" si="969">+SUM(I305:I312)</f>
        <v>257.61900000000003</v>
      </c>
      <c r="J313" s="954">
        <f t="shared" ref="J313" si="970">+SUM(J305:J312)</f>
        <v>273.416</v>
      </c>
      <c r="K313" s="877">
        <f t="shared" ref="K313" si="971">+SUM(K305:K312)</f>
        <v>235.99399999999997</v>
      </c>
      <c r="L313" s="877">
        <f t="shared" ref="L313" si="972">+SUM(L305:L312)</f>
        <v>228.61099999999999</v>
      </c>
      <c r="M313" s="877">
        <f t="shared" ref="M313" si="973">+SUM(M305:M312)</f>
        <v>254.80200000000002</v>
      </c>
      <c r="N313" s="954">
        <f t="shared" ref="N313" si="974">+SUM(N305:N312)</f>
        <v>306.24400000000003</v>
      </c>
      <c r="O313" s="877">
        <f t="shared" ref="O313" si="975">+SUM(O305:O312)</f>
        <v>284.63400000000001</v>
      </c>
      <c r="P313" s="877">
        <f t="shared" ref="P313" si="976">+SUM(P305:P312)</f>
        <v>238.19799999999998</v>
      </c>
      <c r="Q313" s="877">
        <f t="shared" ref="Q313" si="977">+SUM(Q305:Q312)</f>
        <v>250.179</v>
      </c>
      <c r="R313" s="954">
        <f t="shared" ref="R313" si="978">+SUM(R305:R312)</f>
        <v>302.07299999999998</v>
      </c>
      <c r="S313" s="877">
        <f t="shared" ref="S313" si="979">+SUM(S305:S312)</f>
        <v>289.245</v>
      </c>
      <c r="T313" s="877">
        <f t="shared" ref="T313" si="980">+SUM(T305:T312)</f>
        <v>249.25800000000001</v>
      </c>
      <c r="U313" s="877">
        <f t="shared" ref="U313" si="981">+SUM(U305:U312)</f>
        <v>284.24700000000001</v>
      </c>
      <c r="V313" s="954">
        <f t="shared" ref="V313" si="982">+SUM(V305:V312)</f>
        <v>309.13499999999999</v>
      </c>
      <c r="W313" s="877">
        <f t="shared" ref="W313:AA313" si="983">+SUM(W305:W312)</f>
        <v>299.13599999999997</v>
      </c>
      <c r="X313" s="877">
        <f t="shared" si="983"/>
        <v>240.90200000000002</v>
      </c>
      <c r="Y313" s="877">
        <f t="shared" si="983"/>
        <v>281.96100000000001</v>
      </c>
      <c r="Z313" s="877">
        <f t="shared" si="983"/>
        <v>244.27999999999997</v>
      </c>
      <c r="AA313" s="1272">
        <f t="shared" si="983"/>
        <v>230.65500000000003</v>
      </c>
      <c r="AB313" s="877"/>
      <c r="AC313" s="877"/>
      <c r="AD313" s="877"/>
      <c r="AE313" s="877"/>
      <c r="AF313" s="877">
        <f t="shared" ref="AF313" si="984">+SUM(AF305:AF312)</f>
        <v>41.149000000000001</v>
      </c>
      <c r="AG313" s="877">
        <f t="shared" ref="AG313" si="985">+SUM(AG305:AG312)</f>
        <v>53.933999999999997</v>
      </c>
      <c r="AH313" s="877">
        <f t="shared" ref="AH313" si="986">+SUM(AH305:AH312)</f>
        <v>83.652000000000001</v>
      </c>
      <c r="AI313" s="877">
        <f t="shared" ref="AI313" si="987">+SUM(AI305:AI312)</f>
        <v>97.613</v>
      </c>
      <c r="AJ313" s="877">
        <f t="shared" ref="AJ313" si="988">+SUM(AJ305:AJ312)</f>
        <v>109.187</v>
      </c>
      <c r="AK313" s="877">
        <f t="shared" ref="AK313:AS313" si="989">+SUM(AK305:AK312)</f>
        <v>113.76</v>
      </c>
      <c r="AL313" s="877">
        <f t="shared" si="989"/>
        <v>110.657</v>
      </c>
      <c r="AM313" s="877">
        <f t="shared" si="989"/>
        <v>123.012</v>
      </c>
      <c r="AN313" s="877">
        <f t="shared" si="989"/>
        <v>117.75099999999999</v>
      </c>
      <c r="AO313" s="877">
        <f t="shared" si="989"/>
        <v>116.224</v>
      </c>
      <c r="AP313" s="877">
        <f t="shared" si="989"/>
        <v>155.58699999999999</v>
      </c>
      <c r="AQ313" s="877">
        <f t="shared" si="989"/>
        <v>273.416</v>
      </c>
      <c r="AR313" s="877">
        <f t="shared" si="989"/>
        <v>306.24400000000003</v>
      </c>
      <c r="AS313" s="877">
        <f t="shared" si="989"/>
        <v>302.07299999999998</v>
      </c>
      <c r="AT313" s="877">
        <f>+SUM(AT305:AT312)</f>
        <v>309.13499999999999</v>
      </c>
      <c r="AU313" s="968">
        <f t="shared" si="908"/>
        <v>244.27999999999997</v>
      </c>
      <c r="AV313" s="894"/>
    </row>
    <row r="314" spans="1:48" x14ac:dyDescent="0.25">
      <c r="A314" s="936" t="s">
        <v>818</v>
      </c>
      <c r="C314" s="898">
        <f>+Model!AA587</f>
        <v>20.609000000000002</v>
      </c>
      <c r="D314" s="898">
        <f>+Model!AB587</f>
        <v>8.56</v>
      </c>
      <c r="E314" s="898">
        <f>+Model!AC587</f>
        <v>6.6980000000000004</v>
      </c>
      <c r="F314" s="898">
        <f>+Model!AD587</f>
        <v>5.0599999999999996</v>
      </c>
      <c r="G314" s="898">
        <f>+Model!AE587</f>
        <v>3.4950000000000001</v>
      </c>
      <c r="H314" s="898">
        <f>+Model!AF587</f>
        <v>2.1459999999999999</v>
      </c>
      <c r="I314" s="898">
        <f>+Model!AG587</f>
        <v>5.2649999999999997</v>
      </c>
      <c r="J314" s="957">
        <f>+Model!AH587</f>
        <v>4.6340000000000003</v>
      </c>
      <c r="K314" s="898">
        <f>+Model!AI587</f>
        <v>18.155999999999999</v>
      </c>
      <c r="L314" s="898">
        <f>+Model!AJ587</f>
        <v>37.795999999999999</v>
      </c>
      <c r="M314" s="898">
        <f>+Model!AK587</f>
        <v>43.116999999999997</v>
      </c>
      <c r="N314" s="957">
        <f>+Model!AL587</f>
        <v>41.567999999999998</v>
      </c>
      <c r="O314" s="898">
        <f>+Model!AM587</f>
        <v>46.747</v>
      </c>
      <c r="P314" s="898">
        <f>+Model!AN587</f>
        <v>44.612000000000002</v>
      </c>
      <c r="Q314" s="898">
        <f>+Model!AO587</f>
        <v>37.566000000000003</v>
      </c>
      <c r="R314" s="957">
        <f>+Model!AP587</f>
        <v>28.888000000000002</v>
      </c>
      <c r="S314" s="898">
        <f>+Model!AQ587</f>
        <v>34.401000000000003</v>
      </c>
      <c r="T314" s="898">
        <f>+Model!AR587</f>
        <v>28.925000000000001</v>
      </c>
      <c r="U314" s="898">
        <f>+Model!AS587</f>
        <v>26.059000000000001</v>
      </c>
      <c r="V314" s="957">
        <f>+Model!AT587</f>
        <v>21.277999999999999</v>
      </c>
      <c r="W314" s="898">
        <f>+Model!AU587</f>
        <v>29.640999999999998</v>
      </c>
      <c r="X314" s="877">
        <v>30.623000000000001</v>
      </c>
      <c r="Y314" s="877">
        <v>29.92</v>
      </c>
      <c r="Z314" s="877">
        <v>26.452000000000002</v>
      </c>
      <c r="AA314" s="1272">
        <v>50.994</v>
      </c>
      <c r="AB314" s="877"/>
      <c r="AC314" s="877"/>
      <c r="AD314" s="877"/>
      <c r="AF314" s="898">
        <f>+Model!AZ587</f>
        <v>9.2219999999999995</v>
      </c>
      <c r="AG314" s="898">
        <f>+Model!BA587</f>
        <v>7.71</v>
      </c>
      <c r="AH314" s="898">
        <f>+Model!BB587</f>
        <v>8.5519999999999996</v>
      </c>
      <c r="AI314" s="898">
        <f>+Model!BC587</f>
        <v>15.124000000000001</v>
      </c>
      <c r="AJ314" s="898">
        <f>+Model!BD587</f>
        <v>16.106999999999999</v>
      </c>
      <c r="AK314" s="898">
        <f>+Model!BE587</f>
        <v>16.446999999999999</v>
      </c>
      <c r="AL314" s="898">
        <f>+Model!BF587</f>
        <v>13.022</v>
      </c>
      <c r="AM314" s="898">
        <f>+Model!BG587</f>
        <v>9.9220000000000006</v>
      </c>
      <c r="AN314" s="898">
        <f>+Model!BH587</f>
        <v>10.025</v>
      </c>
      <c r="AO314" s="898">
        <f>+Model!BI587</f>
        <v>12.664999999999999</v>
      </c>
      <c r="AP314" s="898">
        <f>+Model!BJ587</f>
        <v>5.0599999999999996</v>
      </c>
      <c r="AQ314" s="898">
        <f>+Model!BK587</f>
        <v>4.6340000000000003</v>
      </c>
      <c r="AR314" s="898">
        <f>+Model!BL587</f>
        <v>41.567999999999998</v>
      </c>
      <c r="AS314" s="898">
        <f>+Model!BM587</f>
        <v>28.888000000000002</v>
      </c>
      <c r="AT314" s="898">
        <f>+Model!BN587</f>
        <v>21.277999999999999</v>
      </c>
      <c r="AU314" s="971">
        <f t="shared" si="908"/>
        <v>26.452000000000002</v>
      </c>
    </row>
    <row r="315" spans="1:48" x14ac:dyDescent="0.25">
      <c r="A315" s="936" t="s">
        <v>819</v>
      </c>
      <c r="C315" s="898">
        <f>+Model!AA588</f>
        <v>0</v>
      </c>
      <c r="D315" s="898">
        <f>+Model!AB588</f>
        <v>0</v>
      </c>
      <c r="E315" s="898">
        <f>+Model!AC588</f>
        <v>0</v>
      </c>
      <c r="F315" s="898">
        <f>+Model!AD588</f>
        <v>0</v>
      </c>
      <c r="G315" s="898">
        <f>+Model!AE588</f>
        <v>17.047999999999998</v>
      </c>
      <c r="H315" s="898">
        <f>+Model!AF588</f>
        <v>14.906000000000001</v>
      </c>
      <c r="I315" s="898">
        <f>+Model!AG588</f>
        <v>100.803</v>
      </c>
      <c r="J315" s="957">
        <f>+Model!AH588</f>
        <v>96.543999999999997</v>
      </c>
      <c r="K315" s="898">
        <f>+Model!AI588</f>
        <v>91.623999999999995</v>
      </c>
      <c r="L315" s="898">
        <f>+Model!AJ588</f>
        <v>86.977000000000004</v>
      </c>
      <c r="M315" s="898">
        <f>+Model!AK588</f>
        <v>82.6</v>
      </c>
      <c r="N315" s="957">
        <f>+Model!AL588</f>
        <v>77.457999999999998</v>
      </c>
      <c r="O315" s="898">
        <f>+Model!AM588</f>
        <v>82.567999999999998</v>
      </c>
      <c r="P315" s="898">
        <f>+Model!AN588</f>
        <v>79.02</v>
      </c>
      <c r="Q315" s="898">
        <f>+Model!AO588</f>
        <v>76.341999999999999</v>
      </c>
      <c r="R315" s="957">
        <f>+Model!AP588</f>
        <v>75.126999999999995</v>
      </c>
      <c r="S315" s="898">
        <f>+Model!AQ588</f>
        <v>69.113</v>
      </c>
      <c r="T315" s="898">
        <f>+Model!AR588</f>
        <v>65.826999999999998</v>
      </c>
      <c r="U315" s="898">
        <f>+Model!AS588</f>
        <v>62.295000000000002</v>
      </c>
      <c r="V315" s="957">
        <f>+Model!AT588</f>
        <v>59.424999999999997</v>
      </c>
      <c r="W315" s="898">
        <f>+Model!AU588</f>
        <v>54.991</v>
      </c>
      <c r="X315" s="877">
        <v>51.552</v>
      </c>
      <c r="Y315" s="877">
        <v>48.417999999999999</v>
      </c>
      <c r="Z315" s="877">
        <v>45.192</v>
      </c>
      <c r="AA315" s="1272">
        <v>42.326000000000001</v>
      </c>
      <c r="AB315" s="877"/>
      <c r="AC315" s="877"/>
      <c r="AD315" s="877"/>
      <c r="AF315" s="898">
        <f>+Model!AZ588</f>
        <v>0</v>
      </c>
      <c r="AG315" s="898">
        <f>+Model!BA588</f>
        <v>0</v>
      </c>
      <c r="AH315" s="898">
        <f>+Model!BB588</f>
        <v>0</v>
      </c>
      <c r="AI315" s="898">
        <f>+Model!BC588</f>
        <v>0</v>
      </c>
      <c r="AJ315" s="898">
        <f>+Model!BD588</f>
        <v>0</v>
      </c>
      <c r="AK315" s="898">
        <f>+Model!BE588</f>
        <v>0</v>
      </c>
      <c r="AL315" s="898">
        <f>+Model!BF588</f>
        <v>0</v>
      </c>
      <c r="AM315" s="898">
        <f>+Model!BG588</f>
        <v>0</v>
      </c>
      <c r="AN315" s="898">
        <f>+Model!BH588</f>
        <v>0</v>
      </c>
      <c r="AO315" s="898">
        <f>+Model!BI588</f>
        <v>0</v>
      </c>
      <c r="AP315" s="898">
        <f>+Model!BJ588</f>
        <v>0</v>
      </c>
      <c r="AQ315" s="898">
        <f>+Model!BK588</f>
        <v>96.543999999999997</v>
      </c>
      <c r="AR315" s="898">
        <f>+Model!BL588</f>
        <v>77.457999999999998</v>
      </c>
      <c r="AS315" s="898">
        <f>+Model!BM588</f>
        <v>75.126999999999995</v>
      </c>
      <c r="AT315" s="898">
        <f>+Model!BN588</f>
        <v>59.424999999999997</v>
      </c>
      <c r="AU315" s="971">
        <f t="shared" si="908"/>
        <v>45.192</v>
      </c>
    </row>
    <row r="316" spans="1:48" x14ac:dyDescent="0.25">
      <c r="A316" s="936" t="s">
        <v>820</v>
      </c>
      <c r="C316" s="898">
        <f>+Model!AA589</f>
        <v>0</v>
      </c>
      <c r="D316" s="898">
        <f>+Model!AB589</f>
        <v>0</v>
      </c>
      <c r="E316" s="898">
        <f>+Model!AC589</f>
        <v>0</v>
      </c>
      <c r="F316" s="898">
        <f>+Model!AD589</f>
        <v>0</v>
      </c>
      <c r="G316" s="898">
        <f>+Model!AE589</f>
        <v>0</v>
      </c>
      <c r="H316" s="898">
        <f>+Model!AF589</f>
        <v>0</v>
      </c>
      <c r="I316" s="898">
        <f>+Model!AG589</f>
        <v>0</v>
      </c>
      <c r="J316" s="957">
        <f>+Model!AH589</f>
        <v>0</v>
      </c>
      <c r="K316" s="898">
        <f>+Model!AI589</f>
        <v>287.81099999999998</v>
      </c>
      <c r="L316" s="898">
        <f>+Model!AJ589</f>
        <v>291.62400000000002</v>
      </c>
      <c r="M316" s="898">
        <f>+Model!AK589</f>
        <v>295.38799999999998</v>
      </c>
      <c r="N316" s="957">
        <f>+Model!AL589</f>
        <v>299.27100000000002</v>
      </c>
      <c r="O316" s="898">
        <f>+Model!AM589</f>
        <v>410.26900000000001</v>
      </c>
      <c r="P316" s="898">
        <f>+Model!AN589</f>
        <v>410.67399999999998</v>
      </c>
      <c r="Q316" s="898">
        <f>+Model!AO589</f>
        <v>411.04700000000003</v>
      </c>
      <c r="R316" s="957">
        <f>+Model!AP589</f>
        <v>411.43799999999999</v>
      </c>
      <c r="S316" s="898">
        <f>+Model!AQ589</f>
        <v>411.84800000000001</v>
      </c>
      <c r="T316" s="898">
        <f>+Model!AR589</f>
        <v>412.26</v>
      </c>
      <c r="U316" s="898">
        <f>+Model!AS589</f>
        <v>412.63799999999998</v>
      </c>
      <c r="V316" s="957">
        <f>+Model!AT589</f>
        <v>413.03500000000003</v>
      </c>
      <c r="W316" s="898">
        <f>+Model!AU589</f>
        <v>413.452</v>
      </c>
      <c r="X316" s="877">
        <v>413.86900000000003</v>
      </c>
      <c r="Y316" s="877">
        <v>414.27100000000002</v>
      </c>
      <c r="Z316" s="877">
        <v>414.67500000000001</v>
      </c>
      <c r="AA316" s="1272">
        <v>415.09800000000001</v>
      </c>
      <c r="AB316" s="877"/>
      <c r="AC316" s="877"/>
      <c r="AD316" s="877"/>
      <c r="AF316" s="898">
        <f>+Model!AZ589</f>
        <v>0</v>
      </c>
      <c r="AG316" s="898">
        <f>+Model!BA589</f>
        <v>0</v>
      </c>
      <c r="AH316" s="898">
        <f>+Model!BB589</f>
        <v>0</v>
      </c>
      <c r="AI316" s="898">
        <f>+Model!BC589</f>
        <v>0</v>
      </c>
      <c r="AJ316" s="898">
        <f>+Model!BD589</f>
        <v>0</v>
      </c>
      <c r="AK316" s="898">
        <f>+Model!BE589</f>
        <v>0</v>
      </c>
      <c r="AL316" s="898">
        <f>+Model!BF589</f>
        <v>0</v>
      </c>
      <c r="AM316" s="898">
        <f>+Model!BG589</f>
        <v>0</v>
      </c>
      <c r="AN316" s="898">
        <f>+Model!BH589</f>
        <v>0</v>
      </c>
      <c r="AO316" s="898">
        <f>+Model!BI589</f>
        <v>0</v>
      </c>
      <c r="AP316" s="898">
        <f>+Model!BJ589</f>
        <v>0</v>
      </c>
      <c r="AQ316" s="898">
        <f>+Model!BK589</f>
        <v>0</v>
      </c>
      <c r="AR316" s="898">
        <f>+Model!BL589</f>
        <v>299.27100000000002</v>
      </c>
      <c r="AS316" s="898">
        <f>+Model!BM589</f>
        <v>411.43799999999999</v>
      </c>
      <c r="AT316" s="898">
        <f>+Model!BN589</f>
        <v>413.03500000000003</v>
      </c>
      <c r="AU316" s="971">
        <f t="shared" si="908"/>
        <v>414.67500000000001</v>
      </c>
    </row>
    <row r="317" spans="1:48" x14ac:dyDescent="0.25">
      <c r="A317" s="936" t="s">
        <v>833</v>
      </c>
      <c r="C317" s="898">
        <f>+Model!AA590</f>
        <v>3.0150000000000001</v>
      </c>
      <c r="D317" s="898">
        <f>+Model!AB590</f>
        <v>2.766</v>
      </c>
      <c r="E317" s="898">
        <f>+Model!AC590</f>
        <v>2.524</v>
      </c>
      <c r="F317" s="898">
        <f>+Model!AD590</f>
        <v>2.2690000000000001</v>
      </c>
      <c r="G317" s="898">
        <f>+Model!AE590</f>
        <v>0</v>
      </c>
      <c r="H317" s="898">
        <f>+Model!AF590</f>
        <v>0</v>
      </c>
      <c r="I317" s="898">
        <f>+Model!AG590</f>
        <v>0</v>
      </c>
      <c r="J317" s="957">
        <f>+Model!AH590</f>
        <v>0</v>
      </c>
      <c r="K317" s="898">
        <f>+Model!AI590</f>
        <v>0</v>
      </c>
      <c r="L317" s="898">
        <f>+Model!AJ590</f>
        <v>0</v>
      </c>
      <c r="M317" s="898">
        <f>+Model!AK590</f>
        <v>0</v>
      </c>
      <c r="N317" s="957">
        <f>+Model!AL590</f>
        <v>0</v>
      </c>
      <c r="O317" s="898">
        <f>+Model!AM590</f>
        <v>0</v>
      </c>
      <c r="P317" s="898">
        <f>+Model!AN590</f>
        <v>0</v>
      </c>
      <c r="Q317" s="898">
        <f>+Model!AO590</f>
        <v>0</v>
      </c>
      <c r="R317" s="957">
        <f>+Model!AP590</f>
        <v>0</v>
      </c>
      <c r="S317" s="898">
        <f>+Model!AQ590</f>
        <v>0</v>
      </c>
      <c r="T317" s="898">
        <f>+Model!AR590</f>
        <v>0</v>
      </c>
      <c r="U317" s="898">
        <f>+Model!AS590</f>
        <v>0</v>
      </c>
      <c r="V317" s="957">
        <f>+Model!AT590</f>
        <v>0</v>
      </c>
      <c r="W317" s="898">
        <f>+Model!AU590</f>
        <v>0</v>
      </c>
      <c r="X317" s="877">
        <v>0</v>
      </c>
      <c r="Y317" s="877">
        <v>0</v>
      </c>
      <c r="Z317" s="877">
        <v>0</v>
      </c>
      <c r="AA317" s="1272">
        <v>0</v>
      </c>
      <c r="AB317" s="877"/>
      <c r="AC317" s="877"/>
      <c r="AD317" s="877"/>
      <c r="AF317" s="898">
        <f>+Model!AZ590</f>
        <v>1.6990000000000001</v>
      </c>
      <c r="AG317" s="898">
        <f>+Model!BA590</f>
        <v>1.782</v>
      </c>
      <c r="AH317" s="898">
        <f>+Model!BB590</f>
        <v>4.6980000000000004</v>
      </c>
      <c r="AI317" s="898">
        <f>+Model!BC590</f>
        <v>6.9740000000000002</v>
      </c>
      <c r="AJ317" s="898">
        <f>+Model!BD590</f>
        <v>8.8330000000000002</v>
      </c>
      <c r="AK317" s="898">
        <f>+Model!BE590</f>
        <v>8.4879999999999995</v>
      </c>
      <c r="AL317" s="898">
        <f>+Model!BF590</f>
        <v>7.6920000000000002</v>
      </c>
      <c r="AM317" s="898">
        <f>+Model!BG590</f>
        <v>6.6609999999999996</v>
      </c>
      <c r="AN317" s="898">
        <f>+Model!BH590</f>
        <v>4.157</v>
      </c>
      <c r="AO317" s="898">
        <f>+Model!BI590</f>
        <v>3.27</v>
      </c>
      <c r="AP317" s="898">
        <f>+Model!BJ590</f>
        <v>2.2690000000000001</v>
      </c>
      <c r="AQ317" s="898">
        <f>+Model!BK590</f>
        <v>0</v>
      </c>
      <c r="AR317" s="898">
        <f>+Model!BL590</f>
        <v>0</v>
      </c>
      <c r="AS317" s="898">
        <f>+Model!BM590</f>
        <v>0</v>
      </c>
      <c r="AT317" s="898">
        <f>+Model!BN590</f>
        <v>0</v>
      </c>
      <c r="AU317" s="971">
        <f t="shared" si="908"/>
        <v>0</v>
      </c>
    </row>
    <row r="318" spans="1:48" x14ac:dyDescent="0.25">
      <c r="A318" s="936" t="s">
        <v>821</v>
      </c>
      <c r="C318" s="898">
        <f>+Model!AA591</f>
        <v>17.878</v>
      </c>
      <c r="D318" s="898">
        <f>+Model!AB591</f>
        <v>18.114000000000001</v>
      </c>
      <c r="E318" s="898">
        <f>+Model!AC591</f>
        <v>18.210999999999999</v>
      </c>
      <c r="F318" s="898">
        <f>+Model!AD591</f>
        <v>16.670000000000002</v>
      </c>
      <c r="G318" s="898">
        <f>+Model!AE591</f>
        <v>20.356999999999999</v>
      </c>
      <c r="H318" s="898">
        <f>+Model!AF591</f>
        <v>16.789000000000001</v>
      </c>
      <c r="I318" s="898">
        <f>+Model!AG591</f>
        <v>1.252</v>
      </c>
      <c r="J318" s="957">
        <f>+Model!AH591</f>
        <v>13.771000000000001</v>
      </c>
      <c r="K318" s="898">
        <f>+Model!AI591</f>
        <v>35.872</v>
      </c>
      <c r="L318" s="898">
        <f>+Model!AJ591</f>
        <v>34.645000000000003</v>
      </c>
      <c r="M318" s="898">
        <f>+Model!AK591</f>
        <v>31.530999999999999</v>
      </c>
      <c r="N318" s="957">
        <f>+Model!AL591</f>
        <v>31.853000000000002</v>
      </c>
      <c r="O318" s="898">
        <f>+Model!AM591</f>
        <v>7.7830000000000004</v>
      </c>
      <c r="P318" s="898">
        <f>+Model!AN591</f>
        <v>8.282</v>
      </c>
      <c r="Q318" s="898">
        <f>+Model!AO591</f>
        <v>9.0340000000000007</v>
      </c>
      <c r="R318" s="957">
        <f>+Model!AP591</f>
        <v>3.2050000000000001</v>
      </c>
      <c r="S318" s="898">
        <f>+Model!AQ591</f>
        <v>20.181999999999999</v>
      </c>
      <c r="T318" s="898">
        <f>+Model!AR591</f>
        <v>10.752000000000001</v>
      </c>
      <c r="U318" s="898">
        <f>+Model!AS591</f>
        <v>5.351</v>
      </c>
      <c r="V318" s="957">
        <f>+Model!AT591</f>
        <v>0</v>
      </c>
      <c r="W318" s="898">
        <f>+Model!AU591</f>
        <v>0</v>
      </c>
      <c r="X318" s="877">
        <v>0</v>
      </c>
      <c r="Y318" s="877">
        <v>0</v>
      </c>
      <c r="Z318" s="877">
        <v>0</v>
      </c>
      <c r="AA318" s="1272">
        <v>2.2999999999999998</v>
      </c>
      <c r="AB318" s="877"/>
      <c r="AC318" s="877"/>
      <c r="AD318" s="877"/>
      <c r="AF318" s="898">
        <f>+Model!AZ591</f>
        <v>0</v>
      </c>
      <c r="AG318" s="898">
        <f>+Model!BA591</f>
        <v>0</v>
      </c>
      <c r="AH318" s="898">
        <f>+Model!BB591</f>
        <v>9.6039999999999992</v>
      </c>
      <c r="AI318" s="898">
        <f>+Model!BC591</f>
        <v>31.591000000000001</v>
      </c>
      <c r="AJ318" s="898">
        <f>+Model!BD591</f>
        <v>33.298999999999999</v>
      </c>
      <c r="AK318" s="898">
        <f>+Model!BE591</f>
        <v>22.478000000000002</v>
      </c>
      <c r="AL318" s="898">
        <f>+Model!BF591</f>
        <v>22.456</v>
      </c>
      <c r="AM318" s="898">
        <f>+Model!BG591</f>
        <v>18.457999999999998</v>
      </c>
      <c r="AN318" s="898">
        <f>+Model!BH591</f>
        <v>16.725999999999999</v>
      </c>
      <c r="AO318" s="898">
        <f>+Model!BI591</f>
        <v>12.577</v>
      </c>
      <c r="AP318" s="898">
        <f>+Model!BJ591</f>
        <v>16.670000000000002</v>
      </c>
      <c r="AQ318" s="898">
        <f>+Model!BK591</f>
        <v>13.771000000000001</v>
      </c>
      <c r="AR318" s="898">
        <f>+Model!BL591</f>
        <v>31.853000000000002</v>
      </c>
      <c r="AS318" s="898">
        <f>+Model!BM591</f>
        <v>3.2050000000000001</v>
      </c>
      <c r="AT318" s="898">
        <f>+Model!BN591</f>
        <v>0</v>
      </c>
      <c r="AU318" s="971">
        <f t="shared" si="908"/>
        <v>0</v>
      </c>
    </row>
    <row r="319" spans="1:48" s="879" customFormat="1" ht="14" x14ac:dyDescent="0.4">
      <c r="A319" s="876" t="s">
        <v>822</v>
      </c>
      <c r="C319" s="898">
        <f>+Model!AA592</f>
        <v>9.2799999999999994</v>
      </c>
      <c r="D319" s="898">
        <f>+Model!AB592</f>
        <v>9.4410000000000007</v>
      </c>
      <c r="E319" s="898">
        <f>+Model!AC592</f>
        <v>8.048</v>
      </c>
      <c r="F319" s="898">
        <f>+Model!AD592</f>
        <v>6.6550000000000002</v>
      </c>
      <c r="G319" s="898">
        <f>+Model!AE592</f>
        <v>8.1829999999999998</v>
      </c>
      <c r="H319" s="898">
        <f>+Model!AF592</f>
        <v>8.343</v>
      </c>
      <c r="I319" s="898">
        <f>+Model!AG592</f>
        <v>6.4379999999999997</v>
      </c>
      <c r="J319" s="957">
        <f>+Model!AH592</f>
        <v>9.5690000000000008</v>
      </c>
      <c r="K319" s="898">
        <f>+Model!AI592</f>
        <v>15.997999999999999</v>
      </c>
      <c r="L319" s="898">
        <f>+Model!AJ592</f>
        <v>39.872</v>
      </c>
      <c r="M319" s="898">
        <f>+Model!AK592</f>
        <v>39.951000000000001</v>
      </c>
      <c r="N319" s="957">
        <f>+Model!AL592</f>
        <v>16.254999999999999</v>
      </c>
      <c r="O319" s="898">
        <f>+Model!AM592</f>
        <v>18.457999999999998</v>
      </c>
      <c r="P319" s="898">
        <f>+Model!AN592</f>
        <v>10.726000000000001</v>
      </c>
      <c r="Q319" s="898">
        <f>+Model!AO592</f>
        <v>9.7940000000000005</v>
      </c>
      <c r="R319" s="957">
        <f>+Model!AP592</f>
        <v>10.233000000000001</v>
      </c>
      <c r="S319" s="898">
        <f>+Model!AQ592</f>
        <v>10.486000000000001</v>
      </c>
      <c r="T319" s="898">
        <f>+Model!AR592</f>
        <v>10.37</v>
      </c>
      <c r="U319" s="898">
        <f>+Model!AS592</f>
        <v>9.8970000000000002</v>
      </c>
      <c r="V319" s="957">
        <f>+Model!AT592</f>
        <v>10.497</v>
      </c>
      <c r="W319" s="898">
        <f>+Model!AU592</f>
        <v>11.932</v>
      </c>
      <c r="X319" s="877">
        <v>12.571999999999999</v>
      </c>
      <c r="Y319" s="877">
        <v>14.436</v>
      </c>
      <c r="Z319" s="877">
        <v>13.840999999999999</v>
      </c>
      <c r="AA319" s="1272">
        <v>16.242000000000001</v>
      </c>
      <c r="AB319" s="877"/>
      <c r="AC319" s="877"/>
      <c r="AD319" s="877"/>
      <c r="AE319" s="880"/>
      <c r="AF319" s="898">
        <f>+Model!AZ592</f>
        <v>0</v>
      </c>
      <c r="AG319" s="898">
        <f>+Model!BA592</f>
        <v>0.435</v>
      </c>
      <c r="AH319" s="898">
        <f>+Model!BB592</f>
        <v>3.343</v>
      </c>
      <c r="AI319" s="898">
        <f>+Model!BC592</f>
        <v>1.9079999999999999</v>
      </c>
      <c r="AJ319" s="898">
        <f>+Model!BD592</f>
        <v>2.512</v>
      </c>
      <c r="AK319" s="898">
        <f>+Model!BE592</f>
        <v>4.7629999999999999</v>
      </c>
      <c r="AL319" s="898">
        <f>+Model!BF592</f>
        <v>8.2330000000000005</v>
      </c>
      <c r="AM319" s="898">
        <f>+Model!BG592</f>
        <v>9.7799999999999994</v>
      </c>
      <c r="AN319" s="898">
        <f>+Model!BH592</f>
        <v>11.579000000000001</v>
      </c>
      <c r="AO319" s="898">
        <f>+Model!BI592</f>
        <v>10.038</v>
      </c>
      <c r="AP319" s="898">
        <f>+Model!BJ592</f>
        <v>6.6550000000000002</v>
      </c>
      <c r="AQ319" s="898">
        <f>+Model!BK592</f>
        <v>9.5690000000000008</v>
      </c>
      <c r="AR319" s="898">
        <f>+Model!BL592</f>
        <v>16.254999999999999</v>
      </c>
      <c r="AS319" s="898">
        <f>+Model!BM592</f>
        <v>10.233000000000001</v>
      </c>
      <c r="AT319" s="898">
        <f>+Model!BN592</f>
        <v>10.497</v>
      </c>
      <c r="AU319" s="971">
        <f t="shared" si="908"/>
        <v>13.840999999999999</v>
      </c>
      <c r="AV319" s="895"/>
    </row>
    <row r="320" spans="1:48" s="879" customFormat="1" ht="14" x14ac:dyDescent="0.4">
      <c r="A320" s="876" t="s">
        <v>834</v>
      </c>
      <c r="C320" s="898">
        <f>+Model!AA593</f>
        <v>0</v>
      </c>
      <c r="D320" s="898">
        <f>+Model!AB593</f>
        <v>0</v>
      </c>
      <c r="E320" s="898">
        <f>+Model!AC593</f>
        <v>0</v>
      </c>
      <c r="F320" s="898">
        <f>+Model!AD593</f>
        <v>0</v>
      </c>
      <c r="G320" s="898">
        <f>+Model!AE593</f>
        <v>0</v>
      </c>
      <c r="H320" s="898">
        <f>+Model!AF593</f>
        <v>0</v>
      </c>
      <c r="I320" s="898">
        <f>+Model!AG593</f>
        <v>0</v>
      </c>
      <c r="J320" s="957">
        <f>+Model!AH593</f>
        <v>0</v>
      </c>
      <c r="K320" s="898">
        <f>+Model!AI593</f>
        <v>0</v>
      </c>
      <c r="L320" s="898">
        <f>+Model!AJ593</f>
        <v>0</v>
      </c>
      <c r="M320" s="898">
        <f>+Model!AK593</f>
        <v>0</v>
      </c>
      <c r="N320" s="957">
        <f>+Model!AL593</f>
        <v>0</v>
      </c>
      <c r="O320" s="898">
        <f>+Model!AM593</f>
        <v>0</v>
      </c>
      <c r="P320" s="898">
        <f>+Model!AN593</f>
        <v>0</v>
      </c>
      <c r="Q320" s="898">
        <f>+Model!AO593</f>
        <v>0</v>
      </c>
      <c r="R320" s="957">
        <f>+Model!AP593</f>
        <v>0</v>
      </c>
      <c r="S320" s="898">
        <f>+Model!AQ593</f>
        <v>0</v>
      </c>
      <c r="T320" s="898">
        <f>+Model!AR593</f>
        <v>0</v>
      </c>
      <c r="U320" s="898">
        <f>+Model!AS593</f>
        <v>0</v>
      </c>
      <c r="V320" s="957">
        <f>+Model!AT593</f>
        <v>0</v>
      </c>
      <c r="W320" s="898">
        <f>+Model!AU593</f>
        <v>0</v>
      </c>
      <c r="X320" s="877">
        <v>0</v>
      </c>
      <c r="Y320" s="877">
        <v>0</v>
      </c>
      <c r="Z320" s="877">
        <v>0</v>
      </c>
      <c r="AA320" s="1272">
        <v>0</v>
      </c>
      <c r="AB320" s="877"/>
      <c r="AC320" s="877"/>
      <c r="AD320" s="877"/>
      <c r="AE320" s="880"/>
      <c r="AF320" s="898">
        <f>+Model!AZ593</f>
        <v>1.9059999999999999</v>
      </c>
      <c r="AG320" s="898">
        <f>+Model!BA593</f>
        <v>0.65500000000000003</v>
      </c>
      <c r="AH320" s="898">
        <f>+Model!BB593</f>
        <v>2.2989999999999999</v>
      </c>
      <c r="AI320" s="898">
        <f>+Model!BC593</f>
        <v>0.77700000000000002</v>
      </c>
      <c r="AJ320" s="898">
        <f>+Model!BD593</f>
        <v>0</v>
      </c>
      <c r="AK320" s="898">
        <f>+Model!BE593</f>
        <v>0</v>
      </c>
      <c r="AL320" s="898">
        <f>+Model!BF593</f>
        <v>0</v>
      </c>
      <c r="AM320" s="898">
        <f>+Model!BG593</f>
        <v>0</v>
      </c>
      <c r="AN320" s="898">
        <f>+Model!BH593</f>
        <v>0</v>
      </c>
      <c r="AO320" s="898">
        <f>+Model!BI593</f>
        <v>0</v>
      </c>
      <c r="AP320" s="898">
        <f>+Model!BJ593</f>
        <v>0</v>
      </c>
      <c r="AQ320" s="898">
        <f>+Model!BK593</f>
        <v>0</v>
      </c>
      <c r="AR320" s="898">
        <f>+Model!BL593</f>
        <v>0</v>
      </c>
      <c r="AS320" s="898">
        <f>+Model!BM593</f>
        <v>0</v>
      </c>
      <c r="AT320" s="898">
        <f>+Model!BN593</f>
        <v>0</v>
      </c>
      <c r="AU320" s="971">
        <f t="shared" si="908"/>
        <v>0</v>
      </c>
      <c r="AV320" s="895"/>
    </row>
    <row r="321" spans="1:48" s="879" customFormat="1" ht="14" x14ac:dyDescent="0.4">
      <c r="A321" s="876" t="s">
        <v>835</v>
      </c>
      <c r="C321" s="880">
        <f>+Model!AA594</f>
        <v>0</v>
      </c>
      <c r="D321" s="880">
        <f>+Model!AB594</f>
        <v>0</v>
      </c>
      <c r="E321" s="880">
        <f>+Model!AC594</f>
        <v>0</v>
      </c>
      <c r="F321" s="880">
        <f>+Model!AD594</f>
        <v>0</v>
      </c>
      <c r="G321" s="880">
        <f>+Model!AE594</f>
        <v>0</v>
      </c>
      <c r="H321" s="880">
        <f>+Model!AF594</f>
        <v>0</v>
      </c>
      <c r="I321" s="880">
        <f>+Model!AG594</f>
        <v>0</v>
      </c>
      <c r="J321" s="956">
        <f>+Model!AH594</f>
        <v>0</v>
      </c>
      <c r="K321" s="880">
        <f>+Model!AI594</f>
        <v>0</v>
      </c>
      <c r="L321" s="880">
        <f>+Model!AJ594</f>
        <v>0</v>
      </c>
      <c r="M321" s="880">
        <f>+Model!AK594</f>
        <v>0</v>
      </c>
      <c r="N321" s="956">
        <f>+Model!AL594</f>
        <v>0</v>
      </c>
      <c r="O321" s="880">
        <f>+Model!AM594</f>
        <v>0</v>
      </c>
      <c r="P321" s="880">
        <f>+Model!AN594</f>
        <v>0</v>
      </c>
      <c r="Q321" s="880">
        <f>+Model!AO594</f>
        <v>0</v>
      </c>
      <c r="R321" s="956">
        <f>+Model!AP594</f>
        <v>0</v>
      </c>
      <c r="S321" s="880">
        <f>+Model!AQ594</f>
        <v>0</v>
      </c>
      <c r="T321" s="880">
        <f>+Model!AR594</f>
        <v>0</v>
      </c>
      <c r="U321" s="880">
        <f>+Model!AS594</f>
        <v>0</v>
      </c>
      <c r="V321" s="956">
        <f>+Model!AT594</f>
        <v>0</v>
      </c>
      <c r="W321" s="880">
        <f>+Model!AU594</f>
        <v>0</v>
      </c>
      <c r="X321" s="880">
        <v>0</v>
      </c>
      <c r="Y321" s="880">
        <v>0</v>
      </c>
      <c r="Z321" s="880">
        <v>0</v>
      </c>
      <c r="AA321" s="1273">
        <v>0</v>
      </c>
      <c r="AB321" s="880"/>
      <c r="AC321" s="880"/>
      <c r="AD321" s="880"/>
      <c r="AE321" s="880"/>
      <c r="AF321" s="880">
        <f>+Model!AZ594</f>
        <v>0</v>
      </c>
      <c r="AG321" s="880">
        <f>+Model!BA594</f>
        <v>17.373999999999999</v>
      </c>
      <c r="AH321" s="880">
        <f>+Model!BB594</f>
        <v>17.2</v>
      </c>
      <c r="AI321" s="880">
        <f>+Model!BC594</f>
        <v>17.2</v>
      </c>
      <c r="AJ321" s="880">
        <f>+Model!BD594</f>
        <v>15.2</v>
      </c>
      <c r="AK321" s="880">
        <f>+Model!BE594</f>
        <v>16.800999999999998</v>
      </c>
      <c r="AL321" s="880">
        <f>+Model!BF594</f>
        <v>9.6010000000000009</v>
      </c>
      <c r="AM321" s="880">
        <f>+Model!BG594</f>
        <v>7.5019999999999998</v>
      </c>
      <c r="AN321" s="880">
        <f>+Model!BH594</f>
        <v>0.7</v>
      </c>
      <c r="AO321" s="880">
        <f>+Model!BI594</f>
        <v>0</v>
      </c>
      <c r="AP321" s="880">
        <f>+Model!BJ594</f>
        <v>0</v>
      </c>
      <c r="AQ321" s="880">
        <f>+Model!BK594</f>
        <v>0</v>
      </c>
      <c r="AR321" s="880">
        <f>+Model!BL594</f>
        <v>0</v>
      </c>
      <c r="AS321" s="880">
        <f>+Model!BM594</f>
        <v>0</v>
      </c>
      <c r="AT321" s="880">
        <f>+Model!BN594</f>
        <v>0</v>
      </c>
      <c r="AU321" s="970">
        <f t="shared" si="908"/>
        <v>0</v>
      </c>
      <c r="AV321" s="895"/>
    </row>
    <row r="322" spans="1:48" s="929" customFormat="1" ht="13" x14ac:dyDescent="0.3">
      <c r="A322" s="912" t="s">
        <v>218</v>
      </c>
      <c r="C322" s="947">
        <f t="shared" ref="C322" si="990">+SUM(C313:C321)</f>
        <v>209.10599999999997</v>
      </c>
      <c r="D322" s="947">
        <f t="shared" ref="D322" si="991">+SUM(D313:D321)</f>
        <v>179.74699999999999</v>
      </c>
      <c r="E322" s="947">
        <f t="shared" ref="E322" si="992">+SUM(E313:E321)</f>
        <v>184.26999999999998</v>
      </c>
      <c r="F322" s="947">
        <f t="shared" ref="F322" si="993">+SUM(F313:F321)</f>
        <v>186.24100000000001</v>
      </c>
      <c r="G322" s="947">
        <f t="shared" ref="G322" si="994">+SUM(G313:G321)</f>
        <v>188.785</v>
      </c>
      <c r="H322" s="947">
        <f t="shared" ref="H322" si="995">+SUM(H313:H321)</f>
        <v>175.85400000000001</v>
      </c>
      <c r="I322" s="947">
        <f t="shared" ref="I322" si="996">+SUM(I313:I321)</f>
        <v>371.37700000000001</v>
      </c>
      <c r="J322" s="975">
        <f t="shared" ref="J322" si="997">+SUM(J313:J321)</f>
        <v>397.93400000000003</v>
      </c>
      <c r="K322" s="947">
        <f t="shared" ref="K322" si="998">+SUM(K313:K321)</f>
        <v>685.45500000000004</v>
      </c>
      <c r="L322" s="947">
        <f t="shared" ref="L322" si="999">+SUM(L313:L321)</f>
        <v>719.52499999999998</v>
      </c>
      <c r="M322" s="947">
        <f t="shared" ref="M322" si="1000">+SUM(M313:M321)</f>
        <v>747.3889999999999</v>
      </c>
      <c r="N322" s="975">
        <f t="shared" ref="N322" si="1001">+SUM(N313:N321)</f>
        <v>772.64899999999989</v>
      </c>
      <c r="O322" s="947">
        <f t="shared" ref="O322" si="1002">+SUM(O313:O321)</f>
        <v>850.45900000000006</v>
      </c>
      <c r="P322" s="947">
        <f t="shared" ref="P322" si="1003">+SUM(P313:P321)</f>
        <v>791.51199999999994</v>
      </c>
      <c r="Q322" s="947">
        <f t="shared" ref="Q322" si="1004">+SUM(Q313:Q321)</f>
        <v>793.96199999999999</v>
      </c>
      <c r="R322" s="975">
        <f t="shared" ref="R322" si="1005">+SUM(R313:R321)</f>
        <v>830.96399999999994</v>
      </c>
      <c r="S322" s="947">
        <f t="shared" ref="S322" si="1006">+SUM(S313:S321)</f>
        <v>835.27499999999998</v>
      </c>
      <c r="T322" s="947">
        <f t="shared" ref="T322" si="1007">+SUM(T313:T321)</f>
        <v>777.39199999999994</v>
      </c>
      <c r="U322" s="947">
        <f t="shared" ref="U322" si="1008">+SUM(U313:U321)</f>
        <v>800.48700000000008</v>
      </c>
      <c r="V322" s="975">
        <f t="shared" ref="V322" si="1009">+SUM(V313:V321)</f>
        <v>813.37</v>
      </c>
      <c r="W322" s="947">
        <f t="shared" ref="W322:AA322" si="1010">+SUM(W313:W321)</f>
        <v>809.15200000000004</v>
      </c>
      <c r="X322" s="947">
        <f t="shared" si="1010"/>
        <v>749.51800000000014</v>
      </c>
      <c r="Y322" s="947">
        <f t="shared" si="1010"/>
        <v>789.00600000000009</v>
      </c>
      <c r="Z322" s="947">
        <f t="shared" si="1010"/>
        <v>744.43999999999994</v>
      </c>
      <c r="AA322" s="1288">
        <f t="shared" si="1010"/>
        <v>757.61500000000001</v>
      </c>
      <c r="AB322" s="947"/>
      <c r="AC322" s="947"/>
      <c r="AD322" s="947"/>
      <c r="AE322" s="947"/>
      <c r="AF322" s="947">
        <f t="shared" ref="AF322" si="1011">+SUM(AF313:AF321)</f>
        <v>53.975999999999999</v>
      </c>
      <c r="AG322" s="947">
        <f t="shared" ref="AG322" si="1012">+SUM(AG313:AG321)</f>
        <v>81.89</v>
      </c>
      <c r="AH322" s="947">
        <f t="shared" ref="AH322" si="1013">+SUM(AH313:AH321)</f>
        <v>129.34800000000001</v>
      </c>
      <c r="AI322" s="947">
        <f t="shared" ref="AI322" si="1014">+SUM(AI313:AI321)</f>
        <v>171.18699999999995</v>
      </c>
      <c r="AJ322" s="947">
        <f t="shared" ref="AJ322" si="1015">+SUM(AJ313:AJ321)</f>
        <v>185.13800000000001</v>
      </c>
      <c r="AK322" s="947">
        <f t="shared" ref="AK322:AS322" si="1016">+SUM(AK313:AK321)</f>
        <v>182.73699999999999</v>
      </c>
      <c r="AL322" s="947">
        <f t="shared" si="1016"/>
        <v>171.661</v>
      </c>
      <c r="AM322" s="947">
        <f t="shared" si="1016"/>
        <v>175.33500000000001</v>
      </c>
      <c r="AN322" s="947">
        <f t="shared" si="1016"/>
        <v>160.93799999999999</v>
      </c>
      <c r="AO322" s="947">
        <f t="shared" si="1016"/>
        <v>154.77400000000003</v>
      </c>
      <c r="AP322" s="947">
        <f t="shared" si="1016"/>
        <v>186.24100000000001</v>
      </c>
      <c r="AQ322" s="947">
        <f t="shared" si="1016"/>
        <v>397.93400000000003</v>
      </c>
      <c r="AR322" s="947">
        <f t="shared" si="1016"/>
        <v>772.64899999999989</v>
      </c>
      <c r="AS322" s="947">
        <f t="shared" si="1016"/>
        <v>830.96399999999994</v>
      </c>
      <c r="AT322" s="947">
        <f>+SUM(AT313:AT321)</f>
        <v>813.37</v>
      </c>
      <c r="AU322" s="976">
        <f t="shared" si="908"/>
        <v>744.43999999999994</v>
      </c>
      <c r="AV322" s="949"/>
    </row>
    <row r="323" spans="1:48" x14ac:dyDescent="0.25">
      <c r="A323" s="936"/>
      <c r="J323" s="953"/>
      <c r="N323" s="953"/>
      <c r="R323" s="953"/>
      <c r="V323" s="953"/>
      <c r="AA323" s="1271"/>
      <c r="AU323" s="967"/>
    </row>
    <row r="324" spans="1:48" ht="13" x14ac:dyDescent="0.3">
      <c r="A324" s="946" t="s">
        <v>823</v>
      </c>
      <c r="J324" s="953"/>
      <c r="N324" s="953"/>
      <c r="R324" s="953"/>
      <c r="V324" s="953"/>
      <c r="AA324" s="1271"/>
      <c r="AU324" s="967"/>
    </row>
    <row r="325" spans="1:48" x14ac:dyDescent="0.25">
      <c r="A325" s="936" t="s">
        <v>824</v>
      </c>
      <c r="C325" s="898">
        <v>0</v>
      </c>
      <c r="D325" s="898">
        <v>0</v>
      </c>
      <c r="E325" s="898">
        <v>0</v>
      </c>
      <c r="F325" s="898">
        <v>0</v>
      </c>
      <c r="G325" s="898">
        <v>0</v>
      </c>
      <c r="H325" s="898">
        <v>0</v>
      </c>
      <c r="I325" s="898">
        <v>0</v>
      </c>
      <c r="J325" s="957">
        <v>0</v>
      </c>
      <c r="K325" s="898">
        <v>0</v>
      </c>
      <c r="L325" s="898">
        <v>0</v>
      </c>
      <c r="M325" s="898">
        <v>0</v>
      </c>
      <c r="N325" s="957">
        <v>0</v>
      </c>
      <c r="O325" s="898">
        <v>0</v>
      </c>
      <c r="P325" s="898">
        <v>0</v>
      </c>
      <c r="Q325" s="898">
        <v>0</v>
      </c>
      <c r="R325" s="957">
        <v>0</v>
      </c>
      <c r="S325" s="898">
        <v>0</v>
      </c>
      <c r="T325" s="898">
        <v>0</v>
      </c>
      <c r="U325" s="898">
        <v>0</v>
      </c>
      <c r="V325" s="957">
        <v>0</v>
      </c>
      <c r="W325" s="898">
        <v>0</v>
      </c>
      <c r="X325" s="877">
        <v>0</v>
      </c>
      <c r="Y325" s="877">
        <v>0</v>
      </c>
      <c r="Z325" s="877">
        <v>0</v>
      </c>
      <c r="AA325" s="1272">
        <v>0</v>
      </c>
      <c r="AB325" s="877"/>
      <c r="AC325" s="877"/>
      <c r="AD325" s="877"/>
      <c r="AF325" s="898">
        <v>0</v>
      </c>
      <c r="AG325" s="898">
        <v>0</v>
      </c>
      <c r="AH325" s="898">
        <v>0</v>
      </c>
      <c r="AI325" s="898">
        <v>0</v>
      </c>
      <c r="AJ325" s="898">
        <v>0</v>
      </c>
      <c r="AK325" s="898">
        <v>0</v>
      </c>
      <c r="AL325" s="898">
        <v>0</v>
      </c>
      <c r="AM325" s="898">
        <v>0</v>
      </c>
      <c r="AN325" s="898">
        <v>0</v>
      </c>
      <c r="AO325" s="898">
        <v>0</v>
      </c>
      <c r="AP325" s="898">
        <v>0</v>
      </c>
      <c r="AQ325" s="898">
        <v>0</v>
      </c>
      <c r="AR325" s="898">
        <v>0</v>
      </c>
      <c r="AS325" s="898">
        <v>0</v>
      </c>
      <c r="AT325" s="898">
        <v>0</v>
      </c>
      <c r="AU325" s="971">
        <f t="shared" si="908"/>
        <v>0</v>
      </c>
    </row>
    <row r="326" spans="1:48" x14ac:dyDescent="0.25">
      <c r="A326" s="936" t="s">
        <v>220</v>
      </c>
      <c r="C326" s="898">
        <f>+Model!AA599</f>
        <v>4.0000000000000001E-3</v>
      </c>
      <c r="D326" s="898">
        <f>+Model!AB599</f>
        <v>4.0000000000000001E-3</v>
      </c>
      <c r="E326" s="898">
        <f>+Model!AC599</f>
        <v>4.0000000000000001E-3</v>
      </c>
      <c r="F326" s="898">
        <f>+Model!AD599</f>
        <v>4.0000000000000001E-3</v>
      </c>
      <c r="G326" s="898">
        <f>+Model!AE599</f>
        <v>4.0000000000000001E-3</v>
      </c>
      <c r="H326" s="898">
        <f>+Model!AF599</f>
        <v>4.0000000000000001E-3</v>
      </c>
      <c r="I326" s="898">
        <f>+Model!AG599</f>
        <v>4.0000000000000001E-3</v>
      </c>
      <c r="J326" s="957">
        <f>+Model!AH599</f>
        <v>4.0000000000000001E-3</v>
      </c>
      <c r="K326" s="898">
        <f>+Model!AI599</f>
        <v>4.0000000000000001E-3</v>
      </c>
      <c r="L326" s="898">
        <f>+Model!AJ599</f>
        <v>4.0000000000000001E-3</v>
      </c>
      <c r="M326" s="898">
        <f>+Model!AK599</f>
        <v>4.0000000000000001E-3</v>
      </c>
      <c r="N326" s="957">
        <f>+Model!AL599</f>
        <v>4.0000000000000001E-3</v>
      </c>
      <c r="O326" s="898">
        <f>+Model!AM599</f>
        <v>4.0000000000000001E-3</v>
      </c>
      <c r="P326" s="898">
        <f>+Model!AN599</f>
        <v>4.0000000000000001E-3</v>
      </c>
      <c r="Q326" s="898">
        <f>+Model!AO599</f>
        <v>4.0000000000000001E-3</v>
      </c>
      <c r="R326" s="957">
        <f>+Model!AP599</f>
        <v>4.0000000000000001E-3</v>
      </c>
      <c r="S326" s="898">
        <f>+Model!AQ599</f>
        <v>4.0000000000000001E-3</v>
      </c>
      <c r="T326" s="898">
        <f>+Model!AR599</f>
        <v>4.0000000000000001E-3</v>
      </c>
      <c r="U326" s="898">
        <f>+Model!AS599</f>
        <v>4.0000000000000001E-3</v>
      </c>
      <c r="V326" s="957">
        <f>+Model!AT599</f>
        <v>4.0000000000000001E-3</v>
      </c>
      <c r="W326" s="898">
        <f>+Model!AU599</f>
        <v>4.0000000000000001E-3</v>
      </c>
      <c r="X326" s="877">
        <v>4.0000000000000001E-3</v>
      </c>
      <c r="Y326" s="877">
        <v>4.0000000000000001E-3</v>
      </c>
      <c r="Z326" s="877">
        <v>4.0000000000000001E-3</v>
      </c>
      <c r="AA326" s="1272">
        <v>4.0000000000000001E-3</v>
      </c>
      <c r="AB326" s="877"/>
      <c r="AC326" s="877"/>
      <c r="AD326" s="877"/>
      <c r="AF326" s="898">
        <f>+Model!AZ599</f>
        <v>3.0000000000000001E-3</v>
      </c>
      <c r="AG326" s="898">
        <f>+Model!BA599</f>
        <v>3.0000000000000001E-3</v>
      </c>
      <c r="AH326" s="898">
        <f>+Model!BB599</f>
        <v>4.0000000000000001E-3</v>
      </c>
      <c r="AI326" s="898">
        <f>+Model!BC599</f>
        <v>4.0000000000000001E-3</v>
      </c>
      <c r="AJ326" s="898">
        <f>+Model!BD599</f>
        <v>4.0000000000000001E-3</v>
      </c>
      <c r="AK326" s="898">
        <f>+Model!BE599</f>
        <v>4.0000000000000001E-3</v>
      </c>
      <c r="AL326" s="898">
        <f>+Model!BF599</f>
        <v>4.0000000000000001E-3</v>
      </c>
      <c r="AM326" s="898">
        <f>+Model!BG599</f>
        <v>4.0000000000000001E-3</v>
      </c>
      <c r="AN326" s="898">
        <f>+Model!BH599</f>
        <v>4.0000000000000001E-3</v>
      </c>
      <c r="AO326" s="898">
        <f>+Model!BI599</f>
        <v>4.0000000000000001E-3</v>
      </c>
      <c r="AP326" s="898">
        <f>+Model!BJ599</f>
        <v>4.0000000000000001E-3</v>
      </c>
      <c r="AQ326" s="898">
        <f>+Model!BK599</f>
        <v>4.0000000000000001E-3</v>
      </c>
      <c r="AR326" s="898">
        <f>+Model!BL599</f>
        <v>4.0000000000000001E-3</v>
      </c>
      <c r="AS326" s="898">
        <f>+Model!BM599</f>
        <v>4.0000000000000001E-3</v>
      </c>
      <c r="AT326" s="898">
        <f>+Model!BN599</f>
        <v>4.0000000000000001E-3</v>
      </c>
      <c r="AU326" s="971">
        <f t="shared" si="908"/>
        <v>4.0000000000000001E-3</v>
      </c>
    </row>
    <row r="327" spans="1:48" x14ac:dyDescent="0.25">
      <c r="A327" s="936" t="s">
        <v>825</v>
      </c>
      <c r="C327" s="898">
        <f>+Model!AA600</f>
        <v>701.39800000000002</v>
      </c>
      <c r="D327" s="898">
        <f>+Model!AB600</f>
        <v>705.82500000000005</v>
      </c>
      <c r="E327" s="898">
        <f>+Model!AC600</f>
        <v>708.26900000000001</v>
      </c>
      <c r="F327" s="898">
        <f>+Model!AD600</f>
        <v>713.43600000000004</v>
      </c>
      <c r="G327" s="898">
        <f>+Model!AE600</f>
        <v>714.37400000000002</v>
      </c>
      <c r="H327" s="898">
        <f>+Model!AF600</f>
        <v>720.45100000000002</v>
      </c>
      <c r="I327" s="898">
        <f>+Model!AG600</f>
        <v>724.99199999999996</v>
      </c>
      <c r="J327" s="957">
        <f>+Model!AH600</f>
        <v>730.76099999999997</v>
      </c>
      <c r="K327" s="898">
        <f>+Model!AI600</f>
        <v>768.23199999999997</v>
      </c>
      <c r="L327" s="898">
        <f>+Model!AJ600</f>
        <v>777.40899999999999</v>
      </c>
      <c r="M327" s="898">
        <f>+Model!AK600</f>
        <v>788.02800000000002</v>
      </c>
      <c r="N327" s="957">
        <f>+Model!AL600</f>
        <v>795.44899999999996</v>
      </c>
      <c r="O327" s="898">
        <f>+Model!AM600</f>
        <v>708.26499999999999</v>
      </c>
      <c r="P327" s="898">
        <f>+Model!AN600</f>
        <v>680.601</v>
      </c>
      <c r="Q327" s="898">
        <f>+Model!AO600</f>
        <v>683.89200000000005</v>
      </c>
      <c r="R327" s="957">
        <f>+Model!AP600</f>
        <v>687.45399999999995</v>
      </c>
      <c r="S327" s="898">
        <f>+Model!AQ600</f>
        <v>683.99300000000005</v>
      </c>
      <c r="T327" s="898">
        <f>+Model!AR600</f>
        <v>688.69500000000005</v>
      </c>
      <c r="U327" s="898">
        <f>+Model!AS600</f>
        <v>690.82299999999998</v>
      </c>
      <c r="V327" s="957">
        <f>+Model!AT600</f>
        <v>695.48</v>
      </c>
      <c r="W327" s="898">
        <f>+Model!AU600</f>
        <v>701.79899999999998</v>
      </c>
      <c r="X327" s="877">
        <v>709.15700000000004</v>
      </c>
      <c r="Y327" s="877">
        <v>709.99699999999996</v>
      </c>
      <c r="Z327" s="877">
        <v>720.03300000000002</v>
      </c>
      <c r="AA327" s="1272">
        <v>717.48800000000006</v>
      </c>
      <c r="AB327" s="877"/>
      <c r="AC327" s="877"/>
      <c r="AD327" s="877"/>
      <c r="AF327" s="898">
        <f>+Model!AZ600</f>
        <v>343.30399999999997</v>
      </c>
      <c r="AG327" s="898">
        <f>+Model!BA600</f>
        <v>361.34399999999999</v>
      </c>
      <c r="AH327" s="898">
        <f>+Model!BB600</f>
        <v>512.18100000000004</v>
      </c>
      <c r="AI327" s="898">
        <f>+Model!BC600</f>
        <v>519.43899999999996</v>
      </c>
      <c r="AJ327" s="898">
        <f>+Model!BD600</f>
        <v>548.39</v>
      </c>
      <c r="AK327" s="898">
        <f>+Model!BE600</f>
        <v>639.03599999999994</v>
      </c>
      <c r="AL327" s="898">
        <f>+Model!BF600</f>
        <v>663.46100000000001</v>
      </c>
      <c r="AM327" s="898">
        <f>+Model!BG600</f>
        <v>675.43600000000004</v>
      </c>
      <c r="AN327" s="898">
        <f>+Model!BH600</f>
        <v>690.48800000000006</v>
      </c>
      <c r="AO327" s="898">
        <f>+Model!BI600</f>
        <v>703.351</v>
      </c>
      <c r="AP327" s="898">
        <f>+Model!BJ600</f>
        <v>713.43600000000004</v>
      </c>
      <c r="AQ327" s="898">
        <f>+Model!BK600</f>
        <v>730.76099999999997</v>
      </c>
      <c r="AR327" s="898">
        <f>+Model!BL600</f>
        <v>795.44899999999996</v>
      </c>
      <c r="AS327" s="898">
        <f>+Model!BM600</f>
        <v>687.45399999999995</v>
      </c>
      <c r="AT327" s="898">
        <f>+Model!BN600</f>
        <v>695.48</v>
      </c>
      <c r="AU327" s="971">
        <f t="shared" si="908"/>
        <v>720.03300000000002</v>
      </c>
    </row>
    <row r="328" spans="1:48" x14ac:dyDescent="0.25">
      <c r="A328" s="936" t="s">
        <v>826</v>
      </c>
      <c r="C328" s="898">
        <f>+Model!AA601</f>
        <v>-0.18</v>
      </c>
      <c r="D328" s="898">
        <f>+Model!AB601</f>
        <v>-5.8999999999999997E-2</v>
      </c>
      <c r="E328" s="898">
        <f>+Model!AC601</f>
        <v>-0.18099999999999999</v>
      </c>
      <c r="F328" s="898">
        <f>+Model!AD601</f>
        <v>-0.04</v>
      </c>
      <c r="G328" s="898">
        <f>+Model!AE601</f>
        <v>9.9000000000000005E-2</v>
      </c>
      <c r="H328" s="898">
        <f>+Model!AF601</f>
        <v>-0.188</v>
      </c>
      <c r="I328" s="898">
        <f>+Model!AG601</f>
        <v>4.9000000000000002E-2</v>
      </c>
      <c r="J328" s="957">
        <f>+Model!AH601</f>
        <v>9.2999999999999999E-2</v>
      </c>
      <c r="K328" s="898">
        <f>+Model!AI601</f>
        <v>-9.9000000000000005E-2</v>
      </c>
      <c r="L328" s="898">
        <f>+Model!AJ601</f>
        <v>-0.36899999999999999</v>
      </c>
      <c r="M328" s="898">
        <f>+Model!AK601</f>
        <v>-0.42699999999999999</v>
      </c>
      <c r="N328" s="957">
        <f>+Model!AL601</f>
        <v>-0.47399999999999998</v>
      </c>
      <c r="O328" s="898">
        <f>+Model!AM601</f>
        <v>-0.33</v>
      </c>
      <c r="P328" s="898">
        <f>+Model!AN601</f>
        <v>-0.34300000000000003</v>
      </c>
      <c r="Q328" s="898">
        <f>+Model!AO601</f>
        <v>-0.216</v>
      </c>
      <c r="R328" s="957">
        <f>+Model!AP601</f>
        <v>0.14299999999999999</v>
      </c>
      <c r="S328" s="898">
        <f>+Model!AQ601</f>
        <v>0.51800000000000002</v>
      </c>
      <c r="T328" s="898">
        <f>+Model!AR601</f>
        <v>0.187</v>
      </c>
      <c r="U328" s="898">
        <f>+Model!AS601</f>
        <v>5.8999999999999997E-2</v>
      </c>
      <c r="V328" s="957">
        <f>+Model!AT601</f>
        <v>-3.5000000000000003E-2</v>
      </c>
      <c r="W328" s="898">
        <f>+Model!AU601</f>
        <v>-3.5000000000000003E-2</v>
      </c>
      <c r="X328" s="877">
        <v>-4.3999999999999997E-2</v>
      </c>
      <c r="Y328" s="877">
        <v>-4.2000000000000003E-2</v>
      </c>
      <c r="Z328" s="877">
        <v>-4.2000000000000003E-2</v>
      </c>
      <c r="AA328" s="1272">
        <v>-5.8000000000000003E-2</v>
      </c>
      <c r="AB328" s="877"/>
      <c r="AC328" s="877"/>
      <c r="AD328" s="877"/>
      <c r="AF328" s="898">
        <f>+Model!AZ601</f>
        <v>0</v>
      </c>
      <c r="AG328" s="898">
        <f>+Model!BA601</f>
        <v>0</v>
      </c>
      <c r="AH328" s="898">
        <f>+Model!BB601</f>
        <v>2.8000000000000001E-2</v>
      </c>
      <c r="AI328" s="898">
        <f>+Model!BC601</f>
        <v>0.1</v>
      </c>
      <c r="AJ328" s="898">
        <f>+Model!BD601</f>
        <v>-0.29399999999999998</v>
      </c>
      <c r="AK328" s="898">
        <f>+Model!BE601</f>
        <v>-0.112</v>
      </c>
      <c r="AL328" s="898">
        <f>+Model!BF601</f>
        <v>-1.0649999999999999</v>
      </c>
      <c r="AM328" s="898">
        <f>+Model!BG601</f>
        <v>-0.29299999999999998</v>
      </c>
      <c r="AN328" s="898">
        <f>+Model!BH601</f>
        <v>-0.17</v>
      </c>
      <c r="AO328" s="898">
        <f>+Model!BI601</f>
        <v>-0.252</v>
      </c>
      <c r="AP328" s="898">
        <f>+Model!BJ601</f>
        <v>-0.04</v>
      </c>
      <c r="AQ328" s="898">
        <f>+Model!BK601</f>
        <v>9.2999999999999999E-2</v>
      </c>
      <c r="AR328" s="898">
        <f>+Model!BL601</f>
        <v>-0.47399999999999998</v>
      </c>
      <c r="AS328" s="898">
        <f>+Model!BM601</f>
        <v>0.14299999999999999</v>
      </c>
      <c r="AT328" s="898">
        <f>+Model!BN601</f>
        <v>-3.5000000000000003E-2</v>
      </c>
      <c r="AU328" s="971">
        <f t="shared" si="908"/>
        <v>-4.2000000000000003E-2</v>
      </c>
    </row>
    <row r="329" spans="1:48" x14ac:dyDescent="0.25">
      <c r="A329" s="936" t="s">
        <v>827</v>
      </c>
      <c r="C329" s="898">
        <f>+Model!AA602</f>
        <v>-23.044</v>
      </c>
      <c r="D329" s="898">
        <f>+Model!AB602</f>
        <v>0.66800000000000004</v>
      </c>
      <c r="E329" s="898">
        <f>+Model!AC602</f>
        <v>19.13</v>
      </c>
      <c r="F329" s="898">
        <f>+Model!AD602</f>
        <v>22.446999999999999</v>
      </c>
      <c r="G329" s="898">
        <f>+Model!AE602</f>
        <v>12.717000000000001</v>
      </c>
      <c r="H329" s="898">
        <f>+Model!AF602</f>
        <v>33.311</v>
      </c>
      <c r="I329" s="898">
        <f>+Model!AG602</f>
        <v>42.064999999999998</v>
      </c>
      <c r="J329" s="957">
        <f>+Model!AH602</f>
        <v>46.953000000000003</v>
      </c>
      <c r="K329" s="898">
        <f>+Model!AI602</f>
        <v>53.366</v>
      </c>
      <c r="L329" s="898">
        <f>+Model!AJ602</f>
        <v>77.867000000000004</v>
      </c>
      <c r="M329" s="898">
        <f>+Model!AK602</f>
        <v>101.65600000000001</v>
      </c>
      <c r="N329" s="957">
        <f>+Model!AL602</f>
        <v>112.151</v>
      </c>
      <c r="O329" s="898">
        <f>+Model!AM602</f>
        <v>114.449</v>
      </c>
      <c r="P329" s="898">
        <f>+Model!AN602</f>
        <v>156.453</v>
      </c>
      <c r="Q329" s="898">
        <f>+Model!AO602</f>
        <v>199.37200000000001</v>
      </c>
      <c r="R329" s="957">
        <f>+Model!AP602</f>
        <v>227.46199999999999</v>
      </c>
      <c r="S329" s="898">
        <f>+Model!AQ602</f>
        <v>204.79</v>
      </c>
      <c r="T329" s="898">
        <f>+Model!AR602</f>
        <v>255.495</v>
      </c>
      <c r="U329" s="898">
        <f>+Model!AS602</f>
        <v>310.95699999999999</v>
      </c>
      <c r="V329" s="957">
        <f>+Model!AT602</f>
        <v>354.32900000000001</v>
      </c>
      <c r="W329" s="898">
        <f>+Model!AU602</f>
        <v>359.20699999999999</v>
      </c>
      <c r="X329" s="877">
        <v>426.04300000000001</v>
      </c>
      <c r="Y329" s="877">
        <v>495.73</v>
      </c>
      <c r="Z329" s="877">
        <v>558.51199999999994</v>
      </c>
      <c r="AA329" s="1272">
        <v>599.39400000000001</v>
      </c>
      <c r="AB329" s="877"/>
      <c r="AC329" s="877"/>
      <c r="AD329" s="877"/>
      <c r="AF329" s="898">
        <f>+Model!AZ602</f>
        <v>-161.02099999999999</v>
      </c>
      <c r="AG329" s="898">
        <f>+Model!BA602</f>
        <v>-139.49600000000001</v>
      </c>
      <c r="AH329" s="898">
        <f>+Model!BB602</f>
        <v>-126.70399999999999</v>
      </c>
      <c r="AI329" s="898">
        <f>+Model!BC602</f>
        <v>-109.161</v>
      </c>
      <c r="AJ329" s="898">
        <f>+Model!BD602</f>
        <v>-81.05</v>
      </c>
      <c r="AK329" s="898">
        <f>+Model!BE602</f>
        <v>-61.45</v>
      </c>
      <c r="AL329" s="898">
        <f>+Model!BF602</f>
        <v>-50.462000000000003</v>
      </c>
      <c r="AM329" s="898">
        <f>+Model!BG602</f>
        <v>-41.427</v>
      </c>
      <c r="AN329" s="898">
        <f>+Model!BH602</f>
        <v>-40.975999999999999</v>
      </c>
      <c r="AO329" s="898">
        <f>+Model!BI602</f>
        <v>-13.432</v>
      </c>
      <c r="AP329" s="898">
        <f>+Model!BJ602</f>
        <v>22.446999999999999</v>
      </c>
      <c r="AQ329" s="898">
        <f>+Model!BK602</f>
        <v>46.953000000000003</v>
      </c>
      <c r="AR329" s="898">
        <f>+Model!BL602</f>
        <v>112.151</v>
      </c>
      <c r="AS329" s="898">
        <f>+Model!BM602</f>
        <v>227.46199999999999</v>
      </c>
      <c r="AT329" s="898">
        <f>+Model!BN602</f>
        <v>354.32900000000001</v>
      </c>
      <c r="AU329" s="971">
        <f t="shared" si="908"/>
        <v>558.51199999999994</v>
      </c>
    </row>
    <row r="330" spans="1:48" s="879" customFormat="1" ht="14" x14ac:dyDescent="0.4">
      <c r="A330" s="876" t="s">
        <v>828</v>
      </c>
      <c r="C330" s="898">
        <f>+Model!AA603</f>
        <v>-102.482</v>
      </c>
      <c r="D330" s="898">
        <f>+Model!AB603</f>
        <v>-102.482</v>
      </c>
      <c r="E330" s="898">
        <f>+Model!AC603</f>
        <v>-102.482</v>
      </c>
      <c r="F330" s="898">
        <f>+Model!AD603</f>
        <v>-102.482</v>
      </c>
      <c r="G330" s="898">
        <f>+Model!AE603</f>
        <v>-102.482</v>
      </c>
      <c r="H330" s="898">
        <f>+Model!AF603</f>
        <v>-102.482</v>
      </c>
      <c r="I330" s="898">
        <f>+Model!AG603</f>
        <v>-102.482</v>
      </c>
      <c r="J330" s="957">
        <f>+Model!AH603</f>
        <v>-102.482</v>
      </c>
      <c r="K330" s="898">
        <f>+Model!AI603</f>
        <v>-102.482</v>
      </c>
      <c r="L330" s="898">
        <f>+Model!AJ603</f>
        <v>-102.482</v>
      </c>
      <c r="M330" s="898">
        <f>+Model!AK603</f>
        <v>-102.482</v>
      </c>
      <c r="N330" s="957">
        <f>+Model!AL603</f>
        <v>-102.482</v>
      </c>
      <c r="O330" s="898">
        <f>+Model!AM603</f>
        <v>-102.482</v>
      </c>
      <c r="P330" s="898">
        <f>+Model!AN603</f>
        <v>-102.482</v>
      </c>
      <c r="Q330" s="898">
        <f>+Model!AO603</f>
        <v>-102.482</v>
      </c>
      <c r="R330" s="957">
        <f>+Model!AP603</f>
        <v>-102.482</v>
      </c>
      <c r="S330" s="898">
        <f>+Model!AQ603</f>
        <v>-102.482</v>
      </c>
      <c r="T330" s="898">
        <f>+Model!AR603</f>
        <v>-102.482</v>
      </c>
      <c r="U330" s="898">
        <f>+Model!AS603</f>
        <v>-102.482</v>
      </c>
      <c r="V330" s="957">
        <f>+Model!AT603</f>
        <v>-102.482</v>
      </c>
      <c r="W330" s="898">
        <f>+Model!AU603</f>
        <v>-102.482</v>
      </c>
      <c r="X330" s="877">
        <v>-102.482</v>
      </c>
      <c r="Y330" s="877">
        <v>-102.482</v>
      </c>
      <c r="Z330" s="877">
        <v>-102.482</v>
      </c>
      <c r="AA330" s="1272">
        <v>-102.482</v>
      </c>
      <c r="AB330" s="877"/>
      <c r="AC330" s="877"/>
      <c r="AD330" s="877"/>
      <c r="AE330" s="880"/>
      <c r="AF330" s="898">
        <f>+Model!AZ603</f>
        <v>0</v>
      </c>
      <c r="AG330" s="898">
        <f>+Model!BA603</f>
        <v>0</v>
      </c>
      <c r="AH330" s="898">
        <f>+Model!BB603</f>
        <v>0</v>
      </c>
      <c r="AI330" s="898">
        <f>+Model!BC603</f>
        <v>0</v>
      </c>
      <c r="AJ330" s="898">
        <f>+Model!BD603</f>
        <v>0</v>
      </c>
      <c r="AK330" s="898">
        <f>+Model!BE603</f>
        <v>-48.548000000000002</v>
      </c>
      <c r="AL330" s="898">
        <f>+Model!BF603</f>
        <v>-75</v>
      </c>
      <c r="AM330" s="898">
        <f>+Model!BG603</f>
        <v>-75</v>
      </c>
      <c r="AN330" s="898">
        <f>+Model!BH603</f>
        <v>-75</v>
      </c>
      <c r="AO330" s="898">
        <f>+Model!BI603</f>
        <v>-102.482</v>
      </c>
      <c r="AP330" s="898">
        <f>+Model!BJ603</f>
        <v>-102.482</v>
      </c>
      <c r="AQ330" s="898">
        <f>+Model!BK603</f>
        <v>-102.482</v>
      </c>
      <c r="AR330" s="898">
        <f>+Model!BL603</f>
        <v>-102.482</v>
      </c>
      <c r="AS330" s="898">
        <f>+Model!BM603</f>
        <v>-102.482</v>
      </c>
      <c r="AT330" s="898">
        <f>+Model!BN603</f>
        <v>-102.482</v>
      </c>
      <c r="AU330" s="971">
        <f t="shared" si="908"/>
        <v>-102.482</v>
      </c>
      <c r="AV330" s="895"/>
    </row>
    <row r="331" spans="1:48" s="879" customFormat="1" ht="14" x14ac:dyDescent="0.4">
      <c r="A331" s="876" t="s">
        <v>836</v>
      </c>
      <c r="C331" s="898">
        <f>+Model!AA604</f>
        <v>0</v>
      </c>
      <c r="D331" s="898">
        <f>+Model!AB604</f>
        <v>0</v>
      </c>
      <c r="E331" s="898">
        <f>+Model!AC604</f>
        <v>0</v>
      </c>
      <c r="F331" s="898">
        <f>+Model!AD604</f>
        <v>0</v>
      </c>
      <c r="G331" s="898">
        <f>+Model!AE604</f>
        <v>0</v>
      </c>
      <c r="H331" s="898">
        <f>+Model!AF604</f>
        <v>0</v>
      </c>
      <c r="I331" s="898">
        <f>+Model!AG604</f>
        <v>0</v>
      </c>
      <c r="J331" s="957">
        <f>+Model!AH604</f>
        <v>0</v>
      </c>
      <c r="K331" s="898">
        <f>+Model!AI604</f>
        <v>0</v>
      </c>
      <c r="L331" s="898">
        <f>+Model!AJ604</f>
        <v>0</v>
      </c>
      <c r="M331" s="898">
        <f>+Model!AK604</f>
        <v>0</v>
      </c>
      <c r="N331" s="957">
        <f>+Model!AL604</f>
        <v>0</v>
      </c>
      <c r="O331" s="898">
        <f>+Model!AM604</f>
        <v>0</v>
      </c>
      <c r="P331" s="898">
        <f>+Model!AN604</f>
        <v>0</v>
      </c>
      <c r="Q331" s="898">
        <f>+Model!AO604</f>
        <v>0</v>
      </c>
      <c r="R331" s="957">
        <f>+Model!AP604</f>
        <v>0</v>
      </c>
      <c r="S331" s="898">
        <f>+Model!AQ604</f>
        <v>0</v>
      </c>
      <c r="T331" s="898">
        <f>+Model!AR604</f>
        <v>0</v>
      </c>
      <c r="U331" s="898">
        <f>+Model!AS604</f>
        <v>0</v>
      </c>
      <c r="V331" s="957">
        <f>+Model!AT604</f>
        <v>0</v>
      </c>
      <c r="W331" s="898">
        <f>+Model!AU604</f>
        <v>0</v>
      </c>
      <c r="X331" s="877">
        <v>0</v>
      </c>
      <c r="Y331" s="877">
        <v>0</v>
      </c>
      <c r="Z331" s="877">
        <v>0</v>
      </c>
      <c r="AA331" s="1272">
        <v>0</v>
      </c>
      <c r="AB331" s="877"/>
      <c r="AC331" s="877"/>
      <c r="AD331" s="877"/>
      <c r="AE331" s="880"/>
      <c r="AF331" s="898">
        <f>+Model!AZ604</f>
        <v>0</v>
      </c>
      <c r="AG331" s="898">
        <f>+Model!BA604</f>
        <v>0</v>
      </c>
      <c r="AH331" s="898">
        <f>+Model!BB604</f>
        <v>63.112000000000002</v>
      </c>
      <c r="AI331" s="898">
        <f>+Model!BC604</f>
        <v>63.112000000000002</v>
      </c>
      <c r="AJ331" s="898">
        <f>+Model!BD604</f>
        <v>63.112000000000002</v>
      </c>
      <c r="AK331" s="898">
        <f>+Model!BE604</f>
        <v>0</v>
      </c>
      <c r="AL331" s="898">
        <f>+Model!BF604</f>
        <v>0</v>
      </c>
      <c r="AM331" s="898">
        <f>+Model!BG604</f>
        <v>0</v>
      </c>
      <c r="AN331" s="898">
        <f>+Model!BH604</f>
        <v>0</v>
      </c>
      <c r="AO331" s="898">
        <f>+Model!BI604</f>
        <v>0</v>
      </c>
      <c r="AP331" s="898">
        <f>+Model!BJ604</f>
        <v>0</v>
      </c>
      <c r="AQ331" s="898">
        <f>+Model!BK604</f>
        <v>0</v>
      </c>
      <c r="AR331" s="898">
        <f>+Model!BL604</f>
        <v>0</v>
      </c>
      <c r="AS331" s="898">
        <f>+Model!BM604</f>
        <v>0</v>
      </c>
      <c r="AT331" s="898">
        <f>+Model!BN604</f>
        <v>0</v>
      </c>
      <c r="AU331" s="971">
        <f t="shared" si="908"/>
        <v>0</v>
      </c>
      <c r="AV331" s="895"/>
    </row>
    <row r="332" spans="1:48" s="879" customFormat="1" ht="14" x14ac:dyDescent="0.4">
      <c r="A332" s="876" t="s">
        <v>225</v>
      </c>
      <c r="C332" s="905">
        <f>+Model!AA606</f>
        <v>0</v>
      </c>
      <c r="D332" s="905">
        <f>+Model!AB606</f>
        <v>0</v>
      </c>
      <c r="E332" s="905">
        <f>+Model!AC606</f>
        <v>0</v>
      </c>
      <c r="F332" s="905">
        <f>+Model!AD606</f>
        <v>0</v>
      </c>
      <c r="G332" s="905">
        <f>+Model!AE606</f>
        <v>0</v>
      </c>
      <c r="H332" s="905">
        <f>+Model!AF606</f>
        <v>0</v>
      </c>
      <c r="I332" s="905">
        <f>+Model!AG606</f>
        <v>0</v>
      </c>
      <c r="J332" s="958">
        <f>+Model!AH606</f>
        <v>0</v>
      </c>
      <c r="K332" s="905">
        <f>+Model!AI606</f>
        <v>0</v>
      </c>
      <c r="L332" s="905">
        <f>+Model!AJ606</f>
        <v>0</v>
      </c>
      <c r="M332" s="905">
        <f>+Model!AK606</f>
        <v>0</v>
      </c>
      <c r="N332" s="958">
        <f>+Model!AL606</f>
        <v>0</v>
      </c>
      <c r="O332" s="905">
        <f>+Model!AM606</f>
        <v>0</v>
      </c>
      <c r="P332" s="905">
        <f>+Model!AN606</f>
        <v>0</v>
      </c>
      <c r="Q332" s="905">
        <f>+Model!AO606</f>
        <v>0</v>
      </c>
      <c r="R332" s="958">
        <f>+Model!AP606</f>
        <v>0</v>
      </c>
      <c r="S332" s="905">
        <f>+Model!AQ606</f>
        <v>0</v>
      </c>
      <c r="T332" s="905">
        <f>+Model!AR606</f>
        <v>0</v>
      </c>
      <c r="U332" s="905">
        <f>+Model!AS606</f>
        <v>0</v>
      </c>
      <c r="V332" s="958">
        <f>+Model!AT606</f>
        <v>0</v>
      </c>
      <c r="W332" s="905">
        <f>+Model!AU606</f>
        <v>0</v>
      </c>
      <c r="X332" s="880">
        <v>0</v>
      </c>
      <c r="Y332" s="880">
        <v>0</v>
      </c>
      <c r="Z332" s="880">
        <v>0</v>
      </c>
      <c r="AA332" s="1273">
        <v>0</v>
      </c>
      <c r="AB332" s="880"/>
      <c r="AC332" s="880"/>
      <c r="AD332" s="880"/>
      <c r="AE332" s="880"/>
      <c r="AF332" s="905">
        <f>+Model!AZ606</f>
        <v>4.4139999999999997</v>
      </c>
      <c r="AG332" s="905">
        <f>+Model!BA606</f>
        <v>4.141</v>
      </c>
      <c r="AH332" s="905">
        <f>+Model!BB606</f>
        <v>4.1260000000000003</v>
      </c>
      <c r="AI332" s="905">
        <f>+Model!BC606</f>
        <v>4.1539999999999999</v>
      </c>
      <c r="AJ332" s="905">
        <f>+Model!BD606</f>
        <v>3.5960000000000001</v>
      </c>
      <c r="AK332" s="905">
        <f>+Model!BE606</f>
        <v>0</v>
      </c>
      <c r="AL332" s="905">
        <f>+Model!BF606</f>
        <v>0</v>
      </c>
      <c r="AM332" s="905">
        <f>+Model!BG606</f>
        <v>0</v>
      </c>
      <c r="AN332" s="905">
        <f>+Model!BH606</f>
        <v>0</v>
      </c>
      <c r="AO332" s="905">
        <f>+Model!BI606</f>
        <v>0</v>
      </c>
      <c r="AP332" s="905">
        <f>+Model!BJ606</f>
        <v>0</v>
      </c>
      <c r="AQ332" s="905">
        <f>+Model!BK606</f>
        <v>0</v>
      </c>
      <c r="AR332" s="905">
        <f>+Model!BL606</f>
        <v>0</v>
      </c>
      <c r="AS332" s="905">
        <f>+Model!BM606</f>
        <v>0</v>
      </c>
      <c r="AT332" s="905">
        <f>+Model!BN606</f>
        <v>0</v>
      </c>
      <c r="AU332" s="972">
        <f t="shared" si="908"/>
        <v>0</v>
      </c>
      <c r="AV332" s="895"/>
    </row>
    <row r="333" spans="1:48" s="931" customFormat="1" ht="16" x14ac:dyDescent="0.6">
      <c r="A333" s="912" t="s">
        <v>829</v>
      </c>
      <c r="C333" s="977">
        <f t="shared" ref="C333" si="1017">+SUM(C325:C332)</f>
        <v>575.69600000000014</v>
      </c>
      <c r="D333" s="977">
        <f t="shared" ref="D333" si="1018">+SUM(D325:D332)</f>
        <v>603.95600000000013</v>
      </c>
      <c r="E333" s="977">
        <f t="shared" ref="E333" si="1019">+SUM(E325:E332)</f>
        <v>624.74</v>
      </c>
      <c r="F333" s="977">
        <f t="shared" ref="F333" si="1020">+SUM(F325:F332)</f>
        <v>633.36500000000012</v>
      </c>
      <c r="G333" s="977">
        <f t="shared" ref="G333" si="1021">+SUM(G325:G332)</f>
        <v>624.7120000000001</v>
      </c>
      <c r="H333" s="977">
        <f t="shared" ref="H333" si="1022">+SUM(H325:H332)</f>
        <v>651.09600000000012</v>
      </c>
      <c r="I333" s="977">
        <f t="shared" ref="I333" si="1023">+SUM(I325:I332)</f>
        <v>664.62799999999993</v>
      </c>
      <c r="J333" s="978">
        <f t="shared" ref="J333" si="1024">+SUM(J325:J332)</f>
        <v>675.32899999999995</v>
      </c>
      <c r="K333" s="977">
        <f t="shared" ref="K333" si="1025">+SUM(K325:K332)</f>
        <v>719.02099999999996</v>
      </c>
      <c r="L333" s="977">
        <f t="shared" ref="L333" si="1026">+SUM(L325:L332)</f>
        <v>752.42899999999997</v>
      </c>
      <c r="M333" s="977">
        <f t="shared" ref="M333" si="1027">+SUM(M325:M332)</f>
        <v>786.779</v>
      </c>
      <c r="N333" s="978">
        <f t="shared" ref="N333" si="1028">+SUM(N325:N332)</f>
        <v>804.64799999999991</v>
      </c>
      <c r="O333" s="977">
        <f t="shared" ref="O333" si="1029">+SUM(O325:O332)</f>
        <v>719.90599999999995</v>
      </c>
      <c r="P333" s="977">
        <f t="shared" ref="P333" si="1030">+SUM(P325:P332)</f>
        <v>734.23300000000006</v>
      </c>
      <c r="Q333" s="977">
        <f t="shared" ref="Q333" si="1031">+SUM(Q325:Q332)</f>
        <v>780.57000000000016</v>
      </c>
      <c r="R333" s="978">
        <f t="shared" ref="R333" si="1032">+SUM(R325:R332)</f>
        <v>812.58100000000002</v>
      </c>
      <c r="S333" s="977">
        <f t="shared" ref="S333" si="1033">+SUM(S325:S332)</f>
        <v>786.82300000000009</v>
      </c>
      <c r="T333" s="977">
        <f t="shared" ref="T333" si="1034">+SUM(T325:T332)</f>
        <v>841.89900000000011</v>
      </c>
      <c r="U333" s="977">
        <f t="shared" ref="U333" si="1035">+SUM(U325:U332)</f>
        <v>899.36099999999999</v>
      </c>
      <c r="V333" s="978">
        <f t="shared" ref="V333" si="1036">+SUM(V325:V332)</f>
        <v>947.29600000000005</v>
      </c>
      <c r="W333" s="977">
        <f t="shared" ref="W333:X333" si="1037">+SUM(W325:W332)</f>
        <v>958.49299999999994</v>
      </c>
      <c r="X333" s="980">
        <f t="shared" si="1037"/>
        <v>1032.6780000000001</v>
      </c>
      <c r="Y333" s="980">
        <f t="shared" ref="Y333:Z333" si="1038">+SUM(Y325:Y332)</f>
        <v>1103.2069999999999</v>
      </c>
      <c r="Z333" s="980">
        <f t="shared" si="1038"/>
        <v>1176.0250000000001</v>
      </c>
      <c r="AA333" s="1289">
        <f t="shared" ref="AA333" si="1039">+SUM(AA325:AA332)</f>
        <v>1214.346</v>
      </c>
      <c r="AB333" s="980"/>
      <c r="AC333" s="980"/>
      <c r="AD333" s="980"/>
      <c r="AE333" s="980"/>
      <c r="AF333" s="977">
        <f t="shared" ref="AF333:AS333" si="1040">+SUM(AF325:AF332)</f>
        <v>186.69999999999996</v>
      </c>
      <c r="AG333" s="977">
        <f t="shared" si="1040"/>
        <v>225.99199999999996</v>
      </c>
      <c r="AH333" s="977">
        <f t="shared" si="1040"/>
        <v>452.74700000000007</v>
      </c>
      <c r="AI333" s="977">
        <f t="shared" si="1040"/>
        <v>477.64800000000002</v>
      </c>
      <c r="AJ333" s="977">
        <f t="shared" si="1040"/>
        <v>533.75800000000004</v>
      </c>
      <c r="AK333" s="977">
        <f t="shared" si="1040"/>
        <v>528.92999999999995</v>
      </c>
      <c r="AL333" s="977">
        <f t="shared" si="1040"/>
        <v>536.93799999999999</v>
      </c>
      <c r="AM333" s="977">
        <f t="shared" si="1040"/>
        <v>558.72</v>
      </c>
      <c r="AN333" s="977">
        <f t="shared" si="1040"/>
        <v>574.34600000000012</v>
      </c>
      <c r="AO333" s="977">
        <f t="shared" si="1040"/>
        <v>587.18900000000008</v>
      </c>
      <c r="AP333" s="977">
        <f t="shared" si="1040"/>
        <v>633.36500000000012</v>
      </c>
      <c r="AQ333" s="977">
        <f t="shared" si="1040"/>
        <v>675.32899999999995</v>
      </c>
      <c r="AR333" s="977">
        <f t="shared" si="1040"/>
        <v>804.64799999999991</v>
      </c>
      <c r="AS333" s="977">
        <f t="shared" si="1040"/>
        <v>812.58100000000002</v>
      </c>
      <c r="AT333" s="977">
        <f>+SUM(AT325:AT332)</f>
        <v>947.29600000000005</v>
      </c>
      <c r="AU333" s="979">
        <f t="shared" si="908"/>
        <v>1176.0250000000001</v>
      </c>
      <c r="AV333" s="981"/>
    </row>
    <row r="334" spans="1:48" s="908" customFormat="1" ht="13" x14ac:dyDescent="0.3">
      <c r="A334" s="946" t="s">
        <v>830</v>
      </c>
      <c r="C334" s="947">
        <f t="shared" ref="C334" si="1041">+C333+C322</f>
        <v>784.80200000000013</v>
      </c>
      <c r="D334" s="947">
        <f t="shared" ref="D334" si="1042">+D333+D322</f>
        <v>783.70300000000009</v>
      </c>
      <c r="E334" s="947">
        <f t="shared" ref="E334" si="1043">+E333+E322</f>
        <v>809.01</v>
      </c>
      <c r="F334" s="947">
        <f t="shared" ref="F334" si="1044">+F333+F322</f>
        <v>819.60600000000011</v>
      </c>
      <c r="G334" s="947">
        <f t="shared" ref="G334" si="1045">+G333+G322</f>
        <v>813.49700000000007</v>
      </c>
      <c r="H334" s="947">
        <f t="shared" ref="H334" si="1046">+H333+H322</f>
        <v>826.95000000000016</v>
      </c>
      <c r="I334" s="947">
        <f t="shared" ref="I334" si="1047">+I333+I322</f>
        <v>1036.0049999999999</v>
      </c>
      <c r="J334" s="975">
        <f t="shared" ref="J334" si="1048">+J333+J322</f>
        <v>1073.2629999999999</v>
      </c>
      <c r="K334" s="947">
        <f t="shared" ref="K334" si="1049">+K333+K322</f>
        <v>1404.4760000000001</v>
      </c>
      <c r="L334" s="947">
        <f t="shared" ref="L334" si="1050">+L333+L322</f>
        <v>1471.954</v>
      </c>
      <c r="M334" s="947">
        <f t="shared" ref="M334" si="1051">+M333+M322</f>
        <v>1534.1679999999999</v>
      </c>
      <c r="N334" s="975">
        <f t="shared" ref="N334" si="1052">+N333+N322</f>
        <v>1577.2969999999998</v>
      </c>
      <c r="O334" s="947">
        <f t="shared" ref="O334" si="1053">+O333+O322</f>
        <v>1570.365</v>
      </c>
      <c r="P334" s="947">
        <f t="shared" ref="P334" si="1054">+P333+P322</f>
        <v>1525.7449999999999</v>
      </c>
      <c r="Q334" s="947">
        <f t="shared" ref="Q334" si="1055">+Q333+Q322</f>
        <v>1574.5320000000002</v>
      </c>
      <c r="R334" s="975">
        <f t="shared" ref="R334" si="1056">+R333+R322</f>
        <v>1643.5450000000001</v>
      </c>
      <c r="S334" s="947">
        <f t="shared" ref="S334" si="1057">+S333+S322</f>
        <v>1622.098</v>
      </c>
      <c r="T334" s="947">
        <f t="shared" ref="T334" si="1058">+T333+T322</f>
        <v>1619.2910000000002</v>
      </c>
      <c r="U334" s="947">
        <f t="shared" ref="U334" si="1059">+U333+U322</f>
        <v>1699.848</v>
      </c>
      <c r="V334" s="975">
        <f t="shared" ref="V334" si="1060">+V333+V322</f>
        <v>1760.6660000000002</v>
      </c>
      <c r="W334" s="947">
        <f t="shared" ref="W334:X334" si="1061">+W333+W322</f>
        <v>1767.645</v>
      </c>
      <c r="X334" s="947">
        <f t="shared" si="1061"/>
        <v>1782.1960000000004</v>
      </c>
      <c r="Y334" s="947">
        <f t="shared" ref="Y334:Z334" si="1062">+Y333+Y322</f>
        <v>1892.213</v>
      </c>
      <c r="Z334" s="947">
        <f t="shared" si="1062"/>
        <v>1920.4650000000001</v>
      </c>
      <c r="AA334" s="1288">
        <f t="shared" ref="AA334" si="1063">+AA333+AA322</f>
        <v>1971.961</v>
      </c>
      <c r="AB334" s="947"/>
      <c r="AC334" s="947"/>
      <c r="AD334" s="947"/>
      <c r="AF334" s="947">
        <f t="shared" ref="AF334" si="1064">+AF333+AF322</f>
        <v>240.67599999999996</v>
      </c>
      <c r="AG334" s="947">
        <f t="shared" ref="AG334" si="1065">+AG333+AG322</f>
        <v>307.88199999999995</v>
      </c>
      <c r="AH334" s="947">
        <f t="shared" ref="AH334" si="1066">+AH333+AH322</f>
        <v>582.09500000000003</v>
      </c>
      <c r="AI334" s="947">
        <f t="shared" ref="AI334" si="1067">+AI333+AI322</f>
        <v>648.83500000000004</v>
      </c>
      <c r="AJ334" s="947">
        <f t="shared" ref="AJ334" si="1068">+AJ333+AJ322</f>
        <v>718.89600000000007</v>
      </c>
      <c r="AK334" s="947">
        <f t="shared" ref="AK334:AT334" si="1069">+AK333+AK322</f>
        <v>711.66699999999992</v>
      </c>
      <c r="AL334" s="947">
        <f t="shared" si="1069"/>
        <v>708.59899999999993</v>
      </c>
      <c r="AM334" s="947">
        <f t="shared" si="1069"/>
        <v>734.05500000000006</v>
      </c>
      <c r="AN334" s="947">
        <f t="shared" si="1069"/>
        <v>735.28400000000011</v>
      </c>
      <c r="AO334" s="947">
        <f t="shared" si="1069"/>
        <v>741.96300000000008</v>
      </c>
      <c r="AP334" s="947">
        <f t="shared" si="1069"/>
        <v>819.60600000000011</v>
      </c>
      <c r="AQ334" s="947">
        <f t="shared" si="1069"/>
        <v>1073.2629999999999</v>
      </c>
      <c r="AR334" s="947">
        <f t="shared" si="1069"/>
        <v>1577.2969999999998</v>
      </c>
      <c r="AS334" s="947">
        <f t="shared" si="1069"/>
        <v>1643.5450000000001</v>
      </c>
      <c r="AT334" s="947">
        <f t="shared" si="1069"/>
        <v>1760.6660000000002</v>
      </c>
      <c r="AU334" s="976">
        <f t="shared" si="908"/>
        <v>1920.4650000000001</v>
      </c>
    </row>
    <row r="335" spans="1:48" s="983" customFormat="1" ht="13" x14ac:dyDescent="0.3">
      <c r="A335" s="982"/>
      <c r="C335" s="984" t="b">
        <f t="shared" ref="C335" si="1070">+C334=C301</f>
        <v>1</v>
      </c>
      <c r="D335" s="984" t="b">
        <f t="shared" ref="D335" si="1071">+D334=D301</f>
        <v>1</v>
      </c>
      <c r="E335" s="984" t="b">
        <f t="shared" ref="E335" si="1072">+E334=E301</f>
        <v>1</v>
      </c>
      <c r="F335" s="984" t="b">
        <f t="shared" ref="F335" si="1073">+F334=F301</f>
        <v>1</v>
      </c>
      <c r="G335" s="984" t="b">
        <f t="shared" ref="G335" si="1074">+G334=G301</f>
        <v>1</v>
      </c>
      <c r="H335" s="984" t="b">
        <f t="shared" ref="H335" si="1075">+H334=H301</f>
        <v>1</v>
      </c>
      <c r="I335" s="984" t="b">
        <f t="shared" ref="I335" si="1076">+I334=I301</f>
        <v>1</v>
      </c>
      <c r="J335" s="985" t="b">
        <f t="shared" ref="J335" si="1077">+J334=J301</f>
        <v>1</v>
      </c>
      <c r="K335" s="984" t="b">
        <f t="shared" ref="K335" si="1078">+K334=K301</f>
        <v>1</v>
      </c>
      <c r="L335" s="984" t="b">
        <f t="shared" ref="L335" si="1079">+L334=L301</f>
        <v>1</v>
      </c>
      <c r="M335" s="984" t="b">
        <f t="shared" ref="M335" si="1080">+M334=M301</f>
        <v>1</v>
      </c>
      <c r="N335" s="985" t="b">
        <f t="shared" ref="N335" si="1081">+N334=N301</f>
        <v>1</v>
      </c>
      <c r="O335" s="984" t="b">
        <f t="shared" ref="O335" si="1082">+O334=O301</f>
        <v>1</v>
      </c>
      <c r="P335" s="984" t="b">
        <f t="shared" ref="P335" si="1083">+P334=P301</f>
        <v>1</v>
      </c>
      <c r="Q335" s="984" t="b">
        <f t="shared" ref="Q335" si="1084">+Q334=Q301</f>
        <v>1</v>
      </c>
      <c r="R335" s="985" t="b">
        <f t="shared" ref="R335" si="1085">+R334=R301</f>
        <v>1</v>
      </c>
      <c r="S335" s="984" t="b">
        <f t="shared" ref="S335" si="1086">+S334=S301</f>
        <v>1</v>
      </c>
      <c r="T335" s="984" t="b">
        <f t="shared" ref="T335" si="1087">+T334=T301</f>
        <v>1</v>
      </c>
      <c r="U335" s="984" t="b">
        <f t="shared" ref="U335" si="1088">+U334=U301</f>
        <v>1</v>
      </c>
      <c r="V335" s="985" t="b">
        <f t="shared" ref="V335" si="1089">+V334=V301</f>
        <v>1</v>
      </c>
      <c r="W335" s="984" t="b">
        <f t="shared" ref="W335:X335" si="1090">+W334=W301</f>
        <v>1</v>
      </c>
      <c r="X335" s="984" t="b">
        <f t="shared" si="1090"/>
        <v>1</v>
      </c>
      <c r="Y335" s="984" t="b">
        <f t="shared" ref="Y335:Z335" si="1091">+Y334=Y301</f>
        <v>1</v>
      </c>
      <c r="Z335" s="984" t="b">
        <f t="shared" si="1091"/>
        <v>1</v>
      </c>
      <c r="AA335" s="1290" t="b">
        <f t="shared" ref="AA335" si="1092">+AA334=AA301</f>
        <v>1</v>
      </c>
      <c r="AB335" s="984"/>
      <c r="AC335" s="984"/>
      <c r="AD335" s="984"/>
      <c r="AF335" s="984" t="b">
        <f t="shared" ref="AF335" si="1093">+AF334=AF301</f>
        <v>1</v>
      </c>
      <c r="AG335" s="984" t="b">
        <f t="shared" ref="AG335" si="1094">+AG334=AG301</f>
        <v>1</v>
      </c>
      <c r="AH335" s="984" t="b">
        <f t="shared" ref="AH335" si="1095">+AH334=AH301</f>
        <v>1</v>
      </c>
      <c r="AI335" s="984" t="b">
        <f t="shared" ref="AI335" si="1096">+AI334=AI301</f>
        <v>1</v>
      </c>
      <c r="AJ335" s="984" t="b">
        <f t="shared" ref="AJ335" si="1097">+AJ334=AJ301</f>
        <v>1</v>
      </c>
      <c r="AK335" s="984" t="b">
        <f t="shared" ref="AK335:AU335" si="1098">+AK334=AK301</f>
        <v>1</v>
      </c>
      <c r="AL335" s="984" t="b">
        <f t="shared" si="1098"/>
        <v>1</v>
      </c>
      <c r="AM335" s="984" t="b">
        <f t="shared" si="1098"/>
        <v>1</v>
      </c>
      <c r="AN335" s="984" t="b">
        <f t="shared" si="1098"/>
        <v>1</v>
      </c>
      <c r="AO335" s="984" t="b">
        <f t="shared" si="1098"/>
        <v>1</v>
      </c>
      <c r="AP335" s="984" t="b">
        <f t="shared" si="1098"/>
        <v>1</v>
      </c>
      <c r="AQ335" s="984" t="b">
        <f t="shared" si="1098"/>
        <v>1</v>
      </c>
      <c r="AR335" s="984" t="b">
        <f t="shared" si="1098"/>
        <v>1</v>
      </c>
      <c r="AS335" s="984" t="b">
        <f t="shared" si="1098"/>
        <v>1</v>
      </c>
      <c r="AT335" s="984" t="b">
        <f t="shared" si="1098"/>
        <v>1</v>
      </c>
      <c r="AU335" s="986" t="b">
        <f t="shared" si="1098"/>
        <v>1</v>
      </c>
    </row>
    <row r="336" spans="1:48" s="983" customFormat="1" ht="13" x14ac:dyDescent="0.3">
      <c r="A336" s="982"/>
      <c r="C336" s="984"/>
      <c r="D336" s="984"/>
      <c r="E336" s="984"/>
      <c r="F336" s="984"/>
      <c r="G336" s="984"/>
      <c r="H336" s="984"/>
      <c r="I336" s="984"/>
      <c r="J336" s="985"/>
      <c r="K336" s="984"/>
      <c r="L336" s="984"/>
      <c r="M336" s="984"/>
      <c r="N336" s="985"/>
      <c r="O336" s="984"/>
      <c r="P336" s="984"/>
      <c r="Q336" s="984"/>
      <c r="R336" s="985"/>
      <c r="S336" s="984"/>
      <c r="T336" s="984"/>
      <c r="U336" s="984"/>
      <c r="V336" s="985"/>
      <c r="W336" s="984"/>
      <c r="X336" s="984"/>
      <c r="Y336" s="984"/>
      <c r="AA336" s="1291"/>
      <c r="AF336" s="984"/>
      <c r="AG336" s="984"/>
      <c r="AH336" s="984"/>
      <c r="AI336" s="984"/>
      <c r="AJ336" s="984"/>
      <c r="AK336" s="984"/>
      <c r="AL336" s="984"/>
      <c r="AM336" s="984"/>
      <c r="AN336" s="984"/>
      <c r="AO336" s="984"/>
      <c r="AP336" s="984"/>
      <c r="AQ336" s="984"/>
      <c r="AR336" s="984"/>
      <c r="AS336" s="984"/>
      <c r="AT336" s="984"/>
    </row>
    <row r="337" spans="1:48" s="983" customFormat="1" ht="13" x14ac:dyDescent="0.3">
      <c r="A337" s="910" t="s">
        <v>912</v>
      </c>
      <c r="C337" s="984"/>
      <c r="D337" s="984"/>
      <c r="E337" s="984"/>
      <c r="F337" s="984"/>
      <c r="G337" s="984"/>
      <c r="H337" s="984"/>
      <c r="I337" s="984"/>
      <c r="J337" s="985"/>
      <c r="K337" s="984"/>
      <c r="L337" s="984"/>
      <c r="M337" s="984"/>
      <c r="N337" s="985"/>
      <c r="O337" s="984"/>
      <c r="P337" s="984"/>
      <c r="Q337" s="984"/>
      <c r="R337" s="985"/>
      <c r="S337" s="984"/>
      <c r="T337" s="984"/>
      <c r="U337" s="984"/>
      <c r="V337" s="985"/>
      <c r="W337" s="984"/>
      <c r="X337" s="984"/>
      <c r="Y337" s="984"/>
      <c r="AA337" s="1291"/>
      <c r="AF337" s="984"/>
      <c r="AG337" s="984"/>
      <c r="AH337" s="984"/>
      <c r="AI337" s="984"/>
      <c r="AJ337" s="984"/>
      <c r="AK337" s="984"/>
      <c r="AL337" s="984"/>
      <c r="AM337" s="984"/>
      <c r="AN337" s="984"/>
      <c r="AO337" s="984"/>
      <c r="AP337" s="984"/>
      <c r="AQ337" s="984"/>
      <c r="AR337" s="984"/>
      <c r="AS337" s="984"/>
      <c r="AT337" s="984"/>
    </row>
    <row r="338" spans="1:48" s="879" customFormat="1" ht="14" x14ac:dyDescent="0.4">
      <c r="A338" s="876" t="s">
        <v>910</v>
      </c>
      <c r="C338" s="898"/>
      <c r="D338" s="898"/>
      <c r="E338" s="898"/>
      <c r="F338" s="898"/>
      <c r="G338" s="1107" t="s">
        <v>890</v>
      </c>
      <c r="H338" s="1107" t="s">
        <v>890</v>
      </c>
      <c r="I338" s="1107" t="s">
        <v>890</v>
      </c>
      <c r="J338" s="1109" t="s">
        <v>890</v>
      </c>
      <c r="K338" s="1107" t="s">
        <v>890</v>
      </c>
      <c r="L338" s="1107" t="s">
        <v>890</v>
      </c>
      <c r="M338" s="1107" t="s">
        <v>890</v>
      </c>
      <c r="N338" s="957">
        <v>17.3</v>
      </c>
      <c r="O338" s="898">
        <v>29.5</v>
      </c>
      <c r="P338" s="898">
        <v>51.5</v>
      </c>
      <c r="Q338" s="898">
        <v>61.2</v>
      </c>
      <c r="R338" s="957">
        <v>63</v>
      </c>
      <c r="S338" s="898">
        <v>75.099999999999994</v>
      </c>
      <c r="T338" s="898">
        <v>82.9</v>
      </c>
      <c r="U338" s="898">
        <v>79.3</v>
      </c>
      <c r="V338" s="957">
        <v>111.9</v>
      </c>
      <c r="W338" s="898">
        <v>105.3</v>
      </c>
      <c r="X338" s="877">
        <v>151.19999999999999</v>
      </c>
      <c r="Y338" s="877">
        <f>570.7-Y283</f>
        <v>194.12300000000005</v>
      </c>
      <c r="Z338" s="877">
        <f>714.2-Z283</f>
        <v>213.58600000000007</v>
      </c>
      <c r="AA338" s="1272">
        <f>539.4-AA283</f>
        <v>221.63499999999999</v>
      </c>
      <c r="AB338" s="877"/>
      <c r="AC338" s="877"/>
      <c r="AD338" s="877"/>
      <c r="AE338" s="880"/>
      <c r="AF338" s="898"/>
      <c r="AG338" s="898"/>
      <c r="AH338" s="898"/>
      <c r="AI338" s="898"/>
      <c r="AJ338" s="898"/>
      <c r="AK338" s="898"/>
      <c r="AL338" s="1107" t="s">
        <v>890</v>
      </c>
      <c r="AM338" s="1107" t="s">
        <v>890</v>
      </c>
      <c r="AN338" s="1107" t="s">
        <v>890</v>
      </c>
      <c r="AO338" s="1107" t="s">
        <v>890</v>
      </c>
      <c r="AP338" s="1107" t="s">
        <v>890</v>
      </c>
      <c r="AQ338" s="1107" t="s">
        <v>890</v>
      </c>
      <c r="AR338" s="898">
        <f>+N338</f>
        <v>17.3</v>
      </c>
      <c r="AS338" s="1108">
        <f>+R338</f>
        <v>63</v>
      </c>
      <c r="AT338" s="898">
        <f t="shared" ref="AT338" si="1099">+V338</f>
        <v>111.9</v>
      </c>
      <c r="AU338" s="878">
        <f>+Z338</f>
        <v>213.58600000000007</v>
      </c>
      <c r="AV338" s="895"/>
    </row>
    <row r="339" spans="1:48" s="879" customFormat="1" ht="14" hidden="1" outlineLevel="1" x14ac:dyDescent="0.4">
      <c r="A339" s="876" t="s">
        <v>911</v>
      </c>
      <c r="C339" s="898"/>
      <c r="D339" s="898"/>
      <c r="E339" s="898"/>
      <c r="F339" s="898"/>
      <c r="G339" s="1107">
        <f t="shared" ref="G339:K339" si="1100">+G288</f>
        <v>13.789</v>
      </c>
      <c r="H339" s="1107">
        <f t="shared" si="1100"/>
        <v>13.189</v>
      </c>
      <c r="I339" s="1107">
        <f t="shared" si="1100"/>
        <v>13.314</v>
      </c>
      <c r="J339" s="1109">
        <f t="shared" si="1100"/>
        <v>10.98</v>
      </c>
      <c r="K339" s="1107">
        <f t="shared" si="1100"/>
        <v>19.245000000000001</v>
      </c>
      <c r="L339" s="1107">
        <f t="shared" ref="L339" si="1101">+L288</f>
        <v>24.401999999999997</v>
      </c>
      <c r="M339" s="1107">
        <f>+M288</f>
        <v>22.416</v>
      </c>
      <c r="N339" s="957">
        <f t="shared" ref="N339:AA339" si="1102">+N288-N338</f>
        <v>25.201999999999995</v>
      </c>
      <c r="O339" s="898">
        <f t="shared" si="1102"/>
        <v>26.430999999999997</v>
      </c>
      <c r="P339" s="898">
        <f t="shared" si="1102"/>
        <v>23.52300000000001</v>
      </c>
      <c r="Q339" s="898">
        <f t="shared" si="1102"/>
        <v>19.352999999999994</v>
      </c>
      <c r="R339" s="957">
        <f t="shared" si="1102"/>
        <v>17.600999999999999</v>
      </c>
      <c r="S339" s="898">
        <f t="shared" si="1102"/>
        <v>18.740000000000009</v>
      </c>
      <c r="T339" s="898">
        <f t="shared" si="1102"/>
        <v>17.687999999999988</v>
      </c>
      <c r="U339" s="898">
        <f t="shared" si="1102"/>
        <v>17.269000000000005</v>
      </c>
      <c r="V339" s="957">
        <f t="shared" si="1102"/>
        <v>17.236999999999995</v>
      </c>
      <c r="W339" s="898">
        <f t="shared" si="1102"/>
        <v>18.647999999999996</v>
      </c>
      <c r="X339" s="877">
        <f t="shared" si="1102"/>
        <v>18.615000000000009</v>
      </c>
      <c r="Y339" s="877">
        <f t="shared" si="1102"/>
        <v>-0.57600000000005025</v>
      </c>
      <c r="Z339" s="877">
        <f t="shared" si="1102"/>
        <v>-21.914000000000073</v>
      </c>
      <c r="AA339" s="1272">
        <f t="shared" si="1102"/>
        <v>-17.161999999999978</v>
      </c>
      <c r="AB339" s="877"/>
      <c r="AC339" s="877"/>
      <c r="AD339" s="877"/>
      <c r="AE339" s="880"/>
      <c r="AF339" s="898"/>
      <c r="AG339" s="898"/>
      <c r="AH339" s="898"/>
      <c r="AI339" s="898"/>
      <c r="AJ339" s="898"/>
      <c r="AK339" s="898"/>
      <c r="AL339" s="898">
        <f t="shared" ref="AL339" si="1103">+AL288</f>
        <v>24.876999999999999</v>
      </c>
      <c r="AM339" s="898">
        <f t="shared" ref="AM339:AP339" si="1104">+AM288</f>
        <v>22.047000000000001</v>
      </c>
      <c r="AN339" s="898">
        <f t="shared" si="1104"/>
        <v>12.004</v>
      </c>
      <c r="AO339" s="898">
        <f t="shared" si="1104"/>
        <v>10.388</v>
      </c>
      <c r="AP339" s="898">
        <f t="shared" si="1104"/>
        <v>11.807</v>
      </c>
      <c r="AQ339" s="898">
        <f>+AQ288</f>
        <v>10.98</v>
      </c>
      <c r="AR339" s="898">
        <f>+N339</f>
        <v>25.201999999999995</v>
      </c>
      <c r="AS339" s="1108">
        <f>+R339</f>
        <v>17.600999999999999</v>
      </c>
      <c r="AT339" s="898">
        <f>+V339</f>
        <v>17.236999999999995</v>
      </c>
      <c r="AU339" s="878">
        <f>+Z339</f>
        <v>-21.914000000000073</v>
      </c>
      <c r="AV339" s="895"/>
    </row>
    <row r="340" spans="1:48" s="879" customFormat="1" ht="14" collapsed="1" x14ac:dyDescent="0.4">
      <c r="A340" s="876"/>
      <c r="C340" s="898"/>
      <c r="D340" s="898"/>
      <c r="E340" s="898"/>
      <c r="F340" s="898"/>
      <c r="G340" s="1107"/>
      <c r="H340" s="1107"/>
      <c r="I340" s="1107"/>
      <c r="J340" s="1109"/>
      <c r="K340" s="1107"/>
      <c r="L340" s="1107"/>
      <c r="M340" s="1107"/>
      <c r="N340" s="957"/>
      <c r="O340" s="898"/>
      <c r="P340" s="898"/>
      <c r="Q340" s="898"/>
      <c r="R340" s="957"/>
      <c r="S340" s="898"/>
      <c r="T340" s="898"/>
      <c r="U340" s="898"/>
      <c r="V340" s="957"/>
      <c r="W340" s="898"/>
      <c r="X340" s="877"/>
      <c r="Y340" s="877"/>
      <c r="Z340" s="877"/>
      <c r="AA340" s="1272"/>
      <c r="AB340" s="877"/>
      <c r="AC340" s="877"/>
      <c r="AD340" s="877"/>
      <c r="AE340" s="880"/>
      <c r="AF340" s="898"/>
      <c r="AG340" s="898"/>
      <c r="AH340" s="898"/>
      <c r="AI340" s="898"/>
      <c r="AJ340" s="898"/>
      <c r="AK340" s="898"/>
      <c r="AL340" s="898"/>
      <c r="AM340" s="898"/>
      <c r="AN340" s="898"/>
      <c r="AO340" s="898"/>
      <c r="AP340" s="898"/>
      <c r="AQ340" s="898"/>
      <c r="AR340" s="898"/>
      <c r="AS340" s="1108"/>
      <c r="AT340" s="898"/>
      <c r="AU340" s="878"/>
      <c r="AV340" s="895"/>
    </row>
    <row r="341" spans="1:48" s="879" customFormat="1" ht="14" x14ac:dyDescent="0.4">
      <c r="A341" s="904" t="s">
        <v>336</v>
      </c>
      <c r="B341" s="903"/>
      <c r="C341" s="898"/>
      <c r="D341" s="898"/>
      <c r="E341" s="898"/>
      <c r="F341" s="898"/>
      <c r="G341" s="1107"/>
      <c r="H341" s="1107"/>
      <c r="I341" s="1107"/>
      <c r="J341" s="1109"/>
      <c r="K341" s="1107"/>
      <c r="L341" s="1107"/>
      <c r="M341" s="1107"/>
      <c r="N341" s="957"/>
      <c r="O341" s="898"/>
      <c r="P341" s="898"/>
      <c r="Q341" s="898"/>
      <c r="R341" s="957"/>
      <c r="S341" s="898"/>
      <c r="T341" s="898"/>
      <c r="U341" s="898"/>
      <c r="V341" s="957"/>
      <c r="W341" s="898"/>
      <c r="X341" s="877"/>
      <c r="Y341" s="877"/>
      <c r="Z341" s="877"/>
      <c r="AA341" s="1272"/>
      <c r="AB341" s="877"/>
      <c r="AC341" s="877"/>
      <c r="AD341" s="877"/>
      <c r="AE341" s="880"/>
      <c r="AF341" s="898"/>
      <c r="AG341" s="898"/>
      <c r="AH341" s="898"/>
      <c r="AI341" s="898"/>
      <c r="AJ341" s="898"/>
      <c r="AK341" s="898"/>
      <c r="AL341" s="898"/>
      <c r="AM341" s="898"/>
      <c r="AN341" s="898"/>
      <c r="AO341" s="898"/>
      <c r="AP341" s="898"/>
      <c r="AQ341" s="898"/>
      <c r="AR341" s="898"/>
      <c r="AS341" s="1108"/>
      <c r="AT341" s="898"/>
      <c r="AU341" s="878"/>
      <c r="AV341" s="895"/>
    </row>
    <row r="342" spans="1:48" s="879" customFormat="1" ht="14" x14ac:dyDescent="0.4">
      <c r="A342" s="876"/>
      <c r="C342" s="898"/>
      <c r="D342" s="898"/>
      <c r="E342" s="898"/>
      <c r="F342" s="898"/>
      <c r="G342" s="1107"/>
      <c r="H342" s="1107"/>
      <c r="I342" s="1107"/>
      <c r="J342" s="1109"/>
      <c r="K342" s="1107"/>
      <c r="L342" s="1107"/>
      <c r="M342" s="1107"/>
      <c r="N342" s="957"/>
      <c r="O342" s="898"/>
      <c r="P342" s="898"/>
      <c r="Q342" s="898"/>
      <c r="R342" s="957"/>
      <c r="S342" s="898"/>
      <c r="T342" s="898"/>
      <c r="U342" s="898"/>
      <c r="V342" s="957"/>
      <c r="W342" s="898"/>
      <c r="X342" s="877"/>
      <c r="Y342" s="877"/>
      <c r="Z342" s="877"/>
      <c r="AA342" s="1272"/>
      <c r="AB342" s="877"/>
      <c r="AC342" s="877"/>
      <c r="AD342" s="877"/>
      <c r="AE342" s="880"/>
      <c r="AF342" s="898"/>
      <c r="AG342" s="898"/>
      <c r="AH342" s="898"/>
      <c r="AI342" s="898"/>
      <c r="AJ342" s="898"/>
      <c r="AK342" s="898"/>
      <c r="AL342" s="898"/>
      <c r="AM342" s="898"/>
      <c r="AN342" s="898"/>
      <c r="AO342" s="898"/>
      <c r="AP342" s="898"/>
      <c r="AQ342" s="898"/>
      <c r="AR342" s="898"/>
      <c r="AS342" s="1108"/>
      <c r="AT342" s="898"/>
      <c r="AU342" s="878"/>
      <c r="AV342" s="895"/>
    </row>
    <row r="343" spans="1:48" s="879" customFormat="1" ht="14" x14ac:dyDescent="0.4">
      <c r="A343" s="910" t="s">
        <v>952</v>
      </c>
      <c r="C343" s="898"/>
      <c r="D343" s="898"/>
      <c r="E343" s="898"/>
      <c r="F343" s="898"/>
      <c r="G343" s="1107"/>
      <c r="H343" s="1107"/>
      <c r="I343" s="1107"/>
      <c r="J343" s="1109"/>
      <c r="K343" s="1107"/>
      <c r="L343" s="1107"/>
      <c r="M343" s="1107"/>
      <c r="N343" s="957"/>
      <c r="O343" s="898"/>
      <c r="P343" s="898"/>
      <c r="Q343" s="898"/>
      <c r="R343" s="957"/>
      <c r="S343" s="898"/>
      <c r="T343" s="898"/>
      <c r="U343" s="898"/>
      <c r="V343" s="957"/>
      <c r="W343" s="898"/>
      <c r="X343" s="877"/>
      <c r="Y343" s="877"/>
      <c r="Z343" s="877"/>
      <c r="AA343" s="1272"/>
      <c r="AB343" s="877"/>
      <c r="AC343" s="877"/>
      <c r="AD343" s="877"/>
      <c r="AE343" s="880"/>
      <c r="AF343" s="898"/>
      <c r="AG343" s="898"/>
      <c r="AH343" s="898"/>
      <c r="AI343" s="898"/>
      <c r="AJ343" s="898"/>
      <c r="AK343" s="898"/>
      <c r="AL343" s="898"/>
      <c r="AM343" s="898"/>
      <c r="AN343" s="898"/>
      <c r="AO343" s="898"/>
      <c r="AP343" s="898"/>
      <c r="AQ343" s="898"/>
      <c r="AR343" s="898"/>
      <c r="AS343" s="1108"/>
      <c r="AT343" s="898"/>
      <c r="AU343" s="878"/>
      <c r="AV343" s="895"/>
    </row>
    <row r="344" spans="1:48" s="879" customFormat="1" ht="14" x14ac:dyDescent="0.4">
      <c r="A344" s="876" t="s">
        <v>953</v>
      </c>
      <c r="C344" s="1107">
        <f t="shared" ref="C344:E344" si="1105">+C284</f>
        <v>283.80599999999998</v>
      </c>
      <c r="D344" s="1107">
        <f t="shared" si="1105"/>
        <v>239.702</v>
      </c>
      <c r="E344" s="1107">
        <f t="shared" si="1105"/>
        <v>238.614</v>
      </c>
      <c r="F344" s="1107">
        <f t="shared" ref="F344" si="1106">+F284</f>
        <v>191.63900000000001</v>
      </c>
      <c r="G344" s="1107">
        <f t="shared" ref="G344:Y345" si="1107">+G284</f>
        <v>267.69</v>
      </c>
      <c r="H344" s="1107">
        <f t="shared" si="1107"/>
        <v>251.624</v>
      </c>
      <c r="I344" s="1107">
        <f t="shared" si="1107"/>
        <v>284.32600000000002</v>
      </c>
      <c r="J344" s="1109">
        <f t="shared" si="1107"/>
        <v>236.13399999999999</v>
      </c>
      <c r="K344" s="1107">
        <f t="shared" si="1107"/>
        <v>419.61500000000001</v>
      </c>
      <c r="L344" s="1107">
        <f t="shared" si="1107"/>
        <v>435.25400000000002</v>
      </c>
      <c r="M344" s="1107">
        <f t="shared" si="1107"/>
        <v>422.786</v>
      </c>
      <c r="N344" s="957">
        <f t="shared" si="1107"/>
        <v>369.303</v>
      </c>
      <c r="O344" s="898">
        <f t="shared" si="1107"/>
        <v>519.39300000000003</v>
      </c>
      <c r="P344" s="898">
        <f t="shared" si="1107"/>
        <v>430.43599999999998</v>
      </c>
      <c r="Q344" s="898">
        <f t="shared" si="1107"/>
        <v>422.61500000000001</v>
      </c>
      <c r="R344" s="957">
        <f t="shared" si="1107"/>
        <v>418.55799999999999</v>
      </c>
      <c r="S344" s="898">
        <f t="shared" si="1107"/>
        <v>543.70500000000004</v>
      </c>
      <c r="T344" s="898">
        <f t="shared" si="1107"/>
        <v>442.166</v>
      </c>
      <c r="U344" s="898">
        <f t="shared" si="1107"/>
        <v>474.66300000000001</v>
      </c>
      <c r="V344" s="957">
        <f t="shared" si="1107"/>
        <v>463.72199999999998</v>
      </c>
      <c r="W344" s="898">
        <f t="shared" si="1107"/>
        <v>629.6</v>
      </c>
      <c r="X344" s="877">
        <f t="shared" si="1107"/>
        <v>509.63499999999999</v>
      </c>
      <c r="Y344" s="877">
        <f t="shared" si="1107"/>
        <v>577.79200000000003</v>
      </c>
      <c r="Z344" s="898">
        <f t="shared" ref="Z344:AA344" si="1108">+Z284</f>
        <v>472.75400000000002</v>
      </c>
      <c r="AA344" s="1272">
        <f t="shared" si="1108"/>
        <v>675.70899999999995</v>
      </c>
      <c r="AB344" s="877"/>
      <c r="AC344" s="877"/>
      <c r="AD344" s="877"/>
      <c r="AE344" s="880"/>
      <c r="AF344" s="898"/>
      <c r="AG344" s="898"/>
      <c r="AH344" s="898"/>
      <c r="AI344" s="898"/>
      <c r="AJ344" s="898"/>
      <c r="AK344" s="898">
        <f t="shared" ref="AK344:AS344" si="1109">+AK284</f>
        <v>194.67599999999999</v>
      </c>
      <c r="AL344" s="898">
        <f t="shared" si="1109"/>
        <v>188.24600000000001</v>
      </c>
      <c r="AM344" s="898">
        <f t="shared" si="1109"/>
        <v>169.554</v>
      </c>
      <c r="AN344" s="898">
        <f t="shared" si="1109"/>
        <v>192.20500000000001</v>
      </c>
      <c r="AO344" s="898">
        <f t="shared" si="1109"/>
        <v>176.31899999999999</v>
      </c>
      <c r="AP344" s="898">
        <f t="shared" si="1109"/>
        <v>191.63900000000001</v>
      </c>
      <c r="AQ344" s="898">
        <f t="shared" si="1109"/>
        <v>236.13399999999999</v>
      </c>
      <c r="AR344" s="898">
        <f t="shared" si="1109"/>
        <v>369.303</v>
      </c>
      <c r="AS344" s="1108">
        <f t="shared" si="1109"/>
        <v>418.55799999999999</v>
      </c>
      <c r="AT344" s="898">
        <f>+AT284</f>
        <v>463.72199999999998</v>
      </c>
      <c r="AU344" s="878">
        <f t="shared" ref="AU344:AU345" si="1110">+AU284</f>
        <v>472.75400000000002</v>
      </c>
      <c r="AV344" s="895"/>
    </row>
    <row r="345" spans="1:48" s="879" customFormat="1" ht="14" x14ac:dyDescent="0.4">
      <c r="A345" s="876" t="s">
        <v>954</v>
      </c>
      <c r="C345" s="1107">
        <f t="shared" ref="C345:E345" si="1111">+C285</f>
        <v>18.116</v>
      </c>
      <c r="D345" s="1107">
        <f t="shared" si="1111"/>
        <v>17.068000000000001</v>
      </c>
      <c r="E345" s="1107">
        <f t="shared" si="1111"/>
        <v>17.195</v>
      </c>
      <c r="F345" s="1107">
        <f t="shared" ref="F345" si="1112">+F285</f>
        <v>29.946000000000002</v>
      </c>
      <c r="G345" s="1107">
        <f t="shared" si="1107"/>
        <v>20.515999999999998</v>
      </c>
      <c r="H345" s="1107">
        <f t="shared" si="1107"/>
        <v>20.071000000000002</v>
      </c>
      <c r="I345" s="1107">
        <f t="shared" si="1107"/>
        <v>19.579000000000001</v>
      </c>
      <c r="J345" s="1109">
        <f t="shared" si="1107"/>
        <v>28.3</v>
      </c>
      <c r="K345" s="1107">
        <f t="shared" si="1107"/>
        <v>24.009</v>
      </c>
      <c r="L345" s="1107">
        <f t="shared" si="1107"/>
        <v>28.618000000000002</v>
      </c>
      <c r="M345" s="1107">
        <f t="shared" si="1107"/>
        <v>28.814</v>
      </c>
      <c r="N345" s="957">
        <f t="shared" si="1107"/>
        <v>39.69</v>
      </c>
      <c r="O345" s="898">
        <f t="shared" si="1107"/>
        <v>24.873000000000001</v>
      </c>
      <c r="P345" s="898">
        <f t="shared" si="1107"/>
        <v>23.940999999999999</v>
      </c>
      <c r="Q345" s="898">
        <f t="shared" si="1107"/>
        <v>23.986000000000001</v>
      </c>
      <c r="R345" s="957">
        <f t="shared" si="1107"/>
        <v>36.003</v>
      </c>
      <c r="S345" s="898">
        <f t="shared" si="1107"/>
        <v>27.919</v>
      </c>
      <c r="T345" s="898">
        <f t="shared" si="1107"/>
        <v>23.96</v>
      </c>
      <c r="U345" s="898">
        <f t="shared" si="1107"/>
        <v>22.884</v>
      </c>
      <c r="V345" s="957">
        <f t="shared" si="1107"/>
        <v>36.716000000000001</v>
      </c>
      <c r="W345" s="898">
        <f t="shared" si="1107"/>
        <v>21.751999999999999</v>
      </c>
      <c r="X345" s="877">
        <f t="shared" si="1107"/>
        <v>19.506</v>
      </c>
      <c r="Y345" s="877">
        <f t="shared" si="1107"/>
        <v>21.038</v>
      </c>
      <c r="Z345" s="898">
        <f t="shared" ref="Z345:AA345" si="1113">+Z285</f>
        <v>36.747999999999998</v>
      </c>
      <c r="AA345" s="1272">
        <f t="shared" si="1113"/>
        <v>22.318999999999999</v>
      </c>
      <c r="AB345" s="877"/>
      <c r="AC345" s="877"/>
      <c r="AD345" s="877"/>
      <c r="AE345" s="880"/>
      <c r="AF345" s="898"/>
      <c r="AG345" s="898"/>
      <c r="AH345" s="898"/>
      <c r="AI345" s="898"/>
      <c r="AJ345" s="898"/>
      <c r="AK345" s="898">
        <f t="shared" ref="AK345:AS345" si="1114">+AK285</f>
        <v>33.83</v>
      </c>
      <c r="AL345" s="898">
        <f t="shared" si="1114"/>
        <v>29.571000000000002</v>
      </c>
      <c r="AM345" s="898">
        <f t="shared" si="1114"/>
        <v>30.631</v>
      </c>
      <c r="AN345" s="898">
        <f t="shared" si="1114"/>
        <v>30.503</v>
      </c>
      <c r="AO345" s="898">
        <f t="shared" si="1114"/>
        <v>31.134</v>
      </c>
      <c r="AP345" s="898">
        <f t="shared" si="1114"/>
        <v>29.946000000000002</v>
      </c>
      <c r="AQ345" s="898">
        <f t="shared" si="1114"/>
        <v>28.3</v>
      </c>
      <c r="AR345" s="898">
        <f t="shared" si="1114"/>
        <v>39.69</v>
      </c>
      <c r="AS345" s="1108">
        <f t="shared" si="1114"/>
        <v>36.003</v>
      </c>
      <c r="AT345" s="898">
        <f>+AT285</f>
        <v>36.716000000000001</v>
      </c>
      <c r="AU345" s="878">
        <f t="shared" si="1110"/>
        <v>36.747999999999998</v>
      </c>
      <c r="AV345" s="895"/>
    </row>
    <row r="346" spans="1:48" s="879" customFormat="1" ht="14" x14ac:dyDescent="0.4">
      <c r="A346" s="876" t="s">
        <v>800</v>
      </c>
      <c r="C346" s="1173">
        <f t="shared" ref="C346:E346" si="1115">+C288+C287</f>
        <v>40.232999999999997</v>
      </c>
      <c r="D346" s="1173">
        <f t="shared" si="1115"/>
        <v>33.567</v>
      </c>
      <c r="E346" s="1173">
        <f t="shared" si="1115"/>
        <v>32.138999999999996</v>
      </c>
      <c r="F346" s="1173">
        <f t="shared" ref="F346" si="1116">+F288+F287</f>
        <v>24.450000000000003</v>
      </c>
      <c r="G346" s="1173">
        <f t="shared" ref="G346:Y346" si="1117">+G288+G287</f>
        <v>43.66</v>
      </c>
      <c r="H346" s="1173">
        <f t="shared" si="1117"/>
        <v>29.858000000000001</v>
      </c>
      <c r="I346" s="1173">
        <f t="shared" si="1117"/>
        <v>32.259</v>
      </c>
      <c r="J346" s="1174">
        <f t="shared" si="1117"/>
        <v>24.038</v>
      </c>
      <c r="K346" s="1173">
        <f t="shared" si="1117"/>
        <v>52.582999999999998</v>
      </c>
      <c r="L346" s="1173">
        <f t="shared" si="1117"/>
        <v>45.927</v>
      </c>
      <c r="M346" s="1173">
        <f t="shared" si="1117"/>
        <v>49.072000000000003</v>
      </c>
      <c r="N346" s="958">
        <f t="shared" si="1117"/>
        <v>61.954999999999998</v>
      </c>
      <c r="O346" s="905">
        <f t="shared" si="1117"/>
        <v>94.288999999999987</v>
      </c>
      <c r="P346" s="905">
        <f t="shared" si="1117"/>
        <v>104.26300000000001</v>
      </c>
      <c r="Q346" s="905">
        <f t="shared" si="1117"/>
        <v>116.41399999999999</v>
      </c>
      <c r="R346" s="958">
        <f t="shared" si="1117"/>
        <v>106.575</v>
      </c>
      <c r="S346" s="905">
        <f t="shared" si="1117"/>
        <v>164.989</v>
      </c>
      <c r="T346" s="905">
        <f t="shared" si="1117"/>
        <v>144.41</v>
      </c>
      <c r="U346" s="905">
        <f t="shared" si="1117"/>
        <v>135.58100000000002</v>
      </c>
      <c r="V346" s="958">
        <f t="shared" si="1117"/>
        <v>153.95400000000001</v>
      </c>
      <c r="W346" s="905">
        <f t="shared" si="1117"/>
        <v>174.298</v>
      </c>
      <c r="X346" s="880">
        <f t="shared" si="1117"/>
        <v>205.34399999999999</v>
      </c>
      <c r="Y346" s="880">
        <f t="shared" si="1117"/>
        <v>233.67400000000001</v>
      </c>
      <c r="Z346" s="905">
        <f t="shared" ref="Z346:AA346" si="1118">+Z288+Z287</f>
        <v>220.83600000000001</v>
      </c>
      <c r="AA346" s="1273">
        <f t="shared" si="1118"/>
        <v>258.375</v>
      </c>
      <c r="AB346" s="880"/>
      <c r="AC346" s="880"/>
      <c r="AD346" s="880"/>
      <c r="AE346" s="880"/>
      <c r="AF346" s="905"/>
      <c r="AG346" s="905"/>
      <c r="AH346" s="905"/>
      <c r="AI346" s="905"/>
      <c r="AJ346" s="905"/>
      <c r="AK346" s="905">
        <f t="shared" ref="AK346:AS346" si="1119">+AK288+AK287</f>
        <v>32.853999999999999</v>
      </c>
      <c r="AL346" s="905">
        <f t="shared" si="1119"/>
        <v>36.305</v>
      </c>
      <c r="AM346" s="905">
        <f t="shared" si="1119"/>
        <v>31.681000000000001</v>
      </c>
      <c r="AN346" s="905">
        <f t="shared" si="1119"/>
        <v>20.009999999999998</v>
      </c>
      <c r="AO346" s="905">
        <f t="shared" si="1119"/>
        <v>20.666</v>
      </c>
      <c r="AP346" s="905">
        <f t="shared" si="1119"/>
        <v>24.450000000000003</v>
      </c>
      <c r="AQ346" s="905">
        <f t="shared" si="1119"/>
        <v>24.038</v>
      </c>
      <c r="AR346" s="905">
        <f t="shared" si="1119"/>
        <v>61.954999999999998</v>
      </c>
      <c r="AS346" s="1113">
        <f t="shared" si="1119"/>
        <v>106.575</v>
      </c>
      <c r="AT346" s="905">
        <f>+AT288+AT287</f>
        <v>153.95400000000001</v>
      </c>
      <c r="AU346" s="881">
        <f t="shared" ref="AU346" si="1120">+AU288+AU287</f>
        <v>220.83600000000001</v>
      </c>
      <c r="AV346" s="895"/>
    </row>
    <row r="347" spans="1:48" s="879" customFormat="1" ht="14" x14ac:dyDescent="0.4">
      <c r="A347" s="882" t="s">
        <v>197</v>
      </c>
      <c r="C347" s="1107">
        <f t="shared" ref="C347" si="1121">+SUM(C344:C346)</f>
        <v>342.15499999999997</v>
      </c>
      <c r="D347" s="1107">
        <f t="shared" ref="D347" si="1122">+SUM(D344:D346)</f>
        <v>290.33699999999999</v>
      </c>
      <c r="E347" s="1107">
        <f t="shared" ref="E347" si="1123">+SUM(E344:E346)</f>
        <v>287.94799999999998</v>
      </c>
      <c r="F347" s="1107">
        <f t="shared" ref="F347" si="1124">+SUM(F344:F346)</f>
        <v>246.03500000000003</v>
      </c>
      <c r="G347" s="1107">
        <f t="shared" ref="G347" si="1125">+SUM(G344:G346)</f>
        <v>331.86599999999999</v>
      </c>
      <c r="H347" s="1107">
        <f t="shared" ref="H347" si="1126">+SUM(H344:H346)</f>
        <v>301.553</v>
      </c>
      <c r="I347" s="1107">
        <f t="shared" ref="I347" si="1127">+SUM(I344:I346)</f>
        <v>336.16400000000004</v>
      </c>
      <c r="J347" s="1109">
        <f t="shared" ref="J347" si="1128">+SUM(J344:J346)</f>
        <v>288.47199999999998</v>
      </c>
      <c r="K347" s="1107">
        <f t="shared" ref="K347" si="1129">+SUM(K344:K346)</f>
        <v>496.20699999999999</v>
      </c>
      <c r="L347" s="1107">
        <f t="shared" ref="L347" si="1130">+SUM(L344:L346)</f>
        <v>509.79900000000004</v>
      </c>
      <c r="M347" s="1107">
        <f t="shared" ref="M347" si="1131">+SUM(M344:M346)</f>
        <v>500.67200000000003</v>
      </c>
      <c r="N347" s="957">
        <f t="shared" ref="N347" si="1132">+SUM(N344:N346)</f>
        <v>470.94799999999998</v>
      </c>
      <c r="O347" s="898">
        <f t="shared" ref="O347" si="1133">+SUM(O344:O346)</f>
        <v>638.55500000000006</v>
      </c>
      <c r="P347" s="898">
        <f t="shared" ref="P347" si="1134">+SUM(P344:P346)</f>
        <v>558.64</v>
      </c>
      <c r="Q347" s="898">
        <f t="shared" ref="Q347" si="1135">+SUM(Q344:Q346)</f>
        <v>563.01499999999999</v>
      </c>
      <c r="R347" s="957">
        <f t="shared" ref="R347" si="1136">+SUM(R344:R346)</f>
        <v>561.13599999999997</v>
      </c>
      <c r="S347" s="898">
        <f t="shared" ref="S347" si="1137">+SUM(S344:S346)</f>
        <v>736.61300000000006</v>
      </c>
      <c r="T347" s="898">
        <f t="shared" ref="T347" si="1138">+SUM(T344:T346)</f>
        <v>610.53599999999994</v>
      </c>
      <c r="U347" s="898">
        <f t="shared" ref="U347" si="1139">+SUM(U344:U346)</f>
        <v>633.12800000000004</v>
      </c>
      <c r="V347" s="957">
        <f t="shared" ref="V347" si="1140">+SUM(V344:V346)</f>
        <v>654.39200000000005</v>
      </c>
      <c r="W347" s="898">
        <f t="shared" ref="W347" si="1141">+SUM(W344:W346)</f>
        <v>825.65</v>
      </c>
      <c r="X347" s="877">
        <f t="shared" ref="X347" si="1142">+SUM(X344:X346)</f>
        <v>734.4849999999999</v>
      </c>
      <c r="Y347" s="877">
        <f t="shared" ref="Y347" si="1143">+SUM(Y344:Y346)</f>
        <v>832.50400000000002</v>
      </c>
      <c r="Z347" s="898">
        <f t="shared" ref="Z347:AA347" si="1144">+SUM(Z344:Z346)</f>
        <v>730.33799999999997</v>
      </c>
      <c r="AA347" s="1272">
        <f t="shared" si="1144"/>
        <v>956.40299999999991</v>
      </c>
      <c r="AB347" s="877"/>
      <c r="AC347" s="877"/>
      <c r="AD347" s="877"/>
      <c r="AE347" s="880"/>
      <c r="AF347" s="898"/>
      <c r="AG347" s="898"/>
      <c r="AH347" s="898"/>
      <c r="AI347" s="898"/>
      <c r="AJ347" s="898"/>
      <c r="AK347" s="898">
        <f t="shared" ref="AK347:AS347" si="1145">+SUM(AK344:AK346)</f>
        <v>261.35999999999996</v>
      </c>
      <c r="AL347" s="898">
        <f t="shared" si="1145"/>
        <v>254.12200000000001</v>
      </c>
      <c r="AM347" s="898">
        <f t="shared" si="1145"/>
        <v>231.86600000000001</v>
      </c>
      <c r="AN347" s="898">
        <f t="shared" si="1145"/>
        <v>242.71800000000002</v>
      </c>
      <c r="AO347" s="898">
        <f t="shared" si="1145"/>
        <v>228.11899999999997</v>
      </c>
      <c r="AP347" s="898">
        <f t="shared" si="1145"/>
        <v>246.03500000000003</v>
      </c>
      <c r="AQ347" s="898">
        <f t="shared" si="1145"/>
        <v>288.47199999999998</v>
      </c>
      <c r="AR347" s="898">
        <f t="shared" si="1145"/>
        <v>470.94799999999998</v>
      </c>
      <c r="AS347" s="1108">
        <f t="shared" si="1145"/>
        <v>561.13599999999997</v>
      </c>
      <c r="AT347" s="898">
        <f>+SUM(AT344:AT346)</f>
        <v>654.39200000000005</v>
      </c>
      <c r="AU347" s="878">
        <f t="shared" ref="AU347" si="1146">+SUM(AU344:AU346)</f>
        <v>730.33799999999997</v>
      </c>
      <c r="AV347" s="895"/>
    </row>
    <row r="348" spans="1:48" s="879" customFormat="1" ht="14" x14ac:dyDescent="0.4">
      <c r="A348" s="876"/>
      <c r="C348" s="1107"/>
      <c r="D348" s="1107"/>
      <c r="E348" s="1107"/>
      <c r="F348" s="1107"/>
      <c r="G348" s="1107"/>
      <c r="H348" s="1107"/>
      <c r="I348" s="1107"/>
      <c r="J348" s="1109"/>
      <c r="K348" s="1107"/>
      <c r="L348" s="1107"/>
      <c r="M348" s="1107"/>
      <c r="N348" s="957"/>
      <c r="O348" s="898"/>
      <c r="P348" s="898"/>
      <c r="Q348" s="898"/>
      <c r="R348" s="957"/>
      <c r="S348" s="898"/>
      <c r="T348" s="898"/>
      <c r="U348" s="898"/>
      <c r="V348" s="957"/>
      <c r="W348" s="898"/>
      <c r="X348" s="877"/>
      <c r="Y348" s="877"/>
      <c r="Z348" s="898"/>
      <c r="AA348" s="1272"/>
      <c r="AB348" s="877"/>
      <c r="AC348" s="877"/>
      <c r="AD348" s="877"/>
      <c r="AE348" s="880"/>
      <c r="AF348" s="898"/>
      <c r="AG348" s="898"/>
      <c r="AH348" s="898"/>
      <c r="AI348" s="898"/>
      <c r="AJ348" s="898"/>
      <c r="AK348" s="898"/>
      <c r="AL348" s="898"/>
      <c r="AM348" s="898"/>
      <c r="AN348" s="898"/>
      <c r="AO348" s="898"/>
      <c r="AP348" s="898"/>
      <c r="AQ348" s="898"/>
      <c r="AR348" s="898"/>
      <c r="AS348" s="1108"/>
      <c r="AT348" s="898"/>
      <c r="AU348" s="878"/>
      <c r="AV348" s="895"/>
    </row>
    <row r="349" spans="1:48" s="879" customFormat="1" ht="14" x14ac:dyDescent="0.4">
      <c r="A349" s="876" t="s">
        <v>955</v>
      </c>
      <c r="C349" s="1107">
        <f t="shared" ref="C349:E349" si="1147">+C305</f>
        <v>39.061999999999998</v>
      </c>
      <c r="D349" s="1107">
        <f t="shared" si="1147"/>
        <v>20.46</v>
      </c>
      <c r="E349" s="1107">
        <f t="shared" si="1147"/>
        <v>23.207999999999998</v>
      </c>
      <c r="F349" s="1107">
        <f t="shared" ref="F349" si="1148">+F305</f>
        <v>50.488</v>
      </c>
      <c r="G349" s="1107">
        <f t="shared" ref="G349:Y349" si="1149">+G305</f>
        <v>46.204000000000001</v>
      </c>
      <c r="H349" s="1107">
        <f t="shared" si="1149"/>
        <v>30.597999999999999</v>
      </c>
      <c r="I349" s="1107">
        <f t="shared" si="1149"/>
        <v>25.234999999999999</v>
      </c>
      <c r="J349" s="1109">
        <f t="shared" si="1149"/>
        <v>40.427999999999997</v>
      </c>
      <c r="K349" s="1107">
        <f t="shared" si="1149"/>
        <v>91.956999999999994</v>
      </c>
      <c r="L349" s="1107">
        <f t="shared" si="1149"/>
        <v>39.250999999999998</v>
      </c>
      <c r="M349" s="1107">
        <f t="shared" si="1149"/>
        <v>47.042999999999999</v>
      </c>
      <c r="N349" s="957">
        <f t="shared" si="1149"/>
        <v>62.143999999999998</v>
      </c>
      <c r="O349" s="898">
        <f t="shared" si="1149"/>
        <v>58.588999999999999</v>
      </c>
      <c r="P349" s="898">
        <f t="shared" si="1149"/>
        <v>33.820999999999998</v>
      </c>
      <c r="Q349" s="898">
        <f t="shared" si="1149"/>
        <v>32.847999999999999</v>
      </c>
      <c r="R349" s="957">
        <f t="shared" si="1149"/>
        <v>61.997</v>
      </c>
      <c r="S349" s="898">
        <f t="shared" si="1149"/>
        <v>68.956000000000003</v>
      </c>
      <c r="T349" s="898">
        <f t="shared" si="1149"/>
        <v>32.808999999999997</v>
      </c>
      <c r="U349" s="898">
        <f t="shared" si="1149"/>
        <v>35.252000000000002</v>
      </c>
      <c r="V349" s="957">
        <f t="shared" si="1149"/>
        <v>48.853999999999999</v>
      </c>
      <c r="W349" s="898">
        <f t="shared" si="1149"/>
        <v>74.585999999999999</v>
      </c>
      <c r="X349" s="877">
        <f t="shared" si="1149"/>
        <v>31.318999999999999</v>
      </c>
      <c r="Y349" s="877">
        <f t="shared" si="1149"/>
        <v>37.155999999999999</v>
      </c>
      <c r="Z349" s="898">
        <f t="shared" ref="Z349:AA349" si="1150">+Z305</f>
        <v>40.97</v>
      </c>
      <c r="AA349" s="1272">
        <f t="shared" si="1150"/>
        <v>50.057000000000002</v>
      </c>
      <c r="AB349" s="877"/>
      <c r="AC349" s="877"/>
      <c r="AD349" s="877"/>
      <c r="AE349" s="880"/>
      <c r="AF349" s="898"/>
      <c r="AG349" s="898"/>
      <c r="AH349" s="898"/>
      <c r="AI349" s="898"/>
      <c r="AJ349" s="898"/>
      <c r="AK349" s="898">
        <f t="shared" ref="AK349:AS349" si="1151">+AK305</f>
        <v>30.975999999999999</v>
      </c>
      <c r="AL349" s="898">
        <f t="shared" si="1151"/>
        <v>29.818999999999999</v>
      </c>
      <c r="AM349" s="898">
        <f t="shared" si="1151"/>
        <v>25.919</v>
      </c>
      <c r="AN349" s="898">
        <f t="shared" si="1151"/>
        <v>30.052</v>
      </c>
      <c r="AO349" s="898">
        <f t="shared" si="1151"/>
        <v>29.361999999999998</v>
      </c>
      <c r="AP349" s="898">
        <f t="shared" si="1151"/>
        <v>50.488</v>
      </c>
      <c r="AQ349" s="898">
        <f t="shared" si="1151"/>
        <v>40.427999999999997</v>
      </c>
      <c r="AR349" s="898">
        <f t="shared" si="1151"/>
        <v>62.143999999999998</v>
      </c>
      <c r="AS349" s="1108">
        <f t="shared" si="1151"/>
        <v>61.997</v>
      </c>
      <c r="AT349" s="898">
        <f>+AT305</f>
        <v>48.853999999999999</v>
      </c>
      <c r="AU349" s="878">
        <f t="shared" ref="AU349" si="1152">+AU305</f>
        <v>40.97</v>
      </c>
      <c r="AV349" s="895"/>
    </row>
    <row r="350" spans="1:48" s="879" customFormat="1" ht="14" x14ac:dyDescent="0.4">
      <c r="A350" s="876" t="s">
        <v>956</v>
      </c>
      <c r="C350" s="1173">
        <f t="shared" ref="C350:E350" si="1153">+C306+C307</f>
        <v>32.744999999999997</v>
      </c>
      <c r="D350" s="1173">
        <f t="shared" si="1153"/>
        <v>42.739000000000004</v>
      </c>
      <c r="E350" s="1173">
        <f t="shared" si="1153"/>
        <v>48.254999999999995</v>
      </c>
      <c r="F350" s="1173">
        <f t="shared" ref="F350" si="1154">+F306+F307</f>
        <v>62.682999999999993</v>
      </c>
      <c r="G350" s="1173">
        <f t="shared" ref="G350:Y350" si="1155">+G306+G307</f>
        <v>37.551000000000002</v>
      </c>
      <c r="H350" s="1173">
        <f t="shared" si="1155"/>
        <v>47.670999999999999</v>
      </c>
      <c r="I350" s="1173">
        <f t="shared" si="1155"/>
        <v>54.337000000000003</v>
      </c>
      <c r="J350" s="1174">
        <f t="shared" si="1155"/>
        <v>74.578000000000003</v>
      </c>
      <c r="K350" s="1173">
        <f t="shared" si="1155"/>
        <v>53.379999999999995</v>
      </c>
      <c r="L350" s="1173">
        <f t="shared" si="1155"/>
        <v>84.015000000000001</v>
      </c>
      <c r="M350" s="1173">
        <f t="shared" si="1155"/>
        <v>107.015</v>
      </c>
      <c r="N350" s="958">
        <f t="shared" si="1155"/>
        <v>158.005</v>
      </c>
      <c r="O350" s="905">
        <f t="shared" si="1155"/>
        <v>111.691</v>
      </c>
      <c r="P350" s="905">
        <f t="shared" si="1155"/>
        <v>102.655</v>
      </c>
      <c r="Q350" s="905">
        <f t="shared" si="1155"/>
        <v>114.995</v>
      </c>
      <c r="R350" s="958">
        <f t="shared" si="1155"/>
        <v>136.227</v>
      </c>
      <c r="S350" s="905">
        <f t="shared" si="1155"/>
        <v>82.623999999999995</v>
      </c>
      <c r="T350" s="905">
        <f t="shared" si="1155"/>
        <v>74.99199999999999</v>
      </c>
      <c r="U350" s="905">
        <f t="shared" si="1155"/>
        <v>99.506</v>
      </c>
      <c r="V350" s="958">
        <f t="shared" si="1155"/>
        <v>134.05200000000002</v>
      </c>
      <c r="W350" s="905">
        <f t="shared" si="1155"/>
        <v>90.848000000000013</v>
      </c>
      <c r="X350" s="880">
        <f t="shared" si="1155"/>
        <v>99.41</v>
      </c>
      <c r="Y350" s="880">
        <f t="shared" si="1155"/>
        <v>130.054</v>
      </c>
      <c r="Z350" s="905">
        <f t="shared" ref="Z350:AA350" si="1156">+Z306+Z307</f>
        <v>125.67400000000001</v>
      </c>
      <c r="AA350" s="1273">
        <f t="shared" si="1156"/>
        <v>96.498999999999995</v>
      </c>
      <c r="AB350" s="880"/>
      <c r="AC350" s="880"/>
      <c r="AD350" s="880"/>
      <c r="AE350" s="880"/>
      <c r="AF350" s="905"/>
      <c r="AG350" s="905"/>
      <c r="AH350" s="905"/>
      <c r="AI350" s="905"/>
      <c r="AJ350" s="905"/>
      <c r="AK350" s="905">
        <f t="shared" ref="AK350:AS350" si="1157">+AK306+AK307</f>
        <v>37.939</v>
      </c>
      <c r="AL350" s="905">
        <f t="shared" si="1157"/>
        <v>39.275999999999996</v>
      </c>
      <c r="AM350" s="905">
        <f t="shared" si="1157"/>
        <v>57.918999999999997</v>
      </c>
      <c r="AN350" s="905">
        <f t="shared" si="1157"/>
        <v>50.989000000000004</v>
      </c>
      <c r="AO350" s="905">
        <f t="shared" si="1157"/>
        <v>50.394999999999996</v>
      </c>
      <c r="AP350" s="905">
        <f t="shared" si="1157"/>
        <v>62.682999999999993</v>
      </c>
      <c r="AQ350" s="905">
        <f t="shared" si="1157"/>
        <v>74.578000000000003</v>
      </c>
      <c r="AR350" s="905">
        <f t="shared" si="1157"/>
        <v>158.005</v>
      </c>
      <c r="AS350" s="1113">
        <f t="shared" si="1157"/>
        <v>136.227</v>
      </c>
      <c r="AT350" s="905">
        <f>+AT306+AT307</f>
        <v>134.05200000000002</v>
      </c>
      <c r="AU350" s="881">
        <f t="shared" ref="AU350" si="1158">+AU306+AU307</f>
        <v>125.67400000000001</v>
      </c>
      <c r="AV350" s="895"/>
    </row>
    <row r="351" spans="1:48" s="879" customFormat="1" ht="14" x14ac:dyDescent="0.4">
      <c r="A351" s="882" t="s">
        <v>210</v>
      </c>
      <c r="C351" s="1107">
        <f t="shared" ref="C351" si="1159">+SUM(C349:C350)</f>
        <v>71.806999999999988</v>
      </c>
      <c r="D351" s="1107">
        <f t="shared" ref="D351" si="1160">+SUM(D349:D350)</f>
        <v>63.199000000000005</v>
      </c>
      <c r="E351" s="1107">
        <f t="shared" ref="E351" si="1161">+SUM(E349:E350)</f>
        <v>71.462999999999994</v>
      </c>
      <c r="F351" s="1107">
        <f t="shared" ref="F351" si="1162">+SUM(F349:F350)</f>
        <v>113.17099999999999</v>
      </c>
      <c r="G351" s="1107">
        <f t="shared" ref="G351" si="1163">+SUM(G349:G350)</f>
        <v>83.754999999999995</v>
      </c>
      <c r="H351" s="1107">
        <f t="shared" ref="H351" si="1164">+SUM(H349:H350)</f>
        <v>78.269000000000005</v>
      </c>
      <c r="I351" s="1107">
        <f t="shared" ref="I351" si="1165">+SUM(I349:I350)</f>
        <v>79.572000000000003</v>
      </c>
      <c r="J351" s="1109">
        <f t="shared" ref="J351" si="1166">+SUM(J349:J350)</f>
        <v>115.006</v>
      </c>
      <c r="K351" s="1107">
        <f t="shared" ref="K351" si="1167">+SUM(K349:K350)</f>
        <v>145.33699999999999</v>
      </c>
      <c r="L351" s="1107">
        <f t="shared" ref="L351" si="1168">+SUM(L349:L350)</f>
        <v>123.26599999999999</v>
      </c>
      <c r="M351" s="1107">
        <f t="shared" ref="M351" si="1169">+SUM(M349:M350)</f>
        <v>154.05799999999999</v>
      </c>
      <c r="N351" s="957">
        <f t="shared" ref="N351" si="1170">+SUM(N349:N350)</f>
        <v>220.149</v>
      </c>
      <c r="O351" s="898">
        <f t="shared" ref="O351" si="1171">+SUM(O349:O350)</f>
        <v>170.28</v>
      </c>
      <c r="P351" s="898">
        <f t="shared" ref="P351" si="1172">+SUM(P349:P350)</f>
        <v>136.476</v>
      </c>
      <c r="Q351" s="898">
        <f t="shared" ref="Q351" si="1173">+SUM(Q349:Q350)</f>
        <v>147.84300000000002</v>
      </c>
      <c r="R351" s="957">
        <f t="shared" ref="R351" si="1174">+SUM(R349:R350)</f>
        <v>198.22399999999999</v>
      </c>
      <c r="S351" s="898">
        <f t="shared" ref="S351" si="1175">+SUM(S349:S350)</f>
        <v>151.57999999999998</v>
      </c>
      <c r="T351" s="898">
        <f t="shared" ref="T351" si="1176">+SUM(T349:T350)</f>
        <v>107.80099999999999</v>
      </c>
      <c r="U351" s="898">
        <f t="shared" ref="U351" si="1177">+SUM(U349:U350)</f>
        <v>134.75800000000001</v>
      </c>
      <c r="V351" s="957">
        <f t="shared" ref="V351" si="1178">+SUM(V349:V350)</f>
        <v>182.90600000000001</v>
      </c>
      <c r="W351" s="898">
        <f t="shared" ref="W351" si="1179">+SUM(W349:W350)</f>
        <v>165.43400000000003</v>
      </c>
      <c r="X351" s="877">
        <f t="shared" ref="X351" si="1180">+SUM(X349:X350)</f>
        <v>130.72899999999998</v>
      </c>
      <c r="Y351" s="877">
        <f t="shared" ref="Y351" si="1181">+SUM(Y349:Y350)</f>
        <v>167.21</v>
      </c>
      <c r="Z351" s="898">
        <f t="shared" ref="Z351:AA351" si="1182">+SUM(Z349:Z350)</f>
        <v>166.64400000000001</v>
      </c>
      <c r="AA351" s="1272">
        <f t="shared" si="1182"/>
        <v>146.55599999999998</v>
      </c>
      <c r="AB351" s="877"/>
      <c r="AC351" s="877"/>
      <c r="AD351" s="877"/>
      <c r="AE351" s="880"/>
      <c r="AF351" s="898"/>
      <c r="AG351" s="898"/>
      <c r="AH351" s="898"/>
      <c r="AI351" s="898"/>
      <c r="AJ351" s="898"/>
      <c r="AK351" s="898">
        <f t="shared" ref="AK351:AS351" si="1183">+SUM(AK349:AK350)</f>
        <v>68.914999999999992</v>
      </c>
      <c r="AL351" s="898">
        <f t="shared" si="1183"/>
        <v>69.094999999999999</v>
      </c>
      <c r="AM351" s="898">
        <f t="shared" si="1183"/>
        <v>83.837999999999994</v>
      </c>
      <c r="AN351" s="898">
        <f t="shared" si="1183"/>
        <v>81.040999999999997</v>
      </c>
      <c r="AO351" s="898">
        <f t="shared" si="1183"/>
        <v>79.756999999999991</v>
      </c>
      <c r="AP351" s="898">
        <f t="shared" si="1183"/>
        <v>113.17099999999999</v>
      </c>
      <c r="AQ351" s="898">
        <f t="shared" si="1183"/>
        <v>115.006</v>
      </c>
      <c r="AR351" s="898">
        <f t="shared" si="1183"/>
        <v>220.149</v>
      </c>
      <c r="AS351" s="1108">
        <f t="shared" si="1183"/>
        <v>198.22399999999999</v>
      </c>
      <c r="AT351" s="898">
        <f>+SUM(AT349:AT350)</f>
        <v>182.90600000000001</v>
      </c>
      <c r="AU351" s="878">
        <f t="shared" ref="AU351" si="1184">+SUM(AU349:AU350)</f>
        <v>166.64400000000001</v>
      </c>
      <c r="AV351" s="895"/>
    </row>
    <row r="352" spans="1:48" s="879" customFormat="1" ht="14" x14ac:dyDescent="0.4">
      <c r="A352" s="1171"/>
      <c r="C352" s="1107"/>
      <c r="D352" s="1107"/>
      <c r="E352" s="1107"/>
      <c r="F352" s="1107"/>
      <c r="G352" s="1107"/>
      <c r="H352" s="1107"/>
      <c r="I352" s="1107"/>
      <c r="J352" s="1109"/>
      <c r="K352" s="1107"/>
      <c r="L352" s="1107"/>
      <c r="M352" s="1107"/>
      <c r="N352" s="957"/>
      <c r="O352" s="898"/>
      <c r="P352" s="898"/>
      <c r="Q352" s="898"/>
      <c r="R352" s="957"/>
      <c r="S352" s="898"/>
      <c r="T352" s="898"/>
      <c r="U352" s="898"/>
      <c r="V352" s="957"/>
      <c r="W352" s="898"/>
      <c r="X352" s="877"/>
      <c r="Y352" s="877"/>
      <c r="Z352" s="898"/>
      <c r="AA352" s="1272"/>
      <c r="AB352" s="877"/>
      <c r="AC352" s="877"/>
      <c r="AD352" s="877"/>
      <c r="AE352" s="880"/>
      <c r="AF352" s="898"/>
      <c r="AG352" s="898"/>
      <c r="AH352" s="898"/>
      <c r="AI352" s="898"/>
      <c r="AJ352" s="898"/>
      <c r="AK352" s="898"/>
      <c r="AL352" s="898"/>
      <c r="AM352" s="898"/>
      <c r="AN352" s="898"/>
      <c r="AO352" s="898"/>
      <c r="AP352" s="898"/>
      <c r="AQ352" s="898"/>
      <c r="AR352" s="898"/>
      <c r="AS352" s="1108"/>
      <c r="AT352" s="898"/>
      <c r="AU352" s="878"/>
      <c r="AV352" s="895"/>
    </row>
    <row r="353" spans="1:48" s="879" customFormat="1" ht="14" x14ac:dyDescent="0.4">
      <c r="A353" s="876" t="s">
        <v>952</v>
      </c>
      <c r="C353" s="1107">
        <f t="shared" ref="C353:E353" si="1185">+C347-C351</f>
        <v>270.34799999999996</v>
      </c>
      <c r="D353" s="1107">
        <f t="shared" si="1185"/>
        <v>227.13799999999998</v>
      </c>
      <c r="E353" s="1107">
        <f t="shared" si="1185"/>
        <v>216.48499999999999</v>
      </c>
      <c r="F353" s="1107">
        <f t="shared" ref="F353" si="1186">+F347-F351</f>
        <v>132.86400000000003</v>
      </c>
      <c r="G353" s="1107">
        <f t="shared" ref="G353:Y353" si="1187">+G347-G351</f>
        <v>248.11099999999999</v>
      </c>
      <c r="H353" s="1107">
        <f t="shared" si="1187"/>
        <v>223.28399999999999</v>
      </c>
      <c r="I353" s="1107">
        <f t="shared" si="1187"/>
        <v>256.59200000000004</v>
      </c>
      <c r="J353" s="1109">
        <f t="shared" si="1187"/>
        <v>173.46599999999998</v>
      </c>
      <c r="K353" s="1107">
        <f t="shared" si="1187"/>
        <v>350.87</v>
      </c>
      <c r="L353" s="1107">
        <f t="shared" si="1187"/>
        <v>386.53300000000002</v>
      </c>
      <c r="M353" s="1107">
        <f t="shared" si="1187"/>
        <v>346.61400000000003</v>
      </c>
      <c r="N353" s="957">
        <f t="shared" si="1187"/>
        <v>250.79899999999998</v>
      </c>
      <c r="O353" s="898">
        <f t="shared" si="1187"/>
        <v>468.27500000000009</v>
      </c>
      <c r="P353" s="898">
        <f t="shared" si="1187"/>
        <v>422.16399999999999</v>
      </c>
      <c r="Q353" s="898">
        <f t="shared" si="1187"/>
        <v>415.17199999999997</v>
      </c>
      <c r="R353" s="957">
        <f t="shared" si="1187"/>
        <v>362.91199999999998</v>
      </c>
      <c r="S353" s="898">
        <f t="shared" si="1187"/>
        <v>585.03300000000013</v>
      </c>
      <c r="T353" s="898">
        <f t="shared" si="1187"/>
        <v>502.73499999999996</v>
      </c>
      <c r="U353" s="898">
        <f t="shared" si="1187"/>
        <v>498.37</v>
      </c>
      <c r="V353" s="957">
        <f t="shared" si="1187"/>
        <v>471.48600000000005</v>
      </c>
      <c r="W353" s="898">
        <f t="shared" si="1187"/>
        <v>660.21599999999989</v>
      </c>
      <c r="X353" s="877">
        <f t="shared" si="1187"/>
        <v>603.75599999999986</v>
      </c>
      <c r="Y353" s="877">
        <f t="shared" si="1187"/>
        <v>665.29399999999998</v>
      </c>
      <c r="Z353" s="898">
        <f t="shared" ref="Z353:AA353" si="1188">+Z347-Z351</f>
        <v>563.69399999999996</v>
      </c>
      <c r="AA353" s="1272">
        <f t="shared" si="1188"/>
        <v>809.84699999999998</v>
      </c>
      <c r="AB353" s="877"/>
      <c r="AC353" s="877"/>
      <c r="AD353" s="877"/>
      <c r="AE353" s="880"/>
      <c r="AF353" s="898"/>
      <c r="AG353" s="898"/>
      <c r="AH353" s="898"/>
      <c r="AI353" s="898"/>
      <c r="AJ353" s="898"/>
      <c r="AK353" s="898">
        <f t="shared" ref="AK353:AS353" si="1189">+AK347-AK351</f>
        <v>192.44499999999996</v>
      </c>
      <c r="AL353" s="898">
        <f t="shared" si="1189"/>
        <v>185.02700000000002</v>
      </c>
      <c r="AM353" s="898">
        <f t="shared" si="1189"/>
        <v>148.02800000000002</v>
      </c>
      <c r="AN353" s="898">
        <f t="shared" si="1189"/>
        <v>161.67700000000002</v>
      </c>
      <c r="AO353" s="898">
        <f t="shared" si="1189"/>
        <v>148.36199999999997</v>
      </c>
      <c r="AP353" s="898">
        <f t="shared" si="1189"/>
        <v>132.86400000000003</v>
      </c>
      <c r="AQ353" s="898">
        <f t="shared" si="1189"/>
        <v>173.46599999999998</v>
      </c>
      <c r="AR353" s="898">
        <f t="shared" si="1189"/>
        <v>250.79899999999998</v>
      </c>
      <c r="AS353" s="1108">
        <f t="shared" si="1189"/>
        <v>362.91199999999998</v>
      </c>
      <c r="AT353" s="898">
        <f>+AT347-AT351</f>
        <v>471.48600000000005</v>
      </c>
      <c r="AU353" s="878">
        <f t="shared" ref="AU353" si="1190">+AU347-AU351</f>
        <v>563.69399999999996</v>
      </c>
      <c r="AV353" s="895"/>
    </row>
    <row r="354" spans="1:48" s="887" customFormat="1" ht="13" x14ac:dyDescent="0.3">
      <c r="A354" s="890" t="s">
        <v>957</v>
      </c>
      <c r="F354" s="883">
        <f>+F353/SUM(C11:F11)</f>
        <v>0.13080358197670297</v>
      </c>
      <c r="G354" s="883">
        <f>+G353/SUM(D11:G11)</f>
        <v>0.2428748608744086</v>
      </c>
      <c r="H354" s="883">
        <f>+H353/SUM(E11:H11)</f>
        <v>0.21799841053809335</v>
      </c>
      <c r="I354" s="883">
        <f>+I353/SUM(F11:I11)</f>
        <v>0.24956718293475263</v>
      </c>
      <c r="J354" s="964">
        <f>+J353/SUM(G11:J11)</f>
        <v>0.16667163096376222</v>
      </c>
      <c r="K354" s="883">
        <f>+K353/SUM(H11:K11)</f>
        <v>0.30388773986578949</v>
      </c>
      <c r="L354" s="883">
        <f>+L353/SUM(I11:L11)</f>
        <v>0.3035941218514126</v>
      </c>
      <c r="M354" s="883">
        <f>+M353/SUM(J11:M11)</f>
        <v>0.24614307393722826</v>
      </c>
      <c r="N354" s="964">
        <f>+N353/SUM(K11:N11)</f>
        <v>0.16319984903303053</v>
      </c>
      <c r="O354" s="883">
        <f>+O353/SUM(L11:O11)</f>
        <v>0.29902121676140764</v>
      </c>
      <c r="P354" s="883">
        <f>+P353/SUM(M11:P11)</f>
        <v>0.26395346219929122</v>
      </c>
      <c r="Q354" s="883">
        <f>+Q353/SUM(N11:Q11)</f>
        <v>0.25486858219789865</v>
      </c>
      <c r="R354" s="964">
        <f>+R353/SUM(O11:R11)</f>
        <v>0.21516530243687843</v>
      </c>
      <c r="S354" s="883">
        <f>+S353/SUM(P11:S11)</f>
        <v>0.3418067411003804</v>
      </c>
      <c r="T354" s="883">
        <f>+T353/SUM(Q11:T11)</f>
        <v>0.28556084061622772</v>
      </c>
      <c r="U354" s="883">
        <f>+U353/SUM(R11:U11)</f>
        <v>0.27548256572401442</v>
      </c>
      <c r="V354" s="964">
        <f>+V353/SUM(S11:V11)</f>
        <v>0.25661085101542541</v>
      </c>
      <c r="W354" s="883">
        <f>+W353/SUM(T11:W11)</f>
        <v>0.34887964366734314</v>
      </c>
      <c r="X354" s="883">
        <f>+X353/SUM(U11:X11)</f>
        <v>0.31140352234501145</v>
      </c>
      <c r="Y354" s="883">
        <f>+Y353/SUM(V11:Y11)</f>
        <v>0.33442362551052468</v>
      </c>
      <c r="Z354" s="883">
        <f>+Z353/SUM(W11:Z11)</f>
        <v>0.27631124241385951</v>
      </c>
      <c r="AA354" s="1275">
        <f>+AA353/SUM(X11:AA11)</f>
        <v>0.3836370165023506</v>
      </c>
      <c r="AB354" s="883"/>
      <c r="AC354" s="883"/>
      <c r="AD354" s="883"/>
      <c r="AE354" s="883"/>
      <c r="AF354" s="883"/>
      <c r="AG354" s="883"/>
      <c r="AH354" s="883"/>
      <c r="AI354" s="883"/>
      <c r="AJ354" s="883"/>
      <c r="AK354" s="883">
        <f>+AK353/AK11</f>
        <v>0.20928103110968044</v>
      </c>
      <c r="AL354" s="883">
        <f>+AL353/AL11</f>
        <v>0.195115649787935</v>
      </c>
      <c r="AM354" s="883">
        <f>+AM353/AM11</f>
        <v>0.16962071731408274</v>
      </c>
      <c r="AN354" s="883">
        <f>+AN353/AN11</f>
        <v>0.18196234408043049</v>
      </c>
      <c r="AO354" s="883">
        <f>+AO353/AO11</f>
        <v>0.1616612220970346</v>
      </c>
      <c r="AP354" s="883">
        <f>+AP353/AP11</f>
        <v>0.13080358197670297</v>
      </c>
      <c r="AQ354" s="883">
        <f>+AQ353/AQ11</f>
        <v>0.16667163096376222</v>
      </c>
      <c r="AR354" s="883">
        <f>+AR353/AR11</f>
        <v>0.16319984903303053</v>
      </c>
      <c r="AS354" s="883">
        <f>+AS353/AS11</f>
        <v>0.21516530243687843</v>
      </c>
      <c r="AT354" s="883">
        <f>+AT353/AT11</f>
        <v>0.25661085101542541</v>
      </c>
      <c r="AU354" s="883">
        <f>+AU353/AU11</f>
        <v>0.27631124241385951</v>
      </c>
      <c r="AV354" s="883"/>
    </row>
    <row r="355" spans="1:48" s="879" customFormat="1" ht="14" x14ac:dyDescent="0.4">
      <c r="A355" s="876"/>
      <c r="C355" s="898"/>
      <c r="D355" s="898"/>
      <c r="E355" s="898"/>
      <c r="F355" s="898"/>
      <c r="G355" s="1107"/>
      <c r="H355" s="1107"/>
      <c r="I355" s="1107"/>
      <c r="J355" s="1109"/>
      <c r="K355" s="1107"/>
      <c r="L355" s="1107"/>
      <c r="M355" s="1107"/>
      <c r="N355" s="957"/>
      <c r="O355" s="898"/>
      <c r="P355" s="898"/>
      <c r="Q355" s="898"/>
      <c r="R355" s="957"/>
      <c r="S355" s="898"/>
      <c r="T355" s="898"/>
      <c r="U355" s="898"/>
      <c r="V355" s="957"/>
      <c r="W355" s="898"/>
      <c r="X355" s="877"/>
      <c r="Y355" s="877"/>
      <c r="Z355" s="898"/>
      <c r="AA355" s="1272"/>
      <c r="AB355" s="877"/>
      <c r="AC355" s="877"/>
      <c r="AD355" s="877"/>
      <c r="AE355" s="880"/>
      <c r="AF355" s="898"/>
      <c r="AG355" s="898"/>
      <c r="AH355" s="898"/>
      <c r="AI355" s="898"/>
      <c r="AJ355" s="898"/>
      <c r="AK355" s="898"/>
      <c r="AL355" s="898"/>
      <c r="AM355" s="898"/>
      <c r="AN355" s="898"/>
      <c r="AO355" s="898"/>
      <c r="AP355" s="898"/>
      <c r="AQ355" s="898"/>
      <c r="AR355" s="898"/>
      <c r="AS355" s="1108"/>
      <c r="AT355" s="898"/>
      <c r="AU355" s="878"/>
      <c r="AV355" s="895"/>
    </row>
    <row r="356" spans="1:48" s="879" customFormat="1" ht="14" x14ac:dyDescent="0.4">
      <c r="A356" s="910" t="s">
        <v>958</v>
      </c>
      <c r="C356" s="898"/>
      <c r="D356" s="898"/>
      <c r="E356" s="898"/>
      <c r="F356" s="898"/>
      <c r="G356" s="1107"/>
      <c r="H356" s="1107"/>
      <c r="I356" s="1107"/>
      <c r="J356" s="1109"/>
      <c r="K356" s="1107"/>
      <c r="L356" s="1107"/>
      <c r="M356" s="1107"/>
      <c r="N356" s="957"/>
      <c r="O356" s="898"/>
      <c r="P356" s="898"/>
      <c r="Q356" s="898"/>
      <c r="R356" s="957"/>
      <c r="S356" s="898"/>
      <c r="T356" s="898"/>
      <c r="U356" s="898"/>
      <c r="V356" s="957"/>
      <c r="W356" s="898"/>
      <c r="X356" s="877"/>
      <c r="Y356" s="877"/>
      <c r="Z356" s="898"/>
      <c r="AA356" s="1272"/>
      <c r="AB356" s="877"/>
      <c r="AC356" s="877"/>
      <c r="AD356" s="877"/>
      <c r="AE356" s="880"/>
      <c r="AF356" s="898"/>
      <c r="AG356" s="898"/>
      <c r="AH356" s="898"/>
      <c r="AI356" s="898"/>
      <c r="AJ356" s="898"/>
      <c r="AK356" s="898"/>
      <c r="AL356" s="898"/>
      <c r="AM356" s="898"/>
      <c r="AN356" s="898"/>
      <c r="AO356" s="898"/>
      <c r="AP356" s="898"/>
      <c r="AQ356" s="898"/>
      <c r="AR356" s="898"/>
      <c r="AS356" s="1108"/>
      <c r="AT356" s="898"/>
      <c r="AU356" s="878"/>
      <c r="AV356" s="895"/>
    </row>
    <row r="357" spans="1:48" s="879" customFormat="1" ht="14" x14ac:dyDescent="0.4">
      <c r="A357" s="1172" t="s">
        <v>959</v>
      </c>
      <c r="C357" s="1107">
        <f t="shared" ref="C357:F357" si="1191">+C292</f>
        <v>37.002000000000002</v>
      </c>
      <c r="D357" s="1107">
        <f t="shared" si="1191"/>
        <v>32.481000000000002</v>
      </c>
      <c r="E357" s="1107">
        <f t="shared" si="1191"/>
        <v>32.777999999999999</v>
      </c>
      <c r="F357" s="1107">
        <f t="shared" si="1191"/>
        <v>31.98</v>
      </c>
      <c r="G357" s="1107">
        <f t="shared" ref="G357:Y361" si="1192">+G292</f>
        <v>37.253</v>
      </c>
      <c r="H357" s="1107">
        <f t="shared" si="1192"/>
        <v>35.188000000000002</v>
      </c>
      <c r="I357" s="1107">
        <f t="shared" si="1192"/>
        <v>44.173999999999999</v>
      </c>
      <c r="J357" s="1109">
        <f t="shared" si="1192"/>
        <v>38.667999999999999</v>
      </c>
      <c r="K357" s="1107">
        <f t="shared" si="1192"/>
        <v>70.147000000000006</v>
      </c>
      <c r="L357" s="1107">
        <f t="shared" si="1192"/>
        <v>78.503</v>
      </c>
      <c r="M357" s="1107">
        <f t="shared" si="1192"/>
        <v>82.918000000000006</v>
      </c>
      <c r="N357" s="957">
        <f t="shared" si="1192"/>
        <v>72.069000000000003</v>
      </c>
      <c r="O357" s="898">
        <f t="shared" si="1192"/>
        <v>76.884</v>
      </c>
      <c r="P357" s="898">
        <f t="shared" si="1192"/>
        <v>74.149000000000001</v>
      </c>
      <c r="Q357" s="898">
        <f t="shared" si="1192"/>
        <v>67.564999999999998</v>
      </c>
      <c r="R357" s="957">
        <f t="shared" si="1192"/>
        <v>61.536999999999999</v>
      </c>
      <c r="S357" s="898">
        <f t="shared" si="1192"/>
        <v>72.307000000000002</v>
      </c>
      <c r="T357" s="898">
        <f t="shared" si="1192"/>
        <v>68.123999999999995</v>
      </c>
      <c r="U357" s="898">
        <f t="shared" si="1192"/>
        <v>61.326000000000001</v>
      </c>
      <c r="V357" s="957">
        <f t="shared" si="1192"/>
        <v>52.332000000000001</v>
      </c>
      <c r="W357" s="898">
        <f t="shared" si="1192"/>
        <v>61.085000000000001</v>
      </c>
      <c r="X357" s="877">
        <f t="shared" si="1192"/>
        <v>60.555</v>
      </c>
      <c r="Y357" s="877">
        <f t="shared" si="1192"/>
        <v>57.213000000000001</v>
      </c>
      <c r="Z357" s="898">
        <f t="shared" ref="Z357:AA357" si="1193">+Z292</f>
        <v>50.856000000000002</v>
      </c>
      <c r="AA357" s="1272">
        <f t="shared" si="1193"/>
        <v>84.801000000000002</v>
      </c>
      <c r="AB357" s="877"/>
      <c r="AC357" s="877"/>
      <c r="AD357" s="877"/>
      <c r="AE357" s="880"/>
      <c r="AF357" s="898"/>
      <c r="AG357" s="898"/>
      <c r="AH357" s="898"/>
      <c r="AI357" s="898"/>
      <c r="AJ357" s="898"/>
      <c r="AK357" s="898">
        <f t="shared" ref="AK357:AS357" si="1194">+AK292</f>
        <v>48.581000000000003</v>
      </c>
      <c r="AL357" s="898">
        <f t="shared" si="1194"/>
        <v>34.406999999999996</v>
      </c>
      <c r="AM357" s="898">
        <f t="shared" si="1194"/>
        <v>28.446999999999999</v>
      </c>
      <c r="AN357" s="898">
        <f t="shared" si="1194"/>
        <v>26.297000000000001</v>
      </c>
      <c r="AO357" s="898">
        <f t="shared" si="1194"/>
        <v>28.867999999999999</v>
      </c>
      <c r="AP357" s="898">
        <f t="shared" si="1194"/>
        <v>31.98</v>
      </c>
      <c r="AQ357" s="898">
        <f t="shared" si="1194"/>
        <v>38.667999999999999</v>
      </c>
      <c r="AR357" s="898">
        <f t="shared" si="1194"/>
        <v>72.069000000000003</v>
      </c>
      <c r="AS357" s="1108">
        <f t="shared" si="1194"/>
        <v>61.536999999999999</v>
      </c>
      <c r="AT357" s="898">
        <f>+AT292</f>
        <v>52.332000000000001</v>
      </c>
      <c r="AU357" s="878">
        <f t="shared" ref="AU357:AU358" si="1195">+AU292</f>
        <v>50.856000000000002</v>
      </c>
      <c r="AV357" s="895"/>
    </row>
    <row r="358" spans="1:48" s="879" customFormat="1" ht="14" x14ac:dyDescent="0.4">
      <c r="A358" s="1172" t="str">
        <f>+A293</f>
        <v>Capitalized Software, net</v>
      </c>
      <c r="C358" s="1107">
        <f t="shared" ref="C358:F358" si="1196">+C293</f>
        <v>54.162999999999997</v>
      </c>
      <c r="D358" s="1107">
        <f t="shared" si="1196"/>
        <v>52.997</v>
      </c>
      <c r="E358" s="1107">
        <f t="shared" si="1196"/>
        <v>51.692999999999998</v>
      </c>
      <c r="F358" s="1107">
        <f t="shared" si="1196"/>
        <v>51.164999999999999</v>
      </c>
      <c r="G358" s="1107">
        <f t="shared" si="1192"/>
        <v>50.231999999999999</v>
      </c>
      <c r="H358" s="1107">
        <f t="shared" si="1192"/>
        <v>49.259</v>
      </c>
      <c r="I358" s="1107">
        <f t="shared" si="1192"/>
        <v>48.304000000000002</v>
      </c>
      <c r="J358" s="1109">
        <f t="shared" si="1192"/>
        <v>48.493000000000002</v>
      </c>
      <c r="K358" s="1107">
        <f t="shared" si="1192"/>
        <v>49.262999999999998</v>
      </c>
      <c r="L358" s="1107">
        <f t="shared" si="1192"/>
        <v>50.295999999999999</v>
      </c>
      <c r="M358" s="1107">
        <f t="shared" si="1192"/>
        <v>51.921999999999997</v>
      </c>
      <c r="N358" s="957">
        <f t="shared" si="1192"/>
        <v>57.308</v>
      </c>
      <c r="O358" s="898">
        <f t="shared" si="1192"/>
        <v>57.965000000000003</v>
      </c>
      <c r="P358" s="898">
        <f t="shared" si="1192"/>
        <v>60.52</v>
      </c>
      <c r="Q358" s="898">
        <f t="shared" si="1192"/>
        <v>64.921000000000006</v>
      </c>
      <c r="R358" s="957">
        <f t="shared" si="1192"/>
        <v>71.8</v>
      </c>
      <c r="S358" s="898">
        <f t="shared" si="1192"/>
        <v>74.748000000000005</v>
      </c>
      <c r="T358" s="898">
        <f t="shared" si="1192"/>
        <v>76.191999999999993</v>
      </c>
      <c r="U358" s="898">
        <f t="shared" si="1192"/>
        <v>80.36</v>
      </c>
      <c r="V358" s="957">
        <f t="shared" si="1192"/>
        <v>83.465000000000003</v>
      </c>
      <c r="W358" s="898">
        <f t="shared" si="1192"/>
        <v>82.046000000000006</v>
      </c>
      <c r="X358" s="877">
        <f t="shared" si="1192"/>
        <v>81.412999999999997</v>
      </c>
      <c r="Y358" s="877">
        <f t="shared" si="1192"/>
        <v>83.32</v>
      </c>
      <c r="Z358" s="898">
        <f t="shared" ref="Z358:AA358" si="1197">+Z293</f>
        <v>81.951999999999998</v>
      </c>
      <c r="AA358" s="1272">
        <f t="shared" si="1197"/>
        <v>77.180999999999997</v>
      </c>
      <c r="AB358" s="877"/>
      <c r="AC358" s="877"/>
      <c r="AD358" s="877"/>
      <c r="AE358" s="880"/>
      <c r="AF358" s="898"/>
      <c r="AG358" s="898"/>
      <c r="AH358" s="898"/>
      <c r="AI358" s="898"/>
      <c r="AJ358" s="898"/>
      <c r="AK358" s="898">
        <f t="shared" ref="AK358:AS360" si="1198">+AK293</f>
        <v>49.92</v>
      </c>
      <c r="AL358" s="898">
        <f t="shared" si="1198"/>
        <v>62.683</v>
      </c>
      <c r="AM358" s="898">
        <f t="shared" si="1198"/>
        <v>70.055000000000007</v>
      </c>
      <c r="AN358" s="898">
        <f t="shared" si="1198"/>
        <v>62.695</v>
      </c>
      <c r="AO358" s="898">
        <f t="shared" si="1198"/>
        <v>55.488</v>
      </c>
      <c r="AP358" s="898">
        <f t="shared" si="1198"/>
        <v>51.164999999999999</v>
      </c>
      <c r="AQ358" s="898">
        <f t="shared" si="1198"/>
        <v>48.493000000000002</v>
      </c>
      <c r="AR358" s="898">
        <f t="shared" si="1198"/>
        <v>57.308</v>
      </c>
      <c r="AS358" s="1108">
        <f t="shared" si="1198"/>
        <v>71.8</v>
      </c>
      <c r="AT358" s="898">
        <f>+AT293</f>
        <v>83.465000000000003</v>
      </c>
      <c r="AU358" s="878">
        <f t="shared" si="1195"/>
        <v>81.951999999999998</v>
      </c>
      <c r="AV358" s="895"/>
    </row>
    <row r="359" spans="1:48" s="879" customFormat="1" ht="14" x14ac:dyDescent="0.4">
      <c r="A359" s="1172" t="str">
        <f t="shared" ref="A359:A360" si="1199">+A294</f>
        <v>Capitalized Curriculum Development Costs, net</v>
      </c>
      <c r="C359" s="1107">
        <f t="shared" ref="C359:F359" si="1200">+C294</f>
        <v>52.951999999999998</v>
      </c>
      <c r="D359" s="1107">
        <f t="shared" si="1200"/>
        <v>52.085000000000001</v>
      </c>
      <c r="E359" s="1107">
        <f t="shared" si="1200"/>
        <v>51.16</v>
      </c>
      <c r="F359" s="1107">
        <f t="shared" si="1200"/>
        <v>53.296999999999997</v>
      </c>
      <c r="G359" s="1107">
        <f t="shared" si="1192"/>
        <v>53.494999999999997</v>
      </c>
      <c r="H359" s="1107">
        <f t="shared" si="1192"/>
        <v>52.344999999999999</v>
      </c>
      <c r="I359" s="1107">
        <f t="shared" si="1192"/>
        <v>51.716999999999999</v>
      </c>
      <c r="J359" s="1109">
        <f t="shared" si="1192"/>
        <v>48.848999999999997</v>
      </c>
      <c r="K359" s="1107">
        <f t="shared" si="1192"/>
        <v>48.930999999999997</v>
      </c>
      <c r="L359" s="1107">
        <f t="shared" si="1192"/>
        <v>48.146999999999998</v>
      </c>
      <c r="M359" s="1107">
        <f t="shared" si="1192"/>
        <v>48.481999999999999</v>
      </c>
      <c r="N359" s="957">
        <f t="shared" si="1192"/>
        <v>50.375999999999998</v>
      </c>
      <c r="O359" s="898">
        <f t="shared" si="1192"/>
        <v>49.866</v>
      </c>
      <c r="P359" s="898">
        <f t="shared" si="1192"/>
        <v>49.786999999999999</v>
      </c>
      <c r="Q359" s="898">
        <f t="shared" si="1192"/>
        <v>50.475999999999999</v>
      </c>
      <c r="R359" s="957">
        <f t="shared" si="1192"/>
        <v>50.58</v>
      </c>
      <c r="S359" s="898">
        <f t="shared" si="1192"/>
        <v>51.43</v>
      </c>
      <c r="T359" s="898">
        <f t="shared" si="1192"/>
        <v>50.557000000000002</v>
      </c>
      <c r="U359" s="898">
        <f t="shared" si="1192"/>
        <v>50.97</v>
      </c>
      <c r="V359" s="957">
        <f t="shared" si="1192"/>
        <v>50.786999999999999</v>
      </c>
      <c r="W359" s="898">
        <f t="shared" si="1192"/>
        <v>50.113999999999997</v>
      </c>
      <c r="X359" s="877">
        <f t="shared" si="1192"/>
        <v>50.29</v>
      </c>
      <c r="Y359" s="877">
        <f t="shared" si="1192"/>
        <v>51.451000000000001</v>
      </c>
      <c r="Z359" s="898">
        <f t="shared" ref="Z359:AA359" si="1201">+Z294</f>
        <v>53.231999999999999</v>
      </c>
      <c r="AA359" s="1272">
        <f t="shared" si="1201"/>
        <v>52.753999999999998</v>
      </c>
      <c r="AB359" s="877"/>
      <c r="AC359" s="877"/>
      <c r="AD359" s="877"/>
      <c r="AE359" s="880"/>
      <c r="AF359" s="898"/>
      <c r="AG359" s="898"/>
      <c r="AH359" s="898"/>
      <c r="AI359" s="898"/>
      <c r="AJ359" s="898"/>
      <c r="AK359" s="898">
        <f t="shared" si="1198"/>
        <v>60.781999999999996</v>
      </c>
      <c r="AL359" s="898">
        <f t="shared" si="1198"/>
        <v>58.695999999999998</v>
      </c>
      <c r="AM359" s="898">
        <f t="shared" si="1198"/>
        <v>63.366999999999997</v>
      </c>
      <c r="AN359" s="898">
        <f t="shared" si="1198"/>
        <v>59.213000000000001</v>
      </c>
      <c r="AO359" s="898">
        <f t="shared" si="1198"/>
        <v>53.558</v>
      </c>
      <c r="AP359" s="898">
        <f t="shared" si="1198"/>
        <v>53.296999999999997</v>
      </c>
      <c r="AQ359" s="898">
        <f t="shared" si="1198"/>
        <v>48.848999999999997</v>
      </c>
      <c r="AR359" s="898">
        <f t="shared" si="1198"/>
        <v>50.375999999999998</v>
      </c>
      <c r="AS359" s="1108">
        <f t="shared" si="1198"/>
        <v>50.58</v>
      </c>
      <c r="AT359" s="898">
        <f t="shared" ref="AT359:AU360" si="1202">+AT294</f>
        <v>50.786999999999999</v>
      </c>
      <c r="AU359" s="878">
        <f t="shared" si="1202"/>
        <v>53.231999999999999</v>
      </c>
      <c r="AV359" s="895"/>
    </row>
    <row r="360" spans="1:48" s="879" customFormat="1" ht="14" x14ac:dyDescent="0.4">
      <c r="A360" s="1172" t="str">
        <f t="shared" si="1199"/>
        <v>Intangible Assets, net</v>
      </c>
      <c r="C360" s="1107">
        <f t="shared" ref="C360:F360" si="1203">+C295</f>
        <v>17.209</v>
      </c>
      <c r="D360" s="1107">
        <f t="shared" si="1203"/>
        <v>16.466000000000001</v>
      </c>
      <c r="E360" s="1107">
        <f t="shared" si="1203"/>
        <v>15.723000000000001</v>
      </c>
      <c r="F360" s="1107">
        <f t="shared" si="1203"/>
        <v>14.981</v>
      </c>
      <c r="G360" s="1107">
        <f t="shared" si="1192"/>
        <v>14.238</v>
      </c>
      <c r="H360" s="1107">
        <f t="shared" si="1192"/>
        <v>13.494999999999999</v>
      </c>
      <c r="I360" s="1107">
        <f t="shared" si="1192"/>
        <v>43.893000000000001</v>
      </c>
      <c r="J360" s="1109">
        <f t="shared" si="1192"/>
        <v>77.450999999999993</v>
      </c>
      <c r="K360" s="1107">
        <f t="shared" si="1192"/>
        <v>75.36</v>
      </c>
      <c r="L360" s="1107">
        <f t="shared" si="1192"/>
        <v>106.547</v>
      </c>
      <c r="M360" s="1107">
        <f t="shared" si="1192"/>
        <v>103.047</v>
      </c>
      <c r="N360" s="957">
        <f t="shared" si="1192"/>
        <v>99.48</v>
      </c>
      <c r="O360" s="898">
        <f t="shared" si="1192"/>
        <v>96.266999999999996</v>
      </c>
      <c r="P360" s="898">
        <f t="shared" si="1192"/>
        <v>95.21</v>
      </c>
      <c r="Q360" s="898">
        <f t="shared" si="1192"/>
        <v>91.94</v>
      </c>
      <c r="R360" s="957">
        <f t="shared" si="1192"/>
        <v>88.668999999999997</v>
      </c>
      <c r="S360" s="898">
        <f t="shared" si="1192"/>
        <v>86.69</v>
      </c>
      <c r="T360" s="898">
        <f t="shared" si="1192"/>
        <v>83.41</v>
      </c>
      <c r="U360" s="898">
        <f t="shared" si="1192"/>
        <v>80.131</v>
      </c>
      <c r="V360" s="957">
        <f t="shared" si="1192"/>
        <v>74.771000000000001</v>
      </c>
      <c r="W360" s="898">
        <f t="shared" si="1192"/>
        <v>71.754999999999995</v>
      </c>
      <c r="X360" s="877">
        <f t="shared" si="1192"/>
        <v>68.768000000000001</v>
      </c>
      <c r="Y360" s="877">
        <f t="shared" si="1192"/>
        <v>64.668000000000006</v>
      </c>
      <c r="Z360" s="898">
        <f t="shared" ref="Z360:AA360" si="1204">+Z295</f>
        <v>60.281999999999996</v>
      </c>
      <c r="AA360" s="1272">
        <f t="shared" si="1204"/>
        <v>57.713999999999999</v>
      </c>
      <c r="AB360" s="877"/>
      <c r="AC360" s="877"/>
      <c r="AD360" s="877"/>
      <c r="AE360" s="880"/>
      <c r="AF360" s="898"/>
      <c r="AG360" s="898"/>
      <c r="AH360" s="898"/>
      <c r="AI360" s="898"/>
      <c r="AJ360" s="898"/>
      <c r="AK360" s="898">
        <f t="shared" si="1198"/>
        <v>23.707999999999998</v>
      </c>
      <c r="AL360" s="898">
        <f t="shared" si="1198"/>
        <v>21.195</v>
      </c>
      <c r="AM360" s="898">
        <f t="shared" si="1198"/>
        <v>23.102</v>
      </c>
      <c r="AN360" s="898">
        <f t="shared" si="1198"/>
        <v>20.225999999999999</v>
      </c>
      <c r="AO360" s="898">
        <f t="shared" si="1198"/>
        <v>17.951000000000001</v>
      </c>
      <c r="AP360" s="898">
        <f t="shared" si="1198"/>
        <v>14.981</v>
      </c>
      <c r="AQ360" s="898">
        <f t="shared" si="1198"/>
        <v>77.450999999999993</v>
      </c>
      <c r="AR360" s="898">
        <f t="shared" si="1198"/>
        <v>99.48</v>
      </c>
      <c r="AS360" s="1108">
        <f t="shared" si="1198"/>
        <v>88.668999999999997</v>
      </c>
      <c r="AT360" s="898">
        <f t="shared" si="1202"/>
        <v>74.771000000000001</v>
      </c>
      <c r="AU360" s="878">
        <f t="shared" si="1202"/>
        <v>60.281999999999996</v>
      </c>
      <c r="AV360" s="895"/>
    </row>
    <row r="361" spans="1:48" s="879" customFormat="1" ht="14" x14ac:dyDescent="0.4">
      <c r="A361" s="1172" t="s">
        <v>203</v>
      </c>
      <c r="C361" s="1107">
        <f t="shared" ref="C361:F361" si="1205">+C296</f>
        <v>90.197000000000003</v>
      </c>
      <c r="D361" s="1107">
        <f t="shared" si="1205"/>
        <v>90.197000000000003</v>
      </c>
      <c r="E361" s="1107">
        <f t="shared" si="1205"/>
        <v>90.197000000000003</v>
      </c>
      <c r="F361" s="1107">
        <f t="shared" si="1205"/>
        <v>90.197000000000003</v>
      </c>
      <c r="G361" s="1107">
        <f t="shared" si="1192"/>
        <v>90.197000000000003</v>
      </c>
      <c r="H361" s="1107">
        <f t="shared" si="1192"/>
        <v>90.197000000000003</v>
      </c>
      <c r="I361" s="1107">
        <f t="shared" si="1192"/>
        <v>197.803</v>
      </c>
      <c r="J361" s="1109">
        <f t="shared" si="1192"/>
        <v>174.93899999999999</v>
      </c>
      <c r="K361" s="1107">
        <f t="shared" si="1192"/>
        <v>174.523</v>
      </c>
      <c r="L361" s="1107">
        <f t="shared" si="1192"/>
        <v>240.79900000000001</v>
      </c>
      <c r="M361" s="1107">
        <f t="shared" si="1192"/>
        <v>240.251</v>
      </c>
      <c r="N361" s="957">
        <f t="shared" si="1192"/>
        <v>240.35300000000001</v>
      </c>
      <c r="O361" s="898">
        <f t="shared" si="1192"/>
        <v>240.35300000000001</v>
      </c>
      <c r="P361" s="898">
        <f t="shared" si="1192"/>
        <v>240.92099999999999</v>
      </c>
      <c r="Q361" s="898">
        <f t="shared" si="1192"/>
        <v>240.952</v>
      </c>
      <c r="R361" s="957">
        <f t="shared" si="1192"/>
        <v>241.02199999999999</v>
      </c>
      <c r="S361" s="898">
        <f t="shared" si="1192"/>
        <v>246.238</v>
      </c>
      <c r="T361" s="898">
        <f t="shared" si="1192"/>
        <v>246.67599999999999</v>
      </c>
      <c r="U361" s="898">
        <f t="shared" si="1192"/>
        <v>246.67599999999999</v>
      </c>
      <c r="V361" s="957">
        <f t="shared" si="1192"/>
        <v>246.67599999999999</v>
      </c>
      <c r="W361" s="898">
        <f t="shared" si="1192"/>
        <v>246.67599999999999</v>
      </c>
      <c r="X361" s="877">
        <f t="shared" si="1192"/>
        <v>246.67599999999999</v>
      </c>
      <c r="Y361" s="877">
        <f t="shared" si="1192"/>
        <v>246.67599999999999</v>
      </c>
      <c r="Z361" s="898">
        <f t="shared" ref="Z361:AA361" si="1206">+Z296</f>
        <v>246.67599999999999</v>
      </c>
      <c r="AA361" s="1272">
        <f t="shared" si="1206"/>
        <v>246.67599999999999</v>
      </c>
      <c r="AB361" s="877"/>
      <c r="AC361" s="877"/>
      <c r="AD361" s="877"/>
      <c r="AE361" s="880"/>
      <c r="AF361" s="898"/>
      <c r="AG361" s="898"/>
      <c r="AH361" s="898"/>
      <c r="AI361" s="898"/>
      <c r="AJ361" s="898"/>
      <c r="AK361" s="898">
        <f t="shared" ref="AK361:AS361" si="1207">+AK296</f>
        <v>58.088000000000001</v>
      </c>
      <c r="AL361" s="898">
        <f t="shared" si="1207"/>
        <v>66.16</v>
      </c>
      <c r="AM361" s="898">
        <f t="shared" si="1207"/>
        <v>87.284999999999997</v>
      </c>
      <c r="AN361" s="898">
        <f t="shared" si="1207"/>
        <v>87.213999999999999</v>
      </c>
      <c r="AO361" s="898">
        <f t="shared" si="1207"/>
        <v>90.197000000000003</v>
      </c>
      <c r="AP361" s="898">
        <f t="shared" si="1207"/>
        <v>90.197000000000003</v>
      </c>
      <c r="AQ361" s="898">
        <f t="shared" si="1207"/>
        <v>174.93899999999999</v>
      </c>
      <c r="AR361" s="898">
        <f t="shared" si="1207"/>
        <v>240.35300000000001</v>
      </c>
      <c r="AS361" s="1108">
        <f t="shared" si="1207"/>
        <v>241.02199999999999</v>
      </c>
      <c r="AT361" s="898">
        <f>+AT296</f>
        <v>246.67599999999999</v>
      </c>
      <c r="AU361" s="878">
        <f t="shared" ref="AU361" si="1208">+AU296</f>
        <v>246.67599999999999</v>
      </c>
      <c r="AV361" s="895"/>
    </row>
    <row r="362" spans="1:48" s="879" customFormat="1" ht="14" x14ac:dyDescent="0.4">
      <c r="A362" s="1172" t="s">
        <v>960</v>
      </c>
      <c r="C362" s="1173">
        <f t="shared" ref="C362:F362" si="1209">+C291</f>
        <v>0</v>
      </c>
      <c r="D362" s="1173">
        <f t="shared" si="1209"/>
        <v>0</v>
      </c>
      <c r="E362" s="1173">
        <f t="shared" si="1209"/>
        <v>0</v>
      </c>
      <c r="F362" s="1173">
        <f t="shared" si="1209"/>
        <v>0</v>
      </c>
      <c r="G362" s="1173">
        <f t="shared" ref="G362:Y362" si="1210">+G291</f>
        <v>0</v>
      </c>
      <c r="H362" s="1173">
        <f t="shared" si="1210"/>
        <v>0</v>
      </c>
      <c r="I362" s="1173">
        <f t="shared" si="1210"/>
        <v>106.929</v>
      </c>
      <c r="J362" s="1174">
        <f t="shared" si="1210"/>
        <v>111.768</v>
      </c>
      <c r="K362" s="1173">
        <f t="shared" si="1210"/>
        <v>107.747</v>
      </c>
      <c r="L362" s="1173">
        <f t="shared" si="1210"/>
        <v>104.01</v>
      </c>
      <c r="M362" s="1173">
        <f t="shared" si="1210"/>
        <v>100.027</v>
      </c>
      <c r="N362" s="958">
        <f t="shared" si="1210"/>
        <v>94.671000000000006</v>
      </c>
      <c r="O362" s="905">
        <f t="shared" si="1210"/>
        <v>96.471000000000004</v>
      </c>
      <c r="P362" s="905">
        <f t="shared" si="1210"/>
        <v>91.41</v>
      </c>
      <c r="Q362" s="905">
        <f t="shared" si="1210"/>
        <v>87.516000000000005</v>
      </c>
      <c r="R362" s="958">
        <f t="shared" si="1210"/>
        <v>85.456999999999994</v>
      </c>
      <c r="S362" s="905">
        <f t="shared" si="1210"/>
        <v>79.326999999999998</v>
      </c>
      <c r="T362" s="905">
        <f t="shared" si="1210"/>
        <v>75.822999999999993</v>
      </c>
      <c r="U362" s="905">
        <f t="shared" si="1210"/>
        <v>72.153999999999996</v>
      </c>
      <c r="V362" s="958">
        <f t="shared" si="1210"/>
        <v>69.507999999999996</v>
      </c>
      <c r="W362" s="905">
        <f t="shared" si="1210"/>
        <v>64.587999999999994</v>
      </c>
      <c r="X362" s="880">
        <f t="shared" si="1210"/>
        <v>60.686999999999998</v>
      </c>
      <c r="Y362" s="880">
        <f t="shared" si="1210"/>
        <v>57.725000000000001</v>
      </c>
      <c r="Z362" s="905">
        <f t="shared" ref="Z362:AA362" si="1211">+Z291</f>
        <v>54.503</v>
      </c>
      <c r="AA362" s="1273">
        <f t="shared" si="1211"/>
        <v>51.609000000000002</v>
      </c>
      <c r="AB362" s="880"/>
      <c r="AC362" s="880"/>
      <c r="AD362" s="880"/>
      <c r="AE362" s="880"/>
      <c r="AF362" s="905"/>
      <c r="AG362" s="905"/>
      <c r="AH362" s="905"/>
      <c r="AI362" s="905"/>
      <c r="AJ362" s="905"/>
      <c r="AK362" s="905">
        <f t="shared" ref="AK362:AS362" si="1212">+AK291</f>
        <v>0</v>
      </c>
      <c r="AL362" s="905">
        <f t="shared" si="1212"/>
        <v>0</v>
      </c>
      <c r="AM362" s="905">
        <f t="shared" si="1212"/>
        <v>0</v>
      </c>
      <c r="AN362" s="905">
        <f t="shared" si="1212"/>
        <v>0</v>
      </c>
      <c r="AO362" s="905">
        <f t="shared" si="1212"/>
        <v>0</v>
      </c>
      <c r="AP362" s="905">
        <f t="shared" si="1212"/>
        <v>0</v>
      </c>
      <c r="AQ362" s="905">
        <f>+AQ291</f>
        <v>111.768</v>
      </c>
      <c r="AR362" s="905">
        <f t="shared" si="1212"/>
        <v>94.671000000000006</v>
      </c>
      <c r="AS362" s="1113">
        <f t="shared" si="1212"/>
        <v>85.456999999999994</v>
      </c>
      <c r="AT362" s="905">
        <f>+AT291</f>
        <v>69.507999999999996</v>
      </c>
      <c r="AU362" s="881">
        <f t="shared" ref="AU362" si="1213">+AU291</f>
        <v>54.503</v>
      </c>
      <c r="AV362" s="895"/>
    </row>
    <row r="363" spans="1:48" s="879" customFormat="1" ht="14" x14ac:dyDescent="0.4">
      <c r="A363" s="882" t="s">
        <v>961</v>
      </c>
      <c r="C363" s="1107">
        <f t="shared" ref="C363" si="1214">+SUM(C357:C362)</f>
        <v>251.523</v>
      </c>
      <c r="D363" s="1107">
        <f t="shared" ref="D363" si="1215">+SUM(D357:D362)</f>
        <v>244.22600000000003</v>
      </c>
      <c r="E363" s="1107">
        <f t="shared" ref="E363" si="1216">+SUM(E357:E362)</f>
        <v>241.55100000000002</v>
      </c>
      <c r="F363" s="1107">
        <f t="shared" ref="F363" si="1217">+SUM(F357:F362)</f>
        <v>241.62</v>
      </c>
      <c r="G363" s="1107">
        <f t="shared" ref="G363" si="1218">+SUM(G357:G362)</f>
        <v>245.41499999999999</v>
      </c>
      <c r="H363" s="1107">
        <f t="shared" ref="H363" si="1219">+SUM(H357:H362)</f>
        <v>240.48400000000001</v>
      </c>
      <c r="I363" s="1107">
        <f t="shared" ref="I363" si="1220">+SUM(I357:I362)</f>
        <v>492.81999999999994</v>
      </c>
      <c r="J363" s="1109">
        <f t="shared" ref="J363" si="1221">+SUM(J357:J362)</f>
        <v>500.16800000000001</v>
      </c>
      <c r="K363" s="1107">
        <f t="shared" ref="K363" si="1222">+SUM(K357:K362)</f>
        <v>525.971</v>
      </c>
      <c r="L363" s="1107">
        <f t="shared" ref="L363" si="1223">+SUM(L357:L362)</f>
        <v>628.30200000000002</v>
      </c>
      <c r="M363" s="1107">
        <f t="shared" ref="M363" si="1224">+SUM(M357:M362)</f>
        <v>626.64700000000005</v>
      </c>
      <c r="N363" s="957">
        <f t="shared" ref="N363" si="1225">+SUM(N357:N362)</f>
        <v>614.25700000000006</v>
      </c>
      <c r="O363" s="898">
        <f t="shared" ref="O363" si="1226">+SUM(O357:O362)</f>
        <v>617.80600000000004</v>
      </c>
      <c r="P363" s="898">
        <f t="shared" ref="P363" si="1227">+SUM(P357:P362)</f>
        <v>611.99699999999996</v>
      </c>
      <c r="Q363" s="898">
        <f t="shared" ref="Q363" si="1228">+SUM(Q357:Q362)</f>
        <v>603.37</v>
      </c>
      <c r="R363" s="957">
        <f t="shared" ref="R363" si="1229">+SUM(R357:R362)</f>
        <v>599.06499999999994</v>
      </c>
      <c r="S363" s="898">
        <f t="shared" ref="S363" si="1230">+SUM(S357:S362)</f>
        <v>610.74</v>
      </c>
      <c r="T363" s="898">
        <f t="shared" ref="T363" si="1231">+SUM(T357:T362)</f>
        <v>600.78200000000004</v>
      </c>
      <c r="U363" s="898">
        <f t="shared" ref="U363" si="1232">+SUM(U357:U362)</f>
        <v>591.61699999999996</v>
      </c>
      <c r="V363" s="957">
        <f t="shared" ref="V363" si="1233">+SUM(V357:V362)</f>
        <v>577.53899999999999</v>
      </c>
      <c r="W363" s="898">
        <f t="shared" ref="W363" si="1234">+SUM(W357:W362)</f>
        <v>576.26400000000001</v>
      </c>
      <c r="X363" s="877">
        <f t="shared" ref="X363" si="1235">+SUM(X357:X362)</f>
        <v>568.3889999999999</v>
      </c>
      <c r="Y363" s="877">
        <f t="shared" ref="Y363" si="1236">+SUM(Y357:Y362)</f>
        <v>561.053</v>
      </c>
      <c r="Z363" s="898">
        <f t="shared" ref="Z363:AA363" si="1237">+SUM(Z357:Z362)</f>
        <v>547.50099999999998</v>
      </c>
      <c r="AA363" s="1272">
        <f t="shared" si="1237"/>
        <v>570.73500000000001</v>
      </c>
      <c r="AB363" s="877"/>
      <c r="AC363" s="877"/>
      <c r="AD363" s="877"/>
      <c r="AE363" s="880"/>
      <c r="AF363" s="898"/>
      <c r="AG363" s="898"/>
      <c r="AH363" s="898"/>
      <c r="AI363" s="898"/>
      <c r="AJ363" s="898"/>
      <c r="AK363" s="898">
        <f t="shared" ref="AK363:AS363" si="1238">+SUM(AK357:AK362)</f>
        <v>241.07900000000001</v>
      </c>
      <c r="AL363" s="898">
        <f t="shared" si="1238"/>
        <v>243.14099999999999</v>
      </c>
      <c r="AM363" s="898">
        <f t="shared" si="1238"/>
        <v>272.25599999999997</v>
      </c>
      <c r="AN363" s="898">
        <f t="shared" si="1238"/>
        <v>255.64500000000001</v>
      </c>
      <c r="AO363" s="898">
        <f t="shared" si="1238"/>
        <v>246.06199999999998</v>
      </c>
      <c r="AP363" s="898">
        <f t="shared" si="1238"/>
        <v>241.62</v>
      </c>
      <c r="AQ363" s="898">
        <f t="shared" si="1238"/>
        <v>500.16800000000001</v>
      </c>
      <c r="AR363" s="898">
        <f t="shared" si="1238"/>
        <v>614.25700000000006</v>
      </c>
      <c r="AS363" s="1108">
        <f t="shared" si="1238"/>
        <v>599.06499999999994</v>
      </c>
      <c r="AT363" s="898">
        <f>+SUM(AT357:AT362)</f>
        <v>577.53899999999999</v>
      </c>
      <c r="AU363" s="878">
        <f t="shared" ref="AU363" si="1239">+SUM(AU357:AU362)</f>
        <v>547.50099999999998</v>
      </c>
      <c r="AV363" s="895"/>
    </row>
    <row r="364" spans="1:48" s="879" customFormat="1" ht="14" x14ac:dyDescent="0.4">
      <c r="A364" s="913" t="s">
        <v>962</v>
      </c>
      <c r="C364" s="898"/>
      <c r="D364" s="898"/>
      <c r="E364" s="898"/>
      <c r="F364" s="898"/>
      <c r="G364" s="1107"/>
      <c r="H364" s="1107"/>
      <c r="I364" s="1107"/>
      <c r="J364" s="1109"/>
      <c r="K364" s="1107"/>
      <c r="L364" s="1107"/>
      <c r="M364" s="1107"/>
      <c r="N364" s="957"/>
      <c r="O364" s="898"/>
      <c r="P364" s="898"/>
      <c r="Q364" s="898"/>
      <c r="R364" s="957"/>
      <c r="S364" s="898"/>
      <c r="T364" s="898"/>
      <c r="U364" s="898"/>
      <c r="V364" s="957"/>
      <c r="W364" s="898"/>
      <c r="X364" s="877"/>
      <c r="Y364" s="877"/>
      <c r="Z364" s="898"/>
      <c r="AA364" s="1272"/>
      <c r="AB364" s="877"/>
      <c r="AC364" s="877"/>
      <c r="AD364" s="877"/>
      <c r="AE364" s="880"/>
      <c r="AF364" s="898"/>
      <c r="AG364" s="898"/>
      <c r="AH364" s="898"/>
      <c r="AI364" s="898"/>
      <c r="AJ364" s="898"/>
      <c r="AK364" s="898"/>
      <c r="AL364" s="898"/>
      <c r="AM364" s="898"/>
      <c r="AN364" s="898"/>
      <c r="AO364" s="898"/>
      <c r="AP364" s="898"/>
      <c r="AQ364" s="898"/>
      <c r="AR364" s="898"/>
      <c r="AS364" s="1108"/>
      <c r="AT364" s="898"/>
      <c r="AU364" s="878"/>
      <c r="AV364" s="895"/>
    </row>
    <row r="365" spans="1:48" s="879" customFormat="1" ht="14" x14ac:dyDescent="0.4">
      <c r="A365" s="911"/>
      <c r="C365" s="898"/>
      <c r="D365" s="898"/>
      <c r="E365" s="898"/>
      <c r="F365" s="898"/>
      <c r="G365" s="1107"/>
      <c r="H365" s="1107"/>
      <c r="I365" s="1107"/>
      <c r="J365" s="1109"/>
      <c r="K365" s="1107"/>
      <c r="L365" s="1107"/>
      <c r="M365" s="1107"/>
      <c r="N365" s="957"/>
      <c r="O365" s="898"/>
      <c r="P365" s="898"/>
      <c r="Q365" s="898"/>
      <c r="R365" s="957"/>
      <c r="S365" s="898"/>
      <c r="T365" s="898"/>
      <c r="U365" s="898"/>
      <c r="V365" s="957"/>
      <c r="W365" s="898"/>
      <c r="X365" s="877"/>
      <c r="Y365" s="877"/>
      <c r="Z365" s="898"/>
      <c r="AA365" s="1272"/>
      <c r="AB365" s="877"/>
      <c r="AC365" s="877"/>
      <c r="AD365" s="877"/>
      <c r="AE365" s="880"/>
      <c r="AF365" s="898"/>
      <c r="AG365" s="898"/>
      <c r="AH365" s="898"/>
      <c r="AI365" s="898"/>
      <c r="AJ365" s="898"/>
      <c r="AK365" s="898"/>
      <c r="AL365" s="898"/>
      <c r="AM365" s="898"/>
      <c r="AN365" s="898"/>
      <c r="AO365" s="898"/>
      <c r="AP365" s="898"/>
      <c r="AQ365" s="898"/>
      <c r="AR365" s="898"/>
      <c r="AS365" s="1108"/>
      <c r="AT365" s="898"/>
      <c r="AU365" s="878"/>
      <c r="AV365" s="895"/>
    </row>
    <row r="366" spans="1:48" s="879" customFormat="1" ht="14" x14ac:dyDescent="0.4">
      <c r="A366" s="911" t="s">
        <v>963</v>
      </c>
      <c r="C366" s="1107">
        <f t="shared" ref="C366:F366" si="1240">+C353+C363</f>
        <v>521.87099999999998</v>
      </c>
      <c r="D366" s="1107">
        <f t="shared" si="1240"/>
        <v>471.36400000000003</v>
      </c>
      <c r="E366" s="1107">
        <f t="shared" si="1240"/>
        <v>458.036</v>
      </c>
      <c r="F366" s="1107">
        <f t="shared" si="1240"/>
        <v>374.48400000000004</v>
      </c>
      <c r="G366" s="1107">
        <f t="shared" ref="G366:Y366" si="1241">+G353+G363</f>
        <v>493.52599999999995</v>
      </c>
      <c r="H366" s="1107">
        <f t="shared" si="1241"/>
        <v>463.76800000000003</v>
      </c>
      <c r="I366" s="1107">
        <f t="shared" si="1241"/>
        <v>749.41200000000003</v>
      </c>
      <c r="J366" s="1109">
        <f t="shared" si="1241"/>
        <v>673.63400000000001</v>
      </c>
      <c r="K366" s="1107">
        <f t="shared" si="1241"/>
        <v>876.84100000000001</v>
      </c>
      <c r="L366" s="1107">
        <f t="shared" si="1241"/>
        <v>1014.835</v>
      </c>
      <c r="M366" s="1107">
        <f t="shared" si="1241"/>
        <v>973.26100000000008</v>
      </c>
      <c r="N366" s="957">
        <f t="shared" si="1241"/>
        <v>865.05600000000004</v>
      </c>
      <c r="O366" s="898">
        <f t="shared" si="1241"/>
        <v>1086.0810000000001</v>
      </c>
      <c r="P366" s="898">
        <f t="shared" si="1241"/>
        <v>1034.1610000000001</v>
      </c>
      <c r="Q366" s="898">
        <f t="shared" si="1241"/>
        <v>1018.5419999999999</v>
      </c>
      <c r="R366" s="957">
        <f t="shared" si="1241"/>
        <v>961.97699999999986</v>
      </c>
      <c r="S366" s="898">
        <f t="shared" si="1241"/>
        <v>1195.7730000000001</v>
      </c>
      <c r="T366" s="898">
        <f t="shared" si="1241"/>
        <v>1103.5170000000001</v>
      </c>
      <c r="U366" s="898">
        <f t="shared" si="1241"/>
        <v>1089.9870000000001</v>
      </c>
      <c r="V366" s="957">
        <f t="shared" si="1241"/>
        <v>1049.0250000000001</v>
      </c>
      <c r="W366" s="898">
        <f t="shared" si="1241"/>
        <v>1236.48</v>
      </c>
      <c r="X366" s="877">
        <f t="shared" si="1241"/>
        <v>1172.1449999999998</v>
      </c>
      <c r="Y366" s="877">
        <f t="shared" si="1241"/>
        <v>1226.347</v>
      </c>
      <c r="Z366" s="898">
        <f t="shared" ref="Z366:AA366" si="1242">+Z353+Z363</f>
        <v>1111.1949999999999</v>
      </c>
      <c r="AA366" s="1272">
        <f t="shared" si="1242"/>
        <v>1380.5819999999999</v>
      </c>
      <c r="AB366" s="877"/>
      <c r="AC366" s="877"/>
      <c r="AD366" s="877"/>
      <c r="AE366" s="880"/>
      <c r="AF366" s="898"/>
      <c r="AG366" s="898"/>
      <c r="AH366" s="898"/>
      <c r="AI366" s="898"/>
      <c r="AJ366" s="898"/>
      <c r="AK366" s="898">
        <f t="shared" ref="AK366:AS366" si="1243">+AK353+AK363</f>
        <v>433.524</v>
      </c>
      <c r="AL366" s="898">
        <f t="shared" si="1243"/>
        <v>428.16800000000001</v>
      </c>
      <c r="AM366" s="898">
        <f t="shared" si="1243"/>
        <v>420.28399999999999</v>
      </c>
      <c r="AN366" s="898">
        <f t="shared" si="1243"/>
        <v>417.322</v>
      </c>
      <c r="AO366" s="898">
        <f t="shared" si="1243"/>
        <v>394.42399999999998</v>
      </c>
      <c r="AP366" s="898">
        <f t="shared" si="1243"/>
        <v>374.48400000000004</v>
      </c>
      <c r="AQ366" s="898">
        <f>+AQ353+AQ363</f>
        <v>673.63400000000001</v>
      </c>
      <c r="AR366" s="898">
        <f t="shared" si="1243"/>
        <v>865.05600000000004</v>
      </c>
      <c r="AS366" s="1108">
        <f t="shared" si="1243"/>
        <v>961.97699999999986</v>
      </c>
      <c r="AT366" s="898">
        <f>+AT353+AT363</f>
        <v>1049.0250000000001</v>
      </c>
      <c r="AU366" s="878">
        <f t="shared" ref="AU366" si="1244">+AU353+AU363</f>
        <v>1111.1949999999999</v>
      </c>
      <c r="AV366" s="895"/>
    </row>
    <row r="367" spans="1:48" s="887" customFormat="1" ht="13" x14ac:dyDescent="0.3">
      <c r="A367" s="890" t="s">
        <v>657</v>
      </c>
      <c r="F367" s="883"/>
      <c r="G367" s="883">
        <f t="shared" ref="G367:Z367" si="1245">+G366/C366-1</f>
        <v>-5.4314188755458792E-2</v>
      </c>
      <c r="H367" s="883">
        <f t="shared" si="1245"/>
        <v>-1.6114934530426561E-2</v>
      </c>
      <c r="I367" s="883">
        <f t="shared" si="1245"/>
        <v>0.63614213729925173</v>
      </c>
      <c r="J367" s="964">
        <f t="shared" si="1245"/>
        <v>0.79883252689033424</v>
      </c>
      <c r="K367" s="883">
        <f t="shared" si="1245"/>
        <v>0.77668653728476333</v>
      </c>
      <c r="L367" s="883">
        <f t="shared" si="1245"/>
        <v>1.1882385158096289</v>
      </c>
      <c r="M367" s="883">
        <f t="shared" si="1245"/>
        <v>0.29869951375211512</v>
      </c>
      <c r="N367" s="964">
        <f t="shared" si="1245"/>
        <v>0.28416321028926683</v>
      </c>
      <c r="O367" s="883">
        <f t="shared" si="1245"/>
        <v>0.23862935241394978</v>
      </c>
      <c r="P367" s="883">
        <f t="shared" si="1245"/>
        <v>1.9043489828395765E-2</v>
      </c>
      <c r="Q367" s="883">
        <f t="shared" si="1245"/>
        <v>4.6525032853468762E-2</v>
      </c>
      <c r="R367" s="964">
        <f t="shared" si="1245"/>
        <v>0.11204014537787121</v>
      </c>
      <c r="S367" s="883">
        <f t="shared" si="1245"/>
        <v>0.10099799186248548</v>
      </c>
      <c r="T367" s="883">
        <f t="shared" si="1245"/>
        <v>6.7064992781588062E-2</v>
      </c>
      <c r="U367" s="883">
        <f t="shared" si="1245"/>
        <v>7.0144382853137399E-2</v>
      </c>
      <c r="V367" s="964">
        <f t="shared" si="1245"/>
        <v>9.0488649936537158E-2</v>
      </c>
      <c r="W367" s="883">
        <f t="shared" si="1245"/>
        <v>3.4042414404740651E-2</v>
      </c>
      <c r="X367" s="883">
        <f t="shared" si="1245"/>
        <v>6.2190251713385214E-2</v>
      </c>
      <c r="Y367" s="883">
        <f t="shared" si="1245"/>
        <v>0.125102409478278</v>
      </c>
      <c r="Z367" s="883">
        <f t="shared" si="1245"/>
        <v>5.9264555182192868E-2</v>
      </c>
      <c r="AA367" s="1275">
        <f t="shared" ref="AA367" si="1246">+AA366/W366-1</f>
        <v>0.11654211956521721</v>
      </c>
      <c r="AB367" s="883"/>
      <c r="AC367" s="883"/>
      <c r="AD367" s="883"/>
      <c r="AE367" s="883"/>
      <c r="AF367" s="883"/>
      <c r="AG367" s="883"/>
      <c r="AH367" s="883"/>
      <c r="AI367" s="883"/>
      <c r="AJ367" s="883"/>
      <c r="AK367" s="883"/>
      <c r="AL367" s="883">
        <f t="shared" ref="AL367:AS367" si="1247">+AL366/AK366-1</f>
        <v>-1.2354563991843537E-2</v>
      </c>
      <c r="AM367" s="883">
        <f t="shared" si="1247"/>
        <v>-1.8413333084210004E-2</v>
      </c>
      <c r="AN367" s="883">
        <f t="shared" si="1247"/>
        <v>-7.0476154219527576E-3</v>
      </c>
      <c r="AO367" s="883">
        <f t="shared" si="1247"/>
        <v>-5.4868902190634672E-2</v>
      </c>
      <c r="AP367" s="883">
        <f t="shared" si="1247"/>
        <v>-5.0554732977709071E-2</v>
      </c>
      <c r="AQ367" s="883">
        <f t="shared" si="1247"/>
        <v>0.79883252689033424</v>
      </c>
      <c r="AR367" s="883">
        <f t="shared" si="1247"/>
        <v>0.28416321028926683</v>
      </c>
      <c r="AS367" s="883">
        <f t="shared" si="1247"/>
        <v>0.11204014537787121</v>
      </c>
      <c r="AT367" s="883">
        <f>+AT366/AS366-1</f>
        <v>9.0488649936537158E-2</v>
      </c>
      <c r="AU367" s="883">
        <f t="shared" ref="AU367" si="1248">+AU366/AT366-1</f>
        <v>5.9264555182192868E-2</v>
      </c>
      <c r="AV367" s="883"/>
    </row>
    <row r="368" spans="1:48" s="879" customFormat="1" ht="14" x14ac:dyDescent="0.4">
      <c r="A368" s="926"/>
      <c r="C368" s="898"/>
      <c r="D368" s="898"/>
      <c r="E368" s="898"/>
      <c r="F368" s="898"/>
      <c r="G368" s="1107"/>
      <c r="H368" s="1107"/>
      <c r="I368" s="1107"/>
      <c r="J368" s="1109"/>
      <c r="K368" s="1107"/>
      <c r="L368" s="1107"/>
      <c r="M368" s="1107"/>
      <c r="N368" s="957"/>
      <c r="O368" s="898"/>
      <c r="P368" s="898"/>
      <c r="Q368" s="898"/>
      <c r="R368" s="957"/>
      <c r="S368" s="898"/>
      <c r="T368" s="898"/>
      <c r="U368" s="898"/>
      <c r="V368" s="957"/>
      <c r="W368" s="898"/>
      <c r="X368" s="877"/>
      <c r="Y368" s="877"/>
      <c r="Z368" s="898"/>
      <c r="AA368" s="1272"/>
      <c r="AB368" s="877"/>
      <c r="AC368" s="877"/>
      <c r="AD368" s="877"/>
      <c r="AE368" s="880"/>
      <c r="AF368" s="898"/>
      <c r="AG368" s="898"/>
      <c r="AH368" s="898"/>
      <c r="AI368" s="898"/>
      <c r="AJ368" s="898"/>
      <c r="AK368" s="898"/>
      <c r="AL368" s="898"/>
      <c r="AM368" s="898"/>
      <c r="AN368" s="898"/>
      <c r="AO368" s="898"/>
      <c r="AP368" s="898"/>
      <c r="AQ368" s="898"/>
      <c r="AR368" s="898"/>
      <c r="AS368" s="1108"/>
      <c r="AT368" s="898"/>
      <c r="AU368" s="878"/>
      <c r="AV368" s="895"/>
    </row>
    <row r="369" spans="1:48" s="879" customFormat="1" ht="14" x14ac:dyDescent="0.4">
      <c r="A369" s="1172" t="s">
        <v>964</v>
      </c>
      <c r="C369" s="1107"/>
      <c r="D369" s="1107"/>
      <c r="E369" s="1107"/>
      <c r="F369" s="1107">
        <f>SUM(C73:F73)</f>
        <v>45.485999999999969</v>
      </c>
      <c r="G369" s="1107">
        <f>SUM(D73:G73)</f>
        <v>39.849999999999973</v>
      </c>
      <c r="H369" s="1107">
        <f>SUM(E73:H73)</f>
        <v>36.864999999999995</v>
      </c>
      <c r="I369" s="1107">
        <f>SUM(F73:I73)</f>
        <v>28.096999999999987</v>
      </c>
      <c r="J369" s="1109">
        <f>SUM(G73:J73)</f>
        <v>32.457000000000171</v>
      </c>
      <c r="K369" s="1107">
        <f>SUM(H73:K73)</f>
        <v>63.909000000000184</v>
      </c>
      <c r="L369" s="1107">
        <f>SUM(I73:L73)</f>
        <v>72.056000000000111</v>
      </c>
      <c r="M369" s="1107">
        <f>SUM(J73:M73)</f>
        <v>96.110000000000099</v>
      </c>
      <c r="N369" s="957">
        <f>SUM(K73:N73)</f>
        <v>110.456</v>
      </c>
      <c r="O369" s="898">
        <f>SUM(L73:O73)</f>
        <v>91.415000000000006</v>
      </c>
      <c r="P369" s="898">
        <f>SUM(M73:P73)</f>
        <v>109.87800000000007</v>
      </c>
      <c r="Q369" s="898">
        <f>SUM(N73:Q73)</f>
        <v>131.91900000000007</v>
      </c>
      <c r="R369" s="957">
        <f>SUM(O73:R73)</f>
        <v>156.62799999999999</v>
      </c>
      <c r="S369" s="898">
        <f>SUM(P73:S73)</f>
        <v>134.886</v>
      </c>
      <c r="T369" s="898">
        <f>SUM(Q73:T73)</f>
        <v>146.04400000000001</v>
      </c>
      <c r="U369" s="898">
        <f>SUM(R73:U73)</f>
        <v>157.64900000000003</v>
      </c>
      <c r="V369" s="957">
        <f>SUM(S73:V73)</f>
        <v>165.49900000000002</v>
      </c>
      <c r="W369" s="898">
        <f>SUM(T73:W73)</f>
        <v>197.53799999999998</v>
      </c>
      <c r="X369" s="877">
        <f>SUM(U73:X73)</f>
        <v>213.75399999999996</v>
      </c>
      <c r="Y369" s="877">
        <f>SUM(V73:Y73)</f>
        <v>229.86799999999994</v>
      </c>
      <c r="Z369" s="898">
        <f>SUM(W73:Z73)</f>
        <v>249.59999999999997</v>
      </c>
      <c r="AA369" s="1272">
        <f>SUM(X73:AA73)</f>
        <v>293.62400000000002</v>
      </c>
      <c r="AB369" s="877"/>
      <c r="AC369" s="877"/>
      <c r="AD369" s="877"/>
      <c r="AE369" s="880"/>
      <c r="AF369" s="898"/>
      <c r="AG369" s="898"/>
      <c r="AH369" s="898"/>
      <c r="AI369" s="898"/>
      <c r="AJ369" s="898"/>
      <c r="AK369" s="898">
        <f>+AK73</f>
        <v>22.855999999999938</v>
      </c>
      <c r="AL369" s="898">
        <f>+AL73</f>
        <v>18.427000000000007</v>
      </c>
      <c r="AM369" s="898">
        <f>+AM73</f>
        <v>13.914000000000044</v>
      </c>
      <c r="AN369" s="898">
        <f>+AN73</f>
        <v>13.128999999999962</v>
      </c>
      <c r="AO369" s="898">
        <f>+AO73</f>
        <v>25.545000000000002</v>
      </c>
      <c r="AP369" s="898">
        <f>+AP73</f>
        <v>45.48599999999999</v>
      </c>
      <c r="AQ369" s="898">
        <f>+AQ73</f>
        <v>32.457000000000178</v>
      </c>
      <c r="AR369" s="898">
        <f>+AR73</f>
        <v>110.45600000000002</v>
      </c>
      <c r="AS369" s="1108">
        <f>+AS73</f>
        <v>156.62800000000001</v>
      </c>
      <c r="AT369" s="898">
        <f>+AT73</f>
        <v>165.49900000000005</v>
      </c>
      <c r="AU369" s="878">
        <f>+AU73</f>
        <v>249.60000000000002</v>
      </c>
      <c r="AV369" s="895"/>
    </row>
    <row r="370" spans="1:48" s="879" customFormat="1" ht="14" x14ac:dyDescent="0.4">
      <c r="A370" s="911" t="s">
        <v>965</v>
      </c>
      <c r="C370" s="1173"/>
      <c r="D370" s="1173"/>
      <c r="E370" s="1173"/>
      <c r="F370" s="1173">
        <f t="shared" ref="F370" si="1249">+AVERAGE(E366:F366)</f>
        <v>416.26</v>
      </c>
      <c r="G370" s="1173">
        <f t="shared" ref="G370:Y370" si="1250">+AVERAGE(F366:G366)</f>
        <v>434.005</v>
      </c>
      <c r="H370" s="1173">
        <f t="shared" si="1250"/>
        <v>478.64699999999999</v>
      </c>
      <c r="I370" s="1173">
        <f t="shared" si="1250"/>
        <v>606.59</v>
      </c>
      <c r="J370" s="1174">
        <f t="shared" si="1250"/>
        <v>711.52300000000002</v>
      </c>
      <c r="K370" s="1173">
        <f t="shared" si="1250"/>
        <v>775.23749999999995</v>
      </c>
      <c r="L370" s="1173">
        <f t="shared" si="1250"/>
        <v>945.83799999999997</v>
      </c>
      <c r="M370" s="1173">
        <f t="shared" si="1250"/>
        <v>994.048</v>
      </c>
      <c r="N370" s="958">
        <f t="shared" si="1250"/>
        <v>919.1585</v>
      </c>
      <c r="O370" s="905">
        <f t="shared" si="1250"/>
        <v>975.56850000000009</v>
      </c>
      <c r="P370" s="905">
        <f t="shared" si="1250"/>
        <v>1060.1210000000001</v>
      </c>
      <c r="Q370" s="905">
        <f t="shared" si="1250"/>
        <v>1026.3515</v>
      </c>
      <c r="R370" s="958">
        <f t="shared" si="1250"/>
        <v>990.25949999999989</v>
      </c>
      <c r="S370" s="905">
        <f t="shared" si="1250"/>
        <v>1078.875</v>
      </c>
      <c r="T370" s="905">
        <f t="shared" si="1250"/>
        <v>1149.645</v>
      </c>
      <c r="U370" s="905">
        <f t="shared" si="1250"/>
        <v>1096.752</v>
      </c>
      <c r="V370" s="958">
        <f t="shared" si="1250"/>
        <v>1069.5060000000001</v>
      </c>
      <c r="W370" s="905">
        <f t="shared" si="1250"/>
        <v>1142.7525000000001</v>
      </c>
      <c r="X370" s="880">
        <f t="shared" si="1250"/>
        <v>1204.3125</v>
      </c>
      <c r="Y370" s="880">
        <f t="shared" si="1250"/>
        <v>1199.2459999999999</v>
      </c>
      <c r="Z370" s="905">
        <f t="shared" ref="Z370" si="1251">+AVERAGE(Y366:Z366)</f>
        <v>1168.771</v>
      </c>
      <c r="AA370" s="1273">
        <f t="shared" ref="AA370" si="1252">+AVERAGE(Z366:AA366)</f>
        <v>1245.8885</v>
      </c>
      <c r="AB370" s="880"/>
      <c r="AC370" s="880"/>
      <c r="AD370" s="880"/>
      <c r="AE370" s="880"/>
      <c r="AF370" s="905"/>
      <c r="AG370" s="905"/>
      <c r="AH370" s="905"/>
      <c r="AI370" s="905"/>
      <c r="AJ370" s="905"/>
      <c r="AK370" s="905">
        <f t="shared" ref="AK370:AT370" si="1253">+AVERAGE(AJ366:AK366)</f>
        <v>433.524</v>
      </c>
      <c r="AL370" s="905">
        <f t="shared" si="1253"/>
        <v>430.846</v>
      </c>
      <c r="AM370" s="905">
        <f t="shared" si="1253"/>
        <v>424.226</v>
      </c>
      <c r="AN370" s="905">
        <f t="shared" si="1253"/>
        <v>418.803</v>
      </c>
      <c r="AO370" s="905">
        <f t="shared" si="1253"/>
        <v>405.87299999999999</v>
      </c>
      <c r="AP370" s="905">
        <f t="shared" si="1253"/>
        <v>384.45400000000001</v>
      </c>
      <c r="AQ370" s="905">
        <f t="shared" si="1253"/>
        <v>524.05899999999997</v>
      </c>
      <c r="AR370" s="905">
        <f t="shared" si="1253"/>
        <v>769.34500000000003</v>
      </c>
      <c r="AS370" s="1113">
        <f t="shared" si="1253"/>
        <v>913.51649999999995</v>
      </c>
      <c r="AT370" s="905">
        <f t="shared" si="1253"/>
        <v>1005.501</v>
      </c>
      <c r="AU370" s="881">
        <f>+AVERAGE(AT366:AU366)</f>
        <v>1080.1100000000001</v>
      </c>
      <c r="AV370" s="895"/>
    </row>
    <row r="371" spans="1:48" s="879" customFormat="1" ht="14" x14ac:dyDescent="0.4">
      <c r="A371" s="912" t="s">
        <v>336</v>
      </c>
      <c r="B371" s="908"/>
      <c r="C371" s="1175"/>
      <c r="D371" s="1175"/>
      <c r="E371" s="1175"/>
      <c r="F371" s="1175">
        <f t="shared" ref="F371" si="1254">+F369/F370</f>
        <v>0.10927305049728528</v>
      </c>
      <c r="G371" s="1175">
        <f t="shared" ref="G371" si="1255">+G369/G370</f>
        <v>9.1819218672595876E-2</v>
      </c>
      <c r="H371" s="1175">
        <f t="shared" ref="H371" si="1256">+H369/H370</f>
        <v>7.7019181150200455E-2</v>
      </c>
      <c r="I371" s="1175">
        <f t="shared" ref="I371" si="1257">+I369/I370</f>
        <v>4.6319589838276241E-2</v>
      </c>
      <c r="J371" s="1176">
        <f t="shared" ref="J371" si="1258">+J369/J370</f>
        <v>4.5616234471689839E-2</v>
      </c>
      <c r="K371" s="1175">
        <f t="shared" ref="K371" si="1259">+K369/K370</f>
        <v>8.2437962559860925E-2</v>
      </c>
      <c r="L371" s="1175">
        <f t="shared" ref="L371" si="1260">+L369/L370</f>
        <v>7.6182179189248175E-2</v>
      </c>
      <c r="M371" s="1175">
        <f t="shared" ref="M371" si="1261">+M369/M370</f>
        <v>9.6685471928921032E-2</v>
      </c>
      <c r="N371" s="1176">
        <f t="shared" ref="N371" si="1262">+N369/N370</f>
        <v>0.12017078664887504</v>
      </c>
      <c r="O371" s="1175">
        <f t="shared" ref="O371" si="1263">+O369/O370</f>
        <v>9.370433752217297E-2</v>
      </c>
      <c r="P371" s="1175">
        <f t="shared" ref="P371" si="1264">+P369/P370</f>
        <v>0.10364665920211001</v>
      </c>
      <c r="Q371" s="1175">
        <f t="shared" ref="Q371" si="1265">+Q369/Q370</f>
        <v>0.12853198928437293</v>
      </c>
      <c r="R371" s="1176">
        <f t="shared" ref="R371" si="1266">+R369/R370</f>
        <v>0.15816864165403111</v>
      </c>
      <c r="S371" s="1175">
        <f t="shared" ref="S371" si="1267">+S369/S370</f>
        <v>0.1250246784845325</v>
      </c>
      <c r="T371" s="1175">
        <f t="shared" ref="T371" si="1268">+T369/T370</f>
        <v>0.12703399745138719</v>
      </c>
      <c r="U371" s="1175">
        <f t="shared" ref="U371" si="1269">+U369/U370</f>
        <v>0.14374170277327969</v>
      </c>
      <c r="V371" s="1176">
        <f t="shared" ref="V371" si="1270">+V369/V370</f>
        <v>0.15474340489908425</v>
      </c>
      <c r="W371" s="1175">
        <f t="shared" ref="W371" si="1271">+W369/W370</f>
        <v>0.17286157763820248</v>
      </c>
      <c r="X371" s="1175">
        <f t="shared" ref="X371" si="1272">+X369/X370</f>
        <v>0.17749047693185943</v>
      </c>
      <c r="Y371" s="1175">
        <f t="shared" ref="Y371" si="1273">+Y369/Y370</f>
        <v>0.19167710378020852</v>
      </c>
      <c r="Z371" s="1175">
        <f t="shared" ref="Z371:AA371" si="1274">+Z369/Z370</f>
        <v>0.21355766014043809</v>
      </c>
      <c r="AA371" s="1292">
        <f t="shared" si="1274"/>
        <v>0.23567438017125933</v>
      </c>
      <c r="AB371" s="1175"/>
      <c r="AC371" s="1175"/>
      <c r="AD371" s="1175"/>
      <c r="AE371" s="1175"/>
      <c r="AF371" s="1175"/>
      <c r="AG371" s="1175"/>
      <c r="AH371" s="1175"/>
      <c r="AI371" s="1175"/>
      <c r="AJ371" s="1175"/>
      <c r="AK371" s="1175">
        <f t="shared" ref="AK371:AT371" si="1275">+AK369/AK370</f>
        <v>5.272141796071253E-2</v>
      </c>
      <c r="AL371" s="1175">
        <f t="shared" si="1275"/>
        <v>4.2769342177947589E-2</v>
      </c>
      <c r="AM371" s="1175">
        <f t="shared" si="1275"/>
        <v>3.2798555486933959E-2</v>
      </c>
      <c r="AN371" s="1175">
        <f t="shared" si="1275"/>
        <v>3.1348868083561875E-2</v>
      </c>
      <c r="AO371" s="1175">
        <f t="shared" si="1275"/>
        <v>6.2938406841548958E-2</v>
      </c>
      <c r="AP371" s="1175">
        <f t="shared" si="1275"/>
        <v>0.11831324423728193</v>
      </c>
      <c r="AQ371" s="1175">
        <f t="shared" si="1275"/>
        <v>6.1933866224986464E-2</v>
      </c>
      <c r="AR371" s="1175">
        <f t="shared" si="1275"/>
        <v>0.14357147963527417</v>
      </c>
      <c r="AS371" s="1175">
        <f t="shared" si="1275"/>
        <v>0.17145612586089032</v>
      </c>
      <c r="AT371" s="1175">
        <f t="shared" si="1275"/>
        <v>0.16459357076720962</v>
      </c>
      <c r="AU371" s="1175">
        <f>+AU369/AU370</f>
        <v>0.23108757441371711</v>
      </c>
      <c r="AV371" s="895"/>
    </row>
    <row r="372" spans="1:48" s="887" customFormat="1" ht="13" x14ac:dyDescent="0.3">
      <c r="A372" s="892" t="s">
        <v>966</v>
      </c>
      <c r="G372" s="883"/>
      <c r="H372" s="883"/>
      <c r="I372" s="883"/>
      <c r="J372" s="964">
        <f t="shared" ref="J372:Y372" si="1276">+(J369-F369)/(J370-F370)</f>
        <v>-4.4126761565112443E-2</v>
      </c>
      <c r="K372" s="883">
        <f t="shared" si="1276"/>
        <v>7.0506179804093141E-2</v>
      </c>
      <c r="L372" s="883">
        <f t="shared" si="1276"/>
        <v>7.5324653086211252E-2</v>
      </c>
      <c r="M372" s="883">
        <f t="shared" si="1276"/>
        <v>0.1755364452405167</v>
      </c>
      <c r="N372" s="964">
        <f t="shared" si="1276"/>
        <v>0.37565348892650741</v>
      </c>
      <c r="O372" s="883">
        <f t="shared" si="1276"/>
        <v>0.13730276392570198</v>
      </c>
      <c r="P372" s="883">
        <f t="shared" si="1276"/>
        <v>0.33095036007105094</v>
      </c>
      <c r="Q372" s="883">
        <f t="shared" si="1276"/>
        <v>1.1085176528859098</v>
      </c>
      <c r="R372" s="964">
        <f t="shared" si="1276"/>
        <v>0.64938608458390257</v>
      </c>
      <c r="S372" s="883">
        <f t="shared" si="1276"/>
        <v>0.42079636808913307</v>
      </c>
      <c r="T372" s="883">
        <f t="shared" si="1276"/>
        <v>0.4039810553594565</v>
      </c>
      <c r="U372" s="883">
        <f t="shared" si="1276"/>
        <v>0.36548035880426949</v>
      </c>
      <c r="V372" s="964">
        <f t="shared" si="1276"/>
        <v>0.11194185232155383</v>
      </c>
      <c r="W372" s="883">
        <f t="shared" si="1276"/>
        <v>0.98081484090642146</v>
      </c>
      <c r="X372" s="883">
        <f t="shared" si="1276"/>
        <v>1.2385786802030443</v>
      </c>
      <c r="Y372" s="883">
        <f t="shared" si="1276"/>
        <v>0.70461685562081655</v>
      </c>
      <c r="Z372" s="883">
        <f>+(Z369-V369)/(Z370-V370)</f>
        <v>0.84723719337127945</v>
      </c>
      <c r="AA372" s="1275">
        <f t="shared" ref="AA372" si="1277">+(AA369-W369)/(AA370-W370)</f>
        <v>0.93164365497983315</v>
      </c>
      <c r="AB372" s="883"/>
      <c r="AC372" s="883"/>
      <c r="AD372" s="883"/>
      <c r="AE372" s="883"/>
      <c r="AF372" s="883"/>
      <c r="AG372" s="883"/>
      <c r="AH372" s="883"/>
      <c r="AI372" s="883"/>
      <c r="AJ372" s="883"/>
      <c r="AK372" s="883"/>
      <c r="AL372" s="883">
        <f t="shared" ref="AL372:AT372" si="1278">+(AL369-AK369)/(AL370-AK370)</f>
        <v>1.6538461538461298</v>
      </c>
      <c r="AM372" s="883">
        <f t="shared" si="1278"/>
        <v>0.68172205438065858</v>
      </c>
      <c r="AN372" s="883">
        <f t="shared" si="1278"/>
        <v>0.14475382629542349</v>
      </c>
      <c r="AO372" s="883">
        <f t="shared" si="1278"/>
        <v>-0.96024748646558644</v>
      </c>
      <c r="AP372" s="883">
        <f t="shared" si="1278"/>
        <v>-0.93099584481068232</v>
      </c>
      <c r="AQ372" s="883">
        <f t="shared" si="1278"/>
        <v>-9.3327602879551705E-2</v>
      </c>
      <c r="AR372" s="883">
        <f t="shared" si="1278"/>
        <v>0.31799205825036825</v>
      </c>
      <c r="AS372" s="883">
        <f t="shared" si="1278"/>
        <v>0.32025747113680597</v>
      </c>
      <c r="AT372" s="883">
        <f t="shared" si="1278"/>
        <v>9.6440161114101128E-2</v>
      </c>
      <c r="AU372" s="883">
        <f>+(AU369-AT369)/(AU370-AT370)</f>
        <v>1.1272232572477825</v>
      </c>
      <c r="AV372" s="883"/>
    </row>
    <row r="373" spans="1:48" s="879" customFormat="1" ht="14" x14ac:dyDescent="0.4">
      <c r="A373" s="876"/>
      <c r="C373" s="898"/>
      <c r="D373" s="898"/>
      <c r="E373" s="898"/>
      <c r="F373" s="898"/>
      <c r="G373" s="1107"/>
      <c r="H373" s="1107"/>
      <c r="I373" s="1107"/>
      <c r="J373" s="1109"/>
      <c r="K373" s="1107"/>
      <c r="L373" s="1107"/>
      <c r="M373" s="1107"/>
      <c r="N373" s="957"/>
      <c r="O373" s="898"/>
      <c r="P373" s="898"/>
      <c r="Q373" s="898"/>
      <c r="R373" s="957"/>
      <c r="S373" s="898"/>
      <c r="T373" s="898"/>
      <c r="U373" s="898"/>
      <c r="V373" s="957"/>
      <c r="W373" s="898"/>
      <c r="X373" s="877"/>
      <c r="Y373" s="877"/>
      <c r="Z373" s="877"/>
      <c r="AA373" s="1272"/>
      <c r="AB373" s="877"/>
      <c r="AC373" s="877"/>
      <c r="AD373" s="877"/>
      <c r="AE373" s="880"/>
      <c r="AF373" s="898"/>
      <c r="AG373" s="898"/>
      <c r="AH373" s="898"/>
      <c r="AI373" s="898"/>
      <c r="AJ373" s="898"/>
      <c r="AK373" s="898"/>
      <c r="AL373" s="898"/>
      <c r="AM373" s="898"/>
      <c r="AN373" s="898"/>
      <c r="AO373" s="898"/>
      <c r="AP373" s="898"/>
      <c r="AQ373" s="898"/>
      <c r="AR373" s="898"/>
      <c r="AS373" s="1108"/>
      <c r="AT373" s="898"/>
      <c r="AU373" s="878"/>
      <c r="AV373" s="895"/>
    </row>
    <row r="374" spans="1:48" s="879" customFormat="1" ht="14" x14ac:dyDescent="0.4">
      <c r="A374" s="876"/>
      <c r="C374" s="898"/>
      <c r="D374" s="898"/>
      <c r="E374" s="898"/>
      <c r="F374" s="898"/>
      <c r="G374" s="1107"/>
      <c r="H374" s="1107"/>
      <c r="I374" s="1107"/>
      <c r="J374" s="1109"/>
      <c r="K374" s="1107"/>
      <c r="L374" s="1107"/>
      <c r="M374" s="1107"/>
      <c r="N374" s="957"/>
      <c r="O374" s="898"/>
      <c r="P374" s="898"/>
      <c r="Q374" s="898"/>
      <c r="R374" s="957"/>
      <c r="S374" s="898"/>
      <c r="T374" s="898"/>
      <c r="U374" s="898"/>
      <c r="V374" s="957"/>
      <c r="W374" s="898"/>
      <c r="X374" s="877"/>
      <c r="Y374" s="877"/>
      <c r="Z374" s="877"/>
      <c r="AA374" s="1272"/>
      <c r="AB374" s="877"/>
      <c r="AC374" s="877"/>
      <c r="AD374" s="877"/>
      <c r="AE374" s="880"/>
      <c r="AF374" s="898"/>
      <c r="AG374" s="898"/>
      <c r="AH374" s="898"/>
      <c r="AI374" s="898"/>
      <c r="AJ374" s="898"/>
      <c r="AK374" s="898"/>
      <c r="AL374" s="898"/>
      <c r="AM374" s="898"/>
      <c r="AN374" s="898"/>
      <c r="AO374" s="898"/>
      <c r="AP374" s="898"/>
      <c r="AQ374" s="898"/>
      <c r="AR374" s="898"/>
      <c r="AS374" s="1108"/>
      <c r="AT374" s="898"/>
      <c r="AU374" s="878"/>
      <c r="AV374" s="895"/>
    </row>
    <row r="375" spans="1:48" s="879" customFormat="1" ht="14" x14ac:dyDescent="0.4">
      <c r="A375" s="876"/>
      <c r="C375" s="898"/>
      <c r="D375" s="898"/>
      <c r="E375" s="898"/>
      <c r="F375" s="898"/>
      <c r="G375" s="1107"/>
      <c r="H375" s="1107"/>
      <c r="I375" s="1107"/>
      <c r="J375" s="1109"/>
      <c r="K375" s="1107"/>
      <c r="L375" s="1107"/>
      <c r="M375" s="1107"/>
      <c r="N375" s="957"/>
      <c r="O375" s="898"/>
      <c r="P375" s="898"/>
      <c r="Q375" s="898"/>
      <c r="R375" s="957"/>
      <c r="S375" s="898"/>
      <c r="T375" s="898"/>
      <c r="U375" s="898"/>
      <c r="V375" s="957"/>
      <c r="W375" s="898"/>
      <c r="X375" s="877"/>
      <c r="Y375" s="877"/>
      <c r="Z375" s="877"/>
      <c r="AA375" s="1272"/>
      <c r="AB375" s="877"/>
      <c r="AC375" s="877"/>
      <c r="AD375" s="877"/>
      <c r="AE375" s="880"/>
      <c r="AF375" s="898"/>
      <c r="AG375" s="898"/>
      <c r="AH375" s="898"/>
      <c r="AI375" s="898"/>
      <c r="AJ375" s="898"/>
      <c r="AK375" s="898"/>
      <c r="AL375" s="898"/>
      <c r="AM375" s="898"/>
      <c r="AN375" s="898"/>
      <c r="AO375" s="898"/>
      <c r="AP375" s="898"/>
      <c r="AQ375" s="898"/>
      <c r="AR375" s="898"/>
      <c r="AS375" s="1108"/>
      <c r="AT375" s="898"/>
      <c r="AU375" s="878"/>
      <c r="AV375" s="895"/>
    </row>
    <row r="376" spans="1:48" x14ac:dyDescent="0.25">
      <c r="A376" s="936"/>
      <c r="J376" s="953"/>
      <c r="N376" s="953"/>
      <c r="R376" s="953"/>
      <c r="V376" s="953"/>
      <c r="AA376" s="1271"/>
    </row>
    <row r="377" spans="1:48" ht="13" x14ac:dyDescent="0.3">
      <c r="A377" s="904" t="s">
        <v>177</v>
      </c>
      <c r="B377" s="903"/>
      <c r="J377" s="953"/>
      <c r="N377" s="953"/>
      <c r="R377" s="953"/>
      <c r="V377" s="953"/>
      <c r="AA377" s="1271"/>
    </row>
    <row r="378" spans="1:48" x14ac:dyDescent="0.25">
      <c r="A378" s="936"/>
      <c r="J378" s="953"/>
      <c r="N378" s="953"/>
      <c r="R378" s="953"/>
      <c r="V378" s="953"/>
      <c r="AA378" s="1271"/>
    </row>
    <row r="379" spans="1:48" ht="13" x14ac:dyDescent="0.3">
      <c r="A379" s="946" t="s">
        <v>839</v>
      </c>
      <c r="J379" s="953"/>
      <c r="N379" s="953"/>
      <c r="R379" s="953"/>
      <c r="V379" s="953"/>
      <c r="AA379" s="1271"/>
    </row>
    <row r="380" spans="1:48" s="879" customFormat="1" ht="14" x14ac:dyDescent="0.4">
      <c r="A380" s="876" t="s">
        <v>55</v>
      </c>
      <c r="C380" s="898">
        <f>+Model!AA420</f>
        <v>-8.282</v>
      </c>
      <c r="D380" s="898">
        <f>+Model!AB420</f>
        <v>23.712</v>
      </c>
      <c r="E380" s="898">
        <f>+Model!AC420</f>
        <v>18.462000000000003</v>
      </c>
      <c r="F380" s="898">
        <f>+Model!AD420</f>
        <v>3.3170000000000002</v>
      </c>
      <c r="G380" s="898">
        <f>+Model!AE420</f>
        <v>-9.73</v>
      </c>
      <c r="H380" s="898">
        <f>+Model!AF420</f>
        <v>20.594000000000001</v>
      </c>
      <c r="I380" s="898">
        <f>+Model!AG420</f>
        <v>8.7539999999999978</v>
      </c>
      <c r="J380" s="957">
        <f>+Model!AH420</f>
        <v>4.8880000000000017</v>
      </c>
      <c r="K380" s="898">
        <f>+Model!AI420</f>
        <v>12.666</v>
      </c>
      <c r="L380" s="898">
        <f>+Model!AJ420</f>
        <v>24.501000000000001</v>
      </c>
      <c r="M380" s="898">
        <f>+Model!AK420</f>
        <v>23.789000000000001</v>
      </c>
      <c r="N380" s="957">
        <f>+Model!AL420</f>
        <v>10.49499999999999</v>
      </c>
      <c r="O380" s="898">
        <f>+Model!AM420</f>
        <v>-5.883</v>
      </c>
      <c r="P380" s="898">
        <f>+Model!AN420</f>
        <v>42.004000000000005</v>
      </c>
      <c r="Q380" s="898">
        <f>+Model!AO420</f>
        <v>42.919000000000004</v>
      </c>
      <c r="R380" s="957">
        <f>+Model!AP420</f>
        <v>28.089999999999989</v>
      </c>
      <c r="S380" s="898">
        <f>+Model!AQ420</f>
        <v>-22.672000000000001</v>
      </c>
      <c r="T380" s="898">
        <f>+Model!AR420</f>
        <v>50.704999999999998</v>
      </c>
      <c r="U380" s="898">
        <f>+Model!AS420</f>
        <v>55.462000000000003</v>
      </c>
      <c r="V380" s="957">
        <f>+Model!AT420</f>
        <v>43.372</v>
      </c>
      <c r="W380" s="898">
        <f>+Model!AU420</f>
        <v>4.8780000000000001</v>
      </c>
      <c r="X380" s="877">
        <f>71.714-W380</f>
        <v>66.835999999999999</v>
      </c>
      <c r="Y380" s="877">
        <f>141.401-X380-W380</f>
        <v>69.687000000000012</v>
      </c>
      <c r="Z380" s="877">
        <f t="shared" ref="Z380:Z408" si="1279">+AU380-SUM(W380:Y380)</f>
        <v>62.781999999999982</v>
      </c>
      <c r="AA380" s="1272">
        <v>40.881999999999998</v>
      </c>
      <c r="AB380" s="877"/>
      <c r="AC380" s="877"/>
      <c r="AD380" s="877"/>
      <c r="AE380" s="880"/>
      <c r="AF380" s="898">
        <f>+Model!AZ420</f>
        <v>11.728999999999999</v>
      </c>
      <c r="AG380" s="898">
        <f>+Model!BA420</f>
        <v>20.887</v>
      </c>
      <c r="AH380" s="898">
        <f>+Model!BB420</f>
        <v>11.664999999999999</v>
      </c>
      <c r="AI380" s="898">
        <f>+Model!BC420</f>
        <v>16.109000000000002</v>
      </c>
      <c r="AJ380" s="898">
        <f>+Model!BD420</f>
        <v>26.533999999999999</v>
      </c>
      <c r="AK380" s="898">
        <f>+Model!BE420</f>
        <v>18.116</v>
      </c>
      <c r="AL380" s="898">
        <f>+Model!BF420</f>
        <v>9.3260000000000005</v>
      </c>
      <c r="AM380" s="898">
        <f>+Model!BG420</f>
        <v>8.5510000000000002</v>
      </c>
      <c r="AN380" s="898">
        <f>+Model!BH420</f>
        <v>-0.45900000000000002</v>
      </c>
      <c r="AO380" s="898">
        <f>+Model!BI420</f>
        <v>27.42</v>
      </c>
      <c r="AP380" s="898">
        <f>+Model!BJ420</f>
        <v>37.209000000000003</v>
      </c>
      <c r="AQ380" s="898">
        <f>+Model!BK420</f>
        <v>24.506</v>
      </c>
      <c r="AR380" s="898">
        <f>+Model!BL420</f>
        <v>71.450999999999993</v>
      </c>
      <c r="AS380" s="898">
        <f>+Model!BM420</f>
        <v>107.13</v>
      </c>
      <c r="AT380" s="898">
        <f>+Model!BN420</f>
        <v>126.867</v>
      </c>
      <c r="AU380" s="971">
        <v>204.18299999999999</v>
      </c>
      <c r="AV380" s="895"/>
    </row>
    <row r="381" spans="1:48" x14ac:dyDescent="0.25">
      <c r="A381" s="944" t="s">
        <v>840</v>
      </c>
      <c r="J381" s="953"/>
      <c r="N381" s="953"/>
      <c r="R381" s="953"/>
      <c r="V381" s="953"/>
      <c r="X381" s="877"/>
      <c r="Y381" s="877"/>
      <c r="Z381" s="877"/>
      <c r="AA381" s="1272"/>
      <c r="AB381" s="877"/>
      <c r="AC381" s="877"/>
      <c r="AD381" s="877"/>
      <c r="AU381" s="967"/>
    </row>
    <row r="382" spans="1:48" s="879" customFormat="1" ht="14" x14ac:dyDescent="0.4">
      <c r="A382" s="876" t="s">
        <v>841</v>
      </c>
      <c r="C382" s="898">
        <f>+Model!AA421</f>
        <v>18.510999999999999</v>
      </c>
      <c r="D382" s="898">
        <f>+Model!AB421</f>
        <v>17.709999999999997</v>
      </c>
      <c r="E382" s="898">
        <f>+Model!AC421</f>
        <v>17.038000000000004</v>
      </c>
      <c r="F382" s="898">
        <f>+Model!AD421</f>
        <v>18.141000000000005</v>
      </c>
      <c r="G382" s="898">
        <f>+Model!AE421</f>
        <v>17.146000000000001</v>
      </c>
      <c r="H382" s="898">
        <f>+Model!AF421</f>
        <v>17.229999999999997</v>
      </c>
      <c r="I382" s="898">
        <f>+Model!AG421</f>
        <v>18.414000000000001</v>
      </c>
      <c r="J382" s="957">
        <f>+Model!AH421</f>
        <v>19.300999999999995</v>
      </c>
      <c r="K382" s="898">
        <f>+Model!AI421</f>
        <v>18.277000000000001</v>
      </c>
      <c r="L382" s="898">
        <f>+Model!AJ421</f>
        <v>23.161000000000001</v>
      </c>
      <c r="M382" s="898">
        <f>+Model!AK421</f>
        <v>23.599999999999994</v>
      </c>
      <c r="N382" s="957">
        <f>+Model!AL421</f>
        <v>25.039000000000001</v>
      </c>
      <c r="O382" s="898">
        <f>+Model!AM421</f>
        <v>24.146999999999998</v>
      </c>
      <c r="P382" s="898">
        <f>+Model!AN421</f>
        <v>25.18</v>
      </c>
      <c r="Q382" s="898">
        <f>+Model!AO421</f>
        <v>24.137</v>
      </c>
      <c r="R382" s="957">
        <f>+Model!AP421</f>
        <v>24.450000000000003</v>
      </c>
      <c r="S382" s="898">
        <f>+Model!AQ421</f>
        <v>26.251000000000001</v>
      </c>
      <c r="T382" s="898">
        <f>+Model!AR421</f>
        <v>27.462999999999997</v>
      </c>
      <c r="U382" s="898">
        <f>+Model!AS421</f>
        <v>26.942000000000007</v>
      </c>
      <c r="V382" s="957">
        <f>+Model!AT421</f>
        <v>29.701999999999998</v>
      </c>
      <c r="W382" s="898">
        <f>+Model!AU421</f>
        <v>28.016999999999999</v>
      </c>
      <c r="X382" s="877">
        <f>54.48-W382</f>
        <v>26.462999999999997</v>
      </c>
      <c r="Y382" s="877">
        <f>81.464-X382-W382</f>
        <v>26.984000000000005</v>
      </c>
      <c r="Z382" s="877">
        <f t="shared" si="1279"/>
        <v>28.219000000000008</v>
      </c>
      <c r="AA382" s="1272">
        <v>28.134</v>
      </c>
      <c r="AB382" s="877"/>
      <c r="AC382" s="877"/>
      <c r="AD382" s="877"/>
      <c r="AE382" s="880"/>
      <c r="AF382" s="898">
        <f>+Model!AZ421</f>
        <v>20.835000000000001</v>
      </c>
      <c r="AG382" s="898">
        <f>+Model!BA421</f>
        <v>25.760999999999999</v>
      </c>
      <c r="AH382" s="898">
        <f>+Model!BB421</f>
        <v>42.933999999999997</v>
      </c>
      <c r="AI382" s="898">
        <f>+Model!BC421</f>
        <v>58.033000000000001</v>
      </c>
      <c r="AJ382" s="898">
        <f>+Model!BD421</f>
        <v>65.736999999999995</v>
      </c>
      <c r="AK382" s="898">
        <f>+Model!BE421</f>
        <v>86.266999999999996</v>
      </c>
      <c r="AL382" s="898">
        <f>+Model!BF421</f>
        <v>83.801000000000002</v>
      </c>
      <c r="AM382" s="898">
        <f>+Model!BG421</f>
        <v>68.224999999999994</v>
      </c>
      <c r="AN382" s="898">
        <f>+Model!BH421</f>
        <v>74.28</v>
      </c>
      <c r="AO382" s="898">
        <f>+Model!BI421</f>
        <v>75.260000000000005</v>
      </c>
      <c r="AP382" s="898">
        <f>+Model!BJ421</f>
        <v>71.400000000000006</v>
      </c>
      <c r="AQ382" s="898">
        <f>+Model!BK421</f>
        <v>72.090999999999994</v>
      </c>
      <c r="AR382" s="898">
        <f>+Model!BL421</f>
        <v>90.076999999999998</v>
      </c>
      <c r="AS382" s="898">
        <f>+Model!BM421</f>
        <v>97.914000000000001</v>
      </c>
      <c r="AT382" s="898">
        <f>+Model!BN421</f>
        <v>110.358</v>
      </c>
      <c r="AU382" s="971">
        <v>109.68300000000001</v>
      </c>
      <c r="AV382" s="895"/>
    </row>
    <row r="383" spans="1:48" s="879" customFormat="1" ht="14" x14ac:dyDescent="0.4">
      <c r="A383" s="876" t="s">
        <v>842</v>
      </c>
      <c r="C383" s="898">
        <f>+Model!AA422</f>
        <v>4.024</v>
      </c>
      <c r="D383" s="898">
        <f>+Model!AB422</f>
        <v>4.1399999999999997</v>
      </c>
      <c r="E383" s="898">
        <f>+Model!AC422</f>
        <v>3.9500000000000011</v>
      </c>
      <c r="F383" s="898">
        <f>+Model!AD422</f>
        <v>4.5619999999999976</v>
      </c>
      <c r="G383" s="898">
        <f>+Model!AE422</f>
        <v>5.5220000000000002</v>
      </c>
      <c r="H383" s="898">
        <f>+Model!AF422</f>
        <v>6.1769999999999996</v>
      </c>
      <c r="I383" s="898">
        <f>+Model!AG422</f>
        <v>6.0860000000000003</v>
      </c>
      <c r="J383" s="957">
        <f>+Model!AH422</f>
        <v>5.8240000000000016</v>
      </c>
      <c r="K383" s="898">
        <f>+Model!AI422</f>
        <v>8.8930000000000007</v>
      </c>
      <c r="L383" s="898">
        <f>+Model!AJ422</f>
        <v>9.0739999999999981</v>
      </c>
      <c r="M383" s="898">
        <f>+Model!AK422</f>
        <v>12.854000000000003</v>
      </c>
      <c r="N383" s="957">
        <f>+Model!AL422</f>
        <v>8.5119999999999969</v>
      </c>
      <c r="O383" s="898">
        <f>+Model!AM422</f>
        <v>8.2859999999999996</v>
      </c>
      <c r="P383" s="898">
        <f>+Model!AN422</f>
        <v>0.60200000000000031</v>
      </c>
      <c r="Q383" s="898">
        <f>+Model!AO422</f>
        <v>5.5760000000000005</v>
      </c>
      <c r="R383" s="957">
        <f>+Model!AP422</f>
        <v>4.1059999999999999</v>
      </c>
      <c r="S383" s="898">
        <f>+Model!AQ422</f>
        <v>5.51</v>
      </c>
      <c r="T383" s="898">
        <f>+Model!AR422</f>
        <v>4.9410000000000007</v>
      </c>
      <c r="U383" s="898">
        <f>+Model!AS422</f>
        <v>4.7449999999999992</v>
      </c>
      <c r="V383" s="957">
        <f>+Model!AT422</f>
        <v>5.1240000000000006</v>
      </c>
      <c r="W383" s="898">
        <f>+Model!AU422</f>
        <v>8.4260000000000002</v>
      </c>
      <c r="X383" s="877">
        <f>16.022-W383</f>
        <v>7.5959999999999983</v>
      </c>
      <c r="Y383" s="877">
        <f>21.272-X383-W383</f>
        <v>5.25</v>
      </c>
      <c r="Z383" s="877">
        <f t="shared" si="1279"/>
        <v>10.190000000000001</v>
      </c>
      <c r="AA383" s="1272">
        <v>8.4489999999999998</v>
      </c>
      <c r="AB383" s="877"/>
      <c r="AC383" s="877"/>
      <c r="AD383" s="877"/>
      <c r="AE383" s="880"/>
      <c r="AF383" s="898">
        <f>+Model!AZ422</f>
        <v>2.79</v>
      </c>
      <c r="AG383" s="898">
        <f>+Model!BA422</f>
        <v>5.9340000000000002</v>
      </c>
      <c r="AH383" s="898">
        <f>+Model!BB422</f>
        <v>9.4659999999999993</v>
      </c>
      <c r="AI383" s="898">
        <f>+Model!BC422</f>
        <v>10.067</v>
      </c>
      <c r="AJ383" s="898">
        <f>+Model!BD422</f>
        <v>14.374000000000001</v>
      </c>
      <c r="AK383" s="898">
        <f>+Model!BE422</f>
        <v>22.827999999999999</v>
      </c>
      <c r="AL383" s="898">
        <f>+Model!BF422</f>
        <v>21.298999999999999</v>
      </c>
      <c r="AM383" s="898">
        <f>+Model!BG422</f>
        <v>18.616</v>
      </c>
      <c r="AN383" s="898">
        <f>+Model!BH422</f>
        <v>22.597999999999999</v>
      </c>
      <c r="AO383" s="898">
        <f>+Model!BI422</f>
        <v>20.817</v>
      </c>
      <c r="AP383" s="898">
        <f>+Model!BJ422</f>
        <v>16.675999999999998</v>
      </c>
      <c r="AQ383" s="898">
        <f>+Model!BK422</f>
        <v>23.609000000000002</v>
      </c>
      <c r="AR383" s="898">
        <f>+Model!BL422</f>
        <v>39.332999999999998</v>
      </c>
      <c r="AS383" s="898">
        <f>+Model!BM422</f>
        <v>18.57</v>
      </c>
      <c r="AT383" s="898">
        <f>+Model!BN422</f>
        <v>20.32</v>
      </c>
      <c r="AU383" s="971">
        <v>31.462</v>
      </c>
      <c r="AV383" s="895"/>
    </row>
    <row r="384" spans="1:48" s="879" customFormat="1" ht="14" x14ac:dyDescent="0.4">
      <c r="A384" s="876" t="s">
        <v>852</v>
      </c>
      <c r="C384" s="898">
        <f>+Model!AA423</f>
        <v>0</v>
      </c>
      <c r="D384" s="898">
        <f>+Model!AB423</f>
        <v>0</v>
      </c>
      <c r="E384" s="898">
        <f>+Model!AC423</f>
        <v>0</v>
      </c>
      <c r="F384" s="898">
        <f>+Model!AD423</f>
        <v>0</v>
      </c>
      <c r="G384" s="898">
        <f>+Model!AE423</f>
        <v>0</v>
      </c>
      <c r="H384" s="898">
        <f>+Model!AF423</f>
        <v>0</v>
      </c>
      <c r="I384" s="898">
        <f>+Model!AG423</f>
        <v>0</v>
      </c>
      <c r="J384" s="957">
        <f>+Model!AH423</f>
        <v>0</v>
      </c>
      <c r="K384" s="898">
        <f>+Model!AI423</f>
        <v>0</v>
      </c>
      <c r="L384" s="898">
        <f>+Model!AJ423</f>
        <v>0</v>
      </c>
      <c r="M384" s="898">
        <f>+Model!AK423</f>
        <v>0</v>
      </c>
      <c r="N384" s="957">
        <f>+Model!AL423</f>
        <v>0</v>
      </c>
      <c r="O384" s="898">
        <f>+Model!AM423</f>
        <v>0</v>
      </c>
      <c r="P384" s="898">
        <f>+Model!AN423</f>
        <v>0</v>
      </c>
      <c r="Q384" s="898">
        <f>+Model!AO423</f>
        <v>0</v>
      </c>
      <c r="R384" s="957">
        <f>+Model!AP423</f>
        <v>0</v>
      </c>
      <c r="S384" s="898">
        <f>+Model!AQ423</f>
        <v>0</v>
      </c>
      <c r="T384" s="898">
        <f>+Model!AR423</f>
        <v>0</v>
      </c>
      <c r="U384" s="898">
        <f>+Model!AS423</f>
        <v>0</v>
      </c>
      <c r="V384" s="957">
        <f>+Model!AT423</f>
        <v>0</v>
      </c>
      <c r="W384" s="898">
        <f>+Model!AU423</f>
        <v>0</v>
      </c>
      <c r="X384" s="877">
        <v>0</v>
      </c>
      <c r="Y384" s="877">
        <v>0</v>
      </c>
      <c r="Z384" s="877">
        <f t="shared" si="1279"/>
        <v>0</v>
      </c>
      <c r="AA384" s="1272">
        <v>0</v>
      </c>
      <c r="AB384" s="877"/>
      <c r="AC384" s="877"/>
      <c r="AD384" s="877"/>
      <c r="AE384" s="880"/>
      <c r="AF384" s="898">
        <f>+Model!AZ423</f>
        <v>-6.9980000000000002</v>
      </c>
      <c r="AG384" s="898">
        <f>+Model!BA423</f>
        <v>-3.9350000000000001</v>
      </c>
      <c r="AH384" s="898">
        <f>+Model!BB423</f>
        <v>-4.9539999999999997</v>
      </c>
      <c r="AI384" s="898">
        <f>+Model!BC423</f>
        <v>3.1219999999999999</v>
      </c>
      <c r="AJ384" s="898">
        <f>+Model!BD423</f>
        <v>-8.8889999999999993</v>
      </c>
      <c r="AK384" s="898">
        <f>+Model!BE423</f>
        <v>-1.679</v>
      </c>
      <c r="AL384" s="898">
        <f>+Model!BF423</f>
        <v>-0.11799999999999999</v>
      </c>
      <c r="AM384" s="898">
        <f>+Model!BG423</f>
        <v>-6.0000000000000001E-3</v>
      </c>
      <c r="AN384" s="898">
        <f>+Model!BH423</f>
        <v>-0.29099999999999998</v>
      </c>
      <c r="AO384" s="898">
        <f>+Model!BI423</f>
        <v>0</v>
      </c>
      <c r="AP384" s="898">
        <f>+Model!BJ423</f>
        <v>0</v>
      </c>
      <c r="AQ384" s="898">
        <f>+Model!BK423</f>
        <v>0</v>
      </c>
      <c r="AR384" s="898">
        <f>+Model!BL423</f>
        <v>0</v>
      </c>
      <c r="AS384" s="898">
        <f>+Model!BM423</f>
        <v>0</v>
      </c>
      <c r="AT384" s="898">
        <f>+Model!BN423</f>
        <v>0</v>
      </c>
      <c r="AU384" s="971">
        <v>0</v>
      </c>
      <c r="AV384" s="895"/>
    </row>
    <row r="385" spans="1:48" s="879" customFormat="1" ht="14" x14ac:dyDescent="0.4">
      <c r="A385" s="876" t="s">
        <v>843</v>
      </c>
      <c r="C385" s="898">
        <f>+Model!AA424</f>
        <v>5.8650000000000002</v>
      </c>
      <c r="D385" s="898">
        <f>+Model!AB424</f>
        <v>0.46899999999999942</v>
      </c>
      <c r="E385" s="898">
        <f>+Model!AC424</f>
        <v>-1.0069999999999997</v>
      </c>
      <c r="F385" s="898">
        <f>+Model!AD424</f>
        <v>-1.6339999999999999</v>
      </c>
      <c r="G385" s="898">
        <f>+Model!AE424</f>
        <v>3.7759999999999998</v>
      </c>
      <c r="H385" s="898">
        <f>+Model!AF424</f>
        <v>-3.4299999999999997</v>
      </c>
      <c r="I385" s="898">
        <f>+Model!AG424</f>
        <v>0.80500000000000005</v>
      </c>
      <c r="J385" s="957">
        <f>+Model!AH424</f>
        <v>-2.456</v>
      </c>
      <c r="K385" s="898">
        <f>+Model!AI424</f>
        <v>8.0649999999999995</v>
      </c>
      <c r="L385" s="898">
        <f>+Model!AJ424</f>
        <v>-2.6899999999999995</v>
      </c>
      <c r="M385" s="898">
        <f>+Model!AK424</f>
        <v>-3.1190000000000002</v>
      </c>
      <c r="N385" s="957">
        <f>+Model!AL424</f>
        <v>0.29300000000000015</v>
      </c>
      <c r="O385" s="898">
        <f>+Model!AM424</f>
        <v>5.484</v>
      </c>
      <c r="P385" s="898">
        <f>+Model!AN424</f>
        <v>0.52400000000000002</v>
      </c>
      <c r="Q385" s="898">
        <f>+Model!AO424</f>
        <v>0.56400000000000006</v>
      </c>
      <c r="R385" s="957">
        <f>+Model!AP424</f>
        <v>-5.3819999999999997</v>
      </c>
      <c r="S385" s="898">
        <f>+Model!AQ424</f>
        <v>17.222999999999999</v>
      </c>
      <c r="T385" s="898">
        <f>+Model!AR424</f>
        <v>-9.227999999999998</v>
      </c>
      <c r="U385" s="898">
        <f>+Model!AS424</f>
        <v>-5.0129999999999999</v>
      </c>
      <c r="V385" s="957">
        <f>+Model!AT424</f>
        <v>-13.355</v>
      </c>
      <c r="W385" s="898">
        <f>+Model!AU424</f>
        <v>7.9009999999999998</v>
      </c>
      <c r="X385" s="877">
        <f>0.425-W385</f>
        <v>-7.476</v>
      </c>
      <c r="Y385" s="877">
        <f>-4.629-X385-W385</f>
        <v>-5.0539999999999994</v>
      </c>
      <c r="Z385" s="877">
        <f t="shared" si="1279"/>
        <v>7.5190000000000001</v>
      </c>
      <c r="AA385" s="1272">
        <v>10.851000000000001</v>
      </c>
      <c r="AB385" s="877"/>
      <c r="AC385" s="877"/>
      <c r="AD385" s="877"/>
      <c r="AE385" s="880"/>
      <c r="AF385" s="898">
        <f>+Model!AZ424</f>
        <v>9.5839999999999996</v>
      </c>
      <c r="AG385" s="898">
        <f>+Model!BA424</f>
        <v>11.858000000000001</v>
      </c>
      <c r="AH385" s="898">
        <f>+Model!BB424</f>
        <v>10.978</v>
      </c>
      <c r="AI385" s="898">
        <f>+Model!BC424</f>
        <v>10.297000000000001</v>
      </c>
      <c r="AJ385" s="898">
        <f>+Model!BD424</f>
        <v>15.77</v>
      </c>
      <c r="AK385" s="898">
        <f>+Model!BE424</f>
        <v>-5.7539999999999996</v>
      </c>
      <c r="AL385" s="898">
        <f>+Model!BF424</f>
        <v>-3.0939999999999999</v>
      </c>
      <c r="AM385" s="898">
        <f>+Model!BG424</f>
        <v>-3.8180000000000001</v>
      </c>
      <c r="AN385" s="898">
        <f>+Model!BH424</f>
        <v>-7.0650000000000004</v>
      </c>
      <c r="AO385" s="898">
        <f>+Model!BI424</f>
        <v>-4.0149999999999997</v>
      </c>
      <c r="AP385" s="898">
        <f>+Model!BJ424</f>
        <v>3.6930000000000001</v>
      </c>
      <c r="AQ385" s="898">
        <f>+Model!BK424</f>
        <v>-1.3049999999999999</v>
      </c>
      <c r="AR385" s="898">
        <f>+Model!BL424</f>
        <v>2.5489999999999999</v>
      </c>
      <c r="AS385" s="898">
        <f>+Model!BM424</f>
        <v>1.19</v>
      </c>
      <c r="AT385" s="898">
        <f>+Model!BN424</f>
        <v>-10.372999999999999</v>
      </c>
      <c r="AU385" s="971">
        <v>2.89</v>
      </c>
      <c r="AV385" s="895"/>
    </row>
    <row r="386" spans="1:48" s="879" customFormat="1" ht="14" x14ac:dyDescent="0.4">
      <c r="A386" s="876" t="s">
        <v>844</v>
      </c>
      <c r="C386" s="898">
        <f>+Model!AA425</f>
        <v>0.44600000000000001</v>
      </c>
      <c r="D386" s="898">
        <f>+Model!AB425</f>
        <v>0.29399999999999998</v>
      </c>
      <c r="E386" s="898">
        <f>+Model!AC425</f>
        <v>2.1139999999999999</v>
      </c>
      <c r="F386" s="898">
        <f>+Model!AD425</f>
        <v>3.4710000000000001</v>
      </c>
      <c r="G386" s="898">
        <f>+Model!AE425</f>
        <v>-0.28000000000000003</v>
      </c>
      <c r="H386" s="898">
        <f>+Model!AF425</f>
        <v>-6.3999999999999946E-2</v>
      </c>
      <c r="I386" s="898">
        <f>+Model!AG425</f>
        <v>0.25600000000000001</v>
      </c>
      <c r="J386" s="957">
        <f>+Model!AH425</f>
        <v>2.97</v>
      </c>
      <c r="K386" s="898">
        <f>+Model!AI425</f>
        <v>4.875</v>
      </c>
      <c r="L386" s="898">
        <f>+Model!AJ425</f>
        <v>1.5070000000000006</v>
      </c>
      <c r="M386" s="898">
        <f>+Model!AK425</f>
        <v>1.2529999999999992</v>
      </c>
      <c r="N386" s="957">
        <f>+Model!AL425</f>
        <v>-1.0739999999999998</v>
      </c>
      <c r="O386" s="898">
        <f>+Model!AM425</f>
        <v>0.152</v>
      </c>
      <c r="P386" s="898">
        <f>+Model!AN425</f>
        <v>4.5780000000000003</v>
      </c>
      <c r="Q386" s="898">
        <f>+Model!AO425</f>
        <v>2.3169999999999993</v>
      </c>
      <c r="R386" s="957">
        <f>+Model!AP425</f>
        <v>8.6260000000000012</v>
      </c>
      <c r="S386" s="898">
        <f>+Model!AQ425</f>
        <v>1.5029999999999999</v>
      </c>
      <c r="T386" s="898">
        <f>+Model!AR425</f>
        <v>0.67000000000000015</v>
      </c>
      <c r="U386" s="898">
        <f>+Model!AS425</f>
        <v>3.766</v>
      </c>
      <c r="V386" s="957">
        <f>+Model!AT425</f>
        <v>3.2189999999999994</v>
      </c>
      <c r="W386" s="898">
        <f>+Model!AU425</f>
        <v>9.35</v>
      </c>
      <c r="X386" s="877">
        <f>15.332-W386</f>
        <v>5.9820000000000011</v>
      </c>
      <c r="Y386" s="877">
        <f>18.895-X386-W386</f>
        <v>3.5629999999999988</v>
      </c>
      <c r="Z386" s="877">
        <f t="shared" si="1279"/>
        <v>3.9490000000000016</v>
      </c>
      <c r="AA386" s="1272">
        <v>7.0529999999999999</v>
      </c>
      <c r="AB386" s="877"/>
      <c r="AC386" s="877"/>
      <c r="AD386" s="877"/>
      <c r="AE386" s="880"/>
      <c r="AF386" s="898">
        <f>+Model!AZ425</f>
        <v>-0.40300000000000002</v>
      </c>
      <c r="AG386" s="898">
        <f>+Model!BA425</f>
        <v>0.308</v>
      </c>
      <c r="AH386" s="898">
        <f>+Model!BB425</f>
        <v>1.472</v>
      </c>
      <c r="AI386" s="898">
        <f>+Model!BC425</f>
        <v>0.20399999999999999</v>
      </c>
      <c r="AJ386" s="898">
        <f>+Model!BD425</f>
        <v>2.0699999999999998</v>
      </c>
      <c r="AK386" s="898">
        <f>+Model!BE425</f>
        <v>1.4390000000000001</v>
      </c>
      <c r="AL386" s="898">
        <f>+Model!BF425</f>
        <v>9.3000000000000007</v>
      </c>
      <c r="AM386" s="898">
        <f>+Model!BG425</f>
        <v>4.6100000000000003</v>
      </c>
      <c r="AN386" s="898">
        <f>+Model!BH425</f>
        <v>4.5119999999999996</v>
      </c>
      <c r="AO386" s="898">
        <f>+Model!BI425</f>
        <v>4.0890000000000004</v>
      </c>
      <c r="AP386" s="898">
        <f>+Model!BJ425</f>
        <v>6.3250000000000002</v>
      </c>
      <c r="AQ386" s="898">
        <f>+Model!BK425</f>
        <v>2.8820000000000001</v>
      </c>
      <c r="AR386" s="898">
        <f>+Model!BL425</f>
        <v>6.5609999999999999</v>
      </c>
      <c r="AS386" s="898">
        <f>+Model!BM425</f>
        <v>15.673</v>
      </c>
      <c r="AT386" s="898">
        <f>+Model!BN425</f>
        <v>9.1579999999999995</v>
      </c>
      <c r="AU386" s="971">
        <v>22.844000000000001</v>
      </c>
      <c r="AV386" s="895"/>
    </row>
    <row r="387" spans="1:48" s="879" customFormat="1" ht="14" x14ac:dyDescent="0.4">
      <c r="A387" s="876" t="s">
        <v>845</v>
      </c>
      <c r="C387" s="898">
        <f>+Model!AA426</f>
        <v>0</v>
      </c>
      <c r="D387" s="898">
        <f>+Model!AB426</f>
        <v>0</v>
      </c>
      <c r="E387" s="898">
        <f>+Model!AC426</f>
        <v>0</v>
      </c>
      <c r="F387" s="898">
        <f>+Model!AD426</f>
        <v>0</v>
      </c>
      <c r="G387" s="898">
        <f>+Model!AE426</f>
        <v>0</v>
      </c>
      <c r="H387" s="898">
        <f>+Model!AF426</f>
        <v>0</v>
      </c>
      <c r="I387" s="898">
        <f>+Model!AG426</f>
        <v>0</v>
      </c>
      <c r="J387" s="957">
        <f>+Model!AH426</f>
        <v>0</v>
      </c>
      <c r="K387" s="898">
        <f>+Model!AI426</f>
        <v>1.2190000000000001</v>
      </c>
      <c r="L387" s="898">
        <f>+Model!AJ426</f>
        <v>3.7539999999999996</v>
      </c>
      <c r="M387" s="898">
        <f>+Model!AK426</f>
        <v>3.7640000000000002</v>
      </c>
      <c r="N387" s="957">
        <f>+Model!AL426</f>
        <v>3.8829999999999991</v>
      </c>
      <c r="O387" s="898">
        <f>+Model!AM426</f>
        <v>0.40400000000000003</v>
      </c>
      <c r="P387" s="898">
        <f>+Model!AN426</f>
        <v>0.40500000000000003</v>
      </c>
      <c r="Q387" s="898">
        <f>+Model!AO426</f>
        <v>0.37299999999999989</v>
      </c>
      <c r="R387" s="957">
        <f>+Model!AP426</f>
        <v>0.39100000000000001</v>
      </c>
      <c r="S387" s="898">
        <f>+Model!AQ426</f>
        <v>0.41</v>
      </c>
      <c r="T387" s="898">
        <f>+Model!AR426</f>
        <v>0.41199999999999998</v>
      </c>
      <c r="U387" s="898">
        <f>+Model!AS426</f>
        <v>0.378</v>
      </c>
      <c r="V387" s="957">
        <f>+Model!AT426</f>
        <v>0.39700000000000002</v>
      </c>
      <c r="W387" s="898">
        <f>+Model!AU426</f>
        <v>0.41599999999999998</v>
      </c>
      <c r="X387" s="877">
        <f>0.834-W387</f>
        <v>0.41799999999999998</v>
      </c>
      <c r="Y387" s="877">
        <f>1.236-X387-W387</f>
        <v>0.40200000000000008</v>
      </c>
      <c r="Z387" s="877">
        <f t="shared" si="1279"/>
        <v>0.40399999999999991</v>
      </c>
      <c r="AA387" s="1272">
        <v>0.42299999999999999</v>
      </c>
      <c r="AB387" s="877"/>
      <c r="AC387" s="877"/>
      <c r="AD387" s="877"/>
      <c r="AE387" s="880"/>
      <c r="AF387" s="898">
        <f>+Model!AZ426</f>
        <v>0</v>
      </c>
      <c r="AG387" s="898">
        <f>+Model!BA426</f>
        <v>0</v>
      </c>
      <c r="AH387" s="898">
        <f>+Model!BB426</f>
        <v>0</v>
      </c>
      <c r="AI387" s="898">
        <f>+Model!BC426</f>
        <v>0</v>
      </c>
      <c r="AJ387" s="898">
        <f>+Model!BD426</f>
        <v>0</v>
      </c>
      <c r="AK387" s="898">
        <f>+Model!BE426</f>
        <v>0</v>
      </c>
      <c r="AL387" s="898">
        <f>+Model!BF426</f>
        <v>0</v>
      </c>
      <c r="AM387" s="898">
        <f>+Model!BG426</f>
        <v>0</v>
      </c>
      <c r="AN387" s="898">
        <f>+Model!BH426</f>
        <v>0</v>
      </c>
      <c r="AO387" s="898">
        <f>+Model!BI426</f>
        <v>0</v>
      </c>
      <c r="AP387" s="898">
        <f>+Model!BJ426</f>
        <v>0</v>
      </c>
      <c r="AQ387" s="898">
        <f>+Model!BK426</f>
        <v>0</v>
      </c>
      <c r="AR387" s="898">
        <f>+Model!BL426</f>
        <v>12.62</v>
      </c>
      <c r="AS387" s="898">
        <f>+Model!BM426</f>
        <v>1.573</v>
      </c>
      <c r="AT387" s="898">
        <f>+Model!BN426</f>
        <v>1.597</v>
      </c>
      <c r="AU387" s="971">
        <v>1.64</v>
      </c>
      <c r="AV387" s="895"/>
    </row>
    <row r="388" spans="1:48" s="879" customFormat="1" ht="14" x14ac:dyDescent="0.4">
      <c r="A388" s="876" t="s">
        <v>120</v>
      </c>
      <c r="C388" s="898">
        <f>+Model!AA427</f>
        <v>0</v>
      </c>
      <c r="D388" s="898">
        <f>+Model!AB427</f>
        <v>0</v>
      </c>
      <c r="E388" s="898">
        <f>+Model!AC427</f>
        <v>0</v>
      </c>
      <c r="F388" s="898">
        <f>+Model!AD427</f>
        <v>0</v>
      </c>
      <c r="G388" s="898">
        <f>+Model!AE427</f>
        <v>0</v>
      </c>
      <c r="H388" s="898">
        <f>+Model!AF427</f>
        <v>0</v>
      </c>
      <c r="I388" s="898">
        <f>+Model!AG427</f>
        <v>0</v>
      </c>
      <c r="J388" s="957">
        <f>+Model!AH427</f>
        <v>0</v>
      </c>
      <c r="K388" s="898">
        <f>+Model!AI427</f>
        <v>0</v>
      </c>
      <c r="L388" s="898">
        <f>+Model!AJ427</f>
        <v>0</v>
      </c>
      <c r="M388" s="898">
        <f>+Model!AK427</f>
        <v>0</v>
      </c>
      <c r="N388" s="957">
        <f>+Model!AL427</f>
        <v>0</v>
      </c>
      <c r="O388" s="898">
        <f>+Model!AM427</f>
        <v>0</v>
      </c>
      <c r="P388" s="898">
        <f>+Model!AN427</f>
        <v>0</v>
      </c>
      <c r="Q388" s="898">
        <f>+Model!AO427</f>
        <v>0</v>
      </c>
      <c r="R388" s="957">
        <f>+Model!AP427</f>
        <v>0</v>
      </c>
      <c r="S388" s="898">
        <f>+Model!AQ427</f>
        <v>0</v>
      </c>
      <c r="T388" s="898">
        <f>+Model!AR427</f>
        <v>0</v>
      </c>
      <c r="U388" s="898">
        <f>+Model!AS427</f>
        <v>0</v>
      </c>
      <c r="V388" s="957">
        <f>+Model!AT427</f>
        <v>0</v>
      </c>
      <c r="W388" s="898">
        <f>+Model!AU427</f>
        <v>0</v>
      </c>
      <c r="X388" s="877">
        <v>0</v>
      </c>
      <c r="Y388" s="877">
        <v>0</v>
      </c>
      <c r="Z388" s="877">
        <f t="shared" si="1279"/>
        <v>0</v>
      </c>
      <c r="AA388" s="1272">
        <v>0</v>
      </c>
      <c r="AB388" s="877"/>
      <c r="AC388" s="877"/>
      <c r="AD388" s="877"/>
      <c r="AE388" s="880"/>
      <c r="AF388" s="898">
        <f>+Model!AZ427</f>
        <v>0.14899999999999999</v>
      </c>
      <c r="AG388" s="898">
        <f>+Model!BA427</f>
        <v>1.0189999999999999</v>
      </c>
      <c r="AH388" s="898">
        <f>+Model!BB427</f>
        <v>1.06</v>
      </c>
      <c r="AI388" s="898">
        <f>+Model!BC427</f>
        <v>1.6180000000000001</v>
      </c>
      <c r="AJ388" s="898">
        <f>+Model!BD427</f>
        <v>0.38700000000000001</v>
      </c>
      <c r="AK388" s="898">
        <f>+Model!BE427</f>
        <v>4.2930000000000001</v>
      </c>
      <c r="AL388" s="898">
        <f>+Model!BF427</f>
        <v>1.4059999999999999</v>
      </c>
      <c r="AM388" s="898">
        <f>+Model!BG427</f>
        <v>0.69099999999999995</v>
      </c>
      <c r="AN388" s="898">
        <f>+Model!BH427</f>
        <v>0.47499999999999998</v>
      </c>
      <c r="AO388" s="898">
        <f>+Model!BI427</f>
        <v>0</v>
      </c>
      <c r="AP388" s="898">
        <f>+Model!BJ427</f>
        <v>0</v>
      </c>
      <c r="AQ388" s="898">
        <f>+Model!BK427</f>
        <v>0</v>
      </c>
      <c r="AR388" s="898">
        <f>+Model!BL427</f>
        <v>0</v>
      </c>
      <c r="AS388" s="898">
        <f>+Model!BM427</f>
        <v>0</v>
      </c>
      <c r="AT388" s="898">
        <f>+Model!BN427</f>
        <v>0</v>
      </c>
      <c r="AU388" s="971">
        <v>0</v>
      </c>
      <c r="AV388" s="895"/>
    </row>
    <row r="389" spans="1:48" s="879" customFormat="1" ht="14" x14ac:dyDescent="0.4">
      <c r="A389" s="876" t="s">
        <v>121</v>
      </c>
      <c r="C389" s="898">
        <f>+Model!AA428</f>
        <v>0</v>
      </c>
      <c r="D389" s="898">
        <f>+Model!AB428</f>
        <v>0</v>
      </c>
      <c r="E389" s="898">
        <f>+Model!AC428</f>
        <v>0</v>
      </c>
      <c r="F389" s="898">
        <f>+Model!AD428</f>
        <v>0</v>
      </c>
      <c r="G389" s="898">
        <f>+Model!AE428</f>
        <v>0</v>
      </c>
      <c r="H389" s="898">
        <f>+Model!AF428</f>
        <v>0</v>
      </c>
      <c r="I389" s="898">
        <f>+Model!AG428</f>
        <v>0</v>
      </c>
      <c r="J389" s="957">
        <f>+Model!AH428</f>
        <v>0</v>
      </c>
      <c r="K389" s="898">
        <f>+Model!AI428</f>
        <v>0</v>
      </c>
      <c r="L389" s="898">
        <f>+Model!AJ428</f>
        <v>0</v>
      </c>
      <c r="M389" s="898">
        <f>+Model!AK428</f>
        <v>0</v>
      </c>
      <c r="N389" s="957">
        <f>+Model!AL428</f>
        <v>0</v>
      </c>
      <c r="O389" s="898">
        <f>+Model!AM428</f>
        <v>0</v>
      </c>
      <c r="P389" s="898">
        <f>+Model!AN428</f>
        <v>0</v>
      </c>
      <c r="Q389" s="898">
        <f>+Model!AO428</f>
        <v>0</v>
      </c>
      <c r="R389" s="957">
        <f>+Model!AP428</f>
        <v>0</v>
      </c>
      <c r="S389" s="898">
        <f>+Model!AQ428</f>
        <v>0</v>
      </c>
      <c r="T389" s="898">
        <f>+Model!AR428</f>
        <v>0</v>
      </c>
      <c r="U389" s="898">
        <f>+Model!AS428</f>
        <v>0</v>
      </c>
      <c r="V389" s="957">
        <f>+Model!AT428</f>
        <v>0</v>
      </c>
      <c r="W389" s="898">
        <f>+Model!AU428</f>
        <v>0</v>
      </c>
      <c r="X389" s="877">
        <v>0</v>
      </c>
      <c r="Y389" s="877">
        <v>0</v>
      </c>
      <c r="Z389" s="877">
        <f t="shared" si="1279"/>
        <v>0</v>
      </c>
      <c r="AA389" s="1272">
        <v>0</v>
      </c>
      <c r="AB389" s="877"/>
      <c r="AC389" s="877"/>
      <c r="AD389" s="877"/>
      <c r="AE389" s="880"/>
      <c r="AF389" s="898">
        <f>+Model!AZ428</f>
        <v>0.24299999999999999</v>
      </c>
      <c r="AG389" s="898">
        <f>+Model!BA428</f>
        <v>-0.17799999999999999</v>
      </c>
      <c r="AH389" s="898">
        <f>+Model!BB428</f>
        <v>0.219</v>
      </c>
      <c r="AI389" s="898">
        <f>+Model!BC428</f>
        <v>1.038</v>
      </c>
      <c r="AJ389" s="898">
        <f>+Model!BD428</f>
        <v>0.48199999999999998</v>
      </c>
      <c r="AK389" s="898">
        <f>+Model!BE428</f>
        <v>-0.52600000000000002</v>
      </c>
      <c r="AL389" s="898">
        <f>+Model!BF428</f>
        <v>-0.43</v>
      </c>
      <c r="AM389" s="898">
        <f>+Model!BG428</f>
        <v>-0.45900000000000002</v>
      </c>
      <c r="AN389" s="898">
        <f>+Model!BH428</f>
        <v>0.246</v>
      </c>
      <c r="AO389" s="898">
        <f>+Model!BI428</f>
        <v>0</v>
      </c>
      <c r="AP389" s="898">
        <f>+Model!BJ428</f>
        <v>0</v>
      </c>
      <c r="AQ389" s="898">
        <f>+Model!BK428</f>
        <v>0</v>
      </c>
      <c r="AR389" s="898">
        <f>+Model!BL428</f>
        <v>0</v>
      </c>
      <c r="AS389" s="898">
        <f>+Model!BM428</f>
        <v>0</v>
      </c>
      <c r="AT389" s="898">
        <f>+Model!BN428</f>
        <v>0</v>
      </c>
      <c r="AU389" s="971">
        <v>0</v>
      </c>
      <c r="AV389" s="895"/>
    </row>
    <row r="390" spans="1:48" s="879" customFormat="1" ht="14" x14ac:dyDescent="0.4">
      <c r="A390" s="876" t="s">
        <v>122</v>
      </c>
      <c r="C390" s="898">
        <f>+Model!AA429</f>
        <v>0</v>
      </c>
      <c r="D390" s="898">
        <f>+Model!AB429</f>
        <v>0</v>
      </c>
      <c r="E390" s="898">
        <f>+Model!AC429</f>
        <v>0</v>
      </c>
      <c r="F390" s="898">
        <f>+Model!AD429</f>
        <v>0</v>
      </c>
      <c r="G390" s="898">
        <f>+Model!AE429</f>
        <v>0</v>
      </c>
      <c r="H390" s="898">
        <f>+Model!AF429</f>
        <v>0</v>
      </c>
      <c r="I390" s="898">
        <f>+Model!AG429</f>
        <v>0</v>
      </c>
      <c r="J390" s="957">
        <f>+Model!AH429</f>
        <v>0</v>
      </c>
      <c r="K390" s="898">
        <f>+Model!AI429</f>
        <v>0</v>
      </c>
      <c r="L390" s="898">
        <f>+Model!AJ429</f>
        <v>0</v>
      </c>
      <c r="M390" s="898">
        <f>+Model!AK429</f>
        <v>0</v>
      </c>
      <c r="N390" s="957">
        <f>+Model!AL429</f>
        <v>0</v>
      </c>
      <c r="O390" s="898">
        <f>+Model!AM429</f>
        <v>0</v>
      </c>
      <c r="P390" s="898">
        <f>+Model!AN429</f>
        <v>0</v>
      </c>
      <c r="Q390" s="898">
        <f>+Model!AO429</f>
        <v>0</v>
      </c>
      <c r="R390" s="957">
        <f>+Model!AP429</f>
        <v>0</v>
      </c>
      <c r="S390" s="898">
        <f>+Model!AQ429</f>
        <v>0</v>
      </c>
      <c r="T390" s="898">
        <f>+Model!AR429</f>
        <v>0</v>
      </c>
      <c r="U390" s="898">
        <f>+Model!AS429</f>
        <v>0</v>
      </c>
      <c r="V390" s="957">
        <f>+Model!AT429</f>
        <v>0</v>
      </c>
      <c r="W390" s="898">
        <f>+Model!AU429</f>
        <v>0</v>
      </c>
      <c r="X390" s="877">
        <v>0</v>
      </c>
      <c r="Y390" s="877">
        <v>0</v>
      </c>
      <c r="Z390" s="877">
        <f t="shared" si="1279"/>
        <v>0</v>
      </c>
      <c r="AA390" s="1272">
        <v>0</v>
      </c>
      <c r="AB390" s="877"/>
      <c r="AC390" s="877"/>
      <c r="AD390" s="877"/>
      <c r="AE390" s="880"/>
      <c r="AF390" s="898">
        <f>+Model!AZ429</f>
        <v>0.26100000000000001</v>
      </c>
      <c r="AG390" s="898">
        <f>+Model!BA429</f>
        <v>0</v>
      </c>
      <c r="AH390" s="898">
        <f>+Model!BB429</f>
        <v>0</v>
      </c>
      <c r="AI390" s="898">
        <f>+Model!BC429</f>
        <v>0</v>
      </c>
      <c r="AJ390" s="898">
        <f>+Model!BD429</f>
        <v>0</v>
      </c>
      <c r="AK390" s="898">
        <f>+Model!BE429</f>
        <v>0</v>
      </c>
      <c r="AL390" s="898">
        <f>+Model!BF429</f>
        <v>3.2</v>
      </c>
      <c r="AM390" s="898">
        <f>+Model!BG429</f>
        <v>0.2</v>
      </c>
      <c r="AN390" s="898">
        <f>+Model!BH429</f>
        <v>0.58599999999999997</v>
      </c>
      <c r="AO390" s="898">
        <f>+Model!BI429</f>
        <v>0</v>
      </c>
      <c r="AP390" s="898">
        <f>+Model!BJ429</f>
        <v>0</v>
      </c>
      <c r="AQ390" s="898">
        <f>+Model!BK429</f>
        <v>0</v>
      </c>
      <c r="AR390" s="898">
        <f>+Model!BL429</f>
        <v>0</v>
      </c>
      <c r="AS390" s="898">
        <f>+Model!BM429</f>
        <v>0</v>
      </c>
      <c r="AT390" s="898">
        <f>+Model!BN429</f>
        <v>0</v>
      </c>
      <c r="AU390" s="971">
        <v>0</v>
      </c>
      <c r="AV390" s="895"/>
    </row>
    <row r="391" spans="1:48" s="879" customFormat="1" ht="14" x14ac:dyDescent="0.4">
      <c r="A391" s="876" t="s">
        <v>45</v>
      </c>
      <c r="C391" s="898">
        <f>+Model!AA430</f>
        <v>0</v>
      </c>
      <c r="D391" s="898">
        <f>+Model!AB430</f>
        <v>0</v>
      </c>
      <c r="E391" s="898">
        <f>+Model!AC430</f>
        <v>0</v>
      </c>
      <c r="F391" s="898">
        <f>+Model!AD430</f>
        <v>0</v>
      </c>
      <c r="G391" s="898">
        <f>+Model!AE430</f>
        <v>0</v>
      </c>
      <c r="H391" s="898">
        <f>+Model!AF430</f>
        <v>0</v>
      </c>
      <c r="I391" s="898">
        <f>+Model!AG430</f>
        <v>0</v>
      </c>
      <c r="J391" s="957">
        <f>+Model!AH430</f>
        <v>0</v>
      </c>
      <c r="K391" s="898">
        <f>+Model!AI430</f>
        <v>0</v>
      </c>
      <c r="L391" s="898">
        <f>+Model!AJ430</f>
        <v>0</v>
      </c>
      <c r="M391" s="898">
        <f>+Model!AK430</f>
        <v>0</v>
      </c>
      <c r="N391" s="957">
        <f>+Model!AL430</f>
        <v>0</v>
      </c>
      <c r="O391" s="898">
        <f>+Model!AM430</f>
        <v>0</v>
      </c>
      <c r="P391" s="898">
        <f>+Model!AN430</f>
        <v>0</v>
      </c>
      <c r="Q391" s="898">
        <f>+Model!AO430</f>
        <v>0</v>
      </c>
      <c r="R391" s="957">
        <f>+Model!AP430</f>
        <v>0</v>
      </c>
      <c r="S391" s="898">
        <f>+Model!AQ430</f>
        <v>0</v>
      </c>
      <c r="T391" s="898">
        <f>+Model!AR430</f>
        <v>0</v>
      </c>
      <c r="U391" s="898">
        <f>+Model!AS430</f>
        <v>0</v>
      </c>
      <c r="V391" s="957">
        <f>+Model!AT430</f>
        <v>0</v>
      </c>
      <c r="W391" s="898">
        <f>+Model!AU430</f>
        <v>0</v>
      </c>
      <c r="X391" s="877">
        <v>0</v>
      </c>
      <c r="Y391" s="877">
        <v>0</v>
      </c>
      <c r="Z391" s="877">
        <f t="shared" si="1279"/>
        <v>0</v>
      </c>
      <c r="AA391" s="1272">
        <v>0</v>
      </c>
      <c r="AB391" s="877"/>
      <c r="AC391" s="877"/>
      <c r="AD391" s="877"/>
      <c r="AE391" s="880"/>
      <c r="AF391" s="898">
        <f>+Model!AZ430</f>
        <v>0</v>
      </c>
      <c r="AG391" s="898">
        <f>+Model!BA430</f>
        <v>0</v>
      </c>
      <c r="AH391" s="898">
        <f>+Model!BB430</f>
        <v>0</v>
      </c>
      <c r="AI391" s="898">
        <f>+Model!BC430</f>
        <v>0</v>
      </c>
      <c r="AJ391" s="898">
        <f>+Model!BD430</f>
        <v>0</v>
      </c>
      <c r="AK391" s="898">
        <f>+Model!BE430</f>
        <v>-6.4039999999999999</v>
      </c>
      <c r="AL391" s="898">
        <f>+Model!BF430</f>
        <v>0</v>
      </c>
      <c r="AM391" s="898">
        <f>+Model!BG430</f>
        <v>0</v>
      </c>
      <c r="AN391" s="898">
        <f>+Model!BH430</f>
        <v>0</v>
      </c>
      <c r="AO391" s="898">
        <f>+Model!BI430</f>
        <v>0</v>
      </c>
      <c r="AP391" s="898">
        <f>+Model!BJ430</f>
        <v>0</v>
      </c>
      <c r="AQ391" s="898">
        <f>+Model!BK430</f>
        <v>0</v>
      </c>
      <c r="AR391" s="898">
        <f>+Model!BL430</f>
        <v>0</v>
      </c>
      <c r="AS391" s="898">
        <f>+Model!BM430</f>
        <v>0</v>
      </c>
      <c r="AT391" s="898">
        <f>+Model!BN430</f>
        <v>0</v>
      </c>
      <c r="AU391" s="971">
        <v>0</v>
      </c>
      <c r="AV391" s="895"/>
    </row>
    <row r="392" spans="1:48" s="879" customFormat="1" ht="14" x14ac:dyDescent="0.4">
      <c r="A392" s="876" t="s">
        <v>123</v>
      </c>
      <c r="C392" s="898">
        <f>+Model!AA431</f>
        <v>0</v>
      </c>
      <c r="D392" s="898">
        <f>+Model!AB431</f>
        <v>0</v>
      </c>
      <c r="E392" s="898">
        <f>+Model!AC431</f>
        <v>0</v>
      </c>
      <c r="F392" s="898">
        <f>+Model!AD431</f>
        <v>0</v>
      </c>
      <c r="G392" s="898">
        <f>+Model!AE431</f>
        <v>0</v>
      </c>
      <c r="H392" s="898">
        <f>+Model!AF431</f>
        <v>0</v>
      </c>
      <c r="I392" s="898">
        <f>+Model!AG431</f>
        <v>0</v>
      </c>
      <c r="J392" s="957">
        <f>+Model!AH431</f>
        <v>0</v>
      </c>
      <c r="K392" s="898">
        <f>+Model!AI431</f>
        <v>0</v>
      </c>
      <c r="L392" s="898">
        <f>+Model!AJ431</f>
        <v>0</v>
      </c>
      <c r="M392" s="898">
        <f>+Model!AK431</f>
        <v>0</v>
      </c>
      <c r="N392" s="957">
        <f>+Model!AL431</f>
        <v>0</v>
      </c>
      <c r="O392" s="898">
        <f>+Model!AM431</f>
        <v>0</v>
      </c>
      <c r="P392" s="898">
        <f>+Model!AN431</f>
        <v>0</v>
      </c>
      <c r="Q392" s="898">
        <f>+Model!AO431</f>
        <v>0</v>
      </c>
      <c r="R392" s="957">
        <f>+Model!AP431</f>
        <v>0</v>
      </c>
      <c r="S392" s="898">
        <f>+Model!AQ431</f>
        <v>0</v>
      </c>
      <c r="T392" s="898">
        <f>+Model!AR431</f>
        <v>0</v>
      </c>
      <c r="U392" s="898">
        <f>+Model!AS431</f>
        <v>0</v>
      </c>
      <c r="V392" s="957">
        <f>+Model!AT431</f>
        <v>0</v>
      </c>
      <c r="W392" s="898">
        <f>+Model!AU431</f>
        <v>0</v>
      </c>
      <c r="X392" s="877">
        <v>0</v>
      </c>
      <c r="Y392" s="877">
        <v>0</v>
      </c>
      <c r="Z392" s="877">
        <f t="shared" si="1279"/>
        <v>0</v>
      </c>
      <c r="AA392" s="1272">
        <v>0</v>
      </c>
      <c r="AB392" s="877"/>
      <c r="AC392" s="877"/>
      <c r="AD392" s="877"/>
      <c r="AE392" s="880"/>
      <c r="AF392" s="898">
        <f>+Model!AZ431</f>
        <v>0</v>
      </c>
      <c r="AG392" s="898">
        <f>+Model!BA431</f>
        <v>0</v>
      </c>
      <c r="AH392" s="898">
        <f>+Model!BB431</f>
        <v>0</v>
      </c>
      <c r="AI392" s="898">
        <f>+Model!BC431</f>
        <v>0</v>
      </c>
      <c r="AJ392" s="898">
        <f>+Model!BD431</f>
        <v>0</v>
      </c>
      <c r="AK392" s="898">
        <f>+Model!BE431</f>
        <v>0</v>
      </c>
      <c r="AL392" s="898">
        <f>+Model!BF431</f>
        <v>0</v>
      </c>
      <c r="AM392" s="898">
        <f>+Model!BG431</f>
        <v>2.625</v>
      </c>
      <c r="AN392" s="898">
        <f>+Model!BH431</f>
        <v>3.5249999999999999</v>
      </c>
      <c r="AO392" s="898">
        <f>+Model!BI431</f>
        <v>0</v>
      </c>
      <c r="AP392" s="898">
        <f>+Model!BJ431</f>
        <v>0</v>
      </c>
      <c r="AQ392" s="898">
        <f>+Model!BK431</f>
        <v>0</v>
      </c>
      <c r="AR392" s="898">
        <f>+Model!BL431</f>
        <v>0</v>
      </c>
      <c r="AS392" s="898">
        <f>+Model!BM431</f>
        <v>0</v>
      </c>
      <c r="AT392" s="898">
        <f>+Model!BN431</f>
        <v>0</v>
      </c>
      <c r="AU392" s="971">
        <v>0</v>
      </c>
      <c r="AV392" s="895"/>
    </row>
    <row r="393" spans="1:48" s="879" customFormat="1" ht="14" x14ac:dyDescent="0.4">
      <c r="A393" s="876" t="s">
        <v>46</v>
      </c>
      <c r="C393" s="898">
        <f>+Model!AA432</f>
        <v>0</v>
      </c>
      <c r="D393" s="898">
        <f>+Model!AB432</f>
        <v>0</v>
      </c>
      <c r="E393" s="898">
        <f>+Model!AC432</f>
        <v>0</v>
      </c>
      <c r="F393" s="898">
        <f>+Model!AD432</f>
        <v>0</v>
      </c>
      <c r="G393" s="898">
        <f>+Model!AE432</f>
        <v>0</v>
      </c>
      <c r="H393" s="898">
        <f>+Model!AF432</f>
        <v>0</v>
      </c>
      <c r="I393" s="898">
        <f>+Model!AG432</f>
        <v>0</v>
      </c>
      <c r="J393" s="957">
        <f>+Model!AH432</f>
        <v>0</v>
      </c>
      <c r="K393" s="898">
        <f>+Model!AI432</f>
        <v>0</v>
      </c>
      <c r="L393" s="898">
        <f>+Model!AJ432</f>
        <v>0</v>
      </c>
      <c r="M393" s="898">
        <f>+Model!AK432</f>
        <v>0</v>
      </c>
      <c r="N393" s="957">
        <f>+Model!AL432</f>
        <v>0</v>
      </c>
      <c r="O393" s="898">
        <f>+Model!AM432</f>
        <v>0</v>
      </c>
      <c r="P393" s="898">
        <f>+Model!AN432</f>
        <v>0</v>
      </c>
      <c r="Q393" s="898">
        <f>+Model!AO432</f>
        <v>0</v>
      </c>
      <c r="R393" s="957">
        <f>+Model!AP432</f>
        <v>0</v>
      </c>
      <c r="S393" s="898">
        <f>+Model!AQ432</f>
        <v>0</v>
      </c>
      <c r="T393" s="898">
        <f>+Model!AR432</f>
        <v>0</v>
      </c>
      <c r="U393" s="898">
        <f>+Model!AS432</f>
        <v>0</v>
      </c>
      <c r="V393" s="957">
        <f>+Model!AT432</f>
        <v>0</v>
      </c>
      <c r="W393" s="898">
        <f>+Model!AU432</f>
        <v>0</v>
      </c>
      <c r="X393" s="877">
        <v>0</v>
      </c>
      <c r="Y393" s="877">
        <v>0</v>
      </c>
      <c r="Z393" s="877">
        <f t="shared" si="1279"/>
        <v>0</v>
      </c>
      <c r="AA393" s="1272">
        <v>0</v>
      </c>
      <c r="AB393" s="877"/>
      <c r="AC393" s="877"/>
      <c r="AD393" s="877"/>
      <c r="AE393" s="880"/>
      <c r="AF393" s="898">
        <f>+Model!AZ432</f>
        <v>0</v>
      </c>
      <c r="AG393" s="898">
        <f>+Model!BA432</f>
        <v>0</v>
      </c>
      <c r="AH393" s="898">
        <f>+Model!BB432</f>
        <v>0</v>
      </c>
      <c r="AI393" s="898">
        <f>+Model!BC432</f>
        <v>0</v>
      </c>
      <c r="AJ393" s="898">
        <f>+Model!BD432</f>
        <v>0</v>
      </c>
      <c r="AK393" s="898">
        <f>+Model!BE432</f>
        <v>0</v>
      </c>
      <c r="AL393" s="898">
        <f>+Model!BF432</f>
        <v>0</v>
      </c>
      <c r="AM393" s="898">
        <f>+Model!BG432</f>
        <v>0</v>
      </c>
      <c r="AN393" s="898">
        <f>+Model!BH432</f>
        <v>10</v>
      </c>
      <c r="AO393" s="898">
        <f>+Model!BI432</f>
        <v>0</v>
      </c>
      <c r="AP393" s="898">
        <f>+Model!BJ432</f>
        <v>0</v>
      </c>
      <c r="AQ393" s="898">
        <f>+Model!BK432</f>
        <v>0</v>
      </c>
      <c r="AR393" s="898">
        <f>+Model!BL432</f>
        <v>0</v>
      </c>
      <c r="AS393" s="898">
        <f>+Model!BM432</f>
        <v>0</v>
      </c>
      <c r="AT393" s="898">
        <f>+Model!BN432</f>
        <v>0</v>
      </c>
      <c r="AU393" s="971">
        <v>0</v>
      </c>
      <c r="AV393" s="895"/>
    </row>
    <row r="394" spans="1:48" s="879" customFormat="1" ht="14" x14ac:dyDescent="0.4">
      <c r="A394" s="876" t="s">
        <v>559</v>
      </c>
      <c r="C394" s="898">
        <f>+Model!AA433</f>
        <v>0</v>
      </c>
      <c r="D394" s="898">
        <f>+Model!AB433</f>
        <v>0</v>
      </c>
      <c r="E394" s="898">
        <f>+Model!AC433</f>
        <v>0</v>
      </c>
      <c r="F394" s="898">
        <f>+Model!AD433</f>
        <v>0</v>
      </c>
      <c r="G394" s="898">
        <f>+Model!AE433</f>
        <v>0</v>
      </c>
      <c r="H394" s="898">
        <f>+Model!AF433</f>
        <v>0</v>
      </c>
      <c r="I394" s="898">
        <f>+Model!AG433</f>
        <v>0</v>
      </c>
      <c r="J394" s="957">
        <f>+Model!AH433</f>
        <v>0</v>
      </c>
      <c r="K394" s="898">
        <f>+Model!AI433</f>
        <v>0</v>
      </c>
      <c r="L394" s="898">
        <f>+Model!AJ433</f>
        <v>0</v>
      </c>
      <c r="M394" s="898">
        <f>+Model!AK433</f>
        <v>0</v>
      </c>
      <c r="N394" s="957">
        <f>+Model!AL433</f>
        <v>0</v>
      </c>
      <c r="O394" s="898">
        <f>+Model!AM433</f>
        <v>5.0049999999999999</v>
      </c>
      <c r="P394" s="898">
        <f>+Model!AN433</f>
        <v>5.069</v>
      </c>
      <c r="Q394" s="898">
        <f>+Model!AO433</f>
        <v>5.01</v>
      </c>
      <c r="R394" s="957">
        <f>+Model!AP433</f>
        <v>4.7259999999999991</v>
      </c>
      <c r="S394" s="898">
        <f>+Model!AQ433</f>
        <v>3.8660000000000001</v>
      </c>
      <c r="T394" s="898">
        <f>+Model!AR433</f>
        <v>3.5029999999999997</v>
      </c>
      <c r="U394" s="898">
        <f>+Model!AS433</f>
        <v>3.67</v>
      </c>
      <c r="V394" s="957">
        <f>+Model!AT433</f>
        <v>3.6890000000000001</v>
      </c>
      <c r="W394" s="898">
        <f>+Model!AU433</f>
        <v>4.3719999999999999</v>
      </c>
      <c r="X394" s="877">
        <f>7.913-W394</f>
        <v>3.5410000000000004</v>
      </c>
      <c r="Y394" s="877">
        <f>11.055-X394-W394</f>
        <v>3.1419999999999995</v>
      </c>
      <c r="Z394" s="877">
        <f t="shared" si="1279"/>
        <v>3.1910000000000007</v>
      </c>
      <c r="AA394" s="1272">
        <v>3.1760000000000002</v>
      </c>
      <c r="AB394" s="877"/>
      <c r="AC394" s="877"/>
      <c r="AD394" s="877"/>
      <c r="AE394" s="880"/>
      <c r="AF394" s="898">
        <f>+Model!AZ433</f>
        <v>0</v>
      </c>
      <c r="AG394" s="898">
        <f>+Model!BA433</f>
        <v>0</v>
      </c>
      <c r="AH394" s="898">
        <f>+Model!BB433</f>
        <v>0</v>
      </c>
      <c r="AI394" s="898">
        <f>+Model!BC433</f>
        <v>0</v>
      </c>
      <c r="AJ394" s="898">
        <f>+Model!BD433</f>
        <v>0</v>
      </c>
      <c r="AK394" s="898">
        <f>+Model!BE433</f>
        <v>0</v>
      </c>
      <c r="AL394" s="898">
        <f>+Model!BF433</f>
        <v>0</v>
      </c>
      <c r="AM394" s="898">
        <f>+Model!BG433</f>
        <v>0</v>
      </c>
      <c r="AN394" s="898">
        <f>+Model!BH433</f>
        <v>0</v>
      </c>
      <c r="AO394" s="898">
        <f>+Model!BI433</f>
        <v>0</v>
      </c>
      <c r="AP394" s="898">
        <f>+Model!BJ433</f>
        <v>0</v>
      </c>
      <c r="AQ394" s="898">
        <f>+Model!BK433</f>
        <v>0</v>
      </c>
      <c r="AR394" s="898">
        <f>+Model!BL433</f>
        <v>19.567</v>
      </c>
      <c r="AS394" s="898">
        <f>+Model!BM433</f>
        <v>19.809999999999999</v>
      </c>
      <c r="AT394" s="898">
        <f>+Model!BN433</f>
        <v>14.728</v>
      </c>
      <c r="AU394" s="971">
        <v>14.246</v>
      </c>
      <c r="AV394" s="895"/>
    </row>
    <row r="395" spans="1:48" s="879" customFormat="1" ht="14" x14ac:dyDescent="0.4">
      <c r="A395" s="876" t="s">
        <v>124</v>
      </c>
      <c r="C395" s="898">
        <f>+Model!AA434</f>
        <v>2.9319999999999999</v>
      </c>
      <c r="D395" s="898">
        <f>+Model!AB434</f>
        <v>1.0390000000000001</v>
      </c>
      <c r="E395" s="898">
        <f>+Model!AC434</f>
        <v>1.3200000000000003</v>
      </c>
      <c r="F395" s="898">
        <f>+Model!AD434</f>
        <v>-1.3060000000000005</v>
      </c>
      <c r="G395" s="898">
        <f>+Model!AE434</f>
        <v>4.141</v>
      </c>
      <c r="H395" s="898">
        <f>+Model!AF434</f>
        <v>2.9749999999999996</v>
      </c>
      <c r="I395" s="898">
        <f>+Model!AG434</f>
        <v>4.4890000000000008</v>
      </c>
      <c r="J395" s="957">
        <f>+Model!AH434</f>
        <v>7.972999999999999</v>
      </c>
      <c r="K395" s="898">
        <f>+Model!AI434</f>
        <v>10.792</v>
      </c>
      <c r="L395" s="898">
        <f>+Model!AJ434</f>
        <v>6.0789999999999988</v>
      </c>
      <c r="M395" s="898">
        <f>+Model!AK434</f>
        <v>5.5850000000000009</v>
      </c>
      <c r="N395" s="957">
        <f>+Model!AL434</f>
        <v>6.8769999999999989</v>
      </c>
      <c r="O395" s="898">
        <f>+Model!AM434</f>
        <v>4.3250000000000002</v>
      </c>
      <c r="P395" s="898">
        <f>+Model!AN434</f>
        <v>1.2249999999999996</v>
      </c>
      <c r="Q395" s="898">
        <f>+Model!AO434</f>
        <v>-0.875</v>
      </c>
      <c r="R395" s="957">
        <f>+Model!AP434</f>
        <v>5.274</v>
      </c>
      <c r="S395" s="898">
        <f>+Model!AQ434</f>
        <v>-3.9180000000000001</v>
      </c>
      <c r="T395" s="898">
        <f>+Model!AR434</f>
        <v>1.0489999999999999</v>
      </c>
      <c r="U395" s="898">
        <f>+Model!AS434</f>
        <v>0.85400000000000009</v>
      </c>
      <c r="V395" s="957">
        <f>+Model!AT434</f>
        <v>4.9000000000000155E-2</v>
      </c>
      <c r="W395" s="898">
        <f>+Model!AU434</f>
        <v>0.85299999999999998</v>
      </c>
      <c r="X395" s="877">
        <f>1.43-W395</f>
        <v>0.57699999999999996</v>
      </c>
      <c r="Y395" s="877">
        <f>1.444-X395-W395</f>
        <v>1.4000000000000012E-2</v>
      </c>
      <c r="Z395" s="877">
        <f t="shared" si="1279"/>
        <v>-0.59499999999999997</v>
      </c>
      <c r="AA395" s="1272">
        <v>2.3279999999999998</v>
      </c>
      <c r="AB395" s="877"/>
      <c r="AC395" s="877"/>
      <c r="AD395" s="877"/>
      <c r="AE395" s="880"/>
      <c r="AF395" s="898">
        <f>+Model!AZ434</f>
        <v>0</v>
      </c>
      <c r="AG395" s="898">
        <f>+Model!BA434</f>
        <v>0</v>
      </c>
      <c r="AH395" s="898">
        <f>+Model!BB434</f>
        <v>0</v>
      </c>
      <c r="AI395" s="898">
        <f>+Model!BC434</f>
        <v>0</v>
      </c>
      <c r="AJ395" s="898">
        <f>+Model!BD434</f>
        <v>0</v>
      </c>
      <c r="AK395" s="898">
        <f>+Model!BE434</f>
        <v>0</v>
      </c>
      <c r="AL395" s="898">
        <f>+Model!BF434</f>
        <v>0</v>
      </c>
      <c r="AM395" s="898">
        <f>+Model!BG434</f>
        <v>0</v>
      </c>
      <c r="AN395" s="898">
        <f>+Model!BH434</f>
        <v>-0.255</v>
      </c>
      <c r="AO395" s="898">
        <f>+Model!BI434</f>
        <v>4.8220000000000001</v>
      </c>
      <c r="AP395" s="898">
        <f>+Model!BJ434</f>
        <v>3.9849999999999999</v>
      </c>
      <c r="AQ395" s="898">
        <f>+Model!BK434</f>
        <v>19.577999999999999</v>
      </c>
      <c r="AR395" s="898">
        <f>+Model!BL434</f>
        <v>9.766</v>
      </c>
      <c r="AS395" s="898">
        <f>+Model!BM434</f>
        <v>9.9489999999999998</v>
      </c>
      <c r="AT395" s="898">
        <f>+Model!BN434</f>
        <v>-1.966</v>
      </c>
      <c r="AU395" s="971">
        <v>0.84899999999999998</v>
      </c>
      <c r="AV395" s="895"/>
    </row>
    <row r="396" spans="1:48" x14ac:dyDescent="0.25">
      <c r="A396" s="944" t="s">
        <v>846</v>
      </c>
      <c r="J396" s="953"/>
      <c r="N396" s="953"/>
      <c r="R396" s="953"/>
      <c r="V396" s="953"/>
      <c r="X396" s="877"/>
      <c r="Y396" s="877"/>
      <c r="Z396" s="877"/>
      <c r="AA396" s="1272"/>
      <c r="AB396" s="877"/>
      <c r="AC396" s="877"/>
      <c r="AD396" s="877"/>
      <c r="AU396" s="967"/>
    </row>
    <row r="397" spans="1:48" s="879" customFormat="1" ht="14" x14ac:dyDescent="0.4">
      <c r="A397" s="876" t="s">
        <v>847</v>
      </c>
      <c r="C397" s="898">
        <f>+Model!AA436</f>
        <v>-92.584000000000003</v>
      </c>
      <c r="D397" s="898">
        <f>+Model!AB436</f>
        <v>28.468000000000004</v>
      </c>
      <c r="E397" s="898">
        <f>+Model!AC436</f>
        <v>-1.0310000000000059</v>
      </c>
      <c r="F397" s="898">
        <f>+Model!AD436</f>
        <v>43.510000000000005</v>
      </c>
      <c r="G397" s="898">
        <f>+Model!AE436</f>
        <v>-75.765000000000001</v>
      </c>
      <c r="H397" s="898">
        <f>+Model!AF436</f>
        <v>16.115000000000002</v>
      </c>
      <c r="I397" s="898">
        <f>+Model!AG436</f>
        <v>-16.536999999999999</v>
      </c>
      <c r="J397" s="957">
        <f>+Model!AH436</f>
        <v>38.414999999999999</v>
      </c>
      <c r="K397" s="898">
        <f>+Model!AI436</f>
        <v>-196.953</v>
      </c>
      <c r="L397" s="898">
        <f>+Model!AJ436</f>
        <v>-11.917000000000002</v>
      </c>
      <c r="M397" s="898">
        <f>+Model!AK436</f>
        <v>11.211000000000013</v>
      </c>
      <c r="N397" s="957">
        <f>+Model!AL436</f>
        <v>54.585999999999984</v>
      </c>
      <c r="O397" s="898">
        <f>+Model!AM436</f>
        <v>-150.26300000000001</v>
      </c>
      <c r="P397" s="898">
        <f>+Model!AN436</f>
        <v>84.657000000000011</v>
      </c>
      <c r="Q397" s="898">
        <f>+Model!AO436</f>
        <v>9.5339999999999918</v>
      </c>
      <c r="R397" s="957">
        <f>+Model!AP436</f>
        <v>-1.4289999999999949</v>
      </c>
      <c r="S397" s="898">
        <f>+Model!AQ436</f>
        <v>-126.521</v>
      </c>
      <c r="T397" s="898">
        <f>+Model!AR436</f>
        <v>100.84100000000001</v>
      </c>
      <c r="U397" s="898">
        <f>+Model!AS436</f>
        <v>-36.268999999999998</v>
      </c>
      <c r="V397" s="957">
        <f>+Model!AT436</f>
        <v>7.0409999999999968</v>
      </c>
      <c r="W397" s="898">
        <f>+Model!AU436</f>
        <v>-175.215</v>
      </c>
      <c r="X397" s="877">
        <f>-61.247-W397</f>
        <v>113.968</v>
      </c>
      <c r="Y397" s="877">
        <f>-133.144-X397-W397</f>
        <v>-71.89700000000002</v>
      </c>
      <c r="Z397" s="877">
        <f t="shared" si="1279"/>
        <v>101.08800000000001</v>
      </c>
      <c r="AA397" s="1272">
        <v>-210.02799999999999</v>
      </c>
      <c r="AB397" s="877"/>
      <c r="AC397" s="877"/>
      <c r="AD397" s="877"/>
      <c r="AE397" s="880"/>
      <c r="AF397" s="898">
        <f>+Model!AZ436</f>
        <v>-21.998999999999999</v>
      </c>
      <c r="AG397" s="898">
        <f>+Model!BA436</f>
        <v>-18.46</v>
      </c>
      <c r="AH397" s="898">
        <f>+Model!BB436</f>
        <v>-15.81</v>
      </c>
      <c r="AI397" s="898">
        <f>+Model!BC436</f>
        <v>-64.27</v>
      </c>
      <c r="AJ397" s="898">
        <f>+Model!BD436</f>
        <v>-27.707999999999998</v>
      </c>
      <c r="AK397" s="898">
        <f>+Model!BE436</f>
        <v>-12.257</v>
      </c>
      <c r="AL397" s="898">
        <f>+Model!BF436</f>
        <v>-1.8919999999999999</v>
      </c>
      <c r="AM397" s="898">
        <f>+Model!BG436</f>
        <v>14.462999999999999</v>
      </c>
      <c r="AN397" s="898">
        <f>+Model!BH436</f>
        <v>-27.745000000000001</v>
      </c>
      <c r="AO397" s="898">
        <f>+Model!BI436</f>
        <v>11.987</v>
      </c>
      <c r="AP397" s="898">
        <f>+Model!BJ436</f>
        <v>-21.637</v>
      </c>
      <c r="AQ397" s="898">
        <f>+Model!BK436</f>
        <v>-37.771999999999998</v>
      </c>
      <c r="AR397" s="898">
        <f>+Model!BL436</f>
        <v>-143.07300000000001</v>
      </c>
      <c r="AS397" s="898">
        <f>+Model!BM436</f>
        <v>-57.500999999999998</v>
      </c>
      <c r="AT397" s="898">
        <f>+Model!BN436</f>
        <v>-54.908000000000001</v>
      </c>
      <c r="AU397" s="971">
        <v>-32.055999999999997</v>
      </c>
      <c r="AV397" s="895"/>
    </row>
    <row r="398" spans="1:48" s="879" customFormat="1" ht="14" x14ac:dyDescent="0.4">
      <c r="A398" s="876" t="s">
        <v>848</v>
      </c>
      <c r="C398" s="898">
        <f>+Model!AA437</f>
        <v>-5.774</v>
      </c>
      <c r="D398" s="898">
        <f>+Model!AB437</f>
        <v>9.7089999999999996</v>
      </c>
      <c r="E398" s="898">
        <f>+Model!AC437</f>
        <v>0.68500000000000005</v>
      </c>
      <c r="F398" s="898">
        <f>+Model!AD437</f>
        <v>-7.9410000000000007</v>
      </c>
      <c r="G398" s="898">
        <f>+Model!AE437</f>
        <v>-8.9420000000000002</v>
      </c>
      <c r="H398" s="898">
        <f>+Model!AF437</f>
        <v>11.498000000000001</v>
      </c>
      <c r="I398" s="898">
        <f>+Model!AG437</f>
        <v>-2.3159999999999998</v>
      </c>
      <c r="J398" s="957">
        <f>+Model!AH437</f>
        <v>-16.420999999999999</v>
      </c>
      <c r="K398" s="898">
        <f>+Model!AI437</f>
        <v>-23.975000000000001</v>
      </c>
      <c r="L398" s="898">
        <f>+Model!AJ437</f>
        <v>0.74399999999999977</v>
      </c>
      <c r="M398" s="898">
        <f>+Model!AK437</f>
        <v>-4.5669999999999966</v>
      </c>
      <c r="N398" s="957">
        <f>+Model!AL437</f>
        <v>-11.366000000000003</v>
      </c>
      <c r="O398" s="898">
        <f>+Model!AM437</f>
        <v>1.26</v>
      </c>
      <c r="P398" s="898">
        <f>+Model!AN437</f>
        <v>10.684000000000001</v>
      </c>
      <c r="Q398" s="898">
        <f>+Model!AO437</f>
        <v>-3.9770000000000012</v>
      </c>
      <c r="R398" s="957">
        <f>+Model!AP437</f>
        <v>-3.1689999999999996</v>
      </c>
      <c r="S398" s="898">
        <f>+Model!AQ437</f>
        <v>-34.695</v>
      </c>
      <c r="T398" s="898">
        <f>+Model!AR437</f>
        <v>25.518000000000001</v>
      </c>
      <c r="U398" s="898">
        <f>+Model!AS437</f>
        <v>-0.7889999999999997</v>
      </c>
      <c r="V398" s="957">
        <f>+Model!AT437</f>
        <v>-9.423</v>
      </c>
      <c r="W398" s="898">
        <f>+Model!AU437</f>
        <v>-14.33</v>
      </c>
      <c r="X398" s="877">
        <f>0.883-W398</f>
        <v>15.213000000000001</v>
      </c>
      <c r="Y398" s="877">
        <f>-2.763-X398-W398</f>
        <v>-3.645999999999999</v>
      </c>
      <c r="Z398" s="877">
        <f t="shared" si="1279"/>
        <v>-6.1140000000000025</v>
      </c>
      <c r="AA398" s="1272">
        <v>-9.31</v>
      </c>
      <c r="AB398" s="877"/>
      <c r="AC398" s="877"/>
      <c r="AD398" s="877"/>
      <c r="AE398" s="880"/>
      <c r="AF398" s="898">
        <f>+Model!AZ437</f>
        <v>-11.529</v>
      </c>
      <c r="AG398" s="898">
        <f>+Model!BA437</f>
        <v>4.84</v>
      </c>
      <c r="AH398" s="898">
        <f>+Model!BB437</f>
        <v>-4.6210000000000004</v>
      </c>
      <c r="AI398" s="898">
        <f>+Model!BC437</f>
        <v>-8.9179999999999993</v>
      </c>
      <c r="AJ398" s="898">
        <f>+Model!BD437</f>
        <v>-6.9290000000000003</v>
      </c>
      <c r="AK398" s="898">
        <f>+Model!BE437</f>
        <v>6.2720000000000002</v>
      </c>
      <c r="AL398" s="898">
        <f>+Model!BF437</f>
        <v>2.8530000000000002</v>
      </c>
      <c r="AM398" s="898">
        <f>+Model!BG437</f>
        <v>-1.7509999999999999</v>
      </c>
      <c r="AN398" s="898">
        <f>+Model!BH437</f>
        <v>-0.34799999999999998</v>
      </c>
      <c r="AO398" s="898">
        <f>+Model!BI437</f>
        <v>-3.8010000000000002</v>
      </c>
      <c r="AP398" s="898">
        <f>+Model!BJ437</f>
        <v>-3.3210000000000002</v>
      </c>
      <c r="AQ398" s="898">
        <f>+Model!BK437</f>
        <v>-16.181000000000001</v>
      </c>
      <c r="AR398" s="898">
        <f>+Model!BL437</f>
        <v>-39.164000000000001</v>
      </c>
      <c r="AS398" s="898">
        <f>+Model!BM437</f>
        <v>4.798</v>
      </c>
      <c r="AT398" s="898">
        <f>+Model!BN437</f>
        <v>-19.388999999999999</v>
      </c>
      <c r="AU398" s="971">
        <v>-8.8770000000000007</v>
      </c>
      <c r="AV398" s="895"/>
    </row>
    <row r="399" spans="1:48" s="879" customFormat="1" ht="14" x14ac:dyDescent="0.4">
      <c r="A399" s="876" t="s">
        <v>128</v>
      </c>
      <c r="C399" s="898">
        <f>+Model!AA438</f>
        <v>0</v>
      </c>
      <c r="D399" s="898">
        <f>+Model!AB438</f>
        <v>0</v>
      </c>
      <c r="E399" s="898">
        <f>+Model!AC438</f>
        <v>0</v>
      </c>
      <c r="F399" s="898">
        <f>+Model!AD438</f>
        <v>0</v>
      </c>
      <c r="G399" s="898">
        <f>+Model!AE438</f>
        <v>0</v>
      </c>
      <c r="H399" s="898">
        <f>+Model!AF438</f>
        <v>0</v>
      </c>
      <c r="I399" s="898">
        <f>+Model!AG438</f>
        <v>0</v>
      </c>
      <c r="J399" s="957">
        <f>+Model!AH438</f>
        <v>0</v>
      </c>
      <c r="K399" s="898">
        <f>+Model!AI438</f>
        <v>0</v>
      </c>
      <c r="L399" s="898">
        <f>+Model!AJ438</f>
        <v>0</v>
      </c>
      <c r="M399" s="898">
        <f>+Model!AK438</f>
        <v>0</v>
      </c>
      <c r="N399" s="957">
        <f>+Model!AL438</f>
        <v>0</v>
      </c>
      <c r="O399" s="898">
        <f>+Model!AM438</f>
        <v>0</v>
      </c>
      <c r="P399" s="898">
        <f>+Model!AN438</f>
        <v>0</v>
      </c>
      <c r="Q399" s="898">
        <f>+Model!AO438</f>
        <v>0</v>
      </c>
      <c r="R399" s="957">
        <f>+Model!AP438</f>
        <v>0</v>
      </c>
      <c r="S399" s="898">
        <f>+Model!AQ438</f>
        <v>0</v>
      </c>
      <c r="T399" s="898">
        <f>+Model!AR438</f>
        <v>0</v>
      </c>
      <c r="U399" s="898">
        <f>+Model!AS438</f>
        <v>0</v>
      </c>
      <c r="V399" s="957">
        <f>+Model!AT438</f>
        <v>0</v>
      </c>
      <c r="W399" s="898">
        <f>+Model!AU438</f>
        <v>0</v>
      </c>
      <c r="X399" s="877">
        <v>0</v>
      </c>
      <c r="Y399" s="877">
        <v>0</v>
      </c>
      <c r="Z399" s="877">
        <f t="shared" si="1279"/>
        <v>0</v>
      </c>
      <c r="AA399" s="1272">
        <v>0</v>
      </c>
      <c r="AB399" s="877"/>
      <c r="AC399" s="877"/>
      <c r="AD399" s="877"/>
      <c r="AE399" s="880"/>
      <c r="AF399" s="898">
        <f>+Model!AZ438</f>
        <v>-5.5289999999999999</v>
      </c>
      <c r="AG399" s="898">
        <f>+Model!BA438</f>
        <v>0.32700000000000001</v>
      </c>
      <c r="AH399" s="898">
        <f>+Model!BB438</f>
        <v>0.36299999999999999</v>
      </c>
      <c r="AI399" s="898">
        <f>+Model!BC438</f>
        <v>-0.78400000000000003</v>
      </c>
      <c r="AJ399" s="898">
        <f>+Model!BD438</f>
        <v>0.84299999999999997</v>
      </c>
      <c r="AK399" s="898">
        <f>+Model!BE438</f>
        <v>2.7349999999999999</v>
      </c>
      <c r="AL399" s="898">
        <f>+Model!BF438</f>
        <v>-4.0730000000000004</v>
      </c>
      <c r="AM399" s="898">
        <f>+Model!BG438</f>
        <v>1.8599999999999999</v>
      </c>
      <c r="AN399" s="898">
        <f>+Model!BH438</f>
        <v>1.6279999999999999</v>
      </c>
      <c r="AO399" s="898">
        <f>+Model!BI438</f>
        <v>0</v>
      </c>
      <c r="AP399" s="898">
        <f>+Model!BJ438</f>
        <v>0</v>
      </c>
      <c r="AQ399" s="898">
        <f>+Model!BK438</f>
        <v>0</v>
      </c>
      <c r="AR399" s="898">
        <f>+Model!BL438</f>
        <v>0</v>
      </c>
      <c r="AS399" s="898">
        <f>+Model!BM438</f>
        <v>0</v>
      </c>
      <c r="AT399" s="898">
        <f>+Model!BN438</f>
        <v>0</v>
      </c>
      <c r="AU399" s="971">
        <v>0</v>
      </c>
      <c r="AV399" s="895"/>
    </row>
    <row r="400" spans="1:48" s="879" customFormat="1" ht="14" x14ac:dyDescent="0.4">
      <c r="A400" s="876" t="s">
        <v>129</v>
      </c>
      <c r="C400" s="898">
        <f>+Model!AA439</f>
        <v>0</v>
      </c>
      <c r="D400" s="898">
        <f>+Model!AB439</f>
        <v>0</v>
      </c>
      <c r="E400" s="898">
        <f>+Model!AC439</f>
        <v>0</v>
      </c>
      <c r="F400" s="898">
        <f>+Model!AD439</f>
        <v>0</v>
      </c>
      <c r="G400" s="898">
        <f>+Model!AE439</f>
        <v>0</v>
      </c>
      <c r="H400" s="898">
        <f>+Model!AF439</f>
        <v>0</v>
      </c>
      <c r="I400" s="898">
        <f>+Model!AG439</f>
        <v>0</v>
      </c>
      <c r="J400" s="957">
        <f>+Model!AH439</f>
        <v>0</v>
      </c>
      <c r="K400" s="898">
        <f>+Model!AI439</f>
        <v>0</v>
      </c>
      <c r="L400" s="898">
        <f>+Model!AJ439</f>
        <v>0</v>
      </c>
      <c r="M400" s="898">
        <f>+Model!AK439</f>
        <v>0</v>
      </c>
      <c r="N400" s="957">
        <f>+Model!AL439</f>
        <v>0</v>
      </c>
      <c r="O400" s="898">
        <f>+Model!AM439</f>
        <v>0</v>
      </c>
      <c r="P400" s="898">
        <f>+Model!AN439</f>
        <v>0</v>
      </c>
      <c r="Q400" s="898">
        <f>+Model!AO439</f>
        <v>0</v>
      </c>
      <c r="R400" s="957">
        <f>+Model!AP439</f>
        <v>0</v>
      </c>
      <c r="S400" s="898">
        <f>+Model!AQ439</f>
        <v>0</v>
      </c>
      <c r="T400" s="898">
        <f>+Model!AR439</f>
        <v>0</v>
      </c>
      <c r="U400" s="898">
        <f>+Model!AS439</f>
        <v>0</v>
      </c>
      <c r="V400" s="957">
        <f>+Model!AT439</f>
        <v>0</v>
      </c>
      <c r="W400" s="898">
        <f>+Model!AU439</f>
        <v>0</v>
      </c>
      <c r="X400" s="877">
        <v>0</v>
      </c>
      <c r="Y400" s="877">
        <v>0</v>
      </c>
      <c r="Z400" s="877">
        <f t="shared" si="1279"/>
        <v>0</v>
      </c>
      <c r="AA400" s="1272">
        <v>0</v>
      </c>
      <c r="AB400" s="877"/>
      <c r="AC400" s="877"/>
      <c r="AD400" s="877"/>
      <c r="AE400" s="880"/>
      <c r="AF400" s="898">
        <f>+Model!AZ439</f>
        <v>-1.859</v>
      </c>
      <c r="AG400" s="898">
        <f>+Model!BA439</f>
        <v>-5.1989999999999998</v>
      </c>
      <c r="AH400" s="898">
        <f>+Model!BB439</f>
        <v>-1.825</v>
      </c>
      <c r="AI400" s="898">
        <f>+Model!BC439</f>
        <v>-5.26</v>
      </c>
      <c r="AJ400" s="898">
        <f>+Model!BD439</f>
        <v>0.68200000000000005</v>
      </c>
      <c r="AK400" s="898">
        <f>+Model!BE439</f>
        <v>-1.645</v>
      </c>
      <c r="AL400" s="898">
        <f>+Model!BF439</f>
        <v>-2.5790000000000002</v>
      </c>
      <c r="AM400" s="898">
        <f>+Model!BG439</f>
        <v>2.83</v>
      </c>
      <c r="AN400" s="898">
        <f>+Model!BH439</f>
        <v>4.2999999999999997E-2</v>
      </c>
      <c r="AO400" s="898">
        <f>+Model!BI439</f>
        <v>0</v>
      </c>
      <c r="AP400" s="898">
        <f>+Model!BJ439</f>
        <v>0</v>
      </c>
      <c r="AQ400" s="898">
        <f>+Model!BK439</f>
        <v>0</v>
      </c>
      <c r="AR400" s="898">
        <f>+Model!BL439</f>
        <v>0</v>
      </c>
      <c r="AS400" s="898">
        <f>+Model!BM439</f>
        <v>0</v>
      </c>
      <c r="AT400" s="898">
        <f>+Model!BN439</f>
        <v>0</v>
      </c>
      <c r="AU400" s="971">
        <v>0</v>
      </c>
      <c r="AV400" s="895"/>
    </row>
    <row r="401" spans="1:48" s="879" customFormat="1" ht="14" x14ac:dyDescent="0.4">
      <c r="A401" s="876" t="s">
        <v>130</v>
      </c>
      <c r="C401" s="898">
        <f>+Model!AA440</f>
        <v>0</v>
      </c>
      <c r="D401" s="898">
        <f>+Model!AB440</f>
        <v>0</v>
      </c>
      <c r="E401" s="898">
        <f>+Model!AC440</f>
        <v>0</v>
      </c>
      <c r="F401" s="898">
        <f>+Model!AD440</f>
        <v>0</v>
      </c>
      <c r="G401" s="898">
        <f>+Model!AE440</f>
        <v>0</v>
      </c>
      <c r="H401" s="898">
        <f>+Model!AF440</f>
        <v>0</v>
      </c>
      <c r="I401" s="898">
        <f>+Model!AG440</f>
        <v>0</v>
      </c>
      <c r="J401" s="957">
        <f>+Model!AH440</f>
        <v>0</v>
      </c>
      <c r="K401" s="898">
        <f>+Model!AI440</f>
        <v>0</v>
      </c>
      <c r="L401" s="898">
        <f>+Model!AJ440</f>
        <v>0</v>
      </c>
      <c r="M401" s="898">
        <f>+Model!AK440</f>
        <v>0</v>
      </c>
      <c r="N401" s="957">
        <f>+Model!AL440</f>
        <v>0</v>
      </c>
      <c r="O401" s="898">
        <f>+Model!AM440</f>
        <v>0</v>
      </c>
      <c r="P401" s="898">
        <f>+Model!AN440</f>
        <v>0</v>
      </c>
      <c r="Q401" s="898">
        <f>+Model!AO440</f>
        <v>0</v>
      </c>
      <c r="R401" s="957">
        <f>+Model!AP440</f>
        <v>0</v>
      </c>
      <c r="S401" s="898">
        <f>+Model!AQ440</f>
        <v>0</v>
      </c>
      <c r="T401" s="898">
        <f>+Model!AR440</f>
        <v>0</v>
      </c>
      <c r="U401" s="898">
        <f>+Model!AS440</f>
        <v>0</v>
      </c>
      <c r="V401" s="957">
        <f>+Model!AT440</f>
        <v>0</v>
      </c>
      <c r="W401" s="898">
        <f>+Model!AU440</f>
        <v>0</v>
      </c>
      <c r="X401" s="877">
        <v>0</v>
      </c>
      <c r="Y401" s="877">
        <v>0</v>
      </c>
      <c r="Z401" s="877">
        <f t="shared" si="1279"/>
        <v>0</v>
      </c>
      <c r="AA401" s="1272">
        <v>0</v>
      </c>
      <c r="AB401" s="877"/>
      <c r="AC401" s="877"/>
      <c r="AD401" s="877"/>
      <c r="AE401" s="880"/>
      <c r="AF401" s="898">
        <f>+Model!AZ440</f>
        <v>-1.8280000000000001</v>
      </c>
      <c r="AG401" s="898">
        <f>+Model!BA440</f>
        <v>0.03</v>
      </c>
      <c r="AH401" s="898">
        <f>+Model!BB440</f>
        <v>-1.0369999999999999</v>
      </c>
      <c r="AI401" s="898">
        <f>+Model!BC440</f>
        <v>0.76400000000000001</v>
      </c>
      <c r="AJ401" s="898">
        <f>+Model!BD440</f>
        <v>-0.46600000000000003</v>
      </c>
      <c r="AK401" s="898">
        <f>+Model!BE440</f>
        <v>-0.21199999999999999</v>
      </c>
      <c r="AL401" s="898">
        <f>+Model!BF440</f>
        <v>-1.44</v>
      </c>
      <c r="AM401" s="898">
        <f>+Model!BG440</f>
        <v>-8.91</v>
      </c>
      <c r="AN401" s="898">
        <f>+Model!BH440</f>
        <v>10.02</v>
      </c>
      <c r="AO401" s="898">
        <f>+Model!BI440</f>
        <v>-24.69</v>
      </c>
      <c r="AP401" s="898">
        <f>+Model!BJ440</f>
        <v>0</v>
      </c>
      <c r="AQ401" s="898">
        <f>+Model!BK440</f>
        <v>0</v>
      </c>
      <c r="AR401" s="898">
        <f>+Model!BL440</f>
        <v>0</v>
      </c>
      <c r="AS401" s="898">
        <f>+Model!BM440</f>
        <v>0</v>
      </c>
      <c r="AT401" s="898">
        <f>+Model!BN440</f>
        <v>0</v>
      </c>
      <c r="AU401" s="971">
        <v>0</v>
      </c>
      <c r="AV401" s="895"/>
    </row>
    <row r="402" spans="1:48" s="879" customFormat="1" ht="14" x14ac:dyDescent="0.4">
      <c r="A402" s="876" t="s">
        <v>812</v>
      </c>
      <c r="C402" s="898">
        <f>+Model!AA441</f>
        <v>15.997999999999999</v>
      </c>
      <c r="D402" s="898">
        <f>+Model!AB441</f>
        <v>-19.425999999999998</v>
      </c>
      <c r="E402" s="898">
        <f>+Model!AC441</f>
        <v>0.29400000000000004</v>
      </c>
      <c r="F402" s="898">
        <f>+Model!AD441</f>
        <v>23.308</v>
      </c>
      <c r="G402" s="898">
        <f>+Model!AE441</f>
        <v>-2.3959999999999999</v>
      </c>
      <c r="H402" s="898">
        <f>+Model!AF441</f>
        <v>-11.745000000000001</v>
      </c>
      <c r="I402" s="898">
        <f>+Model!AG441</f>
        <v>-5.9249999999999989</v>
      </c>
      <c r="J402" s="957">
        <f>+Model!AH441</f>
        <v>13.852999999999998</v>
      </c>
      <c r="K402" s="898">
        <f>+Model!AI441</f>
        <v>30.893000000000001</v>
      </c>
      <c r="L402" s="898">
        <f>+Model!AJ441</f>
        <v>-38.094999999999999</v>
      </c>
      <c r="M402" s="898">
        <f>+Model!AK441</f>
        <v>6.2889999999999997</v>
      </c>
      <c r="N402" s="957">
        <f>+Model!AL441</f>
        <v>19.843</v>
      </c>
      <c r="O402" s="898">
        <f>+Model!AM441</f>
        <v>-1.256</v>
      </c>
      <c r="P402" s="898">
        <f>+Model!AN441</f>
        <v>-25.553999999999998</v>
      </c>
      <c r="Q402" s="898">
        <f>+Model!AO441</f>
        <v>4.8999999999999488E-2</v>
      </c>
      <c r="R402" s="957">
        <f>+Model!AP441</f>
        <v>26.771999999999998</v>
      </c>
      <c r="S402" s="898">
        <f>+Model!AQ441</f>
        <v>8.4250000000000007</v>
      </c>
      <c r="T402" s="898">
        <f>+Model!AR441</f>
        <v>-34.484000000000002</v>
      </c>
      <c r="U402" s="898">
        <f>+Model!AS441</f>
        <v>-4.1999999999998039E-2</v>
      </c>
      <c r="V402" s="957">
        <f>+Model!AT441</f>
        <v>14.101999999999999</v>
      </c>
      <c r="W402" s="898">
        <f>+Model!AU441</f>
        <v>28.747</v>
      </c>
      <c r="X402" s="877">
        <f>-15.994-W402</f>
        <v>-44.741</v>
      </c>
      <c r="Y402" s="877">
        <f>-11.585-X402-W402</f>
        <v>4.4089999999999989</v>
      </c>
      <c r="Z402" s="877">
        <f t="shared" si="1279"/>
        <v>4.7410000000000005</v>
      </c>
      <c r="AA402" s="1272">
        <v>10.792</v>
      </c>
      <c r="AB402" s="877"/>
      <c r="AC402" s="877"/>
      <c r="AD402" s="877"/>
      <c r="AE402" s="880"/>
      <c r="AF402" s="898">
        <f>+Model!AZ441</f>
        <v>-4.0220000000000002</v>
      </c>
      <c r="AG402" s="898">
        <f>+Model!BA441</f>
        <v>2.3260000000000001</v>
      </c>
      <c r="AH402" s="898">
        <f>+Model!BB441</f>
        <v>2.726</v>
      </c>
      <c r="AI402" s="898">
        <f>+Model!BC441</f>
        <v>2.794</v>
      </c>
      <c r="AJ402" s="898">
        <f>+Model!BD441</f>
        <v>-2.1150000000000002</v>
      </c>
      <c r="AK402" s="898">
        <f>+Model!BE441</f>
        <v>9.7780000000000005</v>
      </c>
      <c r="AL402" s="898">
        <f>+Model!BF441</f>
        <v>-1.1919999999999999</v>
      </c>
      <c r="AM402" s="898">
        <f>+Model!BG441</f>
        <v>-3.9</v>
      </c>
      <c r="AN402" s="898">
        <f>+Model!BH441</f>
        <v>5.3170000000000002</v>
      </c>
      <c r="AO402" s="898">
        <f>+Model!BI441</f>
        <v>-2.3359999999999999</v>
      </c>
      <c r="AP402" s="898">
        <f>+Model!BJ441</f>
        <v>20.173999999999999</v>
      </c>
      <c r="AQ402" s="898">
        <f>+Model!BK441</f>
        <v>-6.2130000000000001</v>
      </c>
      <c r="AR402" s="898">
        <f>+Model!BL441</f>
        <v>18.93</v>
      </c>
      <c r="AS402" s="898">
        <f>+Model!BM441</f>
        <v>1.0999999999999999E-2</v>
      </c>
      <c r="AT402" s="898">
        <f>+Model!BN441</f>
        <v>-11.999000000000001</v>
      </c>
      <c r="AU402" s="971">
        <v>-6.8440000000000003</v>
      </c>
      <c r="AV402" s="895"/>
    </row>
    <row r="403" spans="1:48" s="879" customFormat="1" ht="14" x14ac:dyDescent="0.4">
      <c r="A403" s="876" t="s">
        <v>849</v>
      </c>
      <c r="C403" s="898">
        <f>+Model!AA442</f>
        <v>-0.39800000000000002</v>
      </c>
      <c r="D403" s="898">
        <f>+Model!AB442</f>
        <v>1.167</v>
      </c>
      <c r="E403" s="898">
        <f>+Model!AC442</f>
        <v>4.4420000000000002</v>
      </c>
      <c r="F403" s="898">
        <f>+Model!AD442</f>
        <v>3.0839999999999996</v>
      </c>
      <c r="G403" s="898">
        <f>+Model!AE442</f>
        <v>-0.26600000000000001</v>
      </c>
      <c r="H403" s="898">
        <f>+Model!AF442</f>
        <v>0.95599999999999996</v>
      </c>
      <c r="I403" s="898">
        <f>+Model!AG442</f>
        <v>5.57</v>
      </c>
      <c r="J403" s="957">
        <f>+Model!AH442</f>
        <v>1.1640000000000006</v>
      </c>
      <c r="K403" s="898">
        <f>+Model!AI442</f>
        <v>-1.883</v>
      </c>
      <c r="L403" s="898">
        <f>+Model!AJ442</f>
        <v>6.2290000000000001</v>
      </c>
      <c r="M403" s="898">
        <f>+Model!AK442</f>
        <v>4.5039999999999996</v>
      </c>
      <c r="N403" s="957">
        <f>+Model!AL442</f>
        <v>7.0489999999999995</v>
      </c>
      <c r="O403" s="898">
        <f>+Model!AM442</f>
        <v>-2.464</v>
      </c>
      <c r="P403" s="898">
        <f>+Model!AN442</f>
        <v>-6.1059999999999999</v>
      </c>
      <c r="Q403" s="898">
        <f>+Model!AO442</f>
        <v>-6.0600000000000005</v>
      </c>
      <c r="R403" s="957">
        <f>+Model!AP442</f>
        <v>22.228000000000002</v>
      </c>
      <c r="S403" s="898">
        <f>+Model!AQ442</f>
        <v>-9.9710000000000001</v>
      </c>
      <c r="T403" s="898">
        <f>+Model!AR442</f>
        <v>-0.70999999999999908</v>
      </c>
      <c r="U403" s="898">
        <f>+Model!AS442</f>
        <v>4.2259999999999991</v>
      </c>
      <c r="V403" s="957">
        <f>+Model!AT442</f>
        <v>30.587000000000003</v>
      </c>
      <c r="W403" s="898">
        <f>+Model!AU442</f>
        <v>-26.895</v>
      </c>
      <c r="X403" s="877">
        <f>-20.987-W403</f>
        <v>5.9080000000000013</v>
      </c>
      <c r="Y403" s="877">
        <f>-9.875-X403-W403</f>
        <v>11.111999999999998</v>
      </c>
      <c r="Z403" s="877">
        <f t="shared" si="1279"/>
        <v>-6.6810000000000009</v>
      </c>
      <c r="AA403" s="1272">
        <v>-6.1420000000000003</v>
      </c>
      <c r="AB403" s="877"/>
      <c r="AC403" s="877"/>
      <c r="AD403" s="877"/>
      <c r="AE403" s="880"/>
      <c r="AF403" s="898">
        <f>+Model!AZ442</f>
        <v>3.145</v>
      </c>
      <c r="AG403" s="898">
        <f>+Model!BA442</f>
        <v>1.012</v>
      </c>
      <c r="AH403" s="898">
        <f>+Model!BB442</f>
        <v>0.61499999999999999</v>
      </c>
      <c r="AI403" s="898">
        <f>+Model!BC442</f>
        <v>-0.29199999999999998</v>
      </c>
      <c r="AJ403" s="898">
        <f>+Model!BD442</f>
        <v>3.226</v>
      </c>
      <c r="AK403" s="898">
        <f>+Model!BE442</f>
        <v>5.4740000000000002</v>
      </c>
      <c r="AL403" s="898">
        <f>+Model!BF442</f>
        <v>-7.8540000000000001</v>
      </c>
      <c r="AM403" s="898">
        <f>+Model!BG442</f>
        <v>15.497</v>
      </c>
      <c r="AN403" s="898">
        <f>+Model!BH442</f>
        <v>-4.9630000000000001</v>
      </c>
      <c r="AO403" s="898">
        <f>+Model!BI442</f>
        <v>-8.0920000000000005</v>
      </c>
      <c r="AP403" s="898">
        <f>+Model!BJ442</f>
        <v>8.2949999999999999</v>
      </c>
      <c r="AQ403" s="898">
        <f>+Model!BK442</f>
        <v>7.4240000000000004</v>
      </c>
      <c r="AR403" s="898">
        <f>+Model!BL442</f>
        <v>15.898999999999999</v>
      </c>
      <c r="AS403" s="898">
        <f>+Model!BM442</f>
        <v>7.5979999999999999</v>
      </c>
      <c r="AT403" s="898">
        <f>+Model!BN442</f>
        <v>24.132000000000001</v>
      </c>
      <c r="AU403" s="971">
        <v>-16.556000000000001</v>
      </c>
      <c r="AV403" s="895"/>
    </row>
    <row r="404" spans="1:48" s="879" customFormat="1" ht="14" x14ac:dyDescent="0.4">
      <c r="A404" s="876" t="s">
        <v>814</v>
      </c>
      <c r="C404" s="898">
        <f>+Model!AA443</f>
        <v>-17.321000000000002</v>
      </c>
      <c r="D404" s="898">
        <f>+Model!AB443</f>
        <v>9.3910000000000018</v>
      </c>
      <c r="E404" s="898">
        <f>+Model!AC443</f>
        <v>2.4289999999999994</v>
      </c>
      <c r="F404" s="898">
        <f>+Model!AD443</f>
        <v>11.449000000000002</v>
      </c>
      <c r="G404" s="898">
        <f>+Model!AE443</f>
        <v>-23.038</v>
      </c>
      <c r="H404" s="898">
        <f>+Model!AF443</f>
        <v>9.0950000000000006</v>
      </c>
      <c r="I404" s="898">
        <f>+Model!AG443</f>
        <v>-1.5999999999999996</v>
      </c>
      <c r="J404" s="957">
        <f>+Model!AH443</f>
        <v>18.646000000000001</v>
      </c>
      <c r="K404" s="898">
        <f>+Model!AI443</f>
        <v>-19.629000000000001</v>
      </c>
      <c r="L404" s="898">
        <f>+Model!AJ443</f>
        <v>14.228000000000002</v>
      </c>
      <c r="M404" s="898">
        <f>+Model!AK443</f>
        <v>20.314</v>
      </c>
      <c r="N404" s="957">
        <f>+Model!AL443</f>
        <v>17.523999999999997</v>
      </c>
      <c r="O404" s="898">
        <f>+Model!AM443</f>
        <v>-44.395000000000003</v>
      </c>
      <c r="P404" s="898">
        <f>+Model!AN443</f>
        <v>5.2380000000000067</v>
      </c>
      <c r="Q404" s="898">
        <f>+Model!AO443</f>
        <v>18.504999999999995</v>
      </c>
      <c r="R404" s="957">
        <f>+Model!AP443</f>
        <v>13.187000000000001</v>
      </c>
      <c r="S404" s="898">
        <f>+Model!AQ443</f>
        <v>-32.805</v>
      </c>
      <c r="T404" s="898">
        <f>+Model!AR443</f>
        <v>-6.0009999999999977</v>
      </c>
      <c r="U404" s="898">
        <f>+Model!AS443</f>
        <v>19.675999999999998</v>
      </c>
      <c r="V404" s="957">
        <f>+Model!AT443</f>
        <v>3.6569999999999983</v>
      </c>
      <c r="W404" s="898">
        <f>+Model!AU443</f>
        <v>-17.402000000000001</v>
      </c>
      <c r="X404" s="877">
        <f>-14.34-W404</f>
        <v>3.0620000000000012</v>
      </c>
      <c r="Y404" s="877">
        <f>4.834-X404-W404</f>
        <v>19.173999999999999</v>
      </c>
      <c r="Z404" s="877">
        <f t="shared" si="1279"/>
        <v>2.5600000000000005</v>
      </c>
      <c r="AA404" s="1272">
        <v>-24.341000000000001</v>
      </c>
      <c r="AB404" s="877"/>
      <c r="AC404" s="877"/>
      <c r="AD404" s="877"/>
      <c r="AE404" s="880"/>
      <c r="AF404" s="898">
        <f>+Model!AZ443</f>
        <v>-1.758</v>
      </c>
      <c r="AG404" s="898">
        <f>+Model!BA443</f>
        <v>2.2709999999999999</v>
      </c>
      <c r="AH404" s="898">
        <f>+Model!BB443</f>
        <v>1.976</v>
      </c>
      <c r="AI404" s="898">
        <f>+Model!BC443</f>
        <v>4.2750000000000004</v>
      </c>
      <c r="AJ404" s="898">
        <f>+Model!BD443</f>
        <v>4.6159999999999997</v>
      </c>
      <c r="AK404" s="898">
        <f>+Model!BE443</f>
        <v>-4.2140000000000004</v>
      </c>
      <c r="AL404" s="898">
        <f>+Model!BF443</f>
        <v>9.3889999999999993</v>
      </c>
      <c r="AM404" s="898">
        <f>+Model!BG443</f>
        <v>4.2549999999999999</v>
      </c>
      <c r="AN404" s="898">
        <f>+Model!BH443</f>
        <v>-1.6739999999999999</v>
      </c>
      <c r="AO404" s="898">
        <f>+Model!BI443</f>
        <v>6.6719999999999997</v>
      </c>
      <c r="AP404" s="898">
        <f>+Model!BJ443</f>
        <v>5.9480000000000004</v>
      </c>
      <c r="AQ404" s="898">
        <f>+Model!BK443</f>
        <v>3.1030000000000002</v>
      </c>
      <c r="AR404" s="898">
        <f>+Model!BL443</f>
        <v>32.436999999999998</v>
      </c>
      <c r="AS404" s="898">
        <f>+Model!BM443</f>
        <v>-7.4649999999999999</v>
      </c>
      <c r="AT404" s="898">
        <f>+Model!BN443</f>
        <v>-15.473000000000001</v>
      </c>
      <c r="AU404" s="971">
        <v>7.3940000000000001</v>
      </c>
      <c r="AV404" s="895"/>
    </row>
    <row r="405" spans="1:48" s="879" customFormat="1" ht="14" x14ac:dyDescent="0.4">
      <c r="A405" s="876" t="s">
        <v>401</v>
      </c>
      <c r="C405" s="898">
        <f>+Model!AA444</f>
        <v>0</v>
      </c>
      <c r="D405" s="898">
        <f>+Model!AB444</f>
        <v>0</v>
      </c>
      <c r="E405" s="898">
        <f>+Model!AC444</f>
        <v>0</v>
      </c>
      <c r="F405" s="898">
        <f>+Model!AD444</f>
        <v>0</v>
      </c>
      <c r="G405" s="898">
        <f>+Model!AE444</f>
        <v>-2.073</v>
      </c>
      <c r="H405" s="898">
        <f>+Model!AF444</f>
        <v>-2.0160000000000005</v>
      </c>
      <c r="I405" s="898">
        <f>+Model!AG444</f>
        <v>-4.0619999999999994</v>
      </c>
      <c r="J405" s="957">
        <f>+Model!AH444</f>
        <v>-4.9730000000000008</v>
      </c>
      <c r="K405" s="898">
        <f>+Model!AI444</f>
        <v>-5.165</v>
      </c>
      <c r="L405" s="898">
        <f>+Model!AJ444</f>
        <v>-5.1990000000000007</v>
      </c>
      <c r="M405" s="898">
        <f>+Model!AK444</f>
        <v>-5.2859999999999996</v>
      </c>
      <c r="N405" s="957">
        <f>+Model!AL444</f>
        <v>-5.3749999999999982</v>
      </c>
      <c r="O405" s="898">
        <f>+Model!AM444</f>
        <v>-5.3209999999999997</v>
      </c>
      <c r="P405" s="898">
        <f>+Model!AN444</f>
        <v>-5.3410000000000011</v>
      </c>
      <c r="Q405" s="898">
        <f>+Model!AO444</f>
        <v>-5.2369999999999983</v>
      </c>
      <c r="R405" s="957">
        <f>+Model!AP444</f>
        <v>-4.8430000000000017</v>
      </c>
      <c r="S405" s="898">
        <f>+Model!AQ444</f>
        <v>-2.605</v>
      </c>
      <c r="T405" s="898">
        <f>+Model!AR444</f>
        <v>-3.3610000000000002</v>
      </c>
      <c r="U405" s="898">
        <f>+Model!AS444</f>
        <v>-2.6360000000000001</v>
      </c>
      <c r="V405" s="957">
        <f>+Model!AT444</f>
        <v>-3.641</v>
      </c>
      <c r="W405" s="898">
        <f>+Model!AU444</f>
        <v>-3.6190000000000002</v>
      </c>
      <c r="X405" s="877">
        <f>-8.587-W405</f>
        <v>-4.968</v>
      </c>
      <c r="Y405" s="877">
        <f>-11.695-X405-W405</f>
        <v>-3.1080000000000001</v>
      </c>
      <c r="Z405" s="877">
        <f t="shared" si="1279"/>
        <v>-3.2949999999999999</v>
      </c>
      <c r="AA405" s="1272">
        <v>-3.2589999999999999</v>
      </c>
      <c r="AB405" s="877"/>
      <c r="AC405" s="877"/>
      <c r="AD405" s="877"/>
      <c r="AE405" s="880"/>
      <c r="AF405" s="898">
        <f>+Model!AZ444</f>
        <v>0</v>
      </c>
      <c r="AG405" s="898">
        <f>+Model!BA444</f>
        <v>0</v>
      </c>
      <c r="AH405" s="898">
        <f>+Model!BB444</f>
        <v>0</v>
      </c>
      <c r="AI405" s="898">
        <f>+Model!BC444</f>
        <v>0</v>
      </c>
      <c r="AJ405" s="898">
        <f>+Model!BD444</f>
        <v>0</v>
      </c>
      <c r="AK405" s="898">
        <f>+Model!BE444</f>
        <v>0</v>
      </c>
      <c r="AL405" s="898">
        <f>+Model!BF444</f>
        <v>0</v>
      </c>
      <c r="AM405" s="898">
        <f>+Model!BG444</f>
        <v>0</v>
      </c>
      <c r="AN405" s="898">
        <f>+Model!BH444</f>
        <v>0</v>
      </c>
      <c r="AO405" s="898">
        <f>+Model!BI444</f>
        <v>0</v>
      </c>
      <c r="AP405" s="898">
        <f>+Model!BJ444</f>
        <v>0</v>
      </c>
      <c r="AQ405" s="898">
        <f>+Model!BK444</f>
        <v>-13.124000000000001</v>
      </c>
      <c r="AR405" s="898">
        <f>+Model!BL444</f>
        <v>-21.024999999999999</v>
      </c>
      <c r="AS405" s="898">
        <f>+Model!BM444</f>
        <v>-20.742000000000001</v>
      </c>
      <c r="AT405" s="898">
        <f>+Model!BN444</f>
        <v>-12.243</v>
      </c>
      <c r="AU405" s="971">
        <v>-14.99</v>
      </c>
      <c r="AV405" s="895"/>
    </row>
    <row r="406" spans="1:48" s="879" customFormat="1" ht="14" x14ac:dyDescent="0.4">
      <c r="A406" s="876" t="s">
        <v>850</v>
      </c>
      <c r="C406" s="898">
        <f>+Model!AA445</f>
        <v>27.491</v>
      </c>
      <c r="D406" s="898">
        <f>+Model!AB445</f>
        <v>-2.695999999999998</v>
      </c>
      <c r="E406" s="898">
        <f>+Model!AC445</f>
        <v>-0.28500000000000014</v>
      </c>
      <c r="F406" s="898">
        <f>+Model!AD445</f>
        <v>-31.651000000000003</v>
      </c>
      <c r="G406" s="898">
        <f>+Model!AE445</f>
        <v>5.0910000000000002</v>
      </c>
      <c r="H406" s="898">
        <f>+Model!AF445</f>
        <v>-1.8360000000000003</v>
      </c>
      <c r="I406" s="898">
        <f>+Model!AG445</f>
        <v>10.356000000000002</v>
      </c>
      <c r="J406" s="957">
        <f>+Model!AH445</f>
        <v>-11.794</v>
      </c>
      <c r="K406" s="898">
        <f>+Model!AI445</f>
        <v>37.392000000000003</v>
      </c>
      <c r="L406" s="898">
        <f>+Model!AJ445</f>
        <v>3.1999999999999957</v>
      </c>
      <c r="M406" s="898">
        <f>+Model!AK445</f>
        <v>-9.1119999999999983</v>
      </c>
      <c r="N406" s="957">
        <f>+Model!AL445</f>
        <v>-13.257999999999999</v>
      </c>
      <c r="O406" s="898">
        <f>+Model!AM445</f>
        <v>29.009</v>
      </c>
      <c r="P406" s="898">
        <f>+Model!AN445</f>
        <v>-23.323</v>
      </c>
      <c r="Q406" s="898">
        <f>+Model!AO445</f>
        <v>0.23599999999999977</v>
      </c>
      <c r="R406" s="957">
        <f>+Model!AP445</f>
        <v>2.4539999999999997</v>
      </c>
      <c r="S406" s="898">
        <f>+Model!AQ445</f>
        <v>26.853000000000002</v>
      </c>
      <c r="T406" s="898">
        <f>+Model!AR445</f>
        <v>3.009999999999998</v>
      </c>
      <c r="U406" s="898">
        <f>+Model!AS445</f>
        <v>10.067999999999998</v>
      </c>
      <c r="V406" s="957">
        <f>+Model!AT445</f>
        <v>-17.589999999999996</v>
      </c>
      <c r="W406" s="898">
        <f>+Model!AU445</f>
        <v>9.1959999999999997</v>
      </c>
      <c r="X406" s="877">
        <f>-9.849-W406</f>
        <v>-19.045000000000002</v>
      </c>
      <c r="Y406" s="877">
        <f>-1.315-X406-W406</f>
        <v>8.5340000000000007</v>
      </c>
      <c r="Z406" s="877">
        <f t="shared" si="1279"/>
        <v>-35.756</v>
      </c>
      <c r="AA406" s="1272">
        <v>-1.012</v>
      </c>
      <c r="AB406" s="877"/>
      <c r="AC406" s="877"/>
      <c r="AD406" s="877"/>
      <c r="AE406" s="880"/>
      <c r="AF406" s="898">
        <f>+Model!AZ445</f>
        <v>0.27500000000000002</v>
      </c>
      <c r="AG406" s="898">
        <f>+Model!BA445</f>
        <v>6.2030000000000003</v>
      </c>
      <c r="AH406" s="898">
        <f>+Model!BB445</f>
        <v>6.76</v>
      </c>
      <c r="AI406" s="898">
        <f>+Model!BC445</f>
        <v>3.351</v>
      </c>
      <c r="AJ406" s="898">
        <f>+Model!BD445</f>
        <v>3.1190000000000002</v>
      </c>
      <c r="AK406" s="898">
        <f>+Model!BE445</f>
        <v>-1.429</v>
      </c>
      <c r="AL406" s="898">
        <f>+Model!BF445</f>
        <v>0.621</v>
      </c>
      <c r="AM406" s="898">
        <f>+Model!BG445</f>
        <v>0.63600000000000001</v>
      </c>
      <c r="AN406" s="898">
        <f>+Model!BH445</f>
        <v>-1.135</v>
      </c>
      <c r="AO406" s="898">
        <f>+Model!BI445</f>
        <v>-2.077</v>
      </c>
      <c r="AP406" s="898">
        <f>+Model!BJ445</f>
        <v>-7.141</v>
      </c>
      <c r="AQ406" s="898">
        <f>+Model!BK445</f>
        <v>1.8169999999999999</v>
      </c>
      <c r="AR406" s="898">
        <f>+Model!BL445</f>
        <v>18.222000000000001</v>
      </c>
      <c r="AS406" s="898">
        <f>+Model!BM445</f>
        <v>8.3759999999999994</v>
      </c>
      <c r="AT406" s="898">
        <f>+Model!BN445</f>
        <v>22.341000000000001</v>
      </c>
      <c r="AU406" s="971">
        <v>-37.070999999999998</v>
      </c>
      <c r="AV406" s="895"/>
    </row>
    <row r="407" spans="1:48" s="879" customFormat="1" ht="14" x14ac:dyDescent="0.4">
      <c r="A407" s="876" t="s">
        <v>135</v>
      </c>
      <c r="C407" s="898">
        <f>+Model!AA446</f>
        <v>0</v>
      </c>
      <c r="D407" s="898">
        <f>+Model!AB446</f>
        <v>0</v>
      </c>
      <c r="E407" s="898">
        <f>+Model!AC446</f>
        <v>0</v>
      </c>
      <c r="F407" s="898">
        <f>+Model!AD446</f>
        <v>0</v>
      </c>
      <c r="G407" s="898">
        <f>+Model!AE446</f>
        <v>0</v>
      </c>
      <c r="H407" s="898">
        <f>+Model!AF446</f>
        <v>0</v>
      </c>
      <c r="I407" s="898">
        <f>+Model!AG446</f>
        <v>0</v>
      </c>
      <c r="J407" s="957">
        <f>+Model!AH446</f>
        <v>0</v>
      </c>
      <c r="K407" s="898">
        <f>+Model!AI446</f>
        <v>0</v>
      </c>
      <c r="L407" s="898">
        <f>+Model!AJ446</f>
        <v>0</v>
      </c>
      <c r="M407" s="898">
        <f>+Model!AK446</f>
        <v>0</v>
      </c>
      <c r="N407" s="957">
        <f>+Model!AL446</f>
        <v>0</v>
      </c>
      <c r="O407" s="898">
        <f>+Model!AM446</f>
        <v>0</v>
      </c>
      <c r="P407" s="898">
        <f>+Model!AN446</f>
        <v>0</v>
      </c>
      <c r="Q407" s="898">
        <f>+Model!AO446</f>
        <v>0</v>
      </c>
      <c r="R407" s="957">
        <f>+Model!AP446</f>
        <v>0</v>
      </c>
      <c r="S407" s="898">
        <f>+Model!AQ446</f>
        <v>0</v>
      </c>
      <c r="T407" s="898">
        <f>+Model!AR446</f>
        <v>0</v>
      </c>
      <c r="U407" s="898">
        <f>+Model!AS446</f>
        <v>0</v>
      </c>
      <c r="V407" s="957">
        <f>+Model!AT446</f>
        <v>0</v>
      </c>
      <c r="W407" s="898">
        <f>+Model!AU446</f>
        <v>0</v>
      </c>
      <c r="X407" s="877">
        <v>0</v>
      </c>
      <c r="Y407" s="877">
        <v>0</v>
      </c>
      <c r="Z407" s="877">
        <f t="shared" si="1279"/>
        <v>0</v>
      </c>
      <c r="AA407" s="1272">
        <v>0</v>
      </c>
      <c r="AB407" s="877"/>
      <c r="AC407" s="877"/>
      <c r="AD407" s="877"/>
      <c r="AE407" s="880"/>
      <c r="AF407" s="898">
        <f>+Model!AZ446</f>
        <v>-2.5</v>
      </c>
      <c r="AG407" s="898">
        <f>+Model!BA446</f>
        <v>-0.84299999999999997</v>
      </c>
      <c r="AH407" s="898">
        <f>+Model!BB446</f>
        <v>1.8420000000000001</v>
      </c>
      <c r="AI407" s="898">
        <f>+Model!BC446</f>
        <v>0</v>
      </c>
      <c r="AJ407" s="898">
        <f>+Model!BD446</f>
        <v>1.5009999999999999</v>
      </c>
      <c r="AK407" s="898">
        <f>+Model!BE446</f>
        <v>0</v>
      </c>
      <c r="AL407" s="898">
        <f>+Model!BF446</f>
        <v>0</v>
      </c>
      <c r="AM407" s="898">
        <f>+Model!BG446</f>
        <v>0</v>
      </c>
      <c r="AN407" s="898">
        <f>+Model!BH446</f>
        <v>0</v>
      </c>
      <c r="AO407" s="898">
        <f>+Model!BI446</f>
        <v>0</v>
      </c>
      <c r="AP407" s="898">
        <f>+Model!BJ446</f>
        <v>0</v>
      </c>
      <c r="AQ407" s="898">
        <f>+Model!BK446</f>
        <v>0</v>
      </c>
      <c r="AR407" s="898">
        <f>+Model!BL446</f>
        <v>0</v>
      </c>
      <c r="AS407" s="898">
        <f>+Model!BM446</f>
        <v>0</v>
      </c>
      <c r="AT407" s="898">
        <f>+Model!BN446</f>
        <v>0</v>
      </c>
      <c r="AU407" s="971">
        <v>0</v>
      </c>
      <c r="AV407" s="895"/>
    </row>
    <row r="408" spans="1:48" s="879" customFormat="1" ht="14" x14ac:dyDescent="0.4">
      <c r="A408" s="876" t="s">
        <v>136</v>
      </c>
      <c r="C408" s="905">
        <f>+Model!AA447</f>
        <v>0</v>
      </c>
      <c r="D408" s="905">
        <f>+Model!AB447</f>
        <v>0</v>
      </c>
      <c r="E408" s="905">
        <f>+Model!AC447</f>
        <v>0</v>
      </c>
      <c r="F408" s="905">
        <f>+Model!AD447</f>
        <v>0</v>
      </c>
      <c r="G408" s="905">
        <f>+Model!AE447</f>
        <v>0</v>
      </c>
      <c r="H408" s="905">
        <f>+Model!AF447</f>
        <v>0</v>
      </c>
      <c r="I408" s="905">
        <f>+Model!AG447</f>
        <v>0</v>
      </c>
      <c r="J408" s="958">
        <f>+Model!AH447</f>
        <v>0</v>
      </c>
      <c r="K408" s="905">
        <f>+Model!AI447</f>
        <v>0</v>
      </c>
      <c r="L408" s="905">
        <f>+Model!AJ447</f>
        <v>0</v>
      </c>
      <c r="M408" s="905">
        <f>+Model!AK447</f>
        <v>0</v>
      </c>
      <c r="N408" s="958">
        <f>+Model!AL447</f>
        <v>0</v>
      </c>
      <c r="O408" s="905">
        <f>+Model!AM447</f>
        <v>0</v>
      </c>
      <c r="P408" s="905">
        <f>+Model!AN447</f>
        <v>0</v>
      </c>
      <c r="Q408" s="905">
        <f>+Model!AO447</f>
        <v>0</v>
      </c>
      <c r="R408" s="958">
        <f>+Model!AP447</f>
        <v>0</v>
      </c>
      <c r="S408" s="905">
        <f>+Model!AQ447</f>
        <v>0</v>
      </c>
      <c r="T408" s="905">
        <f>+Model!AR447</f>
        <v>0</v>
      </c>
      <c r="U408" s="905">
        <f>+Model!AS447</f>
        <v>0</v>
      </c>
      <c r="V408" s="958">
        <f>+Model!AT447</f>
        <v>0</v>
      </c>
      <c r="W408" s="905">
        <f>+Model!AU447</f>
        <v>0</v>
      </c>
      <c r="X408" s="880">
        <v>0</v>
      </c>
      <c r="Y408" s="880">
        <v>0</v>
      </c>
      <c r="Z408" s="880">
        <f t="shared" si="1279"/>
        <v>0</v>
      </c>
      <c r="AA408" s="1273">
        <v>0</v>
      </c>
      <c r="AB408" s="880"/>
      <c r="AC408" s="880"/>
      <c r="AD408" s="880"/>
      <c r="AE408" s="880"/>
      <c r="AF408" s="905">
        <f>+Model!AZ447</f>
        <v>5.8999999999999997E-2</v>
      </c>
      <c r="AG408" s="905">
        <f>+Model!BA447</f>
        <v>0.51900000000000002</v>
      </c>
      <c r="AH408" s="905">
        <f>+Model!BB447</f>
        <v>3.3839999999999999</v>
      </c>
      <c r="AI408" s="905">
        <f>+Model!BC447</f>
        <v>0.84299999999999997</v>
      </c>
      <c r="AJ408" s="905">
        <f>+Model!BD447</f>
        <v>2.0590000000000002</v>
      </c>
      <c r="AK408" s="905">
        <f>+Model!BE447</f>
        <v>-0.20899999999999999</v>
      </c>
      <c r="AL408" s="905">
        <f>+Model!BF447</f>
        <v>1.5620000000000001</v>
      </c>
      <c r="AM408" s="905">
        <f>+Model!BG447</f>
        <v>-2.4369999999999998</v>
      </c>
      <c r="AN408" s="905">
        <f>+Model!BH447</f>
        <v>-0.56699999999999995</v>
      </c>
      <c r="AO408" s="905">
        <f>+Model!BI447</f>
        <v>-2.4289999999999998</v>
      </c>
      <c r="AP408" s="905">
        <f>+Model!BJ447</f>
        <v>0</v>
      </c>
      <c r="AQ408" s="905">
        <f>+Model!BK447</f>
        <v>0</v>
      </c>
      <c r="AR408" s="905">
        <f>+Model!BL447</f>
        <v>0</v>
      </c>
      <c r="AS408" s="905">
        <f>+Model!BM447</f>
        <v>0</v>
      </c>
      <c r="AT408" s="905">
        <f>+Model!BN447</f>
        <v>0</v>
      </c>
      <c r="AU408" s="972">
        <v>0</v>
      </c>
      <c r="AV408" s="895"/>
    </row>
    <row r="409" spans="1:48" s="929" customFormat="1" ht="13" x14ac:dyDescent="0.3">
      <c r="A409" s="912" t="s">
        <v>851</v>
      </c>
      <c r="C409" s="948">
        <f t="shared" ref="C409" si="1280">+SUM(C397:C408,C382:C395,C380)</f>
        <v>-49.091999999999999</v>
      </c>
      <c r="D409" s="948">
        <f t="shared" ref="D409" si="1281">+SUM(D397:D408,D382:D395,D380)</f>
        <v>73.977000000000004</v>
      </c>
      <c r="E409" s="948">
        <f t="shared" ref="E409" si="1282">+SUM(E397:E408,E382:E395,E380)</f>
        <v>48.411000000000001</v>
      </c>
      <c r="F409" s="948">
        <f t="shared" ref="F409" si="1283">+SUM(F397:F408,F382:F395,F380)</f>
        <v>68.31</v>
      </c>
      <c r="G409" s="948">
        <f t="shared" ref="G409" si="1284">+SUM(G397:G408,G382:G395,G380)</f>
        <v>-86.813999999999993</v>
      </c>
      <c r="H409" s="948">
        <f t="shared" ref="H409" si="1285">+SUM(H397:H408,H382:H395,H380)</f>
        <v>65.549000000000007</v>
      </c>
      <c r="I409" s="948">
        <f t="shared" ref="I409" si="1286">+SUM(I397:I408,I382:I395,I380)</f>
        <v>24.290000000000006</v>
      </c>
      <c r="J409" s="959">
        <f t="shared" ref="J409" si="1287">+SUM(J397:J408,J382:J395,J380)</f>
        <v>77.39</v>
      </c>
      <c r="K409" s="948">
        <f t="shared" ref="K409" si="1288">+SUM(K397:K408,K382:K395,K380)</f>
        <v>-114.53300000000002</v>
      </c>
      <c r="L409" s="948">
        <f t="shared" ref="L409" si="1289">+SUM(L397:L408,L382:L395,L380)</f>
        <v>34.575999999999993</v>
      </c>
      <c r="M409" s="948">
        <f t="shared" ref="M409" si="1290">+SUM(M397:M408,M382:M395,M380)</f>
        <v>91.079000000000022</v>
      </c>
      <c r="N409" s="959">
        <f t="shared" ref="N409" si="1291">+SUM(N397:N408,N382:N395,N380)</f>
        <v>123.02799999999999</v>
      </c>
      <c r="O409" s="948">
        <f t="shared" ref="O409" si="1292">+SUM(O397:O408,O382:O395,O380)</f>
        <v>-131.51000000000002</v>
      </c>
      <c r="P409" s="948">
        <f t="shared" ref="P409" si="1293">+SUM(P397:P408,P382:P395,P380)</f>
        <v>119.84200000000001</v>
      </c>
      <c r="Q409" s="948">
        <f t="shared" ref="Q409" si="1294">+SUM(Q397:Q408,Q382:Q395,Q380)</f>
        <v>93.070999999999984</v>
      </c>
      <c r="R409" s="959">
        <f t="shared" ref="R409" si="1295">+SUM(R397:R408,R382:R395,R380)</f>
        <v>125.48099999999999</v>
      </c>
      <c r="S409" s="948">
        <f t="shared" ref="S409" si="1296">+SUM(S397:S408,S382:S395,S380)</f>
        <v>-143.14600000000002</v>
      </c>
      <c r="T409" s="948">
        <f t="shared" ref="T409" si="1297">+SUM(T397:T408,T382:T395,T380)</f>
        <v>164.32800000000003</v>
      </c>
      <c r="U409" s="948">
        <f t="shared" ref="U409" si="1298">+SUM(U397:U408,U382:U395,U380)</f>
        <v>85.038000000000011</v>
      </c>
      <c r="V409" s="959">
        <f t="shared" ref="V409" si="1299">+SUM(V397:V408,V382:V395,V380)</f>
        <v>96.93</v>
      </c>
      <c r="W409" s="948">
        <f t="shared" ref="W409:AA409" si="1300">+SUM(W397:W408,W382:W395,W380)</f>
        <v>-135.30500000000006</v>
      </c>
      <c r="X409" s="947">
        <f t="shared" si="1300"/>
        <v>173.334</v>
      </c>
      <c r="Y409" s="947">
        <f t="shared" si="1300"/>
        <v>68.566000000000003</v>
      </c>
      <c r="Z409" s="947">
        <f t="shared" si="1300"/>
        <v>172.202</v>
      </c>
      <c r="AA409" s="1288">
        <f t="shared" si="1300"/>
        <v>-142.00399999999999</v>
      </c>
      <c r="AB409" s="947"/>
      <c r="AC409" s="947"/>
      <c r="AD409" s="947"/>
      <c r="AE409" s="947"/>
      <c r="AF409" s="948">
        <f t="shared" ref="AF409:AS409" si="1301">+SUM(AF397:AF408,AF382:AF395,AF380)</f>
        <v>-9.3550000000000111</v>
      </c>
      <c r="AG409" s="948">
        <f t="shared" si="1301"/>
        <v>54.680000000000007</v>
      </c>
      <c r="AH409" s="948">
        <f t="shared" si="1301"/>
        <v>67.212999999999994</v>
      </c>
      <c r="AI409" s="948">
        <f t="shared" si="1301"/>
        <v>32.991</v>
      </c>
      <c r="AJ409" s="948">
        <f t="shared" si="1301"/>
        <v>95.292999999999978</v>
      </c>
      <c r="AK409" s="948">
        <f t="shared" si="1301"/>
        <v>122.87300000000002</v>
      </c>
      <c r="AL409" s="948">
        <f t="shared" si="1301"/>
        <v>120.08500000000001</v>
      </c>
      <c r="AM409" s="948">
        <f t="shared" si="1301"/>
        <v>121.77799999999999</v>
      </c>
      <c r="AN409" s="948">
        <f t="shared" si="1301"/>
        <v>88.727999999999994</v>
      </c>
      <c r="AO409" s="948">
        <f t="shared" si="1301"/>
        <v>103.62700000000001</v>
      </c>
      <c r="AP409" s="948">
        <f t="shared" si="1301"/>
        <v>141.60599999999999</v>
      </c>
      <c r="AQ409" s="948">
        <f t="shared" si="1301"/>
        <v>80.414999999999992</v>
      </c>
      <c r="AR409" s="948">
        <f t="shared" si="1301"/>
        <v>134.14999999999998</v>
      </c>
      <c r="AS409" s="948">
        <f t="shared" si="1301"/>
        <v>206.88399999999999</v>
      </c>
      <c r="AT409" s="948">
        <f>+SUM(AT397:AT408,AT382:AT395,AT380)</f>
        <v>203.15000000000003</v>
      </c>
      <c r="AU409" s="973">
        <f>+SUM(AU397:AU408,AU382:AU395,AU380)</f>
        <v>278.79700000000003</v>
      </c>
      <c r="AV409" s="949"/>
    </row>
    <row r="410" spans="1:48" x14ac:dyDescent="0.25">
      <c r="A410" s="936"/>
      <c r="J410" s="953"/>
      <c r="N410" s="953"/>
      <c r="R410" s="953"/>
      <c r="V410" s="953"/>
      <c r="AA410" s="1271"/>
      <c r="AU410" s="967"/>
    </row>
    <row r="411" spans="1:48" ht="13" x14ac:dyDescent="0.3">
      <c r="A411" s="946" t="s">
        <v>853</v>
      </c>
      <c r="J411" s="953"/>
      <c r="N411" s="953"/>
      <c r="R411" s="953"/>
      <c r="V411" s="953"/>
      <c r="AA411" s="1271"/>
      <c r="AU411" s="967"/>
    </row>
    <row r="412" spans="1:48" s="879" customFormat="1" ht="14" x14ac:dyDescent="0.4">
      <c r="A412" s="876" t="s">
        <v>854</v>
      </c>
      <c r="C412" s="898">
        <f>+Model!AA452</f>
        <v>-1.738</v>
      </c>
      <c r="D412" s="898">
        <f>+Model!AB452</f>
        <v>-0.17599999999999993</v>
      </c>
      <c r="E412" s="898">
        <f>+Model!AC452</f>
        <v>-0.48299999999999987</v>
      </c>
      <c r="F412" s="898">
        <f>+Model!AD452</f>
        <v>-3.0800000000000005</v>
      </c>
      <c r="G412" s="898">
        <f>+Model!AE452</f>
        <v>-1.246</v>
      </c>
      <c r="H412" s="898">
        <f>+Model!AF452</f>
        <v>-9.2000000000000082E-2</v>
      </c>
      <c r="I412" s="898">
        <f>+Model!AG452</f>
        <v>-0.15500000000000003</v>
      </c>
      <c r="J412" s="957">
        <f>+Model!AH452</f>
        <v>-0.18399999999999994</v>
      </c>
      <c r="K412" s="898">
        <f>+Model!AI452</f>
        <v>-1.1060000000000001</v>
      </c>
      <c r="L412" s="898">
        <f>+Model!AJ452</f>
        <v>-0.86299999999999999</v>
      </c>
      <c r="M412" s="898">
        <f>+Model!AK452</f>
        <v>-0.998</v>
      </c>
      <c r="N412" s="957">
        <f>+Model!AL452</f>
        <v>-0.60000000000000009</v>
      </c>
      <c r="O412" s="898">
        <f>+Model!AM452</f>
        <v>-1.278</v>
      </c>
      <c r="P412" s="898">
        <f>+Model!AN452</f>
        <v>-1.427</v>
      </c>
      <c r="Q412" s="898">
        <f>+Model!AO452</f>
        <v>-2.0289999999999999</v>
      </c>
      <c r="R412" s="957">
        <f>+Model!AP452</f>
        <v>-5.0139999999999993</v>
      </c>
      <c r="S412" s="898">
        <f>+Model!AQ452</f>
        <v>-0.91300000000000003</v>
      </c>
      <c r="T412" s="898">
        <f>+Model!AR452</f>
        <v>-1.91</v>
      </c>
      <c r="U412" s="898">
        <f>+Model!AS452</f>
        <v>-0.75600000000000023</v>
      </c>
      <c r="V412" s="957">
        <f>+Model!AT452</f>
        <v>-0.75700000000000012</v>
      </c>
      <c r="W412" s="898">
        <f>+Model!AU452</f>
        <v>-1.694</v>
      </c>
      <c r="X412" s="877">
        <f>-1.703-W412</f>
        <v>-9.000000000000119E-3</v>
      </c>
      <c r="Y412" s="877">
        <f>-1.5-X412-W412</f>
        <v>0.20300000000000007</v>
      </c>
      <c r="Z412" s="877">
        <f t="shared" ref="Z412:Z436" si="1302">+AU412-SUM(W412:Y412)</f>
        <v>-0.77</v>
      </c>
      <c r="AA412" s="1272">
        <v>-0.66900000000000004</v>
      </c>
      <c r="AB412" s="877"/>
      <c r="AC412" s="877"/>
      <c r="AD412" s="877"/>
      <c r="AE412" s="880"/>
      <c r="AF412" s="898">
        <f>+Model!AZ452</f>
        <v>-13.939</v>
      </c>
      <c r="AG412" s="898">
        <f>+Model!BA452</f>
        <v>-10.356999999999999</v>
      </c>
      <c r="AH412" s="898">
        <f>+Model!BB452</f>
        <v>-29.562999999999999</v>
      </c>
      <c r="AI412" s="898">
        <f>+Model!BC452</f>
        <v>-10.483000000000001</v>
      </c>
      <c r="AJ412" s="898">
        <f>+Model!BD452</f>
        <v>-8.3390000000000004</v>
      </c>
      <c r="AK412" s="898">
        <f>+Model!BE452</f>
        <v>-7.4050000000000002</v>
      </c>
      <c r="AL412" s="898">
        <f>+Model!BF452</f>
        <v>-9.9280000000000008</v>
      </c>
      <c r="AM412" s="898">
        <f>+Model!BG452</f>
        <v>-5.008</v>
      </c>
      <c r="AN412" s="898">
        <f>+Model!BH452</f>
        <v>-2.1739999999999999</v>
      </c>
      <c r="AO412" s="898">
        <f>+Model!BI452</f>
        <v>-8.7430000000000003</v>
      </c>
      <c r="AP412" s="898">
        <f>+Model!BJ452</f>
        <v>-5.4770000000000003</v>
      </c>
      <c r="AQ412" s="898">
        <f>+Model!BK452</f>
        <v>-1.677</v>
      </c>
      <c r="AR412" s="898">
        <f>+Model!BL452</f>
        <v>-3.5670000000000002</v>
      </c>
      <c r="AS412" s="898">
        <f>+Model!BM452</f>
        <v>-9.7479999999999993</v>
      </c>
      <c r="AT412" s="898">
        <f>+Model!BN452</f>
        <v>-4.3360000000000003</v>
      </c>
      <c r="AU412" s="971">
        <v>-2.27</v>
      </c>
      <c r="AV412" s="895"/>
    </row>
    <row r="413" spans="1:48" s="879" customFormat="1" ht="14" x14ac:dyDescent="0.4">
      <c r="A413" s="876" t="s">
        <v>855</v>
      </c>
      <c r="C413" s="898">
        <f>+Model!AA453</f>
        <v>-9.3170000000000002</v>
      </c>
      <c r="D413" s="898">
        <f>+Model!AB453</f>
        <v>-5.9459999999999997</v>
      </c>
      <c r="E413" s="898">
        <f>+Model!AC453</f>
        <v>-5.3169999999999984</v>
      </c>
      <c r="F413" s="898">
        <f>+Model!AD453</f>
        <v>-5.7380000000000031</v>
      </c>
      <c r="G413" s="898">
        <f>+Model!AE453</f>
        <v>-7.1959999999999997</v>
      </c>
      <c r="H413" s="898">
        <f>+Model!AF453</f>
        <v>-5.782</v>
      </c>
      <c r="I413" s="898">
        <f>+Model!AG453</f>
        <v>-5.8469999999999995</v>
      </c>
      <c r="J413" s="957">
        <f>+Model!AH453</f>
        <v>-5.1630000000000003</v>
      </c>
      <c r="K413" s="898">
        <f>+Model!AI453</f>
        <v>-7.2039999999999997</v>
      </c>
      <c r="L413" s="898">
        <f>+Model!AJ453</f>
        <v>-6.8570000000000002</v>
      </c>
      <c r="M413" s="898">
        <f>+Model!AK453</f>
        <v>-6.1280000000000001</v>
      </c>
      <c r="N413" s="957">
        <f>+Model!AL453</f>
        <v>-11.074999999999999</v>
      </c>
      <c r="O413" s="898">
        <f>+Model!AM453</f>
        <v>-9.69</v>
      </c>
      <c r="P413" s="898">
        <f>+Model!AN453</f>
        <v>-9.6399999999999988</v>
      </c>
      <c r="Q413" s="898">
        <f>+Model!AO453</f>
        <v>-11.507000000000001</v>
      </c>
      <c r="R413" s="957">
        <f>+Model!AP453</f>
        <v>-11.354000000000003</v>
      </c>
      <c r="S413" s="898">
        <f>+Model!AQ453</f>
        <v>-9.7929999999999993</v>
      </c>
      <c r="T413" s="898">
        <f>+Model!AR453</f>
        <v>-11.606000000000002</v>
      </c>
      <c r="U413" s="898">
        <f>+Model!AS453</f>
        <v>-11.174999999999997</v>
      </c>
      <c r="V413" s="957">
        <f>+Model!AT453</f>
        <v>-12.399000000000001</v>
      </c>
      <c r="W413" s="898">
        <f>+Model!AU453</f>
        <v>-10.041</v>
      </c>
      <c r="X413" s="877">
        <f>-18.402-W413</f>
        <v>-8.3610000000000007</v>
      </c>
      <c r="Y413" s="877">
        <f>-30.13-X413-W413</f>
        <v>-11.727999999999998</v>
      </c>
      <c r="Z413" s="877">
        <f t="shared" si="1302"/>
        <v>-10.523</v>
      </c>
      <c r="AA413" s="1272">
        <v>-8.7929999999999993</v>
      </c>
      <c r="AB413" s="877"/>
      <c r="AC413" s="877"/>
      <c r="AD413" s="877"/>
      <c r="AE413" s="880"/>
      <c r="AF413" s="898">
        <f>+Model!AZ453</f>
        <v>0</v>
      </c>
      <c r="AG413" s="898">
        <f>+Model!BA453</f>
        <v>0</v>
      </c>
      <c r="AH413" s="898">
        <f>+Model!BB453</f>
        <v>0</v>
      </c>
      <c r="AI413" s="898">
        <f>+Model!BC453</f>
        <v>-21.994</v>
      </c>
      <c r="AJ413" s="898">
        <f>+Model!BD453</f>
        <v>-23.446000000000002</v>
      </c>
      <c r="AK413" s="898">
        <f>+Model!BE453</f>
        <v>-26.553000000000001</v>
      </c>
      <c r="AL413" s="898">
        <f>+Model!BF453</f>
        <v>-33.755000000000003</v>
      </c>
      <c r="AM413" s="898">
        <f>+Model!BG453</f>
        <v>-36.265000000000001</v>
      </c>
      <c r="AN413" s="898">
        <f>+Model!BH453</f>
        <v>-26.917999999999999</v>
      </c>
      <c r="AO413" s="898">
        <f>+Model!BI453</f>
        <v>-24.533000000000001</v>
      </c>
      <c r="AP413" s="898">
        <f>+Model!BJ453</f>
        <v>-26.318000000000001</v>
      </c>
      <c r="AQ413" s="898">
        <f>+Model!BK453</f>
        <v>-23.988</v>
      </c>
      <c r="AR413" s="898">
        <f>+Model!BL453</f>
        <v>-31.263999999999999</v>
      </c>
      <c r="AS413" s="898">
        <f>+Model!BM453</f>
        <v>-42.191000000000003</v>
      </c>
      <c r="AT413" s="898">
        <f>+Model!BN453</f>
        <v>-44.972999999999999</v>
      </c>
      <c r="AU413" s="971">
        <v>-40.652999999999999</v>
      </c>
      <c r="AV413" s="895"/>
    </row>
    <row r="414" spans="1:48" s="879" customFormat="1" ht="14" x14ac:dyDescent="0.4">
      <c r="A414" s="876" t="s">
        <v>856</v>
      </c>
      <c r="C414" s="898">
        <f>+Model!AA454</f>
        <v>-6.6849999999999996</v>
      </c>
      <c r="D414" s="898">
        <f>+Model!AB454</f>
        <v>-3.4140000000000006</v>
      </c>
      <c r="E414" s="898">
        <f>+Model!AC454</f>
        <v>-3.6470000000000002</v>
      </c>
      <c r="F414" s="898">
        <f>+Model!AD454</f>
        <v>-2.8650000000000002</v>
      </c>
      <c r="G414" s="898">
        <f>+Model!AE454</f>
        <v>-8.5280000000000005</v>
      </c>
      <c r="H414" s="898">
        <f>+Model!AF454</f>
        <v>-3.4629999999999992</v>
      </c>
      <c r="I414" s="898">
        <f>+Model!AG454</f>
        <v>-3.4719999999999995</v>
      </c>
      <c r="J414" s="957">
        <f>+Model!AH454</f>
        <v>-3.8690000000000015</v>
      </c>
      <c r="K414" s="898">
        <f>+Model!AI454</f>
        <v>-4.4880000000000004</v>
      </c>
      <c r="L414" s="898">
        <f>+Model!AJ454</f>
        <v>-3.0359999999999996</v>
      </c>
      <c r="M414" s="898">
        <f>+Model!AK454</f>
        <v>-4.2180000000000009</v>
      </c>
      <c r="N414" s="957">
        <f>+Model!AL454</f>
        <v>-5.6899999999999977</v>
      </c>
      <c r="O414" s="898">
        <f>+Model!AM454</f>
        <v>-4.3760000000000003</v>
      </c>
      <c r="P414" s="898">
        <f>+Model!AN454</f>
        <v>-3.085</v>
      </c>
      <c r="Q414" s="898">
        <f>+Model!AO454</f>
        <v>-4.9000000000000004</v>
      </c>
      <c r="R414" s="957">
        <f>+Model!AP454</f>
        <v>-3.3259999999999987</v>
      </c>
      <c r="S414" s="898">
        <f>+Model!AQ454</f>
        <v>-6.1449999999999996</v>
      </c>
      <c r="T414" s="898">
        <f>+Model!AR454</f>
        <v>-3.3819999999999997</v>
      </c>
      <c r="U414" s="898">
        <f>+Model!AS454</f>
        <v>-3.2710000000000008</v>
      </c>
      <c r="V414" s="957">
        <f>+Model!AT454</f>
        <v>-4.4410000000000007</v>
      </c>
      <c r="W414" s="898">
        <f>+Model!AU454</f>
        <v>-4.4139999999999997</v>
      </c>
      <c r="X414" s="877">
        <f>-8.731-W414</f>
        <v>-4.3170000000000002</v>
      </c>
      <c r="Y414" s="877">
        <f>-13.534-X414-W414</f>
        <v>-4.8030000000000008</v>
      </c>
      <c r="Z414" s="877">
        <f t="shared" si="1302"/>
        <v>-5.1319999999999997</v>
      </c>
      <c r="AA414" s="1272">
        <v>-5.3230000000000004</v>
      </c>
      <c r="AB414" s="877"/>
      <c r="AC414" s="877"/>
      <c r="AD414" s="877"/>
      <c r="AE414" s="880"/>
      <c r="AF414" s="898">
        <f>+Model!AZ454</f>
        <v>-13.930999999999999</v>
      </c>
      <c r="AG414" s="898">
        <f>+Model!BA454</f>
        <v>-13.904</v>
      </c>
      <c r="AH414" s="898">
        <f>+Model!BB454</f>
        <v>-18.085999999999999</v>
      </c>
      <c r="AI414" s="898">
        <f>+Model!BC454</f>
        <v>-16.123000000000001</v>
      </c>
      <c r="AJ414" s="898">
        <f>+Model!BD454</f>
        <v>-18.559999999999999</v>
      </c>
      <c r="AK414" s="898">
        <f>+Model!BE454</f>
        <v>-15.411</v>
      </c>
      <c r="AL414" s="898">
        <f>+Model!BF454</f>
        <v>-18.056999999999999</v>
      </c>
      <c r="AM414" s="898">
        <f>+Model!BG454</f>
        <v>-21.626999999999999</v>
      </c>
      <c r="AN414" s="898">
        <f>+Model!BH454</f>
        <v>-19.132000000000001</v>
      </c>
      <c r="AO414" s="898">
        <f>+Model!BI454</f>
        <v>-9.9269999999999996</v>
      </c>
      <c r="AP414" s="898">
        <f>+Model!BJ454</f>
        <v>-16.611000000000001</v>
      </c>
      <c r="AQ414" s="898">
        <f>+Model!BK454</f>
        <v>-19.332000000000001</v>
      </c>
      <c r="AR414" s="898">
        <f>+Model!BL454</f>
        <v>-17.431999999999999</v>
      </c>
      <c r="AS414" s="898">
        <f>+Model!BM454</f>
        <v>-15.686999999999999</v>
      </c>
      <c r="AT414" s="898">
        <f>+Model!BN454</f>
        <v>-17.239000000000001</v>
      </c>
      <c r="AU414" s="971">
        <v>-18.666</v>
      </c>
      <c r="AV414" s="895"/>
    </row>
    <row r="415" spans="1:48" s="879" customFormat="1" ht="14" x14ac:dyDescent="0.4">
      <c r="A415" s="876" t="s">
        <v>865</v>
      </c>
      <c r="C415" s="898">
        <f>+Model!AA455</f>
        <v>0</v>
      </c>
      <c r="D415" s="898">
        <f>+Model!AB455</f>
        <v>0</v>
      </c>
      <c r="E415" s="898">
        <f>+Model!AC455</f>
        <v>0</v>
      </c>
      <c r="F415" s="898">
        <f>+Model!AD455</f>
        <v>0</v>
      </c>
      <c r="G415" s="898">
        <f>+Model!AE455</f>
        <v>0</v>
      </c>
      <c r="H415" s="898">
        <f>+Model!AF455</f>
        <v>0</v>
      </c>
      <c r="I415" s="898">
        <f>+Model!AG455</f>
        <v>0</v>
      </c>
      <c r="J415" s="957">
        <f>+Model!AH455</f>
        <v>0</v>
      </c>
      <c r="K415" s="898">
        <f>+Model!AI455</f>
        <v>0</v>
      </c>
      <c r="L415" s="898">
        <f>+Model!AJ455</f>
        <v>0</v>
      </c>
      <c r="M415" s="898">
        <f>+Model!AK455</f>
        <v>0</v>
      </c>
      <c r="N415" s="957">
        <f>+Model!AL455</f>
        <v>0</v>
      </c>
      <c r="O415" s="898">
        <f>+Model!AM455</f>
        <v>0</v>
      </c>
      <c r="P415" s="898">
        <f>+Model!AN455</f>
        <v>0</v>
      </c>
      <c r="Q415" s="898">
        <f>+Model!AO455</f>
        <v>0</v>
      </c>
      <c r="R415" s="957">
        <f>+Model!AP455</f>
        <v>0</v>
      </c>
      <c r="S415" s="898">
        <f>+Model!AQ455</f>
        <v>0</v>
      </c>
      <c r="T415" s="898">
        <f>+Model!AR455</f>
        <v>0</v>
      </c>
      <c r="U415" s="898">
        <f>+Model!AS455</f>
        <v>0</v>
      </c>
      <c r="V415" s="957">
        <f>+Model!AT455</f>
        <v>0</v>
      </c>
      <c r="W415" s="898">
        <f>+Model!AU455</f>
        <v>0</v>
      </c>
      <c r="X415" s="877">
        <v>0</v>
      </c>
      <c r="Y415" s="877">
        <v>0</v>
      </c>
      <c r="Z415" s="877">
        <f t="shared" si="1302"/>
        <v>0</v>
      </c>
      <c r="AA415" s="1272">
        <v>0</v>
      </c>
      <c r="AB415" s="877"/>
      <c r="AC415" s="877"/>
      <c r="AD415" s="877"/>
      <c r="AE415" s="880"/>
      <c r="AF415" s="898">
        <f>+Model!AZ455</f>
        <v>0</v>
      </c>
      <c r="AG415" s="898">
        <f>+Model!BA455</f>
        <v>0</v>
      </c>
      <c r="AH415" s="898">
        <f>+Model!BB455</f>
        <v>0</v>
      </c>
      <c r="AI415" s="898">
        <f>+Model!BC455</f>
        <v>0</v>
      </c>
      <c r="AJ415" s="898">
        <f>+Model!BD455</f>
        <v>0</v>
      </c>
      <c r="AK415" s="898">
        <f>+Model!BE455</f>
        <v>0</v>
      </c>
      <c r="AL415" s="898">
        <f>+Model!BF455</f>
        <v>0</v>
      </c>
      <c r="AM415" s="898">
        <f>+Model!BG455</f>
        <v>0</v>
      </c>
      <c r="AN415" s="898">
        <f>+Model!BH455</f>
        <v>-9.1340000000000003</v>
      </c>
      <c r="AO415" s="898">
        <f>+Model!BI455</f>
        <v>-7.274</v>
      </c>
      <c r="AP415" s="898">
        <f>+Model!BJ455</f>
        <v>0</v>
      </c>
      <c r="AQ415" s="898">
        <f>+Model!BK455</f>
        <v>0</v>
      </c>
      <c r="AR415" s="898">
        <f>+Model!BL455</f>
        <v>0</v>
      </c>
      <c r="AS415" s="898">
        <f>+Model!BM455</f>
        <v>0</v>
      </c>
      <c r="AT415" s="898">
        <f>+Model!BN455</f>
        <v>0</v>
      </c>
      <c r="AU415" s="971">
        <v>0</v>
      </c>
      <c r="AV415" s="895"/>
    </row>
    <row r="416" spans="1:48" s="879" customFormat="1" ht="14" x14ac:dyDescent="0.4">
      <c r="A416" s="876" t="s">
        <v>857</v>
      </c>
      <c r="C416" s="898">
        <f>+Model!AA463</f>
        <v>0</v>
      </c>
      <c r="D416" s="898">
        <f>+Model!AB463</f>
        <v>0</v>
      </c>
      <c r="E416" s="898">
        <f>+Model!AC463</f>
        <v>0.38900000000000001</v>
      </c>
      <c r="F416" s="898">
        <f>+Model!AD463</f>
        <v>0</v>
      </c>
      <c r="G416" s="898">
        <f>+Model!AE463</f>
        <v>0</v>
      </c>
      <c r="H416" s="898">
        <f>+Model!AF463</f>
        <v>0</v>
      </c>
      <c r="I416" s="898">
        <f>+Model!AG463</f>
        <v>0</v>
      </c>
      <c r="J416" s="957">
        <f>+Model!AH463</f>
        <v>0</v>
      </c>
      <c r="K416" s="898">
        <f>+Model!AI463</f>
        <v>0.223</v>
      </c>
      <c r="L416" s="898">
        <f>+Model!AJ463</f>
        <v>0</v>
      </c>
      <c r="M416" s="898">
        <f>+Model!AK463</f>
        <v>0</v>
      </c>
      <c r="N416" s="957">
        <f>+Model!AL463</f>
        <v>0</v>
      </c>
      <c r="O416" s="898">
        <f>+Model!AM463</f>
        <v>0</v>
      </c>
      <c r="P416" s="898">
        <f>+Model!AN463</f>
        <v>0</v>
      </c>
      <c r="Q416" s="898">
        <f>+Model!AO463</f>
        <v>0</v>
      </c>
      <c r="R416" s="957">
        <f>+Model!AP463</f>
        <v>0</v>
      </c>
      <c r="S416" s="898">
        <f>+Model!AQ463</f>
        <v>0</v>
      </c>
      <c r="T416" s="898">
        <f>+Model!AR463</f>
        <v>0</v>
      </c>
      <c r="U416" s="898">
        <f>+Model!AS463</f>
        <v>0</v>
      </c>
      <c r="V416" s="957">
        <f>+Model!AT463</f>
        <v>0</v>
      </c>
      <c r="W416" s="898">
        <f>+Model!AU463</f>
        <v>0</v>
      </c>
      <c r="X416" s="877">
        <v>0</v>
      </c>
      <c r="Y416" s="877">
        <v>0</v>
      </c>
      <c r="Z416" s="877">
        <f t="shared" si="1302"/>
        <v>0</v>
      </c>
      <c r="AA416" s="1272">
        <v>0</v>
      </c>
      <c r="AB416" s="877"/>
      <c r="AC416" s="877"/>
      <c r="AD416" s="877"/>
      <c r="AE416" s="880"/>
      <c r="AF416" s="898">
        <f>+Model!AZ463</f>
        <v>0</v>
      </c>
      <c r="AG416" s="898">
        <f>+Model!BA463</f>
        <v>0</v>
      </c>
      <c r="AH416" s="898">
        <f>+Model!BB463</f>
        <v>0</v>
      </c>
      <c r="AI416" s="898">
        <f>+Model!BC463</f>
        <v>0</v>
      </c>
      <c r="AJ416" s="898">
        <f>+Model!BD463</f>
        <v>0</v>
      </c>
      <c r="AK416" s="898">
        <f>+Model!BE463</f>
        <v>5.665</v>
      </c>
      <c r="AL416" s="898">
        <f>+Model!BF463</f>
        <v>0</v>
      </c>
      <c r="AM416" s="898">
        <f>+Model!BG463</f>
        <v>0</v>
      </c>
      <c r="AN416" s="898">
        <f>+Model!BH463</f>
        <v>0</v>
      </c>
      <c r="AO416" s="898">
        <f>+Model!BI463</f>
        <v>0</v>
      </c>
      <c r="AP416" s="898">
        <f>+Model!BJ463</f>
        <v>0.38900000000000001</v>
      </c>
      <c r="AQ416" s="898">
        <f>+Model!BK463</f>
        <v>0</v>
      </c>
      <c r="AR416" s="898">
        <f>+Model!BL463</f>
        <v>0.223</v>
      </c>
      <c r="AS416" s="898">
        <f>+Model!BM463</f>
        <v>0</v>
      </c>
      <c r="AT416" s="898">
        <f>+Model!BN463</f>
        <v>0</v>
      </c>
      <c r="AU416" s="971">
        <v>0</v>
      </c>
      <c r="AV416" s="895"/>
    </row>
    <row r="417" spans="1:48" s="879" customFormat="1" ht="14" x14ac:dyDescent="0.4">
      <c r="A417" s="876" t="s">
        <v>858</v>
      </c>
      <c r="C417" s="898">
        <f>+Model!AA464</f>
        <v>0</v>
      </c>
      <c r="D417" s="898">
        <f>+Model!AB464</f>
        <v>0</v>
      </c>
      <c r="E417" s="898">
        <f>+Model!AC464</f>
        <v>0</v>
      </c>
      <c r="F417" s="898">
        <f>+Model!AD464</f>
        <v>0</v>
      </c>
      <c r="G417" s="898">
        <f>+Model!AE464</f>
        <v>0</v>
      </c>
      <c r="H417" s="898">
        <f>+Model!AF464</f>
        <v>0</v>
      </c>
      <c r="I417" s="898">
        <f>+Model!AG464</f>
        <v>0</v>
      </c>
      <c r="J417" s="957">
        <f>+Model!AH464</f>
        <v>0</v>
      </c>
      <c r="K417" s="898">
        <f>+Model!AI464</f>
        <v>0</v>
      </c>
      <c r="L417" s="898">
        <f>+Model!AJ464</f>
        <v>0</v>
      </c>
      <c r="M417" s="898">
        <f>+Model!AK464</f>
        <v>0</v>
      </c>
      <c r="N417" s="957">
        <f>+Model!AL464</f>
        <v>0</v>
      </c>
      <c r="O417" s="898">
        <f>+Model!AM464</f>
        <v>0</v>
      </c>
      <c r="P417" s="898">
        <f>+Model!AN464</f>
        <v>5.2610000000000001</v>
      </c>
      <c r="Q417" s="898">
        <f>+Model!AO464</f>
        <v>0</v>
      </c>
      <c r="R417" s="957">
        <f>+Model!AP464</f>
        <v>0</v>
      </c>
      <c r="S417" s="898">
        <f>+Model!AQ464</f>
        <v>0.06</v>
      </c>
      <c r="T417" s="898">
        <f>+Model!AR464</f>
        <v>0</v>
      </c>
      <c r="U417" s="898">
        <f>+Model!AS464</f>
        <v>0</v>
      </c>
      <c r="V417" s="957">
        <f>+Model!AT464</f>
        <v>0</v>
      </c>
      <c r="W417" s="898">
        <f>+Model!AU464</f>
        <v>0</v>
      </c>
      <c r="X417" s="877">
        <v>0</v>
      </c>
      <c r="Y417" s="877">
        <v>0</v>
      </c>
      <c r="Z417" s="877">
        <f t="shared" si="1302"/>
        <v>0</v>
      </c>
      <c r="AA417" s="1272">
        <v>0</v>
      </c>
      <c r="AB417" s="877"/>
      <c r="AC417" s="877"/>
      <c r="AD417" s="877"/>
      <c r="AE417" s="880"/>
      <c r="AF417" s="898">
        <f>+Model!AZ464</f>
        <v>0</v>
      </c>
      <c r="AG417" s="898">
        <f>+Model!BA464</f>
        <v>0</v>
      </c>
      <c r="AH417" s="898">
        <f>+Model!BB464</f>
        <v>0</v>
      </c>
      <c r="AI417" s="898">
        <f>+Model!BC464</f>
        <v>0</v>
      </c>
      <c r="AJ417" s="898">
        <f>+Model!BD464</f>
        <v>0</v>
      </c>
      <c r="AK417" s="898">
        <f>+Model!BE464</f>
        <v>0</v>
      </c>
      <c r="AL417" s="898">
        <f>+Model!BF464</f>
        <v>0</v>
      </c>
      <c r="AM417" s="898">
        <f>+Model!BG464</f>
        <v>0</v>
      </c>
      <c r="AN417" s="898">
        <f>+Model!BH464</f>
        <v>0</v>
      </c>
      <c r="AO417" s="898">
        <f>+Model!BI464</f>
        <v>0</v>
      </c>
      <c r="AP417" s="898">
        <f>+Model!BJ464</f>
        <v>0</v>
      </c>
      <c r="AQ417" s="898">
        <f>+Model!BK464</f>
        <v>0</v>
      </c>
      <c r="AR417" s="898">
        <f>+Model!BL464</f>
        <v>0</v>
      </c>
      <c r="AS417" s="898">
        <f>+Model!BM464</f>
        <v>5.2610000000000001</v>
      </c>
      <c r="AT417" s="898">
        <f>+Model!BN464</f>
        <v>0.06</v>
      </c>
      <c r="AU417" s="971">
        <v>0</v>
      </c>
      <c r="AV417" s="895"/>
    </row>
    <row r="418" spans="1:48" s="879" customFormat="1" ht="14" x14ac:dyDescent="0.4">
      <c r="A418" s="876" t="s">
        <v>143</v>
      </c>
      <c r="C418" s="898">
        <f>+Model!AA456</f>
        <v>0</v>
      </c>
      <c r="D418" s="898">
        <f>+Model!AB456</f>
        <v>0</v>
      </c>
      <c r="E418" s="898">
        <f>+Model!AC456</f>
        <v>0</v>
      </c>
      <c r="F418" s="898">
        <f>+Model!AD456</f>
        <v>0</v>
      </c>
      <c r="G418" s="898">
        <f>+Model!AE456</f>
        <v>0</v>
      </c>
      <c r="H418" s="898">
        <f>+Model!AF456</f>
        <v>0</v>
      </c>
      <c r="I418" s="898">
        <f>+Model!AG456</f>
        <v>0</v>
      </c>
      <c r="J418" s="957">
        <f>+Model!AH456</f>
        <v>0</v>
      </c>
      <c r="K418" s="898">
        <f>+Model!AI456</f>
        <v>0</v>
      </c>
      <c r="L418" s="898">
        <f>+Model!AJ456</f>
        <v>0</v>
      </c>
      <c r="M418" s="898">
        <f>+Model!AK456</f>
        <v>0</v>
      </c>
      <c r="N418" s="957">
        <f>+Model!AL456</f>
        <v>0</v>
      </c>
      <c r="O418" s="898">
        <f>+Model!AM456</f>
        <v>0</v>
      </c>
      <c r="P418" s="898">
        <f>+Model!AN456</f>
        <v>0</v>
      </c>
      <c r="Q418" s="898">
        <f>+Model!AO456</f>
        <v>0</v>
      </c>
      <c r="R418" s="957">
        <f>+Model!AP456</f>
        <v>0</v>
      </c>
      <c r="S418" s="898">
        <f>+Model!AQ456</f>
        <v>0</v>
      </c>
      <c r="T418" s="898">
        <f>+Model!AR456</f>
        <v>0</v>
      </c>
      <c r="U418" s="898">
        <f>+Model!AS456</f>
        <v>0</v>
      </c>
      <c r="V418" s="957">
        <f>+Model!AT456</f>
        <v>0</v>
      </c>
      <c r="W418" s="898">
        <f>+Model!AU456</f>
        <v>0</v>
      </c>
      <c r="X418" s="877">
        <v>0</v>
      </c>
      <c r="Y418" s="877">
        <v>0</v>
      </c>
      <c r="Z418" s="877">
        <f t="shared" si="1302"/>
        <v>0</v>
      </c>
      <c r="AA418" s="1272">
        <v>0</v>
      </c>
      <c r="AB418" s="877"/>
      <c r="AC418" s="877"/>
      <c r="AD418" s="877"/>
      <c r="AE418" s="880"/>
      <c r="AF418" s="898">
        <f>+Model!AZ456</f>
        <v>0</v>
      </c>
      <c r="AG418" s="898">
        <f>+Model!BA456</f>
        <v>0</v>
      </c>
      <c r="AH418" s="898">
        <f>+Model!BB456</f>
        <v>0</v>
      </c>
      <c r="AI418" s="898">
        <f>+Model!BC456</f>
        <v>0</v>
      </c>
      <c r="AJ418" s="898">
        <f>+Model!BD456</f>
        <v>0</v>
      </c>
      <c r="AK418" s="898">
        <f>+Model!BE456</f>
        <v>0</v>
      </c>
      <c r="AL418" s="898">
        <f>+Model!BF456</f>
        <v>0</v>
      </c>
      <c r="AM418" s="898">
        <f>+Model!BG456</f>
        <v>0</v>
      </c>
      <c r="AN418" s="898">
        <f>+Model!BH456</f>
        <v>8.8999999999999996E-2</v>
      </c>
      <c r="AO418" s="898">
        <f>+Model!BI456</f>
        <v>0</v>
      </c>
      <c r="AP418" s="898">
        <f>+Model!BJ456</f>
        <v>0</v>
      </c>
      <c r="AQ418" s="898">
        <f>+Model!BK456</f>
        <v>0</v>
      </c>
      <c r="AR418" s="898">
        <f>+Model!BL456</f>
        <v>0</v>
      </c>
      <c r="AS418" s="898">
        <f>+Model!BM456</f>
        <v>0</v>
      </c>
      <c r="AT418" s="898">
        <f>+Model!BN456</f>
        <v>0</v>
      </c>
      <c r="AU418" s="971">
        <v>0</v>
      </c>
      <c r="AV418" s="895"/>
    </row>
    <row r="419" spans="1:48" s="879" customFormat="1" ht="14" x14ac:dyDescent="0.4">
      <c r="A419" s="876" t="s">
        <v>144</v>
      </c>
      <c r="C419" s="898">
        <f>+Model!AA457</f>
        <v>0</v>
      </c>
      <c r="D419" s="898">
        <f>+Model!AB457</f>
        <v>0</v>
      </c>
      <c r="E419" s="898">
        <f>+Model!AC457</f>
        <v>0</v>
      </c>
      <c r="F419" s="898">
        <f>+Model!AD457</f>
        <v>0</v>
      </c>
      <c r="G419" s="898">
        <f>+Model!AE457</f>
        <v>0</v>
      </c>
      <c r="H419" s="898">
        <f>+Model!AF457</f>
        <v>0</v>
      </c>
      <c r="I419" s="898">
        <f>+Model!AG457</f>
        <v>0</v>
      </c>
      <c r="J419" s="957">
        <f>+Model!AH457</f>
        <v>0</v>
      </c>
      <c r="K419" s="898">
        <f>+Model!AI457</f>
        <v>0</v>
      </c>
      <c r="L419" s="898">
        <f>+Model!AJ457</f>
        <v>0</v>
      </c>
      <c r="M419" s="898">
        <f>+Model!AK457</f>
        <v>0</v>
      </c>
      <c r="N419" s="957">
        <f>+Model!AL457</f>
        <v>0</v>
      </c>
      <c r="O419" s="898">
        <f>+Model!AM457</f>
        <v>0</v>
      </c>
      <c r="P419" s="898">
        <f>+Model!AN457</f>
        <v>0</v>
      </c>
      <c r="Q419" s="898">
        <f>+Model!AO457</f>
        <v>0</v>
      </c>
      <c r="R419" s="957">
        <f>+Model!AP457</f>
        <v>0</v>
      </c>
      <c r="S419" s="898">
        <f>+Model!AQ457</f>
        <v>0</v>
      </c>
      <c r="T419" s="898">
        <f>+Model!AR457</f>
        <v>0</v>
      </c>
      <c r="U419" s="898">
        <f>+Model!AS457</f>
        <v>0</v>
      </c>
      <c r="V419" s="957">
        <f>+Model!AT457</f>
        <v>0</v>
      </c>
      <c r="W419" s="898">
        <f>+Model!AU457</f>
        <v>0</v>
      </c>
      <c r="X419" s="877">
        <v>0</v>
      </c>
      <c r="Y419" s="877">
        <v>0</v>
      </c>
      <c r="Z419" s="877">
        <f t="shared" si="1302"/>
        <v>0</v>
      </c>
      <c r="AA419" s="1272">
        <v>0</v>
      </c>
      <c r="AB419" s="877"/>
      <c r="AC419" s="877"/>
      <c r="AD419" s="877"/>
      <c r="AE419" s="880"/>
      <c r="AF419" s="898">
        <f>+Model!AZ457</f>
        <v>0</v>
      </c>
      <c r="AG419" s="898">
        <f>+Model!BA457</f>
        <v>0</v>
      </c>
      <c r="AH419" s="898">
        <f>+Model!BB457</f>
        <v>0</v>
      </c>
      <c r="AI419" s="898">
        <f>+Model!BC457</f>
        <v>0</v>
      </c>
      <c r="AJ419" s="898">
        <f>+Model!BD457</f>
        <v>0</v>
      </c>
      <c r="AK419" s="898">
        <f>+Model!BE457</f>
        <v>-2.1</v>
      </c>
      <c r="AL419" s="898">
        <f>+Model!BF457</f>
        <v>0</v>
      </c>
      <c r="AM419" s="898">
        <f>+Model!BG457</f>
        <v>0</v>
      </c>
      <c r="AN419" s="898">
        <f>+Model!BH457</f>
        <v>0</v>
      </c>
      <c r="AO419" s="898">
        <f>+Model!BI457</f>
        <v>0</v>
      </c>
      <c r="AP419" s="898">
        <f>+Model!BJ457</f>
        <v>0</v>
      </c>
      <c r="AQ419" s="898">
        <f>+Model!BK457</f>
        <v>0</v>
      </c>
      <c r="AR419" s="898">
        <f>+Model!BL457</f>
        <v>0</v>
      </c>
      <c r="AS419" s="898">
        <f>+Model!BM457</f>
        <v>0</v>
      </c>
      <c r="AT419" s="898">
        <f>+Model!BN457</f>
        <v>0</v>
      </c>
      <c r="AU419" s="971">
        <v>0</v>
      </c>
      <c r="AV419" s="895"/>
    </row>
    <row r="420" spans="1:48" s="879" customFormat="1" ht="14" x14ac:dyDescent="0.4">
      <c r="A420" s="876" t="s">
        <v>145</v>
      </c>
      <c r="C420" s="898">
        <f>+Model!AA458</f>
        <v>0</v>
      </c>
      <c r="D420" s="898">
        <f>+Model!AB458</f>
        <v>0</v>
      </c>
      <c r="E420" s="898">
        <f>+Model!AC458</f>
        <v>0</v>
      </c>
      <c r="F420" s="898">
        <f>+Model!AD458</f>
        <v>0</v>
      </c>
      <c r="G420" s="898">
        <f>+Model!AE458</f>
        <v>0</v>
      </c>
      <c r="H420" s="898">
        <f>+Model!AF458</f>
        <v>0</v>
      </c>
      <c r="I420" s="898">
        <f>+Model!AG458</f>
        <v>0</v>
      </c>
      <c r="J420" s="957">
        <f>+Model!AH458</f>
        <v>0</v>
      </c>
      <c r="K420" s="898">
        <f>+Model!AI458</f>
        <v>0</v>
      </c>
      <c r="L420" s="898">
        <f>+Model!AJ458</f>
        <v>0</v>
      </c>
      <c r="M420" s="898">
        <f>+Model!AK458</f>
        <v>0</v>
      </c>
      <c r="N420" s="957">
        <f>+Model!AL458</f>
        <v>0</v>
      </c>
      <c r="O420" s="898">
        <f>+Model!AM458</f>
        <v>0</v>
      </c>
      <c r="P420" s="898">
        <f>+Model!AN458</f>
        <v>0</v>
      </c>
      <c r="Q420" s="898">
        <f>+Model!AO458</f>
        <v>0</v>
      </c>
      <c r="R420" s="957">
        <f>+Model!AP458</f>
        <v>0</v>
      </c>
      <c r="S420" s="898">
        <f>+Model!AQ458</f>
        <v>0</v>
      </c>
      <c r="T420" s="898">
        <f>+Model!AR458</f>
        <v>0</v>
      </c>
      <c r="U420" s="898">
        <f>+Model!AS458</f>
        <v>0</v>
      </c>
      <c r="V420" s="957">
        <f>+Model!AT458</f>
        <v>0</v>
      </c>
      <c r="W420" s="898">
        <f>+Model!AU458</f>
        <v>0</v>
      </c>
      <c r="X420" s="877">
        <v>0</v>
      </c>
      <c r="Y420" s="877">
        <v>0</v>
      </c>
      <c r="Z420" s="877">
        <f t="shared" si="1302"/>
        <v>0</v>
      </c>
      <c r="AA420" s="1272">
        <v>0</v>
      </c>
      <c r="AB420" s="877"/>
      <c r="AC420" s="877"/>
      <c r="AD420" s="877"/>
      <c r="AE420" s="880"/>
      <c r="AF420" s="898">
        <f>+Model!AZ458</f>
        <v>0</v>
      </c>
      <c r="AG420" s="898">
        <f>+Model!BA458</f>
        <v>0</v>
      </c>
      <c r="AH420" s="898">
        <f>+Model!BB458</f>
        <v>0</v>
      </c>
      <c r="AI420" s="898">
        <f>+Model!BC458</f>
        <v>0</v>
      </c>
      <c r="AJ420" s="898">
        <f>+Model!BD458</f>
        <v>0</v>
      </c>
      <c r="AK420" s="898">
        <f>+Model!BE458</f>
        <v>0</v>
      </c>
      <c r="AL420" s="898">
        <f>+Model!BF458</f>
        <v>0</v>
      </c>
      <c r="AM420" s="898">
        <f>+Model!BG458</f>
        <v>-19.952999999999999</v>
      </c>
      <c r="AN420" s="898">
        <f>+Model!BH458</f>
        <v>7.0999999999999994E-2</v>
      </c>
      <c r="AO420" s="898">
        <f>+Model!BI458</f>
        <v>0</v>
      </c>
      <c r="AP420" s="898">
        <f>+Model!BJ458</f>
        <v>0</v>
      </c>
      <c r="AQ420" s="898">
        <f>+Model!BK458</f>
        <v>0</v>
      </c>
      <c r="AR420" s="898">
        <f>+Model!BL458</f>
        <v>0</v>
      </c>
      <c r="AS420" s="898">
        <f>+Model!BM458</f>
        <v>0</v>
      </c>
      <c r="AT420" s="898">
        <f>+Model!BN458</f>
        <v>0</v>
      </c>
      <c r="AU420" s="971">
        <v>0</v>
      </c>
      <c r="AV420" s="895"/>
    </row>
    <row r="421" spans="1:48" s="879" customFormat="1" ht="14" x14ac:dyDescent="0.4">
      <c r="A421" s="876" t="s">
        <v>146</v>
      </c>
      <c r="C421" s="898">
        <f>+Model!AA459</f>
        <v>0</v>
      </c>
      <c r="D421" s="898">
        <f>+Model!AB459</f>
        <v>0</v>
      </c>
      <c r="E421" s="898">
        <f>+Model!AC459</f>
        <v>0</v>
      </c>
      <c r="F421" s="898">
        <f>+Model!AD459</f>
        <v>0</v>
      </c>
      <c r="G421" s="898">
        <f>+Model!AE459</f>
        <v>0</v>
      </c>
      <c r="H421" s="898">
        <f>+Model!AF459</f>
        <v>0</v>
      </c>
      <c r="I421" s="898">
        <f>+Model!AG459</f>
        <v>0</v>
      </c>
      <c r="J421" s="957">
        <f>+Model!AH459</f>
        <v>0</v>
      </c>
      <c r="K421" s="898">
        <f>+Model!AI459</f>
        <v>0</v>
      </c>
      <c r="L421" s="898">
        <f>+Model!AJ459</f>
        <v>0</v>
      </c>
      <c r="M421" s="898">
        <f>+Model!AK459</f>
        <v>0</v>
      </c>
      <c r="N421" s="957">
        <f>+Model!AL459</f>
        <v>0</v>
      </c>
      <c r="O421" s="898">
        <f>+Model!AM459</f>
        <v>0</v>
      </c>
      <c r="P421" s="898">
        <f>+Model!AN459</f>
        <v>0</v>
      </c>
      <c r="Q421" s="898">
        <f>+Model!AO459</f>
        <v>0</v>
      </c>
      <c r="R421" s="957">
        <f>+Model!AP459</f>
        <v>0</v>
      </c>
      <c r="S421" s="898">
        <f>+Model!AQ459</f>
        <v>0</v>
      </c>
      <c r="T421" s="898">
        <f>+Model!AR459</f>
        <v>0</v>
      </c>
      <c r="U421" s="898">
        <f>+Model!AS459</f>
        <v>0</v>
      </c>
      <c r="V421" s="957">
        <f>+Model!AT459</f>
        <v>0</v>
      </c>
      <c r="W421" s="898">
        <f>+Model!AU459</f>
        <v>0</v>
      </c>
      <c r="X421" s="877">
        <v>0</v>
      </c>
      <c r="Y421" s="877">
        <v>0</v>
      </c>
      <c r="Z421" s="877">
        <f t="shared" si="1302"/>
        <v>0</v>
      </c>
      <c r="AA421" s="1272">
        <v>0</v>
      </c>
      <c r="AB421" s="877"/>
      <c r="AC421" s="877"/>
      <c r="AD421" s="877"/>
      <c r="AE421" s="880"/>
      <c r="AF421" s="898">
        <f>+Model!AZ459</f>
        <v>0</v>
      </c>
      <c r="AG421" s="898">
        <f>+Model!BA459</f>
        <v>0</v>
      </c>
      <c r="AH421" s="898">
        <f>+Model!BB459</f>
        <v>0</v>
      </c>
      <c r="AI421" s="898">
        <f>+Model!BC459</f>
        <v>0</v>
      </c>
      <c r="AJ421" s="898">
        <f>+Model!BD459</f>
        <v>0</v>
      </c>
      <c r="AK421" s="898">
        <f>+Model!BE459</f>
        <v>0</v>
      </c>
      <c r="AL421" s="898">
        <f>+Model!BF459</f>
        <v>0</v>
      </c>
      <c r="AM421" s="898">
        <f>+Model!BG459</f>
        <v>0</v>
      </c>
      <c r="AN421" s="898">
        <f>+Model!BH459</f>
        <v>0</v>
      </c>
      <c r="AO421" s="898">
        <f>+Model!BI459</f>
        <v>0</v>
      </c>
      <c r="AP421" s="898">
        <f>+Model!BJ459</f>
        <v>0</v>
      </c>
      <c r="AQ421" s="898">
        <f>+Model!BK459</f>
        <v>0</v>
      </c>
      <c r="AR421" s="898">
        <f>+Model!BL459</f>
        <v>0</v>
      </c>
      <c r="AS421" s="898">
        <f>+Model!BM459</f>
        <v>0</v>
      </c>
      <c r="AT421" s="898">
        <f>+Model!BN459</f>
        <v>0</v>
      </c>
      <c r="AU421" s="971">
        <v>0</v>
      </c>
      <c r="AV421" s="895"/>
    </row>
    <row r="422" spans="1:48" s="879" customFormat="1" ht="14" x14ac:dyDescent="0.4">
      <c r="A422" s="876" t="s">
        <v>412</v>
      </c>
      <c r="C422" s="898">
        <f>+Model!AA460</f>
        <v>0</v>
      </c>
      <c r="D422" s="898">
        <f>+Model!AB460</f>
        <v>0</v>
      </c>
      <c r="E422" s="898">
        <f>+Model!AC460</f>
        <v>0</v>
      </c>
      <c r="F422" s="898">
        <f>+Model!AD460</f>
        <v>0</v>
      </c>
      <c r="G422" s="898">
        <f>+Model!AE460</f>
        <v>0</v>
      </c>
      <c r="H422" s="898">
        <f>+Model!AF460</f>
        <v>0</v>
      </c>
      <c r="I422" s="898">
        <f>+Model!AG460</f>
        <v>-167.995</v>
      </c>
      <c r="J422" s="957">
        <f>+Model!AH460</f>
        <v>0</v>
      </c>
      <c r="K422" s="898">
        <f>+Model!AI460</f>
        <v>0</v>
      </c>
      <c r="L422" s="898">
        <f>+Model!AJ460</f>
        <v>0</v>
      </c>
      <c r="M422" s="898">
        <f>+Model!AK460</f>
        <v>0</v>
      </c>
      <c r="N422" s="957">
        <f>+Model!AL460</f>
        <v>0</v>
      </c>
      <c r="O422" s="898">
        <f>+Model!AM460</f>
        <v>0</v>
      </c>
      <c r="P422" s="898">
        <f>+Model!AN460</f>
        <v>0</v>
      </c>
      <c r="Q422" s="898">
        <f>+Model!AO460</f>
        <v>0</v>
      </c>
      <c r="R422" s="957">
        <f>+Model!AP460</f>
        <v>0</v>
      </c>
      <c r="S422" s="898">
        <f>+Model!AQ460</f>
        <v>0</v>
      </c>
      <c r="T422" s="898">
        <f>+Model!AR460</f>
        <v>0</v>
      </c>
      <c r="U422" s="898">
        <f>+Model!AS460</f>
        <v>0</v>
      </c>
      <c r="V422" s="957">
        <f>+Model!AT460</f>
        <v>0</v>
      </c>
      <c r="W422" s="898">
        <f>+Model!AU460</f>
        <v>0</v>
      </c>
      <c r="X422" s="877">
        <v>0</v>
      </c>
      <c r="Y422" s="877">
        <v>0</v>
      </c>
      <c r="Z422" s="877">
        <f t="shared" si="1302"/>
        <v>0</v>
      </c>
      <c r="AA422" s="1272">
        <v>0</v>
      </c>
      <c r="AB422" s="877"/>
      <c r="AC422" s="877"/>
      <c r="AD422" s="877"/>
      <c r="AE422" s="880"/>
      <c r="AF422" s="898">
        <f>+Model!AZ460</f>
        <v>0</v>
      </c>
      <c r="AG422" s="898">
        <f>+Model!BA460</f>
        <v>0</v>
      </c>
      <c r="AH422" s="898">
        <f>+Model!BB460</f>
        <v>0</v>
      </c>
      <c r="AI422" s="898">
        <f>+Model!BC460</f>
        <v>0</v>
      </c>
      <c r="AJ422" s="898">
        <f>+Model!BD460</f>
        <v>0</v>
      </c>
      <c r="AK422" s="898">
        <f>+Model!BE460</f>
        <v>0</v>
      </c>
      <c r="AL422" s="898">
        <f>+Model!BF460</f>
        <v>0</v>
      </c>
      <c r="AM422" s="898">
        <f>+Model!BG460</f>
        <v>0</v>
      </c>
      <c r="AN422" s="898">
        <f>+Model!BH460</f>
        <v>0</v>
      </c>
      <c r="AO422" s="898">
        <f>+Model!BI460</f>
        <v>0</v>
      </c>
      <c r="AP422" s="898">
        <f>+Model!BJ460</f>
        <v>0</v>
      </c>
      <c r="AQ422" s="898">
        <f>+Model!BK460</f>
        <v>-167.995</v>
      </c>
      <c r="AR422" s="898">
        <f>+Model!BL460</f>
        <v>0</v>
      </c>
      <c r="AS422" s="898">
        <f>+Model!BM460</f>
        <v>0</v>
      </c>
      <c r="AT422" s="898">
        <f>+Model!BN460</f>
        <v>0</v>
      </c>
      <c r="AU422" s="971">
        <v>0</v>
      </c>
      <c r="AV422" s="895"/>
    </row>
    <row r="423" spans="1:48" s="879" customFormat="1" ht="14" x14ac:dyDescent="0.4">
      <c r="A423" s="876" t="s">
        <v>859</v>
      </c>
      <c r="C423" s="898">
        <f>+Model!AA461</f>
        <v>0</v>
      </c>
      <c r="D423" s="898">
        <f>+Model!AB461</f>
        <v>0</v>
      </c>
      <c r="E423" s="898">
        <f>+Model!AC461</f>
        <v>0</v>
      </c>
      <c r="F423" s="898">
        <f>+Model!AD461</f>
        <v>0</v>
      </c>
      <c r="G423" s="898">
        <f>+Model!AE461</f>
        <v>0</v>
      </c>
      <c r="H423" s="898">
        <f>+Model!AF461</f>
        <v>0</v>
      </c>
      <c r="I423" s="898">
        <f>+Model!AG461</f>
        <v>0</v>
      </c>
      <c r="J423" s="957">
        <f>+Model!AH461</f>
        <v>0</v>
      </c>
      <c r="K423" s="898">
        <f>+Model!AI461</f>
        <v>0</v>
      </c>
      <c r="L423" s="898">
        <f>+Model!AJ461</f>
        <v>-54.774999999999999</v>
      </c>
      <c r="M423" s="898">
        <f>+Model!AK461</f>
        <v>-2.0000000000003126E-2</v>
      </c>
      <c r="N423" s="957">
        <f>+Model!AL461</f>
        <v>-0.2359999999999971</v>
      </c>
      <c r="O423" s="898">
        <f>+Model!AM461</f>
        <v>0</v>
      </c>
      <c r="P423" s="898">
        <f>+Model!AN461</f>
        <v>0</v>
      </c>
      <c r="Q423" s="898">
        <f>+Model!AO461</f>
        <v>0</v>
      </c>
      <c r="R423" s="957">
        <f>+Model!AP461</f>
        <v>0</v>
      </c>
      <c r="S423" s="898">
        <f>+Model!AQ461</f>
        <v>0</v>
      </c>
      <c r="T423" s="898">
        <f>+Model!AR461</f>
        <v>0</v>
      </c>
      <c r="U423" s="898">
        <f>+Model!AS461</f>
        <v>0</v>
      </c>
      <c r="V423" s="957">
        <f>+Model!AT461</f>
        <v>0</v>
      </c>
      <c r="W423" s="898">
        <f>+Model!AU461</f>
        <v>0</v>
      </c>
      <c r="X423" s="877">
        <v>0</v>
      </c>
      <c r="Y423" s="877">
        <v>0</v>
      </c>
      <c r="Z423" s="877">
        <f t="shared" si="1302"/>
        <v>0</v>
      </c>
      <c r="AA423" s="1272">
        <v>0</v>
      </c>
      <c r="AB423" s="877"/>
      <c r="AC423" s="877"/>
      <c r="AD423" s="877"/>
      <c r="AE423" s="880"/>
      <c r="AF423" s="898">
        <f>+Model!AZ461</f>
        <v>0</v>
      </c>
      <c r="AG423" s="898">
        <f>+Model!BA461</f>
        <v>0</v>
      </c>
      <c r="AH423" s="898">
        <f>+Model!BB461</f>
        <v>0</v>
      </c>
      <c r="AI423" s="898">
        <f>+Model!BC461</f>
        <v>0</v>
      </c>
      <c r="AJ423" s="898">
        <f>+Model!BD461</f>
        <v>0</v>
      </c>
      <c r="AK423" s="898">
        <f>+Model!BE461</f>
        <v>0</v>
      </c>
      <c r="AL423" s="898">
        <f>+Model!BF461</f>
        <v>0</v>
      </c>
      <c r="AM423" s="898">
        <f>+Model!BG461</f>
        <v>0</v>
      </c>
      <c r="AN423" s="898">
        <f>+Model!BH461</f>
        <v>0</v>
      </c>
      <c r="AO423" s="898">
        <f>+Model!BI461</f>
        <v>0</v>
      </c>
      <c r="AP423" s="898">
        <f>+Model!BJ461</f>
        <v>0</v>
      </c>
      <c r="AQ423" s="898">
        <f>+Model!BK461</f>
        <v>0</v>
      </c>
      <c r="AR423" s="898">
        <f>+Model!BL461</f>
        <v>-55.030999999999999</v>
      </c>
      <c r="AS423" s="898">
        <f>+Model!BM461</f>
        <v>0</v>
      </c>
      <c r="AT423" s="898">
        <f>+Model!BN461</f>
        <v>0</v>
      </c>
      <c r="AU423" s="971">
        <v>0</v>
      </c>
      <c r="AV423" s="895"/>
    </row>
    <row r="424" spans="1:48" s="879" customFormat="1" ht="14" x14ac:dyDescent="0.4">
      <c r="A424" s="876" t="s">
        <v>860</v>
      </c>
      <c r="C424" s="898">
        <f>+Model!AA462</f>
        <v>0</v>
      </c>
      <c r="D424" s="898">
        <f>+Model!AB462</f>
        <v>0</v>
      </c>
      <c r="E424" s="898">
        <f>+Model!AC462</f>
        <v>0</v>
      </c>
      <c r="F424" s="898">
        <f>+Model!AD462</f>
        <v>0</v>
      </c>
      <c r="G424" s="898">
        <f>+Model!AE462</f>
        <v>0</v>
      </c>
      <c r="H424" s="898">
        <f>+Model!AF462</f>
        <v>0</v>
      </c>
      <c r="I424" s="898">
        <f>+Model!AG462</f>
        <v>0</v>
      </c>
      <c r="J424" s="957">
        <f>+Model!AH462</f>
        <v>0</v>
      </c>
      <c r="K424" s="898">
        <f>+Model!AI462</f>
        <v>0</v>
      </c>
      <c r="L424" s="898">
        <f>+Model!AJ462</f>
        <v>-15.981</v>
      </c>
      <c r="M424" s="898">
        <f>+Model!AK462</f>
        <v>-4.9000000000001265E-2</v>
      </c>
      <c r="N424" s="957">
        <f>+Model!AL462</f>
        <v>-7.6999999999998181E-2</v>
      </c>
      <c r="O424" s="898">
        <f>+Model!AM462</f>
        <v>0</v>
      </c>
      <c r="P424" s="898">
        <f>+Model!AN462</f>
        <v>0</v>
      </c>
      <c r="Q424" s="898">
        <f>+Model!AO462</f>
        <v>0</v>
      </c>
      <c r="R424" s="957">
        <f>+Model!AP462</f>
        <v>0</v>
      </c>
      <c r="S424" s="898">
        <f>+Model!AQ462</f>
        <v>0</v>
      </c>
      <c r="T424" s="898">
        <f>+Model!AR462</f>
        <v>0</v>
      </c>
      <c r="U424" s="898">
        <f>+Model!AS462</f>
        <v>0</v>
      </c>
      <c r="V424" s="957">
        <f>+Model!AT462</f>
        <v>0</v>
      </c>
      <c r="W424" s="898">
        <f>+Model!AU462</f>
        <v>0</v>
      </c>
      <c r="X424" s="877">
        <v>0</v>
      </c>
      <c r="Y424" s="877">
        <v>0</v>
      </c>
      <c r="Z424" s="877">
        <f t="shared" si="1302"/>
        <v>0</v>
      </c>
      <c r="AA424" s="1272">
        <v>0</v>
      </c>
      <c r="AB424" s="877"/>
      <c r="AC424" s="877"/>
      <c r="AD424" s="877"/>
      <c r="AE424" s="880"/>
      <c r="AF424" s="898">
        <f>+Model!AZ462</f>
        <v>0</v>
      </c>
      <c r="AG424" s="898">
        <f>+Model!BA462</f>
        <v>0</v>
      </c>
      <c r="AH424" s="898">
        <f>+Model!BB462</f>
        <v>0</v>
      </c>
      <c r="AI424" s="898">
        <f>+Model!BC462</f>
        <v>0</v>
      </c>
      <c r="AJ424" s="898">
        <f>+Model!BD462</f>
        <v>0</v>
      </c>
      <c r="AK424" s="898">
        <f>+Model!BE462</f>
        <v>0</v>
      </c>
      <c r="AL424" s="898">
        <f>+Model!BF462</f>
        <v>0</v>
      </c>
      <c r="AM424" s="898">
        <f>+Model!BG462</f>
        <v>0</v>
      </c>
      <c r="AN424" s="898">
        <f>+Model!BH462</f>
        <v>0</v>
      </c>
      <c r="AO424" s="898">
        <f>+Model!BI462</f>
        <v>0</v>
      </c>
      <c r="AP424" s="898">
        <f>+Model!BJ462</f>
        <v>0</v>
      </c>
      <c r="AQ424" s="898">
        <f>+Model!BK462</f>
        <v>0</v>
      </c>
      <c r="AR424" s="898">
        <f>+Model!BL462</f>
        <v>-16.106999999999999</v>
      </c>
      <c r="AS424" s="898">
        <f>+Model!BM462</f>
        <v>0</v>
      </c>
      <c r="AT424" s="898">
        <f>+Model!BN462</f>
        <v>0</v>
      </c>
      <c r="AU424" s="971">
        <v>0</v>
      </c>
      <c r="AV424" s="895"/>
    </row>
    <row r="425" spans="1:48" s="879" customFormat="1" ht="14" x14ac:dyDescent="0.4">
      <c r="A425" s="876" t="s">
        <v>148</v>
      </c>
      <c r="C425" s="898">
        <f>+Model!AA465</f>
        <v>0</v>
      </c>
      <c r="D425" s="898">
        <f>+Model!AB465</f>
        <v>0</v>
      </c>
      <c r="E425" s="898">
        <f>+Model!AC465</f>
        <v>0</v>
      </c>
      <c r="F425" s="898">
        <f>+Model!AD465</f>
        <v>0</v>
      </c>
      <c r="G425" s="898">
        <f>+Model!AE465</f>
        <v>0</v>
      </c>
      <c r="H425" s="898">
        <f>+Model!AF465</f>
        <v>0</v>
      </c>
      <c r="I425" s="898">
        <f>+Model!AG465</f>
        <v>0</v>
      </c>
      <c r="J425" s="957">
        <f>+Model!AH465</f>
        <v>0</v>
      </c>
      <c r="K425" s="898">
        <f>+Model!AI465</f>
        <v>0</v>
      </c>
      <c r="L425" s="898">
        <f>+Model!AJ465</f>
        <v>0</v>
      </c>
      <c r="M425" s="898">
        <f>+Model!AK465</f>
        <v>0</v>
      </c>
      <c r="N425" s="957">
        <f>+Model!AL465</f>
        <v>0</v>
      </c>
      <c r="O425" s="898">
        <f>+Model!AM465</f>
        <v>0</v>
      </c>
      <c r="P425" s="898">
        <f>+Model!AN465</f>
        <v>0</v>
      </c>
      <c r="Q425" s="898">
        <f>+Model!AO465</f>
        <v>0</v>
      </c>
      <c r="R425" s="957">
        <f>+Model!AP465</f>
        <v>0</v>
      </c>
      <c r="S425" s="898">
        <f>+Model!AQ465</f>
        <v>0</v>
      </c>
      <c r="T425" s="898">
        <f>+Model!AR465</f>
        <v>0</v>
      </c>
      <c r="U425" s="898">
        <f>+Model!AS465</f>
        <v>0</v>
      </c>
      <c r="V425" s="957">
        <f>+Model!AT465</f>
        <v>0</v>
      </c>
      <c r="W425" s="898">
        <f>+Model!AU465</f>
        <v>0</v>
      </c>
      <c r="X425" s="877">
        <v>0</v>
      </c>
      <c r="Y425" s="877">
        <v>0</v>
      </c>
      <c r="Z425" s="877">
        <f t="shared" si="1302"/>
        <v>0</v>
      </c>
      <c r="AA425" s="1272">
        <v>0</v>
      </c>
      <c r="AB425" s="877"/>
      <c r="AC425" s="877"/>
      <c r="AD425" s="877"/>
      <c r="AE425" s="880"/>
      <c r="AF425" s="898">
        <f>+Model!AZ465</f>
        <v>0</v>
      </c>
      <c r="AG425" s="898">
        <f>+Model!BA465</f>
        <v>0</v>
      </c>
      <c r="AH425" s="898">
        <f>+Model!BB465</f>
        <v>0</v>
      </c>
      <c r="AI425" s="898">
        <f>+Model!BC465</f>
        <v>-12.641</v>
      </c>
      <c r="AJ425" s="898">
        <f>+Model!BD465</f>
        <v>0</v>
      </c>
      <c r="AK425" s="898">
        <f>+Model!BE465</f>
        <v>0</v>
      </c>
      <c r="AL425" s="898">
        <f>+Model!BF465</f>
        <v>0</v>
      </c>
      <c r="AM425" s="898">
        <f>+Model!BG465</f>
        <v>0</v>
      </c>
      <c r="AN425" s="898">
        <f>+Model!BH465</f>
        <v>0</v>
      </c>
      <c r="AO425" s="898">
        <f>+Model!BI465</f>
        <v>0</v>
      </c>
      <c r="AP425" s="898">
        <f>+Model!BJ465</f>
        <v>0</v>
      </c>
      <c r="AQ425" s="898">
        <f>+Model!BK465</f>
        <v>0</v>
      </c>
      <c r="AR425" s="898">
        <f>+Model!BL465</f>
        <v>0</v>
      </c>
      <c r="AS425" s="898">
        <f>+Model!BM465</f>
        <v>0</v>
      </c>
      <c r="AT425" s="898">
        <f>+Model!BN465</f>
        <v>0</v>
      </c>
      <c r="AU425" s="971">
        <v>0</v>
      </c>
      <c r="AV425" s="895"/>
    </row>
    <row r="426" spans="1:48" s="879" customFormat="1" ht="14" x14ac:dyDescent="0.4">
      <c r="A426" s="876" t="s">
        <v>149</v>
      </c>
      <c r="C426" s="898">
        <f>+Model!AA466</f>
        <v>0</v>
      </c>
      <c r="D426" s="898">
        <f>+Model!AB466</f>
        <v>0</v>
      </c>
      <c r="E426" s="898">
        <f>+Model!AC466</f>
        <v>0</v>
      </c>
      <c r="F426" s="898">
        <f>+Model!AD466</f>
        <v>0</v>
      </c>
      <c r="G426" s="898">
        <f>+Model!AE466</f>
        <v>0</v>
      </c>
      <c r="H426" s="898">
        <f>+Model!AF466</f>
        <v>0</v>
      </c>
      <c r="I426" s="898">
        <f>+Model!AG466</f>
        <v>0</v>
      </c>
      <c r="J426" s="957">
        <f>+Model!AH466</f>
        <v>0</v>
      </c>
      <c r="K426" s="898">
        <f>+Model!AI466</f>
        <v>0</v>
      </c>
      <c r="L426" s="898">
        <f>+Model!AJ466</f>
        <v>0</v>
      </c>
      <c r="M426" s="898">
        <f>+Model!AK466</f>
        <v>0</v>
      </c>
      <c r="N426" s="957">
        <f>+Model!AL466</f>
        <v>0</v>
      </c>
      <c r="O426" s="898">
        <f>+Model!AM466</f>
        <v>0</v>
      </c>
      <c r="P426" s="898">
        <f>+Model!AN466</f>
        <v>0</v>
      </c>
      <c r="Q426" s="898">
        <f>+Model!AO466</f>
        <v>0</v>
      </c>
      <c r="R426" s="957">
        <f>+Model!AP466</f>
        <v>0</v>
      </c>
      <c r="S426" s="898">
        <f>+Model!AQ466</f>
        <v>0</v>
      </c>
      <c r="T426" s="898">
        <f>+Model!AR466</f>
        <v>0</v>
      </c>
      <c r="U426" s="898">
        <f>+Model!AS466</f>
        <v>0</v>
      </c>
      <c r="V426" s="957">
        <f>+Model!AT466</f>
        <v>0</v>
      </c>
      <c r="W426" s="898">
        <f>+Model!AU466</f>
        <v>0</v>
      </c>
      <c r="X426" s="877">
        <v>0</v>
      </c>
      <c r="Y426" s="877">
        <v>0</v>
      </c>
      <c r="Z426" s="877">
        <f t="shared" si="1302"/>
        <v>0</v>
      </c>
      <c r="AA426" s="1272">
        <v>0</v>
      </c>
      <c r="AB426" s="877"/>
      <c r="AC426" s="877"/>
      <c r="AD426" s="877"/>
      <c r="AE426" s="880"/>
      <c r="AF426" s="898">
        <f>+Model!AZ466</f>
        <v>0</v>
      </c>
      <c r="AG426" s="898">
        <f>+Model!BA466</f>
        <v>0</v>
      </c>
      <c r="AH426" s="898">
        <f>+Model!BB466</f>
        <v>0</v>
      </c>
      <c r="AI426" s="898">
        <f>+Model!BC466</f>
        <v>0</v>
      </c>
      <c r="AJ426" s="898">
        <f>+Model!BD466</f>
        <v>0</v>
      </c>
      <c r="AK426" s="898">
        <f>+Model!BE466</f>
        <v>0</v>
      </c>
      <c r="AL426" s="898">
        <f>+Model!BF466</f>
        <v>-6.5119999999999996</v>
      </c>
      <c r="AM426" s="898">
        <f>+Model!BG466</f>
        <v>0</v>
      </c>
      <c r="AN426" s="898">
        <f>+Model!BH466</f>
        <v>0</v>
      </c>
      <c r="AO426" s="898">
        <f>+Model!BI466</f>
        <v>0</v>
      </c>
      <c r="AP426" s="898">
        <f>+Model!BJ466</f>
        <v>0</v>
      </c>
      <c r="AQ426" s="898">
        <f>+Model!BK466</f>
        <v>0</v>
      </c>
      <c r="AR426" s="898">
        <f>+Model!BL466</f>
        <v>0</v>
      </c>
      <c r="AS426" s="898">
        <f>+Model!BM466</f>
        <v>0</v>
      </c>
      <c r="AT426" s="898">
        <f>+Model!BN466</f>
        <v>0</v>
      </c>
      <c r="AU426" s="971">
        <v>0</v>
      </c>
      <c r="AV426" s="895"/>
    </row>
    <row r="427" spans="1:48" s="879" customFormat="1" ht="14" x14ac:dyDescent="0.4">
      <c r="A427" s="876" t="s">
        <v>150</v>
      </c>
      <c r="C427" s="898">
        <f>+Model!AA467</f>
        <v>0</v>
      </c>
      <c r="D427" s="898">
        <f>+Model!AB467</f>
        <v>0</v>
      </c>
      <c r="E427" s="898">
        <f>+Model!AC467</f>
        <v>0</v>
      </c>
      <c r="F427" s="898">
        <f>+Model!AD467</f>
        <v>0</v>
      </c>
      <c r="G427" s="898">
        <f>+Model!AE467</f>
        <v>0</v>
      </c>
      <c r="H427" s="898">
        <f>+Model!AF467</f>
        <v>0</v>
      </c>
      <c r="I427" s="898">
        <f>+Model!AG467</f>
        <v>0</v>
      </c>
      <c r="J427" s="957">
        <f>+Model!AH467</f>
        <v>0</v>
      </c>
      <c r="K427" s="898">
        <f>+Model!AI467</f>
        <v>0</v>
      </c>
      <c r="L427" s="898">
        <f>+Model!AJ467</f>
        <v>0</v>
      </c>
      <c r="M427" s="898">
        <f>+Model!AK467</f>
        <v>0</v>
      </c>
      <c r="N427" s="957">
        <f>+Model!AL467</f>
        <v>0</v>
      </c>
      <c r="O427" s="898">
        <f>+Model!AM467</f>
        <v>0</v>
      </c>
      <c r="P427" s="898">
        <f>+Model!AN467</f>
        <v>0</v>
      </c>
      <c r="Q427" s="898">
        <f>+Model!AO467</f>
        <v>0</v>
      </c>
      <c r="R427" s="957">
        <f>+Model!AP467</f>
        <v>0</v>
      </c>
      <c r="S427" s="898">
        <f>+Model!AQ467</f>
        <v>0</v>
      </c>
      <c r="T427" s="898">
        <f>+Model!AR467</f>
        <v>0</v>
      </c>
      <c r="U427" s="898">
        <f>+Model!AS467</f>
        <v>0</v>
      </c>
      <c r="V427" s="957">
        <f>+Model!AT467</f>
        <v>0</v>
      </c>
      <c r="W427" s="898">
        <f>+Model!AU467</f>
        <v>0</v>
      </c>
      <c r="X427" s="877">
        <v>0</v>
      </c>
      <c r="Y427" s="877">
        <v>0</v>
      </c>
      <c r="Z427" s="877">
        <f t="shared" si="1302"/>
        <v>0</v>
      </c>
      <c r="AA427" s="1272">
        <v>0</v>
      </c>
      <c r="AB427" s="877"/>
      <c r="AC427" s="877"/>
      <c r="AD427" s="877"/>
      <c r="AE427" s="880"/>
      <c r="AF427" s="898">
        <f>+Model!AZ467</f>
        <v>-1.6E-2</v>
      </c>
      <c r="AG427" s="898">
        <f>+Model!BA467</f>
        <v>0</v>
      </c>
      <c r="AH427" s="898">
        <f>+Model!BB467</f>
        <v>0</v>
      </c>
      <c r="AI427" s="898">
        <f>+Model!BC467</f>
        <v>0</v>
      </c>
      <c r="AJ427" s="898">
        <f>+Model!BD467</f>
        <v>0</v>
      </c>
      <c r="AK427" s="898">
        <f>+Model!BE467</f>
        <v>0</v>
      </c>
      <c r="AL427" s="898">
        <f>+Model!BF467</f>
        <v>0</v>
      </c>
      <c r="AM427" s="898">
        <f>+Model!BG467</f>
        <v>0</v>
      </c>
      <c r="AN427" s="898">
        <f>+Model!BH467</f>
        <v>0</v>
      </c>
      <c r="AO427" s="898">
        <f>+Model!BI467</f>
        <v>0</v>
      </c>
      <c r="AP427" s="898">
        <f>+Model!BJ467</f>
        <v>0</v>
      </c>
      <c r="AQ427" s="898">
        <f>+Model!BK467</f>
        <v>0</v>
      </c>
      <c r="AR427" s="898">
        <f>+Model!BL467</f>
        <v>0</v>
      </c>
      <c r="AS427" s="898">
        <f>+Model!BM467</f>
        <v>0</v>
      </c>
      <c r="AT427" s="898">
        <f>+Model!BN467</f>
        <v>0</v>
      </c>
      <c r="AU427" s="971">
        <v>0</v>
      </c>
      <c r="AV427" s="895"/>
    </row>
    <row r="428" spans="1:48" s="879" customFormat="1" ht="14" x14ac:dyDescent="0.4">
      <c r="A428" s="876" t="s">
        <v>151</v>
      </c>
      <c r="C428" s="898">
        <f>+Model!AA468</f>
        <v>0</v>
      </c>
      <c r="D428" s="898">
        <f>+Model!AB468</f>
        <v>0</v>
      </c>
      <c r="E428" s="898">
        <f>+Model!AC468</f>
        <v>0</v>
      </c>
      <c r="F428" s="898">
        <f>+Model!AD468</f>
        <v>0</v>
      </c>
      <c r="G428" s="898">
        <f>+Model!AE468</f>
        <v>0</v>
      </c>
      <c r="H428" s="898">
        <f>+Model!AF468</f>
        <v>0</v>
      </c>
      <c r="I428" s="898">
        <f>+Model!AG468</f>
        <v>0</v>
      </c>
      <c r="J428" s="957">
        <f>+Model!AH468</f>
        <v>0</v>
      </c>
      <c r="K428" s="898">
        <f>+Model!AI468</f>
        <v>0</v>
      </c>
      <c r="L428" s="898">
        <f>+Model!AJ468</f>
        <v>0</v>
      </c>
      <c r="M428" s="898">
        <f>+Model!AK468</f>
        <v>0</v>
      </c>
      <c r="N428" s="957">
        <f>+Model!AL468</f>
        <v>0</v>
      </c>
      <c r="O428" s="898">
        <f>+Model!AM468</f>
        <v>0</v>
      </c>
      <c r="P428" s="898">
        <f>+Model!AN468</f>
        <v>0</v>
      </c>
      <c r="Q428" s="898">
        <f>+Model!AO468</f>
        <v>0</v>
      </c>
      <c r="R428" s="957">
        <f>+Model!AP468</f>
        <v>0</v>
      </c>
      <c r="S428" s="898">
        <f>+Model!AQ468</f>
        <v>0</v>
      </c>
      <c r="T428" s="898">
        <f>+Model!AR468</f>
        <v>0</v>
      </c>
      <c r="U428" s="898">
        <f>+Model!AS468</f>
        <v>0</v>
      </c>
      <c r="V428" s="957">
        <f>+Model!AT468</f>
        <v>0</v>
      </c>
      <c r="W428" s="898">
        <f>+Model!AU468</f>
        <v>0</v>
      </c>
      <c r="X428" s="877">
        <v>0</v>
      </c>
      <c r="Y428" s="877">
        <v>0</v>
      </c>
      <c r="Z428" s="877">
        <f t="shared" si="1302"/>
        <v>0</v>
      </c>
      <c r="AA428" s="1272">
        <v>0</v>
      </c>
      <c r="AB428" s="877"/>
      <c r="AC428" s="877"/>
      <c r="AD428" s="877"/>
      <c r="AE428" s="880"/>
      <c r="AF428" s="898">
        <f>+Model!AZ468</f>
        <v>0</v>
      </c>
      <c r="AG428" s="898">
        <f>+Model!BA468</f>
        <v>0</v>
      </c>
      <c r="AH428" s="898">
        <f>+Model!BB468</f>
        <v>-24.542999999999999</v>
      </c>
      <c r="AI428" s="898">
        <f>+Model!BC468</f>
        <v>0</v>
      </c>
      <c r="AJ428" s="898">
        <f>+Model!BD468</f>
        <v>0</v>
      </c>
      <c r="AK428" s="898">
        <f>+Model!BE468</f>
        <v>0</v>
      </c>
      <c r="AL428" s="898">
        <f>+Model!BF468</f>
        <v>0</v>
      </c>
      <c r="AM428" s="898">
        <f>+Model!BG468</f>
        <v>0</v>
      </c>
      <c r="AN428" s="898">
        <f>+Model!BH468</f>
        <v>0</v>
      </c>
      <c r="AO428" s="898">
        <f>+Model!BI468</f>
        <v>0</v>
      </c>
      <c r="AP428" s="898">
        <f>+Model!BJ468</f>
        <v>0</v>
      </c>
      <c r="AQ428" s="898">
        <f>+Model!BK468</f>
        <v>0</v>
      </c>
      <c r="AR428" s="898">
        <f>+Model!BL468</f>
        <v>0</v>
      </c>
      <c r="AS428" s="898">
        <f>+Model!BM468</f>
        <v>0</v>
      </c>
      <c r="AT428" s="898">
        <f>+Model!BN468</f>
        <v>0</v>
      </c>
      <c r="AU428" s="971">
        <v>0</v>
      </c>
      <c r="AV428" s="895"/>
    </row>
    <row r="429" spans="1:48" s="879" customFormat="1" ht="14" x14ac:dyDescent="0.4">
      <c r="A429" s="876" t="s">
        <v>152</v>
      </c>
      <c r="C429" s="898">
        <f>+Model!AA469</f>
        <v>0</v>
      </c>
      <c r="D429" s="898">
        <f>+Model!AB469</f>
        <v>0</v>
      </c>
      <c r="E429" s="898">
        <f>+Model!AC469</f>
        <v>0</v>
      </c>
      <c r="F429" s="898">
        <f>+Model!AD469</f>
        <v>0</v>
      </c>
      <c r="G429" s="898">
        <f>+Model!AE469</f>
        <v>0</v>
      </c>
      <c r="H429" s="898">
        <f>+Model!AF469</f>
        <v>0</v>
      </c>
      <c r="I429" s="898">
        <f>+Model!AG469</f>
        <v>0</v>
      </c>
      <c r="J429" s="957">
        <f>+Model!AH469</f>
        <v>0</v>
      </c>
      <c r="K429" s="898">
        <f>+Model!AI469</f>
        <v>0</v>
      </c>
      <c r="L429" s="898">
        <f>+Model!AJ469</f>
        <v>0</v>
      </c>
      <c r="M429" s="898">
        <f>+Model!AK469</f>
        <v>0</v>
      </c>
      <c r="N429" s="957">
        <f>+Model!AL469</f>
        <v>0</v>
      </c>
      <c r="O429" s="898">
        <f>+Model!AM469</f>
        <v>0</v>
      </c>
      <c r="P429" s="898">
        <f>+Model!AN469</f>
        <v>0</v>
      </c>
      <c r="Q429" s="898">
        <f>+Model!AO469</f>
        <v>0</v>
      </c>
      <c r="R429" s="957">
        <f>+Model!AP469</f>
        <v>0</v>
      </c>
      <c r="S429" s="898">
        <f>+Model!AQ469</f>
        <v>0</v>
      </c>
      <c r="T429" s="898">
        <f>+Model!AR469</f>
        <v>0</v>
      </c>
      <c r="U429" s="898">
        <f>+Model!AS469</f>
        <v>0</v>
      </c>
      <c r="V429" s="957">
        <f>+Model!AT469</f>
        <v>0</v>
      </c>
      <c r="W429" s="898">
        <f>+Model!AU469</f>
        <v>0</v>
      </c>
      <c r="X429" s="877">
        <v>0</v>
      </c>
      <c r="Y429" s="877">
        <v>0</v>
      </c>
      <c r="Z429" s="877">
        <f t="shared" si="1302"/>
        <v>0</v>
      </c>
      <c r="AA429" s="1272">
        <v>0</v>
      </c>
      <c r="AB429" s="877"/>
      <c r="AC429" s="877"/>
      <c r="AD429" s="877"/>
      <c r="AE429" s="880"/>
      <c r="AF429" s="898">
        <f>+Model!AZ469</f>
        <v>0</v>
      </c>
      <c r="AG429" s="898">
        <f>+Model!BA469</f>
        <v>0</v>
      </c>
      <c r="AH429" s="898">
        <f>+Model!BB469</f>
        <v>-0.83899999999999997</v>
      </c>
      <c r="AI429" s="898">
        <f>+Model!BC469</f>
        <v>0</v>
      </c>
      <c r="AJ429" s="898">
        <f>+Model!BD469</f>
        <v>0</v>
      </c>
      <c r="AK429" s="898">
        <f>+Model!BE469</f>
        <v>0</v>
      </c>
      <c r="AL429" s="898">
        <f>+Model!BF469</f>
        <v>0</v>
      </c>
      <c r="AM429" s="898">
        <f>+Model!BG469</f>
        <v>0</v>
      </c>
      <c r="AN429" s="898">
        <f>+Model!BH469</f>
        <v>0</v>
      </c>
      <c r="AO429" s="898">
        <f>+Model!BI469</f>
        <v>0</v>
      </c>
      <c r="AP429" s="898">
        <f>+Model!BJ469</f>
        <v>0</v>
      </c>
      <c r="AQ429" s="898">
        <f>+Model!BK469</f>
        <v>0</v>
      </c>
      <c r="AR429" s="898">
        <f>+Model!BL469</f>
        <v>0</v>
      </c>
      <c r="AS429" s="898">
        <f>+Model!BM469</f>
        <v>0</v>
      </c>
      <c r="AT429" s="898">
        <f>+Model!BN469</f>
        <v>0</v>
      </c>
      <c r="AU429" s="971">
        <v>0</v>
      </c>
      <c r="AV429" s="895"/>
    </row>
    <row r="430" spans="1:48" s="879" customFormat="1" ht="14" x14ac:dyDescent="0.4">
      <c r="A430" s="876" t="s">
        <v>153</v>
      </c>
      <c r="C430" s="898">
        <f>+Model!AA470</f>
        <v>0</v>
      </c>
      <c r="D430" s="898">
        <f>+Model!AB470</f>
        <v>0</v>
      </c>
      <c r="E430" s="898">
        <f>+Model!AC470</f>
        <v>0</v>
      </c>
      <c r="F430" s="898">
        <f>+Model!AD470</f>
        <v>0</v>
      </c>
      <c r="G430" s="898">
        <f>+Model!AE470</f>
        <v>0</v>
      </c>
      <c r="H430" s="898">
        <f>+Model!AF470</f>
        <v>0</v>
      </c>
      <c r="I430" s="898">
        <f>+Model!AG470</f>
        <v>0</v>
      </c>
      <c r="J430" s="957">
        <f>+Model!AH470</f>
        <v>0</v>
      </c>
      <c r="K430" s="898">
        <f>+Model!AI470</f>
        <v>0</v>
      </c>
      <c r="L430" s="898">
        <f>+Model!AJ470</f>
        <v>0</v>
      </c>
      <c r="M430" s="898">
        <f>+Model!AK470</f>
        <v>0</v>
      </c>
      <c r="N430" s="957">
        <f>+Model!AL470</f>
        <v>0</v>
      </c>
      <c r="O430" s="898">
        <f>+Model!AM470</f>
        <v>0</v>
      </c>
      <c r="P430" s="898">
        <f>+Model!AN470</f>
        <v>0</v>
      </c>
      <c r="Q430" s="898">
        <f>+Model!AO470</f>
        <v>0</v>
      </c>
      <c r="R430" s="957">
        <f>+Model!AP470</f>
        <v>0</v>
      </c>
      <c r="S430" s="898">
        <f>+Model!AQ470</f>
        <v>0</v>
      </c>
      <c r="T430" s="898">
        <f>+Model!AR470</f>
        <v>0</v>
      </c>
      <c r="U430" s="898">
        <f>+Model!AS470</f>
        <v>0</v>
      </c>
      <c r="V430" s="957">
        <f>+Model!AT470</f>
        <v>0</v>
      </c>
      <c r="W430" s="898">
        <f>+Model!AU470</f>
        <v>0</v>
      </c>
      <c r="X430" s="877">
        <v>0</v>
      </c>
      <c r="Y430" s="877">
        <v>0</v>
      </c>
      <c r="Z430" s="877">
        <f t="shared" si="1302"/>
        <v>0</v>
      </c>
      <c r="AA430" s="1272">
        <v>0</v>
      </c>
      <c r="AB430" s="877"/>
      <c r="AC430" s="877"/>
      <c r="AD430" s="877"/>
      <c r="AE430" s="880"/>
      <c r="AF430" s="898">
        <f>+Model!AZ470</f>
        <v>0</v>
      </c>
      <c r="AG430" s="898">
        <f>+Model!BA470</f>
        <v>0</v>
      </c>
      <c r="AH430" s="898">
        <f>+Model!BB470</f>
        <v>-6.8250000000000002</v>
      </c>
      <c r="AI430" s="898">
        <f>+Model!BC470</f>
        <v>0</v>
      </c>
      <c r="AJ430" s="898">
        <f>+Model!BD470</f>
        <v>0</v>
      </c>
      <c r="AK430" s="898">
        <f>+Model!BE470</f>
        <v>0</v>
      </c>
      <c r="AL430" s="898">
        <f>+Model!BF470</f>
        <v>0</v>
      </c>
      <c r="AM430" s="898">
        <f>+Model!BG470</f>
        <v>0</v>
      </c>
      <c r="AN430" s="898">
        <f>+Model!BH470</f>
        <v>0</v>
      </c>
      <c r="AO430" s="898">
        <f>+Model!BI470</f>
        <v>0</v>
      </c>
      <c r="AP430" s="898">
        <f>+Model!BJ470</f>
        <v>0</v>
      </c>
      <c r="AQ430" s="898">
        <f>+Model!BK470</f>
        <v>0</v>
      </c>
      <c r="AR430" s="898">
        <f>+Model!BL470</f>
        <v>0</v>
      </c>
      <c r="AS430" s="898">
        <f>+Model!BM470</f>
        <v>0</v>
      </c>
      <c r="AT430" s="898">
        <f>+Model!BN470</f>
        <v>0</v>
      </c>
      <c r="AU430" s="971">
        <v>0</v>
      </c>
      <c r="AV430" s="895"/>
    </row>
    <row r="431" spans="1:48" s="879" customFormat="1" ht="14" x14ac:dyDescent="0.4">
      <c r="A431" s="876" t="s">
        <v>154</v>
      </c>
      <c r="C431" s="898">
        <f>+Model!AA471</f>
        <v>0</v>
      </c>
      <c r="D431" s="898">
        <f>+Model!AB471</f>
        <v>0</v>
      </c>
      <c r="E431" s="898">
        <f>+Model!AC471</f>
        <v>0</v>
      </c>
      <c r="F431" s="898">
        <f>+Model!AD471</f>
        <v>0</v>
      </c>
      <c r="G431" s="898">
        <f>+Model!AE471</f>
        <v>0</v>
      </c>
      <c r="H431" s="898">
        <f>+Model!AF471</f>
        <v>0</v>
      </c>
      <c r="I431" s="898">
        <f>+Model!AG471</f>
        <v>0</v>
      </c>
      <c r="J431" s="957">
        <f>+Model!AH471</f>
        <v>0</v>
      </c>
      <c r="K431" s="898">
        <f>+Model!AI471</f>
        <v>0</v>
      </c>
      <c r="L431" s="898">
        <f>+Model!AJ471</f>
        <v>0</v>
      </c>
      <c r="M431" s="898">
        <f>+Model!AK471</f>
        <v>0</v>
      </c>
      <c r="N431" s="957">
        <f>+Model!AL471</f>
        <v>0</v>
      </c>
      <c r="O431" s="898">
        <f>+Model!AM471</f>
        <v>0</v>
      </c>
      <c r="P431" s="898">
        <f>+Model!AN471</f>
        <v>0</v>
      </c>
      <c r="Q431" s="898">
        <f>+Model!AO471</f>
        <v>0</v>
      </c>
      <c r="R431" s="957">
        <f>+Model!AP471</f>
        <v>0</v>
      </c>
      <c r="S431" s="898">
        <f>+Model!AQ471</f>
        <v>0</v>
      </c>
      <c r="T431" s="898">
        <f>+Model!AR471</f>
        <v>0</v>
      </c>
      <c r="U431" s="898">
        <f>+Model!AS471</f>
        <v>0</v>
      </c>
      <c r="V431" s="957">
        <f>+Model!AT471</f>
        <v>0</v>
      </c>
      <c r="W431" s="898">
        <f>+Model!AU471</f>
        <v>0</v>
      </c>
      <c r="X431" s="877">
        <v>0</v>
      </c>
      <c r="Y431" s="877">
        <v>0</v>
      </c>
      <c r="Z431" s="877">
        <f t="shared" si="1302"/>
        <v>0</v>
      </c>
      <c r="AA431" s="1272">
        <v>0</v>
      </c>
      <c r="AB431" s="877"/>
      <c r="AC431" s="877"/>
      <c r="AD431" s="877"/>
      <c r="AE431" s="880"/>
      <c r="AF431" s="898">
        <f>+Model!AZ471</f>
        <v>0</v>
      </c>
      <c r="AG431" s="898">
        <f>+Model!BA471</f>
        <v>0</v>
      </c>
      <c r="AH431" s="898">
        <f>+Model!BB471</f>
        <v>6.8250000000000002</v>
      </c>
      <c r="AI431" s="898">
        <f>+Model!BC471</f>
        <v>0</v>
      </c>
      <c r="AJ431" s="898">
        <f>+Model!BD471</f>
        <v>0</v>
      </c>
      <c r="AK431" s="898">
        <f>+Model!BE471</f>
        <v>0</v>
      </c>
      <c r="AL431" s="898">
        <f>+Model!BF471</f>
        <v>0</v>
      </c>
      <c r="AM431" s="898">
        <f>+Model!BG471</f>
        <v>0</v>
      </c>
      <c r="AN431" s="898">
        <f>+Model!BH471</f>
        <v>0</v>
      </c>
      <c r="AO431" s="898">
        <f>+Model!BI471</f>
        <v>0</v>
      </c>
      <c r="AP431" s="898">
        <f>+Model!BJ471</f>
        <v>0</v>
      </c>
      <c r="AQ431" s="898">
        <f>+Model!BK471</f>
        <v>0</v>
      </c>
      <c r="AR431" s="898">
        <f>+Model!BL471</f>
        <v>0</v>
      </c>
      <c r="AS431" s="898">
        <f>+Model!BM471</f>
        <v>0</v>
      </c>
      <c r="AT431" s="898">
        <f>+Model!BN471</f>
        <v>0</v>
      </c>
      <c r="AU431" s="971">
        <v>0</v>
      </c>
      <c r="AV431" s="895"/>
    </row>
    <row r="432" spans="1:48" s="879" customFormat="1" ht="14" x14ac:dyDescent="0.4">
      <c r="A432" s="876" t="s">
        <v>861</v>
      </c>
      <c r="C432" s="898">
        <f>+Model!AA472</f>
        <v>0</v>
      </c>
      <c r="D432" s="898">
        <f>+Model!AB472</f>
        <v>0</v>
      </c>
      <c r="E432" s="898">
        <f>+Model!AC472</f>
        <v>0</v>
      </c>
      <c r="F432" s="898">
        <f>+Model!AD472</f>
        <v>0</v>
      </c>
      <c r="G432" s="898">
        <f>+Model!AE472</f>
        <v>0</v>
      </c>
      <c r="H432" s="898">
        <f>+Model!AF472</f>
        <v>0</v>
      </c>
      <c r="I432" s="898">
        <f>+Model!AG472</f>
        <v>0</v>
      </c>
      <c r="J432" s="957">
        <f>+Model!AH472</f>
        <v>0</v>
      </c>
      <c r="K432" s="898">
        <f>+Model!AI472</f>
        <v>0</v>
      </c>
      <c r="L432" s="898">
        <f>+Model!AJ472</f>
        <v>0</v>
      </c>
      <c r="M432" s="898">
        <f>+Model!AK472</f>
        <v>0</v>
      </c>
      <c r="N432" s="957">
        <f>+Model!AL472</f>
        <v>0</v>
      </c>
      <c r="O432" s="898">
        <f>+Model!AM472</f>
        <v>0</v>
      </c>
      <c r="P432" s="898">
        <f>+Model!AN472</f>
        <v>0</v>
      </c>
      <c r="Q432" s="898">
        <f>+Model!AO472</f>
        <v>0</v>
      </c>
      <c r="R432" s="957">
        <f>+Model!AP472</f>
        <v>0</v>
      </c>
      <c r="S432" s="898">
        <f>+Model!AQ472</f>
        <v>-1.409</v>
      </c>
      <c r="T432" s="898">
        <f>+Model!AR472</f>
        <v>0</v>
      </c>
      <c r="U432" s="898">
        <f>+Model!AS472</f>
        <v>0</v>
      </c>
      <c r="V432" s="957">
        <f>+Model!AT472</f>
        <v>0</v>
      </c>
      <c r="W432" s="898">
        <f>+Model!AU472</f>
        <v>0</v>
      </c>
      <c r="X432" s="877">
        <v>0</v>
      </c>
      <c r="Y432" s="877">
        <v>0</v>
      </c>
      <c r="Z432" s="877">
        <f t="shared" si="1302"/>
        <v>0</v>
      </c>
      <c r="AA432" s="1272">
        <v>0</v>
      </c>
      <c r="AB432" s="877"/>
      <c r="AC432" s="877"/>
      <c r="AD432" s="877"/>
      <c r="AE432" s="880"/>
      <c r="AF432" s="898">
        <f>+Model!AZ472</f>
        <v>0</v>
      </c>
      <c r="AG432" s="898">
        <f>+Model!BA472</f>
        <v>0</v>
      </c>
      <c r="AH432" s="898">
        <f>+Model!BB472</f>
        <v>0</v>
      </c>
      <c r="AI432" s="898">
        <f>+Model!BC472</f>
        <v>0</v>
      </c>
      <c r="AJ432" s="898">
        <f>+Model!BD472</f>
        <v>0</v>
      </c>
      <c r="AK432" s="898">
        <f>+Model!BE472</f>
        <v>0</v>
      </c>
      <c r="AL432" s="898">
        <f>+Model!BF472</f>
        <v>0</v>
      </c>
      <c r="AM432" s="898">
        <f>+Model!BG472</f>
        <v>0</v>
      </c>
      <c r="AN432" s="898">
        <f>+Model!BH472</f>
        <v>0</v>
      </c>
      <c r="AO432" s="898">
        <f>+Model!BI472</f>
        <v>0</v>
      </c>
      <c r="AP432" s="898">
        <f>+Model!BJ472</f>
        <v>0</v>
      </c>
      <c r="AQ432" s="898">
        <f>+Model!BK472</f>
        <v>0</v>
      </c>
      <c r="AR432" s="898">
        <f>+Model!BL472</f>
        <v>0</v>
      </c>
      <c r="AS432" s="898">
        <f>+Model!BM472</f>
        <v>0</v>
      </c>
      <c r="AT432" s="898">
        <f>+Model!BN472</f>
        <v>-1.409</v>
      </c>
      <c r="AU432" s="971">
        <v>0</v>
      </c>
      <c r="AV432" s="895"/>
    </row>
    <row r="433" spans="1:48" s="879" customFormat="1" ht="14" x14ac:dyDescent="0.4">
      <c r="A433" s="876" t="s">
        <v>866</v>
      </c>
      <c r="C433" s="898">
        <f>+Model!AA473</f>
        <v>-11.651999999999999</v>
      </c>
      <c r="D433" s="898">
        <f>+Model!AB473</f>
        <v>0</v>
      </c>
      <c r="E433" s="898">
        <f>+Model!AC473</f>
        <v>0</v>
      </c>
      <c r="F433" s="898">
        <f>+Model!AD473</f>
        <v>-1.4400000000000013</v>
      </c>
      <c r="G433" s="898">
        <f>+Model!AE473</f>
        <v>-1.2769999999999999</v>
      </c>
      <c r="H433" s="898">
        <f>+Model!AF473</f>
        <v>-2.8369999999999997</v>
      </c>
      <c r="I433" s="898">
        <f>+Model!AG473</f>
        <v>-0.16300000000000026</v>
      </c>
      <c r="J433" s="957">
        <f>+Model!AH473</f>
        <v>-9.6000000000000085E-2</v>
      </c>
      <c r="K433" s="898">
        <f>+Model!AI473</f>
        <v>-3.113</v>
      </c>
      <c r="L433" s="898">
        <f>+Model!AJ473</f>
        <v>2.9249999999999998</v>
      </c>
      <c r="M433" s="898">
        <f>+Model!AK473</f>
        <v>-0.82000000000000006</v>
      </c>
      <c r="N433" s="957">
        <f>+Model!AL473</f>
        <v>-0.71500000000000008</v>
      </c>
      <c r="O433" s="898">
        <f>+Model!AM473</f>
        <v>-0.192</v>
      </c>
      <c r="P433" s="898">
        <f>+Model!AN473</f>
        <v>-3.7639999999999998</v>
      </c>
      <c r="Q433" s="898">
        <f>+Model!AO473</f>
        <v>0.30200000000000005</v>
      </c>
      <c r="R433" s="957">
        <f>+Model!AP473</f>
        <v>-0.24500000000000011</v>
      </c>
      <c r="S433" s="898">
        <f>+Model!AQ473</f>
        <v>-0.21299999999999999</v>
      </c>
      <c r="T433" s="898">
        <f>+Model!AR473</f>
        <v>-0.55400000000000005</v>
      </c>
      <c r="U433" s="898">
        <f>+Model!AS473</f>
        <v>-0.61</v>
      </c>
      <c r="V433" s="957">
        <f>+Model!AT473</f>
        <v>-0.27499999999999991</v>
      </c>
      <c r="W433" s="898">
        <f>+Model!AU473</f>
        <v>-0.16600000000000001</v>
      </c>
      <c r="X433" s="877">
        <f>-0.275-W433</f>
        <v>-0.10900000000000001</v>
      </c>
      <c r="Y433" s="877">
        <f>-0.693-X433-W433</f>
        <v>-0.41799999999999993</v>
      </c>
      <c r="Z433" s="877">
        <f t="shared" si="1302"/>
        <v>-4.5030000000000001</v>
      </c>
      <c r="AA433" s="1272">
        <v>-0.34699999999999998</v>
      </c>
      <c r="AB433" s="877"/>
      <c r="AC433" s="877"/>
      <c r="AD433" s="877"/>
      <c r="AE433" s="880"/>
      <c r="AF433" s="898">
        <f>+Model!AZ473</f>
        <v>0</v>
      </c>
      <c r="AG433" s="898">
        <f>+Model!BA473</f>
        <v>0</v>
      </c>
      <c r="AH433" s="898">
        <f>+Model!BB473</f>
        <v>0</v>
      </c>
      <c r="AI433" s="898">
        <f>+Model!BC473</f>
        <v>0</v>
      </c>
      <c r="AJ433" s="898">
        <f>+Model!BD473</f>
        <v>0</v>
      </c>
      <c r="AK433" s="898">
        <f>+Model!BE473</f>
        <v>0</v>
      </c>
      <c r="AL433" s="898">
        <f>+Model!BF473</f>
        <v>0</v>
      </c>
      <c r="AM433" s="898">
        <f>+Model!BG473</f>
        <v>0</v>
      </c>
      <c r="AN433" s="898">
        <f>+Model!BH473</f>
        <v>0</v>
      </c>
      <c r="AO433" s="898">
        <f>+Model!BI473</f>
        <v>0</v>
      </c>
      <c r="AP433" s="898">
        <f>+Model!BJ473</f>
        <v>-13.092000000000001</v>
      </c>
      <c r="AQ433" s="898">
        <f>+Model!BK473</f>
        <v>-4.3730000000000002</v>
      </c>
      <c r="AR433" s="898">
        <f>+Model!BL473</f>
        <v>-1.7230000000000001</v>
      </c>
      <c r="AS433" s="898">
        <f>+Model!BM473</f>
        <v>-3.899</v>
      </c>
      <c r="AT433" s="898">
        <f>+Model!BN473</f>
        <v>-1.6519999999999999</v>
      </c>
      <c r="AU433" s="971">
        <v>-5.1959999999999997</v>
      </c>
      <c r="AV433" s="895"/>
    </row>
    <row r="434" spans="1:48" s="879" customFormat="1" ht="14" x14ac:dyDescent="0.4">
      <c r="A434" s="876" t="s">
        <v>862</v>
      </c>
      <c r="C434" s="898">
        <f>+Model!AA474</f>
        <v>0</v>
      </c>
      <c r="D434" s="898">
        <f>+Model!AB474</f>
        <v>0</v>
      </c>
      <c r="E434" s="898">
        <f>+Model!AC474</f>
        <v>0</v>
      </c>
      <c r="F434" s="898">
        <f>+Model!AD474</f>
        <v>0</v>
      </c>
      <c r="G434" s="898">
        <f>+Model!AE474</f>
        <v>0</v>
      </c>
      <c r="H434" s="898">
        <f>+Model!AF474</f>
        <v>0</v>
      </c>
      <c r="I434" s="898">
        <f>+Model!AG474</f>
        <v>0</v>
      </c>
      <c r="J434" s="957">
        <f>+Model!AH474</f>
        <v>0</v>
      </c>
      <c r="K434" s="898">
        <f>+Model!AI474</f>
        <v>0</v>
      </c>
      <c r="L434" s="898">
        <f>+Model!AJ474</f>
        <v>0</v>
      </c>
      <c r="M434" s="898">
        <f>+Model!AK474</f>
        <v>0</v>
      </c>
      <c r="N434" s="957">
        <f>+Model!AL474</f>
        <v>0</v>
      </c>
      <c r="O434" s="898">
        <f>+Model!AM474</f>
        <v>1.5009999999999999</v>
      </c>
      <c r="P434" s="898">
        <f>+Model!AN474</f>
        <v>5.7469999999999999</v>
      </c>
      <c r="Q434" s="898">
        <f>+Model!AO474</f>
        <v>12.655999999999999</v>
      </c>
      <c r="R434" s="957">
        <f>+Model!AP474</f>
        <v>20.258999999999997</v>
      </c>
      <c r="S434" s="898">
        <f>+Model!AQ474</f>
        <v>12.044</v>
      </c>
      <c r="T434" s="898">
        <f>+Model!AR474</f>
        <v>24.684999999999999</v>
      </c>
      <c r="U434" s="898">
        <f>+Model!AS474</f>
        <v>29.474999999999994</v>
      </c>
      <c r="V434" s="957">
        <f>+Model!AT474</f>
        <v>25.675000000000011</v>
      </c>
      <c r="W434" s="898">
        <f>+Model!AU474</f>
        <v>40.734000000000002</v>
      </c>
      <c r="X434" s="877">
        <f>80.361-W434</f>
        <v>39.627000000000002</v>
      </c>
      <c r="Y434" s="877">
        <f>107.02-X434-W434</f>
        <v>26.658999999999999</v>
      </c>
      <c r="Z434" s="877">
        <f t="shared" si="1302"/>
        <v>97.466999999999985</v>
      </c>
      <c r="AA434" s="1272">
        <v>54.4</v>
      </c>
      <c r="AB434" s="877"/>
      <c r="AC434" s="877"/>
      <c r="AD434" s="877"/>
      <c r="AE434" s="880"/>
      <c r="AF434" s="898">
        <f>+Model!AZ474</f>
        <v>0</v>
      </c>
      <c r="AG434" s="898">
        <f>+Model!BA474</f>
        <v>0</v>
      </c>
      <c r="AH434" s="898">
        <f>+Model!BB474</f>
        <v>0</v>
      </c>
      <c r="AI434" s="898">
        <f>+Model!BC474</f>
        <v>0</v>
      </c>
      <c r="AJ434" s="898">
        <f>+Model!BD474</f>
        <v>0</v>
      </c>
      <c r="AK434" s="898">
        <f>+Model!BE474</f>
        <v>0</v>
      </c>
      <c r="AL434" s="898">
        <f>+Model!BF474</f>
        <v>0</v>
      </c>
      <c r="AM434" s="898">
        <f>+Model!BG474</f>
        <v>0</v>
      </c>
      <c r="AN434" s="898">
        <f>+Model!BH474</f>
        <v>0</v>
      </c>
      <c r="AO434" s="898">
        <f>+Model!BI474</f>
        <v>0</v>
      </c>
      <c r="AP434" s="898">
        <f>+Model!BJ474</f>
        <v>0</v>
      </c>
      <c r="AQ434" s="898">
        <f>+Model!BK474</f>
        <v>0</v>
      </c>
      <c r="AR434" s="898">
        <f>+Model!BL474</f>
        <v>0</v>
      </c>
      <c r="AS434" s="898">
        <f>+Model!BM474</f>
        <v>40.162999999999997</v>
      </c>
      <c r="AT434" s="898">
        <f>+Model!BN474</f>
        <v>91.879000000000005</v>
      </c>
      <c r="AU434" s="971">
        <v>204.48699999999999</v>
      </c>
      <c r="AV434" s="895"/>
    </row>
    <row r="435" spans="1:48" s="879" customFormat="1" ht="14" x14ac:dyDescent="0.4">
      <c r="A435" s="876" t="s">
        <v>863</v>
      </c>
      <c r="C435" s="898">
        <f>+Model!AA475</f>
        <v>0</v>
      </c>
      <c r="D435" s="898">
        <f>+Model!AB475</f>
        <v>0</v>
      </c>
      <c r="E435" s="898">
        <f>+Model!AC475</f>
        <v>0</v>
      </c>
      <c r="F435" s="898">
        <f>+Model!AD475</f>
        <v>0</v>
      </c>
      <c r="G435" s="898">
        <f>+Model!AE475</f>
        <v>0</v>
      </c>
      <c r="H435" s="898">
        <f>+Model!AF475</f>
        <v>0</v>
      </c>
      <c r="I435" s="898">
        <f>+Model!AG475</f>
        <v>0</v>
      </c>
      <c r="J435" s="957">
        <f>+Model!AH475</f>
        <v>0</v>
      </c>
      <c r="K435" s="898">
        <f>+Model!AI475</f>
        <v>0</v>
      </c>
      <c r="L435" s="898">
        <f>+Model!AJ475</f>
        <v>0</v>
      </c>
      <c r="M435" s="898">
        <f>+Model!AK475</f>
        <v>0</v>
      </c>
      <c r="N435" s="957">
        <f>+Model!AL475</f>
        <v>-40.542000000000002</v>
      </c>
      <c r="O435" s="898">
        <f>+Model!AM475</f>
        <v>-9.1959999999999997</v>
      </c>
      <c r="P435" s="898">
        <f>+Model!AN475</f>
        <v>-29.524000000000001</v>
      </c>
      <c r="Q435" s="898">
        <f>+Model!AO475</f>
        <v>-25.430999999999997</v>
      </c>
      <c r="R435" s="957">
        <f>+Model!AP475</f>
        <v>-20.506</v>
      </c>
      <c r="S435" s="898">
        <f>+Model!AQ475</f>
        <v>-20.126000000000001</v>
      </c>
      <c r="T435" s="898">
        <f>+Model!AR475</f>
        <v>-35.753</v>
      </c>
      <c r="U435" s="898">
        <f>+Model!AS475</f>
        <v>-29.410000000000004</v>
      </c>
      <c r="V435" s="957">
        <f>+Model!AT475</f>
        <v>-55.280999999999992</v>
      </c>
      <c r="W435" s="898">
        <f>+Model!AU475</f>
        <v>-31.484000000000002</v>
      </c>
      <c r="X435" s="877">
        <f>-120.047-W435</f>
        <v>-88.562999999999988</v>
      </c>
      <c r="Y435" s="877">
        <f>-162.179-X435-W435</f>
        <v>-42.132000000000012</v>
      </c>
      <c r="Z435" s="877">
        <f t="shared" si="1302"/>
        <v>-115.39399999999998</v>
      </c>
      <c r="AA435" s="1272">
        <v>-60.161999999999999</v>
      </c>
      <c r="AB435" s="877"/>
      <c r="AC435" s="877"/>
      <c r="AD435" s="877"/>
      <c r="AE435" s="880"/>
      <c r="AF435" s="898">
        <f>+Model!AZ475</f>
        <v>0</v>
      </c>
      <c r="AG435" s="898">
        <f>+Model!BA475</f>
        <v>0</v>
      </c>
      <c r="AH435" s="898">
        <f>+Model!BB475</f>
        <v>0</v>
      </c>
      <c r="AI435" s="898">
        <f>+Model!BC475</f>
        <v>0</v>
      </c>
      <c r="AJ435" s="898">
        <f>+Model!BD475</f>
        <v>0</v>
      </c>
      <c r="AK435" s="898">
        <f>+Model!BE475</f>
        <v>0</v>
      </c>
      <c r="AL435" s="898">
        <f>+Model!BF475</f>
        <v>0</v>
      </c>
      <c r="AM435" s="898">
        <f>+Model!BG475</f>
        <v>0</v>
      </c>
      <c r="AN435" s="898">
        <f>+Model!BH475</f>
        <v>0</v>
      </c>
      <c r="AO435" s="898">
        <f>+Model!BI475</f>
        <v>0</v>
      </c>
      <c r="AP435" s="898">
        <f>+Model!BJ475</f>
        <v>0</v>
      </c>
      <c r="AQ435" s="898">
        <f>+Model!BK475</f>
        <v>0</v>
      </c>
      <c r="AR435" s="898">
        <f>+Model!BL475</f>
        <v>-40.542000000000002</v>
      </c>
      <c r="AS435" s="898">
        <f>+Model!BM475</f>
        <v>-84.656999999999996</v>
      </c>
      <c r="AT435" s="898">
        <f>+Model!BN475</f>
        <v>-140.57</v>
      </c>
      <c r="AU435" s="971">
        <v>-277.57299999999998</v>
      </c>
      <c r="AV435" s="895"/>
    </row>
    <row r="436" spans="1:48" s="879" customFormat="1" ht="14" x14ac:dyDescent="0.4">
      <c r="A436" s="876" t="s">
        <v>156</v>
      </c>
      <c r="C436" s="905">
        <f>+Model!AA476</f>
        <v>0</v>
      </c>
      <c r="D436" s="905">
        <f>+Model!AB476</f>
        <v>0</v>
      </c>
      <c r="E436" s="905">
        <f>+Model!AC476</f>
        <v>0</v>
      </c>
      <c r="F436" s="905">
        <f>+Model!AD476</f>
        <v>0</v>
      </c>
      <c r="G436" s="905">
        <f>+Model!AE476</f>
        <v>0</v>
      </c>
      <c r="H436" s="905">
        <f>+Model!AF476</f>
        <v>0</v>
      </c>
      <c r="I436" s="905">
        <f>+Model!AG476</f>
        <v>0</v>
      </c>
      <c r="J436" s="958">
        <f>+Model!AH476</f>
        <v>0</v>
      </c>
      <c r="K436" s="905">
        <f>+Model!AI476</f>
        <v>0</v>
      </c>
      <c r="L436" s="905">
        <f>+Model!AJ476</f>
        <v>0</v>
      </c>
      <c r="M436" s="905">
        <f>+Model!AK476</f>
        <v>0</v>
      </c>
      <c r="N436" s="958">
        <f>+Model!AL476</f>
        <v>0</v>
      </c>
      <c r="O436" s="905">
        <f>+Model!AM476</f>
        <v>0</v>
      </c>
      <c r="P436" s="905">
        <f>+Model!AN476</f>
        <v>0</v>
      </c>
      <c r="Q436" s="905">
        <f>+Model!AO476</f>
        <v>0</v>
      </c>
      <c r="R436" s="958">
        <f>+Model!AP476</f>
        <v>0</v>
      </c>
      <c r="S436" s="905">
        <f>+Model!AQ476</f>
        <v>0</v>
      </c>
      <c r="T436" s="905">
        <f>+Model!AR476</f>
        <v>0</v>
      </c>
      <c r="U436" s="905">
        <f>+Model!AS476</f>
        <v>0</v>
      </c>
      <c r="V436" s="958">
        <f>+Model!AT476</f>
        <v>0</v>
      </c>
      <c r="W436" s="905">
        <f>+Model!AU476</f>
        <v>0</v>
      </c>
      <c r="X436" s="880">
        <v>0</v>
      </c>
      <c r="Y436" s="880">
        <v>0</v>
      </c>
      <c r="Z436" s="880">
        <f t="shared" si="1302"/>
        <v>0</v>
      </c>
      <c r="AA436" s="1273">
        <v>0</v>
      </c>
      <c r="AB436" s="880"/>
      <c r="AC436" s="880"/>
      <c r="AD436" s="880"/>
      <c r="AE436" s="880"/>
      <c r="AF436" s="905">
        <f>+Model!AZ476</f>
        <v>0</v>
      </c>
      <c r="AG436" s="905">
        <f>+Model!BA476</f>
        <v>0</v>
      </c>
      <c r="AH436" s="905">
        <f>+Model!BB476</f>
        <v>-10</v>
      </c>
      <c r="AI436" s="905">
        <f>+Model!BC476</f>
        <v>0</v>
      </c>
      <c r="AJ436" s="905">
        <f>+Model!BD476</f>
        <v>0</v>
      </c>
      <c r="AK436" s="905">
        <f>+Model!BE476</f>
        <v>0</v>
      </c>
      <c r="AL436" s="905">
        <f>+Model!BF476</f>
        <v>0</v>
      </c>
      <c r="AM436" s="905">
        <f>+Model!BG476</f>
        <v>0</v>
      </c>
      <c r="AN436" s="905">
        <f>+Model!BH476</f>
        <v>0</v>
      </c>
      <c r="AO436" s="905">
        <f>+Model!BI476</f>
        <v>0</v>
      </c>
      <c r="AP436" s="905">
        <f>+Model!BJ476</f>
        <v>0</v>
      </c>
      <c r="AQ436" s="905">
        <f>+Model!BK476</f>
        <v>0</v>
      </c>
      <c r="AR436" s="905">
        <f>+Model!BL476</f>
        <v>0</v>
      </c>
      <c r="AS436" s="905">
        <f>+Model!BM476</f>
        <v>0</v>
      </c>
      <c r="AT436" s="905">
        <f>+Model!BN476</f>
        <v>0</v>
      </c>
      <c r="AU436" s="972">
        <v>0</v>
      </c>
      <c r="AV436" s="895"/>
    </row>
    <row r="437" spans="1:48" s="929" customFormat="1" ht="13" x14ac:dyDescent="0.3">
      <c r="A437" s="912" t="s">
        <v>864</v>
      </c>
      <c r="C437" s="948">
        <f t="shared" ref="C437" si="1303">+SUM(C412:C436)</f>
        <v>-29.391999999999996</v>
      </c>
      <c r="D437" s="948">
        <f t="shared" ref="D437" si="1304">+SUM(D412:D436)</f>
        <v>-9.5360000000000014</v>
      </c>
      <c r="E437" s="948">
        <f t="shared" ref="E437" si="1305">+SUM(E412:E436)</f>
        <v>-9.0579999999999998</v>
      </c>
      <c r="F437" s="948">
        <f t="shared" ref="F437" si="1306">+SUM(F412:F436)</f>
        <v>-13.123000000000005</v>
      </c>
      <c r="G437" s="948">
        <f t="shared" ref="G437" si="1307">+SUM(G412:G436)</f>
        <v>-18.247</v>
      </c>
      <c r="H437" s="948">
        <f t="shared" ref="H437" si="1308">+SUM(H412:H436)</f>
        <v>-12.173999999999999</v>
      </c>
      <c r="I437" s="948">
        <f t="shared" ref="I437" si="1309">+SUM(I412:I436)</f>
        <v>-177.63200000000001</v>
      </c>
      <c r="J437" s="959">
        <f t="shared" ref="J437" si="1310">+SUM(J412:J436)</f>
        <v>-9.3120000000000012</v>
      </c>
      <c r="K437" s="948">
        <f t="shared" ref="K437" si="1311">+SUM(K412:K436)</f>
        <v>-15.688000000000001</v>
      </c>
      <c r="L437" s="948">
        <f t="shared" ref="L437" si="1312">+SUM(L412:L436)</f>
        <v>-78.587000000000003</v>
      </c>
      <c r="M437" s="948">
        <f t="shared" ref="M437" si="1313">+SUM(M412:M436)</f>
        <v>-12.233000000000006</v>
      </c>
      <c r="N437" s="959">
        <f t="shared" ref="N437" si="1314">+SUM(N412:N436)</f>
        <v>-58.934999999999988</v>
      </c>
      <c r="O437" s="948">
        <f t="shared" ref="O437" si="1315">+SUM(O412:O436)</f>
        <v>-23.231000000000002</v>
      </c>
      <c r="P437" s="948">
        <f t="shared" ref="P437" si="1316">+SUM(P412:P436)</f>
        <v>-36.432000000000002</v>
      </c>
      <c r="Q437" s="948">
        <f t="shared" ref="Q437" si="1317">+SUM(Q412:Q436)</f>
        <v>-30.908999999999999</v>
      </c>
      <c r="R437" s="959">
        <f t="shared" ref="R437" si="1318">+SUM(R412:R436)</f>
        <v>-20.186000000000007</v>
      </c>
      <c r="S437" s="948">
        <f t="shared" ref="S437" si="1319">+SUM(S412:S436)</f>
        <v>-26.495000000000001</v>
      </c>
      <c r="T437" s="948">
        <f t="shared" ref="T437" si="1320">+SUM(T412:T436)</f>
        <v>-28.520000000000003</v>
      </c>
      <c r="U437" s="948">
        <f t="shared" ref="U437" si="1321">+SUM(U412:U436)</f>
        <v>-15.747000000000007</v>
      </c>
      <c r="V437" s="959">
        <f t="shared" ref="V437" si="1322">+SUM(V412:V436)</f>
        <v>-47.47799999999998</v>
      </c>
      <c r="W437" s="948">
        <f>+SUM(W412:W436)</f>
        <v>-7.0650000000000013</v>
      </c>
      <c r="X437" s="947">
        <f>+SUM(X412:X436)</f>
        <v>-61.731999999999985</v>
      </c>
      <c r="Y437" s="947">
        <f>+SUM(Y412:Y436)</f>
        <v>-32.219000000000008</v>
      </c>
      <c r="Z437" s="947">
        <f>+SUM(Z412:Z436)</f>
        <v>-38.85499999999999</v>
      </c>
      <c r="AA437" s="1288">
        <f>+SUM(AA412:AA436)</f>
        <v>-20.893999999999998</v>
      </c>
      <c r="AB437" s="947"/>
      <c r="AC437" s="947"/>
      <c r="AD437" s="947"/>
      <c r="AE437" s="947"/>
      <c r="AF437" s="948">
        <f t="shared" ref="AF437:AU437" si="1323">+SUM(AF412:AF436)</f>
        <v>-27.885999999999996</v>
      </c>
      <c r="AG437" s="948">
        <f t="shared" si="1323"/>
        <v>-24.260999999999999</v>
      </c>
      <c r="AH437" s="948">
        <f t="shared" si="1323"/>
        <v>-83.031000000000006</v>
      </c>
      <c r="AI437" s="948">
        <f t="shared" si="1323"/>
        <v>-61.241000000000007</v>
      </c>
      <c r="AJ437" s="948">
        <f t="shared" si="1323"/>
        <v>-50.344999999999999</v>
      </c>
      <c r="AK437" s="948">
        <f t="shared" si="1323"/>
        <v>-45.804000000000002</v>
      </c>
      <c r="AL437" s="948">
        <f t="shared" si="1323"/>
        <v>-68.25200000000001</v>
      </c>
      <c r="AM437" s="948">
        <f t="shared" si="1323"/>
        <v>-82.853000000000009</v>
      </c>
      <c r="AN437" s="948">
        <f t="shared" si="1323"/>
        <v>-57.198000000000008</v>
      </c>
      <c r="AO437" s="948">
        <f t="shared" si="1323"/>
        <v>-50.477000000000004</v>
      </c>
      <c r="AP437" s="948">
        <f t="shared" si="1323"/>
        <v>-61.109000000000002</v>
      </c>
      <c r="AQ437" s="948">
        <f t="shared" si="1323"/>
        <v>-217.36500000000001</v>
      </c>
      <c r="AR437" s="948">
        <f t="shared" si="1323"/>
        <v>-165.44299999999998</v>
      </c>
      <c r="AS437" s="948">
        <f t="shared" si="1323"/>
        <v>-110.758</v>
      </c>
      <c r="AT437" s="948">
        <f t="shared" si="1323"/>
        <v>-118.24</v>
      </c>
      <c r="AU437" s="973">
        <f t="shared" si="1323"/>
        <v>-139.87099999999998</v>
      </c>
      <c r="AV437" s="949"/>
    </row>
    <row r="438" spans="1:48" x14ac:dyDescent="0.25">
      <c r="A438" s="936"/>
      <c r="C438" s="898"/>
      <c r="D438" s="898"/>
      <c r="E438" s="898"/>
      <c r="F438" s="898"/>
      <c r="G438" s="898"/>
      <c r="H438" s="898"/>
      <c r="I438" s="898"/>
      <c r="J438" s="957"/>
      <c r="K438" s="898"/>
      <c r="L438" s="898"/>
      <c r="M438" s="898"/>
      <c r="N438" s="957"/>
      <c r="O438" s="898"/>
      <c r="P438" s="898"/>
      <c r="Q438" s="898"/>
      <c r="R438" s="957"/>
      <c r="S438" s="898"/>
      <c r="T438" s="898"/>
      <c r="U438" s="898"/>
      <c r="V438" s="957"/>
      <c r="W438" s="898"/>
      <c r="AA438" s="1271"/>
      <c r="AF438" s="898"/>
      <c r="AG438" s="898"/>
      <c r="AH438" s="898"/>
      <c r="AI438" s="898"/>
      <c r="AJ438" s="898"/>
      <c r="AK438" s="898"/>
      <c r="AL438" s="898"/>
      <c r="AM438" s="898"/>
      <c r="AN438" s="898"/>
      <c r="AO438" s="898"/>
      <c r="AP438" s="898"/>
      <c r="AQ438" s="898"/>
      <c r="AR438" s="898"/>
      <c r="AS438" s="898"/>
      <c r="AT438" s="898"/>
      <c r="AU438" s="971"/>
    </row>
    <row r="439" spans="1:48" ht="13" x14ac:dyDescent="0.3">
      <c r="A439" s="946" t="s">
        <v>867</v>
      </c>
      <c r="J439" s="953"/>
      <c r="N439" s="953"/>
      <c r="R439" s="953"/>
      <c r="V439" s="953"/>
      <c r="AA439" s="1271"/>
      <c r="AU439" s="967"/>
    </row>
    <row r="440" spans="1:48" s="879" customFormat="1" ht="14" x14ac:dyDescent="0.4">
      <c r="A440" s="876" t="str">
        <f>+Model!A480</f>
        <v>Repayments on finance lease obligations</v>
      </c>
      <c r="C440" s="898">
        <f>+Model!AA480</f>
        <v>-3.5179999999999998</v>
      </c>
      <c r="D440" s="898">
        <f>+Model!AB480</f>
        <v>-3.42</v>
      </c>
      <c r="E440" s="898">
        <f>+Model!AC480</f>
        <v>-6.96</v>
      </c>
      <c r="F440" s="898">
        <f>+Model!AD480</f>
        <v>-7.1359999999999992</v>
      </c>
      <c r="G440" s="898">
        <f>+Model!AE480</f>
        <v>-7.46</v>
      </c>
      <c r="H440" s="898">
        <f>+Model!AF480</f>
        <v>-7.4989999999999997</v>
      </c>
      <c r="I440" s="898">
        <f>+Model!AG480</f>
        <v>-6.6440000000000019</v>
      </c>
      <c r="J440" s="957">
        <f>+Model!AH480</f>
        <v>-6.0719999999999992</v>
      </c>
      <c r="K440" s="898">
        <f>+Model!AI480</f>
        <v>-5.6689999999999996</v>
      </c>
      <c r="L440" s="898">
        <f>+Model!AJ480</f>
        <v>-5.7860000000000005</v>
      </c>
      <c r="M440" s="898">
        <f>+Model!AK480</f>
        <v>-5.6480000000000015</v>
      </c>
      <c r="N440" s="957">
        <f>+Model!AL480</f>
        <v>-7.2119999999999997</v>
      </c>
      <c r="O440" s="898">
        <f>+Model!AM480</f>
        <v>-7.02</v>
      </c>
      <c r="P440" s="898">
        <f>+Model!AN480</f>
        <v>-7.7240000000000002</v>
      </c>
      <c r="Q440" s="898">
        <f>+Model!AO480</f>
        <v>-9.1750000000000007</v>
      </c>
      <c r="R440" s="957">
        <f>+Model!AP480</f>
        <v>-9.0920000000000023</v>
      </c>
      <c r="S440" s="898">
        <f>+Model!AQ480</f>
        <v>-9.3140000000000001</v>
      </c>
      <c r="T440" s="898">
        <f>+Model!AR480</f>
        <v>-10.623999999999999</v>
      </c>
      <c r="U440" s="898">
        <f>+Model!AS480</f>
        <v>-11.3</v>
      </c>
      <c r="V440" s="957">
        <f>+Model!AT480</f>
        <v>-11.718000000000004</v>
      </c>
      <c r="W440" s="898">
        <f>+Model!AU480</f>
        <v>-11.721</v>
      </c>
      <c r="X440" s="877">
        <f>-22.491-W440</f>
        <v>-10.77</v>
      </c>
      <c r="Y440" s="877">
        <f>-32.212-X440-W440</f>
        <v>-9.7210000000000036</v>
      </c>
      <c r="Z440" s="877">
        <f t="shared" ref="Z440:Z457" si="1324">+AU440-SUM(W440:Y440)</f>
        <v>-8.7069999999999936</v>
      </c>
      <c r="AA440" s="1272">
        <v>-8.7469999999999999</v>
      </c>
      <c r="AB440" s="877"/>
      <c r="AC440" s="877"/>
      <c r="AD440" s="877"/>
      <c r="AE440" s="880"/>
      <c r="AF440" s="898">
        <f>+Model!AZ480</f>
        <v>-9.1329999999999991</v>
      </c>
      <c r="AG440" s="898">
        <f>+Model!BA480</f>
        <v>-12.945</v>
      </c>
      <c r="AH440" s="898">
        <f>+Model!BB480</f>
        <v>-15.135</v>
      </c>
      <c r="AI440" s="898">
        <f>+Model!BC480</f>
        <v>-16.600000000000001</v>
      </c>
      <c r="AJ440" s="898">
        <f>+Model!BD480</f>
        <v>-20.274999999999999</v>
      </c>
      <c r="AK440" s="898">
        <f>+Model!BE480</f>
        <v>-22.693999999999999</v>
      </c>
      <c r="AL440" s="898">
        <f>+Model!BF480</f>
        <v>-21.939</v>
      </c>
      <c r="AM440" s="898">
        <f>+Model!BG480</f>
        <v>-17.402000000000001</v>
      </c>
      <c r="AN440" s="898">
        <f>+Model!BH480</f>
        <v>-15.696999999999999</v>
      </c>
      <c r="AO440" s="898">
        <f>+Model!BI480</f>
        <v>-13.301</v>
      </c>
      <c r="AP440" s="898">
        <f>+Model!BJ480</f>
        <v>-21.033999999999999</v>
      </c>
      <c r="AQ440" s="898">
        <f>+Model!BK480</f>
        <v>-27.675000000000001</v>
      </c>
      <c r="AR440" s="898">
        <f>+Model!BL480</f>
        <v>-24.315000000000001</v>
      </c>
      <c r="AS440" s="898">
        <f>+Model!BM480</f>
        <v>-33.011000000000003</v>
      </c>
      <c r="AT440" s="898">
        <f>+Model!BN480</f>
        <v>-42.956000000000003</v>
      </c>
      <c r="AU440" s="971">
        <v>-40.918999999999997</v>
      </c>
      <c r="AV440" s="895"/>
    </row>
    <row r="441" spans="1:48" s="879" customFormat="1" ht="14" x14ac:dyDescent="0.4">
      <c r="A441" s="876" t="str">
        <f>+Model!A481</f>
        <v>Payments of contingent consideration</v>
      </c>
      <c r="C441" s="898">
        <f>+Model!AA481</f>
        <v>0</v>
      </c>
      <c r="D441" s="898">
        <f>+Model!AB481</f>
        <v>-0.98699999999999999</v>
      </c>
      <c r="E441" s="898">
        <f>+Model!AC481</f>
        <v>-3.9999999999999925E-2</v>
      </c>
      <c r="F441" s="898">
        <f>+Model!AD481</f>
        <v>0</v>
      </c>
      <c r="G441" s="898">
        <f>+Model!AE481</f>
        <v>0</v>
      </c>
      <c r="H441" s="898">
        <f>+Model!AF481</f>
        <v>0</v>
      </c>
      <c r="I441" s="898">
        <f>+Model!AG481</f>
        <v>0</v>
      </c>
      <c r="J441" s="957">
        <f>+Model!AH481</f>
        <v>0</v>
      </c>
      <c r="K441" s="898">
        <f>+Model!AI481</f>
        <v>0</v>
      </c>
      <c r="L441" s="898">
        <f>+Model!AJ481</f>
        <v>0</v>
      </c>
      <c r="M441" s="898">
        <f>+Model!AK481</f>
        <v>0</v>
      </c>
      <c r="N441" s="957">
        <f>+Model!AL481</f>
        <v>0</v>
      </c>
      <c r="O441" s="898">
        <f>+Model!AM481</f>
        <v>0</v>
      </c>
      <c r="P441" s="898">
        <f>+Model!AN481</f>
        <v>0</v>
      </c>
      <c r="Q441" s="898">
        <f>+Model!AO481</f>
        <v>0</v>
      </c>
      <c r="R441" s="957">
        <f>+Model!AP481</f>
        <v>0</v>
      </c>
      <c r="S441" s="898">
        <f>+Model!AQ481</f>
        <v>-7.024</v>
      </c>
      <c r="T441" s="898">
        <f>+Model!AR481</f>
        <v>0</v>
      </c>
      <c r="U441" s="898">
        <f>+Model!AS481</f>
        <v>0</v>
      </c>
      <c r="V441" s="957">
        <f>+Model!AT481</f>
        <v>0</v>
      </c>
      <c r="W441" s="898">
        <f>+Model!AU481</f>
        <v>0</v>
      </c>
      <c r="X441" s="877">
        <v>0</v>
      </c>
      <c r="Y441" s="877">
        <v>0</v>
      </c>
      <c r="Z441" s="877">
        <f t="shared" si="1324"/>
        <v>0</v>
      </c>
      <c r="AA441" s="1272">
        <v>0</v>
      </c>
      <c r="AB441" s="877"/>
      <c r="AC441" s="877"/>
      <c r="AD441" s="877"/>
      <c r="AE441" s="880"/>
      <c r="AF441" s="898">
        <f>+Model!AZ481</f>
        <v>0</v>
      </c>
      <c r="AG441" s="898">
        <f>+Model!BA481</f>
        <v>0</v>
      </c>
      <c r="AH441" s="898">
        <f>+Model!BB481</f>
        <v>0</v>
      </c>
      <c r="AI441" s="898">
        <f>+Model!BC481</f>
        <v>0</v>
      </c>
      <c r="AJ441" s="898">
        <f>+Model!BD481</f>
        <v>0</v>
      </c>
      <c r="AK441" s="898">
        <f>+Model!BE481</f>
        <v>0</v>
      </c>
      <c r="AL441" s="898">
        <f>+Model!BF481</f>
        <v>0</v>
      </c>
      <c r="AM441" s="898">
        <f>+Model!BG481</f>
        <v>0</v>
      </c>
      <c r="AN441" s="898">
        <f>+Model!BH481</f>
        <v>0</v>
      </c>
      <c r="AO441" s="898">
        <f>+Model!BI481</f>
        <v>0</v>
      </c>
      <c r="AP441" s="898">
        <f>+Model!BJ481</f>
        <v>-1.0269999999999999</v>
      </c>
      <c r="AQ441" s="898">
        <f>+Model!BK481</f>
        <v>0</v>
      </c>
      <c r="AR441" s="898">
        <f>+Model!BL481</f>
        <v>0</v>
      </c>
      <c r="AS441" s="898">
        <f>+Model!BM481</f>
        <v>0</v>
      </c>
      <c r="AT441" s="898">
        <f>+Model!BN481</f>
        <v>-7.024</v>
      </c>
      <c r="AU441" s="971">
        <v>0</v>
      </c>
      <c r="AV441" s="895"/>
    </row>
    <row r="442" spans="1:48" s="879" customFormat="1" ht="14" x14ac:dyDescent="0.4">
      <c r="A442" s="876" t="str">
        <f>+Model!A482</f>
        <v>Payments of deferred purchase consideration</v>
      </c>
      <c r="C442" s="898">
        <f>+Model!AA482</f>
        <v>0</v>
      </c>
      <c r="D442" s="898">
        <f>+Model!AB482</f>
        <v>0</v>
      </c>
      <c r="E442" s="898">
        <f>+Model!AC482</f>
        <v>0</v>
      </c>
      <c r="F442" s="898">
        <f>+Model!AD482</f>
        <v>0</v>
      </c>
      <c r="G442" s="898">
        <f>+Model!AE482</f>
        <v>0</v>
      </c>
      <c r="H442" s="898">
        <f>+Model!AF482</f>
        <v>0</v>
      </c>
      <c r="I442" s="898">
        <f>+Model!AG482</f>
        <v>0</v>
      </c>
      <c r="J442" s="957">
        <f>+Model!AH482</f>
        <v>0</v>
      </c>
      <c r="K442" s="898">
        <f>+Model!AI482</f>
        <v>0</v>
      </c>
      <c r="L442" s="898">
        <f>+Model!AJ482</f>
        <v>0</v>
      </c>
      <c r="M442" s="898">
        <f>+Model!AK482</f>
        <v>0</v>
      </c>
      <c r="N442" s="957">
        <f>+Model!AL482</f>
        <v>0</v>
      </c>
      <c r="O442" s="898">
        <f>+Model!AM482</f>
        <v>0</v>
      </c>
      <c r="P442" s="898">
        <f>+Model!AN482</f>
        <v>-7.8579999999999997</v>
      </c>
      <c r="Q442" s="898">
        <f>+Model!AO482</f>
        <v>0</v>
      </c>
      <c r="R442" s="957">
        <f>+Model!AP482</f>
        <v>-15</v>
      </c>
      <c r="S442" s="898">
        <f>+Model!AQ482</f>
        <v>0</v>
      </c>
      <c r="T442" s="898">
        <f>+Model!AR482</f>
        <v>0</v>
      </c>
      <c r="U442" s="898">
        <f>+Model!AS482</f>
        <v>0</v>
      </c>
      <c r="V442" s="957">
        <f>+Model!AT482</f>
        <v>0</v>
      </c>
      <c r="W442" s="898">
        <f>+Model!AU482</f>
        <v>0</v>
      </c>
      <c r="X442" s="877">
        <v>0</v>
      </c>
      <c r="Y442" s="877">
        <v>0</v>
      </c>
      <c r="Z442" s="877">
        <f t="shared" si="1324"/>
        <v>0</v>
      </c>
      <c r="AA442" s="1272">
        <v>0</v>
      </c>
      <c r="AB442" s="877"/>
      <c r="AC442" s="877"/>
      <c r="AD442" s="877"/>
      <c r="AE442" s="880"/>
      <c r="AF442" s="898">
        <f>+Model!AZ482</f>
        <v>0</v>
      </c>
      <c r="AG442" s="898">
        <f>+Model!BA482</f>
        <v>0</v>
      </c>
      <c r="AH442" s="898">
        <f>+Model!BB482</f>
        <v>0</v>
      </c>
      <c r="AI442" s="898">
        <f>+Model!BC482</f>
        <v>0</v>
      </c>
      <c r="AJ442" s="898">
        <f>+Model!BD482</f>
        <v>0</v>
      </c>
      <c r="AK442" s="898">
        <f>+Model!BE482</f>
        <v>0</v>
      </c>
      <c r="AL442" s="898">
        <f>+Model!BF482</f>
        <v>0</v>
      </c>
      <c r="AM442" s="898">
        <f>+Model!BG482</f>
        <v>0</v>
      </c>
      <c r="AN442" s="898">
        <f>+Model!BH482</f>
        <v>0</v>
      </c>
      <c r="AO442" s="898">
        <f>+Model!BI482</f>
        <v>0</v>
      </c>
      <c r="AP442" s="898">
        <f>+Model!BJ482</f>
        <v>0</v>
      </c>
      <c r="AQ442" s="898">
        <f>+Model!BK482</f>
        <v>0</v>
      </c>
      <c r="AR442" s="898">
        <f>+Model!BL482</f>
        <v>0</v>
      </c>
      <c r="AS442" s="898">
        <f>+Model!BM482</f>
        <v>-22.858000000000001</v>
      </c>
      <c r="AT442" s="898">
        <f>+Model!BN482</f>
        <v>0</v>
      </c>
      <c r="AU442" s="971">
        <v>0</v>
      </c>
      <c r="AV442" s="895"/>
    </row>
    <row r="443" spans="1:48" s="879" customFormat="1" ht="14" x14ac:dyDescent="0.4">
      <c r="A443" s="876" t="str">
        <f>+Model!A483</f>
        <v>Repayments on notes payable</v>
      </c>
      <c r="C443" s="898">
        <f>+Model!AA483</f>
        <v>0</v>
      </c>
      <c r="D443" s="898">
        <f>+Model!AB483</f>
        <v>0</v>
      </c>
      <c r="E443" s="898">
        <f>+Model!AC483</f>
        <v>0</v>
      </c>
      <c r="F443" s="898">
        <f>+Model!AD483</f>
        <v>0</v>
      </c>
      <c r="G443" s="898">
        <f>+Model!AE483</f>
        <v>0</v>
      </c>
      <c r="H443" s="898">
        <f>+Model!AF483</f>
        <v>0</v>
      </c>
      <c r="I443" s="898">
        <f>+Model!AG483</f>
        <v>0</v>
      </c>
      <c r="J443" s="957">
        <f>+Model!AH483</f>
        <v>0</v>
      </c>
      <c r="K443" s="898">
        <f>+Model!AI483</f>
        <v>0</v>
      </c>
      <c r="L443" s="898">
        <f>+Model!AJ483</f>
        <v>0</v>
      </c>
      <c r="M443" s="898">
        <f>+Model!AK483</f>
        <v>0</v>
      </c>
      <c r="N443" s="957">
        <f>+Model!AL483</f>
        <v>0</v>
      </c>
      <c r="O443" s="898">
        <f>+Model!AM483</f>
        <v>0</v>
      </c>
      <c r="P443" s="898">
        <f>+Model!AN483</f>
        <v>0</v>
      </c>
      <c r="Q443" s="898">
        <f>+Model!AO483</f>
        <v>0</v>
      </c>
      <c r="R443" s="957">
        <f>+Model!AP483</f>
        <v>0</v>
      </c>
      <c r="S443" s="898">
        <f>+Model!AQ483</f>
        <v>0</v>
      </c>
      <c r="T443" s="898">
        <f>+Model!AR483</f>
        <v>0</v>
      </c>
      <c r="U443" s="898">
        <f>+Model!AS483</f>
        <v>0</v>
      </c>
      <c r="V443" s="957">
        <f>+Model!AT483</f>
        <v>0</v>
      </c>
      <c r="W443" s="898">
        <f>+Model!AU483</f>
        <v>0</v>
      </c>
      <c r="X443" s="877">
        <v>0</v>
      </c>
      <c r="Y443" s="877">
        <v>0</v>
      </c>
      <c r="Z443" s="877">
        <f t="shared" si="1324"/>
        <v>0</v>
      </c>
      <c r="AA443" s="1272">
        <v>0</v>
      </c>
      <c r="AB443" s="877"/>
      <c r="AC443" s="877"/>
      <c r="AD443" s="877"/>
      <c r="AE443" s="880"/>
      <c r="AF443" s="898">
        <f>+Model!AZ483</f>
        <v>-0.80400000000000005</v>
      </c>
      <c r="AG443" s="898">
        <f>+Model!BA483</f>
        <v>-1.0289999999999999</v>
      </c>
      <c r="AH443" s="898">
        <f>+Model!BB483</f>
        <v>-1.9690000000000001</v>
      </c>
      <c r="AI443" s="898">
        <f>+Model!BC483</f>
        <v>-1.8199999999999998</v>
      </c>
      <c r="AJ443" s="898">
        <f>+Model!BD483</f>
        <v>-1.5329999999999999</v>
      </c>
      <c r="AK443" s="898">
        <f>+Model!BE483</f>
        <v>-0.39</v>
      </c>
      <c r="AL443" s="898">
        <f>+Model!BF483</f>
        <v>0</v>
      </c>
      <c r="AM443" s="898">
        <f>+Model!BG483</f>
        <v>0</v>
      </c>
      <c r="AN443" s="898">
        <f>+Model!BH483</f>
        <v>0</v>
      </c>
      <c r="AO443" s="898">
        <f>+Model!BI483</f>
        <v>0</v>
      </c>
      <c r="AP443" s="898">
        <f>+Model!BJ483</f>
        <v>0</v>
      </c>
      <c r="AQ443" s="898">
        <f>+Model!BK483</f>
        <v>0</v>
      </c>
      <c r="AR443" s="898">
        <f>+Model!BL483</f>
        <v>0</v>
      </c>
      <c r="AS443" s="898">
        <f>+Model!BM483</f>
        <v>0</v>
      </c>
      <c r="AT443" s="898">
        <f>+Model!BN483</f>
        <v>0</v>
      </c>
      <c r="AU443" s="971">
        <v>0</v>
      </c>
      <c r="AV443" s="895"/>
    </row>
    <row r="444" spans="1:48" s="879" customFormat="1" ht="14" x14ac:dyDescent="0.4">
      <c r="A444" s="876" t="str">
        <f>+Model!A484</f>
        <v>Purchase of treasury stock</v>
      </c>
      <c r="C444" s="898">
        <f>+Model!AA484</f>
        <v>0</v>
      </c>
      <c r="D444" s="898">
        <f>+Model!AB484</f>
        <v>0</v>
      </c>
      <c r="E444" s="898">
        <f>+Model!AC484</f>
        <v>0</v>
      </c>
      <c r="F444" s="898">
        <f>+Model!AD484</f>
        <v>0</v>
      </c>
      <c r="G444" s="898">
        <f>+Model!AE484</f>
        <v>0</v>
      </c>
      <c r="H444" s="898">
        <f>+Model!AF484</f>
        <v>0</v>
      </c>
      <c r="I444" s="898">
        <f>+Model!AG484</f>
        <v>0</v>
      </c>
      <c r="J444" s="957">
        <f>+Model!AH484</f>
        <v>0</v>
      </c>
      <c r="K444" s="898">
        <f>+Model!AI484</f>
        <v>0</v>
      </c>
      <c r="L444" s="898">
        <f>+Model!AJ484</f>
        <v>0</v>
      </c>
      <c r="M444" s="898">
        <f>+Model!AK484</f>
        <v>0</v>
      </c>
      <c r="N444" s="957">
        <f>+Model!AL484</f>
        <v>0</v>
      </c>
      <c r="O444" s="898">
        <f>+Model!AM484</f>
        <v>0</v>
      </c>
      <c r="P444" s="898">
        <f>+Model!AN484</f>
        <v>0</v>
      </c>
      <c r="Q444" s="898">
        <f>+Model!AO484</f>
        <v>0</v>
      </c>
      <c r="R444" s="957">
        <f>+Model!AP484</f>
        <v>0</v>
      </c>
      <c r="S444" s="898">
        <f>+Model!AQ484</f>
        <v>0</v>
      </c>
      <c r="T444" s="898">
        <f>+Model!AR484</f>
        <v>0</v>
      </c>
      <c r="U444" s="898">
        <f>+Model!AS484</f>
        <v>0</v>
      </c>
      <c r="V444" s="957">
        <f>+Model!AT484</f>
        <v>0</v>
      </c>
      <c r="W444" s="898">
        <f>+Model!AU484</f>
        <v>0</v>
      </c>
      <c r="X444" s="877">
        <v>0</v>
      </c>
      <c r="Y444" s="877">
        <v>0</v>
      </c>
      <c r="Z444" s="877">
        <f t="shared" si="1324"/>
        <v>0</v>
      </c>
      <c r="AA444" s="1272">
        <v>0</v>
      </c>
      <c r="AB444" s="877"/>
      <c r="AC444" s="877"/>
      <c r="AD444" s="877"/>
      <c r="AE444" s="880"/>
      <c r="AF444" s="898">
        <f>+Model!AZ484</f>
        <v>0</v>
      </c>
      <c r="AG444" s="898">
        <f>+Model!BA484</f>
        <v>0</v>
      </c>
      <c r="AH444" s="898">
        <f>+Model!BB484</f>
        <v>0</v>
      </c>
      <c r="AI444" s="898">
        <f>+Model!BC484</f>
        <v>0</v>
      </c>
      <c r="AJ444" s="898">
        <f>+Model!BD484</f>
        <v>0</v>
      </c>
      <c r="AK444" s="898">
        <f>+Model!BE484</f>
        <v>-48.548000000000002</v>
      </c>
      <c r="AL444" s="898">
        <f>+Model!BF484</f>
        <v>-26.452000000000002</v>
      </c>
      <c r="AM444" s="898">
        <f>+Model!BG484</f>
        <v>0</v>
      </c>
      <c r="AN444" s="898">
        <f>+Model!BH484</f>
        <v>0</v>
      </c>
      <c r="AO444" s="898">
        <f>+Model!BI484</f>
        <v>-27.481999999999999</v>
      </c>
      <c r="AP444" s="898">
        <f>+Model!BJ484</f>
        <v>0</v>
      </c>
      <c r="AQ444" s="898">
        <f>+Model!BK484</f>
        <v>0</v>
      </c>
      <c r="AR444" s="898">
        <f>+Model!BL484</f>
        <v>0</v>
      </c>
      <c r="AS444" s="898">
        <f>+Model!BM484</f>
        <v>0</v>
      </c>
      <c r="AT444" s="898">
        <f>+Model!BN484</f>
        <v>0</v>
      </c>
      <c r="AU444" s="971">
        <v>0</v>
      </c>
      <c r="AV444" s="895"/>
    </row>
    <row r="445" spans="1:48" s="879" customFormat="1" ht="14" x14ac:dyDescent="0.4">
      <c r="A445" s="876" t="str">
        <f>+Model!A485</f>
        <v>Proceeds from exercise of stock options</v>
      </c>
      <c r="C445" s="898">
        <f>+Model!AA485</f>
        <v>0.01</v>
      </c>
      <c r="D445" s="898">
        <f>+Model!AB485</f>
        <v>1.0249999999999999</v>
      </c>
      <c r="E445" s="898">
        <f>+Model!AC485</f>
        <v>1.1479999999999999</v>
      </c>
      <c r="F445" s="898">
        <f>+Model!AD485</f>
        <v>0.84699999999999998</v>
      </c>
      <c r="G445" s="898">
        <f>+Model!AE485</f>
        <v>4.2000000000000003E-2</v>
      </c>
      <c r="H445" s="898">
        <f>+Model!AF485</f>
        <v>5.9999999999999984E-3</v>
      </c>
      <c r="I445" s="898">
        <f>+Model!AG485</f>
        <v>0</v>
      </c>
      <c r="J445" s="957">
        <f>+Model!AH485</f>
        <v>1.6E-2</v>
      </c>
      <c r="K445" s="898">
        <f>+Model!AI485</f>
        <v>3.2000000000000001E-2</v>
      </c>
      <c r="L445" s="898">
        <f>+Model!AJ485</f>
        <v>0.27100000000000002</v>
      </c>
      <c r="M445" s="898">
        <f>+Model!AK485</f>
        <v>0.42099999999999999</v>
      </c>
      <c r="N445" s="957">
        <f>+Model!AL485</f>
        <v>2.4000000000000021E-2</v>
      </c>
      <c r="O445" s="898">
        <f>+Model!AM485</f>
        <v>0.246</v>
      </c>
      <c r="P445" s="898">
        <f>+Model!AN485</f>
        <v>0</v>
      </c>
      <c r="Q445" s="898">
        <f>+Model!AO485</f>
        <v>0.14500000000000002</v>
      </c>
      <c r="R445" s="957">
        <f>+Model!AP485</f>
        <v>2.2999999999999965E-2</v>
      </c>
      <c r="S445" s="898">
        <f>+Model!AQ485</f>
        <v>0.01</v>
      </c>
      <c r="T445" s="898">
        <f>+Model!AR485</f>
        <v>0</v>
      </c>
      <c r="U445" s="898">
        <f>+Model!AS485</f>
        <v>0.01</v>
      </c>
      <c r="V445" s="957">
        <f>+Model!AT485</f>
        <v>0</v>
      </c>
      <c r="W445" s="898">
        <f>+Model!AU485</f>
        <v>0</v>
      </c>
      <c r="X445" s="877">
        <v>0</v>
      </c>
      <c r="Y445" s="877">
        <v>0</v>
      </c>
      <c r="Z445" s="877">
        <f t="shared" si="1324"/>
        <v>0</v>
      </c>
      <c r="AA445" s="1272">
        <v>0</v>
      </c>
      <c r="AB445" s="877"/>
      <c r="AC445" s="877"/>
      <c r="AD445" s="877"/>
      <c r="AE445" s="880"/>
      <c r="AF445" s="898">
        <f>+Model!AZ485</f>
        <v>9.8239999999999998</v>
      </c>
      <c r="AG445" s="898">
        <f>+Model!BA485</f>
        <v>8.5440000000000005</v>
      </c>
      <c r="AH445" s="898">
        <f>+Model!BB485</f>
        <v>13.364000000000001</v>
      </c>
      <c r="AI445" s="898">
        <f>+Model!BC485</f>
        <v>3.38</v>
      </c>
      <c r="AJ445" s="898">
        <f>+Model!BD485</f>
        <v>7.2530000000000001</v>
      </c>
      <c r="AK445" s="898">
        <f>+Model!BE485</f>
        <v>10.294</v>
      </c>
      <c r="AL445" s="898">
        <f>+Model!BF485</f>
        <v>0.55300000000000005</v>
      </c>
      <c r="AM445" s="898">
        <f>+Model!BG485</f>
        <v>1.4E-2</v>
      </c>
      <c r="AN445" s="898">
        <f>+Model!BH485</f>
        <v>6.9530000000000003</v>
      </c>
      <c r="AO445" s="898">
        <f>+Model!BI485</f>
        <v>0.19600000000000001</v>
      </c>
      <c r="AP445" s="898">
        <f>+Model!BJ485</f>
        <v>3.03</v>
      </c>
      <c r="AQ445" s="898">
        <f>+Model!BK485</f>
        <v>6.4000000000000001E-2</v>
      </c>
      <c r="AR445" s="898">
        <f>+Model!BL485</f>
        <v>0.748</v>
      </c>
      <c r="AS445" s="898">
        <f>+Model!BM485</f>
        <v>0.41399999999999998</v>
      </c>
      <c r="AT445" s="898">
        <f>+Model!BN485</f>
        <v>0.02</v>
      </c>
      <c r="AU445" s="971">
        <v>0</v>
      </c>
      <c r="AV445" s="895"/>
    </row>
    <row r="446" spans="1:48" s="879" customFormat="1" ht="14" x14ac:dyDescent="0.4">
      <c r="A446" s="876" t="str">
        <f>+Model!A486</f>
        <v>Net proceeds from investment in noncontrolling interest</v>
      </c>
      <c r="C446" s="898">
        <f>+Model!AA486</f>
        <v>0</v>
      </c>
      <c r="D446" s="898">
        <f>+Model!AB486</f>
        <v>0</v>
      </c>
      <c r="E446" s="898">
        <f>+Model!AC486</f>
        <v>0</v>
      </c>
      <c r="F446" s="898">
        <f>+Model!AD486</f>
        <v>0</v>
      </c>
      <c r="G446" s="898">
        <f>+Model!AE486</f>
        <v>0</v>
      </c>
      <c r="H446" s="898">
        <f>+Model!AF486</f>
        <v>0</v>
      </c>
      <c r="I446" s="898">
        <f>+Model!AG486</f>
        <v>0</v>
      </c>
      <c r="J446" s="957">
        <f>+Model!AH486</f>
        <v>0</v>
      </c>
      <c r="K446" s="898">
        <f>+Model!AI486</f>
        <v>0</v>
      </c>
      <c r="L446" s="898">
        <f>+Model!AJ486</f>
        <v>0</v>
      </c>
      <c r="M446" s="898">
        <f>+Model!AK486</f>
        <v>0</v>
      </c>
      <c r="N446" s="957">
        <f>+Model!AL486</f>
        <v>0</v>
      </c>
      <c r="O446" s="898">
        <f>+Model!AM486</f>
        <v>0</v>
      </c>
      <c r="P446" s="898">
        <f>+Model!AN486</f>
        <v>0</v>
      </c>
      <c r="Q446" s="898">
        <f>+Model!AO486</f>
        <v>0</v>
      </c>
      <c r="R446" s="957">
        <f>+Model!AP486</f>
        <v>0</v>
      </c>
      <c r="S446" s="898">
        <f>+Model!AQ486</f>
        <v>0</v>
      </c>
      <c r="T446" s="898">
        <f>+Model!AR486</f>
        <v>0</v>
      </c>
      <c r="U446" s="898">
        <f>+Model!AS486</f>
        <v>0</v>
      </c>
      <c r="V446" s="957">
        <f>+Model!AT486</f>
        <v>0</v>
      </c>
      <c r="W446" s="898">
        <f>+Model!AU486</f>
        <v>0</v>
      </c>
      <c r="X446" s="877">
        <v>0</v>
      </c>
      <c r="Y446" s="877">
        <v>0</v>
      </c>
      <c r="Z446" s="877">
        <f t="shared" si="1324"/>
        <v>0</v>
      </c>
      <c r="AA446" s="1272">
        <v>0</v>
      </c>
      <c r="AB446" s="877"/>
      <c r="AC446" s="877"/>
      <c r="AD446" s="877"/>
      <c r="AE446" s="880"/>
      <c r="AF446" s="898">
        <f>+Model!AZ486</f>
        <v>5</v>
      </c>
      <c r="AG446" s="898">
        <f>+Model!BA486</f>
        <v>3.3740000000000001</v>
      </c>
      <c r="AH446" s="898">
        <f>+Model!BB486</f>
        <v>0</v>
      </c>
      <c r="AI446" s="898">
        <f>+Model!BC486</f>
        <v>0</v>
      </c>
      <c r="AJ446" s="898">
        <f>+Model!BD486</f>
        <v>0</v>
      </c>
      <c r="AK446" s="898">
        <f>+Model!BE486</f>
        <v>1.2749999999999999</v>
      </c>
      <c r="AL446" s="898">
        <f>+Model!BF486</f>
        <v>0</v>
      </c>
      <c r="AM446" s="898">
        <f>+Model!BG486</f>
        <v>0</v>
      </c>
      <c r="AN446" s="898">
        <f>+Model!BH486</f>
        <v>0</v>
      </c>
      <c r="AO446" s="898">
        <f>+Model!BI486</f>
        <v>0</v>
      </c>
      <c r="AP446" s="898">
        <f>+Model!BJ486</f>
        <v>0</v>
      </c>
      <c r="AQ446" s="898">
        <f>+Model!BK486</f>
        <v>0</v>
      </c>
      <c r="AR446" s="898">
        <f>+Model!BL486</f>
        <v>0</v>
      </c>
      <c r="AS446" s="898">
        <f>+Model!BM486</f>
        <v>0</v>
      </c>
      <c r="AT446" s="898">
        <f>+Model!BN486</f>
        <v>0</v>
      </c>
      <c r="AU446" s="971">
        <v>0</v>
      </c>
      <c r="AV446" s="895"/>
    </row>
    <row r="447" spans="1:48" s="879" customFormat="1" ht="14" x14ac:dyDescent="0.4">
      <c r="A447" s="876" t="str">
        <f>+Model!A487</f>
        <v>Proceeds from exercise of stock warrants</v>
      </c>
      <c r="C447" s="898">
        <f>+Model!AA487</f>
        <v>0</v>
      </c>
      <c r="D447" s="898">
        <f>+Model!AB487</f>
        <v>0</v>
      </c>
      <c r="E447" s="898">
        <f>+Model!AC487</f>
        <v>0</v>
      </c>
      <c r="F447" s="898">
        <f>+Model!AD487</f>
        <v>0</v>
      </c>
      <c r="G447" s="898">
        <f>+Model!AE487</f>
        <v>0</v>
      </c>
      <c r="H447" s="898">
        <f>+Model!AF487</f>
        <v>0</v>
      </c>
      <c r="I447" s="898">
        <f>+Model!AG487</f>
        <v>0</v>
      </c>
      <c r="J447" s="957">
        <f>+Model!AH487</f>
        <v>0</v>
      </c>
      <c r="K447" s="898">
        <f>+Model!AI487</f>
        <v>0</v>
      </c>
      <c r="L447" s="898">
        <f>+Model!AJ487</f>
        <v>0</v>
      </c>
      <c r="M447" s="898">
        <f>+Model!AK487</f>
        <v>0</v>
      </c>
      <c r="N447" s="957">
        <f>+Model!AL487</f>
        <v>0</v>
      </c>
      <c r="O447" s="898">
        <f>+Model!AM487</f>
        <v>0</v>
      </c>
      <c r="P447" s="898">
        <f>+Model!AN487</f>
        <v>0</v>
      </c>
      <c r="Q447" s="898">
        <f>+Model!AO487</f>
        <v>0</v>
      </c>
      <c r="R447" s="957">
        <f>+Model!AP487</f>
        <v>0</v>
      </c>
      <c r="S447" s="898">
        <f>+Model!AQ487</f>
        <v>0</v>
      </c>
      <c r="T447" s="898">
        <f>+Model!AR487</f>
        <v>0</v>
      </c>
      <c r="U447" s="898">
        <f>+Model!AS487</f>
        <v>0</v>
      </c>
      <c r="V447" s="957">
        <f>+Model!AT487</f>
        <v>0</v>
      </c>
      <c r="W447" s="898">
        <f>+Model!AU487</f>
        <v>0</v>
      </c>
      <c r="X447" s="877">
        <v>0</v>
      </c>
      <c r="Y447" s="877">
        <v>0</v>
      </c>
      <c r="Z447" s="877">
        <f t="shared" si="1324"/>
        <v>0</v>
      </c>
      <c r="AA447" s="1272">
        <v>0</v>
      </c>
      <c r="AB447" s="877"/>
      <c r="AC447" s="877"/>
      <c r="AD447" s="877"/>
      <c r="AE447" s="880"/>
      <c r="AF447" s="898">
        <f>+Model!AZ487</f>
        <v>0</v>
      </c>
      <c r="AG447" s="898">
        <f>+Model!BA487</f>
        <v>0.05</v>
      </c>
      <c r="AH447" s="898">
        <f>+Model!BB487</f>
        <v>0</v>
      </c>
      <c r="AI447" s="898">
        <f>+Model!BC487</f>
        <v>0</v>
      </c>
      <c r="AJ447" s="898">
        <f>+Model!BD487</f>
        <v>0</v>
      </c>
      <c r="AK447" s="898">
        <f>+Model!BE487</f>
        <v>0</v>
      </c>
      <c r="AL447" s="898">
        <f>+Model!BF487</f>
        <v>0</v>
      </c>
      <c r="AM447" s="898">
        <f>+Model!BG487</f>
        <v>0</v>
      </c>
      <c r="AN447" s="898">
        <f>+Model!BH487</f>
        <v>0</v>
      </c>
      <c r="AO447" s="898">
        <f>+Model!BI487</f>
        <v>0</v>
      </c>
      <c r="AP447" s="898">
        <f>+Model!BJ487</f>
        <v>0</v>
      </c>
      <c r="AQ447" s="898">
        <f>+Model!BK487</f>
        <v>0</v>
      </c>
      <c r="AR447" s="898">
        <f>+Model!BL487</f>
        <v>0</v>
      </c>
      <c r="AS447" s="898">
        <f>+Model!BM487</f>
        <v>0</v>
      </c>
      <c r="AT447" s="898">
        <f>+Model!BN487</f>
        <v>0</v>
      </c>
      <c r="AU447" s="971">
        <v>0</v>
      </c>
      <c r="AV447" s="895"/>
    </row>
    <row r="448" spans="1:48" s="879" customFormat="1" ht="14" x14ac:dyDescent="0.4">
      <c r="A448" s="876" t="str">
        <f>+Model!A488</f>
        <v>Payment of stock registration expense</v>
      </c>
      <c r="C448" s="898">
        <f>+Model!AA488</f>
        <v>0</v>
      </c>
      <c r="D448" s="898">
        <f>+Model!AB488</f>
        <v>0</v>
      </c>
      <c r="E448" s="898">
        <f>+Model!AC488</f>
        <v>0</v>
      </c>
      <c r="F448" s="898">
        <f>+Model!AD488</f>
        <v>0</v>
      </c>
      <c r="G448" s="898">
        <f>+Model!AE488</f>
        <v>0</v>
      </c>
      <c r="H448" s="898">
        <f>+Model!AF488</f>
        <v>0</v>
      </c>
      <c r="I448" s="898">
        <f>+Model!AG488</f>
        <v>0</v>
      </c>
      <c r="J448" s="957">
        <f>+Model!AH488</f>
        <v>0</v>
      </c>
      <c r="K448" s="898">
        <f>+Model!AI488</f>
        <v>0</v>
      </c>
      <c r="L448" s="898">
        <f>+Model!AJ488</f>
        <v>0</v>
      </c>
      <c r="M448" s="898">
        <f>+Model!AK488</f>
        <v>0</v>
      </c>
      <c r="N448" s="957">
        <f>+Model!AL488</f>
        <v>0</v>
      </c>
      <c r="O448" s="898">
        <f>+Model!AM488</f>
        <v>0</v>
      </c>
      <c r="P448" s="898">
        <f>+Model!AN488</f>
        <v>0</v>
      </c>
      <c r="Q448" s="898">
        <f>+Model!AO488</f>
        <v>0</v>
      </c>
      <c r="R448" s="957">
        <f>+Model!AP488</f>
        <v>0</v>
      </c>
      <c r="S448" s="898">
        <f>+Model!AQ488</f>
        <v>0</v>
      </c>
      <c r="T448" s="898">
        <f>+Model!AR488</f>
        <v>0</v>
      </c>
      <c r="U448" s="898">
        <f>+Model!AS488</f>
        <v>0</v>
      </c>
      <c r="V448" s="957">
        <f>+Model!AT488</f>
        <v>0</v>
      </c>
      <c r="W448" s="898">
        <f>+Model!AU488</f>
        <v>0</v>
      </c>
      <c r="X448" s="877">
        <v>0</v>
      </c>
      <c r="Y448" s="877">
        <v>0</v>
      </c>
      <c r="Z448" s="877">
        <f t="shared" si="1324"/>
        <v>0</v>
      </c>
      <c r="AA448" s="1272">
        <v>0</v>
      </c>
      <c r="AB448" s="877"/>
      <c r="AC448" s="877"/>
      <c r="AD448" s="877"/>
      <c r="AE448" s="880"/>
      <c r="AF448" s="898">
        <f>+Model!AZ488</f>
        <v>0</v>
      </c>
      <c r="AG448" s="898">
        <f>+Model!BA488</f>
        <v>0</v>
      </c>
      <c r="AH448" s="898">
        <f>+Model!BB488</f>
        <v>0</v>
      </c>
      <c r="AI448" s="898">
        <f>+Model!BC488</f>
        <v>-0.313</v>
      </c>
      <c r="AJ448" s="898">
        <f>+Model!BD488</f>
        <v>0</v>
      </c>
      <c r="AK448" s="898">
        <f>+Model!BE488</f>
        <v>0</v>
      </c>
      <c r="AL448" s="898">
        <f>+Model!BF488</f>
        <v>0</v>
      </c>
      <c r="AM448" s="898">
        <f>+Model!BG488</f>
        <v>0</v>
      </c>
      <c r="AN448" s="898">
        <f>+Model!BH488</f>
        <v>0</v>
      </c>
      <c r="AO448" s="898">
        <f>+Model!BI488</f>
        <v>0</v>
      </c>
      <c r="AP448" s="898">
        <f>+Model!BJ488</f>
        <v>0</v>
      </c>
      <c r="AQ448" s="898">
        <f>+Model!BK488</f>
        <v>0</v>
      </c>
      <c r="AR448" s="898">
        <f>+Model!BL488</f>
        <v>0</v>
      </c>
      <c r="AS448" s="898">
        <f>+Model!BM488</f>
        <v>0</v>
      </c>
      <c r="AT448" s="898">
        <f>+Model!BN488</f>
        <v>0</v>
      </c>
      <c r="AU448" s="971">
        <v>0</v>
      </c>
      <c r="AV448" s="895"/>
    </row>
    <row r="449" spans="1:48" s="879" customFormat="1" ht="14" x14ac:dyDescent="0.4">
      <c r="A449" s="876" t="str">
        <f>+Model!A489</f>
        <v>Excess tax benefit from stock-based compensation</v>
      </c>
      <c r="C449" s="898">
        <f>+Model!AA489</f>
        <v>0</v>
      </c>
      <c r="D449" s="898">
        <f>+Model!AB489</f>
        <v>0</v>
      </c>
      <c r="E449" s="898">
        <f>+Model!AC489</f>
        <v>0</v>
      </c>
      <c r="F449" s="898">
        <f>+Model!AD489</f>
        <v>0</v>
      </c>
      <c r="G449" s="898">
        <f>+Model!AE489</f>
        <v>0</v>
      </c>
      <c r="H449" s="898">
        <f>+Model!AF489</f>
        <v>0</v>
      </c>
      <c r="I449" s="898">
        <f>+Model!AG489</f>
        <v>0</v>
      </c>
      <c r="J449" s="957">
        <f>+Model!AH489</f>
        <v>0</v>
      </c>
      <c r="K449" s="898">
        <f>+Model!AI489</f>
        <v>0</v>
      </c>
      <c r="L449" s="898">
        <f>+Model!AJ489</f>
        <v>0</v>
      </c>
      <c r="M449" s="898">
        <f>+Model!AK489</f>
        <v>0</v>
      </c>
      <c r="N449" s="957">
        <f>+Model!AL489</f>
        <v>0</v>
      </c>
      <c r="O449" s="898">
        <f>+Model!AM489</f>
        <v>0</v>
      </c>
      <c r="P449" s="898">
        <f>+Model!AN489</f>
        <v>0</v>
      </c>
      <c r="Q449" s="898">
        <f>+Model!AO489</f>
        <v>0</v>
      </c>
      <c r="R449" s="957">
        <f>+Model!AP489</f>
        <v>0</v>
      </c>
      <c r="S449" s="898">
        <f>+Model!AQ489</f>
        <v>0</v>
      </c>
      <c r="T449" s="898">
        <f>+Model!AR489</f>
        <v>0</v>
      </c>
      <c r="U449" s="898">
        <f>+Model!AS489</f>
        <v>0</v>
      </c>
      <c r="V449" s="957">
        <f>+Model!AT489</f>
        <v>0</v>
      </c>
      <c r="W449" s="898">
        <f>+Model!AU489</f>
        <v>0</v>
      </c>
      <c r="X449" s="877">
        <v>0</v>
      </c>
      <c r="Y449" s="877">
        <v>0</v>
      </c>
      <c r="Z449" s="877">
        <f t="shared" si="1324"/>
        <v>0</v>
      </c>
      <c r="AA449" s="1272">
        <v>0</v>
      </c>
      <c r="AB449" s="877"/>
      <c r="AC449" s="877"/>
      <c r="AD449" s="877"/>
      <c r="AE449" s="880"/>
      <c r="AF449" s="898">
        <f>+Model!AZ489</f>
        <v>6.9980000000000002</v>
      </c>
      <c r="AG449" s="898">
        <f>+Model!BA489</f>
        <v>3.9350000000000001</v>
      </c>
      <c r="AH449" s="898">
        <f>+Model!BB489</f>
        <v>4.9539999999999997</v>
      </c>
      <c r="AI449" s="898">
        <f>+Model!BC489</f>
        <v>-3.1219999999999999</v>
      </c>
      <c r="AJ449" s="898">
        <f>+Model!BD489</f>
        <v>8.8889999999999993</v>
      </c>
      <c r="AK449" s="898">
        <f>+Model!BE489</f>
        <v>1.679</v>
      </c>
      <c r="AL449" s="898">
        <f>+Model!BF489</f>
        <v>0.11799999999999999</v>
      </c>
      <c r="AM449" s="898">
        <f>+Model!BG489</f>
        <v>6.0000000000000001E-3</v>
      </c>
      <c r="AN449" s="898">
        <f>+Model!BH489</f>
        <v>0.29099999999999998</v>
      </c>
      <c r="AO449" s="898">
        <f>+Model!BI489</f>
        <v>0</v>
      </c>
      <c r="AP449" s="898">
        <f>+Model!BJ489</f>
        <v>0</v>
      </c>
      <c r="AQ449" s="898">
        <f>+Model!BK489</f>
        <v>0</v>
      </c>
      <c r="AR449" s="898">
        <f>+Model!BL489</f>
        <v>0</v>
      </c>
      <c r="AS449" s="898">
        <f>+Model!BM489</f>
        <v>0</v>
      </c>
      <c r="AT449" s="898">
        <f>+Model!BN489</f>
        <v>0</v>
      </c>
      <c r="AU449" s="971">
        <v>0</v>
      </c>
      <c r="AV449" s="895"/>
    </row>
    <row r="450" spans="1:48" s="879" customFormat="1" ht="14" x14ac:dyDescent="0.4">
      <c r="A450" s="876" t="str">
        <f>+Model!A490</f>
        <v>Withholding of stock options for tax withholding</v>
      </c>
      <c r="C450" s="898">
        <f>+Model!AA490</f>
        <v>0</v>
      </c>
      <c r="D450" s="898">
        <f>+Model!AB490</f>
        <v>0</v>
      </c>
      <c r="E450" s="898">
        <f>+Model!AC490</f>
        <v>0</v>
      </c>
      <c r="F450" s="898">
        <f>+Model!AD490</f>
        <v>0</v>
      </c>
      <c r="G450" s="898">
        <f>+Model!AE490</f>
        <v>0</v>
      </c>
      <c r="H450" s="898">
        <f>+Model!AF490</f>
        <v>0</v>
      </c>
      <c r="I450" s="898">
        <f>+Model!AG490</f>
        <v>0</v>
      </c>
      <c r="J450" s="957">
        <f>+Model!AH490</f>
        <v>0</v>
      </c>
      <c r="K450" s="898">
        <f>+Model!AI490</f>
        <v>-10.885</v>
      </c>
      <c r="L450" s="898">
        <f>+Model!AJ490</f>
        <v>0</v>
      </c>
      <c r="M450" s="898">
        <f>+Model!AK490</f>
        <v>0</v>
      </c>
      <c r="N450" s="957">
        <f>+Model!AL490</f>
        <v>0</v>
      </c>
      <c r="O450" s="898">
        <f>+Model!AM490</f>
        <v>0</v>
      </c>
      <c r="P450" s="898">
        <f>+Model!AN490</f>
        <v>0</v>
      </c>
      <c r="Q450" s="898">
        <f>+Model!AO490</f>
        <v>0</v>
      </c>
      <c r="R450" s="957">
        <f>+Model!AP490</f>
        <v>0</v>
      </c>
      <c r="S450" s="898">
        <f>+Model!AQ490</f>
        <v>0</v>
      </c>
      <c r="T450" s="898">
        <f>+Model!AR490</f>
        <v>0</v>
      </c>
      <c r="U450" s="898">
        <f>+Model!AS490</f>
        <v>0</v>
      </c>
      <c r="V450" s="957">
        <f>+Model!AT490</f>
        <v>0</v>
      </c>
      <c r="W450" s="898">
        <f>+Model!AU490</f>
        <v>0</v>
      </c>
      <c r="X450" s="877">
        <v>0</v>
      </c>
      <c r="Y450" s="877">
        <v>0</v>
      </c>
      <c r="Z450" s="877">
        <f t="shared" si="1324"/>
        <v>0</v>
      </c>
      <c r="AA450" s="1272">
        <v>0</v>
      </c>
      <c r="AB450" s="877"/>
      <c r="AC450" s="877"/>
      <c r="AD450" s="877"/>
      <c r="AE450" s="880"/>
      <c r="AF450" s="898">
        <f>+Model!AZ490</f>
        <v>0</v>
      </c>
      <c r="AG450" s="898">
        <f>+Model!BA490</f>
        <v>0</v>
      </c>
      <c r="AH450" s="898">
        <f>+Model!BB490</f>
        <v>0</v>
      </c>
      <c r="AI450" s="898">
        <f>+Model!BC490</f>
        <v>0</v>
      </c>
      <c r="AJ450" s="898">
        <f>+Model!BD490</f>
        <v>0</v>
      </c>
      <c r="AK450" s="898">
        <f>+Model!BE490</f>
        <v>0</v>
      </c>
      <c r="AL450" s="898">
        <f>+Model!BF490</f>
        <v>0</v>
      </c>
      <c r="AM450" s="898">
        <f>+Model!BG490</f>
        <v>0</v>
      </c>
      <c r="AN450" s="898">
        <f>+Model!BH490</f>
        <v>0</v>
      </c>
      <c r="AO450" s="898">
        <f>+Model!BI490</f>
        <v>0</v>
      </c>
      <c r="AP450" s="898">
        <f>+Model!BJ490</f>
        <v>0</v>
      </c>
      <c r="AQ450" s="898">
        <f>+Model!BK490</f>
        <v>0</v>
      </c>
      <c r="AR450" s="898">
        <f>+Model!BL490</f>
        <v>-10.885</v>
      </c>
      <c r="AS450" s="898">
        <f>+Model!BM490</f>
        <v>0</v>
      </c>
      <c r="AT450" s="898">
        <f>+Model!BN490</f>
        <v>0</v>
      </c>
      <c r="AU450" s="971">
        <v>0</v>
      </c>
      <c r="AV450" s="895"/>
    </row>
    <row r="451" spans="1:48" s="879" customFormat="1" ht="14" x14ac:dyDescent="0.4">
      <c r="A451" s="876" t="str">
        <f>+Model!A491</f>
        <v>Repurchase of restricted stock for income tax withholding</v>
      </c>
      <c r="C451" s="898">
        <f>+Model!AA491</f>
        <v>-6.0720000000000001</v>
      </c>
      <c r="D451" s="898">
        <f>+Model!AB491</f>
        <v>-0.83300000000000018</v>
      </c>
      <c r="E451" s="898">
        <f>+Model!AC491</f>
        <v>-2.7510000000000003</v>
      </c>
      <c r="F451" s="898">
        <f>+Model!AD491</f>
        <v>-0.3019999999999996</v>
      </c>
      <c r="G451" s="898">
        <f>+Model!AE491</f>
        <v>-4.6980000000000004</v>
      </c>
      <c r="H451" s="898">
        <f>+Model!AF491</f>
        <v>-0.18499999999999961</v>
      </c>
      <c r="I451" s="898">
        <f>+Model!AG491</f>
        <v>-1.6209999999999996</v>
      </c>
      <c r="J451" s="957">
        <f>+Model!AH491</f>
        <v>-0.25700000000000056</v>
      </c>
      <c r="K451" s="898">
        <f>+Model!AI491</f>
        <v>-5.8079999999999998</v>
      </c>
      <c r="L451" s="898">
        <f>+Model!AJ491</f>
        <v>-0.30000000000000071</v>
      </c>
      <c r="M451" s="898">
        <f>+Model!AK491</f>
        <v>-2.7639999999999993</v>
      </c>
      <c r="N451" s="957">
        <f>+Model!AL491</f>
        <v>-0.35599999999999987</v>
      </c>
      <c r="O451" s="898">
        <f>+Model!AM491</f>
        <v>-6.0430000000000001</v>
      </c>
      <c r="P451" s="898">
        <f>+Model!AN491</f>
        <v>-29.361000000000004</v>
      </c>
      <c r="Q451" s="898">
        <f>+Model!AO491</f>
        <v>-2.0589999999999975</v>
      </c>
      <c r="R451" s="957">
        <f>+Model!AP491</f>
        <v>-0.39199999999999591</v>
      </c>
      <c r="S451" s="898">
        <f>+Model!AQ491</f>
        <v>-8.9049999999999994</v>
      </c>
      <c r="T451" s="898">
        <f>+Model!AR491</f>
        <v>-1.4290000000000003</v>
      </c>
      <c r="U451" s="898">
        <f>+Model!AS491</f>
        <v>-2.6020000000000003</v>
      </c>
      <c r="V451" s="957">
        <f>+Model!AT491</f>
        <v>-0.60500000000000043</v>
      </c>
      <c r="W451" s="898">
        <f>+Model!AU491</f>
        <v>-2.09</v>
      </c>
      <c r="X451" s="877">
        <f>-3.161-W451</f>
        <v>-1.0710000000000002</v>
      </c>
      <c r="Y451" s="877">
        <f>-7.597-X451-W451</f>
        <v>-4.4359999999999999</v>
      </c>
      <c r="Z451" s="877">
        <f t="shared" si="1324"/>
        <v>-0.60299999999999976</v>
      </c>
      <c r="AA451" s="1272">
        <v>-11.204000000000001</v>
      </c>
      <c r="AB451" s="877"/>
      <c r="AC451" s="877"/>
      <c r="AD451" s="877"/>
      <c r="AE451" s="880"/>
      <c r="AF451" s="898">
        <f>+Model!AZ491</f>
        <v>0</v>
      </c>
      <c r="AG451" s="898">
        <f>+Model!BA491</f>
        <v>-5.8000000000000003E-2</v>
      </c>
      <c r="AH451" s="898">
        <f>+Model!BB491</f>
        <v>-1.627</v>
      </c>
      <c r="AI451" s="898">
        <f>+Model!BC491</f>
        <v>-1.292</v>
      </c>
      <c r="AJ451" s="898">
        <f>+Model!BD491</f>
        <v>-2.5459999999999998</v>
      </c>
      <c r="AK451" s="898">
        <f>+Model!BE491</f>
        <v>-5.0179999999999998</v>
      </c>
      <c r="AL451" s="898">
        <f>+Model!BF491</f>
        <v>-2.6720000000000002</v>
      </c>
      <c r="AM451" s="898">
        <f>+Model!BG491</f>
        <v>-3.3940000000000001</v>
      </c>
      <c r="AN451" s="898">
        <f>+Model!BH491</f>
        <v>-6.1909999999999998</v>
      </c>
      <c r="AO451" s="898">
        <f>+Model!BI491</f>
        <v>-10.314</v>
      </c>
      <c r="AP451" s="898">
        <f>+Model!BJ491</f>
        <v>-9.9580000000000002</v>
      </c>
      <c r="AQ451" s="898">
        <f>+Model!BK491</f>
        <v>-6.7610000000000001</v>
      </c>
      <c r="AR451" s="898">
        <f>+Model!BL491</f>
        <v>-9.2279999999999998</v>
      </c>
      <c r="AS451" s="898">
        <f>+Model!BM491</f>
        <v>-37.854999999999997</v>
      </c>
      <c r="AT451" s="898">
        <f>+Model!BN491</f>
        <v>-13.541</v>
      </c>
      <c r="AU451" s="971">
        <v>-8.1999999999999993</v>
      </c>
      <c r="AV451" s="895"/>
    </row>
    <row r="452" spans="1:48" s="879" customFormat="1" ht="14" x14ac:dyDescent="0.4">
      <c r="A452" s="876" t="str">
        <f>+Model!A492</f>
        <v>Proceeds from issuance of common stock</v>
      </c>
      <c r="C452" s="898">
        <f>+Model!AA492</f>
        <v>0</v>
      </c>
      <c r="D452" s="898">
        <f>+Model!AB492</f>
        <v>0</v>
      </c>
      <c r="E452" s="898">
        <f>+Model!AC492</f>
        <v>0</v>
      </c>
      <c r="F452" s="898">
        <f>+Model!AD492</f>
        <v>0</v>
      </c>
      <c r="G452" s="898">
        <f>+Model!AE492</f>
        <v>0</v>
      </c>
      <c r="H452" s="898">
        <f>+Model!AF492</f>
        <v>0</v>
      </c>
      <c r="I452" s="898">
        <f>+Model!AG492</f>
        <v>0</v>
      </c>
      <c r="J452" s="957">
        <f>+Model!AH492</f>
        <v>0</v>
      </c>
      <c r="K452" s="898">
        <f>+Model!AI492</f>
        <v>0</v>
      </c>
      <c r="L452" s="898">
        <f>+Model!AJ492</f>
        <v>0</v>
      </c>
      <c r="M452" s="898">
        <f>+Model!AK492</f>
        <v>0</v>
      </c>
      <c r="N452" s="957">
        <f>+Model!AL492</f>
        <v>0</v>
      </c>
      <c r="O452" s="898">
        <f>+Model!AM492</f>
        <v>0</v>
      </c>
      <c r="P452" s="898">
        <f>+Model!AN492</f>
        <v>0</v>
      </c>
      <c r="Q452" s="898">
        <f>+Model!AO492</f>
        <v>0</v>
      </c>
      <c r="R452" s="957">
        <f>+Model!AP492</f>
        <v>0</v>
      </c>
      <c r="S452" s="898">
        <f>+Model!AQ492</f>
        <v>0</v>
      </c>
      <c r="T452" s="898">
        <f>+Model!AR492</f>
        <v>0</v>
      </c>
      <c r="U452" s="898">
        <f>+Model!AS492</f>
        <v>0</v>
      </c>
      <c r="V452" s="957">
        <f>+Model!AT492</f>
        <v>0</v>
      </c>
      <c r="W452" s="898">
        <f>+Model!AU492</f>
        <v>0</v>
      </c>
      <c r="X452" s="877">
        <v>0</v>
      </c>
      <c r="Y452" s="877">
        <v>0</v>
      </c>
      <c r="Z452" s="877">
        <f t="shared" si="1324"/>
        <v>0</v>
      </c>
      <c r="AA452" s="1272">
        <v>0</v>
      </c>
      <c r="AB452" s="877"/>
      <c r="AC452" s="877"/>
      <c r="AD452" s="877"/>
      <c r="AE452" s="880"/>
      <c r="AF452" s="898">
        <f>+Model!AZ492</f>
        <v>0</v>
      </c>
      <c r="AG452" s="898">
        <f>+Model!BA492</f>
        <v>0</v>
      </c>
      <c r="AH452" s="898">
        <f>+Model!BB492</f>
        <v>125.619</v>
      </c>
      <c r="AI452" s="898">
        <f>+Model!BC492</f>
        <v>0</v>
      </c>
      <c r="AJ452" s="898">
        <f>+Model!BD492</f>
        <v>0</v>
      </c>
      <c r="AK452" s="898">
        <f>+Model!BE492</f>
        <v>0</v>
      </c>
      <c r="AL452" s="898">
        <f>+Model!BF492</f>
        <v>0</v>
      </c>
      <c r="AM452" s="898">
        <f>+Model!BG492</f>
        <v>0</v>
      </c>
      <c r="AN452" s="898">
        <f>+Model!BH492</f>
        <v>0</v>
      </c>
      <c r="AO452" s="898">
        <f>+Model!BI492</f>
        <v>0</v>
      </c>
      <c r="AP452" s="898">
        <f>+Model!BJ492</f>
        <v>0</v>
      </c>
      <c r="AQ452" s="898">
        <f>+Model!BK492</f>
        <v>0</v>
      </c>
      <c r="AR452" s="898">
        <f>+Model!BL492</f>
        <v>0</v>
      </c>
      <c r="AS452" s="898">
        <f>+Model!BM492</f>
        <v>0</v>
      </c>
      <c r="AT452" s="898">
        <f>+Model!BN492</f>
        <v>0</v>
      </c>
      <c r="AU452" s="971">
        <v>0</v>
      </c>
      <c r="AV452" s="895"/>
    </row>
    <row r="453" spans="1:48" s="879" customFormat="1" ht="14" x14ac:dyDescent="0.4">
      <c r="A453" s="876" t="str">
        <f>+Model!A493</f>
        <v>Proceeds from notes payable</v>
      </c>
      <c r="C453" s="898">
        <f>+Model!AA493</f>
        <v>0</v>
      </c>
      <c r="D453" s="898">
        <f>+Model!AB493</f>
        <v>0</v>
      </c>
      <c r="E453" s="898">
        <f>+Model!AC493</f>
        <v>0</v>
      </c>
      <c r="F453" s="898">
        <f>+Model!AD493</f>
        <v>0</v>
      </c>
      <c r="G453" s="898">
        <f>+Model!AE493</f>
        <v>0</v>
      </c>
      <c r="H453" s="898">
        <f>+Model!AF493</f>
        <v>0</v>
      </c>
      <c r="I453" s="898">
        <f>+Model!AG493</f>
        <v>0</v>
      </c>
      <c r="J453" s="957">
        <f>+Model!AH493</f>
        <v>0</v>
      </c>
      <c r="K453" s="898">
        <f>+Model!AI493</f>
        <v>0</v>
      </c>
      <c r="L453" s="898">
        <f>+Model!AJ493</f>
        <v>0</v>
      </c>
      <c r="M453" s="898">
        <f>+Model!AK493</f>
        <v>0</v>
      </c>
      <c r="N453" s="957">
        <f>+Model!AL493</f>
        <v>0</v>
      </c>
      <c r="O453" s="898">
        <f>+Model!AM493</f>
        <v>0</v>
      </c>
      <c r="P453" s="898">
        <f>+Model!AN493</f>
        <v>0</v>
      </c>
      <c r="Q453" s="898">
        <f>+Model!AO493</f>
        <v>0</v>
      </c>
      <c r="R453" s="957">
        <f>+Model!AP493</f>
        <v>0</v>
      </c>
      <c r="S453" s="898">
        <f>+Model!AQ493</f>
        <v>0</v>
      </c>
      <c r="T453" s="898">
        <f>+Model!AR493</f>
        <v>0</v>
      </c>
      <c r="U453" s="898">
        <f>+Model!AS493</f>
        <v>0</v>
      </c>
      <c r="V453" s="957">
        <f>+Model!AT493</f>
        <v>0</v>
      </c>
      <c r="W453" s="898">
        <f>+Model!AU493</f>
        <v>0</v>
      </c>
      <c r="X453" s="877">
        <v>0</v>
      </c>
      <c r="Y453" s="877">
        <v>0</v>
      </c>
      <c r="Z453" s="877">
        <f t="shared" si="1324"/>
        <v>0</v>
      </c>
      <c r="AA453" s="1272">
        <v>0</v>
      </c>
      <c r="AB453" s="877"/>
      <c r="AC453" s="877"/>
      <c r="AD453" s="877"/>
      <c r="AE453" s="880"/>
      <c r="AF453" s="898">
        <f>+Model!AZ493</f>
        <v>3.1349999999999998</v>
      </c>
      <c r="AG453" s="898">
        <f>+Model!BA493</f>
        <v>0</v>
      </c>
      <c r="AH453" s="898">
        <f>+Model!BB493</f>
        <v>1.9319999999999999</v>
      </c>
      <c r="AI453" s="898">
        <f>+Model!BC493</f>
        <v>0</v>
      </c>
      <c r="AJ453" s="898">
        <f>+Model!BD493</f>
        <v>0</v>
      </c>
      <c r="AK453" s="898">
        <f>+Model!BE493</f>
        <v>0</v>
      </c>
      <c r="AL453" s="898">
        <f>+Model!BF493</f>
        <v>0</v>
      </c>
      <c r="AM453" s="898">
        <f>+Model!BG493</f>
        <v>0</v>
      </c>
      <c r="AN453" s="898">
        <f>+Model!BH493</f>
        <v>0</v>
      </c>
      <c r="AO453" s="898">
        <f>+Model!BI493</f>
        <v>0</v>
      </c>
      <c r="AP453" s="898">
        <f>+Model!BJ493</f>
        <v>0</v>
      </c>
      <c r="AQ453" s="898">
        <f>+Model!BK493</f>
        <v>0</v>
      </c>
      <c r="AR453" s="898">
        <f>+Model!BL493</f>
        <v>0</v>
      </c>
      <c r="AS453" s="898">
        <f>+Model!BM493</f>
        <v>0</v>
      </c>
      <c r="AT453" s="898">
        <f>+Model!BN493</f>
        <v>0</v>
      </c>
      <c r="AU453" s="971">
        <v>0</v>
      </c>
      <c r="AV453" s="895"/>
    </row>
    <row r="454" spans="1:48" s="879" customFormat="1" ht="14" x14ac:dyDescent="0.4">
      <c r="A454" s="876" t="str">
        <f>+Model!A494</f>
        <v>Borrowings from line of credit</v>
      </c>
      <c r="C454" s="898">
        <f>+Model!AA494</f>
        <v>0</v>
      </c>
      <c r="D454" s="898">
        <f>+Model!AB494</f>
        <v>0</v>
      </c>
      <c r="E454" s="898">
        <f>+Model!AC494</f>
        <v>0</v>
      </c>
      <c r="F454" s="898">
        <f>+Model!AD494</f>
        <v>0</v>
      </c>
      <c r="G454" s="898">
        <f>+Model!AE494</f>
        <v>0</v>
      </c>
      <c r="H454" s="898">
        <f>+Model!AF494</f>
        <v>0</v>
      </c>
      <c r="I454" s="898">
        <f>+Model!AG494</f>
        <v>105</v>
      </c>
      <c r="J454" s="957">
        <f>+Model!AH494</f>
        <v>0</v>
      </c>
      <c r="K454" s="898">
        <f>+Model!AI494</f>
        <v>0</v>
      </c>
      <c r="L454" s="898">
        <f>+Model!AJ494</f>
        <v>0</v>
      </c>
      <c r="M454" s="898">
        <f>+Model!AK494</f>
        <v>0</v>
      </c>
      <c r="N454" s="957">
        <f>+Model!AL494</f>
        <v>0</v>
      </c>
      <c r="O454" s="898">
        <f>+Model!AM494</f>
        <v>0</v>
      </c>
      <c r="P454" s="898">
        <f>+Model!AN494</f>
        <v>0</v>
      </c>
      <c r="Q454" s="898">
        <f>+Model!AO494</f>
        <v>0</v>
      </c>
      <c r="R454" s="957">
        <f>+Model!AP494</f>
        <v>0</v>
      </c>
      <c r="S454" s="898">
        <f>+Model!AQ494</f>
        <v>0</v>
      </c>
      <c r="T454" s="898">
        <f>+Model!AR494</f>
        <v>0</v>
      </c>
      <c r="U454" s="898">
        <f>+Model!AS494</f>
        <v>0</v>
      </c>
      <c r="V454" s="957">
        <f>+Model!AT494</f>
        <v>0</v>
      </c>
      <c r="W454" s="898">
        <f>+Model!AU494</f>
        <v>0</v>
      </c>
      <c r="X454" s="877">
        <v>0</v>
      </c>
      <c r="Y454" s="877">
        <v>0</v>
      </c>
      <c r="Z454" s="877">
        <f t="shared" si="1324"/>
        <v>0</v>
      </c>
      <c r="AA454" s="1272">
        <v>0</v>
      </c>
      <c r="AB454" s="877"/>
      <c r="AC454" s="877"/>
      <c r="AD454" s="877"/>
      <c r="AE454" s="880"/>
      <c r="AF454" s="898">
        <f>+Model!AZ494</f>
        <v>0</v>
      </c>
      <c r="AG454" s="898">
        <f>+Model!BA494</f>
        <v>0</v>
      </c>
      <c r="AH454" s="898">
        <f>+Model!BB494</f>
        <v>15</v>
      </c>
      <c r="AI454" s="898">
        <f>+Model!BC494</f>
        <v>0</v>
      </c>
      <c r="AJ454" s="898">
        <f>+Model!BD494</f>
        <v>0</v>
      </c>
      <c r="AK454" s="898">
        <f>+Model!BE494</f>
        <v>0</v>
      </c>
      <c r="AL454" s="898">
        <f>+Model!BF494</f>
        <v>0</v>
      </c>
      <c r="AM454" s="898">
        <f>+Model!BG494</f>
        <v>0</v>
      </c>
      <c r="AN454" s="898">
        <f>+Model!BH494</f>
        <v>0</v>
      </c>
      <c r="AO454" s="898">
        <f>+Model!BI494</f>
        <v>0</v>
      </c>
      <c r="AP454" s="898">
        <f>+Model!BJ494</f>
        <v>0</v>
      </c>
      <c r="AQ454" s="898">
        <f>+Model!BK494</f>
        <v>105</v>
      </c>
      <c r="AR454" s="898">
        <f>+Model!BL494</f>
        <v>0</v>
      </c>
      <c r="AS454" s="898">
        <f>+Model!BM494</f>
        <v>0</v>
      </c>
      <c r="AT454" s="898">
        <f>+Model!BN494</f>
        <v>0</v>
      </c>
      <c r="AU454" s="971">
        <v>0</v>
      </c>
      <c r="AV454" s="895"/>
    </row>
    <row r="455" spans="1:48" s="879" customFormat="1" ht="14" x14ac:dyDescent="0.4">
      <c r="A455" s="876" t="str">
        <f>+Model!A495</f>
        <v>Repayments under the line of credit</v>
      </c>
      <c r="C455" s="898">
        <f>+Model!AA495</f>
        <v>0</v>
      </c>
      <c r="D455" s="898">
        <f>+Model!AB495</f>
        <v>0</v>
      </c>
      <c r="E455" s="898">
        <f>+Model!AC495</f>
        <v>0</v>
      </c>
      <c r="F455" s="898">
        <f>+Model!AD495</f>
        <v>0</v>
      </c>
      <c r="G455" s="898">
        <f>+Model!AE495</f>
        <v>0</v>
      </c>
      <c r="H455" s="898">
        <f>+Model!AF495</f>
        <v>0</v>
      </c>
      <c r="I455" s="898">
        <f>+Model!AG495</f>
        <v>-5</v>
      </c>
      <c r="J455" s="957">
        <f>+Model!AH495</f>
        <v>0</v>
      </c>
      <c r="K455" s="898">
        <f>+Model!AI495</f>
        <v>-100</v>
      </c>
      <c r="L455" s="898">
        <f>+Model!AJ495</f>
        <v>0</v>
      </c>
      <c r="M455" s="898">
        <f>+Model!AK495</f>
        <v>0</v>
      </c>
      <c r="N455" s="957">
        <f>+Model!AL495</f>
        <v>0</v>
      </c>
      <c r="O455" s="898">
        <f>+Model!AM495</f>
        <v>0</v>
      </c>
      <c r="P455" s="898">
        <f>+Model!AN495</f>
        <v>0</v>
      </c>
      <c r="Q455" s="898">
        <f>+Model!AO495</f>
        <v>0</v>
      </c>
      <c r="R455" s="957">
        <f>+Model!AP495</f>
        <v>0</v>
      </c>
      <c r="S455" s="898">
        <f>+Model!AQ495</f>
        <v>0</v>
      </c>
      <c r="T455" s="898">
        <f>+Model!AR495</f>
        <v>0</v>
      </c>
      <c r="U455" s="898">
        <f>+Model!AS495</f>
        <v>0</v>
      </c>
      <c r="V455" s="957">
        <f>+Model!AT495</f>
        <v>0</v>
      </c>
      <c r="W455" s="898">
        <f>+Model!AU495</f>
        <v>0</v>
      </c>
      <c r="X455" s="877">
        <v>0</v>
      </c>
      <c r="Y455" s="877">
        <v>0</v>
      </c>
      <c r="Z455" s="877">
        <f t="shared" si="1324"/>
        <v>0</v>
      </c>
      <c r="AA455" s="1272">
        <v>0</v>
      </c>
      <c r="AB455" s="877"/>
      <c r="AC455" s="877"/>
      <c r="AD455" s="877"/>
      <c r="AE455" s="880"/>
      <c r="AF455" s="898">
        <f>+Model!AZ495</f>
        <v>0</v>
      </c>
      <c r="AG455" s="898">
        <f>+Model!BA495</f>
        <v>0</v>
      </c>
      <c r="AH455" s="898">
        <f>+Model!BB495</f>
        <v>-15</v>
      </c>
      <c r="AI455" s="898">
        <f>+Model!BC495</f>
        <v>0</v>
      </c>
      <c r="AJ455" s="898">
        <f>+Model!BD495</f>
        <v>0</v>
      </c>
      <c r="AK455" s="898">
        <f>+Model!BE495</f>
        <v>0</v>
      </c>
      <c r="AL455" s="898">
        <f>+Model!BF495</f>
        <v>0</v>
      </c>
      <c r="AM455" s="898">
        <f>+Model!BG495</f>
        <v>0</v>
      </c>
      <c r="AN455" s="898">
        <f>+Model!BH495</f>
        <v>0</v>
      </c>
      <c r="AO455" s="898">
        <f>+Model!BI495</f>
        <v>0</v>
      </c>
      <c r="AP455" s="898">
        <f>+Model!BJ495</f>
        <v>0</v>
      </c>
      <c r="AQ455" s="898">
        <f>+Model!BK495</f>
        <v>-5</v>
      </c>
      <c r="AR455" s="898">
        <f>+Model!BL495</f>
        <v>-100</v>
      </c>
      <c r="AS455" s="898">
        <f>+Model!BM495</f>
        <v>0</v>
      </c>
      <c r="AT455" s="898">
        <f>+Model!BN495</f>
        <v>0</v>
      </c>
      <c r="AU455" s="971">
        <v>0</v>
      </c>
      <c r="AV455" s="895"/>
    </row>
    <row r="456" spans="1:48" s="879" customFormat="1" ht="14" x14ac:dyDescent="0.4">
      <c r="A456" s="876" t="str">
        <f>+Model!A496</f>
        <v>Issuance of convertible senior notes</v>
      </c>
      <c r="C456" s="898">
        <f>+Model!AA496</f>
        <v>0</v>
      </c>
      <c r="D456" s="898">
        <f>+Model!AB496</f>
        <v>0</v>
      </c>
      <c r="E456" s="898">
        <f>+Model!AC496</f>
        <v>0</v>
      </c>
      <c r="F456" s="898">
        <f>+Model!AD496</f>
        <v>0</v>
      </c>
      <c r="G456" s="898">
        <f>+Model!AE496</f>
        <v>0</v>
      </c>
      <c r="H456" s="898">
        <f>+Model!AF496</f>
        <v>0</v>
      </c>
      <c r="I456" s="898">
        <f>+Model!AG496</f>
        <v>0</v>
      </c>
      <c r="J456" s="957">
        <f>+Model!AH496</f>
        <v>0</v>
      </c>
      <c r="K456" s="898">
        <f>+Model!AI496</f>
        <v>409.39</v>
      </c>
      <c r="L456" s="898">
        <f>+Model!AJ496</f>
        <v>-0.77999999999997272</v>
      </c>
      <c r="M456" s="898">
        <f>+Model!AK496</f>
        <v>0</v>
      </c>
      <c r="N456" s="957">
        <f>+Model!AL496</f>
        <v>0</v>
      </c>
      <c r="O456" s="898">
        <f>+Model!AM496</f>
        <v>0</v>
      </c>
      <c r="P456" s="898">
        <f>+Model!AN496</f>
        <v>0</v>
      </c>
      <c r="Q456" s="898">
        <f>+Model!AO496</f>
        <v>0</v>
      </c>
      <c r="R456" s="957">
        <f>+Model!AP496</f>
        <v>0</v>
      </c>
      <c r="S456" s="898">
        <f>+Model!AQ496</f>
        <v>0</v>
      </c>
      <c r="T456" s="898">
        <f>+Model!AR496</f>
        <v>0</v>
      </c>
      <c r="U456" s="898">
        <f>+Model!AS496</f>
        <v>0</v>
      </c>
      <c r="V456" s="957">
        <f>+Model!AT496</f>
        <v>0</v>
      </c>
      <c r="W456" s="898">
        <f>+Model!AU496</f>
        <v>0</v>
      </c>
      <c r="X456" s="877">
        <v>0</v>
      </c>
      <c r="Y456" s="877">
        <v>0</v>
      </c>
      <c r="Z456" s="877">
        <f t="shared" si="1324"/>
        <v>0</v>
      </c>
      <c r="AA456" s="1272">
        <v>0</v>
      </c>
      <c r="AB456" s="877"/>
      <c r="AC456" s="877"/>
      <c r="AD456" s="877"/>
      <c r="AE456" s="880"/>
      <c r="AF456" s="898">
        <f>+Model!AZ496</f>
        <v>0</v>
      </c>
      <c r="AG456" s="898">
        <f>+Model!BA496</f>
        <v>0</v>
      </c>
      <c r="AH456" s="898">
        <f>+Model!BB496</f>
        <v>0</v>
      </c>
      <c r="AI456" s="898">
        <f>+Model!BC496</f>
        <v>0</v>
      </c>
      <c r="AJ456" s="898">
        <f>+Model!BD496</f>
        <v>0</v>
      </c>
      <c r="AK456" s="898">
        <f>+Model!BE496</f>
        <v>0</v>
      </c>
      <c r="AL456" s="898">
        <f>+Model!BF496</f>
        <v>0</v>
      </c>
      <c r="AM456" s="898">
        <f>+Model!BG496</f>
        <v>0</v>
      </c>
      <c r="AN456" s="898">
        <f>+Model!BH496</f>
        <v>0</v>
      </c>
      <c r="AO456" s="898">
        <f>+Model!BI496</f>
        <v>0</v>
      </c>
      <c r="AP456" s="898">
        <f>+Model!BJ496</f>
        <v>0</v>
      </c>
      <c r="AQ456" s="898">
        <f>+Model!BK496</f>
        <v>0</v>
      </c>
      <c r="AR456" s="898">
        <f>+Model!BL496</f>
        <v>408.61</v>
      </c>
      <c r="AS456" s="898">
        <f>+Model!BM496</f>
        <v>0</v>
      </c>
      <c r="AT456" s="898">
        <f>+Model!BN496</f>
        <v>0</v>
      </c>
      <c r="AU456" s="971">
        <v>0</v>
      </c>
      <c r="AV456" s="895"/>
    </row>
    <row r="457" spans="1:48" s="879" customFormat="1" ht="14" x14ac:dyDescent="0.4">
      <c r="A457" s="876" t="str">
        <f>+Model!A497</f>
        <v>Purchases of capped calls in connection with convertible senior notes</v>
      </c>
      <c r="C457" s="898">
        <f>+Model!AA497</f>
        <v>0</v>
      </c>
      <c r="D457" s="898">
        <f>+Model!AB497</f>
        <v>0</v>
      </c>
      <c r="E457" s="898">
        <f>+Model!AC497</f>
        <v>0</v>
      </c>
      <c r="F457" s="898">
        <f>+Model!AD497</f>
        <v>0</v>
      </c>
      <c r="G457" s="898">
        <f>+Model!AE497</f>
        <v>0</v>
      </c>
      <c r="H457" s="898">
        <f>+Model!AF497</f>
        <v>0</v>
      </c>
      <c r="I457" s="898">
        <f>+Model!AG497</f>
        <v>0</v>
      </c>
      <c r="J457" s="957">
        <f>+Model!AH497</f>
        <v>0</v>
      </c>
      <c r="K457" s="898">
        <f>+Model!AI497</f>
        <v>-60.353999999999999</v>
      </c>
      <c r="L457" s="898">
        <f>+Model!AJ497</f>
        <v>0</v>
      </c>
      <c r="M457" s="898">
        <f>+Model!AK497</f>
        <v>0</v>
      </c>
      <c r="N457" s="957">
        <f>+Model!AL497</f>
        <v>0</v>
      </c>
      <c r="O457" s="898">
        <f>+Model!AM497</f>
        <v>0</v>
      </c>
      <c r="P457" s="898">
        <f>+Model!AN497</f>
        <v>0</v>
      </c>
      <c r="Q457" s="898">
        <f>+Model!AO497</f>
        <v>0</v>
      </c>
      <c r="R457" s="957">
        <f>+Model!AP497</f>
        <v>0</v>
      </c>
      <c r="S457" s="898">
        <f>+Model!AQ497</f>
        <v>0</v>
      </c>
      <c r="T457" s="898">
        <f>+Model!AR497</f>
        <v>0</v>
      </c>
      <c r="U457" s="898">
        <f>+Model!AS497</f>
        <v>0</v>
      </c>
      <c r="V457" s="957">
        <f>+Model!AT497</f>
        <v>0</v>
      </c>
      <c r="W457" s="898">
        <f>+Model!AU497</f>
        <v>0</v>
      </c>
      <c r="X457" s="877">
        <v>0</v>
      </c>
      <c r="Y457" s="877">
        <v>0</v>
      </c>
      <c r="Z457" s="877">
        <f t="shared" si="1324"/>
        <v>0</v>
      </c>
      <c r="AA457" s="1272">
        <v>0</v>
      </c>
      <c r="AB457" s="877"/>
      <c r="AC457" s="877"/>
      <c r="AD457" s="877"/>
      <c r="AE457" s="880"/>
      <c r="AF457" s="898">
        <f>+Model!AZ497</f>
        <v>0</v>
      </c>
      <c r="AG457" s="898">
        <f>+Model!BA497</f>
        <v>0</v>
      </c>
      <c r="AH457" s="898">
        <f>+Model!BB497</f>
        <v>0</v>
      </c>
      <c r="AI457" s="898">
        <f>+Model!BC497</f>
        <v>0</v>
      </c>
      <c r="AJ457" s="898">
        <f>+Model!BD497</f>
        <v>0</v>
      </c>
      <c r="AK457" s="898">
        <f>+Model!BE497</f>
        <v>0</v>
      </c>
      <c r="AL457" s="898">
        <f>+Model!BF497</f>
        <v>0</v>
      </c>
      <c r="AM457" s="898">
        <f>+Model!BG497</f>
        <v>0</v>
      </c>
      <c r="AN457" s="898">
        <f>+Model!BH497</f>
        <v>0</v>
      </c>
      <c r="AO457" s="898">
        <f>+Model!BI497</f>
        <v>0</v>
      </c>
      <c r="AP457" s="898">
        <f>+Model!BJ497</f>
        <v>0</v>
      </c>
      <c r="AQ457" s="898">
        <f>+Model!BK497</f>
        <v>0</v>
      </c>
      <c r="AR457" s="898">
        <f>+Model!BL497</f>
        <v>-60.353999999999999</v>
      </c>
      <c r="AS457" s="898">
        <f>+Model!BM497</f>
        <v>0</v>
      </c>
      <c r="AT457" s="898">
        <f>+Model!BN497</f>
        <v>0</v>
      </c>
      <c r="AU457" s="971">
        <v>0</v>
      </c>
      <c r="AV457" s="895"/>
    </row>
    <row r="458" spans="1:48" s="879" customFormat="1" ht="14" x14ac:dyDescent="0.4">
      <c r="A458" s="876" t="str">
        <f>+Model!A498</f>
        <v>Dividends Paid</v>
      </c>
      <c r="C458" s="905">
        <f>+Model!AA498</f>
        <v>0</v>
      </c>
      <c r="D458" s="905">
        <f>+Model!AB498</f>
        <v>0</v>
      </c>
      <c r="E458" s="905">
        <f>+Model!AC498</f>
        <v>0</v>
      </c>
      <c r="F458" s="905">
        <f>+Model!AD498</f>
        <v>0</v>
      </c>
      <c r="G458" s="905">
        <f>+Model!AE498</f>
        <v>0</v>
      </c>
      <c r="H458" s="905">
        <f>+Model!AF498</f>
        <v>0</v>
      </c>
      <c r="I458" s="905">
        <f>+Model!AG498</f>
        <v>0</v>
      </c>
      <c r="J458" s="958">
        <f>+Model!AH498</f>
        <v>0</v>
      </c>
      <c r="K458" s="905">
        <f>+Model!AI498</f>
        <v>0</v>
      </c>
      <c r="L458" s="905">
        <f>+Model!AJ498</f>
        <v>0</v>
      </c>
      <c r="M458" s="905">
        <f>+Model!AK498</f>
        <v>0</v>
      </c>
      <c r="N458" s="958">
        <f>+Model!AL498</f>
        <v>0</v>
      </c>
      <c r="O458" s="905">
        <f>+Model!AM498</f>
        <v>0</v>
      </c>
      <c r="P458" s="905">
        <f>+Model!AN498</f>
        <v>0</v>
      </c>
      <c r="Q458" s="905">
        <f>+Model!AO498</f>
        <v>0</v>
      </c>
      <c r="R458" s="958">
        <f>+Model!AP498</f>
        <v>0</v>
      </c>
      <c r="S458" s="905">
        <f>+Model!AQ498</f>
        <v>0</v>
      </c>
      <c r="T458" s="905">
        <f>+Model!AR498</f>
        <v>0</v>
      </c>
      <c r="U458" s="905">
        <f>+Model!AS498</f>
        <v>0</v>
      </c>
      <c r="V458" s="958">
        <f>+Model!AT498</f>
        <v>0</v>
      </c>
      <c r="W458" s="905">
        <f>+Model!AU498</f>
        <v>0</v>
      </c>
      <c r="X458" s="880">
        <v>0</v>
      </c>
      <c r="Y458" s="880">
        <v>0</v>
      </c>
      <c r="Z458" s="880">
        <f>+AU458-SUM(W458:Y458)</f>
        <v>0</v>
      </c>
      <c r="AA458" s="1273">
        <v>0</v>
      </c>
      <c r="AB458" s="880"/>
      <c r="AC458" s="880"/>
      <c r="AD458" s="880"/>
      <c r="AE458" s="880"/>
      <c r="AF458" s="905">
        <f>+Model!AZ498</f>
        <v>0</v>
      </c>
      <c r="AG458" s="905">
        <f>+Model!BA498</f>
        <v>0</v>
      </c>
      <c r="AH458" s="905">
        <f>+Model!BB498</f>
        <v>0</v>
      </c>
      <c r="AI458" s="905">
        <f>+Model!BC498</f>
        <v>0</v>
      </c>
      <c r="AJ458" s="905">
        <f>+Model!BD498</f>
        <v>0</v>
      </c>
      <c r="AK458" s="905">
        <f>+Model!BE498</f>
        <v>0</v>
      </c>
      <c r="AL458" s="905">
        <f>+Model!BF498</f>
        <v>0</v>
      </c>
      <c r="AM458" s="905">
        <f>+Model!BG498</f>
        <v>0</v>
      </c>
      <c r="AN458" s="905">
        <f>+Model!BH498</f>
        <v>0</v>
      </c>
      <c r="AO458" s="905">
        <f>+Model!BI498</f>
        <v>0</v>
      </c>
      <c r="AP458" s="905">
        <f>+Model!BJ498</f>
        <v>0</v>
      </c>
      <c r="AQ458" s="905">
        <f>+Model!BK498</f>
        <v>0</v>
      </c>
      <c r="AR458" s="905">
        <f>+Model!BL498</f>
        <v>0</v>
      </c>
      <c r="AS458" s="905">
        <f>+Model!BM498</f>
        <v>0</v>
      </c>
      <c r="AT458" s="905">
        <f>+Model!BN498</f>
        <v>0</v>
      </c>
      <c r="AU458" s="972">
        <v>0</v>
      </c>
      <c r="AV458" s="895"/>
    </row>
    <row r="459" spans="1:48" s="929" customFormat="1" ht="13" x14ac:dyDescent="0.3">
      <c r="A459" s="912" t="s">
        <v>868</v>
      </c>
      <c r="C459" s="948">
        <f t="shared" ref="C459" si="1325">+SUM(C440:C458)</f>
        <v>-9.58</v>
      </c>
      <c r="D459" s="948">
        <f t="shared" ref="D459" si="1326">+SUM(D440:D458)</f>
        <v>-4.2149999999999999</v>
      </c>
      <c r="E459" s="948">
        <f t="shared" ref="E459" si="1327">+SUM(E440:E458)</f>
        <v>-8.6030000000000015</v>
      </c>
      <c r="F459" s="948">
        <f t="shared" ref="F459" si="1328">+SUM(F440:F458)</f>
        <v>-6.5909999999999993</v>
      </c>
      <c r="G459" s="948">
        <f t="shared" ref="G459" si="1329">+SUM(G440:G458)</f>
        <v>-12.116</v>
      </c>
      <c r="H459" s="948">
        <f t="shared" ref="H459" si="1330">+SUM(H440:H458)</f>
        <v>-7.677999999999999</v>
      </c>
      <c r="I459" s="948">
        <f t="shared" ref="I459" si="1331">+SUM(I440:I458)</f>
        <v>91.734999999999999</v>
      </c>
      <c r="J459" s="959">
        <f t="shared" ref="J459" si="1332">+SUM(J440:J458)</f>
        <v>-6.3129999999999997</v>
      </c>
      <c r="K459" s="948">
        <f t="shared" ref="K459" si="1333">+SUM(K440:K458)</f>
        <v>226.70600000000002</v>
      </c>
      <c r="L459" s="948">
        <f t="shared" ref="L459" si="1334">+SUM(L440:L458)</f>
        <v>-6.594999999999974</v>
      </c>
      <c r="M459" s="948">
        <f t="shared" ref="M459" si="1335">+SUM(M440:M458)</f>
        <v>-7.9910000000000005</v>
      </c>
      <c r="N459" s="959">
        <f t="shared" ref="N459" si="1336">+SUM(N440:N458)</f>
        <v>-7.5439999999999996</v>
      </c>
      <c r="O459" s="948">
        <f t="shared" ref="O459" si="1337">+SUM(O440:O458)</f>
        <v>-12.817</v>
      </c>
      <c r="P459" s="948">
        <f t="shared" ref="P459" si="1338">+SUM(P440:P458)</f>
        <v>-44.943000000000005</v>
      </c>
      <c r="Q459" s="948">
        <f t="shared" ref="Q459" si="1339">+SUM(Q440:Q458)</f>
        <v>-11.088999999999999</v>
      </c>
      <c r="R459" s="959">
        <f t="shared" ref="R459" si="1340">+SUM(R440:R458)</f>
        <v>-24.460999999999999</v>
      </c>
      <c r="S459" s="948">
        <f t="shared" ref="S459" si="1341">+SUM(S440:S458)</f>
        <v>-25.232999999999997</v>
      </c>
      <c r="T459" s="948">
        <f t="shared" ref="T459" si="1342">+SUM(T440:T458)</f>
        <v>-12.052999999999999</v>
      </c>
      <c r="U459" s="948">
        <f t="shared" ref="U459" si="1343">+SUM(U440:U458)</f>
        <v>-13.892000000000001</v>
      </c>
      <c r="V459" s="959">
        <f t="shared" ref="V459" si="1344">+SUM(V440:V458)</f>
        <v>-12.323000000000004</v>
      </c>
      <c r="W459" s="948">
        <f t="shared" ref="W459:X459" si="1345">+SUM(W440:W458)</f>
        <v>-13.811</v>
      </c>
      <c r="X459" s="947">
        <f t="shared" si="1345"/>
        <v>-11.840999999999999</v>
      </c>
      <c r="Y459" s="947">
        <f t="shared" ref="Y459:AA459" si="1346">+SUM(Y440:Y458)</f>
        <v>-14.157000000000004</v>
      </c>
      <c r="Z459" s="947">
        <f t="shared" si="1346"/>
        <v>-9.3099999999999934</v>
      </c>
      <c r="AA459" s="1288">
        <f t="shared" si="1346"/>
        <v>-19.951000000000001</v>
      </c>
      <c r="AB459" s="947"/>
      <c r="AC459" s="947"/>
      <c r="AD459" s="947"/>
      <c r="AE459" s="947"/>
      <c r="AF459" s="948">
        <f t="shared" ref="AF459:AS459" si="1347">+SUM(AF440:AF458)</f>
        <v>15.020000000000001</v>
      </c>
      <c r="AG459" s="948">
        <f t="shared" si="1347"/>
        <v>1.8710000000000002</v>
      </c>
      <c r="AH459" s="948">
        <f t="shared" si="1347"/>
        <v>127.13800000000001</v>
      </c>
      <c r="AI459" s="948">
        <f t="shared" si="1347"/>
        <v>-19.767000000000003</v>
      </c>
      <c r="AJ459" s="948">
        <f t="shared" si="1347"/>
        <v>-8.2119999999999997</v>
      </c>
      <c r="AK459" s="948">
        <f t="shared" si="1347"/>
        <v>-63.402000000000008</v>
      </c>
      <c r="AL459" s="948">
        <f t="shared" si="1347"/>
        <v>-50.392000000000003</v>
      </c>
      <c r="AM459" s="948">
        <f t="shared" si="1347"/>
        <v>-20.776000000000003</v>
      </c>
      <c r="AN459" s="948">
        <f t="shared" si="1347"/>
        <v>-14.643999999999998</v>
      </c>
      <c r="AO459" s="948">
        <f t="shared" si="1347"/>
        <v>-50.901000000000003</v>
      </c>
      <c r="AP459" s="948">
        <f t="shared" si="1347"/>
        <v>-28.988999999999997</v>
      </c>
      <c r="AQ459" s="948">
        <f t="shared" si="1347"/>
        <v>65.628</v>
      </c>
      <c r="AR459" s="948">
        <f t="shared" si="1347"/>
        <v>204.57600000000002</v>
      </c>
      <c r="AS459" s="948">
        <f t="shared" si="1347"/>
        <v>-93.31</v>
      </c>
      <c r="AT459" s="948">
        <f>+SUM(AT440:AT458)</f>
        <v>-63.501000000000005</v>
      </c>
      <c r="AU459" s="973">
        <f>+SUM(AU440:AU458)</f>
        <v>-49.119</v>
      </c>
      <c r="AV459" s="949"/>
    </row>
    <row r="460" spans="1:48" x14ac:dyDescent="0.25">
      <c r="A460" s="936"/>
      <c r="J460" s="953"/>
      <c r="N460" s="953"/>
      <c r="R460" s="953"/>
      <c r="V460" s="953"/>
      <c r="AA460" s="1271"/>
      <c r="AU460" s="967"/>
    </row>
    <row r="461" spans="1:48" s="876" customFormat="1" x14ac:dyDescent="0.25">
      <c r="A461" s="876" t="s">
        <v>870</v>
      </c>
      <c r="C461" s="877">
        <f t="shared" ref="C461:U461" si="1348">+C463-C462</f>
        <v>233.11299999999986</v>
      </c>
      <c r="D461" s="877">
        <f t="shared" si="1348"/>
        <v>145.04899999999986</v>
      </c>
      <c r="E461" s="877">
        <f t="shared" si="1348"/>
        <v>205.27499999999986</v>
      </c>
      <c r="F461" s="877">
        <f t="shared" si="1348"/>
        <v>236.02499999999986</v>
      </c>
      <c r="G461" s="877">
        <f t="shared" si="1348"/>
        <v>284.62099999999987</v>
      </c>
      <c r="H461" s="877">
        <f t="shared" si="1348"/>
        <v>167.44399999999987</v>
      </c>
      <c r="I461" s="877">
        <f t="shared" si="1348"/>
        <v>213.14099999999988</v>
      </c>
      <c r="J461" s="954">
        <f t="shared" si="1348"/>
        <v>151.53399999999988</v>
      </c>
      <c r="K461" s="877">
        <f t="shared" si="1348"/>
        <v>213.29899999999986</v>
      </c>
      <c r="L461" s="877">
        <f t="shared" si="1348"/>
        <v>309.78399999999988</v>
      </c>
      <c r="M461" s="877">
        <f t="shared" si="1348"/>
        <v>259.17799999999988</v>
      </c>
      <c r="N461" s="954">
        <f t="shared" si="1348"/>
        <v>330.0329999999999</v>
      </c>
      <c r="O461" s="877">
        <f t="shared" si="1348"/>
        <v>386.58199999999994</v>
      </c>
      <c r="P461" s="877">
        <f t="shared" si="1348"/>
        <v>219.02399999999992</v>
      </c>
      <c r="Q461" s="877">
        <f t="shared" si="1348"/>
        <v>257.49099999999993</v>
      </c>
      <c r="R461" s="954">
        <f t="shared" si="1348"/>
        <v>308.56399999999991</v>
      </c>
      <c r="S461" s="877">
        <f t="shared" si="1348"/>
        <v>389.39799999999991</v>
      </c>
      <c r="T461" s="877">
        <f t="shared" si="1348"/>
        <v>194.52399999999986</v>
      </c>
      <c r="U461" s="877">
        <f t="shared" si="1348"/>
        <v>318.27899999999988</v>
      </c>
      <c r="V461" s="954">
        <f>+V463-V462</f>
        <v>373.67799999999988</v>
      </c>
      <c r="W461" s="898">
        <f>+AT463</f>
        <v>410.8069999999999</v>
      </c>
      <c r="X461" s="877">
        <f>+W463</f>
        <v>254.62599999999983</v>
      </c>
      <c r="Y461" s="877">
        <f t="shared" ref="Y461" si="1349">+X463</f>
        <v>354.38699999999983</v>
      </c>
      <c r="Z461" s="877">
        <f t="shared" ref="Z461" si="1350">+Y463</f>
        <v>376.57699999999983</v>
      </c>
      <c r="AA461" s="1272">
        <f t="shared" ref="AA461" si="1351">+Z463</f>
        <v>500.61399999999981</v>
      </c>
      <c r="AB461" s="877"/>
      <c r="AC461" s="877"/>
      <c r="AD461" s="877"/>
      <c r="AE461" s="877"/>
      <c r="AF461" s="898">
        <f t="shared" ref="AF461:AR461" si="1352">+AF463-AF462</f>
        <v>70.612999999999957</v>
      </c>
      <c r="AG461" s="898">
        <f t="shared" si="1352"/>
        <v>48.391999999999953</v>
      </c>
      <c r="AH461" s="898">
        <f t="shared" si="1352"/>
        <v>80.68199999999996</v>
      </c>
      <c r="AI461" s="898">
        <f t="shared" si="1352"/>
        <v>192.00199999999995</v>
      </c>
      <c r="AJ461" s="898">
        <f t="shared" si="1352"/>
        <v>143.98499999999996</v>
      </c>
      <c r="AK461" s="898">
        <f t="shared" si="1352"/>
        <v>180.72099999999992</v>
      </c>
      <c r="AL461" s="898">
        <f t="shared" si="1352"/>
        <v>194.38799999999992</v>
      </c>
      <c r="AM461" s="898">
        <f t="shared" si="1352"/>
        <v>195.82899999999992</v>
      </c>
      <c r="AN461" s="898">
        <f t="shared" si="1352"/>
        <v>213.97799999999989</v>
      </c>
      <c r="AO461" s="898">
        <f t="shared" si="1352"/>
        <v>230.86399999999989</v>
      </c>
      <c r="AP461" s="898">
        <f t="shared" si="1352"/>
        <v>233.11299999999989</v>
      </c>
      <c r="AQ461" s="898">
        <f t="shared" si="1352"/>
        <v>284.62099999999987</v>
      </c>
      <c r="AR461" s="898">
        <f t="shared" si="1352"/>
        <v>213.29899999999986</v>
      </c>
      <c r="AS461" s="898">
        <f>+AS463-AS462</f>
        <v>386.58199999999988</v>
      </c>
      <c r="AT461" s="898">
        <f>+Model!BN504</f>
        <v>389.39799999999985</v>
      </c>
      <c r="AU461" s="971">
        <f>+Model!BO504</f>
        <v>410.8069999999999</v>
      </c>
      <c r="AV461" s="894"/>
    </row>
    <row r="462" spans="1:48" s="879" customFormat="1" ht="14" x14ac:dyDescent="0.4">
      <c r="A462" s="876" t="s">
        <v>869</v>
      </c>
      <c r="C462" s="905">
        <f t="shared" ref="C462:U462" si="1353">+C459+C437+C409</f>
        <v>-88.063999999999993</v>
      </c>
      <c r="D462" s="905">
        <f t="shared" si="1353"/>
        <v>60.225999999999999</v>
      </c>
      <c r="E462" s="905">
        <f t="shared" si="1353"/>
        <v>30.75</v>
      </c>
      <c r="F462" s="905">
        <f t="shared" si="1353"/>
        <v>48.595999999999997</v>
      </c>
      <c r="G462" s="905">
        <f t="shared" si="1353"/>
        <v>-117.17699999999999</v>
      </c>
      <c r="H462" s="905">
        <f t="shared" si="1353"/>
        <v>45.69700000000001</v>
      </c>
      <c r="I462" s="905">
        <f t="shared" si="1353"/>
        <v>-61.606999999999999</v>
      </c>
      <c r="J462" s="958">
        <f t="shared" si="1353"/>
        <v>61.765000000000001</v>
      </c>
      <c r="K462" s="905">
        <f t="shared" si="1353"/>
        <v>96.485000000000014</v>
      </c>
      <c r="L462" s="905">
        <f t="shared" si="1353"/>
        <v>-50.60599999999998</v>
      </c>
      <c r="M462" s="905">
        <f t="shared" si="1353"/>
        <v>70.855000000000018</v>
      </c>
      <c r="N462" s="958">
        <f t="shared" si="1353"/>
        <v>56.549000000000007</v>
      </c>
      <c r="O462" s="905">
        <f t="shared" si="1353"/>
        <v>-167.55800000000002</v>
      </c>
      <c r="P462" s="905">
        <f t="shared" si="1353"/>
        <v>38.467000000000013</v>
      </c>
      <c r="Q462" s="905">
        <f t="shared" si="1353"/>
        <v>51.072999999999986</v>
      </c>
      <c r="R462" s="958">
        <f t="shared" si="1353"/>
        <v>80.833999999999989</v>
      </c>
      <c r="S462" s="905">
        <f t="shared" si="1353"/>
        <v>-194.87400000000002</v>
      </c>
      <c r="T462" s="905">
        <f t="shared" si="1353"/>
        <v>123.75500000000002</v>
      </c>
      <c r="U462" s="905">
        <f t="shared" si="1353"/>
        <v>55.399000000000001</v>
      </c>
      <c r="V462" s="958">
        <f>+V459+V437+V409</f>
        <v>37.129000000000019</v>
      </c>
      <c r="W462" s="905">
        <f>+W459+W437+W409</f>
        <v>-156.18100000000007</v>
      </c>
      <c r="X462" s="880">
        <f t="shared" ref="X462:Y462" si="1354">+X459+X437+X409</f>
        <v>99.761000000000024</v>
      </c>
      <c r="Y462" s="880">
        <f t="shared" si="1354"/>
        <v>22.189999999999991</v>
      </c>
      <c r="Z462" s="880">
        <f t="shared" ref="Z462:AA462" si="1355">+Z459+Z437+Z409</f>
        <v>124.03700000000001</v>
      </c>
      <c r="AA462" s="1273">
        <f t="shared" si="1355"/>
        <v>-182.84899999999999</v>
      </c>
      <c r="AB462" s="880"/>
      <c r="AC462" s="880"/>
      <c r="AD462" s="880"/>
      <c r="AE462" s="880"/>
      <c r="AF462" s="905">
        <f t="shared" ref="AF462:AT462" si="1356">+AF459+AF437+AF409</f>
        <v>-22.221000000000004</v>
      </c>
      <c r="AG462" s="905">
        <f t="shared" si="1356"/>
        <v>32.290000000000006</v>
      </c>
      <c r="AH462" s="905">
        <f t="shared" si="1356"/>
        <v>111.32</v>
      </c>
      <c r="AI462" s="905">
        <f t="shared" si="1356"/>
        <v>-48.01700000000001</v>
      </c>
      <c r="AJ462" s="905">
        <f t="shared" si="1356"/>
        <v>36.735999999999976</v>
      </c>
      <c r="AK462" s="905">
        <f t="shared" si="1356"/>
        <v>13.667000000000002</v>
      </c>
      <c r="AL462" s="905">
        <f t="shared" si="1356"/>
        <v>1.4410000000000025</v>
      </c>
      <c r="AM462" s="905">
        <f t="shared" si="1356"/>
        <v>18.148999999999972</v>
      </c>
      <c r="AN462" s="905">
        <f t="shared" si="1356"/>
        <v>16.885999999999981</v>
      </c>
      <c r="AO462" s="905">
        <f t="shared" si="1356"/>
        <v>2.2489999999999952</v>
      </c>
      <c r="AP462" s="905">
        <f t="shared" si="1356"/>
        <v>51.507999999999996</v>
      </c>
      <c r="AQ462" s="905">
        <f t="shared" si="1356"/>
        <v>-71.322000000000031</v>
      </c>
      <c r="AR462" s="905">
        <f t="shared" si="1356"/>
        <v>173.28300000000002</v>
      </c>
      <c r="AS462" s="905">
        <f t="shared" si="1356"/>
        <v>2.8160000000000025</v>
      </c>
      <c r="AT462" s="905">
        <f t="shared" si="1356"/>
        <v>21.409000000000049</v>
      </c>
      <c r="AU462" s="972">
        <f t="shared" ref="AU462" si="1357">+AU459+AU437+AU409</f>
        <v>89.807000000000045</v>
      </c>
      <c r="AV462" s="895"/>
    </row>
    <row r="463" spans="1:48" s="876" customFormat="1" x14ac:dyDescent="0.25">
      <c r="A463" s="882" t="s">
        <v>871</v>
      </c>
      <c r="C463" s="877">
        <f t="shared" ref="C463:U463" si="1358">+D461</f>
        <v>145.04899999999986</v>
      </c>
      <c r="D463" s="877">
        <f t="shared" si="1358"/>
        <v>205.27499999999986</v>
      </c>
      <c r="E463" s="877">
        <f t="shared" si="1358"/>
        <v>236.02499999999986</v>
      </c>
      <c r="F463" s="877">
        <f t="shared" si="1358"/>
        <v>284.62099999999987</v>
      </c>
      <c r="G463" s="877">
        <f t="shared" si="1358"/>
        <v>167.44399999999987</v>
      </c>
      <c r="H463" s="877">
        <f t="shared" si="1358"/>
        <v>213.14099999999988</v>
      </c>
      <c r="I463" s="877">
        <f t="shared" si="1358"/>
        <v>151.53399999999988</v>
      </c>
      <c r="J463" s="954">
        <f t="shared" si="1358"/>
        <v>213.29899999999986</v>
      </c>
      <c r="K463" s="877">
        <f t="shared" si="1358"/>
        <v>309.78399999999988</v>
      </c>
      <c r="L463" s="877">
        <f t="shared" si="1358"/>
        <v>259.17799999999988</v>
      </c>
      <c r="M463" s="877">
        <f t="shared" si="1358"/>
        <v>330.0329999999999</v>
      </c>
      <c r="N463" s="954">
        <f t="shared" si="1358"/>
        <v>386.58199999999994</v>
      </c>
      <c r="O463" s="877">
        <f t="shared" si="1358"/>
        <v>219.02399999999992</v>
      </c>
      <c r="P463" s="877">
        <f t="shared" si="1358"/>
        <v>257.49099999999993</v>
      </c>
      <c r="Q463" s="877">
        <f t="shared" si="1358"/>
        <v>308.56399999999991</v>
      </c>
      <c r="R463" s="954">
        <f t="shared" si="1358"/>
        <v>389.39799999999991</v>
      </c>
      <c r="S463" s="877">
        <f t="shared" si="1358"/>
        <v>194.52399999999986</v>
      </c>
      <c r="T463" s="877">
        <f t="shared" si="1358"/>
        <v>318.27899999999988</v>
      </c>
      <c r="U463" s="877">
        <f t="shared" si="1358"/>
        <v>373.67799999999988</v>
      </c>
      <c r="V463" s="954">
        <f>+W461</f>
        <v>410.8069999999999</v>
      </c>
      <c r="W463" s="898">
        <f>+W462+W461</f>
        <v>254.62599999999983</v>
      </c>
      <c r="X463" s="877">
        <f t="shared" ref="X463:Y463" si="1359">+X462+X461</f>
        <v>354.38699999999983</v>
      </c>
      <c r="Y463" s="877">
        <f t="shared" si="1359"/>
        <v>376.57699999999983</v>
      </c>
      <c r="Z463" s="877">
        <f t="shared" ref="Z463:AA463" si="1360">+Z462+Z461</f>
        <v>500.61399999999981</v>
      </c>
      <c r="AA463" s="1272">
        <f t="shared" si="1360"/>
        <v>317.76499999999982</v>
      </c>
      <c r="AB463" s="877"/>
      <c r="AC463" s="877"/>
      <c r="AD463" s="877"/>
      <c r="AE463" s="877"/>
      <c r="AF463" s="898">
        <f t="shared" ref="AF463:AR463" si="1361">+AG461</f>
        <v>48.391999999999953</v>
      </c>
      <c r="AG463" s="898">
        <f t="shared" si="1361"/>
        <v>80.68199999999996</v>
      </c>
      <c r="AH463" s="898">
        <f t="shared" si="1361"/>
        <v>192.00199999999995</v>
      </c>
      <c r="AI463" s="898">
        <f t="shared" si="1361"/>
        <v>143.98499999999996</v>
      </c>
      <c r="AJ463" s="898">
        <f t="shared" si="1361"/>
        <v>180.72099999999992</v>
      </c>
      <c r="AK463" s="898">
        <f t="shared" si="1361"/>
        <v>194.38799999999992</v>
      </c>
      <c r="AL463" s="898">
        <f t="shared" si="1361"/>
        <v>195.82899999999992</v>
      </c>
      <c r="AM463" s="898">
        <f t="shared" si="1361"/>
        <v>213.97799999999989</v>
      </c>
      <c r="AN463" s="898">
        <f t="shared" si="1361"/>
        <v>230.86399999999989</v>
      </c>
      <c r="AO463" s="898">
        <f t="shared" si="1361"/>
        <v>233.11299999999989</v>
      </c>
      <c r="AP463" s="898">
        <f t="shared" si="1361"/>
        <v>284.62099999999987</v>
      </c>
      <c r="AQ463" s="898">
        <f t="shared" si="1361"/>
        <v>213.29899999999986</v>
      </c>
      <c r="AR463" s="898">
        <f t="shared" si="1361"/>
        <v>386.58199999999988</v>
      </c>
      <c r="AS463" s="898">
        <f>+AT461</f>
        <v>389.39799999999985</v>
      </c>
      <c r="AT463" s="898">
        <f>+AT462+AT461</f>
        <v>410.8069999999999</v>
      </c>
      <c r="AU463" s="971">
        <f t="shared" ref="AU463" si="1362">+AU462+AU461</f>
        <v>500.61399999999992</v>
      </c>
      <c r="AV463" s="894"/>
    </row>
    <row r="464" spans="1:48" x14ac:dyDescent="0.25">
      <c r="A464" s="936"/>
      <c r="J464" s="953"/>
      <c r="N464" s="953"/>
      <c r="R464" s="953"/>
      <c r="V464" s="953"/>
      <c r="AA464" s="1271"/>
    </row>
    <row r="465" spans="1:48" x14ac:dyDescent="0.25">
      <c r="A465" s="936"/>
      <c r="J465" s="953"/>
      <c r="N465" s="953"/>
      <c r="R465" s="953"/>
      <c r="V465" s="953"/>
      <c r="AA465" s="1271"/>
    </row>
    <row r="466" spans="1:48" ht="14" x14ac:dyDescent="0.4">
      <c r="A466" s="938"/>
      <c r="C466" s="939"/>
      <c r="J466" s="953"/>
      <c r="N466" s="953"/>
      <c r="R466" s="953"/>
      <c r="V466" s="953"/>
      <c r="AA466" s="1271"/>
    </row>
    <row r="467" spans="1:48" x14ac:dyDescent="0.25">
      <c r="A467" s="940"/>
      <c r="C467" s="941"/>
      <c r="N467" s="953"/>
      <c r="R467" s="953"/>
      <c r="V467" s="953"/>
      <c r="AA467" s="1271"/>
    </row>
    <row r="468" spans="1:48" ht="14" x14ac:dyDescent="0.4">
      <c r="A468" s="936"/>
      <c r="C468" s="942"/>
      <c r="N468" s="953"/>
      <c r="R468" s="953"/>
      <c r="V468" s="953"/>
      <c r="AA468" s="1271"/>
    </row>
    <row r="469" spans="1:48" ht="16" x14ac:dyDescent="0.6">
      <c r="A469" s="940"/>
      <c r="C469" s="893" t="s">
        <v>663</v>
      </c>
      <c r="D469" s="893" t="s">
        <v>664</v>
      </c>
      <c r="E469" s="893" t="s">
        <v>665</v>
      </c>
      <c r="F469" s="1120" t="s">
        <v>666</v>
      </c>
      <c r="G469" s="893" t="s">
        <v>667</v>
      </c>
      <c r="H469" s="893" t="s">
        <v>668</v>
      </c>
      <c r="I469" s="893" t="s">
        <v>669</v>
      </c>
      <c r="J469" s="893" t="s">
        <v>670</v>
      </c>
      <c r="L469" s="893" t="s">
        <v>684</v>
      </c>
      <c r="M469" s="893" t="s">
        <v>685</v>
      </c>
      <c r="O469" s="953"/>
      <c r="R469" s="953"/>
      <c r="V469" s="953"/>
      <c r="AA469" s="1271"/>
    </row>
    <row r="470" spans="1:48" x14ac:dyDescent="0.25">
      <c r="F470" s="953"/>
      <c r="O470" s="953"/>
      <c r="R470" s="953"/>
      <c r="V470" s="953"/>
      <c r="AA470" s="1271"/>
    </row>
    <row r="471" spans="1:48" s="876" customFormat="1" x14ac:dyDescent="0.25">
      <c r="A471" s="876" t="s">
        <v>923</v>
      </c>
      <c r="C471" s="877">
        <f t="shared" ref="C471:J471" si="1363">+C158</f>
        <v>121.1</v>
      </c>
      <c r="D471" s="877">
        <f t="shared" si="1363"/>
        <v>118.7</v>
      </c>
      <c r="E471" s="877">
        <f t="shared" si="1363"/>
        <v>119.5</v>
      </c>
      <c r="F471" s="954">
        <f t="shared" si="1363"/>
        <v>112.80000000000001</v>
      </c>
      <c r="G471" s="877">
        <f t="shared" si="1363"/>
        <v>124.39999999999999</v>
      </c>
      <c r="H471" s="877">
        <f t="shared" si="1363"/>
        <v>119.89999999999999</v>
      </c>
      <c r="I471" s="877">
        <f t="shared" si="1363"/>
        <v>122.10000000000001</v>
      </c>
      <c r="J471" s="877">
        <f t="shared" si="1363"/>
        <v>118.9</v>
      </c>
      <c r="K471" s="877"/>
      <c r="L471" s="877">
        <f>+C471</f>
        <v>121.1</v>
      </c>
      <c r="M471" s="877">
        <f>+G471</f>
        <v>124.39999999999999</v>
      </c>
      <c r="N471" s="954"/>
      <c r="O471" s="877"/>
      <c r="P471" s="877"/>
      <c r="Q471" s="877"/>
      <c r="R471" s="954"/>
      <c r="S471" s="877"/>
      <c r="T471" s="877"/>
      <c r="U471" s="877"/>
      <c r="V471" s="954"/>
      <c r="W471" s="898"/>
      <c r="X471" s="877"/>
      <c r="Y471" s="877"/>
      <c r="Z471" s="877"/>
      <c r="AA471" s="1272"/>
      <c r="AB471" s="877"/>
      <c r="AC471" s="877"/>
      <c r="AD471" s="877"/>
      <c r="AE471" s="877"/>
      <c r="AF471" s="898"/>
      <c r="AG471" s="898"/>
      <c r="AH471" s="898"/>
      <c r="AI471" s="898"/>
      <c r="AJ471" s="898"/>
      <c r="AK471" s="898"/>
      <c r="AL471" s="898"/>
      <c r="AM471" s="898"/>
      <c r="AN471" s="898"/>
      <c r="AO471" s="898"/>
      <c r="AP471" s="898"/>
      <c r="AQ471" s="898"/>
      <c r="AR471" s="898"/>
      <c r="AS471" s="898"/>
      <c r="AT471" s="898"/>
      <c r="AU471" s="878"/>
      <c r="AV471" s="894"/>
    </row>
    <row r="472" spans="1:48" x14ac:dyDescent="0.25">
      <c r="F472" s="953"/>
      <c r="R472" s="953"/>
      <c r="V472" s="953"/>
      <c r="AA472" s="1271"/>
    </row>
    <row r="473" spans="1:48" x14ac:dyDescent="0.25">
      <c r="A473" s="888" t="s">
        <v>924</v>
      </c>
      <c r="F473" s="953"/>
      <c r="R473" s="953"/>
      <c r="V473" s="953"/>
      <c r="AA473" s="1271"/>
    </row>
    <row r="474" spans="1:48" x14ac:dyDescent="0.25">
      <c r="A474" s="884" t="s">
        <v>920</v>
      </c>
      <c r="F474" s="953"/>
      <c r="L474" s="1122">
        <v>0.26800000000000002</v>
      </c>
      <c r="M474" s="1122">
        <v>0.254</v>
      </c>
      <c r="N474" s="953"/>
      <c r="R474" s="953"/>
      <c r="V474" s="953"/>
      <c r="AA474" s="1271"/>
    </row>
    <row r="475" spans="1:48" s="876" customFormat="1" x14ac:dyDescent="0.25">
      <c r="A475" s="882" t="s">
        <v>921</v>
      </c>
      <c r="C475" s="877"/>
      <c r="D475" s="877"/>
      <c r="E475" s="877"/>
      <c r="F475" s="954"/>
      <c r="G475" s="877"/>
      <c r="H475" s="877"/>
      <c r="I475" s="877"/>
      <c r="J475" s="877"/>
      <c r="K475" s="877"/>
      <c r="L475" s="877">
        <f>+L474*L471*-1</f>
        <v>-32.454799999999999</v>
      </c>
      <c r="M475" s="877">
        <f>+M474*M471*-1</f>
        <v>-31.5976</v>
      </c>
      <c r="N475" s="954"/>
      <c r="O475" s="877"/>
      <c r="P475" s="877"/>
      <c r="Q475" s="877"/>
      <c r="R475" s="954"/>
      <c r="S475" s="877"/>
      <c r="T475" s="877"/>
      <c r="U475" s="877"/>
      <c r="V475" s="954"/>
      <c r="W475" s="898"/>
      <c r="X475" s="877"/>
      <c r="Y475" s="877"/>
      <c r="Z475" s="877"/>
      <c r="AA475" s="1272"/>
      <c r="AB475" s="877"/>
      <c r="AC475" s="877"/>
      <c r="AD475" s="877"/>
      <c r="AE475" s="877"/>
      <c r="AF475" s="898"/>
      <c r="AG475" s="898"/>
      <c r="AH475" s="898"/>
      <c r="AI475" s="898"/>
      <c r="AJ475" s="898"/>
      <c r="AK475" s="898"/>
      <c r="AL475" s="898"/>
      <c r="AM475" s="898"/>
      <c r="AN475" s="898"/>
      <c r="AO475" s="898"/>
      <c r="AP475" s="898"/>
      <c r="AQ475" s="898"/>
      <c r="AR475" s="898"/>
      <c r="AS475" s="898"/>
      <c r="AT475" s="898"/>
      <c r="AU475" s="878"/>
      <c r="AV475" s="894"/>
    </row>
    <row r="476" spans="1:48" x14ac:dyDescent="0.25">
      <c r="F476" s="953"/>
      <c r="N476" s="953"/>
      <c r="R476" s="953"/>
      <c r="V476" s="953"/>
      <c r="AA476" s="1271"/>
    </row>
    <row r="477" spans="1:48" x14ac:dyDescent="0.25">
      <c r="A477" s="888" t="s">
        <v>925</v>
      </c>
      <c r="F477" s="953"/>
      <c r="N477" s="953"/>
      <c r="R477" s="953"/>
      <c r="V477" s="953"/>
      <c r="AA477" s="1271"/>
    </row>
    <row r="478" spans="1:48" x14ac:dyDescent="0.25">
      <c r="A478" s="884" t="s">
        <v>926</v>
      </c>
      <c r="F478" s="953"/>
      <c r="L478" s="1123">
        <f>+L479/L471</f>
        <v>0.19946160198183333</v>
      </c>
      <c r="M478" s="1123">
        <f>+M479/M471</f>
        <v>0.20978778135048246</v>
      </c>
      <c r="N478" s="953"/>
      <c r="R478" s="953"/>
      <c r="V478" s="953"/>
      <c r="AA478" s="1271"/>
    </row>
    <row r="479" spans="1:48" s="876" customFormat="1" x14ac:dyDescent="0.25">
      <c r="A479" s="882" t="s">
        <v>925</v>
      </c>
      <c r="C479" s="877"/>
      <c r="D479" s="877"/>
      <c r="E479" s="877"/>
      <c r="F479" s="954"/>
      <c r="G479" s="877"/>
      <c r="H479" s="877"/>
      <c r="I479" s="877"/>
      <c r="J479" s="877"/>
      <c r="K479" s="877"/>
      <c r="L479" s="877">
        <f>+L481-L471-L475</f>
        <v>24.154800000000016</v>
      </c>
      <c r="M479" s="877">
        <f>+M481-M471-M475</f>
        <v>26.097600000000014</v>
      </c>
      <c r="N479" s="954"/>
      <c r="O479" s="877"/>
      <c r="P479" s="877"/>
      <c r="Q479" s="877"/>
      <c r="R479" s="954"/>
      <c r="S479" s="877"/>
      <c r="T479" s="877"/>
      <c r="U479" s="877"/>
      <c r="V479" s="954"/>
      <c r="W479" s="898"/>
      <c r="X479" s="877"/>
      <c r="Y479" s="877"/>
      <c r="Z479" s="877"/>
      <c r="AA479" s="1272"/>
      <c r="AB479" s="877"/>
      <c r="AC479" s="877"/>
      <c r="AD479" s="877"/>
      <c r="AE479" s="877"/>
      <c r="AF479" s="898"/>
      <c r="AG479" s="898"/>
      <c r="AH479" s="898"/>
      <c r="AI479" s="898"/>
      <c r="AJ479" s="898"/>
      <c r="AK479" s="898"/>
      <c r="AL479" s="898"/>
      <c r="AM479" s="898"/>
      <c r="AN479" s="898"/>
      <c r="AO479" s="898"/>
      <c r="AP479" s="898"/>
      <c r="AQ479" s="898"/>
      <c r="AR479" s="898"/>
      <c r="AS479" s="898"/>
      <c r="AT479" s="898"/>
      <c r="AU479" s="878"/>
      <c r="AV479" s="894"/>
    </row>
    <row r="480" spans="1:48" x14ac:dyDescent="0.25">
      <c r="F480" s="953"/>
      <c r="N480" s="953"/>
      <c r="R480" s="953"/>
      <c r="V480" s="953"/>
      <c r="AA480" s="1271"/>
    </row>
    <row r="481" spans="1:27" x14ac:dyDescent="0.25">
      <c r="A481" s="876" t="s">
        <v>922</v>
      </c>
      <c r="F481" s="953"/>
      <c r="L481" s="898">
        <f>+F471</f>
        <v>112.80000000000001</v>
      </c>
      <c r="M481" s="898">
        <f>+J471</f>
        <v>118.9</v>
      </c>
      <c r="N481" s="953"/>
      <c r="R481" s="953"/>
      <c r="V481" s="953"/>
      <c r="AA481" s="1271"/>
    </row>
    <row r="482" spans="1:27" x14ac:dyDescent="0.25">
      <c r="F482" s="953"/>
      <c r="N482" s="953"/>
      <c r="R482" s="953"/>
      <c r="V482" s="953"/>
      <c r="AA482" s="1271"/>
    </row>
    <row r="483" spans="1:27" ht="16" x14ac:dyDescent="0.6">
      <c r="C483" s="893" t="s">
        <v>932</v>
      </c>
      <c r="D483" s="893" t="s">
        <v>933</v>
      </c>
      <c r="E483" s="893" t="s">
        <v>934</v>
      </c>
      <c r="F483" s="1120" t="s">
        <v>935</v>
      </c>
      <c r="G483" s="893" t="s">
        <v>936</v>
      </c>
      <c r="H483" s="893" t="s">
        <v>937</v>
      </c>
      <c r="I483" s="893" t="s">
        <v>938</v>
      </c>
      <c r="J483" s="893" t="s">
        <v>939</v>
      </c>
      <c r="N483" s="953"/>
      <c r="R483" s="953"/>
      <c r="V483" s="953"/>
      <c r="AA483" s="1271"/>
    </row>
    <row r="484" spans="1:27" ht="13" x14ac:dyDescent="0.3">
      <c r="A484" s="908" t="s">
        <v>927</v>
      </c>
      <c r="F484" s="953"/>
      <c r="N484" s="953"/>
      <c r="R484" s="953"/>
      <c r="V484" s="953"/>
      <c r="AA484" s="1271"/>
    </row>
    <row r="485" spans="1:27" x14ac:dyDescent="0.25">
      <c r="F485" s="953"/>
      <c r="N485" s="953"/>
      <c r="R485" s="953"/>
      <c r="V485" s="953"/>
      <c r="AA485" s="1271"/>
    </row>
    <row r="486" spans="1:27" x14ac:dyDescent="0.25">
      <c r="A486" s="884" t="s">
        <v>928</v>
      </c>
      <c r="C486" s="884">
        <v>100</v>
      </c>
      <c r="D486" s="884">
        <v>80</v>
      </c>
      <c r="E486" s="884">
        <v>60</v>
      </c>
      <c r="F486" s="953">
        <v>40</v>
      </c>
      <c r="G486" s="884">
        <v>20</v>
      </c>
      <c r="H486" s="884">
        <v>0</v>
      </c>
      <c r="N486" s="953"/>
      <c r="R486" s="953"/>
      <c r="V486" s="953"/>
      <c r="AA486" s="1271"/>
    </row>
    <row r="487" spans="1:27" x14ac:dyDescent="0.25">
      <c r="A487" s="884" t="s">
        <v>929</v>
      </c>
      <c r="C487" s="884">
        <v>100</v>
      </c>
      <c r="D487" s="933">
        <f>C487+($F$487-$C$487)/3</f>
        <v>91.666666666666671</v>
      </c>
      <c r="E487" s="933">
        <f>D487+($F$487-$C$487)/3</f>
        <v>83.333333333333343</v>
      </c>
      <c r="F487" s="1121">
        <v>75</v>
      </c>
      <c r="G487" s="884">
        <f>+G486</f>
        <v>20</v>
      </c>
      <c r="H487" s="884">
        <f>+H486</f>
        <v>0</v>
      </c>
      <c r="N487" s="953"/>
      <c r="R487" s="953"/>
      <c r="V487" s="953"/>
      <c r="AA487" s="1271"/>
    </row>
    <row r="488" spans="1:27" x14ac:dyDescent="0.25">
      <c r="F488" s="953"/>
      <c r="N488" s="953"/>
      <c r="R488" s="953"/>
      <c r="V488" s="953"/>
      <c r="AA488" s="1271"/>
    </row>
    <row r="489" spans="1:27" x14ac:dyDescent="0.25">
      <c r="A489" s="888" t="s">
        <v>930</v>
      </c>
      <c r="F489" s="953"/>
      <c r="N489" s="953"/>
      <c r="R489" s="953"/>
      <c r="V489" s="953"/>
      <c r="AA489" s="1271"/>
    </row>
    <row r="490" spans="1:27" x14ac:dyDescent="0.25">
      <c r="A490" s="884" t="s">
        <v>931</v>
      </c>
      <c r="F490" s="1124">
        <f>+F487/C487-1</f>
        <v>-0.25</v>
      </c>
      <c r="N490" s="953"/>
      <c r="R490" s="953"/>
      <c r="V490" s="953"/>
      <c r="AA490" s="1271"/>
    </row>
    <row r="491" spans="1:27" x14ac:dyDescent="0.25">
      <c r="A491" s="884" t="s">
        <v>940</v>
      </c>
      <c r="F491" s="953"/>
      <c r="G491" s="1125">
        <f>+G487/F487-1</f>
        <v>-0.73333333333333339</v>
      </c>
      <c r="AA491" s="1271"/>
    </row>
    <row r="492" spans="1:27" x14ac:dyDescent="0.25">
      <c r="AA492" s="1271"/>
    </row>
    <row r="493" spans="1:27" x14ac:dyDescent="0.25">
      <c r="AA493" s="1271"/>
    </row>
    <row r="494" spans="1:27" x14ac:dyDescent="0.25">
      <c r="AA494" s="1271"/>
    </row>
    <row r="495" spans="1:27" x14ac:dyDescent="0.25">
      <c r="AA495" s="1271"/>
    </row>
    <row r="496" spans="1:27" x14ac:dyDescent="0.25">
      <c r="AA496" s="1271"/>
    </row>
    <row r="497" spans="26:26" x14ac:dyDescent="0.25">
      <c r="Z497" s="967"/>
    </row>
    <row r="498" spans="26:26" x14ac:dyDescent="0.25">
      <c r="Z498" s="967"/>
    </row>
    <row r="499" spans="26:26" x14ac:dyDescent="0.25">
      <c r="Z499" s="967"/>
    </row>
    <row r="500" spans="26:26" x14ac:dyDescent="0.25">
      <c r="Z500" s="967"/>
    </row>
    <row r="501" spans="26:26" x14ac:dyDescent="0.25">
      <c r="Z501" s="967"/>
    </row>
    <row r="502" spans="26:26" x14ac:dyDescent="0.25">
      <c r="Z502" s="967"/>
    </row>
    <row r="503" spans="26:26" x14ac:dyDescent="0.25">
      <c r="Z503" s="967"/>
    </row>
    <row r="504" spans="26:26" x14ac:dyDescent="0.25">
      <c r="Z504" s="967"/>
    </row>
    <row r="505" spans="26:26" x14ac:dyDescent="0.25">
      <c r="Z505" s="967"/>
    </row>
    <row r="506" spans="26:26" x14ac:dyDescent="0.25">
      <c r="Z506" s="967"/>
    </row>
    <row r="507" spans="26:26" x14ac:dyDescent="0.25">
      <c r="Z507" s="967"/>
    </row>
    <row r="508" spans="26:26" x14ac:dyDescent="0.25">
      <c r="Z508" s="967"/>
    </row>
    <row r="509" spans="26:26" x14ac:dyDescent="0.25">
      <c r="Z509" s="967"/>
    </row>
    <row r="510" spans="26:26" x14ac:dyDescent="0.25">
      <c r="Z510" s="967"/>
    </row>
    <row r="511" spans="26:26" x14ac:dyDescent="0.25">
      <c r="Z511" s="967"/>
    </row>
    <row r="512" spans="26:26" x14ac:dyDescent="0.25">
      <c r="Z512" s="967"/>
    </row>
    <row r="513" spans="26:26" x14ac:dyDescent="0.25">
      <c r="Z513" s="967"/>
    </row>
    <row r="514" spans="26:26" x14ac:dyDescent="0.25">
      <c r="Z514" s="967"/>
    </row>
    <row r="515" spans="26:26" x14ac:dyDescent="0.25">
      <c r="Z515" s="967"/>
    </row>
  </sheetData>
  <printOptions horizontalCentered="1"/>
  <pageMargins left="0.3" right="0.3" top="0.3" bottom="0.3" header="0.3" footer="0.3"/>
  <pageSetup scale="28" fitToHeight="0" orientation="landscape" r:id="rId1"/>
  <headerFooter>
    <oddFooter>Page &amp;P</oddFooter>
  </headerFooter>
  <rowBreaks count="4" manualBreakCount="4">
    <brk id="112" max="47" man="1"/>
    <brk id="206" max="47" man="1"/>
    <brk id="278" max="47" man="1"/>
    <brk id="376" max="47" man="1"/>
  </rowBreaks>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18FEB-1C60-49B5-A91A-5622DCA1EC00}">
  <sheetPr>
    <pageSetUpPr fitToPage="1"/>
  </sheetPr>
  <dimension ref="A1:H54"/>
  <sheetViews>
    <sheetView view="pageBreakPreview" zoomScale="85" zoomScaleNormal="100" zoomScaleSheetLayoutView="85" workbookViewId="0">
      <selection activeCell="B6" sqref="B6"/>
    </sheetView>
  </sheetViews>
  <sheetFormatPr defaultColWidth="9.1796875" defaultRowHeight="14.5" outlineLevelRow="1" x14ac:dyDescent="0.35"/>
  <cols>
    <col min="1" max="1" width="59.81640625" style="1419" bestFit="1" customWidth="1"/>
    <col min="2" max="2" width="17" style="1419" bestFit="1" customWidth="1"/>
    <col min="3" max="16384" width="9.1796875" style="1419"/>
  </cols>
  <sheetData>
    <row r="1" spans="1:2" x14ac:dyDescent="0.35">
      <c r="A1" s="1419" t="s">
        <v>651</v>
      </c>
      <c r="B1" s="1451">
        <f ca="1">TODAY()</f>
        <v>45797</v>
      </c>
    </row>
    <row r="2" spans="1:2" s="1429" customFormat="1" x14ac:dyDescent="0.35">
      <c r="A2" s="1430" t="s">
        <v>1602</v>
      </c>
    </row>
    <row r="4" spans="1:2" x14ac:dyDescent="0.35">
      <c r="A4" s="1419" t="s">
        <v>1595</v>
      </c>
      <c r="B4" s="1428">
        <v>420000000</v>
      </c>
    </row>
    <row r="5" spans="1:2" x14ac:dyDescent="0.35">
      <c r="A5" s="1419" t="s">
        <v>1568</v>
      </c>
      <c r="B5" s="1426">
        <v>52.88</v>
      </c>
    </row>
    <row r="6" spans="1:2" hidden="1" outlineLevel="1" x14ac:dyDescent="0.35">
      <c r="A6" s="1419" t="s">
        <v>1567</v>
      </c>
      <c r="B6" s="1420">
        <f>B10/B12</f>
        <v>52.879556234764074</v>
      </c>
    </row>
    <row r="7" spans="1:2" collapsed="1" x14ac:dyDescent="0.35">
      <c r="A7" s="1419" t="s">
        <v>1574</v>
      </c>
      <c r="B7" s="1424">
        <v>86.174000000000007</v>
      </c>
    </row>
    <row r="8" spans="1:2" x14ac:dyDescent="0.35">
      <c r="B8" s="1425"/>
    </row>
    <row r="9" spans="1:2" x14ac:dyDescent="0.35">
      <c r="A9" s="1419" t="s">
        <v>1596</v>
      </c>
      <c r="B9" s="1441">
        <f>+B4</f>
        <v>420000000</v>
      </c>
    </row>
    <row r="10" spans="1:2" x14ac:dyDescent="0.35">
      <c r="A10" s="1419" t="s">
        <v>1570</v>
      </c>
      <c r="B10" s="1438">
        <v>1000</v>
      </c>
    </row>
    <row r="11" spans="1:2" x14ac:dyDescent="0.35">
      <c r="A11" s="1431" t="s">
        <v>1569</v>
      </c>
      <c r="B11" s="1437">
        <f>B4/B10</f>
        <v>420000</v>
      </c>
    </row>
    <row r="12" spans="1:2" x14ac:dyDescent="0.35">
      <c r="A12" s="1419" t="s">
        <v>1571</v>
      </c>
      <c r="B12" s="1439">
        <v>18.910900000000002</v>
      </c>
    </row>
    <row r="13" spans="1:2" x14ac:dyDescent="0.35">
      <c r="A13" s="1431" t="s">
        <v>1573</v>
      </c>
      <c r="B13" s="1427">
        <f>B11*B12</f>
        <v>7942578.0000000009</v>
      </c>
    </row>
    <row r="14" spans="1:2" x14ac:dyDescent="0.35">
      <c r="B14" s="1437"/>
    </row>
    <row r="15" spans="1:2" x14ac:dyDescent="0.35">
      <c r="A15" s="1419" t="s">
        <v>1593</v>
      </c>
      <c r="B15" s="1440">
        <f>+Base!D89</f>
        <v>103.93</v>
      </c>
    </row>
    <row r="16" spans="1:2" x14ac:dyDescent="0.35">
      <c r="A16" s="1419" t="s">
        <v>1594</v>
      </c>
      <c r="B16" s="1432">
        <f>+B7*-1</f>
        <v>-86.174000000000007</v>
      </c>
    </row>
    <row r="17" spans="1:2" x14ac:dyDescent="0.35">
      <c r="A17" s="1431" t="s">
        <v>1588</v>
      </c>
      <c r="B17" s="1420">
        <f>+B16+B15</f>
        <v>17.756</v>
      </c>
    </row>
    <row r="18" spans="1:2" x14ac:dyDescent="0.35">
      <c r="A18" s="1436" t="s">
        <v>1589</v>
      </c>
      <c r="B18" s="1433">
        <f>+B13</f>
        <v>7942578.0000000009</v>
      </c>
    </row>
    <row r="19" spans="1:2" x14ac:dyDescent="0.35">
      <c r="A19" s="1431" t="s">
        <v>1590</v>
      </c>
      <c r="B19" s="1421">
        <f>+B18*B17</f>
        <v>141028414.96800002</v>
      </c>
    </row>
    <row r="20" spans="1:2" x14ac:dyDescent="0.35">
      <c r="A20" s="1436" t="s">
        <v>1591</v>
      </c>
      <c r="B20" s="1432">
        <f>+B15</f>
        <v>103.93</v>
      </c>
    </row>
    <row r="21" spans="1:2" x14ac:dyDescent="0.35">
      <c r="A21" s="1431" t="s">
        <v>1592</v>
      </c>
      <c r="B21" s="1437">
        <f>+B19/B20</f>
        <v>1356955.7872414126</v>
      </c>
    </row>
    <row r="22" spans="1:2" x14ac:dyDescent="0.35">
      <c r="A22" s="1431"/>
      <c r="B22" s="1437"/>
    </row>
    <row r="23" spans="1:2" x14ac:dyDescent="0.35">
      <c r="A23" s="1442" t="s">
        <v>912</v>
      </c>
      <c r="B23" s="1437"/>
    </row>
    <row r="24" spans="1:2" x14ac:dyDescent="0.35">
      <c r="A24" s="1436" t="s">
        <v>1598</v>
      </c>
      <c r="B24" s="1443">
        <f>+Historicals!AA78*1000000</f>
        <v>43708967</v>
      </c>
    </row>
    <row r="25" spans="1:2" ht="16" x14ac:dyDescent="0.5">
      <c r="A25" s="1436" t="str">
        <f>+A21</f>
        <v># Share Dilution</v>
      </c>
      <c r="B25" s="1448">
        <f>+B21</f>
        <v>1356955.7872414126</v>
      </c>
    </row>
    <row r="26" spans="1:2" x14ac:dyDescent="0.35">
      <c r="A26" s="1449" t="s">
        <v>1601</v>
      </c>
      <c r="B26" s="1441">
        <f>+B25+B24</f>
        <v>45065922.787241414</v>
      </c>
    </row>
    <row r="27" spans="1:2" x14ac:dyDescent="0.35">
      <c r="A27" s="1450" t="s">
        <v>1597</v>
      </c>
      <c r="B27" s="1446">
        <f>+B26/B24-1</f>
        <v>3.1045249530637919E-2</v>
      </c>
    </row>
    <row r="28" spans="1:2" x14ac:dyDescent="0.35">
      <c r="A28" s="1442"/>
      <c r="B28" s="1437"/>
    </row>
    <row r="29" spans="1:2" x14ac:dyDescent="0.35">
      <c r="A29" s="1436" t="s">
        <v>1599</v>
      </c>
      <c r="B29" s="1443">
        <f>+Historicals!AA95*1000000</f>
        <v>-119399999.99999997</v>
      </c>
    </row>
    <row r="30" spans="1:2" x14ac:dyDescent="0.35">
      <c r="A30" s="1445" t="s">
        <v>1614</v>
      </c>
      <c r="B30" s="1447">
        <f>+B29+B19</f>
        <v>21628414.968000054</v>
      </c>
    </row>
    <row r="32" spans="1:2" x14ac:dyDescent="0.35">
      <c r="A32" s="1436" t="s">
        <v>1600</v>
      </c>
      <c r="B32" s="1443">
        <f>+Base!J58*1000000</f>
        <v>-560089223.4362365</v>
      </c>
    </row>
    <row r="33" spans="1:8" x14ac:dyDescent="0.35">
      <c r="A33" s="1445" t="s">
        <v>1614</v>
      </c>
      <c r="B33" s="1447">
        <f>+B32+B19</f>
        <v>-419060808.46823645</v>
      </c>
    </row>
    <row r="34" spans="1:8" s="1444" customFormat="1" x14ac:dyDescent="0.35"/>
    <row r="35" spans="1:8" x14ac:dyDescent="0.35">
      <c r="A35" s="1419" t="s">
        <v>1566</v>
      </c>
      <c r="B35" s="1420">
        <f>B7*B13</f>
        <v>684443716.57200015</v>
      </c>
    </row>
    <row r="36" spans="1:8" x14ac:dyDescent="0.35">
      <c r="A36" s="1419" t="s">
        <v>1565</v>
      </c>
      <c r="B36" s="1420">
        <f>B35-B4</f>
        <v>264443716.57200015</v>
      </c>
      <c r="H36" s="1435" t="s">
        <v>1575</v>
      </c>
    </row>
    <row r="37" spans="1:8" x14ac:dyDescent="0.35">
      <c r="A37" s="1419" t="s">
        <v>1564</v>
      </c>
      <c r="B37" s="1420">
        <f>B35-B36</f>
        <v>420000000</v>
      </c>
      <c r="H37" s="1435" t="s">
        <v>1576</v>
      </c>
    </row>
    <row r="38" spans="1:8" x14ac:dyDescent="0.35">
      <c r="A38" s="1419" t="s">
        <v>1572</v>
      </c>
      <c r="B38" s="1423">
        <v>60400000</v>
      </c>
      <c r="H38" s="1435"/>
    </row>
    <row r="39" spans="1:8" x14ac:dyDescent="0.35">
      <c r="H39" s="1435"/>
    </row>
    <row r="40" spans="1:8" x14ac:dyDescent="0.35">
      <c r="H40" s="1435" t="s">
        <v>1577</v>
      </c>
    </row>
    <row r="41" spans="1:8" x14ac:dyDescent="0.35">
      <c r="A41" s="1419" t="s">
        <v>1563</v>
      </c>
      <c r="B41" s="1422">
        <v>100</v>
      </c>
      <c r="H41" s="1435"/>
    </row>
    <row r="42" spans="1:8" x14ac:dyDescent="0.35">
      <c r="A42" s="1419" t="s">
        <v>1562</v>
      </c>
      <c r="B42" s="1421">
        <f>(B41-B7)*B13</f>
        <v>109814083.42799996</v>
      </c>
      <c r="H42" s="1435" t="s">
        <v>1578</v>
      </c>
    </row>
    <row r="43" spans="1:8" x14ac:dyDescent="0.35">
      <c r="B43" s="1420"/>
      <c r="H43" s="1435" t="s">
        <v>1579</v>
      </c>
    </row>
    <row r="44" spans="1:8" x14ac:dyDescent="0.35">
      <c r="B44" s="1420"/>
      <c r="H44" s="1435" t="s">
        <v>1580</v>
      </c>
    </row>
    <row r="45" spans="1:8" x14ac:dyDescent="0.35">
      <c r="H45" s="1435" t="s">
        <v>1581</v>
      </c>
    </row>
    <row r="46" spans="1:8" x14ac:dyDescent="0.35">
      <c r="H46" s="1435" t="s">
        <v>1582</v>
      </c>
    </row>
    <row r="47" spans="1:8" x14ac:dyDescent="0.35">
      <c r="H47" s="1435" t="s">
        <v>1583</v>
      </c>
    </row>
    <row r="48" spans="1:8" x14ac:dyDescent="0.35">
      <c r="H48" s="1435" t="s">
        <v>1584</v>
      </c>
    </row>
    <row r="49" spans="8:8" x14ac:dyDescent="0.35">
      <c r="H49" s="1435"/>
    </row>
    <row r="50" spans="8:8" x14ac:dyDescent="0.35">
      <c r="H50" s="1435" t="s">
        <v>1585</v>
      </c>
    </row>
    <row r="51" spans="8:8" x14ac:dyDescent="0.35">
      <c r="H51" s="1435"/>
    </row>
    <row r="52" spans="8:8" x14ac:dyDescent="0.35">
      <c r="H52" s="1435" t="s">
        <v>1586</v>
      </c>
    </row>
    <row r="53" spans="8:8" x14ac:dyDescent="0.35">
      <c r="H53" s="1434"/>
    </row>
    <row r="54" spans="8:8" x14ac:dyDescent="0.35">
      <c r="H54" s="1435" t="s">
        <v>1587</v>
      </c>
    </row>
  </sheetData>
  <printOptions horizontalCentered="1"/>
  <pageMargins left="0.3" right="0.3" top="0.3" bottom="0.3" header="0.3" footer="0.3"/>
  <pageSetup orientation="portrait" r:id="rId1"/>
  <headerFoot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9CC5C-D04B-4A33-8A59-D515FD321454}">
  <sheetPr>
    <pageSetUpPr fitToPage="1"/>
  </sheetPr>
  <dimension ref="A1:FE83"/>
  <sheetViews>
    <sheetView view="pageBreakPreview" zoomScale="85" zoomScaleNormal="100" zoomScaleSheetLayoutView="85" workbookViewId="0">
      <pane xSplit="4" ySplit="3" topLeftCell="AN4" activePane="bottomRight" state="frozen"/>
      <selection pane="topRight" activeCell="E1" sqref="E1"/>
      <selection pane="bottomLeft" activeCell="A2" sqref="A2"/>
      <selection pane="bottomRight" activeCell="AY20" sqref="AY20"/>
    </sheetView>
  </sheetViews>
  <sheetFormatPr defaultColWidth="9.1796875" defaultRowHeight="11.5" outlineLevelRow="1" outlineLevelCol="1" x14ac:dyDescent="0.25"/>
  <cols>
    <col min="1" max="2" width="0" style="1467" hidden="1" customWidth="1" outlineLevel="1"/>
    <col min="3" max="3" width="14.1796875" style="1467" customWidth="1" collapsed="1"/>
    <col min="4" max="4" width="2.81640625" style="1467" customWidth="1"/>
    <col min="5" max="32" width="12.7265625" style="1467" hidden="1" customWidth="1" outlineLevel="1"/>
    <col min="33" max="33" width="12.7265625" style="1467" bestFit="1" customWidth="1" collapsed="1"/>
    <col min="34" max="54" width="12.7265625" style="1467" bestFit="1" customWidth="1"/>
    <col min="55" max="55" width="13.1796875" style="1467" bestFit="1" customWidth="1"/>
    <col min="56" max="106" width="12.7265625" style="1467" bestFit="1" customWidth="1"/>
    <col min="107" max="160" width="14.453125" style="1467" bestFit="1" customWidth="1"/>
    <col min="161" max="16384" width="9.1796875" style="1467"/>
  </cols>
  <sheetData>
    <row r="1" spans="3:55" ht="12" x14ac:dyDescent="0.3">
      <c r="C1" s="1467" t="s">
        <v>651</v>
      </c>
      <c r="BC1" s="1488">
        <f ca="1">TODAY()</f>
        <v>45797</v>
      </c>
    </row>
    <row r="2" spans="3:55" s="1468" customFormat="1" x14ac:dyDescent="0.25">
      <c r="C2" s="1469" t="s">
        <v>1653</v>
      </c>
    </row>
    <row r="5" spans="3:55" x14ac:dyDescent="0.25">
      <c r="C5" s="1484" t="s">
        <v>1201</v>
      </c>
      <c r="D5" s="1485"/>
    </row>
    <row r="7" spans="3:55" x14ac:dyDescent="0.25">
      <c r="AG7" s="1470">
        <v>2012</v>
      </c>
      <c r="AH7" s="1470">
        <f>+AG7+1</f>
        <v>2013</v>
      </c>
      <c r="AI7" s="1470">
        <f t="shared" ref="AI7:AR7" si="0">+AH7+1</f>
        <v>2014</v>
      </c>
      <c r="AJ7" s="1470">
        <f t="shared" si="0"/>
        <v>2015</v>
      </c>
      <c r="AK7" s="1470">
        <f t="shared" si="0"/>
        <v>2016</v>
      </c>
      <c r="AL7" s="1470">
        <f t="shared" si="0"/>
        <v>2017</v>
      </c>
      <c r="AM7" s="1470">
        <f t="shared" si="0"/>
        <v>2018</v>
      </c>
      <c r="AN7" s="1470">
        <f t="shared" si="0"/>
        <v>2019</v>
      </c>
      <c r="AO7" s="1470">
        <f t="shared" si="0"/>
        <v>2020</v>
      </c>
      <c r="AP7" s="1470">
        <f t="shared" si="0"/>
        <v>2021</v>
      </c>
      <c r="AQ7" s="1470">
        <f t="shared" si="0"/>
        <v>2022</v>
      </c>
      <c r="AR7" s="1470">
        <f t="shared" si="0"/>
        <v>2023</v>
      </c>
    </row>
    <row r="8" spans="3:55" x14ac:dyDescent="0.25">
      <c r="C8" s="1467" t="s">
        <v>1654</v>
      </c>
      <c r="AG8" s="1472">
        <f>+SUM(E17:H17)</f>
        <v>3189051</v>
      </c>
      <c r="AH8" s="1472">
        <f>+SUM(I17:L17)</f>
        <v>3840154</v>
      </c>
      <c r="AI8" s="1472">
        <f>+SUM(M17:P17)</f>
        <v>5692511</v>
      </c>
      <c r="AJ8" s="1472">
        <f>+SUM(Q17:T17)</f>
        <v>5786665</v>
      </c>
      <c r="AK8" s="1472">
        <f>+SUM(U17:X17)</f>
        <v>5904293</v>
      </c>
      <c r="AL8" s="1472">
        <f>+SUM(Y17:AB17)</f>
        <v>7301367</v>
      </c>
      <c r="AM8" s="1472">
        <f>+SUM(AC17:AF17)</f>
        <v>7481942</v>
      </c>
      <c r="AN8" s="1472">
        <f>+SUM(AG17:AJ17)</f>
        <v>8803912</v>
      </c>
      <c r="AO8" s="1472">
        <f>+SUM(AK17:AN17)</f>
        <v>11700043</v>
      </c>
      <c r="AP8" s="1472">
        <f>+SUM(AO17:AR17)</f>
        <v>14713907</v>
      </c>
      <c r="AQ8" s="1472">
        <f>+SUM(AS17:AV17)</f>
        <v>17386304</v>
      </c>
      <c r="AR8" s="1472">
        <f>+SUM(AW17:AZ17)</f>
        <v>15080132</v>
      </c>
    </row>
    <row r="9" spans="3:55" ht="12" x14ac:dyDescent="0.3">
      <c r="C9" s="1475" t="s">
        <v>657</v>
      </c>
      <c r="AG9" s="1476"/>
      <c r="AH9" s="1476">
        <f>+AH8/AG8-1</f>
        <v>0.20416826196884275</v>
      </c>
      <c r="AI9" s="1476">
        <f t="shared" ref="AI9:AR9" si="1">+AI8/AH8-1</f>
        <v>0.48236529055865995</v>
      </c>
      <c r="AJ9" s="1476">
        <f t="shared" si="1"/>
        <v>1.6539976822179225E-2</v>
      </c>
      <c r="AK9" s="1476">
        <f t="shared" si="1"/>
        <v>2.0327425209511807E-2</v>
      </c>
      <c r="AL9" s="1476">
        <f t="shared" si="1"/>
        <v>0.23662003223756001</v>
      </c>
      <c r="AM9" s="1476">
        <f t="shared" si="1"/>
        <v>2.4731670110542225E-2</v>
      </c>
      <c r="AN9" s="1476">
        <f t="shared" si="1"/>
        <v>0.17668808445721718</v>
      </c>
      <c r="AO9" s="1476">
        <f t="shared" si="1"/>
        <v>0.32895955797831689</v>
      </c>
      <c r="AP9" s="1476">
        <f t="shared" si="1"/>
        <v>0.25759426696124099</v>
      </c>
      <c r="AQ9" s="1476">
        <f t="shared" si="1"/>
        <v>0.18162388820318087</v>
      </c>
      <c r="AR9" s="1476">
        <f t="shared" si="1"/>
        <v>-0.1326430275232735</v>
      </c>
    </row>
    <row r="11" spans="3:55" x14ac:dyDescent="0.25">
      <c r="C11" s="1467" t="str">
        <f>+C22</f>
        <v>Enrollments (#K)</v>
      </c>
      <c r="AG11" s="1486" t="s">
        <v>890</v>
      </c>
      <c r="AH11" s="1486" t="s">
        <v>890</v>
      </c>
      <c r="AI11" s="1486" t="s">
        <v>890</v>
      </c>
      <c r="AJ11" s="1486" t="s">
        <v>890</v>
      </c>
      <c r="AK11" s="1486" t="s">
        <v>890</v>
      </c>
      <c r="AL11" s="1486" t="s">
        <v>890</v>
      </c>
      <c r="AM11" s="1467">
        <f>+Historicals!AP158</f>
        <v>117.9</v>
      </c>
      <c r="AN11" s="1467">
        <f>+Historicals!AQ158</f>
        <v>120.89999999999999</v>
      </c>
      <c r="AO11" s="1467">
        <f>+Historicals!AR158</f>
        <v>186.29999999999998</v>
      </c>
      <c r="AP11" s="1467">
        <f>+Historicals!AS158</f>
        <v>185.1</v>
      </c>
      <c r="AQ11" s="1467">
        <f>+Historicals!AT158</f>
        <v>178.2</v>
      </c>
      <c r="AR11" s="1467">
        <f>+Historicals!AU158</f>
        <v>193.2</v>
      </c>
    </row>
    <row r="12" spans="3:55" ht="12" x14ac:dyDescent="0.3">
      <c r="C12" s="1475" t="s">
        <v>657</v>
      </c>
      <c r="AG12" s="1476"/>
      <c r="AH12" s="1487" t="s">
        <v>890</v>
      </c>
      <c r="AI12" s="1487" t="s">
        <v>890</v>
      </c>
      <c r="AJ12" s="1487" t="s">
        <v>890</v>
      </c>
      <c r="AK12" s="1487" t="s">
        <v>890</v>
      </c>
      <c r="AL12" s="1487" t="s">
        <v>890</v>
      </c>
      <c r="AM12" s="1487" t="s">
        <v>890</v>
      </c>
      <c r="AN12" s="1476">
        <f t="shared" ref="AN12" si="2">+AN11/AM11-1</f>
        <v>2.5445292620865034E-2</v>
      </c>
      <c r="AO12" s="1476">
        <f t="shared" ref="AO12" si="3">+AO11/AN11-1</f>
        <v>0.54094292803970223</v>
      </c>
      <c r="AP12" s="1476">
        <f t="shared" ref="AP12" si="4">+AP11/AO11-1</f>
        <v>-6.4412238325280979E-3</v>
      </c>
      <c r="AQ12" s="1476">
        <f t="shared" ref="AQ12" si="5">+AQ11/AP11-1</f>
        <v>-3.7277147487844386E-2</v>
      </c>
      <c r="AR12" s="1476">
        <f t="shared" ref="AR12" si="6">+AR11/AQ11-1</f>
        <v>8.4175084175084125E-2</v>
      </c>
    </row>
    <row r="15" spans="3:55" x14ac:dyDescent="0.25">
      <c r="C15" s="1484" t="s">
        <v>1833</v>
      </c>
      <c r="D15" s="1485"/>
    </row>
    <row r="16" spans="3:55" x14ac:dyDescent="0.25">
      <c r="E16" s="1470" t="str">
        <f t="shared" ref="E16:AF16" si="7">"Q"&amp;E82&amp;" "&amp;E83</f>
        <v>Q1 2012</v>
      </c>
      <c r="F16" s="1470" t="str">
        <f t="shared" si="7"/>
        <v>Q2 2012</v>
      </c>
      <c r="G16" s="1470" t="str">
        <f t="shared" si="7"/>
        <v>Q3 2012</v>
      </c>
      <c r="H16" s="1470" t="str">
        <f t="shared" si="7"/>
        <v>Q4 2012</v>
      </c>
      <c r="I16" s="1470" t="str">
        <f t="shared" si="7"/>
        <v>Q1 2013</v>
      </c>
      <c r="J16" s="1470" t="str">
        <f t="shared" si="7"/>
        <v>Q2 2013</v>
      </c>
      <c r="K16" s="1470" t="str">
        <f t="shared" si="7"/>
        <v>Q3 2013</v>
      </c>
      <c r="L16" s="1470" t="str">
        <f t="shared" si="7"/>
        <v>Q4 2013</v>
      </c>
      <c r="M16" s="1470" t="str">
        <f t="shared" si="7"/>
        <v>Q1 2014</v>
      </c>
      <c r="N16" s="1470" t="str">
        <f t="shared" si="7"/>
        <v>Q2 2014</v>
      </c>
      <c r="O16" s="1470" t="str">
        <f t="shared" si="7"/>
        <v>Q3 2014</v>
      </c>
      <c r="P16" s="1470" t="str">
        <f t="shared" si="7"/>
        <v>Q4 2014</v>
      </c>
      <c r="Q16" s="1470" t="str">
        <f t="shared" si="7"/>
        <v>Q1 2015</v>
      </c>
      <c r="R16" s="1470" t="str">
        <f t="shared" si="7"/>
        <v>Q2 2015</v>
      </c>
      <c r="S16" s="1470" t="str">
        <f t="shared" si="7"/>
        <v>Q3 2015</v>
      </c>
      <c r="T16" s="1470" t="str">
        <f t="shared" si="7"/>
        <v>Q4 2015</v>
      </c>
      <c r="U16" s="1470" t="str">
        <f t="shared" si="7"/>
        <v>Q1 2016</v>
      </c>
      <c r="V16" s="1470" t="str">
        <f t="shared" si="7"/>
        <v>Q2 2016</v>
      </c>
      <c r="W16" s="1470" t="str">
        <f t="shared" si="7"/>
        <v>Q3 2016</v>
      </c>
      <c r="X16" s="1470" t="str">
        <f t="shared" si="7"/>
        <v>Q4 2016</v>
      </c>
      <c r="Y16" s="1470" t="str">
        <f t="shared" si="7"/>
        <v>Q1 2017</v>
      </c>
      <c r="Z16" s="1470" t="str">
        <f t="shared" si="7"/>
        <v>Q2 2017</v>
      </c>
      <c r="AA16" s="1470" t="str">
        <f t="shared" si="7"/>
        <v>Q3 2017</v>
      </c>
      <c r="AB16" s="1470" t="str">
        <f t="shared" si="7"/>
        <v>Q4 2017</v>
      </c>
      <c r="AC16" s="1470" t="str">
        <f t="shared" si="7"/>
        <v>Q1 2018</v>
      </c>
      <c r="AD16" s="1470" t="str">
        <f t="shared" si="7"/>
        <v>Q2 2018</v>
      </c>
      <c r="AE16" s="1470" t="str">
        <f t="shared" si="7"/>
        <v>Q3 2018</v>
      </c>
      <c r="AF16" s="1470" t="str">
        <f t="shared" si="7"/>
        <v>Q4 2018</v>
      </c>
      <c r="AG16" s="1470" t="str">
        <f>"CQ"&amp;AG82&amp;" "&amp;AG83</f>
        <v>CQ1 2019</v>
      </c>
      <c r="AH16" s="1470" t="str">
        <f t="shared" ref="AH16:BC16" si="8">"CQ"&amp;AH82&amp;" "&amp;AH83</f>
        <v>CQ2 2019</v>
      </c>
      <c r="AI16" s="1471" t="str">
        <f t="shared" si="8"/>
        <v>CQ3 2019</v>
      </c>
      <c r="AJ16" s="1470" t="str">
        <f t="shared" si="8"/>
        <v>CQ4 2019</v>
      </c>
      <c r="AK16" s="1470" t="str">
        <f t="shared" si="8"/>
        <v>CQ1 2020</v>
      </c>
      <c r="AL16" s="1470" t="str">
        <f t="shared" si="8"/>
        <v>CQ2 2020</v>
      </c>
      <c r="AM16" s="1471" t="str">
        <f t="shared" si="8"/>
        <v>CQ3 2020</v>
      </c>
      <c r="AN16" s="1470" t="str">
        <f t="shared" si="8"/>
        <v>CQ4 2020</v>
      </c>
      <c r="AO16" s="1470" t="str">
        <f t="shared" si="8"/>
        <v>CQ1 2021</v>
      </c>
      <c r="AP16" s="1470" t="str">
        <f t="shared" si="8"/>
        <v>CQ2 2021</v>
      </c>
      <c r="AQ16" s="1471" t="str">
        <f t="shared" si="8"/>
        <v>CQ3 2021</v>
      </c>
      <c r="AR16" s="1470" t="str">
        <f t="shared" si="8"/>
        <v>CQ4 2021</v>
      </c>
      <c r="AS16" s="1470" t="str">
        <f t="shared" si="8"/>
        <v>CQ1 2022</v>
      </c>
      <c r="AT16" s="1470" t="str">
        <f t="shared" si="8"/>
        <v>CQ2 2022</v>
      </c>
      <c r="AU16" s="1471" t="str">
        <f t="shared" si="8"/>
        <v>CQ3 2022</v>
      </c>
      <c r="AV16" s="1470" t="str">
        <f t="shared" si="8"/>
        <v>CQ4 2022</v>
      </c>
      <c r="AW16" s="1470" t="str">
        <f t="shared" si="8"/>
        <v>CQ1 2023</v>
      </c>
      <c r="AX16" s="1470" t="str">
        <f t="shared" si="8"/>
        <v>CQ2 2023</v>
      </c>
      <c r="AY16" s="1471" t="str">
        <f t="shared" si="8"/>
        <v>CQ3 2023</v>
      </c>
      <c r="AZ16" s="1470" t="str">
        <f t="shared" si="8"/>
        <v>CQ4 2023</v>
      </c>
      <c r="BA16" s="1470" t="str">
        <f t="shared" si="8"/>
        <v>CQ1 2024</v>
      </c>
      <c r="BB16" s="1470" t="str">
        <f t="shared" si="8"/>
        <v>CQ2 2024</v>
      </c>
      <c r="BC16" s="1471" t="str">
        <f t="shared" si="8"/>
        <v>CQ3 2024</v>
      </c>
    </row>
    <row r="17" spans="3:55" x14ac:dyDescent="0.25">
      <c r="C17" s="1467" t="s">
        <v>1834</v>
      </c>
      <c r="E17" s="1472">
        <f>+SUM(E80:G80)</f>
        <v>746758</v>
      </c>
      <c r="F17" s="1472">
        <f>+SUM(H80:J80)</f>
        <v>790745</v>
      </c>
      <c r="G17" s="1472">
        <f>+SUM(K80:M80)</f>
        <v>851371</v>
      </c>
      <c r="H17" s="1472">
        <f>+SUM(N80:P80)</f>
        <v>800177</v>
      </c>
      <c r="I17" s="1472">
        <f>+SUM(Q80:S80)</f>
        <v>766684</v>
      </c>
      <c r="J17" s="1472">
        <f>+SUM(T80:V80)</f>
        <v>732447</v>
      </c>
      <c r="K17" s="1472">
        <f>+SUM(W80:Y80)</f>
        <v>1023471</v>
      </c>
      <c r="L17" s="1472">
        <f>+SUM(Z80:AB80)</f>
        <v>1317552</v>
      </c>
      <c r="M17" s="1472">
        <f>+SUM(AC80:AE80)</f>
        <v>1499857</v>
      </c>
      <c r="N17" s="1472">
        <f>+SUM(AF80:AH80)</f>
        <v>1437564</v>
      </c>
      <c r="O17" s="1472">
        <f>+SUM(AI80:AK80)</f>
        <v>1405096</v>
      </c>
      <c r="P17" s="1472">
        <f>+SUM(AL80:AN80)</f>
        <v>1349994</v>
      </c>
      <c r="Q17" s="1472">
        <f>+SUM(AO80:AQ80)</f>
        <v>1132554</v>
      </c>
      <c r="R17" s="1472">
        <f>+SUM(AR80:AT80)</f>
        <v>1397400</v>
      </c>
      <c r="S17" s="1472">
        <f>+SUM(AU80:AW80)</f>
        <v>1702795</v>
      </c>
      <c r="T17" s="1472">
        <f>+SUM(AX80:AZ80)</f>
        <v>1553916</v>
      </c>
      <c r="U17" s="1472">
        <f>+SUM(BA80:BC80)</f>
        <v>1553833</v>
      </c>
      <c r="V17" s="1472">
        <f>+SUM(BD80:BF80)</f>
        <v>1408819</v>
      </c>
      <c r="W17" s="1472">
        <f>+SUM(BG80:BI80)</f>
        <v>1371014</v>
      </c>
      <c r="X17" s="1472">
        <f>+SUM(BJ80:BL80)</f>
        <v>1570627</v>
      </c>
      <c r="Y17" s="1472">
        <f>+SUM(BM80:BO80)</f>
        <v>1866204</v>
      </c>
      <c r="Z17" s="1472">
        <f>+SUM(BP80:BR80)</f>
        <v>1942022</v>
      </c>
      <c r="AA17" s="1472">
        <f>+SUM(BS80:BU80)</f>
        <v>1624046</v>
      </c>
      <c r="AB17" s="1472">
        <f>+SUM(BV80:BX80)</f>
        <v>1869095</v>
      </c>
      <c r="AC17" s="1472">
        <f>+SUM(BY80:CA80)</f>
        <v>1934826</v>
      </c>
      <c r="AD17" s="1472">
        <f>+SUM(CB80:CD80)</f>
        <v>1729285</v>
      </c>
      <c r="AE17" s="1472">
        <f>+SUM(CE80:CG80)</f>
        <v>1895592</v>
      </c>
      <c r="AF17" s="1472">
        <f>+SUM(CH80:CJ80)</f>
        <v>1922239</v>
      </c>
      <c r="AG17" s="1472">
        <f>+SUM(CK80:CM80)</f>
        <v>1958151</v>
      </c>
      <c r="AH17" s="1472">
        <f>+SUM(CN80:CP80)</f>
        <v>2083585</v>
      </c>
      <c r="AI17" s="1473">
        <f>+SUM(CQ80:CS80)</f>
        <v>2446956</v>
      </c>
      <c r="AJ17" s="1472">
        <f>+SUM(CT80:CV80)</f>
        <v>2315220</v>
      </c>
      <c r="AK17" s="1472">
        <f>+SUM(CW80:CY80)</f>
        <v>2505659</v>
      </c>
      <c r="AL17" s="1472">
        <f>+SUM(CZ80:DB80)</f>
        <v>2676893</v>
      </c>
      <c r="AM17" s="1473">
        <f>+SUM(DC80:DE80)</f>
        <v>3065458</v>
      </c>
      <c r="AN17" s="1472">
        <f>+SUM(DF80:DH80)</f>
        <v>3452033</v>
      </c>
      <c r="AO17" s="1472">
        <f>+SUM(DI80:DK80)</f>
        <v>3520190</v>
      </c>
      <c r="AP17" s="1472">
        <f>+SUM(DL80:DN80)</f>
        <v>3615173</v>
      </c>
      <c r="AQ17" s="1473">
        <f>+SUM(DO80:DQ80)</f>
        <v>4038860</v>
      </c>
      <c r="AR17" s="1472">
        <f>+SUM(DR80:DT80)</f>
        <v>3539684</v>
      </c>
      <c r="AS17" s="1472">
        <f>+SUM(DU80:DW80)</f>
        <v>4129716</v>
      </c>
      <c r="AT17" s="1472">
        <f>+SUM(DX80:DZ80)</f>
        <v>4776849</v>
      </c>
      <c r="AU17" s="1473">
        <f>+SUM(EA80:EC80)</f>
        <v>4355439</v>
      </c>
      <c r="AV17" s="1472">
        <f>+SUM(ED80:EF80)</f>
        <v>4124300</v>
      </c>
      <c r="AW17" s="1472">
        <f>+SUM(AG40:AI40)</f>
        <v>4036431</v>
      </c>
      <c r="AX17" s="1472">
        <f>+SUM(AJ40:AL40)</f>
        <v>3561775</v>
      </c>
      <c r="AY17" s="1473">
        <f>+SUM(AM40:AO40)</f>
        <v>3620557</v>
      </c>
      <c r="AZ17" s="1472">
        <f>+SUM(AP40:AR40)</f>
        <v>3861369</v>
      </c>
      <c r="BA17" s="1472">
        <f>+SUM(AS40:AU40)</f>
        <v>4028041</v>
      </c>
      <c r="BB17" s="1472">
        <f>+SUM(AV40:AX40)</f>
        <v>4036277</v>
      </c>
      <c r="BC17" s="1473">
        <f>+SUM(AY40:BA40)</f>
        <v>4020890</v>
      </c>
    </row>
    <row r="18" spans="3:55" s="1474" customFormat="1" ht="12" x14ac:dyDescent="0.3">
      <c r="C18" s="1475" t="s">
        <v>1836</v>
      </c>
      <c r="I18" s="1476"/>
      <c r="J18" s="1476"/>
      <c r="K18" s="1476"/>
      <c r="L18" s="1476"/>
      <c r="M18" s="1476"/>
      <c r="N18" s="1476"/>
      <c r="O18" s="1476"/>
      <c r="P18" s="1476"/>
      <c r="Q18" s="1476"/>
      <c r="R18" s="1476"/>
      <c r="S18" s="1476"/>
      <c r="T18" s="1476"/>
      <c r="U18" s="1476"/>
      <c r="V18" s="1476"/>
      <c r="W18" s="1476"/>
      <c r="X18" s="1476"/>
      <c r="Y18" s="1476"/>
      <c r="Z18" s="1476"/>
      <c r="AA18" s="1476"/>
      <c r="AB18" s="1476"/>
      <c r="AC18" s="1476"/>
      <c r="AD18" s="1476"/>
      <c r="AE18" s="1476"/>
      <c r="AF18" s="1476"/>
      <c r="AG18" s="1494">
        <f t="shared" ref="AG18:BB18" si="9">+AG17-AF17</f>
        <v>35912</v>
      </c>
      <c r="AH18" s="1494">
        <f t="shared" si="9"/>
        <v>125434</v>
      </c>
      <c r="AI18" s="1495">
        <f t="shared" si="9"/>
        <v>363371</v>
      </c>
      <c r="AJ18" s="1494">
        <f t="shared" si="9"/>
        <v>-131736</v>
      </c>
      <c r="AK18" s="1494">
        <f t="shared" si="9"/>
        <v>190439</v>
      </c>
      <c r="AL18" s="1494">
        <f t="shared" si="9"/>
        <v>171234</v>
      </c>
      <c r="AM18" s="1495">
        <f t="shared" si="9"/>
        <v>388565</v>
      </c>
      <c r="AN18" s="1494">
        <f t="shared" si="9"/>
        <v>386575</v>
      </c>
      <c r="AO18" s="1494">
        <f t="shared" si="9"/>
        <v>68157</v>
      </c>
      <c r="AP18" s="1494">
        <f t="shared" si="9"/>
        <v>94983</v>
      </c>
      <c r="AQ18" s="1495">
        <f t="shared" si="9"/>
        <v>423687</v>
      </c>
      <c r="AR18" s="1494">
        <f t="shared" si="9"/>
        <v>-499176</v>
      </c>
      <c r="AS18" s="1494">
        <f t="shared" si="9"/>
        <v>590032</v>
      </c>
      <c r="AT18" s="1494">
        <f t="shared" si="9"/>
        <v>647133</v>
      </c>
      <c r="AU18" s="1495">
        <f t="shared" si="9"/>
        <v>-421410</v>
      </c>
      <c r="AV18" s="1494">
        <f t="shared" si="9"/>
        <v>-231139</v>
      </c>
      <c r="AW18" s="1494">
        <f t="shared" si="9"/>
        <v>-87869</v>
      </c>
      <c r="AX18" s="1494">
        <f t="shared" si="9"/>
        <v>-474656</v>
      </c>
      <c r="AY18" s="1495">
        <f t="shared" si="9"/>
        <v>58782</v>
      </c>
      <c r="AZ18" s="1494">
        <f t="shared" si="9"/>
        <v>240812</v>
      </c>
      <c r="BA18" s="1494">
        <f t="shared" si="9"/>
        <v>166672</v>
      </c>
      <c r="BB18" s="1494">
        <f t="shared" si="9"/>
        <v>8236</v>
      </c>
      <c r="BC18" s="1495">
        <f>+BC17-BB17</f>
        <v>-15387</v>
      </c>
    </row>
    <row r="19" spans="3:55" s="1474" customFormat="1" ht="12" x14ac:dyDescent="0.3">
      <c r="C19" s="1475" t="s">
        <v>891</v>
      </c>
      <c r="I19" s="1476"/>
      <c r="J19" s="1476"/>
      <c r="K19" s="1476"/>
      <c r="L19" s="1476"/>
      <c r="M19" s="1476"/>
      <c r="N19" s="1476"/>
      <c r="O19" s="1476"/>
      <c r="P19" s="1476"/>
      <c r="Q19" s="1476"/>
      <c r="R19" s="1476"/>
      <c r="S19" s="1476"/>
      <c r="T19" s="1476"/>
      <c r="U19" s="1476"/>
      <c r="V19" s="1476"/>
      <c r="W19" s="1476"/>
      <c r="X19" s="1476"/>
      <c r="Y19" s="1476"/>
      <c r="Z19" s="1476"/>
      <c r="AA19" s="1476"/>
      <c r="AB19" s="1476"/>
      <c r="AC19" s="1476"/>
      <c r="AD19" s="1476"/>
      <c r="AE19" s="1476"/>
      <c r="AF19" s="1476"/>
      <c r="AG19" s="1476"/>
      <c r="AH19" s="1476">
        <f t="shared" ref="AH19:BC19" si="10">+AH17/AG17-1</f>
        <v>6.4057368405194381E-2</v>
      </c>
      <c r="AI19" s="1489">
        <f t="shared" si="10"/>
        <v>0.17439701284084874</v>
      </c>
      <c r="AJ19" s="1476">
        <f t="shared" si="10"/>
        <v>-5.3836685253024541E-2</v>
      </c>
      <c r="AK19" s="1476">
        <f t="shared" si="10"/>
        <v>8.2255250041032735E-2</v>
      </c>
      <c r="AL19" s="1476">
        <f t="shared" si="10"/>
        <v>6.833890804774323E-2</v>
      </c>
      <c r="AM19" s="1489">
        <f t="shared" si="10"/>
        <v>0.1451552228647166</v>
      </c>
      <c r="AN19" s="1476">
        <f t="shared" si="10"/>
        <v>0.12610676773258689</v>
      </c>
      <c r="AO19" s="1476">
        <f t="shared" si="10"/>
        <v>1.9744017510840761E-2</v>
      </c>
      <c r="AP19" s="1476">
        <f t="shared" si="10"/>
        <v>2.6982350384496367E-2</v>
      </c>
      <c r="AQ19" s="1489">
        <f t="shared" si="10"/>
        <v>0.11719688103446235</v>
      </c>
      <c r="AR19" s="1476">
        <f t="shared" si="10"/>
        <v>-0.12359329117622297</v>
      </c>
      <c r="AS19" s="1476">
        <f t="shared" si="10"/>
        <v>0.16669058593930974</v>
      </c>
      <c r="AT19" s="1476">
        <f t="shared" si="10"/>
        <v>0.15670157463612511</v>
      </c>
      <c r="AU19" s="1489">
        <f t="shared" si="10"/>
        <v>-8.8219242433662859E-2</v>
      </c>
      <c r="AV19" s="1476">
        <f t="shared" si="10"/>
        <v>-5.3069047689566995E-2</v>
      </c>
      <c r="AW19" s="1476">
        <f t="shared" si="10"/>
        <v>-2.1305191183958461E-2</v>
      </c>
      <c r="AX19" s="1476">
        <f t="shared" si="10"/>
        <v>-0.11759299242325705</v>
      </c>
      <c r="AY19" s="1489">
        <f t="shared" si="10"/>
        <v>1.6503569147405361E-2</v>
      </c>
      <c r="AZ19" s="1476">
        <f t="shared" si="10"/>
        <v>6.6512417840680405E-2</v>
      </c>
      <c r="BA19" s="1476">
        <f t="shared" si="10"/>
        <v>4.3163965940577143E-2</v>
      </c>
      <c r="BB19" s="1476">
        <f t="shared" si="10"/>
        <v>2.0446663775268714E-3</v>
      </c>
      <c r="BC19" s="1489">
        <f t="shared" si="10"/>
        <v>-3.8121764190118812E-3</v>
      </c>
    </row>
    <row r="20" spans="3:55" s="1474" customFormat="1" ht="12" x14ac:dyDescent="0.3">
      <c r="C20" s="1475" t="s">
        <v>657</v>
      </c>
      <c r="I20" s="1476">
        <f>+I17/E17-1</f>
        <v>2.6683343198198095E-2</v>
      </c>
      <c r="J20" s="1476">
        <f t="shared" ref="J20:BC20" si="11">+J17/F17-1</f>
        <v>-7.3725410846733119E-2</v>
      </c>
      <c r="K20" s="1476">
        <f t="shared" si="11"/>
        <v>0.20214454098154633</v>
      </c>
      <c r="L20" s="1476">
        <f t="shared" si="11"/>
        <v>0.64657569512745305</v>
      </c>
      <c r="M20" s="1476">
        <f t="shared" si="11"/>
        <v>0.95629098820374492</v>
      </c>
      <c r="N20" s="1476">
        <f t="shared" si="11"/>
        <v>0.9626867199947573</v>
      </c>
      <c r="O20" s="1476">
        <f t="shared" si="11"/>
        <v>0.37287329098723854</v>
      </c>
      <c r="P20" s="1476">
        <f t="shared" si="11"/>
        <v>2.4622937083318197E-2</v>
      </c>
      <c r="Q20" s="1476">
        <f t="shared" si="11"/>
        <v>-0.24489201303857633</v>
      </c>
      <c r="R20" s="1476">
        <f t="shared" si="11"/>
        <v>-2.7938930023289399E-2</v>
      </c>
      <c r="S20" s="1476">
        <f t="shared" si="11"/>
        <v>0.21187093266225232</v>
      </c>
      <c r="T20" s="1476">
        <f t="shared" si="11"/>
        <v>0.15105400468446528</v>
      </c>
      <c r="U20" s="1476">
        <f t="shared" si="11"/>
        <v>0.37197255053622169</v>
      </c>
      <c r="V20" s="1476">
        <f t="shared" si="11"/>
        <v>8.1716044081865391E-3</v>
      </c>
      <c r="W20" s="1476">
        <f t="shared" si="11"/>
        <v>-0.19484494610331837</v>
      </c>
      <c r="X20" s="1476">
        <f t="shared" si="11"/>
        <v>1.0754120557353142E-2</v>
      </c>
      <c r="Y20" s="1476">
        <f t="shared" si="11"/>
        <v>0.20103254339430299</v>
      </c>
      <c r="Z20" s="1476">
        <f t="shared" si="11"/>
        <v>0.37847516252975</v>
      </c>
      <c r="AA20" s="1476">
        <f t="shared" si="11"/>
        <v>0.18455829043321215</v>
      </c>
      <c r="AB20" s="1476">
        <f t="shared" si="11"/>
        <v>0.19003111496236857</v>
      </c>
      <c r="AC20" s="1476">
        <f t="shared" si="11"/>
        <v>3.6770899644411825E-2</v>
      </c>
      <c r="AD20" s="1476">
        <f t="shared" si="11"/>
        <v>-0.10954407313614367</v>
      </c>
      <c r="AE20" s="1476">
        <f t="shared" si="11"/>
        <v>0.16720339202214718</v>
      </c>
      <c r="AF20" s="1476">
        <f t="shared" si="11"/>
        <v>2.8433011698174804E-2</v>
      </c>
      <c r="AG20" s="1476">
        <f t="shared" si="11"/>
        <v>1.2055347612653478E-2</v>
      </c>
      <c r="AH20" s="1476">
        <f t="shared" si="11"/>
        <v>0.2048823646767306</v>
      </c>
      <c r="AI20" s="1489">
        <f t="shared" si="11"/>
        <v>0.29086638896977823</v>
      </c>
      <c r="AJ20" s="1476">
        <f t="shared" si="11"/>
        <v>0.20443919824746049</v>
      </c>
      <c r="AK20" s="1476">
        <f t="shared" si="11"/>
        <v>0.2796045861631713</v>
      </c>
      <c r="AL20" s="1476">
        <f t="shared" si="11"/>
        <v>0.28475344178423256</v>
      </c>
      <c r="AM20" s="1489">
        <f t="shared" si="11"/>
        <v>0.2527638420960574</v>
      </c>
      <c r="AN20" s="1476">
        <f t="shared" si="11"/>
        <v>0.49101726833735015</v>
      </c>
      <c r="AO20" s="1476">
        <f t="shared" si="11"/>
        <v>0.40489587769125812</v>
      </c>
      <c r="AP20" s="1476">
        <f t="shared" si="11"/>
        <v>0.35051083476254008</v>
      </c>
      <c r="AQ20" s="1489">
        <f t="shared" si="11"/>
        <v>0.31753884737615068</v>
      </c>
      <c r="AR20" s="1476">
        <f t="shared" si="11"/>
        <v>2.5391124592377912E-2</v>
      </c>
      <c r="AS20" s="1476">
        <f t="shared" si="11"/>
        <v>0.17315144921154824</v>
      </c>
      <c r="AT20" s="1476">
        <f t="shared" si="11"/>
        <v>0.32133344655981877</v>
      </c>
      <c r="AU20" s="1489">
        <f t="shared" si="11"/>
        <v>7.8383256661533229E-2</v>
      </c>
      <c r="AV20" s="1476">
        <f t="shared" si="11"/>
        <v>0.16516050585306474</v>
      </c>
      <c r="AW20" s="1476">
        <f t="shared" si="11"/>
        <v>-2.2588720386583439E-2</v>
      </c>
      <c r="AX20" s="1476">
        <f t="shared" si="11"/>
        <v>-0.25436726176607216</v>
      </c>
      <c r="AY20" s="1489">
        <f t="shared" si="11"/>
        <v>-0.16872742334354818</v>
      </c>
      <c r="AZ20" s="1476">
        <f t="shared" si="11"/>
        <v>-6.3751666949542929E-2</v>
      </c>
      <c r="BA20" s="1476">
        <f t="shared" si="11"/>
        <v>-2.0785689139737329E-3</v>
      </c>
      <c r="BB20" s="1476">
        <f t="shared" si="11"/>
        <v>0.13322065543163175</v>
      </c>
      <c r="BC20" s="1489">
        <f t="shared" si="11"/>
        <v>0.11057221306003462</v>
      </c>
    </row>
    <row r="21" spans="3:55" s="1474" customFormat="1" ht="12" x14ac:dyDescent="0.3">
      <c r="C21" s="1483"/>
      <c r="I21" s="1476"/>
      <c r="J21" s="1476"/>
      <c r="K21" s="1476"/>
      <c r="L21" s="1476"/>
      <c r="M21" s="1476"/>
      <c r="N21" s="1476"/>
      <c r="O21" s="1476"/>
      <c r="P21" s="1476"/>
      <c r="Q21" s="1476"/>
      <c r="R21" s="1476"/>
      <c r="S21" s="1476"/>
      <c r="T21" s="1476"/>
      <c r="U21" s="1476"/>
      <c r="V21" s="1476"/>
      <c r="W21" s="1476"/>
      <c r="X21" s="1476"/>
      <c r="Y21" s="1476"/>
      <c r="Z21" s="1476"/>
      <c r="AA21" s="1476"/>
      <c r="AB21" s="1476"/>
      <c r="AC21" s="1476"/>
      <c r="AD21" s="1476"/>
      <c r="AE21" s="1476"/>
      <c r="AF21" s="1476"/>
      <c r="AG21" s="1476"/>
      <c r="AH21" s="1476"/>
      <c r="AI21" s="1489"/>
      <c r="AJ21" s="1476"/>
      <c r="AK21" s="1476"/>
      <c r="AL21" s="1476"/>
      <c r="AM21" s="1489"/>
      <c r="AN21" s="1476"/>
      <c r="AO21" s="1476"/>
      <c r="AP21" s="1476"/>
      <c r="AQ21" s="1489"/>
      <c r="AR21" s="1476"/>
      <c r="AS21" s="1476"/>
      <c r="AT21" s="1476"/>
      <c r="AU21" s="1489"/>
      <c r="AV21" s="1476"/>
      <c r="AW21" s="1476"/>
      <c r="AX21" s="1476"/>
      <c r="AY21" s="1489"/>
      <c r="AZ21" s="1476"/>
      <c r="BA21" s="1476"/>
      <c r="BB21" s="1476"/>
      <c r="BC21" s="1489"/>
    </row>
    <row r="22" spans="3:55" x14ac:dyDescent="0.25">
      <c r="C22" s="1467" t="str">
        <f>+Historicals!A158</f>
        <v>Enrollments (#K)</v>
      </c>
      <c r="AE22" s="1467">
        <f>+Historicals!C158</f>
        <v>121.1</v>
      </c>
      <c r="AF22" s="1467">
        <f>+Historicals!D158</f>
        <v>118.7</v>
      </c>
      <c r="AG22" s="1467">
        <f>+Historicals!E158</f>
        <v>119.5</v>
      </c>
      <c r="AH22" s="1467">
        <f>+Historicals!F158</f>
        <v>112.80000000000001</v>
      </c>
      <c r="AI22" s="1490">
        <f>+Historicals!G158</f>
        <v>124.39999999999999</v>
      </c>
      <c r="AJ22" s="1467">
        <f>+Historicals!H158</f>
        <v>119.89999999999999</v>
      </c>
      <c r="AK22" s="1467">
        <f>+Historicals!I158</f>
        <v>122.10000000000001</v>
      </c>
      <c r="AL22" s="1467">
        <f>+Historicals!J158</f>
        <v>118.9</v>
      </c>
      <c r="AM22" s="1490">
        <f>+Historicals!K158</f>
        <v>195.4</v>
      </c>
      <c r="AN22" s="1467">
        <f>+Historicals!L158</f>
        <v>191.5</v>
      </c>
      <c r="AO22" s="1467">
        <f>+Historicals!M158</f>
        <v>185.3</v>
      </c>
      <c r="AP22" s="1467">
        <f>+Historicals!N158</f>
        <v>175.39999999999998</v>
      </c>
      <c r="AQ22" s="1490">
        <f>+Historicals!O158</f>
        <v>189.6</v>
      </c>
      <c r="AR22" s="1467">
        <f>+Historicals!P158</f>
        <v>187.5</v>
      </c>
      <c r="AS22" s="1467">
        <f>+Historicals!Q158</f>
        <v>185.8</v>
      </c>
      <c r="AT22" s="1467">
        <f>+Historicals!R158</f>
        <v>178.4</v>
      </c>
      <c r="AU22" s="1490">
        <f>+Historicals!S158</f>
        <v>173.9</v>
      </c>
      <c r="AV22" s="1467">
        <f>+Historicals!T158</f>
        <v>177.5</v>
      </c>
      <c r="AW22" s="1467">
        <f>+Historicals!U158</f>
        <v>181.8</v>
      </c>
      <c r="AX22" s="1467">
        <f>+Historicals!V158</f>
        <v>176.1</v>
      </c>
      <c r="AY22" s="1490">
        <f>+Historicals!W158</f>
        <v>187.89999999999998</v>
      </c>
      <c r="AZ22" s="1467">
        <f>+Historicals!X158</f>
        <v>193.10000000000002</v>
      </c>
      <c r="BA22" s="1467">
        <f>+Historicals!Y158</f>
        <v>198.39999999999998</v>
      </c>
      <c r="BB22" s="1467">
        <f>+Historicals!Z158</f>
        <v>193.39999999999998</v>
      </c>
      <c r="BC22" s="1490">
        <f>+Historicals!AA158</f>
        <v>222.59999999999997</v>
      </c>
    </row>
    <row r="23" spans="3:55" s="1474" customFormat="1" ht="12" x14ac:dyDescent="0.3">
      <c r="C23" s="1475" t="s">
        <v>1836</v>
      </c>
      <c r="I23" s="1476"/>
      <c r="J23" s="1476"/>
      <c r="K23" s="1476"/>
      <c r="L23" s="1476"/>
      <c r="M23" s="1476"/>
      <c r="N23" s="1476"/>
      <c r="O23" s="1476"/>
      <c r="P23" s="1476"/>
      <c r="Q23" s="1476"/>
      <c r="R23" s="1476"/>
      <c r="S23" s="1476"/>
      <c r="T23" s="1476"/>
      <c r="U23" s="1476"/>
      <c r="V23" s="1476"/>
      <c r="W23" s="1476"/>
      <c r="X23" s="1476"/>
      <c r="Y23" s="1476"/>
      <c r="Z23" s="1476"/>
      <c r="AA23" s="1476"/>
      <c r="AB23" s="1476"/>
      <c r="AC23" s="1476"/>
      <c r="AD23" s="1476"/>
      <c r="AE23" s="1476"/>
      <c r="AF23" s="1476"/>
      <c r="AG23" s="1494">
        <f t="shared" ref="AG23" si="12">+AG22-AF22</f>
        <v>0.79999999999999716</v>
      </c>
      <c r="AH23" s="1494">
        <f t="shared" ref="AH23" si="13">+AH22-AG22</f>
        <v>-6.6999999999999886</v>
      </c>
      <c r="AI23" s="1495">
        <f t="shared" ref="AI23" si="14">+AI22-AH22</f>
        <v>11.59999999999998</v>
      </c>
      <c r="AJ23" s="1494">
        <f t="shared" ref="AJ23" si="15">+AJ22-AI22</f>
        <v>-4.5</v>
      </c>
      <c r="AK23" s="1494">
        <f t="shared" ref="AK23" si="16">+AK22-AJ22</f>
        <v>2.2000000000000171</v>
      </c>
      <c r="AL23" s="1494">
        <f t="shared" ref="AL23" si="17">+AL22-AK22</f>
        <v>-3.2000000000000028</v>
      </c>
      <c r="AM23" s="1495">
        <f t="shared" ref="AM23" si="18">+AM22-AL22</f>
        <v>76.5</v>
      </c>
      <c r="AN23" s="1494">
        <f t="shared" ref="AN23" si="19">+AN22-AM22</f>
        <v>-3.9000000000000057</v>
      </c>
      <c r="AO23" s="1494">
        <f t="shared" ref="AO23" si="20">+AO22-AN22</f>
        <v>-6.1999999999999886</v>
      </c>
      <c r="AP23" s="1494">
        <f t="shared" ref="AP23" si="21">+AP22-AO22</f>
        <v>-9.9000000000000341</v>
      </c>
      <c r="AQ23" s="1495">
        <f t="shared" ref="AQ23" si="22">+AQ22-AP22</f>
        <v>14.200000000000017</v>
      </c>
      <c r="AR23" s="1494">
        <f t="shared" ref="AR23" si="23">+AR22-AQ22</f>
        <v>-2.0999999999999943</v>
      </c>
      <c r="AS23" s="1494">
        <f t="shared" ref="AS23" si="24">+AS22-AR22</f>
        <v>-1.6999999999999886</v>
      </c>
      <c r="AT23" s="1494">
        <f t="shared" ref="AT23" si="25">+AT22-AS22</f>
        <v>-7.4000000000000057</v>
      </c>
      <c r="AU23" s="1495">
        <f t="shared" ref="AU23" si="26">+AU22-AT22</f>
        <v>-4.5</v>
      </c>
      <c r="AV23" s="1494">
        <f t="shared" ref="AV23" si="27">+AV22-AU22</f>
        <v>3.5999999999999943</v>
      </c>
      <c r="AW23" s="1494">
        <f t="shared" ref="AW23" si="28">+AW22-AV22</f>
        <v>4.3000000000000114</v>
      </c>
      <c r="AX23" s="1494">
        <f t="shared" ref="AX23" si="29">+AX22-AW22</f>
        <v>-5.7000000000000171</v>
      </c>
      <c r="AY23" s="1495">
        <f t="shared" ref="AY23" si="30">+AY22-AX22</f>
        <v>11.799999999999983</v>
      </c>
      <c r="AZ23" s="1494">
        <f t="shared" ref="AZ23" si="31">+AZ22-AY22</f>
        <v>5.2000000000000455</v>
      </c>
      <c r="BA23" s="1494">
        <f t="shared" ref="BA23" si="32">+BA22-AZ22</f>
        <v>5.2999999999999545</v>
      </c>
      <c r="BB23" s="1494">
        <f t="shared" ref="BB23" si="33">+BB22-BA22</f>
        <v>-5</v>
      </c>
      <c r="BC23" s="1495">
        <f>+BC22-BB22</f>
        <v>29.199999999999989</v>
      </c>
    </row>
    <row r="24" spans="3:55" s="1474" customFormat="1" ht="12" x14ac:dyDescent="0.3">
      <c r="C24" s="1475" t="s">
        <v>891</v>
      </c>
      <c r="I24" s="1476"/>
      <c r="J24" s="1476"/>
      <c r="K24" s="1476"/>
      <c r="L24" s="1476"/>
      <c r="M24" s="1476"/>
      <c r="N24" s="1476"/>
      <c r="O24" s="1476"/>
      <c r="P24" s="1476"/>
      <c r="Q24" s="1476"/>
      <c r="R24" s="1476"/>
      <c r="S24" s="1476"/>
      <c r="T24" s="1476"/>
      <c r="U24" s="1476"/>
      <c r="V24" s="1476"/>
      <c r="W24" s="1476"/>
      <c r="X24" s="1476"/>
      <c r="Y24" s="1476"/>
      <c r="Z24" s="1476"/>
      <c r="AA24" s="1476"/>
      <c r="AB24" s="1476"/>
      <c r="AC24" s="1476"/>
      <c r="AD24" s="1476"/>
      <c r="AE24" s="1476"/>
      <c r="AF24" s="1476"/>
      <c r="AG24" s="1476"/>
      <c r="AH24" s="1476">
        <f t="shared" ref="AH24:BC24" si="34">+AH22/AG22-1</f>
        <v>-5.6066945606694452E-2</v>
      </c>
      <c r="AI24" s="1489">
        <f t="shared" si="34"/>
        <v>0.10283687943262398</v>
      </c>
      <c r="AJ24" s="1476">
        <f t="shared" si="34"/>
        <v>-3.6173633440514497E-2</v>
      </c>
      <c r="AK24" s="1476">
        <f t="shared" si="34"/>
        <v>1.8348623853211121E-2</v>
      </c>
      <c r="AL24" s="1476">
        <f t="shared" si="34"/>
        <v>-2.6208026208026203E-2</v>
      </c>
      <c r="AM24" s="1489">
        <f t="shared" si="34"/>
        <v>0.64339781328847767</v>
      </c>
      <c r="AN24" s="1476">
        <f t="shared" si="34"/>
        <v>-1.9959058341862845E-2</v>
      </c>
      <c r="AO24" s="1476">
        <f t="shared" si="34"/>
        <v>-3.2375979112271525E-2</v>
      </c>
      <c r="AP24" s="1476">
        <f t="shared" si="34"/>
        <v>-5.3426875337291069E-2</v>
      </c>
      <c r="AQ24" s="1489">
        <f t="shared" si="34"/>
        <v>8.095781071835817E-2</v>
      </c>
      <c r="AR24" s="1476">
        <f t="shared" si="34"/>
        <v>-1.1075949367088556E-2</v>
      </c>
      <c r="AS24" s="1476">
        <f t="shared" si="34"/>
        <v>-9.0666666666665563E-3</v>
      </c>
      <c r="AT24" s="1476">
        <f t="shared" si="34"/>
        <v>-3.9827771797631861E-2</v>
      </c>
      <c r="AU24" s="1489">
        <f t="shared" si="34"/>
        <v>-2.5224215246636761E-2</v>
      </c>
      <c r="AV24" s="1476">
        <f t="shared" si="34"/>
        <v>2.0701552616446239E-2</v>
      </c>
      <c r="AW24" s="1476">
        <f t="shared" si="34"/>
        <v>2.4225352112676068E-2</v>
      </c>
      <c r="AX24" s="1476">
        <f t="shared" si="34"/>
        <v>-3.1353135313531455E-2</v>
      </c>
      <c r="AY24" s="1489">
        <f t="shared" si="34"/>
        <v>6.7007382169221863E-2</v>
      </c>
      <c r="AZ24" s="1476">
        <f t="shared" si="34"/>
        <v>2.7674294837679803E-2</v>
      </c>
      <c r="BA24" s="1476">
        <f t="shared" si="34"/>
        <v>2.7446918694976397E-2</v>
      </c>
      <c r="BB24" s="1476">
        <f t="shared" si="34"/>
        <v>-2.5201612903225756E-2</v>
      </c>
      <c r="BC24" s="1489">
        <f t="shared" si="34"/>
        <v>0.15098241985522232</v>
      </c>
    </row>
    <row r="25" spans="3:55" s="1474" customFormat="1" ht="12" x14ac:dyDescent="0.3">
      <c r="C25" s="1475" t="s">
        <v>657</v>
      </c>
      <c r="I25" s="1476"/>
      <c r="J25" s="1476"/>
      <c r="K25" s="1476"/>
      <c r="L25" s="1476"/>
      <c r="M25" s="1476"/>
      <c r="N25" s="1476"/>
      <c r="O25" s="1476"/>
      <c r="P25" s="1476"/>
      <c r="Q25" s="1476"/>
      <c r="R25" s="1476"/>
      <c r="S25" s="1476"/>
      <c r="T25" s="1476"/>
      <c r="U25" s="1476"/>
      <c r="V25" s="1476"/>
      <c r="W25" s="1476"/>
      <c r="X25" s="1476"/>
      <c r="Y25" s="1476"/>
      <c r="Z25" s="1476"/>
      <c r="AA25" s="1476"/>
      <c r="AB25" s="1476"/>
      <c r="AC25" s="1476"/>
      <c r="AD25" s="1476"/>
      <c r="AE25" s="1476"/>
      <c r="AF25" s="1476"/>
      <c r="AG25" s="1476"/>
      <c r="AH25" s="1476"/>
      <c r="AI25" s="1489">
        <f t="shared" ref="AI25" si="35">+AI22/AE22-1</f>
        <v>2.725020644095788E-2</v>
      </c>
      <c r="AJ25" s="1476">
        <f t="shared" ref="AJ25" si="36">+AJ22/AF22-1</f>
        <v>1.0109519797809607E-2</v>
      </c>
      <c r="AK25" s="1476">
        <f t="shared" ref="AK25" si="37">+AK22/AG22-1</f>
        <v>2.1757322175732341E-2</v>
      </c>
      <c r="AL25" s="1476">
        <f t="shared" ref="AL25" si="38">+AL22/AH22-1</f>
        <v>5.4078014184397061E-2</v>
      </c>
      <c r="AM25" s="1489">
        <f t="shared" ref="AM25" si="39">+AM22/AI22-1</f>
        <v>0.57073954983922848</v>
      </c>
      <c r="AN25" s="1476">
        <f t="shared" ref="AN25" si="40">+AN22/AJ22-1</f>
        <v>0.59716430358632211</v>
      </c>
      <c r="AO25" s="1476">
        <f t="shared" ref="AO25" si="41">+AO22/AK22-1</f>
        <v>0.51760851760851767</v>
      </c>
      <c r="AP25" s="1476">
        <f t="shared" ref="AP25" si="42">+AP22/AL22-1</f>
        <v>0.47518923465096696</v>
      </c>
      <c r="AQ25" s="1489">
        <f t="shared" ref="AQ25" si="43">+AQ22/AM22-1</f>
        <v>-2.9682702149437135E-2</v>
      </c>
      <c r="AR25" s="1476">
        <f t="shared" ref="AR25" si="44">+AR22/AN22-1</f>
        <v>-2.0887728459530019E-2</v>
      </c>
      <c r="AS25" s="1476">
        <f t="shared" ref="AS25" si="45">+AS22/AO22-1</f>
        <v>2.6983270372369361E-3</v>
      </c>
      <c r="AT25" s="1476">
        <f t="shared" ref="AT25" si="46">+AT22/AP22-1</f>
        <v>1.7103762827822333E-2</v>
      </c>
      <c r="AU25" s="1489">
        <f t="shared" ref="AU25" si="47">+AU22/AQ22-1</f>
        <v>-8.2805907172995741E-2</v>
      </c>
      <c r="AV25" s="1476">
        <f t="shared" ref="AV25" si="48">+AV22/AR22-1</f>
        <v>-5.3333333333333344E-2</v>
      </c>
      <c r="AW25" s="1476">
        <f t="shared" ref="AW25" si="49">+AW22/AS22-1</f>
        <v>-2.1528525296017231E-2</v>
      </c>
      <c r="AX25" s="1476">
        <f t="shared" ref="AX25" si="50">+AX22/AT22-1</f>
        <v>-1.2892376681614359E-2</v>
      </c>
      <c r="AY25" s="1489">
        <f t="shared" ref="AY25" si="51">+AY22/AU22-1</f>
        <v>8.0506037952846388E-2</v>
      </c>
      <c r="AZ25" s="1476">
        <f t="shared" ref="AZ25" si="52">+AZ22/AV22-1</f>
        <v>8.7887323943662166E-2</v>
      </c>
      <c r="BA25" s="1476">
        <f t="shared" ref="BA25" si="53">+BA22/AW22-1</f>
        <v>9.1309130913091119E-2</v>
      </c>
      <c r="BB25" s="1476">
        <f t="shared" ref="BB25" si="54">+BB22/AX22-1</f>
        <v>9.8239636570130573E-2</v>
      </c>
      <c r="BC25" s="1489">
        <f t="shared" ref="BC25" si="55">+BC22/AY22-1</f>
        <v>0.18467269824374655</v>
      </c>
    </row>
    <row r="26" spans="3:55" s="1474" customFormat="1" ht="12" x14ac:dyDescent="0.3">
      <c r="C26" s="1475"/>
      <c r="I26" s="1476"/>
      <c r="J26" s="1476"/>
      <c r="K26" s="1476"/>
      <c r="L26" s="1476"/>
      <c r="M26" s="1476"/>
      <c r="N26" s="1476"/>
      <c r="O26" s="1476"/>
      <c r="P26" s="1476"/>
      <c r="Q26" s="1476"/>
      <c r="R26" s="1476"/>
      <c r="S26" s="1476"/>
      <c r="T26" s="1476"/>
      <c r="U26" s="1476"/>
      <c r="V26" s="1476"/>
      <c r="W26" s="1476"/>
      <c r="X26" s="1476"/>
      <c r="Y26" s="1476"/>
      <c r="Z26" s="1476"/>
      <c r="AA26" s="1476"/>
      <c r="AB26" s="1476"/>
      <c r="AC26" s="1476"/>
      <c r="AD26" s="1476"/>
      <c r="AE26" s="1476"/>
      <c r="AF26" s="1476"/>
      <c r="AG26" s="1476"/>
      <c r="AH26" s="1476"/>
      <c r="AI26" s="1489"/>
      <c r="AJ26" s="1476"/>
      <c r="AK26" s="1476"/>
      <c r="AL26" s="1476"/>
      <c r="AM26" s="1489"/>
      <c r="AN26" s="1476"/>
      <c r="AO26" s="1476"/>
      <c r="AP26" s="1476"/>
      <c r="AQ26" s="1489"/>
      <c r="AR26" s="1476"/>
      <c r="AS26" s="1476"/>
      <c r="AT26" s="1476"/>
      <c r="AU26" s="1489"/>
      <c r="AV26" s="1476"/>
      <c r="AW26" s="1476"/>
      <c r="AX26" s="1476"/>
      <c r="AY26" s="1489"/>
      <c r="AZ26" s="1476"/>
      <c r="BA26" s="1476"/>
      <c r="BB26" s="1476"/>
      <c r="BC26" s="1489"/>
    </row>
    <row r="27" spans="3:55" x14ac:dyDescent="0.25">
      <c r="C27" s="1467" t="s">
        <v>1832</v>
      </c>
      <c r="AF27" s="1467">
        <f t="shared" ref="AF27:BC27" si="56">+AF22-AE22</f>
        <v>-2.3999999999999915</v>
      </c>
      <c r="AG27" s="1491">
        <f t="shared" si="56"/>
        <v>0.79999999999999716</v>
      </c>
      <c r="AH27" s="1491">
        <f t="shared" si="56"/>
        <v>-6.6999999999999886</v>
      </c>
      <c r="AI27" s="1492">
        <f t="shared" si="56"/>
        <v>11.59999999999998</v>
      </c>
      <c r="AJ27" s="1491">
        <f t="shared" si="56"/>
        <v>-4.5</v>
      </c>
      <c r="AK27" s="1491">
        <f t="shared" si="56"/>
        <v>2.2000000000000171</v>
      </c>
      <c r="AL27" s="1491">
        <f t="shared" si="56"/>
        <v>-3.2000000000000028</v>
      </c>
      <c r="AM27" s="1492">
        <f t="shared" si="56"/>
        <v>76.5</v>
      </c>
      <c r="AN27" s="1491">
        <f t="shared" si="56"/>
        <v>-3.9000000000000057</v>
      </c>
      <c r="AO27" s="1491">
        <f t="shared" si="56"/>
        <v>-6.1999999999999886</v>
      </c>
      <c r="AP27" s="1491">
        <f t="shared" si="56"/>
        <v>-9.9000000000000341</v>
      </c>
      <c r="AQ27" s="1492">
        <f t="shared" si="56"/>
        <v>14.200000000000017</v>
      </c>
      <c r="AR27" s="1491">
        <f t="shared" si="56"/>
        <v>-2.0999999999999943</v>
      </c>
      <c r="AS27" s="1491">
        <f t="shared" si="56"/>
        <v>-1.6999999999999886</v>
      </c>
      <c r="AT27" s="1491">
        <f t="shared" si="56"/>
        <v>-7.4000000000000057</v>
      </c>
      <c r="AU27" s="1492">
        <f t="shared" si="56"/>
        <v>-4.5</v>
      </c>
      <c r="AV27" s="1491">
        <f t="shared" si="56"/>
        <v>3.5999999999999943</v>
      </c>
      <c r="AW27" s="1491">
        <f t="shared" si="56"/>
        <v>4.3000000000000114</v>
      </c>
      <c r="AX27" s="1491">
        <f t="shared" si="56"/>
        <v>-5.7000000000000171</v>
      </c>
      <c r="AY27" s="1492">
        <f t="shared" si="56"/>
        <v>11.799999999999983</v>
      </c>
      <c r="AZ27" s="1491">
        <f t="shared" si="56"/>
        <v>5.2000000000000455</v>
      </c>
      <c r="BA27" s="1491">
        <f t="shared" si="56"/>
        <v>5.2999999999999545</v>
      </c>
      <c r="BB27" s="1491">
        <f t="shared" si="56"/>
        <v>-5</v>
      </c>
      <c r="BC27" s="1492">
        <f t="shared" si="56"/>
        <v>29.199999999999989</v>
      </c>
    </row>
    <row r="28" spans="3:55" s="1474" customFormat="1" ht="12" x14ac:dyDescent="0.3">
      <c r="C28" s="1475" t="s">
        <v>891</v>
      </c>
      <c r="I28" s="1476"/>
      <c r="J28" s="1476"/>
      <c r="K28" s="1476"/>
      <c r="L28" s="1476"/>
      <c r="M28" s="1476"/>
      <c r="N28" s="1476"/>
      <c r="O28" s="1476"/>
      <c r="P28" s="1476"/>
      <c r="Q28" s="1476"/>
      <c r="R28" s="1476"/>
      <c r="S28" s="1476"/>
      <c r="T28" s="1476"/>
      <c r="U28" s="1476"/>
      <c r="V28" s="1476"/>
      <c r="W28" s="1476"/>
      <c r="X28" s="1476"/>
      <c r="Y28" s="1476"/>
      <c r="Z28" s="1476"/>
      <c r="AA28" s="1476"/>
      <c r="AB28" s="1476"/>
      <c r="AC28" s="1476"/>
      <c r="AD28" s="1476"/>
      <c r="AE28" s="1476"/>
      <c r="AF28" s="1476"/>
      <c r="AG28" s="1476"/>
      <c r="AH28" s="1476">
        <f t="shared" ref="AH28:BC28" si="57">+AH27/AG27-1</f>
        <v>-9.375000000000016</v>
      </c>
      <c r="AI28" s="1489">
        <f t="shared" si="57"/>
        <v>-2.7313432835820892</v>
      </c>
      <c r="AJ28" s="1476">
        <f t="shared" si="57"/>
        <v>-1.3879310344827593</v>
      </c>
      <c r="AK28" s="1476">
        <f t="shared" si="57"/>
        <v>-1.4888888888888927</v>
      </c>
      <c r="AL28" s="1476">
        <f t="shared" si="57"/>
        <v>-2.4545454545454444</v>
      </c>
      <c r="AM28" s="1489">
        <f t="shared" si="57"/>
        <v>-24.906249999999979</v>
      </c>
      <c r="AN28" s="1476">
        <f t="shared" si="57"/>
        <v>-1.0509803921568628</v>
      </c>
      <c r="AO28" s="1476">
        <f t="shared" si="57"/>
        <v>0.58974358974358454</v>
      </c>
      <c r="AP28" s="1476">
        <f t="shared" si="57"/>
        <v>0.59677419354839545</v>
      </c>
      <c r="AQ28" s="1489">
        <f t="shared" si="57"/>
        <v>-2.4343434343434311</v>
      </c>
      <c r="AR28" s="1476">
        <f t="shared" si="57"/>
        <v>-1.1478873239436613</v>
      </c>
      <c r="AS28" s="1476">
        <f t="shared" si="57"/>
        <v>-0.19047619047619369</v>
      </c>
      <c r="AT28" s="1476">
        <f t="shared" si="57"/>
        <v>3.3529411764706207</v>
      </c>
      <c r="AU28" s="1489">
        <f t="shared" si="57"/>
        <v>-0.39189189189189233</v>
      </c>
      <c r="AV28" s="1476">
        <f t="shared" si="57"/>
        <v>-1.7999999999999987</v>
      </c>
      <c r="AW28" s="1476">
        <f t="shared" si="57"/>
        <v>0.19444444444444953</v>
      </c>
      <c r="AX28" s="1476">
        <f t="shared" si="57"/>
        <v>-2.3255813953488378</v>
      </c>
      <c r="AY28" s="1489">
        <f t="shared" si="57"/>
        <v>-3.0701754385964821</v>
      </c>
      <c r="AZ28" s="1476">
        <f t="shared" si="57"/>
        <v>-0.5593220338983006</v>
      </c>
      <c r="BA28" s="1476">
        <f t="shared" si="57"/>
        <v>1.9230769230751621E-2</v>
      </c>
      <c r="BB28" s="1476">
        <f t="shared" si="57"/>
        <v>-1.9433962264151026</v>
      </c>
      <c r="BC28" s="1489">
        <f t="shared" si="57"/>
        <v>-6.8399999999999981</v>
      </c>
    </row>
    <row r="29" spans="3:55" s="1474" customFormat="1" ht="12" x14ac:dyDescent="0.3">
      <c r="C29" s="1475" t="s">
        <v>657</v>
      </c>
      <c r="I29" s="1476"/>
      <c r="J29" s="1476"/>
      <c r="K29" s="1476"/>
      <c r="L29" s="1476"/>
      <c r="M29" s="1476"/>
      <c r="N29" s="1476"/>
      <c r="O29" s="1476"/>
      <c r="P29" s="1476"/>
      <c r="Q29" s="1476"/>
      <c r="R29" s="1476"/>
      <c r="S29" s="1476"/>
      <c r="T29" s="1476"/>
      <c r="U29" s="1476"/>
      <c r="V29" s="1476"/>
      <c r="W29" s="1476"/>
      <c r="X29" s="1476"/>
      <c r="Y29" s="1476"/>
      <c r="Z29" s="1476"/>
      <c r="AA29" s="1476"/>
      <c r="AB29" s="1476"/>
      <c r="AC29" s="1476"/>
      <c r="AD29" s="1476"/>
      <c r="AE29" s="1476"/>
      <c r="AF29" s="1476" t="e">
        <f t="shared" ref="AF29" si="58">+AF27/AB27-1</f>
        <v>#DIV/0!</v>
      </c>
      <c r="AG29" s="1476"/>
      <c r="AH29" s="1476"/>
      <c r="AI29" s="1477"/>
      <c r="AJ29" s="1476">
        <f t="shared" ref="AJ29" si="59">+AJ27/AF27-1</f>
        <v>0.87500000000000666</v>
      </c>
      <c r="AK29" s="1476">
        <f t="shared" ref="AK29" si="60">+AK27/AG27-1</f>
        <v>1.7500000000000311</v>
      </c>
      <c r="AL29" s="1476">
        <f t="shared" ref="AL29" si="61">+AL27/AH27-1</f>
        <v>-0.52238805970149138</v>
      </c>
      <c r="AM29" s="1477">
        <f t="shared" ref="AM29" si="62">+AM27/AI27-1</f>
        <v>5.5948275862069075</v>
      </c>
      <c r="AN29" s="1476">
        <f t="shared" ref="AN29" si="63">+AN27/AJ27-1</f>
        <v>-0.13333333333333208</v>
      </c>
      <c r="AO29" s="1476">
        <f t="shared" ref="AO29" si="64">+AO27/AK27-1</f>
        <v>-3.8181818181817913</v>
      </c>
      <c r="AP29" s="1476">
        <f t="shared" ref="AP29" si="65">+AP27/AL27-1</f>
        <v>2.093750000000008</v>
      </c>
      <c r="AQ29" s="1477">
        <f t="shared" ref="AQ29" si="66">+AQ27/AM27-1</f>
        <v>-0.81437908496732003</v>
      </c>
      <c r="AR29" s="1476">
        <f t="shared" ref="AR29" si="67">+AR27/AN27-1</f>
        <v>-0.46153846153846378</v>
      </c>
      <c r="AS29" s="1476">
        <f t="shared" ref="AS29" si="68">+AS27/AO27-1</f>
        <v>-0.72580645161290458</v>
      </c>
      <c r="AT29" s="1476">
        <f t="shared" ref="AT29" si="69">+AT27/AP27-1</f>
        <v>-0.25252525252525448</v>
      </c>
      <c r="AU29" s="1477">
        <f t="shared" ref="AU29" si="70">+AU27/AQ27-1</f>
        <v>-1.3169014084507038</v>
      </c>
      <c r="AV29" s="1476">
        <f t="shared" ref="AV29" si="71">+AV27/AR27-1</f>
        <v>-2.7142857142857162</v>
      </c>
      <c r="AW29" s="1476">
        <f t="shared" ref="AW29" si="72">+AW27/AS27-1</f>
        <v>-3.5294117647059058</v>
      </c>
      <c r="AX29" s="1476">
        <f t="shared" ref="AX29" si="73">+AX27/AT27-1</f>
        <v>-0.22972972972972805</v>
      </c>
      <c r="AY29" s="1477">
        <f t="shared" ref="AY29" si="74">+AY27/AU27-1</f>
        <v>-3.6222222222222182</v>
      </c>
      <c r="AZ29" s="1476">
        <f t="shared" ref="AZ29" si="75">+AZ27/AV27-1</f>
        <v>0.4444444444444593</v>
      </c>
      <c r="BA29" s="1476">
        <f t="shared" ref="BA29" si="76">+BA27/AW27-1</f>
        <v>0.23255813953486992</v>
      </c>
      <c r="BB29" s="1476">
        <f t="shared" ref="BB29" si="77">+BB27/AX27-1</f>
        <v>-0.12280701754386225</v>
      </c>
      <c r="BC29" s="1477">
        <f t="shared" ref="BC29" si="78">+BC27/AY27-1</f>
        <v>1.4745762711864434</v>
      </c>
    </row>
    <row r="30" spans="3:55" x14ac:dyDescent="0.25">
      <c r="AI30" s="1472"/>
      <c r="AM30" s="1472"/>
      <c r="AQ30" s="1472"/>
      <c r="AU30" s="1472"/>
      <c r="AY30" s="1472"/>
    </row>
    <row r="31" spans="3:55" x14ac:dyDescent="0.25">
      <c r="C31" s="1480" t="s">
        <v>912</v>
      </c>
      <c r="AI31" s="1472"/>
      <c r="AM31" s="1472"/>
      <c r="AQ31" s="1472"/>
      <c r="AU31" s="1472"/>
      <c r="AY31" s="1472"/>
    </row>
    <row r="32" spans="3:55" x14ac:dyDescent="0.25">
      <c r="C32" s="1467" t="s">
        <v>1837</v>
      </c>
      <c r="AI32" s="1496">
        <f>+AI27/AI17*1000000</f>
        <v>4.7405838110697456</v>
      </c>
      <c r="AM32" s="1496">
        <f>+AM27/AM17*1000000</f>
        <v>24.955487891205816</v>
      </c>
      <c r="AQ32" s="1496">
        <f>+AQ27/AQ17*1000000</f>
        <v>3.5158435796239575</v>
      </c>
      <c r="AU32" s="1496">
        <f>+AU27/AU17*1000000</f>
        <v>-1.0331909137058284</v>
      </c>
      <c r="AY32" s="1496">
        <f>+AY27/AY17*1000000</f>
        <v>3.2591670287196095</v>
      </c>
      <c r="BC32" s="1496">
        <f>+BC27/BC17*1000000</f>
        <v>7.2620738194777745</v>
      </c>
    </row>
    <row r="33" spans="3:160" x14ac:dyDescent="0.25">
      <c r="C33" s="1467" t="s">
        <v>1838</v>
      </c>
      <c r="AI33" s="1496">
        <f>+AI27/AI18*1000000</f>
        <v>31.923296025274389</v>
      </c>
      <c r="AM33" s="1496">
        <f>+AM27/AM18*1000000</f>
        <v>196.87825717704888</v>
      </c>
      <c r="AQ33" s="1496">
        <f>+AQ27/AQ18*1000000</f>
        <v>33.515307290523474</v>
      </c>
      <c r="AU33" s="1496">
        <f>+AU27/AU18*1000000</f>
        <v>10.678436676870506</v>
      </c>
      <c r="AY33" s="1496">
        <f>+AY27/AY18*1000000</f>
        <v>200.74172365690148</v>
      </c>
      <c r="BC33" s="1496">
        <f>+BC27/BC18*1000000</f>
        <v>-1897.7058555923825</v>
      </c>
    </row>
    <row r="34" spans="3:160" x14ac:dyDescent="0.25">
      <c r="AI34" s="1472"/>
      <c r="AM34" s="1472"/>
      <c r="AQ34" s="1472"/>
      <c r="AU34" s="1472"/>
      <c r="AY34" s="1472"/>
    </row>
    <row r="35" spans="3:160" x14ac:dyDescent="0.25">
      <c r="C35" s="1484" t="s">
        <v>1817</v>
      </c>
      <c r="D35" s="1485"/>
      <c r="AI35" s="1493"/>
      <c r="AM35" s="1493"/>
      <c r="AQ35" s="1493"/>
      <c r="AU35" s="1493"/>
      <c r="AY35" s="1493"/>
    </row>
    <row r="37" spans="3:160" x14ac:dyDescent="0.25">
      <c r="AG37" s="1470" t="s">
        <v>1789</v>
      </c>
      <c r="AH37" s="1470" t="s">
        <v>1790</v>
      </c>
      <c r="AI37" s="1470" t="s">
        <v>1791</v>
      </c>
      <c r="AJ37" s="1470" t="s">
        <v>1792</v>
      </c>
      <c r="AK37" s="1470" t="s">
        <v>1793</v>
      </c>
      <c r="AL37" s="1470" t="s">
        <v>1794</v>
      </c>
      <c r="AM37" s="1470" t="s">
        <v>1795</v>
      </c>
      <c r="AN37" s="1470" t="s">
        <v>1796</v>
      </c>
      <c r="AO37" s="1470" t="s">
        <v>1797</v>
      </c>
      <c r="AP37" s="1470" t="s">
        <v>1798</v>
      </c>
      <c r="AQ37" s="1470" t="s">
        <v>1799</v>
      </c>
      <c r="AR37" s="1470" t="s">
        <v>1800</v>
      </c>
      <c r="AS37" s="1470" t="s">
        <v>1801</v>
      </c>
      <c r="AT37" s="1470" t="s">
        <v>1802</v>
      </c>
      <c r="AU37" s="1470" t="s">
        <v>1803</v>
      </c>
      <c r="AV37" s="1470" t="s">
        <v>1804</v>
      </c>
      <c r="AW37" s="1470" t="s">
        <v>1805</v>
      </c>
      <c r="AX37" s="1470" t="s">
        <v>1806</v>
      </c>
      <c r="AY37" s="1470" t="s">
        <v>1807</v>
      </c>
      <c r="AZ37" s="1470" t="s">
        <v>1808</v>
      </c>
      <c r="BA37" s="1470" t="s">
        <v>1809</v>
      </c>
      <c r="BB37" s="1470" t="s">
        <v>1810</v>
      </c>
      <c r="BC37" s="1470" t="s">
        <v>1811</v>
      </c>
    </row>
    <row r="38" spans="3:160" x14ac:dyDescent="0.25">
      <c r="C38" s="1467" t="s">
        <v>1814</v>
      </c>
      <c r="E38" s="1478"/>
      <c r="F38" s="1478"/>
      <c r="G38" s="1478"/>
      <c r="H38" s="1478"/>
      <c r="I38" s="1478"/>
      <c r="J38" s="1478"/>
      <c r="K38" s="1478"/>
      <c r="L38" s="1478"/>
      <c r="M38" s="1478"/>
      <c r="N38" s="1478"/>
      <c r="O38" s="1478"/>
      <c r="P38" s="1478"/>
      <c r="Q38" s="1478"/>
      <c r="R38" s="1478"/>
      <c r="S38" s="1478"/>
      <c r="T38" s="1478"/>
      <c r="U38" s="1478"/>
      <c r="V38" s="1478"/>
      <c r="W38" s="1478"/>
      <c r="X38" s="1478"/>
      <c r="Y38" s="1478"/>
      <c r="Z38" s="1478"/>
      <c r="AA38" s="1478"/>
      <c r="AB38" s="1478"/>
      <c r="AC38" s="1478"/>
      <c r="AD38" s="1478"/>
      <c r="AE38" s="1478"/>
      <c r="AF38" s="1478"/>
      <c r="AG38" s="1478">
        <v>1356443</v>
      </c>
      <c r="AH38" s="1478">
        <v>1378851</v>
      </c>
      <c r="AI38" s="1478">
        <v>1295525</v>
      </c>
      <c r="AJ38" s="1478">
        <v>1195915</v>
      </c>
      <c r="AK38" s="1478">
        <v>1193453</v>
      </c>
      <c r="AL38" s="1478">
        <v>1166116</v>
      </c>
      <c r="AM38" s="1478">
        <v>1190392</v>
      </c>
      <c r="AN38" s="1478">
        <v>1200083</v>
      </c>
      <c r="AO38" s="1478">
        <v>1218112</v>
      </c>
      <c r="AP38" s="1478">
        <v>1308537</v>
      </c>
      <c r="AQ38" s="1478">
        <v>1322870</v>
      </c>
      <c r="AR38" s="1478">
        <v>1216629</v>
      </c>
      <c r="AS38" s="1478">
        <v>1292857</v>
      </c>
      <c r="AT38" s="1478">
        <v>1386476</v>
      </c>
      <c r="AU38" s="1478">
        <v>1332466</v>
      </c>
      <c r="AV38" s="1478">
        <v>1359632</v>
      </c>
      <c r="AW38" s="1478">
        <v>1358275</v>
      </c>
      <c r="AX38" s="1478">
        <v>1287156</v>
      </c>
      <c r="AY38" s="1478">
        <v>1347435</v>
      </c>
      <c r="AZ38" s="1478">
        <v>1304663</v>
      </c>
      <c r="BA38" s="1478">
        <v>1310813</v>
      </c>
      <c r="BB38" s="1478">
        <v>1408512</v>
      </c>
      <c r="BC38" s="1478">
        <v>1470469</v>
      </c>
      <c r="BQ38" s="1478"/>
      <c r="BR38" s="1478"/>
      <c r="BS38" s="1478"/>
      <c r="BT38" s="1478"/>
      <c r="BU38" s="1478"/>
      <c r="BV38" s="1478"/>
      <c r="BW38" s="1478"/>
      <c r="BX38" s="1478"/>
      <c r="BY38" s="1478"/>
      <c r="BZ38" s="1478"/>
      <c r="CA38" s="1478"/>
      <c r="CB38" s="1478"/>
      <c r="CC38" s="1478"/>
      <c r="CD38" s="1478"/>
      <c r="CE38" s="1478"/>
      <c r="CF38" s="1478"/>
      <c r="CG38" s="1478"/>
      <c r="CH38" s="1478"/>
      <c r="CI38" s="1478"/>
      <c r="CJ38" s="1478"/>
      <c r="CK38" s="1478"/>
      <c r="CL38" s="1478"/>
      <c r="CM38" s="1478"/>
      <c r="CN38" s="1478"/>
      <c r="CO38" s="1478"/>
      <c r="CP38" s="1478"/>
      <c r="CQ38" s="1478"/>
      <c r="CR38" s="1478"/>
      <c r="CS38" s="1478"/>
      <c r="CT38" s="1478"/>
      <c r="CU38" s="1478"/>
      <c r="CV38" s="1478"/>
      <c r="CW38" s="1478"/>
      <c r="CX38" s="1478"/>
      <c r="CY38" s="1478"/>
      <c r="CZ38" s="1478"/>
      <c r="DA38" s="1478"/>
      <c r="DB38" s="1478"/>
      <c r="DC38" s="1478"/>
      <c r="DD38" s="1478"/>
      <c r="DE38" s="1478"/>
      <c r="DF38" s="1478"/>
      <c r="DG38" s="1478"/>
      <c r="DH38" s="1478"/>
      <c r="DI38" s="1478"/>
      <c r="DJ38" s="1478"/>
      <c r="DK38" s="1478"/>
      <c r="DL38" s="1478"/>
      <c r="DM38" s="1478"/>
      <c r="DN38" s="1478"/>
      <c r="DO38" s="1478"/>
      <c r="DP38" s="1478"/>
      <c r="DQ38" s="1478"/>
      <c r="DR38" s="1478"/>
      <c r="DS38" s="1478"/>
      <c r="DT38" s="1478"/>
      <c r="FD38" s="1478"/>
    </row>
    <row r="39" spans="3:160" s="1480" customFormat="1" x14ac:dyDescent="0.25">
      <c r="C39" s="1467" t="s">
        <v>1815</v>
      </c>
      <c r="E39" s="1481"/>
      <c r="F39" s="1481"/>
      <c r="G39" s="1481"/>
      <c r="H39" s="1481"/>
      <c r="I39" s="1481"/>
      <c r="J39" s="1481"/>
      <c r="K39" s="1481"/>
      <c r="L39" s="1481"/>
      <c r="M39" s="1481"/>
      <c r="N39" s="1481"/>
      <c r="O39" s="1481"/>
      <c r="P39" s="1481"/>
      <c r="Q39" s="1481"/>
      <c r="R39" s="1481"/>
      <c r="S39" s="1481"/>
      <c r="T39" s="1481"/>
      <c r="U39" s="1481"/>
      <c r="V39" s="1481"/>
      <c r="W39" s="1481"/>
      <c r="X39" s="1481"/>
      <c r="Y39" s="1481"/>
      <c r="Z39" s="1481"/>
      <c r="AA39" s="1481"/>
      <c r="AB39" s="1481"/>
      <c r="AC39" s="1481"/>
      <c r="AD39" s="1481"/>
      <c r="AE39" s="1481"/>
      <c r="AF39" s="1481"/>
      <c r="AG39" s="1481">
        <v>2723</v>
      </c>
      <c r="AH39" s="1481">
        <v>2504</v>
      </c>
      <c r="AI39" s="1481">
        <v>385</v>
      </c>
      <c r="AJ39" s="1481">
        <v>0</v>
      </c>
      <c r="AK39" s="1481">
        <v>4158</v>
      </c>
      <c r="AL39" s="1481">
        <v>2133</v>
      </c>
      <c r="AM39" s="1481">
        <v>10</v>
      </c>
      <c r="AN39" s="1481">
        <v>4398</v>
      </c>
      <c r="AO39" s="1481">
        <v>7562</v>
      </c>
      <c r="AP39" s="1481">
        <v>4377</v>
      </c>
      <c r="AQ39" s="1481">
        <v>4800</v>
      </c>
      <c r="AR39" s="1481">
        <v>4156</v>
      </c>
      <c r="AS39" s="1481">
        <v>8822</v>
      </c>
      <c r="AT39" s="1481">
        <v>7413</v>
      </c>
      <c r="AU39" s="1481">
        <v>7</v>
      </c>
      <c r="AV39" s="1481">
        <v>14</v>
      </c>
      <c r="AW39" s="1481">
        <v>18</v>
      </c>
      <c r="AX39" s="1481">
        <v>31182</v>
      </c>
      <c r="AY39" s="1481">
        <v>19520</v>
      </c>
      <c r="AZ39" s="1481">
        <v>21900</v>
      </c>
      <c r="BA39" s="1481">
        <v>16559</v>
      </c>
      <c r="BB39" s="1481">
        <v>5803</v>
      </c>
      <c r="BC39" s="1481">
        <v>1229</v>
      </c>
      <c r="BQ39" s="1481"/>
      <c r="BR39" s="1481"/>
      <c r="BS39" s="1481"/>
      <c r="BT39" s="1481"/>
      <c r="BU39" s="1481"/>
      <c r="BV39" s="1481"/>
      <c r="BW39" s="1481"/>
      <c r="BX39" s="1481"/>
      <c r="BY39" s="1481"/>
      <c r="BZ39" s="1481"/>
      <c r="CA39" s="1481"/>
      <c r="CB39" s="1481"/>
      <c r="CC39" s="1481"/>
      <c r="CD39" s="1481"/>
      <c r="CE39" s="1481"/>
      <c r="CF39" s="1481"/>
      <c r="CG39" s="1481"/>
      <c r="CH39" s="1481"/>
      <c r="CI39" s="1481"/>
      <c r="CJ39" s="1481"/>
      <c r="CK39" s="1481"/>
      <c r="CL39" s="1481"/>
      <c r="CM39" s="1481"/>
      <c r="CN39" s="1481"/>
      <c r="CO39" s="1481"/>
      <c r="CP39" s="1481"/>
      <c r="CQ39" s="1481"/>
      <c r="CR39" s="1481"/>
      <c r="CS39" s="1481"/>
      <c r="CT39" s="1481"/>
      <c r="CU39" s="1481"/>
      <c r="CV39" s="1481"/>
      <c r="CW39" s="1481"/>
      <c r="CX39" s="1481"/>
      <c r="CY39" s="1481"/>
      <c r="CZ39" s="1481"/>
      <c r="DA39" s="1481"/>
      <c r="DB39" s="1481"/>
      <c r="DC39" s="1481"/>
      <c r="DD39" s="1481"/>
      <c r="DE39" s="1481"/>
      <c r="DF39" s="1481"/>
      <c r="DG39" s="1481"/>
      <c r="DH39" s="1481"/>
      <c r="DI39" s="1481"/>
      <c r="DJ39" s="1481"/>
      <c r="DK39" s="1481"/>
      <c r="DL39" s="1481"/>
      <c r="DM39" s="1481"/>
      <c r="DN39" s="1481"/>
      <c r="DO39" s="1481"/>
      <c r="DP39" s="1481"/>
      <c r="DQ39" s="1481"/>
      <c r="DR39" s="1481"/>
      <c r="DS39" s="1481"/>
      <c r="DT39" s="1481"/>
      <c r="FD39" s="1481"/>
    </row>
    <row r="40" spans="3:160" x14ac:dyDescent="0.25">
      <c r="C40" s="1482" t="s">
        <v>1816</v>
      </c>
      <c r="E40" s="1478"/>
      <c r="F40" s="1478"/>
      <c r="G40" s="1478"/>
      <c r="H40" s="1478"/>
      <c r="I40" s="1478"/>
      <c r="J40" s="1478"/>
      <c r="K40" s="1478"/>
      <c r="L40" s="1478"/>
      <c r="M40" s="1478"/>
      <c r="N40" s="1478"/>
      <c r="O40" s="1478"/>
      <c r="P40" s="1478"/>
      <c r="Q40" s="1478"/>
      <c r="R40" s="1478"/>
      <c r="S40" s="1478"/>
      <c r="T40" s="1478"/>
      <c r="U40" s="1478"/>
      <c r="V40" s="1478"/>
      <c r="W40" s="1478"/>
      <c r="X40" s="1478"/>
      <c r="Y40" s="1478"/>
      <c r="Z40" s="1478"/>
      <c r="AA40" s="1478"/>
      <c r="AB40" s="1478"/>
      <c r="AC40" s="1478"/>
      <c r="AD40" s="1478"/>
      <c r="AE40" s="1478"/>
      <c r="AF40" s="1478"/>
      <c r="AG40" s="1478">
        <f t="shared" ref="AG40:BC40" si="79">+AG39+AG38</f>
        <v>1359166</v>
      </c>
      <c r="AH40" s="1478">
        <f t="shared" si="79"/>
        <v>1381355</v>
      </c>
      <c r="AI40" s="1478">
        <f t="shared" si="79"/>
        <v>1295910</v>
      </c>
      <c r="AJ40" s="1478">
        <f t="shared" si="79"/>
        <v>1195915</v>
      </c>
      <c r="AK40" s="1478">
        <f t="shared" si="79"/>
        <v>1197611</v>
      </c>
      <c r="AL40" s="1478">
        <f t="shared" si="79"/>
        <v>1168249</v>
      </c>
      <c r="AM40" s="1478">
        <f t="shared" si="79"/>
        <v>1190402</v>
      </c>
      <c r="AN40" s="1478">
        <f t="shared" si="79"/>
        <v>1204481</v>
      </c>
      <c r="AO40" s="1478">
        <f t="shared" si="79"/>
        <v>1225674</v>
      </c>
      <c r="AP40" s="1478">
        <f t="shared" si="79"/>
        <v>1312914</v>
      </c>
      <c r="AQ40" s="1478">
        <f t="shared" si="79"/>
        <v>1327670</v>
      </c>
      <c r="AR40" s="1478">
        <f t="shared" si="79"/>
        <v>1220785</v>
      </c>
      <c r="AS40" s="1478">
        <f t="shared" si="79"/>
        <v>1301679</v>
      </c>
      <c r="AT40" s="1478">
        <f t="shared" si="79"/>
        <v>1393889</v>
      </c>
      <c r="AU40" s="1478">
        <f t="shared" si="79"/>
        <v>1332473</v>
      </c>
      <c r="AV40" s="1478">
        <f t="shared" si="79"/>
        <v>1359646</v>
      </c>
      <c r="AW40" s="1478">
        <f t="shared" si="79"/>
        <v>1358293</v>
      </c>
      <c r="AX40" s="1478">
        <f t="shared" si="79"/>
        <v>1318338</v>
      </c>
      <c r="AY40" s="1478">
        <f t="shared" si="79"/>
        <v>1366955</v>
      </c>
      <c r="AZ40" s="1478">
        <f t="shared" si="79"/>
        <v>1326563</v>
      </c>
      <c r="BA40" s="1478">
        <f t="shared" si="79"/>
        <v>1327372</v>
      </c>
      <c r="BB40" s="1478">
        <f t="shared" si="79"/>
        <v>1414315</v>
      </c>
      <c r="BC40" s="1478">
        <f t="shared" si="79"/>
        <v>1471698</v>
      </c>
      <c r="BQ40" s="1478"/>
      <c r="BR40" s="1478"/>
      <c r="BS40" s="1478"/>
      <c r="BT40" s="1478"/>
      <c r="BU40" s="1478"/>
      <c r="BV40" s="1478"/>
      <c r="BW40" s="1478"/>
      <c r="BX40" s="1478"/>
      <c r="BY40" s="1478"/>
      <c r="BZ40" s="1478"/>
      <c r="CA40" s="1478"/>
      <c r="CB40" s="1478"/>
      <c r="CC40" s="1478"/>
      <c r="CD40" s="1478"/>
      <c r="CE40" s="1478"/>
      <c r="CF40" s="1478"/>
      <c r="CG40" s="1478"/>
      <c r="CH40" s="1478"/>
      <c r="CI40" s="1478"/>
      <c r="CJ40" s="1478"/>
      <c r="CK40" s="1478"/>
      <c r="CL40" s="1478"/>
      <c r="CM40" s="1478"/>
      <c r="CN40" s="1478"/>
      <c r="CO40" s="1478"/>
      <c r="CP40" s="1478"/>
      <c r="CQ40" s="1478"/>
      <c r="CR40" s="1478"/>
      <c r="CS40" s="1478"/>
      <c r="CT40" s="1478"/>
      <c r="CU40" s="1478"/>
      <c r="CV40" s="1478"/>
      <c r="CW40" s="1478"/>
      <c r="CX40" s="1478"/>
      <c r="CY40" s="1478"/>
      <c r="CZ40" s="1478"/>
      <c r="DA40" s="1478"/>
      <c r="DB40" s="1478"/>
      <c r="DC40" s="1478"/>
      <c r="DD40" s="1478"/>
      <c r="DE40" s="1478"/>
      <c r="DF40" s="1478"/>
      <c r="DG40" s="1478"/>
      <c r="DH40" s="1478"/>
      <c r="DI40" s="1478"/>
      <c r="DJ40" s="1478"/>
      <c r="DK40" s="1478"/>
      <c r="DL40" s="1478"/>
      <c r="DM40" s="1478"/>
      <c r="DN40" s="1478"/>
      <c r="DO40" s="1478"/>
      <c r="DP40" s="1478"/>
      <c r="DQ40" s="1478"/>
      <c r="DR40" s="1478"/>
      <c r="DS40" s="1478"/>
      <c r="DT40" s="1478"/>
      <c r="FD40" s="1478"/>
    </row>
    <row r="41" spans="3:160" s="1474" customFormat="1" ht="12" x14ac:dyDescent="0.3">
      <c r="C41" s="1483" t="s">
        <v>891</v>
      </c>
      <c r="I41" s="1476"/>
      <c r="J41" s="1476"/>
      <c r="K41" s="1476"/>
      <c r="L41" s="1476"/>
      <c r="M41" s="1476"/>
      <c r="N41" s="1476"/>
      <c r="O41" s="1476"/>
      <c r="P41" s="1476"/>
      <c r="Q41" s="1476"/>
      <c r="R41" s="1476"/>
      <c r="S41" s="1476"/>
      <c r="T41" s="1476"/>
      <c r="U41" s="1476"/>
      <c r="V41" s="1476"/>
      <c r="W41" s="1476"/>
      <c r="X41" s="1476"/>
      <c r="Y41" s="1476"/>
      <c r="Z41" s="1476"/>
      <c r="AA41" s="1476"/>
      <c r="AB41" s="1476"/>
      <c r="AC41" s="1476"/>
      <c r="AD41" s="1476"/>
      <c r="AE41" s="1476"/>
      <c r="AF41" s="1476"/>
      <c r="AG41" s="1476"/>
      <c r="AH41" s="1476">
        <f t="shared" ref="AH41:BC41" si="80">+AH40/AG40-1</f>
        <v>1.6325452520148387E-2</v>
      </c>
      <c r="AI41" s="1476">
        <f t="shared" si="80"/>
        <v>-6.1855931313818724E-2</v>
      </c>
      <c r="AJ41" s="1476">
        <f t="shared" si="80"/>
        <v>-7.716199427429371E-2</v>
      </c>
      <c r="AK41" s="1476">
        <f t="shared" si="80"/>
        <v>1.4181609897023773E-3</v>
      </c>
      <c r="AL41" s="1476">
        <f t="shared" si="80"/>
        <v>-2.4517142878614173E-2</v>
      </c>
      <c r="AM41" s="1476">
        <f t="shared" si="80"/>
        <v>1.8962567055482271E-2</v>
      </c>
      <c r="AN41" s="1476">
        <f t="shared" si="80"/>
        <v>1.1827097064688985E-2</v>
      </c>
      <c r="AO41" s="1476">
        <f t="shared" si="80"/>
        <v>1.7595130184701935E-2</v>
      </c>
      <c r="AP41" s="1476">
        <f t="shared" si="80"/>
        <v>7.1177164564149908E-2</v>
      </c>
      <c r="AQ41" s="1476">
        <f t="shared" si="80"/>
        <v>1.1239121526619433E-2</v>
      </c>
      <c r="AR41" s="1476">
        <f t="shared" si="80"/>
        <v>-8.0505697952051314E-2</v>
      </c>
      <c r="AS41" s="1476">
        <f t="shared" si="80"/>
        <v>6.6263920346334437E-2</v>
      </c>
      <c r="AT41" s="1476">
        <f t="shared" si="80"/>
        <v>7.0839277579188176E-2</v>
      </c>
      <c r="AU41" s="1476">
        <f t="shared" si="80"/>
        <v>-4.4060897245046027E-2</v>
      </c>
      <c r="AV41" s="1476">
        <f t="shared" si="80"/>
        <v>2.0392908524225151E-2</v>
      </c>
      <c r="AW41" s="1476">
        <f t="shared" si="80"/>
        <v>-9.9511196296686588E-4</v>
      </c>
      <c r="AX41" s="1476">
        <f t="shared" si="80"/>
        <v>-2.9415597371112101E-2</v>
      </c>
      <c r="AY41" s="1476">
        <f t="shared" si="80"/>
        <v>3.6877492721896887E-2</v>
      </c>
      <c r="AZ41" s="1476">
        <f t="shared" si="80"/>
        <v>-2.9548887856586381E-2</v>
      </c>
      <c r="BA41" s="1476">
        <f t="shared" si="80"/>
        <v>6.0984664882113293E-4</v>
      </c>
      <c r="BB41" s="1476">
        <f t="shared" si="80"/>
        <v>6.5500100951353613E-2</v>
      </c>
      <c r="BC41" s="1476">
        <f t="shared" si="80"/>
        <v>4.0572998235895108E-2</v>
      </c>
    </row>
    <row r="42" spans="3:160" s="1474" customFormat="1" ht="12" x14ac:dyDescent="0.3">
      <c r="C42" s="1483" t="s">
        <v>657</v>
      </c>
      <c r="I42" s="1476"/>
      <c r="J42" s="1476"/>
      <c r="K42" s="1476"/>
      <c r="L42" s="1476"/>
      <c r="M42" s="1476"/>
      <c r="N42" s="1476"/>
      <c r="O42" s="1476"/>
      <c r="P42" s="1476"/>
      <c r="Q42" s="1476"/>
      <c r="R42" s="1476"/>
      <c r="S42" s="1476"/>
      <c r="T42" s="1476"/>
      <c r="U42" s="1476"/>
      <c r="V42" s="1476"/>
      <c r="W42" s="1476"/>
      <c r="X42" s="1476"/>
      <c r="Y42" s="1476"/>
      <c r="Z42" s="1476"/>
      <c r="AA42" s="1476"/>
      <c r="AB42" s="1476"/>
      <c r="AC42" s="1476"/>
      <c r="AD42" s="1476"/>
      <c r="AE42" s="1476"/>
      <c r="AF42" s="1476"/>
      <c r="AG42" s="1476">
        <f t="shared" ref="AG42:AR42" si="81">+AG40/DU80-1</f>
        <v>0.15910455398260281</v>
      </c>
      <c r="AH42" s="1476">
        <f t="shared" si="81"/>
        <v>-3.3269787681941443E-2</v>
      </c>
      <c r="AI42" s="1476">
        <f t="shared" si="81"/>
        <v>-0.15201456332914987</v>
      </c>
      <c r="AJ42" s="1476">
        <f t="shared" si="81"/>
        <v>-0.21225400949051076</v>
      </c>
      <c r="AK42" s="1476">
        <f t="shared" si="81"/>
        <v>-0.25970347613499034</v>
      </c>
      <c r="AL42" s="1476">
        <f t="shared" si="81"/>
        <v>-0.28806805301299976</v>
      </c>
      <c r="AM42" s="1476">
        <f t="shared" si="81"/>
        <v>-0.23554381359219312</v>
      </c>
      <c r="AN42" s="1476">
        <f t="shared" si="81"/>
        <v>-0.13314074288383326</v>
      </c>
      <c r="AO42" s="1476">
        <f t="shared" si="81"/>
        <v>-0.12997116641846029</v>
      </c>
      <c r="AP42" s="1476">
        <f t="shared" si="81"/>
        <v>-8.009898867319587E-2</v>
      </c>
      <c r="AQ42" s="1476">
        <f t="shared" si="81"/>
        <v>5.7961286920868993E-3</v>
      </c>
      <c r="AR42" s="1476">
        <f t="shared" si="81"/>
        <v>-0.1134761558610563</v>
      </c>
      <c r="AS42" s="1476">
        <f t="shared" ref="AS42:BC42" si="82">+AS40/AG40-1</f>
        <v>-4.2295790212527384E-2</v>
      </c>
      <c r="AT42" s="1476">
        <f t="shared" si="82"/>
        <v>9.0736993748892214E-3</v>
      </c>
      <c r="AU42" s="1476">
        <f t="shared" si="82"/>
        <v>2.8214150674043648E-2</v>
      </c>
      <c r="AV42" s="1476">
        <f t="shared" si="82"/>
        <v>0.13690855955481784</v>
      </c>
      <c r="AW42" s="1476">
        <f t="shared" si="82"/>
        <v>0.13416877433490515</v>
      </c>
      <c r="AX42" s="1476">
        <f t="shared" si="82"/>
        <v>0.12847346755700206</v>
      </c>
      <c r="AY42" s="1476">
        <f t="shared" si="82"/>
        <v>0.14831376291370479</v>
      </c>
      <c r="AZ42" s="1476">
        <f t="shared" si="82"/>
        <v>0.10135651786952216</v>
      </c>
      <c r="BA42" s="1476">
        <f t="shared" si="82"/>
        <v>8.2973123359066037E-2</v>
      </c>
      <c r="BB42" s="1476">
        <f t="shared" si="82"/>
        <v>7.7233543095739599E-2</v>
      </c>
      <c r="BC42" s="1476">
        <f t="shared" si="82"/>
        <v>0.10848177634502543</v>
      </c>
    </row>
    <row r="76" spans="1:161" ht="12" x14ac:dyDescent="0.3">
      <c r="C76" s="1474" t="s">
        <v>1835</v>
      </c>
    </row>
    <row r="77" spans="1:161" ht="12.65" customHeight="1" x14ac:dyDescent="0.25">
      <c r="A77" s="1467" t="s">
        <v>1655</v>
      </c>
      <c r="B77" s="1467" t="s">
        <v>1656</v>
      </c>
      <c r="E77" s="1467" t="s">
        <v>1657</v>
      </c>
      <c r="F77" s="1467" t="s">
        <v>1658</v>
      </c>
      <c r="G77" s="1467" t="s">
        <v>1659</v>
      </c>
      <c r="H77" s="1467" t="s">
        <v>1660</v>
      </c>
      <c r="I77" s="1467" t="s">
        <v>1661</v>
      </c>
      <c r="J77" s="1467" t="s">
        <v>1662</v>
      </c>
      <c r="K77" s="1467" t="s">
        <v>1663</v>
      </c>
      <c r="L77" s="1467" t="s">
        <v>1664</v>
      </c>
      <c r="M77" s="1467" t="s">
        <v>1665</v>
      </c>
      <c r="N77" s="1467" t="s">
        <v>1666</v>
      </c>
      <c r="O77" s="1467" t="s">
        <v>1667</v>
      </c>
      <c r="P77" s="1467" t="s">
        <v>1668</v>
      </c>
      <c r="Q77" s="1467" t="s">
        <v>1669</v>
      </c>
      <c r="R77" s="1467" t="s">
        <v>1670</v>
      </c>
      <c r="S77" s="1467" t="s">
        <v>1671</v>
      </c>
      <c r="T77" s="1467" t="s">
        <v>1672</v>
      </c>
      <c r="U77" s="1467" t="s">
        <v>1673</v>
      </c>
      <c r="V77" s="1467" t="s">
        <v>1674</v>
      </c>
      <c r="W77" s="1467" t="s">
        <v>1675</v>
      </c>
      <c r="X77" s="1467" t="s">
        <v>1676</v>
      </c>
      <c r="Y77" s="1467" t="s">
        <v>1677</v>
      </c>
      <c r="Z77" s="1467" t="s">
        <v>1678</v>
      </c>
      <c r="AA77" s="1467" t="s">
        <v>1679</v>
      </c>
      <c r="AB77" s="1467" t="s">
        <v>1680</v>
      </c>
      <c r="AC77" s="1467" t="s">
        <v>1681</v>
      </c>
      <c r="AD77" s="1467" t="s">
        <v>1682</v>
      </c>
      <c r="AE77" s="1467" t="s">
        <v>1683</v>
      </c>
      <c r="AF77" s="1467" t="s">
        <v>1684</v>
      </c>
      <c r="AG77" s="1467" t="s">
        <v>1685</v>
      </c>
      <c r="AH77" s="1467" t="s">
        <v>1686</v>
      </c>
      <c r="AI77" s="1467" t="s">
        <v>1687</v>
      </c>
      <c r="AJ77" s="1467" t="s">
        <v>1688</v>
      </c>
      <c r="AK77" s="1467" t="s">
        <v>1689</v>
      </c>
      <c r="AL77" s="1467" t="s">
        <v>1690</v>
      </c>
      <c r="AM77" s="1467" t="s">
        <v>1691</v>
      </c>
      <c r="AN77" s="1467" t="s">
        <v>1692</v>
      </c>
      <c r="AO77" s="1467" t="s">
        <v>1693</v>
      </c>
      <c r="AP77" s="1467" t="s">
        <v>1694</v>
      </c>
      <c r="AQ77" s="1467" t="s">
        <v>1695</v>
      </c>
      <c r="AR77" s="1467" t="s">
        <v>1696</v>
      </c>
      <c r="AS77" s="1467" t="s">
        <v>1697</v>
      </c>
      <c r="AT77" s="1467" t="s">
        <v>1698</v>
      </c>
      <c r="AU77" s="1467" t="s">
        <v>1699</v>
      </c>
      <c r="AV77" s="1467" t="s">
        <v>1700</v>
      </c>
      <c r="AW77" s="1467" t="s">
        <v>1701</v>
      </c>
      <c r="AX77" s="1467" t="s">
        <v>1702</v>
      </c>
      <c r="AY77" s="1467" t="s">
        <v>1703</v>
      </c>
      <c r="AZ77" s="1467" t="s">
        <v>1704</v>
      </c>
      <c r="BA77" s="1467" t="s">
        <v>1705</v>
      </c>
      <c r="BB77" s="1467" t="s">
        <v>1706</v>
      </c>
      <c r="BC77" s="1467" t="s">
        <v>1707</v>
      </c>
      <c r="BD77" s="1467" t="s">
        <v>1708</v>
      </c>
      <c r="BE77" s="1467" t="s">
        <v>1709</v>
      </c>
      <c r="BF77" s="1467" t="s">
        <v>1710</v>
      </c>
      <c r="BG77" s="1467" t="s">
        <v>1711</v>
      </c>
      <c r="BH77" s="1467" t="s">
        <v>1712</v>
      </c>
      <c r="BI77" s="1467" t="s">
        <v>1713</v>
      </c>
      <c r="BJ77" s="1467" t="s">
        <v>1714</v>
      </c>
      <c r="BK77" s="1467" t="s">
        <v>1715</v>
      </c>
      <c r="BL77" s="1467" t="s">
        <v>1716</v>
      </c>
      <c r="BM77" s="1467" t="s">
        <v>1717</v>
      </c>
      <c r="BN77" s="1467" t="s">
        <v>1718</v>
      </c>
      <c r="BO77" s="1467" t="s">
        <v>1719</v>
      </c>
      <c r="BP77" s="1467" t="s">
        <v>1720</v>
      </c>
      <c r="BQ77" s="1467" t="s">
        <v>1721</v>
      </c>
      <c r="BR77" s="1467" t="s">
        <v>1722</v>
      </c>
      <c r="BS77" s="1467" t="s">
        <v>1723</v>
      </c>
      <c r="BT77" s="1467" t="s">
        <v>1724</v>
      </c>
      <c r="BU77" s="1467" t="s">
        <v>1725</v>
      </c>
      <c r="BV77" s="1467" t="s">
        <v>1726</v>
      </c>
      <c r="BW77" s="1467" t="s">
        <v>1727</v>
      </c>
      <c r="BX77" s="1467" t="s">
        <v>1728</v>
      </c>
      <c r="BY77" s="1467" t="s">
        <v>1729</v>
      </c>
      <c r="BZ77" s="1467" t="s">
        <v>1730</v>
      </c>
      <c r="CA77" s="1467" t="s">
        <v>1731</v>
      </c>
      <c r="CB77" s="1467" t="s">
        <v>1732</v>
      </c>
      <c r="CC77" s="1467" t="s">
        <v>1733</v>
      </c>
      <c r="CD77" s="1467" t="s">
        <v>1734</v>
      </c>
      <c r="CE77" s="1467" t="s">
        <v>1735</v>
      </c>
      <c r="CF77" s="1467" t="s">
        <v>1736</v>
      </c>
      <c r="CG77" s="1467" t="s">
        <v>1737</v>
      </c>
      <c r="CH77" s="1467" t="s">
        <v>1738</v>
      </c>
      <c r="CI77" s="1467" t="s">
        <v>1739</v>
      </c>
      <c r="CJ77" s="1467" t="s">
        <v>1740</v>
      </c>
      <c r="CK77" s="1467" t="s">
        <v>1741</v>
      </c>
      <c r="CL77" s="1467" t="s">
        <v>1742</v>
      </c>
      <c r="CM77" s="1467" t="s">
        <v>1743</v>
      </c>
      <c r="CN77" s="1467" t="s">
        <v>1744</v>
      </c>
      <c r="CO77" s="1467" t="s">
        <v>1745</v>
      </c>
      <c r="CP77" s="1467" t="s">
        <v>1746</v>
      </c>
      <c r="CQ77" s="1467" t="s">
        <v>1747</v>
      </c>
      <c r="CR77" s="1467" t="s">
        <v>1748</v>
      </c>
      <c r="CS77" s="1467" t="s">
        <v>1749</v>
      </c>
      <c r="CT77" s="1467" t="s">
        <v>1750</v>
      </c>
      <c r="CU77" s="1467" t="s">
        <v>1751</v>
      </c>
      <c r="CV77" s="1467" t="s">
        <v>1752</v>
      </c>
      <c r="CW77" s="1467" t="s">
        <v>1753</v>
      </c>
      <c r="CX77" s="1467" t="s">
        <v>1754</v>
      </c>
      <c r="CY77" s="1467" t="s">
        <v>1755</v>
      </c>
      <c r="CZ77" s="1467" t="s">
        <v>1756</v>
      </c>
      <c r="DA77" s="1467" t="s">
        <v>1757</v>
      </c>
      <c r="DB77" s="1467" t="s">
        <v>1758</v>
      </c>
      <c r="DC77" s="1467" t="s">
        <v>1759</v>
      </c>
      <c r="DD77" s="1467" t="s">
        <v>1760</v>
      </c>
      <c r="DE77" s="1467" t="s">
        <v>1761</v>
      </c>
      <c r="DF77" s="1467" t="s">
        <v>1762</v>
      </c>
      <c r="DG77" s="1467" t="s">
        <v>1763</v>
      </c>
      <c r="DH77" s="1467" t="s">
        <v>1764</v>
      </c>
      <c r="DI77" s="1467" t="s">
        <v>1765</v>
      </c>
      <c r="DJ77" s="1467" t="s">
        <v>1766</v>
      </c>
      <c r="DK77" s="1467" t="s">
        <v>1767</v>
      </c>
      <c r="DL77" s="1467" t="s">
        <v>1768</v>
      </c>
      <c r="DM77" s="1467" t="s">
        <v>1769</v>
      </c>
      <c r="DN77" s="1467" t="s">
        <v>1770</v>
      </c>
      <c r="DO77" s="1467" t="s">
        <v>1771</v>
      </c>
      <c r="DP77" s="1467" t="s">
        <v>1772</v>
      </c>
      <c r="DQ77" s="1467" t="s">
        <v>1773</v>
      </c>
      <c r="DR77" s="1467" t="s">
        <v>1774</v>
      </c>
      <c r="DS77" s="1467" t="s">
        <v>1775</v>
      </c>
      <c r="DT77" s="1467" t="s">
        <v>1776</v>
      </c>
      <c r="DU77" s="1470" t="s">
        <v>1777</v>
      </c>
      <c r="DV77" s="1470" t="s">
        <v>1778</v>
      </c>
      <c r="DW77" s="1470" t="s">
        <v>1779</v>
      </c>
      <c r="DX77" s="1470" t="s">
        <v>1780</v>
      </c>
      <c r="DY77" s="1470" t="s">
        <v>1781</v>
      </c>
      <c r="DZ77" s="1470" t="s">
        <v>1782</v>
      </c>
      <c r="EA77" s="1470" t="s">
        <v>1783</v>
      </c>
      <c r="EB77" s="1470" t="s">
        <v>1784</v>
      </c>
      <c r="EC77" s="1470" t="s">
        <v>1785</v>
      </c>
      <c r="ED77" s="1470" t="s">
        <v>1786</v>
      </c>
      <c r="EE77" s="1470" t="s">
        <v>1787</v>
      </c>
      <c r="EF77" s="1470" t="s">
        <v>1788</v>
      </c>
      <c r="EG77" s="1472" t="str">
        <f t="shared" ref="EG77:FC77" si="83">+AG37</f>
        <v>2023-01</v>
      </c>
      <c r="EH77" s="1472" t="str">
        <f t="shared" si="83"/>
        <v>2023-02</v>
      </c>
      <c r="EI77" s="1472" t="str">
        <f t="shared" si="83"/>
        <v>2023-03</v>
      </c>
      <c r="EJ77" s="1472" t="str">
        <f t="shared" si="83"/>
        <v>2023-04</v>
      </c>
      <c r="EK77" s="1472" t="str">
        <f t="shared" si="83"/>
        <v>2023-05</v>
      </c>
      <c r="EL77" s="1472" t="str">
        <f t="shared" si="83"/>
        <v>2023-06</v>
      </c>
      <c r="EM77" s="1472" t="str">
        <f t="shared" si="83"/>
        <v>2023-07</v>
      </c>
      <c r="EN77" s="1472" t="str">
        <f t="shared" si="83"/>
        <v>2023-08</v>
      </c>
      <c r="EO77" s="1472" t="str">
        <f t="shared" si="83"/>
        <v>2023-09</v>
      </c>
      <c r="EP77" s="1472" t="str">
        <f t="shared" si="83"/>
        <v>2023-10</v>
      </c>
      <c r="EQ77" s="1472" t="str">
        <f t="shared" si="83"/>
        <v>2023-11</v>
      </c>
      <c r="ER77" s="1472" t="str">
        <f t="shared" si="83"/>
        <v>2023-12</v>
      </c>
      <c r="ES77" s="1472" t="str">
        <f t="shared" si="83"/>
        <v>2024-01</v>
      </c>
      <c r="ET77" s="1472" t="str">
        <f t="shared" si="83"/>
        <v>2024-02</v>
      </c>
      <c r="EU77" s="1472" t="str">
        <f t="shared" si="83"/>
        <v>2024-03</v>
      </c>
      <c r="EV77" s="1472" t="str">
        <f t="shared" si="83"/>
        <v>2024-04</v>
      </c>
      <c r="EW77" s="1472" t="str">
        <f t="shared" si="83"/>
        <v>2024-05</v>
      </c>
      <c r="EX77" s="1472" t="str">
        <f t="shared" si="83"/>
        <v>2024-06</v>
      </c>
      <c r="EY77" s="1472" t="str">
        <f t="shared" si="83"/>
        <v>2024-07</v>
      </c>
      <c r="EZ77" s="1472" t="str">
        <f t="shared" si="83"/>
        <v>2024-08</v>
      </c>
      <c r="FA77" s="1472" t="str">
        <f t="shared" si="83"/>
        <v>2024-09</v>
      </c>
      <c r="FB77" s="1472" t="str">
        <f t="shared" si="83"/>
        <v>2024-10</v>
      </c>
      <c r="FC77" s="1472" t="str">
        <f t="shared" si="83"/>
        <v>2024-11</v>
      </c>
      <c r="FD77" s="1472"/>
      <c r="FE77" s="1472"/>
    </row>
    <row r="78" spans="1:161" ht="12.65" hidden="1" customHeight="1" outlineLevel="1" x14ac:dyDescent="0.25">
      <c r="A78" s="1467" t="s">
        <v>1812</v>
      </c>
      <c r="B78" s="1467" t="s">
        <v>1813</v>
      </c>
      <c r="C78" s="1467" t="s">
        <v>1814</v>
      </c>
      <c r="E78" s="1467">
        <v>191834</v>
      </c>
      <c r="F78" s="1467">
        <v>194325</v>
      </c>
      <c r="G78" s="1467">
        <v>189413</v>
      </c>
      <c r="H78" s="1467">
        <v>199541</v>
      </c>
      <c r="I78" s="1467">
        <v>237163</v>
      </c>
      <c r="J78" s="1467">
        <v>237332</v>
      </c>
      <c r="K78" s="1467">
        <v>243885</v>
      </c>
      <c r="L78" s="1467">
        <v>206043</v>
      </c>
      <c r="M78" s="1467">
        <v>216510</v>
      </c>
      <c r="N78" s="1467">
        <v>215685</v>
      </c>
      <c r="O78" s="1467">
        <v>210553</v>
      </c>
      <c r="P78" s="1467">
        <v>211326</v>
      </c>
      <c r="Q78" s="1467">
        <v>208875</v>
      </c>
      <c r="R78" s="1467">
        <v>240611</v>
      </c>
      <c r="S78" s="1467">
        <v>235313</v>
      </c>
      <c r="T78" s="1467">
        <v>238275</v>
      </c>
      <c r="U78" s="1467">
        <v>206459</v>
      </c>
      <c r="V78" s="1467">
        <v>198417</v>
      </c>
      <c r="W78" s="1467">
        <v>236020</v>
      </c>
      <c r="X78" s="1467">
        <v>242621</v>
      </c>
      <c r="Y78" s="1467">
        <v>323570</v>
      </c>
      <c r="Z78" s="1467">
        <v>344600</v>
      </c>
      <c r="AA78" s="1467">
        <v>392736</v>
      </c>
      <c r="AB78" s="1467">
        <v>411424</v>
      </c>
      <c r="AC78" s="1467">
        <v>434300</v>
      </c>
      <c r="AD78" s="1467">
        <v>466336</v>
      </c>
      <c r="AE78" s="1467">
        <v>438472</v>
      </c>
      <c r="AF78" s="1467">
        <v>404844</v>
      </c>
      <c r="AG78" s="1467">
        <v>418480</v>
      </c>
      <c r="AH78" s="1467">
        <v>422679</v>
      </c>
      <c r="AI78" s="1467">
        <v>424116</v>
      </c>
      <c r="AJ78" s="1467">
        <v>388740</v>
      </c>
      <c r="AK78" s="1467">
        <v>424012</v>
      </c>
      <c r="AL78" s="1467">
        <v>409515</v>
      </c>
      <c r="AM78" s="1467">
        <v>569171</v>
      </c>
      <c r="AN78" s="1467">
        <v>314750</v>
      </c>
      <c r="AO78" s="1467">
        <v>375570</v>
      </c>
      <c r="AP78" s="1467">
        <v>348910</v>
      </c>
      <c r="AQ78" s="1467">
        <v>355012</v>
      </c>
      <c r="AR78" s="1467">
        <v>399298</v>
      </c>
      <c r="AS78" s="1467">
        <v>384637</v>
      </c>
      <c r="AT78" s="1467">
        <v>496960</v>
      </c>
      <c r="AU78" s="1467">
        <v>511229</v>
      </c>
      <c r="AV78" s="1467">
        <v>535440</v>
      </c>
      <c r="AW78" s="1467">
        <v>514733</v>
      </c>
      <c r="AX78" s="1467">
        <v>526405</v>
      </c>
      <c r="AY78" s="1467">
        <v>470944</v>
      </c>
      <c r="AZ78" s="1467">
        <v>505281</v>
      </c>
      <c r="BA78" s="1467">
        <v>513523</v>
      </c>
      <c r="BB78" s="1467">
        <v>520314</v>
      </c>
      <c r="BC78" s="1467">
        <v>506277</v>
      </c>
      <c r="BD78" s="1467">
        <v>474450</v>
      </c>
      <c r="BE78" s="1467">
        <v>463414</v>
      </c>
      <c r="BF78" s="1467">
        <v>461360</v>
      </c>
      <c r="BG78" s="1467">
        <v>438587</v>
      </c>
      <c r="BH78" s="1467">
        <v>459973</v>
      </c>
      <c r="BI78" s="1467">
        <v>455325</v>
      </c>
      <c r="BJ78" s="1467">
        <v>454899</v>
      </c>
      <c r="BK78" s="1467">
        <v>488699</v>
      </c>
      <c r="BL78" s="1467">
        <v>615339</v>
      </c>
      <c r="BM78" s="1467">
        <v>614862</v>
      </c>
      <c r="BN78" s="1467">
        <v>618809</v>
      </c>
      <c r="BO78" s="1467">
        <v>620692</v>
      </c>
      <c r="BP78" s="1467">
        <v>682711</v>
      </c>
      <c r="BQ78" s="1467">
        <v>630385</v>
      </c>
      <c r="BR78" s="1467">
        <v>614703</v>
      </c>
      <c r="BS78" s="1467">
        <v>374540</v>
      </c>
      <c r="BT78" s="1467">
        <v>614856</v>
      </c>
      <c r="BU78" s="1467">
        <v>608703</v>
      </c>
      <c r="BV78" s="1467">
        <v>613839</v>
      </c>
      <c r="BW78" s="1467">
        <v>628714</v>
      </c>
      <c r="BX78" s="1467">
        <v>625524</v>
      </c>
      <c r="BY78" s="1467">
        <v>666594</v>
      </c>
      <c r="BZ78" s="1467">
        <v>690385</v>
      </c>
      <c r="CA78" s="1467">
        <v>575795</v>
      </c>
      <c r="CB78" s="1467">
        <v>563994</v>
      </c>
      <c r="CC78" s="1467">
        <v>572742</v>
      </c>
      <c r="CD78" s="1467">
        <v>587483</v>
      </c>
      <c r="CE78" s="1467">
        <v>615603</v>
      </c>
      <c r="CF78" s="1467">
        <v>637201</v>
      </c>
      <c r="CG78" s="1467">
        <v>623098</v>
      </c>
      <c r="CH78" s="1467">
        <v>633409</v>
      </c>
      <c r="CI78" s="1467">
        <v>651365</v>
      </c>
      <c r="CJ78" s="1467">
        <v>620729</v>
      </c>
      <c r="CK78" s="1467">
        <v>637505</v>
      </c>
      <c r="CL78" s="1467">
        <v>671767</v>
      </c>
      <c r="CM78" s="1467">
        <v>636514</v>
      </c>
      <c r="CN78" s="1467">
        <v>619340</v>
      </c>
      <c r="CO78" s="1467">
        <v>625079</v>
      </c>
      <c r="CP78" s="1467">
        <v>796424</v>
      </c>
      <c r="CQ78" s="1467">
        <v>796635</v>
      </c>
      <c r="CR78" s="1467">
        <v>808334</v>
      </c>
      <c r="CS78" s="1467">
        <v>779971</v>
      </c>
      <c r="CT78" s="1467">
        <v>763614</v>
      </c>
      <c r="CU78" s="1467">
        <v>743747</v>
      </c>
      <c r="CV78" s="1467">
        <v>794840</v>
      </c>
      <c r="CW78" s="1467">
        <v>799238</v>
      </c>
      <c r="CX78" s="1467">
        <v>834064</v>
      </c>
      <c r="CY78" s="1467">
        <v>859674</v>
      </c>
      <c r="CZ78" s="1467">
        <v>875348</v>
      </c>
      <c r="DA78" s="1467">
        <v>888525</v>
      </c>
      <c r="DB78" s="1467">
        <v>887761</v>
      </c>
      <c r="DC78" s="1467">
        <v>1000817</v>
      </c>
      <c r="DD78" s="1467">
        <v>1004978</v>
      </c>
      <c r="DE78" s="1467">
        <v>1025722</v>
      </c>
      <c r="DF78" s="1467">
        <v>1097306</v>
      </c>
      <c r="DG78" s="1467">
        <v>1225253</v>
      </c>
      <c r="DH78" s="1467">
        <v>1085325</v>
      </c>
      <c r="DI78" s="1467">
        <v>1161415</v>
      </c>
      <c r="DJ78" s="1467">
        <v>1182324</v>
      </c>
      <c r="DK78" s="1467">
        <v>1128445</v>
      </c>
      <c r="DL78" s="1467">
        <v>1134547</v>
      </c>
      <c r="DM78" s="1467">
        <v>1120819</v>
      </c>
      <c r="DN78" s="1467">
        <v>1060508</v>
      </c>
      <c r="DO78" s="1467">
        <v>1071596</v>
      </c>
      <c r="DP78" s="1467">
        <v>1089878</v>
      </c>
      <c r="DQ78" s="1467">
        <v>1013438</v>
      </c>
      <c r="DR78" s="1467">
        <v>1005390</v>
      </c>
      <c r="DS78" s="1467">
        <v>1001199</v>
      </c>
      <c r="DT78" s="1467">
        <v>993636</v>
      </c>
      <c r="DU78" s="1478">
        <v>1020020</v>
      </c>
      <c r="DV78" s="1478">
        <v>1282785</v>
      </c>
      <c r="DW78" s="1478">
        <v>1324322</v>
      </c>
      <c r="DX78" s="1478">
        <v>1309598</v>
      </c>
      <c r="DY78" s="1478">
        <v>1314621</v>
      </c>
      <c r="DZ78" s="1478">
        <v>1280814</v>
      </c>
      <c r="EA78" s="1478">
        <v>1348022</v>
      </c>
      <c r="EB78" s="1478">
        <v>1377300</v>
      </c>
      <c r="EC78" s="1478">
        <v>1399155</v>
      </c>
      <c r="ED78" s="1478">
        <v>1425068</v>
      </c>
      <c r="EE78" s="1478">
        <v>1317036</v>
      </c>
      <c r="EF78" s="1478">
        <v>1371124</v>
      </c>
    </row>
    <row r="79" spans="1:161" ht="12.65" hidden="1" customHeight="1" outlineLevel="1" x14ac:dyDescent="0.25">
      <c r="A79" s="1467" t="s">
        <v>1812</v>
      </c>
      <c r="B79" s="1467" t="s">
        <v>1813</v>
      </c>
      <c r="C79" s="1467" t="s">
        <v>1815</v>
      </c>
      <c r="E79" s="1467">
        <v>60422</v>
      </c>
      <c r="F79" s="1467">
        <v>47761</v>
      </c>
      <c r="G79" s="1467">
        <v>63003</v>
      </c>
      <c r="H79" s="1467">
        <v>71593</v>
      </c>
      <c r="I79" s="1467">
        <v>21151</v>
      </c>
      <c r="J79" s="1467">
        <v>23965</v>
      </c>
      <c r="K79" s="1467">
        <v>156422</v>
      </c>
      <c r="L79" s="1467">
        <v>15384</v>
      </c>
      <c r="M79" s="1467">
        <v>13127</v>
      </c>
      <c r="N79" s="1467">
        <v>98467</v>
      </c>
      <c r="O79" s="1467">
        <v>40314</v>
      </c>
      <c r="P79" s="1467">
        <v>23832</v>
      </c>
      <c r="Q79" s="1467">
        <v>23683</v>
      </c>
      <c r="R79" s="1467">
        <v>39545</v>
      </c>
      <c r="S79" s="1467">
        <v>18657</v>
      </c>
      <c r="T79" s="1467">
        <v>38495</v>
      </c>
      <c r="U79" s="1467">
        <v>26090</v>
      </c>
      <c r="V79" s="1467">
        <v>24711</v>
      </c>
      <c r="W79" s="1467">
        <v>97555</v>
      </c>
      <c r="X79" s="1467">
        <v>87452</v>
      </c>
      <c r="Y79" s="1467">
        <v>36253</v>
      </c>
      <c r="Z79" s="1467">
        <v>36953</v>
      </c>
      <c r="AA79" s="1467">
        <v>47094</v>
      </c>
      <c r="AB79" s="1467">
        <v>84745</v>
      </c>
      <c r="AC79" s="1467">
        <v>71397</v>
      </c>
      <c r="AD79" s="1467">
        <v>52442</v>
      </c>
      <c r="AE79" s="1467">
        <v>36910</v>
      </c>
      <c r="AF79" s="1467">
        <v>66670</v>
      </c>
      <c r="AG79" s="1467">
        <v>58099</v>
      </c>
      <c r="AH79" s="1467">
        <v>66792</v>
      </c>
      <c r="AI79" s="1467">
        <v>71377</v>
      </c>
      <c r="AJ79" s="1467">
        <v>59038</v>
      </c>
      <c r="AK79" s="1467">
        <v>37813</v>
      </c>
      <c r="AL79" s="1467">
        <v>27320</v>
      </c>
      <c r="AM79" s="1467">
        <v>12711</v>
      </c>
      <c r="AN79" s="1467">
        <v>16527</v>
      </c>
      <c r="AO79" s="1467">
        <v>15570</v>
      </c>
      <c r="AP79" s="1467">
        <v>2284</v>
      </c>
      <c r="AQ79" s="1467">
        <v>35208</v>
      </c>
      <c r="AR79" s="1467">
        <v>36455</v>
      </c>
      <c r="AS79" s="1467">
        <v>20242</v>
      </c>
      <c r="AT79" s="1467">
        <v>59808</v>
      </c>
      <c r="AU79" s="1467">
        <v>67319</v>
      </c>
      <c r="AV79" s="1467">
        <v>54398</v>
      </c>
      <c r="AW79" s="1467">
        <v>19676</v>
      </c>
      <c r="AX79" s="1467">
        <v>27908</v>
      </c>
      <c r="AY79" s="1467">
        <v>18616</v>
      </c>
      <c r="AZ79" s="1467">
        <v>4762</v>
      </c>
      <c r="BA79" s="1467">
        <v>5664</v>
      </c>
      <c r="BB79" s="1467">
        <v>4029</v>
      </c>
      <c r="BC79" s="1467">
        <v>4026</v>
      </c>
      <c r="BD79" s="1467">
        <v>4714</v>
      </c>
      <c r="BE79" s="1467">
        <v>2322</v>
      </c>
      <c r="BF79" s="1467">
        <v>2559</v>
      </c>
      <c r="BG79" s="1467">
        <v>6720</v>
      </c>
      <c r="BH79" s="1467">
        <v>7077</v>
      </c>
      <c r="BI79" s="1467">
        <v>3332</v>
      </c>
      <c r="BJ79" s="1467">
        <v>1866</v>
      </c>
      <c r="BK79" s="1467">
        <v>2183</v>
      </c>
      <c r="BL79" s="1467">
        <v>7641</v>
      </c>
      <c r="BM79" s="1467">
        <v>5018</v>
      </c>
      <c r="BN79" s="1467">
        <v>4403</v>
      </c>
      <c r="BO79" s="1467">
        <v>2420</v>
      </c>
      <c r="BP79" s="1467">
        <v>6661</v>
      </c>
      <c r="BQ79" s="1467">
        <v>3046</v>
      </c>
      <c r="BR79" s="1467">
        <v>4516</v>
      </c>
      <c r="BS79" s="1467">
        <v>7320</v>
      </c>
      <c r="BT79" s="1467">
        <v>14752</v>
      </c>
      <c r="BU79" s="1467">
        <v>3875</v>
      </c>
      <c r="BV79" s="1467">
        <v>0</v>
      </c>
      <c r="BW79" s="1467">
        <v>538</v>
      </c>
      <c r="BX79" s="1467">
        <v>480</v>
      </c>
      <c r="BY79" s="1467">
        <v>1360</v>
      </c>
      <c r="BZ79" s="1467">
        <v>523</v>
      </c>
      <c r="CA79" s="1467">
        <v>169</v>
      </c>
      <c r="CB79" s="1467">
        <v>490</v>
      </c>
      <c r="CC79" s="1467">
        <v>2607</v>
      </c>
      <c r="CD79" s="1467">
        <v>1969</v>
      </c>
      <c r="CE79" s="1467">
        <v>5699</v>
      </c>
      <c r="CF79" s="1467">
        <v>10002</v>
      </c>
      <c r="CG79" s="1467">
        <v>3989</v>
      </c>
      <c r="CH79" s="1467">
        <v>11110</v>
      </c>
      <c r="CI79" s="1467">
        <v>3242</v>
      </c>
      <c r="CJ79" s="1467">
        <v>2384</v>
      </c>
      <c r="CK79" s="1467">
        <v>2361</v>
      </c>
      <c r="CL79" s="1467">
        <v>3791</v>
      </c>
      <c r="CM79" s="1467">
        <v>6213</v>
      </c>
      <c r="CN79" s="1467">
        <v>4461</v>
      </c>
      <c r="CO79" s="1467">
        <v>6860</v>
      </c>
      <c r="CP79" s="1467">
        <v>31421</v>
      </c>
      <c r="CQ79" s="1467">
        <v>23634</v>
      </c>
      <c r="CR79" s="1467">
        <v>27042</v>
      </c>
      <c r="CS79" s="1467">
        <v>11340</v>
      </c>
      <c r="CT79" s="1467">
        <v>3088</v>
      </c>
      <c r="CU79" s="1467">
        <v>4891</v>
      </c>
      <c r="CV79" s="1467">
        <v>5040</v>
      </c>
      <c r="CW79" s="1467">
        <v>5701</v>
      </c>
      <c r="CX79" s="1467">
        <v>2428</v>
      </c>
      <c r="CY79" s="1467">
        <v>4554</v>
      </c>
      <c r="CZ79" s="1467">
        <v>6519</v>
      </c>
      <c r="DA79" s="1467">
        <v>7772</v>
      </c>
      <c r="DB79" s="1467">
        <v>10968</v>
      </c>
      <c r="DC79" s="1467">
        <v>13365</v>
      </c>
      <c r="DD79" s="1467">
        <v>11432</v>
      </c>
      <c r="DE79" s="1467">
        <v>9144</v>
      </c>
      <c r="DF79" s="1467">
        <v>18059</v>
      </c>
      <c r="DG79" s="1467">
        <v>18893</v>
      </c>
      <c r="DH79" s="1467">
        <v>7197</v>
      </c>
      <c r="DI79" s="1467">
        <v>15021</v>
      </c>
      <c r="DJ79" s="1467">
        <v>7725</v>
      </c>
      <c r="DK79" s="1467">
        <v>25260</v>
      </c>
      <c r="DL79" s="1467">
        <v>19277</v>
      </c>
      <c r="DM79" s="1467">
        <v>79459</v>
      </c>
      <c r="DN79" s="1467">
        <v>200563</v>
      </c>
      <c r="DO79" s="1467">
        <v>284760</v>
      </c>
      <c r="DP79" s="1467">
        <v>342482</v>
      </c>
      <c r="DQ79" s="1467">
        <v>236706</v>
      </c>
      <c r="DR79" s="1467">
        <v>220999</v>
      </c>
      <c r="DS79" s="1467">
        <v>164808</v>
      </c>
      <c r="DT79" s="1467">
        <v>153652</v>
      </c>
      <c r="DU79" s="1481">
        <v>152580</v>
      </c>
      <c r="DV79" s="1481">
        <v>146109</v>
      </c>
      <c r="DW79" s="1481">
        <v>203900</v>
      </c>
      <c r="DX79" s="1481">
        <v>208550</v>
      </c>
      <c r="DY79" s="1481">
        <v>303124</v>
      </c>
      <c r="DZ79" s="1481">
        <v>360142</v>
      </c>
      <c r="EA79" s="1481">
        <v>209166</v>
      </c>
      <c r="EB79" s="1481">
        <v>12177</v>
      </c>
      <c r="EC79" s="1481">
        <v>9619</v>
      </c>
      <c r="ED79" s="1481">
        <v>2166</v>
      </c>
      <c r="EE79" s="1481">
        <v>2983</v>
      </c>
      <c r="EF79" s="1481">
        <v>5923</v>
      </c>
    </row>
    <row r="80" spans="1:161" collapsed="1" x14ac:dyDescent="0.25">
      <c r="A80" s="1467" t="s">
        <v>1812</v>
      </c>
      <c r="C80" s="1467" t="s">
        <v>1816</v>
      </c>
      <c r="E80" s="1478">
        <f t="shared" ref="E80:BP80" si="84">+E79+E78</f>
        <v>252256</v>
      </c>
      <c r="F80" s="1478">
        <f t="shared" si="84"/>
        <v>242086</v>
      </c>
      <c r="G80" s="1478">
        <f t="shared" si="84"/>
        <v>252416</v>
      </c>
      <c r="H80" s="1478">
        <f t="shared" si="84"/>
        <v>271134</v>
      </c>
      <c r="I80" s="1478">
        <f t="shared" si="84"/>
        <v>258314</v>
      </c>
      <c r="J80" s="1478">
        <f t="shared" si="84"/>
        <v>261297</v>
      </c>
      <c r="K80" s="1478">
        <f t="shared" si="84"/>
        <v>400307</v>
      </c>
      <c r="L80" s="1478">
        <f t="shared" si="84"/>
        <v>221427</v>
      </c>
      <c r="M80" s="1478">
        <f t="shared" si="84"/>
        <v>229637</v>
      </c>
      <c r="N80" s="1478">
        <f t="shared" si="84"/>
        <v>314152</v>
      </c>
      <c r="O80" s="1478">
        <f t="shared" si="84"/>
        <v>250867</v>
      </c>
      <c r="P80" s="1478">
        <f t="shared" si="84"/>
        <v>235158</v>
      </c>
      <c r="Q80" s="1478">
        <f t="shared" si="84"/>
        <v>232558</v>
      </c>
      <c r="R80" s="1478">
        <f t="shared" si="84"/>
        <v>280156</v>
      </c>
      <c r="S80" s="1478">
        <f t="shared" si="84"/>
        <v>253970</v>
      </c>
      <c r="T80" s="1478">
        <f t="shared" si="84"/>
        <v>276770</v>
      </c>
      <c r="U80" s="1478">
        <f t="shared" si="84"/>
        <v>232549</v>
      </c>
      <c r="V80" s="1478">
        <f t="shared" si="84"/>
        <v>223128</v>
      </c>
      <c r="W80" s="1478">
        <f t="shared" si="84"/>
        <v>333575</v>
      </c>
      <c r="X80" s="1478">
        <f t="shared" si="84"/>
        <v>330073</v>
      </c>
      <c r="Y80" s="1478">
        <f t="shared" si="84"/>
        <v>359823</v>
      </c>
      <c r="Z80" s="1478">
        <f t="shared" si="84"/>
        <v>381553</v>
      </c>
      <c r="AA80" s="1478">
        <f t="shared" si="84"/>
        <v>439830</v>
      </c>
      <c r="AB80" s="1478">
        <f t="shared" si="84"/>
        <v>496169</v>
      </c>
      <c r="AC80" s="1478">
        <f t="shared" si="84"/>
        <v>505697</v>
      </c>
      <c r="AD80" s="1478">
        <f t="shared" si="84"/>
        <v>518778</v>
      </c>
      <c r="AE80" s="1478">
        <f t="shared" si="84"/>
        <v>475382</v>
      </c>
      <c r="AF80" s="1478">
        <f t="shared" si="84"/>
        <v>471514</v>
      </c>
      <c r="AG80" s="1478">
        <f t="shared" si="84"/>
        <v>476579</v>
      </c>
      <c r="AH80" s="1478">
        <f t="shared" si="84"/>
        <v>489471</v>
      </c>
      <c r="AI80" s="1478">
        <f t="shared" si="84"/>
        <v>495493</v>
      </c>
      <c r="AJ80" s="1478">
        <f t="shared" si="84"/>
        <v>447778</v>
      </c>
      <c r="AK80" s="1478">
        <f t="shared" si="84"/>
        <v>461825</v>
      </c>
      <c r="AL80" s="1478">
        <f t="shared" si="84"/>
        <v>436835</v>
      </c>
      <c r="AM80" s="1478">
        <f t="shared" si="84"/>
        <v>581882</v>
      </c>
      <c r="AN80" s="1478">
        <f t="shared" si="84"/>
        <v>331277</v>
      </c>
      <c r="AO80" s="1478">
        <f t="shared" si="84"/>
        <v>391140</v>
      </c>
      <c r="AP80" s="1478">
        <f t="shared" si="84"/>
        <v>351194</v>
      </c>
      <c r="AQ80" s="1478">
        <f t="shared" si="84"/>
        <v>390220</v>
      </c>
      <c r="AR80" s="1478">
        <f t="shared" si="84"/>
        <v>435753</v>
      </c>
      <c r="AS80" s="1478">
        <f t="shared" si="84"/>
        <v>404879</v>
      </c>
      <c r="AT80" s="1478">
        <f t="shared" si="84"/>
        <v>556768</v>
      </c>
      <c r="AU80" s="1478">
        <f t="shared" si="84"/>
        <v>578548</v>
      </c>
      <c r="AV80" s="1478">
        <f t="shared" si="84"/>
        <v>589838</v>
      </c>
      <c r="AW80" s="1478">
        <f t="shared" si="84"/>
        <v>534409</v>
      </c>
      <c r="AX80" s="1478">
        <f t="shared" si="84"/>
        <v>554313</v>
      </c>
      <c r="AY80" s="1478">
        <f t="shared" si="84"/>
        <v>489560</v>
      </c>
      <c r="AZ80" s="1478">
        <f t="shared" si="84"/>
        <v>510043</v>
      </c>
      <c r="BA80" s="1478">
        <f t="shared" si="84"/>
        <v>519187</v>
      </c>
      <c r="BB80" s="1478">
        <f t="shared" si="84"/>
        <v>524343</v>
      </c>
      <c r="BC80" s="1478">
        <f t="shared" si="84"/>
        <v>510303</v>
      </c>
      <c r="BD80" s="1478">
        <f t="shared" si="84"/>
        <v>479164</v>
      </c>
      <c r="BE80" s="1478">
        <f t="shared" si="84"/>
        <v>465736</v>
      </c>
      <c r="BF80" s="1478">
        <f t="shared" si="84"/>
        <v>463919</v>
      </c>
      <c r="BG80" s="1478">
        <f t="shared" si="84"/>
        <v>445307</v>
      </c>
      <c r="BH80" s="1478">
        <f t="shared" si="84"/>
        <v>467050</v>
      </c>
      <c r="BI80" s="1478">
        <f t="shared" si="84"/>
        <v>458657</v>
      </c>
      <c r="BJ80" s="1478">
        <f t="shared" si="84"/>
        <v>456765</v>
      </c>
      <c r="BK80" s="1478">
        <f t="shared" si="84"/>
        <v>490882</v>
      </c>
      <c r="BL80" s="1478">
        <f t="shared" si="84"/>
        <v>622980</v>
      </c>
      <c r="BM80" s="1478">
        <f t="shared" si="84"/>
        <v>619880</v>
      </c>
      <c r="BN80" s="1478">
        <f t="shared" si="84"/>
        <v>623212</v>
      </c>
      <c r="BO80" s="1478">
        <f t="shared" si="84"/>
        <v>623112</v>
      </c>
      <c r="BP80" s="1478">
        <f t="shared" si="84"/>
        <v>689372</v>
      </c>
      <c r="BQ80" s="1478">
        <f t="shared" ref="BQ80:DH80" si="85">+BQ79+BQ78</f>
        <v>633431</v>
      </c>
      <c r="BR80" s="1478">
        <f t="shared" si="85"/>
        <v>619219</v>
      </c>
      <c r="BS80" s="1478">
        <f t="shared" si="85"/>
        <v>381860</v>
      </c>
      <c r="BT80" s="1478">
        <f t="shared" si="85"/>
        <v>629608</v>
      </c>
      <c r="BU80" s="1478">
        <f t="shared" si="85"/>
        <v>612578</v>
      </c>
      <c r="BV80" s="1478">
        <f t="shared" si="85"/>
        <v>613839</v>
      </c>
      <c r="BW80" s="1478">
        <f t="shared" si="85"/>
        <v>629252</v>
      </c>
      <c r="BX80" s="1478">
        <f t="shared" si="85"/>
        <v>626004</v>
      </c>
      <c r="BY80" s="1478">
        <f t="shared" si="85"/>
        <v>667954</v>
      </c>
      <c r="BZ80" s="1478">
        <f t="shared" si="85"/>
        <v>690908</v>
      </c>
      <c r="CA80" s="1478">
        <f t="shared" si="85"/>
        <v>575964</v>
      </c>
      <c r="CB80" s="1478">
        <f t="shared" si="85"/>
        <v>564484</v>
      </c>
      <c r="CC80" s="1478">
        <f t="shared" si="85"/>
        <v>575349</v>
      </c>
      <c r="CD80" s="1478">
        <f t="shared" si="85"/>
        <v>589452</v>
      </c>
      <c r="CE80" s="1478">
        <f t="shared" si="85"/>
        <v>621302</v>
      </c>
      <c r="CF80" s="1478">
        <f t="shared" si="85"/>
        <v>647203</v>
      </c>
      <c r="CG80" s="1478">
        <f t="shared" si="85"/>
        <v>627087</v>
      </c>
      <c r="CH80" s="1478">
        <f t="shared" si="85"/>
        <v>644519</v>
      </c>
      <c r="CI80" s="1478">
        <f t="shared" si="85"/>
        <v>654607</v>
      </c>
      <c r="CJ80" s="1478">
        <f t="shared" si="85"/>
        <v>623113</v>
      </c>
      <c r="CK80" s="1478">
        <f t="shared" si="85"/>
        <v>639866</v>
      </c>
      <c r="CL80" s="1478">
        <f t="shared" si="85"/>
        <v>675558</v>
      </c>
      <c r="CM80" s="1478">
        <f t="shared" si="85"/>
        <v>642727</v>
      </c>
      <c r="CN80" s="1478">
        <f t="shared" si="85"/>
        <v>623801</v>
      </c>
      <c r="CO80" s="1478">
        <f t="shared" si="85"/>
        <v>631939</v>
      </c>
      <c r="CP80" s="1478">
        <f t="shared" si="85"/>
        <v>827845</v>
      </c>
      <c r="CQ80" s="1478">
        <f t="shared" si="85"/>
        <v>820269</v>
      </c>
      <c r="CR80" s="1478">
        <f t="shared" si="85"/>
        <v>835376</v>
      </c>
      <c r="CS80" s="1478">
        <f t="shared" si="85"/>
        <v>791311</v>
      </c>
      <c r="CT80" s="1478">
        <f t="shared" si="85"/>
        <v>766702</v>
      </c>
      <c r="CU80" s="1478">
        <f t="shared" si="85"/>
        <v>748638</v>
      </c>
      <c r="CV80" s="1478">
        <f t="shared" si="85"/>
        <v>799880</v>
      </c>
      <c r="CW80" s="1478">
        <f t="shared" si="85"/>
        <v>804939</v>
      </c>
      <c r="CX80" s="1478">
        <f t="shared" si="85"/>
        <v>836492</v>
      </c>
      <c r="CY80" s="1478">
        <f t="shared" si="85"/>
        <v>864228</v>
      </c>
      <c r="CZ80" s="1478">
        <f t="shared" si="85"/>
        <v>881867</v>
      </c>
      <c r="DA80" s="1478">
        <f t="shared" si="85"/>
        <v>896297</v>
      </c>
      <c r="DB80" s="1478">
        <f t="shared" si="85"/>
        <v>898729</v>
      </c>
      <c r="DC80" s="1478">
        <f t="shared" si="85"/>
        <v>1014182</v>
      </c>
      <c r="DD80" s="1478">
        <f t="shared" si="85"/>
        <v>1016410</v>
      </c>
      <c r="DE80" s="1478">
        <f t="shared" si="85"/>
        <v>1034866</v>
      </c>
      <c r="DF80" s="1478">
        <f t="shared" si="85"/>
        <v>1115365</v>
      </c>
      <c r="DG80" s="1478">
        <f t="shared" si="85"/>
        <v>1244146</v>
      </c>
      <c r="DH80" s="1478">
        <f t="shared" si="85"/>
        <v>1092522</v>
      </c>
      <c r="DI80" s="1478">
        <f t="shared" ref="DI80:EF80" si="86">+DI79+DI78</f>
        <v>1176436</v>
      </c>
      <c r="DJ80" s="1478">
        <f t="shared" si="86"/>
        <v>1190049</v>
      </c>
      <c r="DK80" s="1478">
        <f t="shared" si="86"/>
        <v>1153705</v>
      </c>
      <c r="DL80" s="1478">
        <f t="shared" si="86"/>
        <v>1153824</v>
      </c>
      <c r="DM80" s="1478">
        <f t="shared" si="86"/>
        <v>1200278</v>
      </c>
      <c r="DN80" s="1478">
        <f t="shared" si="86"/>
        <v>1261071</v>
      </c>
      <c r="DO80" s="1478">
        <f t="shared" si="86"/>
        <v>1356356</v>
      </c>
      <c r="DP80" s="1478">
        <f t="shared" si="86"/>
        <v>1432360</v>
      </c>
      <c r="DQ80" s="1478">
        <f t="shared" si="86"/>
        <v>1250144</v>
      </c>
      <c r="DR80" s="1478">
        <f t="shared" si="86"/>
        <v>1226389</v>
      </c>
      <c r="DS80" s="1478">
        <f t="shared" si="86"/>
        <v>1166007</v>
      </c>
      <c r="DT80" s="1478">
        <f t="shared" si="86"/>
        <v>1147288</v>
      </c>
      <c r="DU80" s="1478">
        <f t="shared" si="86"/>
        <v>1172600</v>
      </c>
      <c r="DV80" s="1478">
        <f t="shared" si="86"/>
        <v>1428894</v>
      </c>
      <c r="DW80" s="1478">
        <f t="shared" si="86"/>
        <v>1528222</v>
      </c>
      <c r="DX80" s="1478">
        <f t="shared" si="86"/>
        <v>1518148</v>
      </c>
      <c r="DY80" s="1478">
        <f t="shared" si="86"/>
        <v>1617745</v>
      </c>
      <c r="DZ80" s="1478">
        <f t="shared" si="86"/>
        <v>1640956</v>
      </c>
      <c r="EA80" s="1478">
        <f t="shared" si="86"/>
        <v>1557188</v>
      </c>
      <c r="EB80" s="1478">
        <f t="shared" si="86"/>
        <v>1389477</v>
      </c>
      <c r="EC80" s="1478">
        <f t="shared" si="86"/>
        <v>1408774</v>
      </c>
      <c r="ED80" s="1478">
        <f t="shared" si="86"/>
        <v>1427234</v>
      </c>
      <c r="EE80" s="1478">
        <f t="shared" si="86"/>
        <v>1320019</v>
      </c>
      <c r="EF80" s="1478">
        <f t="shared" si="86"/>
        <v>1377047</v>
      </c>
      <c r="EG80" s="1472">
        <f t="shared" ref="EG80:FC80" si="87">+AG40</f>
        <v>1359166</v>
      </c>
      <c r="EH80" s="1472">
        <f t="shared" si="87"/>
        <v>1381355</v>
      </c>
      <c r="EI80" s="1472">
        <f t="shared" si="87"/>
        <v>1295910</v>
      </c>
      <c r="EJ80" s="1472">
        <f t="shared" si="87"/>
        <v>1195915</v>
      </c>
      <c r="EK80" s="1472">
        <f t="shared" si="87"/>
        <v>1197611</v>
      </c>
      <c r="EL80" s="1472">
        <f t="shared" si="87"/>
        <v>1168249</v>
      </c>
      <c r="EM80" s="1472">
        <f t="shared" si="87"/>
        <v>1190402</v>
      </c>
      <c r="EN80" s="1472">
        <f t="shared" si="87"/>
        <v>1204481</v>
      </c>
      <c r="EO80" s="1472">
        <f t="shared" si="87"/>
        <v>1225674</v>
      </c>
      <c r="EP80" s="1472">
        <f t="shared" si="87"/>
        <v>1312914</v>
      </c>
      <c r="EQ80" s="1472">
        <f t="shared" si="87"/>
        <v>1327670</v>
      </c>
      <c r="ER80" s="1472">
        <f t="shared" si="87"/>
        <v>1220785</v>
      </c>
      <c r="ES80" s="1472">
        <f t="shared" si="87"/>
        <v>1301679</v>
      </c>
      <c r="ET80" s="1472">
        <f t="shared" si="87"/>
        <v>1393889</v>
      </c>
      <c r="EU80" s="1472">
        <f t="shared" si="87"/>
        <v>1332473</v>
      </c>
      <c r="EV80" s="1472">
        <f t="shared" si="87"/>
        <v>1359646</v>
      </c>
      <c r="EW80" s="1472">
        <f t="shared" si="87"/>
        <v>1358293</v>
      </c>
      <c r="EX80" s="1472">
        <f t="shared" si="87"/>
        <v>1318338</v>
      </c>
      <c r="EY80" s="1472">
        <f t="shared" si="87"/>
        <v>1366955</v>
      </c>
      <c r="EZ80" s="1472">
        <f t="shared" si="87"/>
        <v>1326563</v>
      </c>
      <c r="FA80" s="1472">
        <f t="shared" si="87"/>
        <v>1327372</v>
      </c>
      <c r="FB80" s="1472">
        <f t="shared" si="87"/>
        <v>1414315</v>
      </c>
      <c r="FC80" s="1472">
        <f t="shared" si="87"/>
        <v>1471698</v>
      </c>
      <c r="FD80" s="1472"/>
      <c r="FE80" s="1472"/>
    </row>
    <row r="81" spans="5:159" ht="12" x14ac:dyDescent="0.3">
      <c r="AS81" s="1476">
        <f t="shared" ref="AS81:DD81" si="88">+AS80/AG80-1</f>
        <v>-0.15044725008865267</v>
      </c>
      <c r="AT81" s="1476">
        <f t="shared" si="88"/>
        <v>0.13748924859695477</v>
      </c>
      <c r="AU81" s="1476">
        <f t="shared" si="88"/>
        <v>0.16762093510907317</v>
      </c>
      <c r="AV81" s="1476">
        <f t="shared" si="88"/>
        <v>0.31725542567968956</v>
      </c>
      <c r="AW81" s="1476">
        <f t="shared" si="88"/>
        <v>0.15716775835002439</v>
      </c>
      <c r="AX81" s="1476">
        <f t="shared" si="88"/>
        <v>0.26892991632996432</v>
      </c>
      <c r="AY81" s="1476">
        <f t="shared" si="88"/>
        <v>-0.15866103436779277</v>
      </c>
      <c r="AZ81" s="1476">
        <f t="shared" si="88"/>
        <v>0.53962695870827138</v>
      </c>
      <c r="BA81" s="1476">
        <f t="shared" si="88"/>
        <v>0.32736871708339721</v>
      </c>
      <c r="BB81" s="1476">
        <f t="shared" si="88"/>
        <v>0.49302949367016513</v>
      </c>
      <c r="BC81" s="1476">
        <f t="shared" si="88"/>
        <v>0.30773153605658354</v>
      </c>
      <c r="BD81" s="1476">
        <f t="shared" si="88"/>
        <v>9.9622951534470205E-2</v>
      </c>
      <c r="BE81" s="1476">
        <f t="shared" si="88"/>
        <v>0.15030910469547698</v>
      </c>
      <c r="BF81" s="1476">
        <f t="shared" si="88"/>
        <v>-0.16676425369274095</v>
      </c>
      <c r="BG81" s="1476">
        <f t="shared" si="88"/>
        <v>-0.23030241224582926</v>
      </c>
      <c r="BH81" s="1476">
        <f t="shared" si="88"/>
        <v>-0.20817241344233506</v>
      </c>
      <c r="BI81" s="1476">
        <f t="shared" si="88"/>
        <v>-0.14174910976424426</v>
      </c>
      <c r="BJ81" s="1476">
        <f t="shared" si="88"/>
        <v>-0.17597999686097932</v>
      </c>
      <c r="BK81" s="1476">
        <f t="shared" si="88"/>
        <v>2.7003840183021932E-3</v>
      </c>
      <c r="BL81" s="1476">
        <f t="shared" si="88"/>
        <v>0.22142642875208551</v>
      </c>
      <c r="BM81" s="1476">
        <f t="shared" si="88"/>
        <v>0.19394360798710286</v>
      </c>
      <c r="BN81" s="1476">
        <f t="shared" si="88"/>
        <v>0.18855787146962966</v>
      </c>
      <c r="BO81" s="1476">
        <f t="shared" si="88"/>
        <v>0.22106278034814619</v>
      </c>
      <c r="BP81" s="1476">
        <f t="shared" si="88"/>
        <v>0.4386973979681279</v>
      </c>
      <c r="BQ81" s="1476">
        <f t="shared" si="88"/>
        <v>0.36006450006011992</v>
      </c>
      <c r="BR81" s="1476">
        <f t="shared" si="88"/>
        <v>0.33475671399533113</v>
      </c>
      <c r="BS81" s="1476">
        <f t="shared" si="88"/>
        <v>-0.14247923342772517</v>
      </c>
      <c r="BT81" s="1476">
        <f t="shared" si="88"/>
        <v>0.34805267102023341</v>
      </c>
      <c r="BU81" s="1476">
        <f t="shared" si="88"/>
        <v>0.33559064834942021</v>
      </c>
      <c r="BV81" s="1476">
        <f t="shared" si="88"/>
        <v>0.34388361630159925</v>
      </c>
      <c r="BW81" s="1476">
        <f t="shared" si="88"/>
        <v>0.28188037043525727</v>
      </c>
      <c r="BX81" s="1476">
        <f t="shared" si="88"/>
        <v>4.8540884137533435E-3</v>
      </c>
      <c r="BY81" s="1476">
        <f t="shared" si="88"/>
        <v>7.7553720074853283E-2</v>
      </c>
      <c r="BZ81" s="1476">
        <f t="shared" si="88"/>
        <v>0.10862435254776859</v>
      </c>
      <c r="CA81" s="1476">
        <f t="shared" si="88"/>
        <v>-7.5665369949543537E-2</v>
      </c>
      <c r="CB81" s="1476">
        <f t="shared" si="88"/>
        <v>-0.18116198511108661</v>
      </c>
      <c r="CC81" s="1476">
        <f t="shared" si="88"/>
        <v>-9.1694280829324737E-2</v>
      </c>
      <c r="CD81" s="1476">
        <f t="shared" si="88"/>
        <v>-4.8071845340663E-2</v>
      </c>
      <c r="CE81" s="1476">
        <f t="shared" si="88"/>
        <v>0.62704132404546176</v>
      </c>
      <c r="CF81" s="1476">
        <f t="shared" si="88"/>
        <v>2.7945960025920868E-2</v>
      </c>
      <c r="CG81" s="1476">
        <f t="shared" si="88"/>
        <v>2.3685147034336884E-2</v>
      </c>
      <c r="CH81" s="1476">
        <f t="shared" si="88"/>
        <v>4.9980532354575002E-2</v>
      </c>
      <c r="CI81" s="1476">
        <f t="shared" si="88"/>
        <v>4.0293872725076785E-2</v>
      </c>
      <c r="CJ81" s="1476">
        <f t="shared" si="88"/>
        <v>-4.6181813534738048E-3</v>
      </c>
      <c r="CK81" s="1476">
        <f t="shared" si="88"/>
        <v>-4.2050799905382741E-2</v>
      </c>
      <c r="CL81" s="1476">
        <f t="shared" si="88"/>
        <v>-2.2217140342853159E-2</v>
      </c>
      <c r="CM81" s="1476">
        <f t="shared" si="88"/>
        <v>0.1159152308130369</v>
      </c>
      <c r="CN81" s="1476">
        <f t="shared" si="88"/>
        <v>0.10508180922754229</v>
      </c>
      <c r="CO81" s="1476">
        <f t="shared" si="88"/>
        <v>9.8357692461445101E-2</v>
      </c>
      <c r="CP81" s="1476">
        <f t="shared" si="88"/>
        <v>0.40443157373289096</v>
      </c>
      <c r="CQ81" s="1476">
        <f t="shared" si="88"/>
        <v>0.32024200791241619</v>
      </c>
      <c r="CR81" s="1476">
        <f t="shared" si="88"/>
        <v>0.29074803423346318</v>
      </c>
      <c r="CS81" s="1476">
        <f t="shared" si="88"/>
        <v>0.26188391722360693</v>
      </c>
      <c r="CT81" s="1476">
        <f t="shared" si="88"/>
        <v>0.18957237878169608</v>
      </c>
      <c r="CU81" s="1476">
        <f t="shared" si="88"/>
        <v>0.14364496560531737</v>
      </c>
      <c r="CV81" s="1476">
        <f t="shared" si="88"/>
        <v>0.28368369782045955</v>
      </c>
      <c r="CW81" s="1476">
        <f t="shared" si="88"/>
        <v>0.25798057718334766</v>
      </c>
      <c r="CX81" s="1476">
        <f t="shared" si="88"/>
        <v>0.23822380905858553</v>
      </c>
      <c r="CY81" s="1476">
        <f t="shared" si="88"/>
        <v>0.34462687890815236</v>
      </c>
      <c r="CZ81" s="1476">
        <f t="shared" si="88"/>
        <v>0.41369924062321162</v>
      </c>
      <c r="DA81" s="1476">
        <f t="shared" si="88"/>
        <v>0.41832835131238943</v>
      </c>
      <c r="DB81" s="1476">
        <f t="shared" si="88"/>
        <v>8.5624724435129806E-2</v>
      </c>
      <c r="DC81" s="1476">
        <f t="shared" si="88"/>
        <v>0.23640171699771662</v>
      </c>
      <c r="DD81" s="1476">
        <f t="shared" si="88"/>
        <v>0.21670960142498696</v>
      </c>
      <c r="DE81" s="1476">
        <f t="shared" ref="DE81:DZ81" si="89">+DE80/CS80-1</f>
        <v>0.30778669827665728</v>
      </c>
      <c r="DF81" s="1476">
        <f t="shared" si="89"/>
        <v>0.45475686772696555</v>
      </c>
      <c r="DG81" s="1476">
        <f t="shared" si="89"/>
        <v>0.6618793061533077</v>
      </c>
      <c r="DH81" s="1476">
        <f t="shared" si="89"/>
        <v>0.36585737860679113</v>
      </c>
      <c r="DI81" s="1476">
        <f t="shared" si="89"/>
        <v>0.4615219289908925</v>
      </c>
      <c r="DJ81" s="1476">
        <f t="shared" si="89"/>
        <v>0.42266632555959882</v>
      </c>
      <c r="DK81" s="1476">
        <f t="shared" si="89"/>
        <v>0.33495443332083674</v>
      </c>
      <c r="DL81" s="1476">
        <f t="shared" si="89"/>
        <v>0.30838777275938445</v>
      </c>
      <c r="DM81" s="1476">
        <f t="shared" si="89"/>
        <v>0.33915208909546735</v>
      </c>
      <c r="DN81" s="1476">
        <f t="shared" si="89"/>
        <v>0.40317159010113168</v>
      </c>
      <c r="DO81" s="1476">
        <f t="shared" si="89"/>
        <v>0.33738914711560652</v>
      </c>
      <c r="DP81" s="1476">
        <f t="shared" si="89"/>
        <v>0.40923446247085327</v>
      </c>
      <c r="DQ81" s="1476">
        <f t="shared" si="89"/>
        <v>0.20802500033820803</v>
      </c>
      <c r="DR81" s="1476">
        <f t="shared" si="89"/>
        <v>9.9540509160678248E-2</v>
      </c>
      <c r="DS81" s="1476">
        <f t="shared" si="89"/>
        <v>-6.280532992108645E-2</v>
      </c>
      <c r="DT81" s="1476">
        <f t="shared" si="89"/>
        <v>5.0128052341280149E-2</v>
      </c>
      <c r="DU81" s="1476">
        <f t="shared" si="89"/>
        <v>-3.2606958644584294E-3</v>
      </c>
      <c r="DV81" s="1476">
        <f t="shared" si="89"/>
        <v>0.20070181984103175</v>
      </c>
      <c r="DW81" s="1476">
        <f t="shared" si="89"/>
        <v>0.32462111198269916</v>
      </c>
      <c r="DX81" s="1476">
        <f t="shared" si="89"/>
        <v>0.315753529134426</v>
      </c>
      <c r="DY81" s="1476">
        <f t="shared" si="89"/>
        <v>0.34780859100974948</v>
      </c>
      <c r="DZ81" s="1476">
        <f t="shared" si="89"/>
        <v>0.3012399777649315</v>
      </c>
      <c r="EA81" s="1476">
        <f>+EA80/DO80-1</f>
        <v>0.14806732155864677</v>
      </c>
      <c r="EB81" s="1476">
        <f>+EB80/DP80-1</f>
        <v>-2.9938702560808772E-2</v>
      </c>
      <c r="EC81" s="1476">
        <f>+EC80/DQ80-1</f>
        <v>0.12688938234315406</v>
      </c>
      <c r="ED81" s="1476">
        <f>+ED80/DR80-1</f>
        <v>0.16376940758601055</v>
      </c>
      <c r="EE81" s="1476">
        <f>+EE80/DS80-1</f>
        <v>0.13208497033036681</v>
      </c>
      <c r="EF81" s="1476">
        <f t="shared" ref="EF81:FC81" si="90">+EF80/DT80-1</f>
        <v>0.20026270648694999</v>
      </c>
      <c r="EG81" s="1476">
        <f t="shared" si="90"/>
        <v>0.15910455398260281</v>
      </c>
      <c r="EH81" s="1476">
        <f t="shared" si="90"/>
        <v>-3.3269787681941443E-2</v>
      </c>
      <c r="EI81" s="1476">
        <f t="shared" si="90"/>
        <v>-0.15201456332914987</v>
      </c>
      <c r="EJ81" s="1476">
        <f t="shared" si="90"/>
        <v>-0.21225400949051076</v>
      </c>
      <c r="EK81" s="1476">
        <f t="shared" si="90"/>
        <v>-0.25970347613499034</v>
      </c>
      <c r="EL81" s="1476">
        <f t="shared" si="90"/>
        <v>-0.28806805301299976</v>
      </c>
      <c r="EM81" s="1476">
        <f t="shared" si="90"/>
        <v>-0.23554381359219312</v>
      </c>
      <c r="EN81" s="1476">
        <f t="shared" si="90"/>
        <v>-0.13314074288383326</v>
      </c>
      <c r="EO81" s="1476">
        <f t="shared" si="90"/>
        <v>-0.12997116641846029</v>
      </c>
      <c r="EP81" s="1476">
        <f t="shared" si="90"/>
        <v>-8.009898867319587E-2</v>
      </c>
      <c r="EQ81" s="1476">
        <f t="shared" si="90"/>
        <v>5.7961286920868993E-3</v>
      </c>
      <c r="ER81" s="1476">
        <f t="shared" si="90"/>
        <v>-0.1134761558610563</v>
      </c>
      <c r="ES81" s="1476">
        <f t="shared" si="90"/>
        <v>-4.2295790212527384E-2</v>
      </c>
      <c r="ET81" s="1476">
        <f t="shared" si="90"/>
        <v>9.0736993748892214E-3</v>
      </c>
      <c r="EU81" s="1476">
        <f t="shared" si="90"/>
        <v>2.8214150674043648E-2</v>
      </c>
      <c r="EV81" s="1476">
        <f t="shared" si="90"/>
        <v>0.13690855955481784</v>
      </c>
      <c r="EW81" s="1476">
        <f t="shared" si="90"/>
        <v>0.13416877433490515</v>
      </c>
      <c r="EX81" s="1476">
        <f t="shared" si="90"/>
        <v>0.12847346755700206</v>
      </c>
      <c r="EY81" s="1476">
        <f t="shared" si="90"/>
        <v>0.14831376291370479</v>
      </c>
      <c r="EZ81" s="1476">
        <f t="shared" si="90"/>
        <v>0.10135651786952216</v>
      </c>
      <c r="FA81" s="1476">
        <f t="shared" si="90"/>
        <v>8.2973123359066037E-2</v>
      </c>
      <c r="FB81" s="1476">
        <f t="shared" si="90"/>
        <v>7.7233543095739599E-2</v>
      </c>
      <c r="FC81" s="1476">
        <f t="shared" si="90"/>
        <v>0.10848177634502543</v>
      </c>
    </row>
    <row r="82" spans="5:159" x14ac:dyDescent="0.25">
      <c r="E82" s="1467">
        <v>1</v>
      </c>
      <c r="F82" s="1467">
        <v>2</v>
      </c>
      <c r="G82" s="1467">
        <v>3</v>
      </c>
      <c r="H82" s="1467">
        <v>4</v>
      </c>
      <c r="I82" s="1467">
        <f>+E82</f>
        <v>1</v>
      </c>
      <c r="J82" s="1467">
        <f t="shared" ref="J82:BC82" si="91">+F82</f>
        <v>2</v>
      </c>
      <c r="K82" s="1467">
        <f t="shared" si="91"/>
        <v>3</v>
      </c>
      <c r="L82" s="1467">
        <f t="shared" si="91"/>
        <v>4</v>
      </c>
      <c r="M82" s="1467">
        <f t="shared" si="91"/>
        <v>1</v>
      </c>
      <c r="N82" s="1467">
        <f t="shared" si="91"/>
        <v>2</v>
      </c>
      <c r="O82" s="1467">
        <f t="shared" si="91"/>
        <v>3</v>
      </c>
      <c r="P82" s="1467">
        <f t="shared" si="91"/>
        <v>4</v>
      </c>
      <c r="Q82" s="1467">
        <f t="shared" si="91"/>
        <v>1</v>
      </c>
      <c r="R82" s="1467">
        <f t="shared" si="91"/>
        <v>2</v>
      </c>
      <c r="S82" s="1467">
        <f t="shared" si="91"/>
        <v>3</v>
      </c>
      <c r="T82" s="1467">
        <f t="shared" si="91"/>
        <v>4</v>
      </c>
      <c r="U82" s="1467">
        <f t="shared" si="91"/>
        <v>1</v>
      </c>
      <c r="V82" s="1467">
        <f t="shared" si="91"/>
        <v>2</v>
      </c>
      <c r="W82" s="1467">
        <f t="shared" si="91"/>
        <v>3</v>
      </c>
      <c r="X82" s="1467">
        <f t="shared" si="91"/>
        <v>4</v>
      </c>
      <c r="Y82" s="1467">
        <f t="shared" si="91"/>
        <v>1</v>
      </c>
      <c r="Z82" s="1467">
        <f t="shared" si="91"/>
        <v>2</v>
      </c>
      <c r="AA82" s="1467">
        <f t="shared" si="91"/>
        <v>3</v>
      </c>
      <c r="AB82" s="1467">
        <f t="shared" si="91"/>
        <v>4</v>
      </c>
      <c r="AC82" s="1467">
        <f t="shared" si="91"/>
        <v>1</v>
      </c>
      <c r="AD82" s="1467">
        <f t="shared" si="91"/>
        <v>2</v>
      </c>
      <c r="AE82" s="1467">
        <f t="shared" si="91"/>
        <v>3</v>
      </c>
      <c r="AF82" s="1467">
        <f t="shared" si="91"/>
        <v>4</v>
      </c>
      <c r="AG82" s="1467">
        <f t="shared" si="91"/>
        <v>1</v>
      </c>
      <c r="AH82" s="1467">
        <f t="shared" si="91"/>
        <v>2</v>
      </c>
      <c r="AI82" s="1467">
        <f t="shared" si="91"/>
        <v>3</v>
      </c>
      <c r="AJ82" s="1467">
        <f t="shared" si="91"/>
        <v>4</v>
      </c>
      <c r="AK82" s="1467">
        <f t="shared" si="91"/>
        <v>1</v>
      </c>
      <c r="AL82" s="1467">
        <f t="shared" si="91"/>
        <v>2</v>
      </c>
      <c r="AM82" s="1467">
        <f t="shared" si="91"/>
        <v>3</v>
      </c>
      <c r="AN82" s="1467">
        <f t="shared" si="91"/>
        <v>4</v>
      </c>
      <c r="AO82" s="1467">
        <f t="shared" si="91"/>
        <v>1</v>
      </c>
      <c r="AP82" s="1467">
        <f t="shared" si="91"/>
        <v>2</v>
      </c>
      <c r="AQ82" s="1467">
        <f t="shared" si="91"/>
        <v>3</v>
      </c>
      <c r="AR82" s="1467">
        <f t="shared" si="91"/>
        <v>4</v>
      </c>
      <c r="AS82" s="1467">
        <f t="shared" si="91"/>
        <v>1</v>
      </c>
      <c r="AT82" s="1467">
        <f t="shared" si="91"/>
        <v>2</v>
      </c>
      <c r="AU82" s="1467">
        <f t="shared" si="91"/>
        <v>3</v>
      </c>
      <c r="AV82" s="1467">
        <f t="shared" si="91"/>
        <v>4</v>
      </c>
      <c r="AW82" s="1467">
        <f t="shared" si="91"/>
        <v>1</v>
      </c>
      <c r="AX82" s="1467">
        <f t="shared" si="91"/>
        <v>2</v>
      </c>
      <c r="AY82" s="1467">
        <f t="shared" si="91"/>
        <v>3</v>
      </c>
      <c r="AZ82" s="1467">
        <f t="shared" si="91"/>
        <v>4</v>
      </c>
      <c r="BA82" s="1467">
        <f t="shared" si="91"/>
        <v>1</v>
      </c>
      <c r="BB82" s="1467">
        <f t="shared" si="91"/>
        <v>2</v>
      </c>
      <c r="BC82" s="1467">
        <f t="shared" si="91"/>
        <v>3</v>
      </c>
      <c r="EA82" s="1479"/>
      <c r="EB82" s="1479"/>
      <c r="EC82" s="1479"/>
      <c r="ED82" s="1479"/>
      <c r="EE82" s="1479"/>
      <c r="EF82" s="1479"/>
      <c r="EG82" s="1479"/>
      <c r="EH82" s="1479"/>
      <c r="EI82" s="1479"/>
      <c r="EJ82" s="1479"/>
      <c r="EK82" s="1479"/>
      <c r="EL82" s="1479"/>
      <c r="EM82" s="1479"/>
      <c r="EN82" s="1479"/>
      <c r="EO82" s="1479"/>
      <c r="EP82" s="1479"/>
      <c r="EQ82" s="1479"/>
      <c r="ER82" s="1479"/>
      <c r="ES82" s="1479"/>
      <c r="ET82" s="1479"/>
      <c r="EU82" s="1479"/>
      <c r="EV82" s="1479"/>
      <c r="EW82" s="1479"/>
      <c r="EX82" s="1479"/>
      <c r="EY82" s="1479"/>
      <c r="EZ82" s="1479"/>
      <c r="FA82" s="1479"/>
      <c r="FB82" s="1479"/>
      <c r="FC82" s="1479"/>
    </row>
    <row r="83" spans="5:159" x14ac:dyDescent="0.25">
      <c r="E83" s="1467">
        <v>2012</v>
      </c>
      <c r="F83" s="1467">
        <v>2012</v>
      </c>
      <c r="G83" s="1467">
        <v>2012</v>
      </c>
      <c r="H83" s="1467">
        <v>2012</v>
      </c>
      <c r="I83" s="1467">
        <f>+E83+1</f>
        <v>2013</v>
      </c>
      <c r="J83" s="1467">
        <f t="shared" ref="J83:BC83" si="92">+F83+1</f>
        <v>2013</v>
      </c>
      <c r="K83" s="1467">
        <f t="shared" si="92"/>
        <v>2013</v>
      </c>
      <c r="L83" s="1467">
        <f t="shared" si="92"/>
        <v>2013</v>
      </c>
      <c r="M83" s="1467">
        <f t="shared" si="92"/>
        <v>2014</v>
      </c>
      <c r="N83" s="1467">
        <f t="shared" si="92"/>
        <v>2014</v>
      </c>
      <c r="O83" s="1467">
        <f t="shared" si="92"/>
        <v>2014</v>
      </c>
      <c r="P83" s="1467">
        <f t="shared" si="92"/>
        <v>2014</v>
      </c>
      <c r="Q83" s="1467">
        <f t="shared" si="92"/>
        <v>2015</v>
      </c>
      <c r="R83" s="1467">
        <f t="shared" si="92"/>
        <v>2015</v>
      </c>
      <c r="S83" s="1467">
        <f t="shared" si="92"/>
        <v>2015</v>
      </c>
      <c r="T83" s="1467">
        <f t="shared" si="92"/>
        <v>2015</v>
      </c>
      <c r="U83" s="1467">
        <f t="shared" si="92"/>
        <v>2016</v>
      </c>
      <c r="V83" s="1467">
        <f t="shared" si="92"/>
        <v>2016</v>
      </c>
      <c r="W83" s="1467">
        <f t="shared" si="92"/>
        <v>2016</v>
      </c>
      <c r="X83" s="1467">
        <f t="shared" si="92"/>
        <v>2016</v>
      </c>
      <c r="Y83" s="1467">
        <f t="shared" si="92"/>
        <v>2017</v>
      </c>
      <c r="Z83" s="1467">
        <f t="shared" si="92"/>
        <v>2017</v>
      </c>
      <c r="AA83" s="1467">
        <f t="shared" si="92"/>
        <v>2017</v>
      </c>
      <c r="AB83" s="1467">
        <f t="shared" si="92"/>
        <v>2017</v>
      </c>
      <c r="AC83" s="1467">
        <f t="shared" si="92"/>
        <v>2018</v>
      </c>
      <c r="AD83" s="1467">
        <f t="shared" si="92"/>
        <v>2018</v>
      </c>
      <c r="AE83" s="1467">
        <f t="shared" si="92"/>
        <v>2018</v>
      </c>
      <c r="AF83" s="1467">
        <f t="shared" si="92"/>
        <v>2018</v>
      </c>
      <c r="AG83" s="1467">
        <f t="shared" si="92"/>
        <v>2019</v>
      </c>
      <c r="AH83" s="1467">
        <f t="shared" si="92"/>
        <v>2019</v>
      </c>
      <c r="AI83" s="1467">
        <f t="shared" si="92"/>
        <v>2019</v>
      </c>
      <c r="AJ83" s="1467">
        <f t="shared" si="92"/>
        <v>2019</v>
      </c>
      <c r="AK83" s="1467">
        <f t="shared" si="92"/>
        <v>2020</v>
      </c>
      <c r="AL83" s="1467">
        <f t="shared" si="92"/>
        <v>2020</v>
      </c>
      <c r="AM83" s="1467">
        <f t="shared" si="92"/>
        <v>2020</v>
      </c>
      <c r="AN83" s="1467">
        <f t="shared" si="92"/>
        <v>2020</v>
      </c>
      <c r="AO83" s="1467">
        <f t="shared" si="92"/>
        <v>2021</v>
      </c>
      <c r="AP83" s="1467">
        <f t="shared" si="92"/>
        <v>2021</v>
      </c>
      <c r="AQ83" s="1467">
        <f t="shared" si="92"/>
        <v>2021</v>
      </c>
      <c r="AR83" s="1467">
        <f t="shared" si="92"/>
        <v>2021</v>
      </c>
      <c r="AS83" s="1467">
        <f t="shared" si="92"/>
        <v>2022</v>
      </c>
      <c r="AT83" s="1467">
        <f t="shared" si="92"/>
        <v>2022</v>
      </c>
      <c r="AU83" s="1467">
        <f t="shared" si="92"/>
        <v>2022</v>
      </c>
      <c r="AV83" s="1467">
        <f t="shared" si="92"/>
        <v>2022</v>
      </c>
      <c r="AW83" s="1467">
        <f t="shared" si="92"/>
        <v>2023</v>
      </c>
      <c r="AX83" s="1467">
        <f t="shared" si="92"/>
        <v>2023</v>
      </c>
      <c r="AY83" s="1467">
        <f t="shared" si="92"/>
        <v>2023</v>
      </c>
      <c r="AZ83" s="1467">
        <f t="shared" si="92"/>
        <v>2023</v>
      </c>
      <c r="BA83" s="1467">
        <f t="shared" si="92"/>
        <v>2024</v>
      </c>
      <c r="BB83" s="1467">
        <f t="shared" si="92"/>
        <v>2024</v>
      </c>
      <c r="BC83" s="1467">
        <f t="shared" si="92"/>
        <v>2024</v>
      </c>
    </row>
  </sheetData>
  <pageMargins left="0.3" right="0.3" top="0.3" bottom="0.3" header="0.3" footer="0.3"/>
  <pageSetup scale="43" fitToHeight="0" orientation="landscape" r:id="rId1"/>
  <colBreaks count="1" manualBreakCount="1">
    <brk id="68"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1B88B-876E-4163-ACA8-9B4702908343}">
  <sheetPr>
    <pageSetUpPr fitToPage="1"/>
  </sheetPr>
  <dimension ref="A1:AZ40"/>
  <sheetViews>
    <sheetView zoomScale="85" zoomScaleNormal="85" workbookViewId="0"/>
  </sheetViews>
  <sheetFormatPr defaultColWidth="8.7265625" defaultRowHeight="12.5" outlineLevelRow="1" x14ac:dyDescent="0.25"/>
  <cols>
    <col min="1" max="1" width="22.54296875" style="884" bestFit="1" customWidth="1"/>
    <col min="2" max="2" width="8.81640625" style="884" bestFit="1" customWidth="1"/>
    <col min="3" max="3" width="16.54296875" style="884" bestFit="1" customWidth="1"/>
    <col min="4" max="4" width="9.81640625" style="884" bestFit="1" customWidth="1"/>
    <col min="5" max="5" width="12.81640625" style="884" customWidth="1"/>
    <col min="6" max="10" width="9.453125" style="884" customWidth="1"/>
    <col min="11" max="11" width="10.54296875" style="884" bestFit="1" customWidth="1"/>
    <col min="12" max="20" width="8.7265625" style="884"/>
    <col min="21" max="21" width="8.81640625" style="884" bestFit="1" customWidth="1"/>
    <col min="22" max="51" width="8.7265625" style="884"/>
    <col min="52" max="52" width="10.453125" style="884" bestFit="1" customWidth="1"/>
    <col min="53" max="16384" width="8.7265625" style="884"/>
  </cols>
  <sheetData>
    <row r="1" spans="1:52" ht="13" x14ac:dyDescent="0.3">
      <c r="A1" s="884" t="s">
        <v>651</v>
      </c>
      <c r="K1" s="1203">
        <f ca="1">TODAY()</f>
        <v>45797</v>
      </c>
      <c r="AY1" s="907"/>
      <c r="AZ1" s="907">
        <f ca="1">TODAY()</f>
        <v>45797</v>
      </c>
    </row>
    <row r="2" spans="1:52" s="886" customFormat="1" ht="13" x14ac:dyDescent="0.3">
      <c r="A2" s="885" t="s">
        <v>987</v>
      </c>
    </row>
    <row r="3" spans="1:52" ht="13" x14ac:dyDescent="0.3">
      <c r="A3" s="887"/>
      <c r="AA3" s="909" t="s">
        <v>758</v>
      </c>
      <c r="AB3" s="909" t="s">
        <v>757</v>
      </c>
      <c r="AC3" s="909" t="s">
        <v>759</v>
      </c>
      <c r="AD3" s="909" t="s">
        <v>760</v>
      </c>
      <c r="AE3" s="909" t="s">
        <v>967</v>
      </c>
      <c r="AF3" s="909" t="s">
        <v>968</v>
      </c>
      <c r="AG3" s="909" t="s">
        <v>969</v>
      </c>
      <c r="AH3" s="909" t="s">
        <v>970</v>
      </c>
    </row>
    <row r="4" spans="1:52" ht="13" customHeight="1" x14ac:dyDescent="0.3">
      <c r="E4" s="1572" t="s">
        <v>1028</v>
      </c>
      <c r="F4" s="897" t="s">
        <v>1029</v>
      </c>
      <c r="G4" s="897"/>
      <c r="H4" s="897"/>
      <c r="I4" s="897"/>
      <c r="J4" s="897"/>
      <c r="K4" s="897"/>
      <c r="M4" s="897" t="s">
        <v>997</v>
      </c>
      <c r="N4" s="897"/>
      <c r="O4" s="897"/>
      <c r="P4" s="897"/>
      <c r="Q4" s="897"/>
      <c r="R4" s="897"/>
      <c r="T4" s="897" t="s">
        <v>996</v>
      </c>
      <c r="U4" s="897"/>
      <c r="V4" s="897"/>
      <c r="W4" s="897"/>
      <c r="X4" s="897"/>
      <c r="Y4" s="897"/>
    </row>
    <row r="5" spans="1:52" s="1202" customFormat="1" ht="14.15" customHeight="1" x14ac:dyDescent="0.4">
      <c r="A5" s="1202" t="s">
        <v>988</v>
      </c>
      <c r="B5" s="1202" t="s">
        <v>989</v>
      </c>
      <c r="C5" s="1202" t="s">
        <v>1032</v>
      </c>
      <c r="D5" s="1202" t="s">
        <v>991</v>
      </c>
      <c r="E5" s="1573"/>
      <c r="F5" s="1202" t="s">
        <v>990</v>
      </c>
      <c r="G5" s="1202" t="s">
        <v>1030</v>
      </c>
      <c r="H5" s="1202" t="s">
        <v>992</v>
      </c>
      <c r="I5" s="1202" t="s">
        <v>993</v>
      </c>
      <c r="J5" s="1202" t="s">
        <v>994</v>
      </c>
      <c r="K5" s="1202" t="s">
        <v>995</v>
      </c>
      <c r="M5" s="1202" t="s">
        <v>990</v>
      </c>
      <c r="N5" s="1202" t="s">
        <v>1030</v>
      </c>
      <c r="O5" s="1202" t="s">
        <v>992</v>
      </c>
      <c r="P5" s="1202" t="s">
        <v>993</v>
      </c>
      <c r="Q5" s="1202" t="s">
        <v>994</v>
      </c>
      <c r="R5" s="1202" t="s">
        <v>995</v>
      </c>
      <c r="T5" s="1202" t="s">
        <v>990</v>
      </c>
      <c r="U5" s="1202" t="s">
        <v>1030</v>
      </c>
      <c r="V5" s="1202" t="s">
        <v>992</v>
      </c>
      <c r="W5" s="1202" t="s">
        <v>993</v>
      </c>
      <c r="X5" s="1202" t="s">
        <v>994</v>
      </c>
      <c r="Y5" s="1202" t="s">
        <v>995</v>
      </c>
    </row>
    <row r="6" spans="1:52" ht="13" x14ac:dyDescent="0.3">
      <c r="A6" s="884" t="s">
        <v>1022</v>
      </c>
      <c r="B6" s="884" t="s">
        <v>1048</v>
      </c>
      <c r="C6" s="884" t="s">
        <v>1036</v>
      </c>
      <c r="D6" s="1203">
        <v>43280</v>
      </c>
      <c r="E6" s="1204">
        <f>_xll.SNL.Clients.Office.Excel.Functions.SPG($B6, "SP_MARKETCAP", T6)</f>
        <v>195.64328</v>
      </c>
      <c r="F6" s="1206">
        <f>IFERROR(M6/$N6-1,"NA")</f>
        <v>0.29203539823008851</v>
      </c>
      <c r="G6" s="1206">
        <f t="shared" ref="G6:G22" si="0">IFERROR(N6/$N6-1,"NA")</f>
        <v>0</v>
      </c>
      <c r="H6" s="1206">
        <f t="shared" ref="H6:H22" si="1">IFERROR(O6/$N6-1,"NA")</f>
        <v>-5.0884955752212413E-2</v>
      </c>
      <c r="I6" s="1206">
        <f t="shared" ref="I6:I22" si="2">IFERROR(P6/$N6-1,"NA")</f>
        <v>-0.11061946902654862</v>
      </c>
      <c r="J6" s="1206">
        <f t="shared" ref="J6:J22" si="3">IFERROR(Q6/$N6-1,"NA")</f>
        <v>-1.7699115044247815E-2</v>
      </c>
      <c r="K6" s="1206">
        <f t="shared" ref="K6:K22" si="4">IFERROR(R6/$N6-1,"NA")</f>
        <v>-0.73451327433628322</v>
      </c>
      <c r="M6" s="1205">
        <f>_xll.SNL.Clients.Office.Excel.Functions.SPG($B6, "SP_PRICE_OPEN", $T6)</f>
        <v>292</v>
      </c>
      <c r="N6" s="1205">
        <f>_xll.SNL.Clients.Office.Excel.Functions.SPG($B6, "SP_PRICE_OPEN", $U6)</f>
        <v>226</v>
      </c>
      <c r="O6" s="1205">
        <f>_xll.SNL.Clients.Office.Excel.Functions.SPG($B6, "SP_PRICE_OPEN", $V6)</f>
        <v>214.5</v>
      </c>
      <c r="P6" s="1205">
        <f>_xll.SNL.Clients.Office.Excel.Functions.SPG($B6, "SP_PRICE_OPEN", $W6)</f>
        <v>201</v>
      </c>
      <c r="Q6" s="1205">
        <f>_xll.SNL.Clients.Office.Excel.Functions.SPG($B6, "SP_PRICE_OPEN", $X6)</f>
        <v>222</v>
      </c>
      <c r="R6" s="1205">
        <f>_xll.SNL.Clients.Office.Excel.Functions.SPG($B6, "SP_PRICE_OPEN", $Y6)</f>
        <v>60</v>
      </c>
      <c r="T6" s="1203">
        <f>+D6-15</f>
        <v>43265</v>
      </c>
      <c r="U6" s="1203">
        <f>+D6</f>
        <v>43280</v>
      </c>
      <c r="V6" s="1203">
        <f>+D6+3</f>
        <v>43283</v>
      </c>
      <c r="W6" s="1203">
        <f>+D6+14</f>
        <v>43294</v>
      </c>
      <c r="X6" s="1203">
        <f>+D6+90</f>
        <v>43370</v>
      </c>
      <c r="Y6" s="1203">
        <f>+D6+365</f>
        <v>43645</v>
      </c>
    </row>
    <row r="7" spans="1:52" ht="13" x14ac:dyDescent="0.3">
      <c r="A7" s="884" t="s">
        <v>1019</v>
      </c>
      <c r="B7" s="884" t="s">
        <v>1020</v>
      </c>
      <c r="C7" s="884" t="s">
        <v>1035</v>
      </c>
      <c r="D7" s="1203">
        <v>43420</v>
      </c>
      <c r="E7" s="1204">
        <f>_xll.SNL.Clients.Office.Excel.Functions.SPG($B7, "SP_MARKETCAP", T7)</f>
        <v>453.62201599999997</v>
      </c>
      <c r="F7" s="1206">
        <f t="shared" ref="F7:F22" si="5">IFERROR(M7/$N7-1,"NA")</f>
        <v>0.31239502855223389</v>
      </c>
      <c r="G7" s="1206">
        <f t="shared" si="0"/>
        <v>0</v>
      </c>
      <c r="H7" s="1206">
        <f t="shared" si="1"/>
        <v>9.842122942559639E-2</v>
      </c>
      <c r="I7" s="1206">
        <f t="shared" si="2"/>
        <v>0.2633523681558616</v>
      </c>
      <c r="J7" s="1206">
        <f t="shared" si="3"/>
        <v>0.58179375209942918</v>
      </c>
      <c r="K7" s="1206">
        <f t="shared" si="4"/>
        <v>-0.26100100772589852</v>
      </c>
      <c r="M7" s="1205">
        <f>_xll.SNL.Clients.Office.Excel.Functions.SPG($B7, "SP_PRICE_OPEN", $T7)</f>
        <v>39.07</v>
      </c>
      <c r="N7" s="1205">
        <f>_xll.SNL.Clients.Office.Excel.Functions.SPG($B7, "SP_PRICE_OPEN", $U7)</f>
        <v>29.77</v>
      </c>
      <c r="O7" s="1205">
        <f>_xll.SNL.Clients.Office.Excel.Functions.SPG($B7, "SP_PRICE_OPEN", $V7)</f>
        <v>32.700000000000003</v>
      </c>
      <c r="P7" s="1205">
        <f>_xll.SNL.Clients.Office.Excel.Functions.SPG($B7, "SP_PRICE_OPEN", $W7)</f>
        <v>37.61</v>
      </c>
      <c r="Q7" s="1205">
        <f>_xll.SNL.Clients.Office.Excel.Functions.SPG($B7, "SP_PRICE_OPEN", $X7)</f>
        <v>47.09</v>
      </c>
      <c r="R7" s="1205">
        <f>_xll.SNL.Clients.Office.Excel.Functions.SPG($B7, "SP_PRICE_OPEN", $Y7)</f>
        <v>22</v>
      </c>
      <c r="T7" s="1203">
        <f t="shared" ref="T7:T22" si="6">+D7-15</f>
        <v>43405</v>
      </c>
      <c r="U7" s="1203">
        <f t="shared" ref="U7:U22" si="7">+D7</f>
        <v>43420</v>
      </c>
      <c r="V7" s="1203">
        <f t="shared" ref="V7:V22" si="8">+D7+3</f>
        <v>43423</v>
      </c>
      <c r="W7" s="1203">
        <f t="shared" ref="W7:W22" si="9">+D7+14</f>
        <v>43434</v>
      </c>
      <c r="X7" s="1203">
        <f t="shared" ref="X7:X22" si="10">+D7+90</f>
        <v>43510</v>
      </c>
      <c r="Y7" s="1203">
        <f t="shared" ref="Y7:Y22" si="11">+D7+365</f>
        <v>43785</v>
      </c>
    </row>
    <row r="8" spans="1:52" ht="13" outlineLevel="1" x14ac:dyDescent="0.3">
      <c r="A8" s="884" t="s">
        <v>1002</v>
      </c>
      <c r="B8" s="884" t="s">
        <v>1003</v>
      </c>
      <c r="C8" s="884" t="s">
        <v>1043</v>
      </c>
      <c r="D8" s="1203">
        <v>43532</v>
      </c>
      <c r="E8" s="1207">
        <v>429</v>
      </c>
      <c r="F8" s="1206">
        <f t="shared" si="5"/>
        <v>6.3829787234042534E-2</v>
      </c>
      <c r="G8" s="1206">
        <f t="shared" si="0"/>
        <v>0</v>
      </c>
      <c r="H8" s="1206">
        <f t="shared" si="1"/>
        <v>5.9574468085106469E-2</v>
      </c>
      <c r="I8" s="1206">
        <f t="shared" si="2"/>
        <v>7.4468085106382809E-2</v>
      </c>
      <c r="J8" s="1206">
        <f t="shared" si="3"/>
        <v>-5.7446808510638436E-2</v>
      </c>
      <c r="K8" s="1206">
        <f t="shared" si="4"/>
        <v>-5.1063829787234116E-2</v>
      </c>
      <c r="M8" s="1208">
        <v>5</v>
      </c>
      <c r="N8" s="1208">
        <v>4.7</v>
      </c>
      <c r="O8" s="1208">
        <v>4.9800000000000004</v>
      </c>
      <c r="P8" s="1208">
        <v>5.05</v>
      </c>
      <c r="Q8" s="1208">
        <v>4.43</v>
      </c>
      <c r="R8" s="1208">
        <v>4.46</v>
      </c>
      <c r="T8" s="1203">
        <f t="shared" si="6"/>
        <v>43517</v>
      </c>
      <c r="U8" s="1203">
        <f t="shared" si="7"/>
        <v>43532</v>
      </c>
      <c r="V8" s="1203">
        <f t="shared" si="8"/>
        <v>43535</v>
      </c>
      <c r="W8" s="1203">
        <f t="shared" si="9"/>
        <v>43546</v>
      </c>
      <c r="X8" s="1203">
        <f t="shared" si="10"/>
        <v>43622</v>
      </c>
      <c r="Y8" s="1203">
        <f t="shared" si="11"/>
        <v>43897</v>
      </c>
    </row>
    <row r="9" spans="1:52" ht="13" x14ac:dyDescent="0.3">
      <c r="A9" s="884" t="s">
        <v>998</v>
      </c>
      <c r="B9" s="884" t="s">
        <v>999</v>
      </c>
      <c r="C9" s="884" t="s">
        <v>1034</v>
      </c>
      <c r="D9" s="1203">
        <v>43572</v>
      </c>
      <c r="E9" s="1204">
        <f>_xll.SNL.Clients.Office.Excel.Functions.SPG($B9, "SP_MARKETCAP", T9)</f>
        <v>215.57597475068999</v>
      </c>
      <c r="F9" s="1206">
        <f t="shared" si="5"/>
        <v>-9.278350514840672E-2</v>
      </c>
      <c r="G9" s="1206">
        <f t="shared" si="0"/>
        <v>0</v>
      </c>
      <c r="H9" s="1206">
        <f t="shared" si="1"/>
        <v>-3.6082474234102713E-2</v>
      </c>
      <c r="I9" s="1206">
        <f t="shared" si="2"/>
        <v>0.13917525773056472</v>
      </c>
      <c r="J9" s="1206">
        <f t="shared" si="3"/>
        <v>1.5463917522082982E-2</v>
      </c>
      <c r="K9" s="1206">
        <f t="shared" si="4"/>
        <v>-0.62371134021643648</v>
      </c>
      <c r="M9" s="1205">
        <f>_xll.SNL.Clients.Office.Excel.Functions.SPG($B9, "SP_PRICE_OPEN", $T9)</f>
        <v>57023.995437999998</v>
      </c>
      <c r="N9" s="1205">
        <f>_xll.SNL.Clients.Office.Excel.Functions.SPG($B9, "SP_PRICE_OPEN", $U9)</f>
        <v>62855.994971</v>
      </c>
      <c r="O9" s="1205">
        <f>_xll.SNL.Clients.Office.Excel.Functions.SPG($B9, "SP_PRICE_OPEN", $V9)</f>
        <v>60587.995152000003</v>
      </c>
      <c r="P9" s="1205">
        <f>_xll.SNL.Clients.Office.Excel.Functions.SPG($B9, "SP_PRICE_OPEN", $W9)</f>
        <v>71603.994271000003</v>
      </c>
      <c r="Q9" s="1205">
        <f>_xll.SNL.Clients.Office.Excel.Functions.SPG($B9, "SP_PRICE_OPEN", $X9)</f>
        <v>63827.994893000003</v>
      </c>
      <c r="R9" s="1205">
        <f>_xll.SNL.Clients.Office.Excel.Functions.SPG($B9, "SP_PRICE_OPEN", $Y9)</f>
        <v>23651.998106999999</v>
      </c>
      <c r="T9" s="1203">
        <f t="shared" si="6"/>
        <v>43557</v>
      </c>
      <c r="U9" s="1203">
        <f t="shared" si="7"/>
        <v>43572</v>
      </c>
      <c r="V9" s="1203">
        <f t="shared" si="8"/>
        <v>43575</v>
      </c>
      <c r="W9" s="1203">
        <f t="shared" si="9"/>
        <v>43586</v>
      </c>
      <c r="X9" s="1203">
        <f t="shared" si="10"/>
        <v>43662</v>
      </c>
      <c r="Y9" s="1203">
        <f t="shared" si="11"/>
        <v>43937</v>
      </c>
    </row>
    <row r="10" spans="1:52" ht="13" x14ac:dyDescent="0.3">
      <c r="A10" s="884" t="s">
        <v>1024</v>
      </c>
      <c r="B10" s="884" t="s">
        <v>1025</v>
      </c>
      <c r="C10" s="884" t="s">
        <v>1037</v>
      </c>
      <c r="D10" s="1203">
        <v>44112</v>
      </c>
      <c r="E10" s="1204">
        <f>_xll.SNL.Clients.Office.Excel.Functions.SPG($B10, "SP_MARKETCAP", T10)</f>
        <v>2362.3778324999998</v>
      </c>
      <c r="F10" s="1206">
        <f t="shared" si="5"/>
        <v>0.15212626041209987</v>
      </c>
      <c r="G10" s="1206">
        <f t="shared" si="0"/>
        <v>0</v>
      </c>
      <c r="H10" s="1206">
        <f t="shared" si="1"/>
        <v>4.3840420868040297E-2</v>
      </c>
      <c r="I10" s="1206">
        <f t="shared" si="2"/>
        <v>-0.14949583516001752</v>
      </c>
      <c r="J10" s="1206">
        <f t="shared" si="3"/>
        <v>6.1376589215256239E-3</v>
      </c>
      <c r="K10" s="1206">
        <f t="shared" si="4"/>
        <v>-0.72029811486190265</v>
      </c>
      <c r="M10" s="1205">
        <f>_xll.SNL.Clients.Office.Excel.Functions.SPG($B10, "SP_PRICE_OPEN", $T10)</f>
        <v>6570</v>
      </c>
      <c r="N10" s="1205">
        <f>_xll.SNL.Clients.Office.Excel.Functions.SPG($B10, "SP_PRICE_OPEN", $U10)</f>
        <v>5702.5</v>
      </c>
      <c r="O10" s="1205">
        <f>_xll.SNL.Clients.Office.Excel.Functions.SPG($B10, "SP_PRICE_OPEN", $V10)</f>
        <v>5952.5</v>
      </c>
      <c r="P10" s="1205">
        <f>_xll.SNL.Clients.Office.Excel.Functions.SPG($B10, "SP_PRICE_OPEN", $W10)</f>
        <v>4850</v>
      </c>
      <c r="Q10" s="1205">
        <f>_xll.SNL.Clients.Office.Excel.Functions.SPG($B10, "SP_PRICE_OPEN", $X10)</f>
        <v>5737.5</v>
      </c>
      <c r="R10" s="1205">
        <f>_xll.SNL.Clients.Office.Excel.Functions.SPG($B10, "SP_PRICE_OPEN", $Y10)</f>
        <v>1595</v>
      </c>
      <c r="T10" s="1203">
        <f t="shared" si="6"/>
        <v>44097</v>
      </c>
      <c r="U10" s="1203">
        <f t="shared" si="7"/>
        <v>44112</v>
      </c>
      <c r="V10" s="1203">
        <f t="shared" si="8"/>
        <v>44115</v>
      </c>
      <c r="W10" s="1203">
        <f t="shared" si="9"/>
        <v>44126</v>
      </c>
      <c r="X10" s="1203">
        <f t="shared" si="10"/>
        <v>44202</v>
      </c>
      <c r="Y10" s="1203">
        <f t="shared" si="11"/>
        <v>44477</v>
      </c>
    </row>
    <row r="11" spans="1:52" ht="13" x14ac:dyDescent="0.3">
      <c r="A11" s="884" t="s">
        <v>1011</v>
      </c>
      <c r="B11" s="884" t="s">
        <v>1012</v>
      </c>
      <c r="C11" s="884" t="s">
        <v>1038</v>
      </c>
      <c r="D11" s="1203">
        <v>44307</v>
      </c>
      <c r="E11" s="1204">
        <f>_xll.SNL.Clients.Office.Excel.Functions.SPG($B11, "SP_MARKETCAP", T11)</f>
        <v>1263.26958016</v>
      </c>
      <c r="F11" s="1206">
        <f t="shared" si="5"/>
        <v>0.53509433962264152</v>
      </c>
      <c r="G11" s="1206">
        <f t="shared" si="0"/>
        <v>0</v>
      </c>
      <c r="H11" s="1206">
        <f t="shared" si="1"/>
        <v>0.16981132075471694</v>
      </c>
      <c r="I11" s="1206">
        <f t="shared" si="2"/>
        <v>4.3773584905660412E-2</v>
      </c>
      <c r="J11" s="1206">
        <f t="shared" si="3"/>
        <v>-0.16754716981132078</v>
      </c>
      <c r="K11" s="1206">
        <f t="shared" si="4"/>
        <v>-0.76566037735849057</v>
      </c>
      <c r="M11" s="1205">
        <f>_xll.SNL.Clients.Office.Excel.Functions.SPG($B11, "SP_PRICE_OPEN", $T11)</f>
        <v>4.0679999999999996</v>
      </c>
      <c r="N11" s="1205">
        <f>_xll.SNL.Clients.Office.Excel.Functions.SPG($B11, "SP_PRICE_OPEN", $U11)</f>
        <v>2.65</v>
      </c>
      <c r="O11" s="1205">
        <f>_xll.SNL.Clients.Office.Excel.Functions.SPG($B11, "SP_PRICE_OPEN", $V11)</f>
        <v>3.1</v>
      </c>
      <c r="P11" s="1205">
        <f>_xll.SNL.Clients.Office.Excel.Functions.SPG($B11, "SP_PRICE_OPEN", $W11)</f>
        <v>2.766</v>
      </c>
      <c r="Q11" s="1205">
        <f>_xll.SNL.Clients.Office.Excel.Functions.SPG($B11, "SP_PRICE_OPEN", $X11)</f>
        <v>2.206</v>
      </c>
      <c r="R11" s="1205">
        <f>_xll.SNL.Clients.Office.Excel.Functions.SPG($B11, "SP_PRICE_OPEN", $Y11)</f>
        <v>0.621</v>
      </c>
      <c r="T11" s="1203">
        <f t="shared" si="6"/>
        <v>44292</v>
      </c>
      <c r="U11" s="1203">
        <f t="shared" si="7"/>
        <v>44307</v>
      </c>
      <c r="V11" s="1203">
        <f t="shared" si="8"/>
        <v>44310</v>
      </c>
      <c r="W11" s="1203">
        <f t="shared" si="9"/>
        <v>44321</v>
      </c>
      <c r="X11" s="1203">
        <f t="shared" si="10"/>
        <v>44397</v>
      </c>
      <c r="Y11" s="1203">
        <f t="shared" si="11"/>
        <v>44672</v>
      </c>
    </row>
    <row r="12" spans="1:52" ht="13" x14ac:dyDescent="0.3">
      <c r="A12" s="884" t="s">
        <v>1024</v>
      </c>
      <c r="B12" s="884" t="s">
        <v>1025</v>
      </c>
      <c r="C12" s="884" t="s">
        <v>1037</v>
      </c>
      <c r="D12" s="1203">
        <v>44440</v>
      </c>
      <c r="E12" s="1204">
        <f>_xll.SNL.Clients.Office.Excel.Functions.SPG($B12, "SP_MARKETCAP", T12)</f>
        <v>1165.11355</v>
      </c>
      <c r="F12" s="1206">
        <f t="shared" si="5"/>
        <v>-7.8571428571428625E-2</v>
      </c>
      <c r="G12" s="1206">
        <f t="shared" si="0"/>
        <v>0</v>
      </c>
      <c r="H12" s="1206">
        <f t="shared" si="1"/>
        <v>-4.6938775510204089E-2</v>
      </c>
      <c r="I12" s="1206">
        <f t="shared" si="2"/>
        <v>-0.14795918367346939</v>
      </c>
      <c r="J12" s="1206">
        <f t="shared" si="3"/>
        <v>-0.40816326530612246</v>
      </c>
      <c r="K12" s="1206">
        <f t="shared" si="4"/>
        <v>-0.68775510204081636</v>
      </c>
      <c r="M12" s="1205">
        <f>_xll.SNL.Clients.Office.Excel.Functions.SPG($B12, "SP_PRICE_OPEN", $T12)</f>
        <v>2257.5</v>
      </c>
      <c r="N12" s="1205">
        <f>_xll.SNL.Clients.Office.Excel.Functions.SPG($B12, "SP_PRICE_OPEN", $U12)</f>
        <v>2450</v>
      </c>
      <c r="O12" s="1205">
        <f>_xll.SNL.Clients.Office.Excel.Functions.SPG($B12, "SP_PRICE_OPEN", $V12)</f>
        <v>2335</v>
      </c>
      <c r="P12" s="1205">
        <f>_xll.SNL.Clients.Office.Excel.Functions.SPG($B12, "SP_PRICE_OPEN", $W12)</f>
        <v>2087.5</v>
      </c>
      <c r="Q12" s="1205">
        <f>_xll.SNL.Clients.Office.Excel.Functions.SPG($B12, "SP_PRICE_OPEN", $X12)</f>
        <v>1450</v>
      </c>
      <c r="R12" s="1205">
        <f>_xll.SNL.Clients.Office.Excel.Functions.SPG($B12, "SP_PRICE_OPEN", $Y12)</f>
        <v>765</v>
      </c>
      <c r="T12" s="1203">
        <f t="shared" si="6"/>
        <v>44425</v>
      </c>
      <c r="U12" s="1203">
        <f t="shared" si="7"/>
        <v>44440</v>
      </c>
      <c r="V12" s="1203">
        <f t="shared" si="8"/>
        <v>44443</v>
      </c>
      <c r="W12" s="1203">
        <f t="shared" si="9"/>
        <v>44454</v>
      </c>
      <c r="X12" s="1203">
        <f t="shared" si="10"/>
        <v>44530</v>
      </c>
      <c r="Y12" s="1203">
        <f t="shared" si="11"/>
        <v>44805</v>
      </c>
    </row>
    <row r="13" spans="1:52" ht="13" x14ac:dyDescent="0.3">
      <c r="A13" s="884" t="s">
        <v>1006</v>
      </c>
      <c r="B13" s="884" t="s">
        <v>1047</v>
      </c>
      <c r="C13" s="884" t="s">
        <v>1039</v>
      </c>
      <c r="D13" s="1203">
        <v>44594</v>
      </c>
      <c r="E13" s="1204">
        <f>_xll.SNL.Clients.Office.Excel.Functions.SPG($B13, "SP_MARKETCAP", T13)</f>
        <v>745.92340300000001</v>
      </c>
      <c r="F13" s="1206">
        <f t="shared" si="5"/>
        <v>0.72162162162162158</v>
      </c>
      <c r="G13" s="1206">
        <f t="shared" si="0"/>
        <v>0</v>
      </c>
      <c r="H13" s="1206">
        <f t="shared" si="1"/>
        <v>-0.37297297297297305</v>
      </c>
      <c r="I13" s="1206">
        <f t="shared" si="2"/>
        <v>-0.39459459459459456</v>
      </c>
      <c r="J13" s="1206">
        <f t="shared" si="3"/>
        <v>-0.75405405405405412</v>
      </c>
      <c r="K13" s="1206">
        <f t="shared" si="4"/>
        <v>-0.98378378378378384</v>
      </c>
      <c r="M13" s="1205">
        <f>_xll.SNL.Clients.Office.Excel.Functions.SPG($B13, "SP_PRICE_OPEN", $T13)</f>
        <v>6.37</v>
      </c>
      <c r="N13" s="1205">
        <f>_xll.SNL.Clients.Office.Excel.Functions.SPG($B13, "SP_PRICE_OPEN", $U13)</f>
        <v>3.7</v>
      </c>
      <c r="O13" s="1205">
        <f>_xll.SNL.Clients.Office.Excel.Functions.SPG($B13, "SP_PRICE_OPEN", $V13)</f>
        <v>2.3199999999999998</v>
      </c>
      <c r="P13" s="1205">
        <f>_xll.SNL.Clients.Office.Excel.Functions.SPG($B13, "SP_PRICE_OPEN", $W13)</f>
        <v>2.2400000000000002</v>
      </c>
      <c r="Q13" s="1205">
        <f>_xll.SNL.Clients.Office.Excel.Functions.SPG($B13, "SP_PRICE_OPEN", $X13)</f>
        <v>0.91</v>
      </c>
      <c r="R13" s="1205">
        <f>_xll.SNL.Clients.Office.Excel.Functions.SPG($B13, "SP_PRICE_OPEN", $Y13)</f>
        <v>0.06</v>
      </c>
      <c r="T13" s="1203">
        <f t="shared" si="6"/>
        <v>44579</v>
      </c>
      <c r="U13" s="1203">
        <f t="shared" si="7"/>
        <v>44594</v>
      </c>
      <c r="V13" s="1203">
        <f t="shared" si="8"/>
        <v>44597</v>
      </c>
      <c r="W13" s="1203">
        <f t="shared" si="9"/>
        <v>44608</v>
      </c>
      <c r="X13" s="1203">
        <f t="shared" si="10"/>
        <v>44684</v>
      </c>
      <c r="Y13" s="1203">
        <f t="shared" si="11"/>
        <v>44959</v>
      </c>
    </row>
    <row r="14" spans="1:52" ht="13" x14ac:dyDescent="0.3">
      <c r="A14" s="884" t="s">
        <v>1008</v>
      </c>
      <c r="B14" s="884" t="s">
        <v>1008</v>
      </c>
      <c r="C14" s="884" t="s">
        <v>1040</v>
      </c>
      <c r="D14" s="1203">
        <v>44741</v>
      </c>
      <c r="E14" s="1204">
        <f>_xll.SNL.Clients.Office.Excel.Functions.SPG($B14, "SP_MARKETCAP", T14)</f>
        <v>561.00525200000004</v>
      </c>
      <c r="F14" s="1206">
        <f t="shared" si="5"/>
        <v>0.14326241134751783</v>
      </c>
      <c r="G14" s="1206">
        <f t="shared" si="0"/>
        <v>0</v>
      </c>
      <c r="H14" s="1206">
        <f t="shared" si="1"/>
        <v>-0.15319148936170213</v>
      </c>
      <c r="I14" s="1206">
        <f t="shared" si="2"/>
        <v>-0.12765957446808507</v>
      </c>
      <c r="J14" s="1206">
        <f t="shared" si="3"/>
        <v>0.21702127659574466</v>
      </c>
      <c r="K14" s="1206">
        <f t="shared" si="4"/>
        <v>-0.43971631205673756</v>
      </c>
      <c r="M14" s="1205">
        <f>_xll.SNL.Clients.Office.Excel.Functions.SPG($B14, "SP_PRICE_OPEN", $T14)</f>
        <v>8.06</v>
      </c>
      <c r="N14" s="1205">
        <f>_xll.SNL.Clients.Office.Excel.Functions.SPG($B14, "SP_PRICE_OPEN", $U14)</f>
        <v>7.05</v>
      </c>
      <c r="O14" s="1205">
        <f>_xll.SNL.Clients.Office.Excel.Functions.SPG($B14, "SP_PRICE_OPEN", $V14)</f>
        <v>5.97</v>
      </c>
      <c r="P14" s="1205">
        <f>_xll.SNL.Clients.Office.Excel.Functions.SPG($B14, "SP_PRICE_OPEN", $W14)</f>
        <v>6.15</v>
      </c>
      <c r="Q14" s="1205">
        <f>_xll.SNL.Clients.Office.Excel.Functions.SPG($B14, "SP_PRICE_OPEN", $X14)</f>
        <v>8.58</v>
      </c>
      <c r="R14" s="1205">
        <f>_xll.SNL.Clients.Office.Excel.Functions.SPG($B14, "SP_PRICE_OPEN", $Y14)</f>
        <v>3.95</v>
      </c>
      <c r="T14" s="1203">
        <f t="shared" si="6"/>
        <v>44726</v>
      </c>
      <c r="U14" s="1203">
        <f t="shared" si="7"/>
        <v>44741</v>
      </c>
      <c r="V14" s="1203">
        <f t="shared" si="8"/>
        <v>44744</v>
      </c>
      <c r="W14" s="1203">
        <f t="shared" si="9"/>
        <v>44755</v>
      </c>
      <c r="X14" s="1203">
        <f t="shared" si="10"/>
        <v>44831</v>
      </c>
      <c r="Y14" s="1203">
        <f t="shared" si="11"/>
        <v>45106</v>
      </c>
    </row>
    <row r="15" spans="1:52" ht="13" x14ac:dyDescent="0.3">
      <c r="A15" s="884" t="s">
        <v>1009</v>
      </c>
      <c r="B15" s="884" t="s">
        <v>1031</v>
      </c>
      <c r="C15" s="884" t="s">
        <v>1039</v>
      </c>
      <c r="D15" s="1203">
        <v>44896</v>
      </c>
      <c r="E15" s="1204" t="str">
        <f>_xll.SNL.Clients.Office.Excel.Functions.SPG($B15, "SP_MARKETCAP", T15)</f>
        <v>#INVALID COMPANY ID</v>
      </c>
      <c r="F15" s="1206" t="str">
        <f t="shared" si="5"/>
        <v>NA</v>
      </c>
      <c r="G15" s="1206" t="str">
        <f t="shared" si="0"/>
        <v>NA</v>
      </c>
      <c r="H15" s="1206" t="str">
        <f t="shared" si="1"/>
        <v>NA</v>
      </c>
      <c r="I15" s="1206" t="str">
        <f t="shared" si="2"/>
        <v>NA</v>
      </c>
      <c r="J15" s="1206" t="str">
        <f t="shared" si="3"/>
        <v>NA</v>
      </c>
      <c r="K15" s="1206" t="str">
        <f t="shared" si="4"/>
        <v>NA</v>
      </c>
      <c r="M15" s="1205" t="str">
        <f>_xll.SNL.Clients.Office.Excel.Functions.SPG($B15, "SP_PRICE_OPEN", $T15)</f>
        <v>#INVALID COMPANY ID</v>
      </c>
      <c r="N15" s="1205" t="str">
        <f>_xll.SNL.Clients.Office.Excel.Functions.SPG($B15, "SP_PRICE_OPEN", $U15)</f>
        <v>#INVALID COMPANY ID</v>
      </c>
      <c r="O15" s="1205" t="str">
        <f>_xll.SNL.Clients.Office.Excel.Functions.SPG($B15, "SP_PRICE_OPEN", $V15)</f>
        <v>#INVALID COMPANY ID</v>
      </c>
      <c r="P15" s="1205" t="str">
        <f>_xll.SNL.Clients.Office.Excel.Functions.SPG($B15, "SP_PRICE_OPEN", $W15)</f>
        <v>#INVALID COMPANY ID</v>
      </c>
      <c r="Q15" s="1205" t="str">
        <f>_xll.SNL.Clients.Office.Excel.Functions.SPG($B15, "SP_PRICE_OPEN", $X15)</f>
        <v>#INVALID COMPANY ID</v>
      </c>
      <c r="R15" s="1205" t="str">
        <f>_xll.SNL.Clients.Office.Excel.Functions.SPG($B15, "SP_PRICE_OPEN", $Y15)</f>
        <v>#INVALID COMPANY ID</v>
      </c>
      <c r="T15" s="1203">
        <f t="shared" si="6"/>
        <v>44881</v>
      </c>
      <c r="U15" s="1203">
        <f t="shared" si="7"/>
        <v>44896</v>
      </c>
      <c r="V15" s="1203">
        <f t="shared" si="8"/>
        <v>44899</v>
      </c>
      <c r="W15" s="1203">
        <f t="shared" si="9"/>
        <v>44910</v>
      </c>
      <c r="X15" s="1203">
        <f t="shared" si="10"/>
        <v>44986</v>
      </c>
      <c r="Y15" s="1203">
        <f t="shared" si="11"/>
        <v>45261</v>
      </c>
    </row>
    <row r="16" spans="1:52" ht="13" x14ac:dyDescent="0.3">
      <c r="A16" s="884" t="s">
        <v>1015</v>
      </c>
      <c r="B16" s="884" t="s">
        <v>1016</v>
      </c>
      <c r="C16" s="884" t="s">
        <v>1039</v>
      </c>
      <c r="D16" s="1203">
        <v>44955</v>
      </c>
      <c r="E16" s="1204">
        <f>_xll.SNL.Clients.Office.Excel.Functions.SPG($B16, "SP_MARKETCAP", T16)</f>
        <v>14893.736881000001</v>
      </c>
      <c r="F16" s="1206">
        <f t="shared" si="5"/>
        <v>-0.11546162402669635</v>
      </c>
      <c r="G16" s="1206">
        <f t="shared" si="0"/>
        <v>0</v>
      </c>
      <c r="H16" s="1206">
        <f t="shared" si="1"/>
        <v>0.28142380422691882</v>
      </c>
      <c r="I16" s="1206">
        <f t="shared" si="2"/>
        <v>0.16351501668520596</v>
      </c>
      <c r="J16" s="1206">
        <f t="shared" si="3"/>
        <v>-0.11568409343715236</v>
      </c>
      <c r="K16" s="1206">
        <f t="shared" si="4"/>
        <v>-0.69410456062291437</v>
      </c>
      <c r="M16" s="1205">
        <f>_xll.SNL.Clients.Office.Excel.Functions.SPG($B16, "SP_PRICE_OPEN", $T16)</f>
        <v>7.952</v>
      </c>
      <c r="N16" s="1205">
        <f>_xll.SNL.Clients.Office.Excel.Functions.SPG($B16, "SP_PRICE_OPEN", $U16)</f>
        <v>8.99</v>
      </c>
      <c r="O16" s="1205">
        <f>_xll.SNL.Clients.Office.Excel.Functions.SPG($B16, "SP_PRICE_OPEN", $V16)</f>
        <v>11.52</v>
      </c>
      <c r="P16" s="1205">
        <f>_xll.SNL.Clients.Office.Excel.Functions.SPG($B16, "SP_PRICE_OPEN", $W16)</f>
        <v>10.46</v>
      </c>
      <c r="Q16" s="1205">
        <f>_xll.SNL.Clients.Office.Excel.Functions.SPG($B16, "SP_PRICE_OPEN", $X16)</f>
        <v>7.95</v>
      </c>
      <c r="R16" s="1205">
        <f>_xll.SNL.Clients.Office.Excel.Functions.SPG($B16, "SP_PRICE_OPEN", $Y16)</f>
        <v>2.75</v>
      </c>
      <c r="T16" s="1203">
        <f t="shared" si="6"/>
        <v>44940</v>
      </c>
      <c r="U16" s="1203">
        <f t="shared" si="7"/>
        <v>44955</v>
      </c>
      <c r="V16" s="1203">
        <f t="shared" si="8"/>
        <v>44958</v>
      </c>
      <c r="W16" s="1203">
        <f t="shared" si="9"/>
        <v>44969</v>
      </c>
      <c r="X16" s="1203">
        <f t="shared" si="10"/>
        <v>45045</v>
      </c>
      <c r="Y16" s="1203">
        <f t="shared" si="11"/>
        <v>45320</v>
      </c>
    </row>
    <row r="17" spans="1:25" ht="13" x14ac:dyDescent="0.3">
      <c r="A17" s="884" t="s">
        <v>1026</v>
      </c>
      <c r="B17" s="884" t="s">
        <v>1027</v>
      </c>
      <c r="C17" s="884" t="s">
        <v>1041</v>
      </c>
      <c r="D17" s="1203">
        <v>45104</v>
      </c>
      <c r="E17" s="1204">
        <f>_xll.SNL.Clients.Office.Excel.Functions.SPG($B17, "SP_MARKETCAP", T17)</f>
        <v>899.55783599999995</v>
      </c>
      <c r="F17" s="1206">
        <f t="shared" si="5"/>
        <v>0.35177664974619294</v>
      </c>
      <c r="G17" s="1206">
        <f t="shared" si="0"/>
        <v>0</v>
      </c>
      <c r="H17" s="1206">
        <f t="shared" si="1"/>
        <v>-8.705583756345181E-2</v>
      </c>
      <c r="I17" s="1206">
        <f t="shared" si="2"/>
        <v>-4.5685279187817174E-2</v>
      </c>
      <c r="J17" s="1206">
        <f t="shared" si="3"/>
        <v>-0.18629441624365473</v>
      </c>
      <c r="K17" s="1206">
        <f t="shared" si="4"/>
        <v>-0.21065989847715727</v>
      </c>
      <c r="M17" s="1205">
        <f>_xll.SNL.Clients.Office.Excel.Functions.SPG($B17, "SP_PRICE_OPEN", $T17)</f>
        <v>26.63</v>
      </c>
      <c r="N17" s="1205">
        <f>_xll.SNL.Clients.Office.Excel.Functions.SPG($B17, "SP_PRICE_OPEN", $U17)</f>
        <v>19.7</v>
      </c>
      <c r="O17" s="1205">
        <f>_xll.SNL.Clients.Office.Excel.Functions.SPG($B17, "SP_PRICE_OPEN", $V17)</f>
        <v>17.984999999999999</v>
      </c>
      <c r="P17" s="1205">
        <f>_xll.SNL.Clients.Office.Excel.Functions.SPG($B17, "SP_PRICE_OPEN", $W17)</f>
        <v>18.8</v>
      </c>
      <c r="Q17" s="1205">
        <f>_xll.SNL.Clients.Office.Excel.Functions.SPG($B17, "SP_PRICE_OPEN", $X17)</f>
        <v>16.03</v>
      </c>
      <c r="R17" s="1205">
        <f>_xll.SNL.Clients.Office.Excel.Functions.SPG($B17, "SP_PRICE_OPEN", $Y17)</f>
        <v>15.55</v>
      </c>
      <c r="T17" s="1203">
        <f t="shared" si="6"/>
        <v>45089</v>
      </c>
      <c r="U17" s="1203">
        <f t="shared" si="7"/>
        <v>45104</v>
      </c>
      <c r="V17" s="1203">
        <f t="shared" si="8"/>
        <v>45107</v>
      </c>
      <c r="W17" s="1203">
        <f t="shared" si="9"/>
        <v>45118</v>
      </c>
      <c r="X17" s="1203">
        <f t="shared" si="10"/>
        <v>45194</v>
      </c>
      <c r="Y17" s="1203">
        <f t="shared" si="11"/>
        <v>45469</v>
      </c>
    </row>
    <row r="18" spans="1:25" ht="13" x14ac:dyDescent="0.3">
      <c r="A18" s="884" t="s">
        <v>1004</v>
      </c>
      <c r="B18" s="1203" t="s">
        <v>1005</v>
      </c>
      <c r="C18" s="1203" t="s">
        <v>1042</v>
      </c>
      <c r="D18" s="1203">
        <v>45301</v>
      </c>
      <c r="E18" s="1204">
        <f>_xll.SNL.Clients.Office.Excel.Functions.SPG($B18, "SP_MARKETCAP", T18)</f>
        <v>570.39084620999995</v>
      </c>
      <c r="F18" s="1206">
        <f t="shared" si="5"/>
        <v>0.5196629213483146</v>
      </c>
      <c r="G18" s="1206">
        <f t="shared" si="0"/>
        <v>0</v>
      </c>
      <c r="H18" s="1206">
        <f t="shared" si="1"/>
        <v>-3.0898876404494402E-2</v>
      </c>
      <c r="I18" s="1206">
        <f t="shared" si="2"/>
        <v>1.9662921348314599E-2</v>
      </c>
      <c r="J18" s="1206">
        <f t="shared" si="3"/>
        <v>6.1797752808988804E-2</v>
      </c>
      <c r="K18" s="1206">
        <f t="shared" si="4"/>
        <v>0.17415730337078639</v>
      </c>
      <c r="M18" s="1205">
        <f>_xll.SNL.Clients.Office.Excel.Functions.SPG($B18, "SP_PRICE_OPEN", $T18)</f>
        <v>5.41</v>
      </c>
      <c r="N18" s="1205">
        <f>_xll.SNL.Clients.Office.Excel.Functions.SPG($B18, "SP_PRICE_OPEN", $U18)</f>
        <v>3.56</v>
      </c>
      <c r="O18" s="1205">
        <f>_xll.SNL.Clients.Office.Excel.Functions.SPG($B18, "SP_PRICE_OPEN", $V18)</f>
        <v>3.45</v>
      </c>
      <c r="P18" s="1205">
        <f>_xll.SNL.Clients.Office.Excel.Functions.SPG($B18, "SP_PRICE_OPEN", $W18)</f>
        <v>3.63</v>
      </c>
      <c r="Q18" s="1205">
        <f>_xll.SNL.Clients.Office.Excel.Functions.SPG($B18, "SP_PRICE_OPEN", $X18)</f>
        <v>3.78</v>
      </c>
      <c r="R18" s="1205">
        <f>_xll.SNL.Clients.Office.Excel.Functions.SPG($B18, "SP_PRICE_OPEN", $Y18)</f>
        <v>4.18</v>
      </c>
      <c r="T18" s="1203">
        <f t="shared" si="6"/>
        <v>45286</v>
      </c>
      <c r="U18" s="1203">
        <f t="shared" si="7"/>
        <v>45301</v>
      </c>
      <c r="V18" s="1203">
        <f t="shared" si="8"/>
        <v>45304</v>
      </c>
      <c r="W18" s="1203">
        <f t="shared" si="9"/>
        <v>45315</v>
      </c>
      <c r="X18" s="1203">
        <f t="shared" si="10"/>
        <v>45391</v>
      </c>
      <c r="Y18" s="1203">
        <f t="shared" si="11"/>
        <v>45666</v>
      </c>
    </row>
    <row r="19" spans="1:25" ht="13" x14ac:dyDescent="0.3">
      <c r="A19" s="884" t="s">
        <v>1000</v>
      </c>
      <c r="B19" s="884" t="s">
        <v>1001</v>
      </c>
      <c r="C19" s="884" t="s">
        <v>1033</v>
      </c>
      <c r="D19" s="1203">
        <v>45345</v>
      </c>
      <c r="E19" s="1204">
        <f>_xll.SNL.Clients.Office.Excel.Functions.SPG($B19, "SP_MARKETCAP", T19)</f>
        <v>395.18060800000001</v>
      </c>
      <c r="F19" s="1206">
        <f t="shared" si="5"/>
        <v>0.46357615894039728</v>
      </c>
      <c r="G19" s="1206">
        <f t="shared" si="0"/>
        <v>0</v>
      </c>
      <c r="H19" s="1206">
        <f t="shared" si="1"/>
        <v>0.28697571743929351</v>
      </c>
      <c r="I19" s="1206">
        <f t="shared" si="2"/>
        <v>0.29359823399558493</v>
      </c>
      <c r="J19" s="1206">
        <f t="shared" si="3"/>
        <v>-0.26269315673289195</v>
      </c>
      <c r="K19" s="1206">
        <f t="shared" si="4"/>
        <v>0.30905077262693137</v>
      </c>
      <c r="M19" s="1205">
        <f>_xll.SNL.Clients.Office.Excel.Functions.SPG($B19, "SP_PRICE_OPEN", $T19)</f>
        <v>6.63</v>
      </c>
      <c r="N19" s="1205">
        <f>_xll.SNL.Clients.Office.Excel.Functions.SPG($B19, "SP_PRICE_OPEN", $U19)</f>
        <v>4.53</v>
      </c>
      <c r="O19" s="1205">
        <f>_xll.SNL.Clients.Office.Excel.Functions.SPG($B19, "SP_PRICE_OPEN", $V19)</f>
        <v>5.83</v>
      </c>
      <c r="P19" s="1205">
        <f>_xll.SNL.Clients.Office.Excel.Functions.SPG($B19, "SP_PRICE_OPEN", $W19)</f>
        <v>5.86</v>
      </c>
      <c r="Q19" s="1205">
        <f>_xll.SNL.Clients.Office.Excel.Functions.SPG($B19, "SP_PRICE_OPEN", $X19)</f>
        <v>3.34</v>
      </c>
      <c r="R19" s="1205">
        <f>_xll.SNL.Clients.Office.Excel.Functions.SPG($B19, "SP_PRICE_OPEN", $Y19)</f>
        <v>5.93</v>
      </c>
      <c r="T19" s="1203">
        <f t="shared" si="6"/>
        <v>45330</v>
      </c>
      <c r="U19" s="1203">
        <f t="shared" si="7"/>
        <v>45345</v>
      </c>
      <c r="V19" s="1203">
        <f t="shared" si="8"/>
        <v>45348</v>
      </c>
      <c r="W19" s="1203">
        <f t="shared" si="9"/>
        <v>45359</v>
      </c>
      <c r="X19" s="1203">
        <f t="shared" si="10"/>
        <v>45435</v>
      </c>
      <c r="Y19" s="1203">
        <f t="shared" si="11"/>
        <v>45710</v>
      </c>
    </row>
    <row r="20" spans="1:25" ht="13" x14ac:dyDescent="0.3">
      <c r="A20" s="884" t="s">
        <v>1013</v>
      </c>
      <c r="B20" s="884" t="s">
        <v>1014</v>
      </c>
      <c r="C20" s="884" t="s">
        <v>1044</v>
      </c>
      <c r="D20" s="1203">
        <v>45393</v>
      </c>
      <c r="E20" s="1204">
        <f>_xll.SNL.Clients.Office.Excel.Functions.SPG($B20, "SP_MARKETCAP", T20)</f>
        <v>10964.7021902</v>
      </c>
      <c r="F20" s="1206">
        <f t="shared" si="5"/>
        <v>0.18105199025182772</v>
      </c>
      <c r="G20" s="1206">
        <f t="shared" si="0"/>
        <v>0</v>
      </c>
      <c r="H20" s="1206">
        <f t="shared" si="1"/>
        <v>-0.39327782290820479</v>
      </c>
      <c r="I20" s="1206">
        <f t="shared" si="2"/>
        <v>-0.21506904955320882</v>
      </c>
      <c r="J20" s="1206">
        <f t="shared" si="3"/>
        <v>-0.1669374492282697</v>
      </c>
      <c r="K20" s="1206">
        <f t="shared" si="4"/>
        <v>0.20115759545085288</v>
      </c>
      <c r="M20" s="1205">
        <f>_xll.SNL.Clients.Office.Excel.Functions.SPG($B20, "SP_PRICE_OPEN", $T20)</f>
        <v>116.31</v>
      </c>
      <c r="N20" s="1205">
        <f>_xll.SNL.Clients.Office.Excel.Functions.SPG($B20, "SP_PRICE_OPEN", $U20)</f>
        <v>98.48</v>
      </c>
      <c r="O20" s="1205">
        <f>_xll.SNL.Clients.Office.Excel.Functions.SPG($B20, "SP_PRICE_OPEN", $V20)</f>
        <v>59.75</v>
      </c>
      <c r="P20" s="1205">
        <f>_xll.SNL.Clients.Office.Excel.Functions.SPG($B20, "SP_PRICE_OPEN", $W20)</f>
        <v>77.3</v>
      </c>
      <c r="Q20" s="1205">
        <f>_xll.SNL.Clients.Office.Excel.Functions.SPG($B20, "SP_PRICE_OPEN", $X20)</f>
        <v>82.04</v>
      </c>
      <c r="R20" s="1205">
        <f>_xll.SNL.Clients.Office.Excel.Functions.SPG($B20, "SP_PRICE_OPEN", $Y20)</f>
        <v>118.29</v>
      </c>
      <c r="T20" s="1203">
        <f t="shared" si="6"/>
        <v>45378</v>
      </c>
      <c r="U20" s="1203">
        <f t="shared" si="7"/>
        <v>45393</v>
      </c>
      <c r="V20" s="1203">
        <f t="shared" si="8"/>
        <v>45396</v>
      </c>
      <c r="W20" s="1203">
        <f t="shared" si="9"/>
        <v>45407</v>
      </c>
      <c r="X20" s="1203">
        <f t="shared" si="10"/>
        <v>45483</v>
      </c>
      <c r="Y20" s="1203">
        <f t="shared" si="11"/>
        <v>45758</v>
      </c>
    </row>
    <row r="21" spans="1:25" ht="13" x14ac:dyDescent="0.3">
      <c r="A21" s="884" t="s">
        <v>1017</v>
      </c>
      <c r="B21" s="884" t="s">
        <v>1018</v>
      </c>
      <c r="C21" s="884" t="s">
        <v>1045</v>
      </c>
      <c r="D21" s="1203">
        <v>45540</v>
      </c>
      <c r="E21" s="1204">
        <f>_xll.SNL.Clients.Office.Excel.Functions.SPG($B21, "SP_MARKETCAP", T21)</f>
        <v>2057.1245298099998</v>
      </c>
      <c r="F21" s="1206">
        <f t="shared" si="5"/>
        <v>0.51080711354309183</v>
      </c>
      <c r="G21" s="1206">
        <f t="shared" si="0"/>
        <v>0</v>
      </c>
      <c r="H21" s="1206">
        <f t="shared" si="1"/>
        <v>-5.9370725034199601E-2</v>
      </c>
      <c r="I21" s="1206">
        <f t="shared" si="2"/>
        <v>0.13679890560875507</v>
      </c>
      <c r="J21" s="1206">
        <f t="shared" si="3"/>
        <v>9.9042407660738796E-2</v>
      </c>
      <c r="K21" s="1206" t="str">
        <f t="shared" si="4"/>
        <v>NA</v>
      </c>
      <c r="M21" s="1205">
        <f>_xll.SNL.Clients.Office.Excel.Functions.SPG($B21, "SP_PRICE_OPEN", $T21)</f>
        <v>55.22</v>
      </c>
      <c r="N21" s="1205">
        <f>_xll.SNL.Clients.Office.Excel.Functions.SPG($B21, "SP_PRICE_OPEN", $U21)</f>
        <v>36.549999999999997</v>
      </c>
      <c r="O21" s="1205">
        <f>_xll.SNL.Clients.Office.Excel.Functions.SPG($B21, "SP_PRICE_OPEN", $V21)</f>
        <v>34.380000000000003</v>
      </c>
      <c r="P21" s="1205">
        <f>_xll.SNL.Clients.Office.Excel.Functions.SPG($B21, "SP_PRICE_OPEN", $W21)</f>
        <v>41.55</v>
      </c>
      <c r="Q21" s="1205">
        <f>_xll.SNL.Clients.Office.Excel.Functions.SPG($B21, "SP_PRICE_OPEN", $X21)</f>
        <v>40.17</v>
      </c>
      <c r="R21" s="1205" t="str">
        <f>_xll.SNL.Clients.Office.Excel.Functions.SPG($B21, "SP_PRICE_OPEN", $Y21)</f>
        <v>NA</v>
      </c>
      <c r="T21" s="1203">
        <f t="shared" si="6"/>
        <v>45525</v>
      </c>
      <c r="U21" s="1203">
        <f t="shared" si="7"/>
        <v>45540</v>
      </c>
      <c r="V21" s="1203">
        <f t="shared" si="8"/>
        <v>45543</v>
      </c>
      <c r="W21" s="1203">
        <f t="shared" si="9"/>
        <v>45554</v>
      </c>
      <c r="X21" s="1203">
        <f t="shared" si="10"/>
        <v>45630</v>
      </c>
      <c r="Y21" s="1203">
        <f t="shared" si="11"/>
        <v>45905</v>
      </c>
    </row>
    <row r="22" spans="1:25" ht="13" x14ac:dyDescent="0.3">
      <c r="A22" s="884" t="s">
        <v>1021</v>
      </c>
      <c r="B22" s="884" t="s">
        <v>651</v>
      </c>
      <c r="C22" s="884" t="s">
        <v>1046</v>
      </c>
      <c r="D22" s="1203">
        <v>45581</v>
      </c>
      <c r="E22" s="1204">
        <f>_xll.SNL.Clients.Office.Excel.Functions.SPG($B22, "SP_MARKETCAP", T22)</f>
        <v>3567.5793659999999</v>
      </c>
      <c r="F22" s="1206">
        <f t="shared" si="5"/>
        <v>0.23676960997535157</v>
      </c>
      <c r="G22" s="1206">
        <f t="shared" si="0"/>
        <v>0</v>
      </c>
      <c r="H22" s="1206">
        <f t="shared" si="1"/>
        <v>-4.5672031317964379E-2</v>
      </c>
      <c r="I22" s="1206">
        <f t="shared" si="2"/>
        <v>0.32405393649412773</v>
      </c>
      <c r="J22" s="1206">
        <f t="shared" si="3"/>
        <v>0.60026098303610276</v>
      </c>
      <c r="K22" s="1206" t="str">
        <f t="shared" si="4"/>
        <v>NA</v>
      </c>
      <c r="M22" s="1205">
        <f>_xll.SNL.Clients.Office.Excel.Functions.SPG($B22, "SP_PRICE_OPEN", $T22)</f>
        <v>85.3</v>
      </c>
      <c r="N22" s="1205">
        <f>_xll.SNL.Clients.Office.Excel.Functions.SPG($B22, "SP_PRICE_OPEN", $U22)</f>
        <v>68.97</v>
      </c>
      <c r="O22" s="1205">
        <f>_xll.SNL.Clients.Office.Excel.Functions.SPG($B22, "SP_PRICE_OPEN", $V22)</f>
        <v>65.819999999999993</v>
      </c>
      <c r="P22" s="1205">
        <f>_xll.SNL.Clients.Office.Excel.Functions.SPG($B22, "SP_PRICE_OPEN", $W22)</f>
        <v>91.32</v>
      </c>
      <c r="Q22" s="1205">
        <f>_xll.SNL.Clients.Office.Excel.Functions.SPG($B22, "SP_PRICE_OPEN", $X22)</f>
        <v>110.37</v>
      </c>
      <c r="R22" s="1205" t="str">
        <f>_xll.SNL.Clients.Office.Excel.Functions.SPG($B22, "SP_PRICE_OPEN", $Y22)</f>
        <v>NA</v>
      </c>
      <c r="T22" s="1203">
        <f t="shared" si="6"/>
        <v>45566</v>
      </c>
      <c r="U22" s="1203">
        <f t="shared" si="7"/>
        <v>45581</v>
      </c>
      <c r="V22" s="1203">
        <f t="shared" si="8"/>
        <v>45584</v>
      </c>
      <c r="W22" s="1203">
        <f t="shared" si="9"/>
        <v>45595</v>
      </c>
      <c r="X22" s="1203">
        <f t="shared" si="10"/>
        <v>45671</v>
      </c>
      <c r="Y22" s="1203">
        <f t="shared" si="11"/>
        <v>45946</v>
      </c>
    </row>
    <row r="24" spans="1:25" x14ac:dyDescent="0.25">
      <c r="A24" s="884" t="s">
        <v>998</v>
      </c>
      <c r="B24" s="884" t="s">
        <v>999</v>
      </c>
      <c r="D24" s="1203">
        <v>43572</v>
      </c>
    </row>
    <row r="25" spans="1:25" x14ac:dyDescent="0.25">
      <c r="A25" s="884" t="s">
        <v>1000</v>
      </c>
      <c r="B25" s="884" t="s">
        <v>1001</v>
      </c>
      <c r="D25" s="1203">
        <v>45345</v>
      </c>
    </row>
    <row r="26" spans="1:25" x14ac:dyDescent="0.25">
      <c r="A26" s="884" t="s">
        <v>1002</v>
      </c>
      <c r="B26" s="884" t="s">
        <v>1003</v>
      </c>
      <c r="D26" s="1203">
        <v>43532</v>
      </c>
    </row>
    <row r="27" spans="1:25" x14ac:dyDescent="0.25">
      <c r="A27" s="884" t="s">
        <v>1004</v>
      </c>
      <c r="B27" s="884" t="s">
        <v>1005</v>
      </c>
      <c r="D27" s="1203">
        <v>45301</v>
      </c>
    </row>
    <row r="28" spans="1:25" x14ac:dyDescent="0.25">
      <c r="A28" s="884" t="s">
        <v>1006</v>
      </c>
      <c r="B28" s="884" t="s">
        <v>1007</v>
      </c>
      <c r="D28" s="1203">
        <v>44594</v>
      </c>
    </row>
    <row r="29" spans="1:25" x14ac:dyDescent="0.25">
      <c r="A29" s="884" t="s">
        <v>1008</v>
      </c>
      <c r="B29" s="884" t="s">
        <v>1008</v>
      </c>
      <c r="D29" s="1203">
        <v>44741</v>
      </c>
    </row>
    <row r="30" spans="1:25" x14ac:dyDescent="0.25">
      <c r="A30" s="884" t="s">
        <v>1009</v>
      </c>
      <c r="B30" s="884" t="s">
        <v>1010</v>
      </c>
      <c r="D30" s="1203">
        <v>44896</v>
      </c>
    </row>
    <row r="31" spans="1:25" x14ac:dyDescent="0.25">
      <c r="A31" s="884" t="s">
        <v>1011</v>
      </c>
      <c r="B31" s="884" t="s">
        <v>1012</v>
      </c>
      <c r="D31" s="1203">
        <v>44307</v>
      </c>
    </row>
    <row r="32" spans="1:25" x14ac:dyDescent="0.25">
      <c r="A32" s="884" t="s">
        <v>1013</v>
      </c>
      <c r="B32" s="884" t="s">
        <v>1014</v>
      </c>
      <c r="D32" s="1203">
        <v>45393</v>
      </c>
    </row>
    <row r="33" spans="1:4" x14ac:dyDescent="0.25">
      <c r="A33" s="884" t="s">
        <v>1015</v>
      </c>
      <c r="B33" s="884" t="s">
        <v>1016</v>
      </c>
      <c r="D33" s="1203">
        <v>44955</v>
      </c>
    </row>
    <row r="34" spans="1:4" x14ac:dyDescent="0.25">
      <c r="A34" s="884" t="s">
        <v>1017</v>
      </c>
      <c r="B34" s="884" t="s">
        <v>1018</v>
      </c>
      <c r="D34" s="1203">
        <v>45540</v>
      </c>
    </row>
    <row r="35" spans="1:4" x14ac:dyDescent="0.25">
      <c r="A35" s="884" t="s">
        <v>1019</v>
      </c>
      <c r="B35" s="884" t="s">
        <v>1020</v>
      </c>
      <c r="D35" s="1203">
        <v>43420</v>
      </c>
    </row>
    <row r="36" spans="1:4" x14ac:dyDescent="0.25">
      <c r="A36" s="884" t="s">
        <v>1021</v>
      </c>
      <c r="B36" s="884" t="s">
        <v>651</v>
      </c>
      <c r="D36" s="1203">
        <v>45581</v>
      </c>
    </row>
    <row r="37" spans="1:4" x14ac:dyDescent="0.25">
      <c r="A37" s="884" t="s">
        <v>1022</v>
      </c>
      <c r="B37" s="884" t="s">
        <v>1023</v>
      </c>
      <c r="D37" s="1203">
        <v>43280</v>
      </c>
    </row>
    <row r="38" spans="1:4" x14ac:dyDescent="0.25">
      <c r="A38" s="884" t="s">
        <v>1024</v>
      </c>
      <c r="B38" s="884" t="s">
        <v>1025</v>
      </c>
      <c r="D38" s="1203">
        <v>44112</v>
      </c>
    </row>
    <row r="39" spans="1:4" x14ac:dyDescent="0.25">
      <c r="A39" s="884" t="s">
        <v>1024</v>
      </c>
      <c r="B39" s="884" t="s">
        <v>1025</v>
      </c>
      <c r="D39" s="1203">
        <v>44440</v>
      </c>
    </row>
    <row r="40" spans="1:4" x14ac:dyDescent="0.25">
      <c r="A40" s="884" t="s">
        <v>1026</v>
      </c>
      <c r="B40" s="884" t="s">
        <v>1027</v>
      </c>
      <c r="D40" s="1203">
        <v>45104</v>
      </c>
    </row>
  </sheetData>
  <sortState xmlns:xlrd2="http://schemas.microsoft.com/office/spreadsheetml/2017/richdata2" ref="A6:E22">
    <sortCondition ref="D6:D22"/>
  </sortState>
  <mergeCells count="1">
    <mergeCell ref="E4:E5"/>
  </mergeCells>
  <conditionalFormatting sqref="H6:K22">
    <cfRule type="colorScale" priority="1">
      <colorScale>
        <cfvo type="min"/>
        <cfvo type="percentile" val="50"/>
        <cfvo type="max"/>
        <color rgb="FFF8696B"/>
        <color rgb="FFFCFCFF"/>
        <color rgb="FF63BE7B"/>
      </colorScale>
    </cfRule>
  </conditionalFormatting>
  <pageMargins left="0.3" right="0.3" top="0.3" bottom="0.3" header="0.3" footer="0.3"/>
  <pageSetup scale="27"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652DF-FB62-43AD-A67B-03AE816FE9C7}">
  <sheetPr codeName="Sheet5">
    <pageSetUpPr fitToPage="1"/>
  </sheetPr>
  <dimension ref="B2:W42"/>
  <sheetViews>
    <sheetView showGridLines="0" topLeftCell="A13" workbookViewId="0">
      <selection activeCell="C22" sqref="C22:P41"/>
    </sheetView>
  </sheetViews>
  <sheetFormatPr defaultColWidth="8.81640625" defaultRowHeight="14.5" x14ac:dyDescent="0.35"/>
  <cols>
    <col min="1" max="1" width="5.7265625" style="12" customWidth="1"/>
    <col min="2" max="2" width="7.81640625" style="12" customWidth="1"/>
    <col min="3" max="3" width="10.26953125" style="12" customWidth="1"/>
    <col min="4" max="4" width="13.7265625" style="12" customWidth="1"/>
    <col min="5" max="5" width="5.453125" style="12" customWidth="1"/>
    <col min="6" max="6" width="13.7265625" style="12" customWidth="1"/>
    <col min="7" max="7" width="6.81640625" style="12" customWidth="1"/>
    <col min="8" max="8" width="31.7265625" style="12" customWidth="1"/>
    <col min="9" max="15" width="8.81640625" style="12" customWidth="1"/>
    <col min="16" max="16" width="45.7265625" style="12" customWidth="1"/>
    <col min="17" max="20" width="8.81640625" style="12" customWidth="1"/>
    <col min="21" max="16384" width="8.81640625" style="12"/>
  </cols>
  <sheetData>
    <row r="2" spans="2:17" x14ac:dyDescent="0.35">
      <c r="B2" s="2"/>
      <c r="C2" s="2"/>
      <c r="D2" s="2"/>
      <c r="E2" s="2"/>
      <c r="F2" s="2"/>
      <c r="G2" s="2"/>
      <c r="H2" s="2"/>
      <c r="I2" s="2"/>
      <c r="J2" s="2"/>
      <c r="K2" s="2"/>
      <c r="L2" s="2"/>
      <c r="M2" s="2"/>
      <c r="N2" s="2"/>
      <c r="O2" s="2"/>
      <c r="P2" s="2"/>
      <c r="Q2" s="2"/>
    </row>
    <row r="3" spans="2:17" x14ac:dyDescent="0.35">
      <c r="B3" s="2"/>
      <c r="C3" s="2"/>
      <c r="D3" s="2"/>
      <c r="E3" s="2"/>
      <c r="F3" s="2"/>
      <c r="G3" s="2"/>
      <c r="H3" s="2"/>
      <c r="I3" s="2"/>
      <c r="J3" s="2"/>
      <c r="K3" s="2"/>
      <c r="L3" s="2"/>
      <c r="M3" s="2"/>
      <c r="N3" s="2"/>
      <c r="O3" s="2"/>
      <c r="P3" s="2"/>
      <c r="Q3" s="2"/>
    </row>
    <row r="4" spans="2:17" x14ac:dyDescent="0.35">
      <c r="B4" s="2"/>
      <c r="C4" s="2"/>
      <c r="D4" s="2"/>
      <c r="E4" s="2"/>
      <c r="F4" s="2"/>
      <c r="G4" s="2"/>
      <c r="H4" s="2"/>
      <c r="I4" s="2"/>
      <c r="J4" s="2"/>
      <c r="K4" s="2"/>
      <c r="L4" s="2"/>
      <c r="M4" s="2"/>
      <c r="N4" s="2"/>
      <c r="O4" s="2"/>
      <c r="P4" s="2"/>
      <c r="Q4" s="2"/>
    </row>
    <row r="5" spans="2:17" x14ac:dyDescent="0.35">
      <c r="B5" s="2"/>
      <c r="C5" s="2"/>
      <c r="D5" s="2"/>
      <c r="E5" s="2"/>
      <c r="F5" s="2"/>
      <c r="G5" s="2"/>
      <c r="H5" s="2"/>
      <c r="I5" s="2"/>
      <c r="J5" s="2"/>
      <c r="K5" s="2"/>
      <c r="L5" s="2"/>
      <c r="M5" s="2"/>
      <c r="N5" s="2"/>
      <c r="O5" s="2"/>
      <c r="P5" s="2"/>
      <c r="Q5" s="2"/>
    </row>
    <row r="6" spans="2:17" ht="18.5" x14ac:dyDescent="0.35">
      <c r="B6" s="2"/>
      <c r="C6" s="2"/>
      <c r="D6" s="2"/>
      <c r="E6" s="2"/>
      <c r="F6" s="2"/>
      <c r="G6" s="2"/>
      <c r="H6" s="2"/>
      <c r="I6" s="2"/>
      <c r="J6" s="2"/>
      <c r="K6" s="2"/>
      <c r="L6" s="2"/>
      <c r="M6" s="16" t="s">
        <v>0</v>
      </c>
      <c r="N6" s="2"/>
      <c r="O6" s="2"/>
      <c r="P6" s="2"/>
      <c r="Q6" s="2"/>
    </row>
    <row r="7" spans="2:17" ht="18.5" x14ac:dyDescent="0.45">
      <c r="B7" s="2"/>
      <c r="C7" s="2"/>
      <c r="D7" s="2"/>
      <c r="E7" s="2"/>
      <c r="F7" s="2"/>
      <c r="G7" s="2"/>
      <c r="H7" s="2"/>
      <c r="I7" s="2"/>
      <c r="J7" s="2"/>
      <c r="K7" s="2"/>
      <c r="L7" s="2"/>
      <c r="M7" s="1585" t="s">
        <v>1</v>
      </c>
      <c r="N7" s="1585"/>
      <c r="O7" s="1585"/>
      <c r="P7" s="2"/>
      <c r="Q7" s="2"/>
    </row>
    <row r="8" spans="2:17" ht="28.5" x14ac:dyDescent="0.65">
      <c r="B8" s="2"/>
      <c r="C8" s="2"/>
      <c r="D8" s="2"/>
      <c r="E8" s="2"/>
      <c r="F8" s="1574"/>
      <c r="G8" s="1574"/>
      <c r="H8" s="1574"/>
      <c r="I8" s="1574"/>
      <c r="J8" s="1574"/>
      <c r="K8" s="1574"/>
      <c r="L8" s="2"/>
      <c r="M8" s="2"/>
      <c r="N8" s="2"/>
      <c r="O8" s="2"/>
      <c r="P8" s="2"/>
      <c r="Q8" s="2"/>
    </row>
    <row r="9" spans="2:17" ht="18.5" x14ac:dyDescent="0.35">
      <c r="B9" s="2"/>
      <c r="C9" s="9" t="s">
        <v>2</v>
      </c>
      <c r="D9" s="8"/>
      <c r="E9" s="8"/>
      <c r="F9" s="8"/>
      <c r="G9" s="8"/>
      <c r="H9" s="33" t="str">
        <f>Model!A1</f>
        <v>Stride, Inc.</v>
      </c>
      <c r="I9" s="8"/>
      <c r="J9" s="8"/>
      <c r="K9" s="8"/>
      <c r="L9" s="8"/>
      <c r="M9" s="9" t="s">
        <v>3</v>
      </c>
      <c r="N9" s="8"/>
      <c r="O9" s="8"/>
      <c r="P9" s="1575"/>
      <c r="Q9" s="2"/>
    </row>
    <row r="10" spans="2:17" ht="18.5" x14ac:dyDescent="0.45">
      <c r="B10" s="2"/>
      <c r="C10" s="6"/>
      <c r="D10" s="2"/>
      <c r="E10" s="2"/>
      <c r="F10" s="2"/>
      <c r="G10" s="2"/>
      <c r="H10" s="2"/>
      <c r="I10" s="2"/>
      <c r="J10" s="2"/>
      <c r="K10" s="2"/>
      <c r="L10" s="2"/>
      <c r="M10" s="2"/>
      <c r="N10" s="2"/>
      <c r="O10" s="2"/>
      <c r="P10" s="1575"/>
      <c r="Q10" s="2"/>
    </row>
    <row r="11" spans="2:17" ht="18.5" x14ac:dyDescent="0.35">
      <c r="B11" s="2"/>
      <c r="C11" s="9" t="s">
        <v>4</v>
      </c>
      <c r="D11" s="2"/>
      <c r="E11" s="2"/>
      <c r="F11" s="2"/>
      <c r="G11" s="2"/>
      <c r="H11" s="10">
        <f ca="1">OFFSET('Update Log'!$C$10,1,0,1,1)</f>
        <v>45224</v>
      </c>
      <c r="I11" s="2"/>
      <c r="J11" s="2"/>
      <c r="K11" s="2"/>
      <c r="L11" s="2"/>
      <c r="M11" s="2"/>
      <c r="N11" s="2"/>
      <c r="O11" s="2"/>
      <c r="P11" s="1575"/>
      <c r="Q11" s="2"/>
    </row>
    <row r="12" spans="2:17" ht="18.5" x14ac:dyDescent="0.45">
      <c r="B12" s="2"/>
      <c r="C12" s="2"/>
      <c r="D12" s="2"/>
      <c r="E12" s="2"/>
      <c r="F12" s="2"/>
      <c r="G12" s="2"/>
      <c r="H12" s="11"/>
      <c r="I12" s="2"/>
      <c r="J12" s="2"/>
      <c r="K12" s="2"/>
      <c r="L12" s="2"/>
      <c r="M12" s="2"/>
      <c r="N12" s="2"/>
      <c r="O12" s="2"/>
      <c r="P12" s="1575"/>
      <c r="Q12" s="2"/>
    </row>
    <row r="13" spans="2:17" ht="18.5" x14ac:dyDescent="0.35">
      <c r="B13" s="2"/>
      <c r="C13" s="9" t="s">
        <v>5</v>
      </c>
      <c r="D13" s="2"/>
      <c r="E13" s="2"/>
      <c r="F13" s="2"/>
      <c r="G13" s="2"/>
      <c r="H13" s="34" t="str">
        <f ca="1">OFFSET('Update Log'!$E$10,1,0,1,1)</f>
        <v>Quarterly (Earnings Report)</v>
      </c>
      <c r="I13" s="2"/>
      <c r="J13" s="2"/>
      <c r="K13" s="2"/>
      <c r="L13" s="2"/>
      <c r="M13" s="2"/>
      <c r="N13" s="2"/>
      <c r="O13" s="2"/>
      <c r="P13" s="1575"/>
      <c r="Q13" s="2"/>
    </row>
    <row r="14" spans="2:17" x14ac:dyDescent="0.35">
      <c r="B14" s="2"/>
      <c r="C14" s="2"/>
      <c r="D14" s="2"/>
      <c r="E14" s="2"/>
      <c r="F14" s="2"/>
      <c r="G14" s="2"/>
      <c r="H14" s="2"/>
      <c r="I14" s="2"/>
      <c r="J14" s="2"/>
      <c r="K14" s="2"/>
      <c r="L14" s="2"/>
      <c r="M14" s="2"/>
      <c r="N14" s="2"/>
      <c r="O14" s="2"/>
      <c r="P14" s="1575"/>
      <c r="Q14" s="2"/>
    </row>
    <row r="15" spans="2:17" ht="18.75" customHeight="1" x14ac:dyDescent="0.35">
      <c r="B15" s="2"/>
      <c r="C15" s="9" t="s">
        <v>6</v>
      </c>
      <c r="D15" s="8"/>
      <c r="E15" s="8"/>
      <c r="F15" s="8"/>
      <c r="G15" s="8"/>
      <c r="H15" s="7" t="s">
        <v>7</v>
      </c>
      <c r="I15" s="2"/>
      <c r="J15" s="4"/>
      <c r="K15" s="2"/>
      <c r="L15" s="2"/>
      <c r="M15" s="3"/>
      <c r="N15" s="2"/>
      <c r="O15" s="2"/>
      <c r="P15" s="1575"/>
      <c r="Q15" s="2"/>
    </row>
    <row r="16" spans="2:17" ht="15" customHeight="1" x14ac:dyDescent="0.35">
      <c r="B16" s="2"/>
      <c r="C16" s="8"/>
      <c r="D16" s="3"/>
      <c r="E16" s="3"/>
      <c r="F16" s="3"/>
      <c r="G16" s="3"/>
      <c r="H16" s="93">
        <f>IF(FP.DataSourceName="Bloomberg",1,IF(FP.DataSourceName="Capital IQ",2,IF(FP.DataSourceName="FactSet",3,IF(FP.DataSourceName="Refinitiv",4))))</f>
        <v>1</v>
      </c>
      <c r="I16" s="5"/>
      <c r="J16" s="4"/>
      <c r="K16" s="2"/>
      <c r="L16" s="2"/>
      <c r="M16" s="3"/>
      <c r="N16" s="2"/>
      <c r="O16" s="2"/>
      <c r="P16" s="1575"/>
      <c r="Q16" s="2"/>
    </row>
    <row r="17" spans="2:23" s="342" customFormat="1" ht="18.5" x14ac:dyDescent="0.45">
      <c r="B17" s="3"/>
      <c r="C17" s="6"/>
      <c r="D17" s="3"/>
      <c r="E17" s="3"/>
      <c r="F17" s="3"/>
      <c r="G17" s="3"/>
      <c r="H17" s="3"/>
      <c r="I17" s="5"/>
      <c r="J17" s="4"/>
      <c r="K17" s="2"/>
      <c r="L17" s="2"/>
      <c r="M17" s="2"/>
      <c r="N17" s="3"/>
      <c r="O17" s="3"/>
      <c r="P17" s="73"/>
      <c r="Q17" s="3"/>
      <c r="W17" s="12"/>
    </row>
    <row r="18" spans="2:23" s="342" customFormat="1" ht="18.75" customHeight="1" x14ac:dyDescent="0.35">
      <c r="B18" s="3"/>
      <c r="C18" s="9" t="s">
        <v>8</v>
      </c>
      <c r="D18" s="8"/>
      <c r="E18" s="8"/>
      <c r="F18" s="8"/>
      <c r="G18" s="8"/>
      <c r="H18" s="7" t="s">
        <v>629</v>
      </c>
      <c r="I18" s="35"/>
      <c r="J18" s="35"/>
      <c r="K18" s="2"/>
      <c r="L18" s="2"/>
      <c r="M18" s="2"/>
      <c r="N18" s="3"/>
      <c r="O18" s="3"/>
      <c r="P18" s="73"/>
      <c r="Q18" s="3"/>
      <c r="W18" s="12"/>
    </row>
    <row r="19" spans="2:23" s="342" customFormat="1" x14ac:dyDescent="0.35">
      <c r="B19" s="3"/>
      <c r="C19" s="8"/>
      <c r="D19" s="3"/>
      <c r="E19" s="3"/>
      <c r="F19" s="3"/>
      <c r="G19" s="3"/>
      <c r="H19" s="3"/>
      <c r="I19" s="5"/>
      <c r="J19" s="4"/>
      <c r="K19" s="2"/>
      <c r="L19" s="2"/>
      <c r="M19" s="2"/>
      <c r="N19" s="3"/>
      <c r="O19" s="3"/>
      <c r="P19" s="73"/>
      <c r="Q19" s="3"/>
      <c r="W19" s="12"/>
    </row>
    <row r="20" spans="2:23" s="342" customFormat="1" ht="18.75" customHeight="1" x14ac:dyDescent="0.45">
      <c r="B20" s="3"/>
      <c r="C20" s="36" t="s">
        <v>9</v>
      </c>
      <c r="D20" s="3"/>
      <c r="E20" s="3"/>
      <c r="F20" s="394">
        <v>45226</v>
      </c>
      <c r="G20" s="3"/>
      <c r="H20" s="313">
        <v>54.44</v>
      </c>
      <c r="I20" s="5"/>
      <c r="J20" s="4"/>
      <c r="K20" s="2"/>
      <c r="L20" s="2"/>
      <c r="M20" s="2"/>
      <c r="N20" s="3"/>
      <c r="O20" s="3"/>
      <c r="P20" s="73"/>
      <c r="Q20" s="3"/>
      <c r="W20" s="12"/>
    </row>
    <row r="21" spans="2:23" s="342" customFormat="1" x14ac:dyDescent="0.35">
      <c r="B21" s="3"/>
      <c r="C21" s="3"/>
      <c r="D21" s="2"/>
      <c r="E21" s="2"/>
      <c r="F21" s="2"/>
      <c r="G21" s="2"/>
      <c r="H21" s="2"/>
      <c r="I21" s="2"/>
      <c r="J21" s="2"/>
      <c r="K21" s="2"/>
      <c r="L21" s="2"/>
      <c r="M21" s="2"/>
      <c r="N21" s="3"/>
      <c r="O21" s="3"/>
      <c r="P21" s="3"/>
      <c r="Q21" s="3"/>
    </row>
    <row r="22" spans="2:23" ht="16" customHeight="1" x14ac:dyDescent="0.35">
      <c r="B22" s="2"/>
      <c r="C22" s="1576" t="s">
        <v>409</v>
      </c>
      <c r="D22" s="1577"/>
      <c r="E22" s="1577"/>
      <c r="F22" s="1577"/>
      <c r="G22" s="1577"/>
      <c r="H22" s="1577"/>
      <c r="I22" s="1577"/>
      <c r="J22" s="1577"/>
      <c r="K22" s="1577"/>
      <c r="L22" s="1577"/>
      <c r="M22" s="1577"/>
      <c r="N22" s="1577"/>
      <c r="O22" s="1577"/>
      <c r="P22" s="1578"/>
      <c r="Q22" s="2"/>
    </row>
    <row r="23" spans="2:23" ht="16" customHeight="1" x14ac:dyDescent="0.35">
      <c r="B23" s="2"/>
      <c r="C23" s="1579"/>
      <c r="D23" s="1580"/>
      <c r="E23" s="1580"/>
      <c r="F23" s="1580"/>
      <c r="G23" s="1580"/>
      <c r="H23" s="1580"/>
      <c r="I23" s="1580"/>
      <c r="J23" s="1580"/>
      <c r="K23" s="1580"/>
      <c r="L23" s="1580"/>
      <c r="M23" s="1580"/>
      <c r="N23" s="1580"/>
      <c r="O23" s="1580"/>
      <c r="P23" s="1581"/>
      <c r="Q23" s="2"/>
    </row>
    <row r="24" spans="2:23" ht="16" customHeight="1" x14ac:dyDescent="0.35">
      <c r="B24" s="2"/>
      <c r="C24" s="1579"/>
      <c r="D24" s="1580"/>
      <c r="E24" s="1580"/>
      <c r="F24" s="1580"/>
      <c r="G24" s="1580"/>
      <c r="H24" s="1580"/>
      <c r="I24" s="1580"/>
      <c r="J24" s="1580"/>
      <c r="K24" s="1580"/>
      <c r="L24" s="1580"/>
      <c r="M24" s="1580"/>
      <c r="N24" s="1580"/>
      <c r="O24" s="1580"/>
      <c r="P24" s="1581"/>
      <c r="Q24" s="2"/>
    </row>
    <row r="25" spans="2:23" ht="16" customHeight="1" x14ac:dyDescent="0.35">
      <c r="B25" s="2"/>
      <c r="C25" s="1579"/>
      <c r="D25" s="1580"/>
      <c r="E25" s="1580"/>
      <c r="F25" s="1580"/>
      <c r="G25" s="1580"/>
      <c r="H25" s="1580"/>
      <c r="I25" s="1580"/>
      <c r="J25" s="1580"/>
      <c r="K25" s="1580"/>
      <c r="L25" s="1580"/>
      <c r="M25" s="1580"/>
      <c r="N25" s="1580"/>
      <c r="O25" s="1580"/>
      <c r="P25" s="1581"/>
      <c r="Q25" s="2"/>
    </row>
    <row r="26" spans="2:23" ht="16" customHeight="1" x14ac:dyDescent="0.35">
      <c r="B26" s="2"/>
      <c r="C26" s="1579"/>
      <c r="D26" s="1580"/>
      <c r="E26" s="1580"/>
      <c r="F26" s="1580"/>
      <c r="G26" s="1580"/>
      <c r="H26" s="1580"/>
      <c r="I26" s="1580"/>
      <c r="J26" s="1580"/>
      <c r="K26" s="1580"/>
      <c r="L26" s="1580"/>
      <c r="M26" s="1580"/>
      <c r="N26" s="1580"/>
      <c r="O26" s="1580"/>
      <c r="P26" s="1581"/>
      <c r="Q26" s="2"/>
    </row>
    <row r="27" spans="2:23" ht="16" customHeight="1" x14ac:dyDescent="0.35">
      <c r="B27" s="2"/>
      <c r="C27" s="1579"/>
      <c r="D27" s="1580"/>
      <c r="E27" s="1580"/>
      <c r="F27" s="1580"/>
      <c r="G27" s="1580"/>
      <c r="H27" s="1580"/>
      <c r="I27" s="1580"/>
      <c r="J27" s="1580"/>
      <c r="K27" s="1580"/>
      <c r="L27" s="1580"/>
      <c r="M27" s="1580"/>
      <c r="N27" s="1580"/>
      <c r="O27" s="1580"/>
      <c r="P27" s="1581"/>
      <c r="Q27" s="2"/>
    </row>
    <row r="28" spans="2:23" ht="16" customHeight="1" x14ac:dyDescent="0.35">
      <c r="B28" s="2"/>
      <c r="C28" s="1579"/>
      <c r="D28" s="1580"/>
      <c r="E28" s="1580"/>
      <c r="F28" s="1580"/>
      <c r="G28" s="1580"/>
      <c r="H28" s="1580"/>
      <c r="I28" s="1580"/>
      <c r="J28" s="1580"/>
      <c r="K28" s="1580"/>
      <c r="L28" s="1580"/>
      <c r="M28" s="1580"/>
      <c r="N28" s="1580"/>
      <c r="O28" s="1580"/>
      <c r="P28" s="1581"/>
      <c r="Q28" s="2"/>
    </row>
    <row r="29" spans="2:23" ht="16" customHeight="1" x14ac:dyDescent="0.35">
      <c r="B29" s="2"/>
      <c r="C29" s="1579"/>
      <c r="D29" s="1580"/>
      <c r="E29" s="1580"/>
      <c r="F29" s="1580"/>
      <c r="G29" s="1580"/>
      <c r="H29" s="1580"/>
      <c r="I29" s="1580"/>
      <c r="J29" s="1580"/>
      <c r="K29" s="1580"/>
      <c r="L29" s="1580"/>
      <c r="M29" s="1580"/>
      <c r="N29" s="1580"/>
      <c r="O29" s="1580"/>
      <c r="P29" s="1581"/>
      <c r="Q29" s="2"/>
    </row>
    <row r="30" spans="2:23" ht="16" customHeight="1" x14ac:dyDescent="0.35">
      <c r="B30" s="2"/>
      <c r="C30" s="1579"/>
      <c r="D30" s="1580"/>
      <c r="E30" s="1580"/>
      <c r="F30" s="1580"/>
      <c r="G30" s="1580"/>
      <c r="H30" s="1580"/>
      <c r="I30" s="1580"/>
      <c r="J30" s="1580"/>
      <c r="K30" s="1580"/>
      <c r="L30" s="1580"/>
      <c r="M30" s="1580"/>
      <c r="N30" s="1580"/>
      <c r="O30" s="1580"/>
      <c r="P30" s="1581"/>
      <c r="Q30" s="2"/>
    </row>
    <row r="31" spans="2:23" ht="16" customHeight="1" x14ac:dyDescent="0.35">
      <c r="B31" s="2"/>
      <c r="C31" s="1579"/>
      <c r="D31" s="1580"/>
      <c r="E31" s="1580"/>
      <c r="F31" s="1580"/>
      <c r="G31" s="1580"/>
      <c r="H31" s="1580"/>
      <c r="I31" s="1580"/>
      <c r="J31" s="1580"/>
      <c r="K31" s="1580"/>
      <c r="L31" s="1580"/>
      <c r="M31" s="1580"/>
      <c r="N31" s="1580"/>
      <c r="O31" s="1580"/>
      <c r="P31" s="1581"/>
      <c r="Q31" s="2"/>
    </row>
    <row r="32" spans="2:23" ht="16" customHeight="1" x14ac:dyDescent="0.35">
      <c r="B32" s="2"/>
      <c r="C32" s="1579"/>
      <c r="D32" s="1580"/>
      <c r="E32" s="1580"/>
      <c r="F32" s="1580"/>
      <c r="G32" s="1580"/>
      <c r="H32" s="1580"/>
      <c r="I32" s="1580"/>
      <c r="J32" s="1580"/>
      <c r="K32" s="1580"/>
      <c r="L32" s="1580"/>
      <c r="M32" s="1580"/>
      <c r="N32" s="1580"/>
      <c r="O32" s="1580"/>
      <c r="P32" s="1581"/>
      <c r="Q32" s="2"/>
    </row>
    <row r="33" spans="2:17" ht="16" customHeight="1" x14ac:dyDescent="0.35">
      <c r="B33" s="2"/>
      <c r="C33" s="1579"/>
      <c r="D33" s="1580"/>
      <c r="E33" s="1580"/>
      <c r="F33" s="1580"/>
      <c r="G33" s="1580"/>
      <c r="H33" s="1580"/>
      <c r="I33" s="1580"/>
      <c r="J33" s="1580"/>
      <c r="K33" s="1580"/>
      <c r="L33" s="1580"/>
      <c r="M33" s="1580"/>
      <c r="N33" s="1580"/>
      <c r="O33" s="1580"/>
      <c r="P33" s="1581"/>
      <c r="Q33" s="2"/>
    </row>
    <row r="34" spans="2:17" ht="16" customHeight="1" x14ac:dyDescent="0.35">
      <c r="B34" s="2"/>
      <c r="C34" s="1579"/>
      <c r="D34" s="1580"/>
      <c r="E34" s="1580"/>
      <c r="F34" s="1580"/>
      <c r="G34" s="1580"/>
      <c r="H34" s="1580"/>
      <c r="I34" s="1580"/>
      <c r="J34" s="1580"/>
      <c r="K34" s="1580"/>
      <c r="L34" s="1580"/>
      <c r="M34" s="1580"/>
      <c r="N34" s="1580"/>
      <c r="O34" s="1580"/>
      <c r="P34" s="1581"/>
      <c r="Q34" s="2"/>
    </row>
    <row r="35" spans="2:17" ht="16" customHeight="1" x14ac:dyDescent="0.35">
      <c r="B35" s="2"/>
      <c r="C35" s="1579"/>
      <c r="D35" s="1580"/>
      <c r="E35" s="1580"/>
      <c r="F35" s="1580"/>
      <c r="G35" s="1580"/>
      <c r="H35" s="1580"/>
      <c r="I35" s="1580"/>
      <c r="J35" s="1580"/>
      <c r="K35" s="1580"/>
      <c r="L35" s="1580"/>
      <c r="M35" s="1580"/>
      <c r="N35" s="1580"/>
      <c r="O35" s="1580"/>
      <c r="P35" s="1581"/>
      <c r="Q35" s="2"/>
    </row>
    <row r="36" spans="2:17" ht="16" customHeight="1" x14ac:dyDescent="0.35">
      <c r="B36" s="2"/>
      <c r="C36" s="1579"/>
      <c r="D36" s="1580"/>
      <c r="E36" s="1580"/>
      <c r="F36" s="1580"/>
      <c r="G36" s="1580"/>
      <c r="H36" s="1580"/>
      <c r="I36" s="1580"/>
      <c r="J36" s="1580"/>
      <c r="K36" s="1580"/>
      <c r="L36" s="1580"/>
      <c r="M36" s="1580"/>
      <c r="N36" s="1580"/>
      <c r="O36" s="1580"/>
      <c r="P36" s="1581"/>
      <c r="Q36" s="2"/>
    </row>
    <row r="37" spans="2:17" ht="16" customHeight="1" x14ac:dyDescent="0.35">
      <c r="B37" s="2"/>
      <c r="C37" s="1579"/>
      <c r="D37" s="1580"/>
      <c r="E37" s="1580"/>
      <c r="F37" s="1580"/>
      <c r="G37" s="1580"/>
      <c r="H37" s="1580"/>
      <c r="I37" s="1580"/>
      <c r="J37" s="1580"/>
      <c r="K37" s="1580"/>
      <c r="L37" s="1580"/>
      <c r="M37" s="1580"/>
      <c r="N37" s="1580"/>
      <c r="O37" s="1580"/>
      <c r="P37" s="1581"/>
      <c r="Q37" s="2"/>
    </row>
    <row r="38" spans="2:17" ht="16" customHeight="1" x14ac:dyDescent="0.35">
      <c r="B38" s="2"/>
      <c r="C38" s="1579"/>
      <c r="D38" s="1580"/>
      <c r="E38" s="1580"/>
      <c r="F38" s="1580"/>
      <c r="G38" s="1580"/>
      <c r="H38" s="1580"/>
      <c r="I38" s="1580"/>
      <c r="J38" s="1580"/>
      <c r="K38" s="1580"/>
      <c r="L38" s="1580"/>
      <c r="M38" s="1580"/>
      <c r="N38" s="1580"/>
      <c r="O38" s="1580"/>
      <c r="P38" s="1581"/>
      <c r="Q38" s="2"/>
    </row>
    <row r="39" spans="2:17" ht="16" customHeight="1" x14ac:dyDescent="0.35">
      <c r="B39" s="2"/>
      <c r="C39" s="1579"/>
      <c r="D39" s="1580"/>
      <c r="E39" s="1580"/>
      <c r="F39" s="1580"/>
      <c r="G39" s="1580"/>
      <c r="H39" s="1580"/>
      <c r="I39" s="1580"/>
      <c r="J39" s="1580"/>
      <c r="K39" s="1580"/>
      <c r="L39" s="1580"/>
      <c r="M39" s="1580"/>
      <c r="N39" s="1580"/>
      <c r="O39" s="1580"/>
      <c r="P39" s="1581"/>
      <c r="Q39" s="2"/>
    </row>
    <row r="40" spans="2:17" ht="16" customHeight="1" x14ac:dyDescent="0.35">
      <c r="B40" s="2"/>
      <c r="C40" s="1579"/>
      <c r="D40" s="1580"/>
      <c r="E40" s="1580"/>
      <c r="F40" s="1580"/>
      <c r="G40" s="1580"/>
      <c r="H40" s="1580"/>
      <c r="I40" s="1580"/>
      <c r="J40" s="1580"/>
      <c r="K40" s="1580"/>
      <c r="L40" s="1580"/>
      <c r="M40" s="1580"/>
      <c r="N40" s="1580"/>
      <c r="O40" s="1580"/>
      <c r="P40" s="1581"/>
      <c r="Q40" s="2"/>
    </row>
    <row r="41" spans="2:17" ht="16" customHeight="1" x14ac:dyDescent="0.35">
      <c r="B41" s="2"/>
      <c r="C41" s="1582"/>
      <c r="D41" s="1583"/>
      <c r="E41" s="1583"/>
      <c r="F41" s="1583"/>
      <c r="G41" s="1583"/>
      <c r="H41" s="1583"/>
      <c r="I41" s="1583"/>
      <c r="J41" s="1583"/>
      <c r="K41" s="1583"/>
      <c r="L41" s="1583"/>
      <c r="M41" s="1583"/>
      <c r="N41" s="1583"/>
      <c r="O41" s="1583"/>
      <c r="P41" s="1584"/>
      <c r="Q41" s="2"/>
    </row>
    <row r="42" spans="2:17" x14ac:dyDescent="0.35">
      <c r="B42" s="2"/>
      <c r="C42" s="2"/>
      <c r="D42" s="2"/>
      <c r="E42" s="2"/>
      <c r="F42" s="2"/>
      <c r="G42" s="2"/>
      <c r="H42" s="2"/>
      <c r="I42" s="2"/>
      <c r="J42" s="2"/>
      <c r="K42" s="2"/>
      <c r="L42" s="2"/>
      <c r="M42" s="2"/>
      <c r="N42" s="2"/>
      <c r="O42" s="2"/>
      <c r="P42" s="2"/>
      <c r="Q42" s="2"/>
    </row>
  </sheetData>
  <mergeCells count="4">
    <mergeCell ref="F8:K8"/>
    <mergeCell ref="P9:P16"/>
    <mergeCell ref="C22:P41"/>
    <mergeCell ref="M7:O7"/>
  </mergeCells>
  <conditionalFormatting sqref="C20:H20">
    <cfRule type="expression" dxfId="6" priority="2">
      <formula>AND(FP.RealTimeToggle="ON",MO.RealTime="ON")</formula>
    </cfRule>
  </conditionalFormatting>
  <dataValidations count="3">
    <dataValidation type="list" allowBlank="1" showInputMessage="1" showErrorMessage="1" sqref="H18" xr:uid="{00000000-0002-0000-0000-000000000000}">
      <formula1>"ON, OFF"</formula1>
    </dataValidation>
    <dataValidation allowBlank="1" showInputMessage="1" showErrorMessage="1" sqref="H16" xr:uid="{00000000-0002-0000-0000-000001000000}"/>
    <dataValidation type="list" allowBlank="1" showInputMessage="1" showErrorMessage="1" sqref="H15" xr:uid="{00000000-0002-0000-0000-000002000000}">
      <formula1>"Bloomberg, Capital IQ, FactSet, Refinitiv"</formula1>
    </dataValidation>
  </dataValidations>
  <hyperlinks>
    <hyperlink ref="M7" r:id="rId1" tooltip="Click to directly email Canalyst support" xr:uid="{00000000-0004-0000-0000-000000000000}"/>
    <hyperlink ref="M7:O7" r:id="rId2" tooltip="Click to directly email Canalyst support" display="support@canalyst.com" xr:uid="{00000000-0004-0000-0000-000001000000}"/>
  </hyperlinks>
  <pageMargins left="0.7" right="0.7" top="0.75" bottom="0.75" header="0.3" footer="0.3"/>
  <pageSetup scale="34" orientation="portrait" r:id="rId3"/>
  <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7DA22-36BE-4004-81B4-A9D5633E05AB}">
  <sheetPr codeName="Sheet2">
    <pageSetUpPr fitToPage="1"/>
  </sheetPr>
  <dimension ref="A1:BT732"/>
  <sheetViews>
    <sheetView zoomScale="85" zoomScaleNormal="85" workbookViewId="0">
      <pane xSplit="2" ySplit="5" topLeftCell="AM532" activePane="bottomRight" state="frozen"/>
      <selection activeCell="C22" sqref="C22:P41"/>
      <selection pane="topRight" activeCell="C22" sqref="C22:P41"/>
      <selection pane="bottomLeft" activeCell="C22" sqref="C22:P41"/>
      <selection pane="bottomRight" activeCell="AR556" sqref="AR556"/>
    </sheetView>
  </sheetViews>
  <sheetFormatPr defaultColWidth="9.1796875" defaultRowHeight="14.5" outlineLevelRow="2" outlineLevelCol="1" x14ac:dyDescent="0.35"/>
  <cols>
    <col min="1" max="1" width="50.7265625" customWidth="1"/>
    <col min="2" max="2" width="10.7265625" customWidth="1"/>
    <col min="3" max="10" width="9.54296875" customWidth="1" outlineLevel="1"/>
    <col min="11" max="11" width="9.54296875" customWidth="1" outlineLevel="1" collapsed="1"/>
    <col min="12" max="15" width="9.54296875" customWidth="1" outlineLevel="1"/>
    <col min="16" max="16" width="9.54296875" customWidth="1" outlineLevel="1" collapsed="1"/>
    <col min="17" max="20" width="9.54296875" customWidth="1" outlineLevel="1"/>
    <col min="21" max="21" width="9.54296875" customWidth="1" outlineLevel="1" collapsed="1"/>
    <col min="22" max="25" width="9.54296875" customWidth="1" outlineLevel="1"/>
    <col min="26" max="26" width="9.54296875" customWidth="1" outlineLevel="1" collapsed="1"/>
    <col min="27" max="30" width="9.54296875" customWidth="1" outlineLevel="1"/>
    <col min="31" max="31" width="9.54296875" customWidth="1" outlineLevel="1" collapsed="1"/>
    <col min="32" max="35" width="9.54296875" customWidth="1" outlineLevel="1"/>
    <col min="36" max="36" width="9.54296875" customWidth="1" outlineLevel="1" collapsed="1"/>
    <col min="37" max="40" width="9.54296875" customWidth="1" outlineLevel="1"/>
    <col min="41" max="41" width="9.54296875" customWidth="1" outlineLevel="1" collapsed="1"/>
    <col min="42" max="42" width="9.54296875" customWidth="1" outlineLevel="1"/>
    <col min="43" max="45" width="9.54296875" customWidth="1"/>
    <col min="46" max="46" width="9.54296875" customWidth="1" collapsed="1"/>
    <col min="47" max="51" width="9.54296875" customWidth="1"/>
    <col min="52" max="52" width="9.54296875" customWidth="1" outlineLevel="1"/>
    <col min="53" max="53" width="9.54296875" customWidth="1" outlineLevel="1" collapsed="1"/>
    <col min="54" max="63" width="9.54296875" customWidth="1" outlineLevel="1"/>
    <col min="64" max="72" width="9.54296875" customWidth="1"/>
  </cols>
  <sheetData>
    <row r="1" spans="1:72" s="17" customFormat="1" ht="28.5" x14ac:dyDescent="0.65">
      <c r="A1" s="95" t="s">
        <v>490</v>
      </c>
      <c r="B1" s="532"/>
      <c r="C1" s="532"/>
      <c r="D1" s="532"/>
      <c r="E1" s="532"/>
      <c r="F1" s="532"/>
      <c r="G1" s="532"/>
      <c r="H1" s="532"/>
      <c r="I1" s="532"/>
      <c r="J1" s="532"/>
      <c r="K1" s="532"/>
      <c r="L1" s="532"/>
      <c r="M1" s="532"/>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2"/>
      <c r="AQ1" s="532"/>
      <c r="AR1" s="532"/>
      <c r="AS1" s="532"/>
      <c r="AT1" s="532"/>
      <c r="AU1" s="534"/>
      <c r="AV1" s="532"/>
      <c r="AW1" s="532"/>
      <c r="AX1" s="532"/>
      <c r="AY1" s="532"/>
      <c r="AZ1" s="532"/>
      <c r="BA1" s="532"/>
      <c r="BB1" s="532"/>
      <c r="BC1" s="532"/>
      <c r="BD1" s="532"/>
      <c r="BE1" s="532"/>
      <c r="BF1" s="532"/>
      <c r="BG1" s="532"/>
      <c r="BH1" s="532"/>
      <c r="BI1" s="532"/>
      <c r="BJ1" s="532"/>
      <c r="BK1" s="532"/>
      <c r="BL1" s="532"/>
      <c r="BM1" s="532"/>
      <c r="BN1" s="534"/>
      <c r="BO1" s="532"/>
      <c r="BP1" s="532"/>
      <c r="BQ1" s="532"/>
      <c r="BR1" s="532"/>
      <c r="BS1" s="532"/>
      <c r="BT1" s="533"/>
    </row>
    <row r="2" spans="1:72" s="130" customFormat="1" x14ac:dyDescent="0.35">
      <c r="A2" s="343" t="str">
        <f>CHOOSE(MO.DataSourceIndex,MO.Ticker.Bloomberg,MO.Ticker.CapIQ,MO.Ticker.FactSet,MO.Ticker.Thomson)</f>
        <v>LRN US</v>
      </c>
      <c r="B2" s="348"/>
      <c r="C2" s="144"/>
      <c r="D2" s="144"/>
      <c r="E2" s="144"/>
      <c r="F2" s="144"/>
      <c r="G2" s="144"/>
      <c r="H2" s="144"/>
      <c r="I2" s="144"/>
      <c r="J2" s="144"/>
      <c r="K2" s="144"/>
      <c r="L2" s="144"/>
      <c r="M2" s="144"/>
      <c r="N2" s="144"/>
      <c r="O2" s="144"/>
      <c r="P2" s="144"/>
      <c r="Q2" s="144"/>
      <c r="R2" s="144"/>
      <c r="S2" s="144"/>
      <c r="T2" s="144"/>
      <c r="U2" s="144"/>
      <c r="V2" s="144"/>
      <c r="W2" s="144"/>
      <c r="X2" s="144"/>
      <c r="Y2" s="144"/>
      <c r="Z2" s="144"/>
      <c r="AA2" s="302" t="s">
        <v>386</v>
      </c>
      <c r="AB2" s="142" t="s">
        <v>386</v>
      </c>
      <c r="AC2" s="142" t="s">
        <v>386</v>
      </c>
      <c r="AD2" s="142" t="s">
        <v>386</v>
      </c>
      <c r="AE2" s="144"/>
      <c r="AF2" s="144"/>
      <c r="AG2" s="144"/>
      <c r="AH2" s="144"/>
      <c r="AI2" s="144"/>
      <c r="AJ2" s="144"/>
      <c r="AK2" s="144"/>
      <c r="AL2" s="144"/>
      <c r="AM2" s="144"/>
      <c r="AN2" s="144"/>
      <c r="AO2" s="144"/>
      <c r="AP2" s="144"/>
      <c r="AQ2" s="144"/>
      <c r="AR2" s="144"/>
      <c r="AS2" s="144"/>
      <c r="AT2" s="144"/>
      <c r="AU2" s="390"/>
      <c r="AV2" s="144"/>
      <c r="AW2" s="144"/>
      <c r="AX2" s="144"/>
      <c r="AY2" s="144"/>
      <c r="AZ2" s="136">
        <f>EOMONTH(AZ4,-12)</f>
        <v>39629</v>
      </c>
      <c r="BA2" s="144"/>
      <c r="BB2" s="144"/>
      <c r="BC2" s="144"/>
      <c r="BD2" s="144"/>
      <c r="BE2" s="144"/>
      <c r="BF2" s="144"/>
      <c r="BG2" s="144"/>
      <c r="BH2" s="144"/>
      <c r="BI2" s="144"/>
      <c r="BJ2" s="142" t="s">
        <v>386</v>
      </c>
      <c r="BK2" s="144"/>
      <c r="BL2" s="144"/>
      <c r="BM2" s="144"/>
      <c r="BN2" s="390"/>
      <c r="BO2" s="144"/>
      <c r="BP2" s="144"/>
      <c r="BQ2" s="144"/>
      <c r="BR2" s="144"/>
      <c r="BS2" s="144"/>
      <c r="BT2" s="216"/>
    </row>
    <row r="3" spans="1:72" s="18" customFormat="1" x14ac:dyDescent="0.35">
      <c r="A3" s="344" t="str">
        <f ca="1">HP.TradeCurrency</f>
        <v>USD</v>
      </c>
      <c r="B3" s="345">
        <f ca="1">IF(MO.RealTime="OFF",MO.LastPriceHardcoded,MO.LastPriceFormula)</f>
        <v>54.44</v>
      </c>
      <c r="C3" s="62">
        <f>C4-BC4</f>
        <v>92</v>
      </c>
      <c r="D3" s="62">
        <f>D4-C4</f>
        <v>92</v>
      </c>
      <c r="E3" s="62">
        <f>E4-D4</f>
        <v>90</v>
      </c>
      <c r="F3" s="62">
        <f>F4-E4</f>
        <v>91</v>
      </c>
      <c r="G3" s="62">
        <f>G4-BD4</f>
        <v>92</v>
      </c>
      <c r="H3" s="62">
        <f>H4-G4</f>
        <v>92</v>
      </c>
      <c r="I3" s="62">
        <f>I4-H4</f>
        <v>90</v>
      </c>
      <c r="J3" s="62">
        <f>J4-I4</f>
        <v>91</v>
      </c>
      <c r="K3" s="62">
        <f>K4-BE4</f>
        <v>92</v>
      </c>
      <c r="L3" s="62">
        <f>L4-K4</f>
        <v>92</v>
      </c>
      <c r="M3" s="62">
        <f>M4-L4</f>
        <v>90</v>
      </c>
      <c r="N3" s="62">
        <f>N4-M4</f>
        <v>91</v>
      </c>
      <c r="O3" s="62">
        <f>O4-BF4</f>
        <v>92</v>
      </c>
      <c r="P3" s="62">
        <f>P4-O4</f>
        <v>92</v>
      </c>
      <c r="Q3" s="62">
        <f>Q4-P4</f>
        <v>91</v>
      </c>
      <c r="R3" s="62">
        <f>R4-Q4</f>
        <v>91</v>
      </c>
      <c r="S3" s="62">
        <f>S4-BG4</f>
        <v>92</v>
      </c>
      <c r="T3" s="62">
        <f>T4-S4</f>
        <v>92</v>
      </c>
      <c r="U3" s="62">
        <f>U4-T4</f>
        <v>90</v>
      </c>
      <c r="V3" s="62">
        <f>V4-U4</f>
        <v>91</v>
      </c>
      <c r="W3" s="62">
        <f>W4-BH4</f>
        <v>92</v>
      </c>
      <c r="X3" s="62">
        <f>X4-W4</f>
        <v>92</v>
      </c>
      <c r="Y3" s="62">
        <f>Y4-X4</f>
        <v>90</v>
      </c>
      <c r="Z3" s="62">
        <f>Z4-Y4</f>
        <v>91</v>
      </c>
      <c r="AA3" s="62">
        <f>AA4-BI4</f>
        <v>92</v>
      </c>
      <c r="AB3" s="62">
        <f>AB4-AA4</f>
        <v>92</v>
      </c>
      <c r="AC3" s="62">
        <f>AC4-AB4</f>
        <v>90</v>
      </c>
      <c r="AD3" s="62">
        <f>AD4-AC4</f>
        <v>91</v>
      </c>
      <c r="AE3" s="62">
        <f>AE4-BJ4</f>
        <v>92</v>
      </c>
      <c r="AF3" s="62">
        <f>AF4-AE4</f>
        <v>92</v>
      </c>
      <c r="AG3" s="62">
        <f>AG4-AF4</f>
        <v>91</v>
      </c>
      <c r="AH3" s="62">
        <f>AH4-AG4</f>
        <v>91</v>
      </c>
      <c r="AI3" s="62">
        <f>AI4-BK4</f>
        <v>92</v>
      </c>
      <c r="AJ3" s="62">
        <f>AJ4-AI4</f>
        <v>92</v>
      </c>
      <c r="AK3" s="62">
        <f>AK4-AJ4</f>
        <v>90</v>
      </c>
      <c r="AL3" s="62">
        <f>AL4-AK4</f>
        <v>91</v>
      </c>
      <c r="AM3" s="62">
        <f>AM4-BL4</f>
        <v>92</v>
      </c>
      <c r="AN3" s="62">
        <f>AN4-AM4</f>
        <v>92</v>
      </c>
      <c r="AO3" s="62">
        <f>AO4-AN4</f>
        <v>90</v>
      </c>
      <c r="AP3" s="62">
        <f>AP4-AO4</f>
        <v>91</v>
      </c>
      <c r="AQ3" s="62">
        <f>AQ4-BM4</f>
        <v>92</v>
      </c>
      <c r="AR3" s="62">
        <f>AR4-AQ4</f>
        <v>92</v>
      </c>
      <c r="AS3" s="62">
        <f>AS4-AR4</f>
        <v>90</v>
      </c>
      <c r="AT3" s="62">
        <f>AT4-AS4</f>
        <v>91</v>
      </c>
      <c r="AU3" s="479">
        <f>AU4-BN4</f>
        <v>92</v>
      </c>
      <c r="AV3" s="447">
        <f>AV4-AU4</f>
        <v>92</v>
      </c>
      <c r="AW3" s="447">
        <f>AW4-AV4</f>
        <v>91</v>
      </c>
      <c r="AX3" s="447">
        <f>AX4-AW4</f>
        <v>91</v>
      </c>
      <c r="AY3" s="447"/>
      <c r="AZ3" s="664">
        <f>AZ4-AZ2</f>
        <v>365</v>
      </c>
      <c r="BA3" s="664">
        <f t="shared" ref="BA3:BS3" si="0">BA4-AZ4</f>
        <v>365</v>
      </c>
      <c r="BB3" s="664">
        <f t="shared" si="0"/>
        <v>365</v>
      </c>
      <c r="BC3" s="664">
        <f t="shared" si="0"/>
        <v>366</v>
      </c>
      <c r="BD3" s="664">
        <f t="shared" si="0"/>
        <v>365</v>
      </c>
      <c r="BE3" s="664">
        <f t="shared" si="0"/>
        <v>365</v>
      </c>
      <c r="BF3" s="664">
        <f t="shared" si="0"/>
        <v>365</v>
      </c>
      <c r="BG3" s="664">
        <f t="shared" si="0"/>
        <v>366</v>
      </c>
      <c r="BH3" s="664">
        <f t="shared" si="0"/>
        <v>365</v>
      </c>
      <c r="BI3" s="664">
        <f t="shared" si="0"/>
        <v>365</v>
      </c>
      <c r="BJ3" s="664">
        <f t="shared" si="0"/>
        <v>365</v>
      </c>
      <c r="BK3" s="664">
        <f t="shared" si="0"/>
        <v>366</v>
      </c>
      <c r="BL3" s="664">
        <f t="shared" si="0"/>
        <v>365</v>
      </c>
      <c r="BM3" s="664">
        <f t="shared" si="0"/>
        <v>365</v>
      </c>
      <c r="BN3" s="665">
        <f t="shared" si="0"/>
        <v>365</v>
      </c>
      <c r="BO3" s="666">
        <f t="shared" si="0"/>
        <v>366</v>
      </c>
      <c r="BP3" s="666" t="e">
        <f t="shared" si="0"/>
        <v>#REF!</v>
      </c>
      <c r="BQ3" s="666" t="e">
        <f t="shared" si="0"/>
        <v>#REF!</v>
      </c>
      <c r="BR3" s="666" t="e">
        <f t="shared" si="0"/>
        <v>#REF!</v>
      </c>
      <c r="BS3" s="666" t="e">
        <f t="shared" si="0"/>
        <v>#REF!</v>
      </c>
      <c r="BT3" s="346"/>
    </row>
    <row r="4" spans="1:72" x14ac:dyDescent="0.35">
      <c r="A4" s="347" t="str">
        <f>FP.DataSourceName</f>
        <v>Bloomberg</v>
      </c>
      <c r="B4" s="252" t="str">
        <f ca="1">IF(AND(MO.RealTimeStockPriceToggle,MO.LastPriceFormula&lt;&gt;"N/A"),"ON","OFF")</f>
        <v>OFF</v>
      </c>
      <c r="C4" s="448">
        <f>EOMONTH(BC4,3)</f>
        <v>41182</v>
      </c>
      <c r="D4" s="448">
        <f>EOMONTH(C4,3)</f>
        <v>41274</v>
      </c>
      <c r="E4" s="448">
        <f>EOMONTH(D4,3)</f>
        <v>41364</v>
      </c>
      <c r="F4" s="448">
        <f>EOMONTH(E4,3)</f>
        <v>41455</v>
      </c>
      <c r="G4" s="448">
        <f>EOMONTH(BD4,3)</f>
        <v>41547</v>
      </c>
      <c r="H4" s="448">
        <f>EOMONTH(G4,3)</f>
        <v>41639</v>
      </c>
      <c r="I4" s="448">
        <f>EOMONTH(H4,3)</f>
        <v>41729</v>
      </c>
      <c r="J4" s="448">
        <f>EOMONTH(I4,3)</f>
        <v>41820</v>
      </c>
      <c r="K4" s="448">
        <f>EOMONTH(BE4,3)</f>
        <v>41912</v>
      </c>
      <c r="L4" s="448">
        <f>EOMONTH(K4,3)</f>
        <v>42004</v>
      </c>
      <c r="M4" s="448">
        <f>EOMONTH(L4,3)</f>
        <v>42094</v>
      </c>
      <c r="N4" s="448">
        <f>EOMONTH(M4,3)</f>
        <v>42185</v>
      </c>
      <c r="O4" s="448">
        <f>EOMONTH(BF4,3)</f>
        <v>42277</v>
      </c>
      <c r="P4" s="63">
        <f>EOMONTH(O4,3)</f>
        <v>42369</v>
      </c>
      <c r="Q4" s="63">
        <f>EOMONTH(P4,3)</f>
        <v>42460</v>
      </c>
      <c r="R4" s="448">
        <f>EOMONTH(Q4,3)</f>
        <v>42551</v>
      </c>
      <c r="S4" s="448">
        <f>EOMONTH(BG4,3)</f>
        <v>42643</v>
      </c>
      <c r="T4" s="63">
        <f>EOMONTH(S4,3)</f>
        <v>42735</v>
      </c>
      <c r="U4" s="63">
        <f>EOMONTH(T4,3)</f>
        <v>42825</v>
      </c>
      <c r="V4" s="448">
        <f>EOMONTH(U4,3)</f>
        <v>42916</v>
      </c>
      <c r="W4" s="448">
        <f>EOMONTH(BH4,3)</f>
        <v>43008</v>
      </c>
      <c r="X4" s="63">
        <f>EOMONTH(W4,3)</f>
        <v>43100</v>
      </c>
      <c r="Y4" s="63">
        <f>EOMONTH(X4,3)</f>
        <v>43190</v>
      </c>
      <c r="Z4" s="448">
        <f>EOMONTH(Y4,3)</f>
        <v>43281</v>
      </c>
      <c r="AA4" s="448">
        <f>EOMONTH(BI4,3)</f>
        <v>43373</v>
      </c>
      <c r="AB4" s="63">
        <f>EOMONTH(AA4,3)</f>
        <v>43465</v>
      </c>
      <c r="AC4" s="63">
        <f>EOMONTH(AB4,3)</f>
        <v>43555</v>
      </c>
      <c r="AD4" s="448">
        <f>EOMONTH(AC4,3)</f>
        <v>43646</v>
      </c>
      <c r="AE4" s="448">
        <f>EOMONTH(BJ4,3)</f>
        <v>43738</v>
      </c>
      <c r="AF4" s="63">
        <f>EOMONTH(AE4,3)</f>
        <v>43830</v>
      </c>
      <c r="AG4" s="63">
        <f>EOMONTH(AF4,3)</f>
        <v>43921</v>
      </c>
      <c r="AH4" s="448">
        <f>EOMONTH(AG4,3)</f>
        <v>44012</v>
      </c>
      <c r="AI4" s="448">
        <f>EOMONTH(BK4,3)</f>
        <v>44104</v>
      </c>
      <c r="AJ4" s="63">
        <f>EOMONTH(AI4,3)</f>
        <v>44196</v>
      </c>
      <c r="AK4" s="63">
        <f>EOMONTH(AJ4,3)</f>
        <v>44286</v>
      </c>
      <c r="AL4" s="448">
        <f>EOMONTH(AK4,3)</f>
        <v>44377</v>
      </c>
      <c r="AM4" s="448">
        <f>EOMONTH(BL4,3)</f>
        <v>44469</v>
      </c>
      <c r="AN4" s="63">
        <f>EOMONTH(AM4,3)</f>
        <v>44561</v>
      </c>
      <c r="AO4" s="63">
        <f>EOMONTH(AN4,3)</f>
        <v>44651</v>
      </c>
      <c r="AP4" s="448">
        <f>EOMONTH(AO4,3)</f>
        <v>44742</v>
      </c>
      <c r="AQ4" s="448">
        <f>EOMONTH(BM4,3)</f>
        <v>44834</v>
      </c>
      <c r="AR4" s="63">
        <f>EOMONTH(AQ4,3)</f>
        <v>44926</v>
      </c>
      <c r="AS4" s="63">
        <f>EOMONTH(AR4,3)</f>
        <v>45016</v>
      </c>
      <c r="AT4" s="448">
        <f>EOMONTH(AS4,3)</f>
        <v>45107</v>
      </c>
      <c r="AU4" s="622">
        <f>EOMONTH(BN4,3)</f>
        <v>45199</v>
      </c>
      <c r="AV4" s="448">
        <f>EOMONTH(AU4,3)</f>
        <v>45291</v>
      </c>
      <c r="AW4" s="448">
        <f>EOMONTH(AV4,3)</f>
        <v>45382</v>
      </c>
      <c r="AX4" s="448">
        <f>EOMONTH(AW4,3)</f>
        <v>45473</v>
      </c>
      <c r="AY4" s="448"/>
      <c r="AZ4" s="667">
        <v>39994</v>
      </c>
      <c r="BA4" s="668">
        <f>EOMONTH(AZ4,12)</f>
        <v>40359</v>
      </c>
      <c r="BB4" s="668">
        <f>EOMONTH(BA4,12)</f>
        <v>40724</v>
      </c>
      <c r="BC4" s="668">
        <f>EOMONTH(BB4,12)</f>
        <v>41090</v>
      </c>
      <c r="BD4" s="668">
        <f>F4</f>
        <v>41455</v>
      </c>
      <c r="BE4" s="668">
        <f>J4</f>
        <v>41820</v>
      </c>
      <c r="BF4" s="668">
        <f>N4</f>
        <v>42185</v>
      </c>
      <c r="BG4" s="668">
        <f>R4</f>
        <v>42551</v>
      </c>
      <c r="BH4" s="668">
        <f>V4</f>
        <v>42916</v>
      </c>
      <c r="BI4" s="668">
        <f>Z4</f>
        <v>43281</v>
      </c>
      <c r="BJ4" s="668">
        <f>AD4</f>
        <v>43646</v>
      </c>
      <c r="BK4" s="668">
        <f>AH4</f>
        <v>44012</v>
      </c>
      <c r="BL4" s="668">
        <f>AL4</f>
        <v>44377</v>
      </c>
      <c r="BM4" s="668">
        <f>AP4</f>
        <v>44742</v>
      </c>
      <c r="BN4" s="669">
        <f>AT4</f>
        <v>45107</v>
      </c>
      <c r="BO4" s="668">
        <f>AX4</f>
        <v>45473</v>
      </c>
      <c r="BP4" s="668" t="e">
        <f>#REF!</f>
        <v>#REF!</v>
      </c>
      <c r="BQ4" s="668" t="e">
        <f>EOMONTH(BP4,12)</f>
        <v>#REF!</v>
      </c>
      <c r="BR4" s="668" t="e">
        <f>EOMONTH(BQ4,12)</f>
        <v>#REF!</v>
      </c>
      <c r="BS4" s="668" t="e">
        <f>EOMONTH(BR4,12)</f>
        <v>#REF!</v>
      </c>
      <c r="BT4" s="209"/>
    </row>
    <row r="5" spans="1:72" s="130" customFormat="1" x14ac:dyDescent="0.35">
      <c r="A5" s="92" t="str">
        <f>MO.ReportCurrency</f>
        <v>USD</v>
      </c>
      <c r="B5" s="349"/>
      <c r="C5" s="449" t="str">
        <f>CONCATENATE("Q1","-",RIGHT(BC5,4)+1)</f>
        <v>Q1-2013</v>
      </c>
      <c r="D5" s="449" t="str">
        <f>CONCATENATE("Q2","-",RIGHT(C5,4))</f>
        <v>Q2-2013</v>
      </c>
      <c r="E5" s="449" t="str">
        <f>CONCATENATE("Q3","-",RIGHT(D5,4))</f>
        <v>Q3-2013</v>
      </c>
      <c r="F5" s="449" t="str">
        <f>CONCATENATE("Q4","-",RIGHT(E5,4))</f>
        <v>Q4-2013</v>
      </c>
      <c r="G5" s="449" t="str">
        <f>CONCATENATE("Q1","-",RIGHT(BD5,4)+1)</f>
        <v>Q1-2014</v>
      </c>
      <c r="H5" s="449" t="str">
        <f>CONCATENATE("Q2","-",RIGHT(G5,4))</f>
        <v>Q2-2014</v>
      </c>
      <c r="I5" s="449" t="str">
        <f>CONCATENATE("Q3","-",RIGHT(H5,4))</f>
        <v>Q3-2014</v>
      </c>
      <c r="J5" s="449" t="str">
        <f>CONCATENATE("Q4","-",RIGHT(I5,4))</f>
        <v>Q4-2014</v>
      </c>
      <c r="K5" s="449" t="str">
        <f>CONCATENATE("Q1","-",RIGHT(BE5,4)+1)</f>
        <v>Q1-2015</v>
      </c>
      <c r="L5" s="449" t="str">
        <f>CONCATENATE("Q2","-",RIGHT(K5,4))</f>
        <v>Q2-2015</v>
      </c>
      <c r="M5" s="449" t="str">
        <f>CONCATENATE("Q3","-",RIGHT(L5,4))</f>
        <v>Q3-2015</v>
      </c>
      <c r="N5" s="449" t="str">
        <f>CONCATENATE("Q4","-",RIGHT(M5,4))</f>
        <v>Q4-2015</v>
      </c>
      <c r="O5" s="449" t="str">
        <f>CONCATENATE("Q1","-",RIGHT(BF5,4)+1)</f>
        <v>Q1-2016</v>
      </c>
      <c r="P5" s="29" t="str">
        <f>CONCATENATE("Q2","-",RIGHT(O5,4))</f>
        <v>Q2-2016</v>
      </c>
      <c r="Q5" s="29" t="str">
        <f>CONCATENATE("Q3","-",RIGHT(P5,4))</f>
        <v>Q3-2016</v>
      </c>
      <c r="R5" s="449" t="str">
        <f>CONCATENATE("Q4","-",RIGHT(Q5,4))</f>
        <v>Q4-2016</v>
      </c>
      <c r="S5" s="449" t="str">
        <f>CONCATENATE("Q1","-",RIGHT(BG5,4)+1)</f>
        <v>Q1-2017</v>
      </c>
      <c r="T5" s="29" t="str">
        <f>CONCATENATE("Q2","-",RIGHT(S5,4))</f>
        <v>Q2-2017</v>
      </c>
      <c r="U5" s="29" t="str">
        <f>CONCATENATE("Q3","-",RIGHT(T5,4))</f>
        <v>Q3-2017</v>
      </c>
      <c r="V5" s="449" t="str">
        <f>CONCATENATE("Q4","-",RIGHT(U5,4))</f>
        <v>Q4-2017</v>
      </c>
      <c r="W5" s="449" t="str">
        <f>CONCATENATE("Q1","-",RIGHT(BH5,4)+1)</f>
        <v>Q1-2018</v>
      </c>
      <c r="X5" s="29" t="str">
        <f>CONCATENATE("Q2","-",RIGHT(W5,4))</f>
        <v>Q2-2018</v>
      </c>
      <c r="Y5" s="29" t="str">
        <f>CONCATENATE("Q3","-",RIGHT(X5,4))</f>
        <v>Q3-2018</v>
      </c>
      <c r="Z5" s="449" t="str">
        <f>CONCATENATE("Q4","-",RIGHT(Y5,4))</f>
        <v>Q4-2018</v>
      </c>
      <c r="AA5" s="449" t="str">
        <f>CONCATENATE("Q1","-",RIGHT(BI5,4)+1)</f>
        <v>Q1-2019</v>
      </c>
      <c r="AB5" s="29" t="str">
        <f>CONCATENATE("Q2","-",RIGHT(AA5,4))</f>
        <v>Q2-2019</v>
      </c>
      <c r="AC5" s="29" t="str">
        <f>CONCATENATE("Q3","-",RIGHT(AB5,4))</f>
        <v>Q3-2019</v>
      </c>
      <c r="AD5" s="449" t="str">
        <f>CONCATENATE("Q4","-",RIGHT(AC5,4))</f>
        <v>Q4-2019</v>
      </c>
      <c r="AE5" s="449" t="str">
        <f>CONCATENATE("Q1","-",RIGHT(BJ5,4)+1)</f>
        <v>Q1-2020</v>
      </c>
      <c r="AF5" s="29" t="str">
        <f>CONCATENATE("Q2","-",RIGHT(AE5,4))</f>
        <v>Q2-2020</v>
      </c>
      <c r="AG5" s="29" t="str">
        <f>CONCATENATE("Q3","-",RIGHT(AF5,4))</f>
        <v>Q3-2020</v>
      </c>
      <c r="AH5" s="449" t="str">
        <f>CONCATENATE("Q4","-",RIGHT(AG5,4))</f>
        <v>Q4-2020</v>
      </c>
      <c r="AI5" s="449" t="str">
        <f>CONCATENATE("Q1","-",RIGHT(BK5,4)+1)</f>
        <v>Q1-2021</v>
      </c>
      <c r="AJ5" s="29" t="str">
        <f>CONCATENATE("Q2","-",RIGHT(AI5,4))</f>
        <v>Q2-2021</v>
      </c>
      <c r="AK5" s="29" t="str">
        <f>CONCATENATE("Q3","-",RIGHT(AJ5,4))</f>
        <v>Q3-2021</v>
      </c>
      <c r="AL5" s="449" t="str">
        <f>CONCATENATE("Q4","-",RIGHT(AK5,4))</f>
        <v>Q4-2021</v>
      </c>
      <c r="AM5" s="449" t="str">
        <f>CONCATENATE("Q1","-",RIGHT(BL5,4)+1)</f>
        <v>Q1-2022</v>
      </c>
      <c r="AN5" s="29" t="str">
        <f>CONCATENATE("Q2","-",RIGHT(AM5,4))</f>
        <v>Q2-2022</v>
      </c>
      <c r="AO5" s="29" t="str">
        <f>CONCATENATE("Q3","-",RIGHT(AN5,4))</f>
        <v>Q3-2022</v>
      </c>
      <c r="AP5" s="449" t="str">
        <f>CONCATENATE("Q4","-",RIGHT(AO5,4))</f>
        <v>Q4-2022</v>
      </c>
      <c r="AQ5" s="449" t="str">
        <f>CONCATENATE("Q1","-",RIGHT(BM5,4)+1)</f>
        <v>Q1-2023</v>
      </c>
      <c r="AR5" s="29" t="str">
        <f>CONCATENATE("Q2","-",RIGHT(AQ5,4))</f>
        <v>Q2-2023</v>
      </c>
      <c r="AS5" s="29" t="str">
        <f>CONCATENATE("Q3","-",RIGHT(AR5,4))</f>
        <v>Q3-2023</v>
      </c>
      <c r="AT5" s="449" t="str">
        <f>CONCATENATE("Q4","-",RIGHT(AS5,4))</f>
        <v>Q4-2023</v>
      </c>
      <c r="AU5" s="623" t="str">
        <f>CONCATENATE("Q1","-",RIGHT(BN5,4)+1)</f>
        <v>Q1-2024</v>
      </c>
      <c r="AV5" s="449" t="str">
        <f>CONCATENATE("Q2","-",RIGHT(AU5,4))</f>
        <v>Q2-2024</v>
      </c>
      <c r="AW5" s="449" t="str">
        <f>CONCATENATE("Q3","-",RIGHT(AV5,4))</f>
        <v>Q3-2024</v>
      </c>
      <c r="AX5" s="449" t="str">
        <f>CONCATENATE("Q4","-",RIGHT(AW5,4))</f>
        <v>Q4-2024</v>
      </c>
      <c r="AY5" s="449"/>
      <c r="AZ5" s="670" t="s">
        <v>11</v>
      </c>
      <c r="BA5" s="671" t="str">
        <f t="shared" ref="BA5:BS5" si="1">CONCATENATE("FY",RIGHT(AZ5,4)+1)</f>
        <v>FY2010</v>
      </c>
      <c r="BB5" s="671" t="str">
        <f t="shared" si="1"/>
        <v>FY2011</v>
      </c>
      <c r="BC5" s="671" t="str">
        <f t="shared" si="1"/>
        <v>FY2012</v>
      </c>
      <c r="BD5" s="671" t="str">
        <f t="shared" si="1"/>
        <v>FY2013</v>
      </c>
      <c r="BE5" s="671" t="str">
        <f t="shared" si="1"/>
        <v>FY2014</v>
      </c>
      <c r="BF5" s="671" t="str">
        <f t="shared" si="1"/>
        <v>FY2015</v>
      </c>
      <c r="BG5" s="671" t="str">
        <f t="shared" si="1"/>
        <v>FY2016</v>
      </c>
      <c r="BH5" s="671" t="str">
        <f t="shared" si="1"/>
        <v>FY2017</v>
      </c>
      <c r="BI5" s="671" t="str">
        <f t="shared" si="1"/>
        <v>FY2018</v>
      </c>
      <c r="BJ5" s="671" t="str">
        <f t="shared" si="1"/>
        <v>FY2019</v>
      </c>
      <c r="BK5" s="671" t="str">
        <f t="shared" si="1"/>
        <v>FY2020</v>
      </c>
      <c r="BL5" s="671" t="str">
        <f t="shared" si="1"/>
        <v>FY2021</v>
      </c>
      <c r="BM5" s="671" t="str">
        <f t="shared" si="1"/>
        <v>FY2022</v>
      </c>
      <c r="BN5" s="672" t="str">
        <f t="shared" si="1"/>
        <v>FY2023</v>
      </c>
      <c r="BO5" s="671" t="str">
        <f t="shared" si="1"/>
        <v>FY2024</v>
      </c>
      <c r="BP5" s="671" t="str">
        <f t="shared" si="1"/>
        <v>FY2025</v>
      </c>
      <c r="BQ5" s="671" t="str">
        <f t="shared" si="1"/>
        <v>FY2026</v>
      </c>
      <c r="BR5" s="671" t="str">
        <f t="shared" si="1"/>
        <v>FY2027</v>
      </c>
      <c r="BS5" s="671" t="str">
        <f t="shared" si="1"/>
        <v>FY2028</v>
      </c>
      <c r="BT5" s="216"/>
    </row>
    <row r="6" spans="1:72" s="19" customFormat="1" x14ac:dyDescent="0.35">
      <c r="A6" s="59" t="s">
        <v>12</v>
      </c>
      <c r="B6" s="59"/>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391"/>
      <c r="AV6" s="59"/>
      <c r="AW6" s="59"/>
      <c r="AX6" s="59"/>
      <c r="AY6" s="59"/>
      <c r="AZ6" s="59"/>
      <c r="BA6" s="59"/>
      <c r="BB6" s="59"/>
      <c r="BC6" s="59"/>
      <c r="BD6" s="59"/>
      <c r="BE6" s="59"/>
      <c r="BF6" s="59"/>
      <c r="BG6" s="59"/>
      <c r="BH6" s="59"/>
      <c r="BI6" s="59"/>
      <c r="BJ6" s="59"/>
      <c r="BK6" s="59"/>
      <c r="BL6" s="59"/>
      <c r="BM6" s="59"/>
      <c r="BN6" s="391"/>
      <c r="BO6" s="59"/>
      <c r="BP6" s="59"/>
      <c r="BQ6" s="59"/>
      <c r="BR6" s="59"/>
      <c r="BS6" s="59"/>
      <c r="BT6" s="27"/>
    </row>
    <row r="7" spans="1:72" s="19" customFormat="1" x14ac:dyDescent="0.35">
      <c r="A7" s="122" t="s">
        <v>491</v>
      </c>
      <c r="B7" s="106"/>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26">
        <f t="shared" ref="AE7:AX7" si="2">AE28/AA28-1</f>
        <v>-2.0749219126679708E-2</v>
      </c>
      <c r="AF7" s="26">
        <f t="shared" si="2"/>
        <v>-4.1042976399052078E-2</v>
      </c>
      <c r="AG7" s="26">
        <f t="shared" si="2"/>
        <v>-3.3531479546999754E-2</v>
      </c>
      <c r="AH7" s="26">
        <f t="shared" si="2"/>
        <v>-3.7474600275035352E-2</v>
      </c>
      <c r="AI7" s="26">
        <f t="shared" si="2"/>
        <v>0.34372297337797453</v>
      </c>
      <c r="AJ7" s="26">
        <f t="shared" si="2"/>
        <v>0.34979945748197738</v>
      </c>
      <c r="AK7" s="26">
        <f t="shared" si="2"/>
        <v>0.38240680772216673</v>
      </c>
      <c r="AL7" s="26">
        <f t="shared" si="2"/>
        <v>0.40764086729558646</v>
      </c>
      <c r="AM7" s="26">
        <f t="shared" si="2"/>
        <v>-2.391922204379171E-2</v>
      </c>
      <c r="AN7" s="26">
        <f t="shared" si="2"/>
        <v>-2.3822490596805412E-3</v>
      </c>
      <c r="AO7" s="26">
        <f t="shared" si="2"/>
        <v>-1.9999751787132536E-2</v>
      </c>
      <c r="AP7" s="26">
        <f t="shared" si="2"/>
        <v>2.510164880111998E-2</v>
      </c>
      <c r="AQ7" s="26">
        <f t="shared" si="2"/>
        <v>-0.11321697063076763</v>
      </c>
      <c r="AR7" s="26">
        <f t="shared" si="2"/>
        <v>-0.12283513333184348</v>
      </c>
      <c r="AS7" s="26">
        <f t="shared" si="2"/>
        <v>-8.3239936933685477E-2</v>
      </c>
      <c r="AT7" s="26">
        <f t="shared" si="2"/>
        <v>-0.12691558566306982</v>
      </c>
      <c r="AU7" s="480">
        <f t="shared" si="2"/>
        <v>0.10189282112067377</v>
      </c>
      <c r="AV7" s="78">
        <f t="shared" si="2"/>
        <v>9.1800000000000104E-2</v>
      </c>
      <c r="AW7" s="78">
        <f t="shared" si="2"/>
        <v>6.0499999999999998E-2</v>
      </c>
      <c r="AX7" s="78">
        <f t="shared" si="2"/>
        <v>6.0000000000000275E-2</v>
      </c>
      <c r="AY7" s="78"/>
      <c r="AZ7" s="673"/>
      <c r="BA7" s="673"/>
      <c r="BB7" s="673"/>
      <c r="BC7" s="673"/>
      <c r="BD7" s="673"/>
      <c r="BE7" s="673"/>
      <c r="BF7" s="673"/>
      <c r="BG7" s="673"/>
      <c r="BH7" s="673"/>
      <c r="BI7" s="673"/>
      <c r="BJ7" s="673"/>
      <c r="BK7" s="674">
        <f t="shared" ref="BK7:BS7" si="3">BK28/BJ28-1</f>
        <v>-3.3255998616878335E-2</v>
      </c>
      <c r="BL7" s="674">
        <f t="shared" si="3"/>
        <v>0.37094456247965324</v>
      </c>
      <c r="BM7" s="674">
        <f t="shared" si="3"/>
        <v>-5.0117208340266783E-3</v>
      </c>
      <c r="BN7" s="675">
        <f t="shared" si="3"/>
        <v>-0.11178670150253212</v>
      </c>
      <c r="BO7" s="673">
        <f t="shared" si="3"/>
        <v>7.7908696639800157E-2</v>
      </c>
      <c r="BP7" s="673" t="e">
        <f t="shared" si="3"/>
        <v>#REF!</v>
      </c>
      <c r="BQ7" s="673" t="e">
        <f t="shared" si="3"/>
        <v>#REF!</v>
      </c>
      <c r="BR7" s="673" t="e">
        <f t="shared" si="3"/>
        <v>#REF!</v>
      </c>
      <c r="BS7" s="673" t="e">
        <f t="shared" si="3"/>
        <v>#REF!</v>
      </c>
      <c r="BT7" s="27"/>
    </row>
    <row r="8" spans="1:72" s="132" customFormat="1" x14ac:dyDescent="0.35">
      <c r="A8" s="74" t="s">
        <v>474</v>
      </c>
      <c r="B8" s="105"/>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25">
        <f t="shared" ref="AI8:AX8" si="4">AI29/AE29-1</f>
        <v>1.0705158140522184</v>
      </c>
      <c r="AJ8" s="25">
        <f t="shared" si="4"/>
        <v>1.0599839615076179</v>
      </c>
      <c r="AK8" s="25">
        <f t="shared" si="4"/>
        <v>1.5159462055715656</v>
      </c>
      <c r="AL8" s="61">
        <f t="shared" si="4"/>
        <v>0.80767357338229218</v>
      </c>
      <c r="AM8" s="25">
        <f t="shared" si="4"/>
        <v>0.4642102889011912</v>
      </c>
      <c r="AN8" s="25">
        <f t="shared" si="4"/>
        <v>0.46541186546247304</v>
      </c>
      <c r="AO8" s="25">
        <f t="shared" si="4"/>
        <v>0.58905730976289572</v>
      </c>
      <c r="AP8" s="61">
        <f t="shared" si="4"/>
        <v>0.89613431443672931</v>
      </c>
      <c r="AQ8" s="25">
        <f t="shared" si="4"/>
        <v>0.75792244892243477</v>
      </c>
      <c r="AR8" s="25">
        <f t="shared" si="4"/>
        <v>1.0427829505757962</v>
      </c>
      <c r="AS8" s="25">
        <f t="shared" si="4"/>
        <v>0.81133616857685187</v>
      </c>
      <c r="AT8" s="61">
        <f t="shared" si="4"/>
        <v>0.71261163764361224</v>
      </c>
      <c r="AU8" s="481">
        <f t="shared" si="4"/>
        <v>0.20264468076632003</v>
      </c>
      <c r="AV8" s="61">
        <f t="shared" si="4"/>
        <v>9.1999999999999638E-2</v>
      </c>
      <c r="AW8" s="61">
        <f t="shared" si="4"/>
        <v>9.0800000000000214E-2</v>
      </c>
      <c r="AX8" s="61">
        <f t="shared" si="4"/>
        <v>8.0699999999999994E-2</v>
      </c>
      <c r="AY8" s="61"/>
      <c r="AZ8" s="676"/>
      <c r="BA8" s="676"/>
      <c r="BB8" s="676"/>
      <c r="BC8" s="676"/>
      <c r="BD8" s="676"/>
      <c r="BE8" s="676"/>
      <c r="BF8" s="676"/>
      <c r="BG8" s="676"/>
      <c r="BH8" s="676"/>
      <c r="BI8" s="676"/>
      <c r="BJ8" s="676"/>
      <c r="BK8" s="676"/>
      <c r="BL8" s="676">
        <f t="shared" ref="BL8:BS8" si="5">BL29/BK29-1</f>
        <v>1.0913086954710223</v>
      </c>
      <c r="BM8" s="676">
        <f t="shared" si="5"/>
        <v>0.60088457668821649</v>
      </c>
      <c r="BN8" s="677">
        <f t="shared" si="5"/>
        <v>0.82557806705328907</v>
      </c>
      <c r="BO8" s="676">
        <f t="shared" si="5"/>
        <v>0.1123461410774238</v>
      </c>
      <c r="BP8" s="676" t="e">
        <f t="shared" si="5"/>
        <v>#REF!</v>
      </c>
      <c r="BQ8" s="676" t="e">
        <f t="shared" si="5"/>
        <v>#REF!</v>
      </c>
      <c r="BR8" s="676" t="e">
        <f t="shared" si="5"/>
        <v>#REF!</v>
      </c>
      <c r="BS8" s="676" t="e">
        <f t="shared" si="5"/>
        <v>#REF!</v>
      </c>
      <c r="BT8" s="49"/>
    </row>
    <row r="9" spans="1:72" s="132" customFormat="1" x14ac:dyDescent="0.35">
      <c r="A9" s="171" t="s">
        <v>475</v>
      </c>
      <c r="B9" s="105"/>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f t="shared" ref="AK9:AU10" si="6">AK30/AG30-1</f>
        <v>4.4781926576717916</v>
      </c>
      <c r="AL9" s="61">
        <f t="shared" si="6"/>
        <v>1.4732165851146024</v>
      </c>
      <c r="AM9" s="61">
        <f t="shared" si="6"/>
        <v>1.6944011509411343</v>
      </c>
      <c r="AN9" s="61">
        <f t="shared" si="6"/>
        <v>0.94610389610389611</v>
      </c>
      <c r="AO9" s="61">
        <f t="shared" si="6"/>
        <v>0.29595051262958938</v>
      </c>
      <c r="AP9" s="61">
        <f t="shared" si="6"/>
        <v>0.3218618212110167</v>
      </c>
      <c r="AQ9" s="61">
        <f t="shared" si="6"/>
        <v>0.24397081071460347</v>
      </c>
      <c r="AR9" s="61">
        <f t="shared" si="6"/>
        <v>0.42409075742409086</v>
      </c>
      <c r="AS9" s="61">
        <f t="shared" si="6"/>
        <v>0.32352161230442844</v>
      </c>
      <c r="AT9" s="61">
        <f t="shared" si="6"/>
        <v>0.23750443105281827</v>
      </c>
      <c r="AU9" s="482">
        <f t="shared" si="6"/>
        <v>6.8390742926637271E-2</v>
      </c>
      <c r="AV9" s="624">
        <v>0.05</v>
      </c>
      <c r="AW9" s="624">
        <v>0.05</v>
      </c>
      <c r="AX9" s="624">
        <v>0.05</v>
      </c>
      <c r="AY9" s="30"/>
      <c r="AZ9" s="676"/>
      <c r="BA9" s="676"/>
      <c r="BB9" s="676"/>
      <c r="BC9" s="676"/>
      <c r="BD9" s="676"/>
      <c r="BE9" s="676"/>
      <c r="BF9" s="676"/>
      <c r="BG9" s="676"/>
      <c r="BH9" s="676"/>
      <c r="BI9" s="676"/>
      <c r="BJ9" s="676"/>
      <c r="BK9" s="676"/>
      <c r="BL9" s="676">
        <f t="shared" ref="BL9:BP10" si="7">BL30/BK30-1</f>
        <v>4.0933077695608509</v>
      </c>
      <c r="BM9" s="676">
        <f t="shared" si="7"/>
        <v>0.63957552834889841</v>
      </c>
      <c r="BN9" s="677">
        <f t="shared" si="7"/>
        <v>0.30316944909092891</v>
      </c>
      <c r="BO9" s="676">
        <f t="shared" si="7"/>
        <v>5.4322256432628446E-2</v>
      </c>
      <c r="BP9" s="676" t="e">
        <f t="shared" si="7"/>
        <v>#REF!</v>
      </c>
      <c r="BQ9" s="678">
        <v>0.05</v>
      </c>
      <c r="BR9" s="678">
        <v>0.05</v>
      </c>
      <c r="BS9" s="678">
        <v>0.05</v>
      </c>
      <c r="BT9" s="49"/>
    </row>
    <row r="10" spans="1:72" s="19" customFormat="1" x14ac:dyDescent="0.35">
      <c r="A10" s="42" t="s">
        <v>492</v>
      </c>
      <c r="B10" s="109"/>
      <c r="C10" s="77"/>
      <c r="D10" s="77"/>
      <c r="E10" s="77"/>
      <c r="F10" s="77"/>
      <c r="G10" s="77"/>
      <c r="H10" s="77"/>
      <c r="I10" s="77"/>
      <c r="J10" s="77"/>
      <c r="K10" s="77"/>
      <c r="L10" s="77"/>
      <c r="M10" s="77"/>
      <c r="N10" s="77"/>
      <c r="O10" s="77"/>
      <c r="P10" s="77"/>
      <c r="Q10" s="77"/>
      <c r="R10" s="77"/>
      <c r="S10" s="77"/>
      <c r="T10" s="77"/>
      <c r="U10" s="77"/>
      <c r="V10" s="77"/>
      <c r="W10" s="77"/>
      <c r="X10" s="77"/>
      <c r="Y10" s="77"/>
      <c r="Z10" s="77"/>
      <c r="AA10" s="77"/>
      <c r="AB10" s="77"/>
      <c r="AC10" s="77"/>
      <c r="AD10" s="77"/>
      <c r="AE10" s="24">
        <f t="shared" ref="AE10:AJ10" si="8">AE31/AA31-1</f>
        <v>0.84037815454332376</v>
      </c>
      <c r="AF10" s="24">
        <f t="shared" si="8"/>
        <v>1.028136943970074</v>
      </c>
      <c r="AG10" s="24">
        <f t="shared" si="8"/>
        <v>0.99791944074567263</v>
      </c>
      <c r="AH10" s="24">
        <f t="shared" si="8"/>
        <v>1.7110708946415927</v>
      </c>
      <c r="AI10" s="24">
        <f t="shared" si="8"/>
        <v>1.424623222245808</v>
      </c>
      <c r="AJ10" s="24">
        <f t="shared" si="8"/>
        <v>1.4922213311948673</v>
      </c>
      <c r="AK10" s="24">
        <f t="shared" si="6"/>
        <v>1.9091931519973335</v>
      </c>
      <c r="AL10" s="24">
        <f t="shared" si="6"/>
        <v>0.95768393556813236</v>
      </c>
      <c r="AM10" s="24">
        <f t="shared" si="6"/>
        <v>0.64387519260400627</v>
      </c>
      <c r="AN10" s="24">
        <f t="shared" si="6"/>
        <v>0.54878048780487809</v>
      </c>
      <c r="AO10" s="24">
        <f t="shared" si="6"/>
        <v>0.51578585644535457</v>
      </c>
      <c r="AP10" s="24">
        <f t="shared" si="6"/>
        <v>0.73260985589752714</v>
      </c>
      <c r="AQ10" s="24">
        <f t="shared" si="6"/>
        <v>0.63489375299568596</v>
      </c>
      <c r="AR10" s="24">
        <f t="shared" si="6"/>
        <v>0.90795296366318312</v>
      </c>
      <c r="AS10" s="24">
        <f t="shared" si="6"/>
        <v>0.70707700445855037</v>
      </c>
      <c r="AT10" s="24">
        <f t="shared" si="6"/>
        <v>0.60939692644693189</v>
      </c>
      <c r="AU10" s="483">
        <f t="shared" si="6"/>
        <v>0.17819169728715512</v>
      </c>
      <c r="AV10" s="77">
        <f t="shared" ref="AV10:AX10" si="9">AV31/AR31-1</f>
        <v>8.5168262817755469E-2</v>
      </c>
      <c r="AW10" s="77">
        <f t="shared" si="9"/>
        <v>8.4039208047897995E-2</v>
      </c>
      <c r="AX10" s="77">
        <f t="shared" si="9"/>
        <v>7.5571717343569711E-2</v>
      </c>
      <c r="AY10" s="77"/>
      <c r="AZ10" s="679"/>
      <c r="BA10" s="679"/>
      <c r="BB10" s="679"/>
      <c r="BC10" s="679"/>
      <c r="BD10" s="679"/>
      <c r="BE10" s="679"/>
      <c r="BF10" s="679"/>
      <c r="BG10" s="679"/>
      <c r="BH10" s="679"/>
      <c r="BI10" s="679"/>
      <c r="BJ10" s="679"/>
      <c r="BK10" s="680">
        <f>BK31/BJ31-1</f>
        <v>1.1468256357760782</v>
      </c>
      <c r="BL10" s="680">
        <f t="shared" si="7"/>
        <v>1.398730330880634</v>
      </c>
      <c r="BM10" s="680">
        <f t="shared" si="7"/>
        <v>0.60929759394451999</v>
      </c>
      <c r="BN10" s="681">
        <f t="shared" si="7"/>
        <v>0.70984758394024472</v>
      </c>
      <c r="BO10" s="679">
        <f t="shared" si="7"/>
        <v>0.10254926250093854</v>
      </c>
      <c r="BP10" s="679" t="e">
        <f t="shared" si="7"/>
        <v>#REF!</v>
      </c>
      <c r="BQ10" s="679" t="e">
        <f>BQ31/BP31-1</f>
        <v>#REF!</v>
      </c>
      <c r="BR10" s="679" t="e">
        <f>BR31/BQ31-1</f>
        <v>#REF!</v>
      </c>
      <c r="BS10" s="679" t="e">
        <f>BS31/BR31-1</f>
        <v>#REF!</v>
      </c>
      <c r="BT10" s="27"/>
    </row>
    <row r="11" spans="1:72" s="19" customFormat="1" x14ac:dyDescent="0.35">
      <c r="A11" s="43" t="s">
        <v>17</v>
      </c>
      <c r="B11" s="109"/>
      <c r="C11" s="77"/>
      <c r="D11" s="77"/>
      <c r="E11" s="77"/>
      <c r="F11" s="77"/>
      <c r="G11" s="24">
        <f t="shared" ref="G11:AX11" si="10">G190/C190-1</f>
        <v>3.2881644172667146E-2</v>
      </c>
      <c r="H11" s="24">
        <f t="shared" si="10"/>
        <v>8.6837711379035953E-2</v>
      </c>
      <c r="I11" s="24">
        <f t="shared" si="10"/>
        <v>7.8955455967414379E-2</v>
      </c>
      <c r="J11" s="24">
        <f t="shared" si="10"/>
        <v>0.14259406067350455</v>
      </c>
      <c r="K11" s="24">
        <f t="shared" si="10"/>
        <v>3.6546596253382635E-2</v>
      </c>
      <c r="L11" s="24">
        <f t="shared" si="10"/>
        <v>3.2980676048035118E-2</v>
      </c>
      <c r="M11" s="24">
        <f t="shared" si="10"/>
        <v>3.9966499732167815E-2</v>
      </c>
      <c r="N11" s="24">
        <f t="shared" si="10"/>
        <v>1.5552950708049629E-2</v>
      </c>
      <c r="O11" s="24">
        <f t="shared" si="10"/>
        <v>-6.5404373246814695E-2</v>
      </c>
      <c r="P11" s="24">
        <f t="shared" si="10"/>
        <v>-9.7244319164389692E-2</v>
      </c>
      <c r="Q11" s="24">
        <f t="shared" si="10"/>
        <v>-9.517911234838905E-2</v>
      </c>
      <c r="R11" s="24">
        <f t="shared" si="10"/>
        <v>-6.083469478687098E-2</v>
      </c>
      <c r="S11" s="24">
        <f t="shared" si="10"/>
        <v>3.5745604122406682E-2</v>
      </c>
      <c r="T11" s="24">
        <f t="shared" si="10"/>
        <v>5.8804373332822513E-2</v>
      </c>
      <c r="U11" s="24">
        <f t="shared" si="10"/>
        <v>5.3898978946416154E-3</v>
      </c>
      <c r="V11" s="24">
        <f t="shared" si="10"/>
        <v>-2.5126627176157657E-2</v>
      </c>
      <c r="W11" s="24">
        <f t="shared" si="10"/>
        <v>-1.5405563459575111E-3</v>
      </c>
      <c r="X11" s="24">
        <f t="shared" si="10"/>
        <v>-1.7544891220769743E-2</v>
      </c>
      <c r="Y11" s="24">
        <f t="shared" si="10"/>
        <v>4.6424575231538867E-2</v>
      </c>
      <c r="Z11" s="24">
        <f t="shared" si="10"/>
        <v>0.10713855337924927</v>
      </c>
      <c r="AA11" s="24">
        <f t="shared" si="10"/>
        <v>9.8472364884061525E-2</v>
      </c>
      <c r="AB11" s="24">
        <f t="shared" si="10"/>
        <v>0.17338440502552821</v>
      </c>
      <c r="AC11" s="24">
        <f t="shared" si="10"/>
        <v>8.7553249965645286E-2</v>
      </c>
      <c r="AD11" s="24">
        <f t="shared" si="10"/>
        <v>7.3009201503721588E-2</v>
      </c>
      <c r="AE11" s="24">
        <f t="shared" si="10"/>
        <v>2.3106551962883026E-2</v>
      </c>
      <c r="AF11" s="24">
        <f t="shared" si="10"/>
        <v>1.0542546847044809E-2</v>
      </c>
      <c r="AG11" s="24">
        <f t="shared" si="10"/>
        <v>1.5407578222481844E-2</v>
      </c>
      <c r="AH11" s="24">
        <f t="shared" si="10"/>
        <v>4.9224778982030593E-2</v>
      </c>
      <c r="AI11" s="24">
        <f t="shared" si="10"/>
        <v>0.44274485553494269</v>
      </c>
      <c r="AJ11" s="24">
        <f t="shared" si="10"/>
        <v>0.46042266043896718</v>
      </c>
      <c r="AK11" s="24">
        <f t="shared" si="10"/>
        <v>0.52494225250239146</v>
      </c>
      <c r="AL11" s="24">
        <f t="shared" si="10"/>
        <v>0.47811148584581109</v>
      </c>
      <c r="AM11" s="24">
        <f t="shared" si="10"/>
        <v>7.8892602976062154E-2</v>
      </c>
      <c r="AN11" s="24">
        <f t="shared" si="10"/>
        <v>8.8694519400763117E-2</v>
      </c>
      <c r="AO11" s="24">
        <f t="shared" si="10"/>
        <v>7.5423631564854876E-2</v>
      </c>
      <c r="AP11" s="24">
        <f t="shared" si="10"/>
        <v>0.14515609670196938</v>
      </c>
      <c r="AQ11" s="24">
        <f t="shared" si="10"/>
        <v>6.2274814729677663E-2</v>
      </c>
      <c r="AR11" s="24">
        <f t="shared" si="10"/>
        <v>0.11948025308480692</v>
      </c>
      <c r="AS11" s="24">
        <f t="shared" si="10"/>
        <v>0.11515168760463057</v>
      </c>
      <c r="AT11" s="24">
        <f t="shared" si="10"/>
        <v>6.2120642954586414E-2</v>
      </c>
      <c r="AU11" s="483">
        <f t="shared" si="10"/>
        <v>0.12943902152181574</v>
      </c>
      <c r="AV11" s="77">
        <f t="shared" si="10"/>
        <v>8.9143008714430483E-2</v>
      </c>
      <c r="AW11" s="77">
        <f t="shared" si="10"/>
        <v>6.9545509947180895E-2</v>
      </c>
      <c r="AX11" s="77">
        <f t="shared" si="10"/>
        <v>6.6057712998640827E-2</v>
      </c>
      <c r="AY11" s="77"/>
      <c r="AZ11" s="679"/>
      <c r="BA11" s="680">
        <f t="shared" ref="BA11:BS11" si="11">BA190/AZ190-1</f>
        <v>0.21832349408853124</v>
      </c>
      <c r="BB11" s="680">
        <f t="shared" si="11"/>
        <v>0.35884204229198624</v>
      </c>
      <c r="BC11" s="680">
        <f t="shared" si="11"/>
        <v>0.35597415175888258</v>
      </c>
      <c r="BD11" s="680">
        <f t="shared" si="11"/>
        <v>0.197362533120085</v>
      </c>
      <c r="BE11" s="680">
        <f t="shared" si="11"/>
        <v>8.4097286081441069E-2</v>
      </c>
      <c r="BF11" s="680">
        <f t="shared" si="11"/>
        <v>3.125540344058475E-2</v>
      </c>
      <c r="BG11" s="680">
        <f t="shared" si="11"/>
        <v>-7.9715784345361196E-2</v>
      </c>
      <c r="BH11" s="680">
        <f t="shared" si="11"/>
        <v>1.8126503953248552E-2</v>
      </c>
      <c r="BI11" s="680">
        <f t="shared" si="11"/>
        <v>3.2880557421957279E-2</v>
      </c>
      <c r="BJ11" s="680">
        <f t="shared" si="11"/>
        <v>0.10680436815024819</v>
      </c>
      <c r="BK11" s="680">
        <f t="shared" si="11"/>
        <v>2.4625105340673858E-2</v>
      </c>
      <c r="BL11" s="680">
        <f t="shared" si="11"/>
        <v>0.47656771701584866</v>
      </c>
      <c r="BM11" s="680">
        <f t="shared" si="11"/>
        <v>9.7546786746141256E-2</v>
      </c>
      <c r="BN11" s="681">
        <f t="shared" si="11"/>
        <v>8.9343118317438019E-2</v>
      </c>
      <c r="BO11" s="679">
        <f t="shared" si="11"/>
        <v>8.7376326986901898E-2</v>
      </c>
      <c r="BP11" s="679" t="e">
        <f t="shared" si="11"/>
        <v>#REF!</v>
      </c>
      <c r="BQ11" s="679" t="e">
        <f t="shared" si="11"/>
        <v>#REF!</v>
      </c>
      <c r="BR11" s="679" t="e">
        <f t="shared" si="11"/>
        <v>#REF!</v>
      </c>
      <c r="BS11" s="679" t="e">
        <f t="shared" si="11"/>
        <v>#REF!</v>
      </c>
      <c r="BT11" s="27"/>
    </row>
    <row r="12" spans="1:72" s="19" customFormat="1" x14ac:dyDescent="0.35">
      <c r="A12" s="173"/>
      <c r="B12" s="106"/>
      <c r="C12" s="78"/>
      <c r="D12" s="78"/>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484"/>
      <c r="AV12" s="78"/>
      <c r="AW12" s="78"/>
      <c r="AX12" s="78"/>
      <c r="AY12" s="78"/>
      <c r="AZ12" s="673"/>
      <c r="BA12" s="673"/>
      <c r="BB12" s="673"/>
      <c r="BC12" s="673"/>
      <c r="BD12" s="673"/>
      <c r="BE12" s="673"/>
      <c r="BF12" s="673"/>
      <c r="BG12" s="673"/>
      <c r="BH12" s="673"/>
      <c r="BI12" s="673"/>
      <c r="BJ12" s="673"/>
      <c r="BK12" s="673"/>
      <c r="BL12" s="673"/>
      <c r="BM12" s="673"/>
      <c r="BN12" s="682"/>
      <c r="BO12" s="673"/>
      <c r="BP12" s="673"/>
      <c r="BQ12" s="673"/>
      <c r="BR12" s="673"/>
      <c r="BS12" s="673"/>
      <c r="BT12" s="27"/>
    </row>
    <row r="13" spans="1:72" s="132" customFormat="1" x14ac:dyDescent="0.35">
      <c r="A13" s="321" t="s">
        <v>479</v>
      </c>
      <c r="B13" s="105"/>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f t="shared" ref="AE13:AN15" si="12">AE56/AA56-1</f>
        <v>-2.8070175438596467E-2</v>
      </c>
      <c r="AF13" s="61">
        <f t="shared" si="12"/>
        <v>-4.5576407506702443E-2</v>
      </c>
      <c r="AG13" s="61">
        <f t="shared" si="12"/>
        <v>-3.4574468085106336E-2</v>
      </c>
      <c r="AH13" s="61">
        <f t="shared" si="12"/>
        <v>-1.87969924812037E-3</v>
      </c>
      <c r="AI13" s="61">
        <f t="shared" si="12"/>
        <v>0.48555956678700363</v>
      </c>
      <c r="AJ13" s="61">
        <f t="shared" si="12"/>
        <v>0.50936329588014972</v>
      </c>
      <c r="AK13" s="61">
        <f t="shared" si="12"/>
        <v>0.4306703397612488</v>
      </c>
      <c r="AL13" s="61">
        <f t="shared" si="12"/>
        <v>0.38606403013182655</v>
      </c>
      <c r="AM13" s="61">
        <f t="shared" si="12"/>
        <v>-0.10328068043742411</v>
      </c>
      <c r="AN13" s="61">
        <f t="shared" si="12"/>
        <v>-9.6774193548387122E-2</v>
      </c>
      <c r="AO13" s="61">
        <f t="shared" ref="AO13:AU15" si="13">AO56/AK56-1</f>
        <v>-7.7021822849807409E-2</v>
      </c>
      <c r="AP13" s="61">
        <f t="shared" si="13"/>
        <v>-7.2690217391304324E-2</v>
      </c>
      <c r="AQ13" s="61">
        <f t="shared" si="13"/>
        <v>-0.23915989159891593</v>
      </c>
      <c r="AR13" s="61">
        <f t="shared" si="13"/>
        <v>-0.2362637362637362</v>
      </c>
      <c r="AS13" s="61">
        <f t="shared" si="13"/>
        <v>-0.20305980528511836</v>
      </c>
      <c r="AT13" s="61">
        <f t="shared" si="13"/>
        <v>-0.18974358974358974</v>
      </c>
      <c r="AU13" s="482">
        <f t="shared" si="13"/>
        <v>4.7195013357079318E-2</v>
      </c>
      <c r="AV13" s="624">
        <v>0.06</v>
      </c>
      <c r="AW13" s="624">
        <v>0.05</v>
      </c>
      <c r="AX13" s="624">
        <v>0.06</v>
      </c>
      <c r="AY13" s="30"/>
      <c r="AZ13" s="676"/>
      <c r="BA13" s="676"/>
      <c r="BB13" s="676"/>
      <c r="BC13" s="676"/>
      <c r="BD13" s="676"/>
      <c r="BE13" s="676"/>
      <c r="BF13" s="676"/>
      <c r="BG13" s="676"/>
      <c r="BH13" s="676"/>
      <c r="BI13" s="676"/>
      <c r="BJ13" s="676"/>
      <c r="BK13" s="676">
        <f t="shared" ref="BK13:BP15" si="14">BK56/BJ56-1</f>
        <v>-3.0575539568345356E-2</v>
      </c>
      <c r="BL13" s="676">
        <f t="shared" si="14"/>
        <v>0.45361781076066787</v>
      </c>
      <c r="BM13" s="676">
        <f t="shared" si="14"/>
        <v>-8.6151882578174854E-2</v>
      </c>
      <c r="BN13" s="677">
        <f t="shared" si="14"/>
        <v>-0.21578212290502785</v>
      </c>
      <c r="BO13" s="676">
        <f t="shared" si="14"/>
        <v>5.3067675868210262E-2</v>
      </c>
      <c r="BP13" s="676" t="e">
        <f t="shared" si="14"/>
        <v>#REF!</v>
      </c>
      <c r="BQ13" s="678">
        <v>0.02</v>
      </c>
      <c r="BR13" s="678">
        <v>0.02</v>
      </c>
      <c r="BS13" s="678">
        <v>0.02</v>
      </c>
      <c r="BT13" s="49"/>
    </row>
    <row r="14" spans="1:72" s="132" customFormat="1" x14ac:dyDescent="0.35">
      <c r="A14" s="321" t="s">
        <v>480</v>
      </c>
      <c r="B14" s="105"/>
      <c r="C14" s="61"/>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f t="shared" si="12"/>
        <v>0.91549295774647899</v>
      </c>
      <c r="AF14" s="61">
        <f t="shared" si="12"/>
        <v>0.92647058823529416</v>
      </c>
      <c r="AG14" s="61">
        <f t="shared" si="12"/>
        <v>0.9701492537313432</v>
      </c>
      <c r="AH14" s="61">
        <f t="shared" si="12"/>
        <v>0.98437499999999978</v>
      </c>
      <c r="AI14" s="61">
        <f t="shared" si="12"/>
        <v>1.2647058823529411</v>
      </c>
      <c r="AJ14" s="61">
        <f t="shared" si="12"/>
        <v>1.3129770992366412</v>
      </c>
      <c r="AK14" s="61">
        <f t="shared" si="12"/>
        <v>1.2348484848484849</v>
      </c>
      <c r="AL14" s="61">
        <f t="shared" si="12"/>
        <v>1.2204724409448819</v>
      </c>
      <c r="AM14" s="61">
        <f t="shared" si="12"/>
        <v>0.36363636363636354</v>
      </c>
      <c r="AN14" s="61">
        <f t="shared" si="12"/>
        <v>0.38283828382838281</v>
      </c>
      <c r="AO14" s="61">
        <f t="shared" si="13"/>
        <v>0.42372881355932202</v>
      </c>
      <c r="AP14" s="61">
        <f t="shared" si="13"/>
        <v>0.48581560283687941</v>
      </c>
      <c r="AQ14" s="61">
        <f t="shared" si="13"/>
        <v>0.46666666666666679</v>
      </c>
      <c r="AR14" s="61">
        <f t="shared" si="13"/>
        <v>0.58233890214797124</v>
      </c>
      <c r="AS14" s="61">
        <f t="shared" si="13"/>
        <v>0.60000000000000009</v>
      </c>
      <c r="AT14" s="61">
        <f t="shared" si="13"/>
        <v>0.56324582338902163</v>
      </c>
      <c r="AU14" s="482">
        <f t="shared" si="13"/>
        <v>0.14123376623376616</v>
      </c>
      <c r="AV14" s="624">
        <v>0.05</v>
      </c>
      <c r="AW14" s="624">
        <v>0.08</v>
      </c>
      <c r="AX14" s="624">
        <v>7.0000000000000007E-2</v>
      </c>
      <c r="AY14" s="30"/>
      <c r="AZ14" s="676"/>
      <c r="BA14" s="676"/>
      <c r="BB14" s="676"/>
      <c r="BC14" s="676"/>
      <c r="BD14" s="676"/>
      <c r="BE14" s="676"/>
      <c r="BF14" s="676"/>
      <c r="BG14" s="676"/>
      <c r="BH14" s="676"/>
      <c r="BI14" s="676"/>
      <c r="BJ14" s="676"/>
      <c r="BK14" s="676">
        <f t="shared" si="14"/>
        <v>0.9552238805970148</v>
      </c>
      <c r="BL14" s="676">
        <f t="shared" si="14"/>
        <v>1.2595419847328246</v>
      </c>
      <c r="BM14" s="676">
        <f t="shared" si="14"/>
        <v>0.41554054054054035</v>
      </c>
      <c r="BN14" s="677">
        <f t="shared" si="14"/>
        <v>0.57279236276849654</v>
      </c>
      <c r="BO14" s="676">
        <f t="shared" si="14"/>
        <v>7.1987860394537195E-2</v>
      </c>
      <c r="BP14" s="676" t="e">
        <f t="shared" si="14"/>
        <v>#REF!</v>
      </c>
      <c r="BQ14" s="678">
        <v>0.01</v>
      </c>
      <c r="BR14" s="678">
        <v>0.01</v>
      </c>
      <c r="BS14" s="678">
        <v>0.01</v>
      </c>
      <c r="BT14" s="49"/>
    </row>
    <row r="15" spans="1:72" s="19" customFormat="1" x14ac:dyDescent="0.35">
      <c r="A15" s="43" t="s">
        <v>484</v>
      </c>
      <c r="B15" s="109"/>
      <c r="C15" s="77"/>
      <c r="D15" s="77"/>
      <c r="E15" s="77"/>
      <c r="F15" s="77"/>
      <c r="G15" s="77"/>
      <c r="H15" s="77"/>
      <c r="I15" s="77"/>
      <c r="J15" s="77"/>
      <c r="K15" s="77"/>
      <c r="L15" s="77"/>
      <c r="M15" s="77"/>
      <c r="N15" s="77"/>
      <c r="O15" s="77"/>
      <c r="P15" s="77"/>
      <c r="Q15" s="77"/>
      <c r="R15" s="77"/>
      <c r="S15" s="77"/>
      <c r="T15" s="77"/>
      <c r="U15" s="77"/>
      <c r="V15" s="77"/>
      <c r="W15" s="77"/>
      <c r="X15" s="77"/>
      <c r="Y15" s="77"/>
      <c r="Z15" s="77"/>
      <c r="AA15" s="77"/>
      <c r="AB15" s="77"/>
      <c r="AC15" s="77"/>
      <c r="AD15" s="77"/>
      <c r="AE15" s="24">
        <f t="shared" si="12"/>
        <v>2.725020644095788E-2</v>
      </c>
      <c r="AF15" s="24">
        <f t="shared" si="12"/>
        <v>1.0109519797809607E-2</v>
      </c>
      <c r="AG15" s="24">
        <f t="shared" si="12"/>
        <v>2.1757322175732341E-2</v>
      </c>
      <c r="AH15" s="24">
        <f t="shared" si="12"/>
        <v>5.4078014184397061E-2</v>
      </c>
      <c r="AI15" s="24">
        <f t="shared" si="12"/>
        <v>0.57073954983922848</v>
      </c>
      <c r="AJ15" s="24">
        <f t="shared" si="12"/>
        <v>0.59716430358632211</v>
      </c>
      <c r="AK15" s="24">
        <f t="shared" si="12"/>
        <v>0.51760851760851767</v>
      </c>
      <c r="AL15" s="24">
        <f t="shared" si="12"/>
        <v>0.47518923465096696</v>
      </c>
      <c r="AM15" s="24">
        <f t="shared" si="12"/>
        <v>-2.9682702149437135E-2</v>
      </c>
      <c r="AN15" s="24">
        <f t="shared" si="12"/>
        <v>-2.0887728459530019E-2</v>
      </c>
      <c r="AO15" s="24">
        <f t="shared" si="13"/>
        <v>2.6983270372369361E-3</v>
      </c>
      <c r="AP15" s="24">
        <f t="shared" si="13"/>
        <v>1.7103762827822333E-2</v>
      </c>
      <c r="AQ15" s="24">
        <f t="shared" si="13"/>
        <v>-8.2805907172995741E-2</v>
      </c>
      <c r="AR15" s="24">
        <f t="shared" si="13"/>
        <v>-5.3333333333333344E-2</v>
      </c>
      <c r="AS15" s="24">
        <f t="shared" si="13"/>
        <v>-2.1528525296017231E-2</v>
      </c>
      <c r="AT15" s="24">
        <f t="shared" si="13"/>
        <v>-1.2892376681614359E-2</v>
      </c>
      <c r="AU15" s="483">
        <f t="shared" si="13"/>
        <v>8.0506037952846388E-2</v>
      </c>
      <c r="AV15" s="77">
        <f t="shared" ref="AV15:AX15" si="15">AV58/AR58-1</f>
        <v>5.6264788732394599E-2</v>
      </c>
      <c r="AW15" s="77">
        <f t="shared" si="15"/>
        <v>6.1089108910891143E-2</v>
      </c>
      <c r="AX15" s="77">
        <f t="shared" si="15"/>
        <v>6.3719477569562866E-2</v>
      </c>
      <c r="AY15" s="77"/>
      <c r="AZ15" s="679"/>
      <c r="BA15" s="679"/>
      <c r="BB15" s="679"/>
      <c r="BC15" s="679"/>
      <c r="BD15" s="679"/>
      <c r="BE15" s="679"/>
      <c r="BF15" s="679"/>
      <c r="BG15" s="679"/>
      <c r="BH15" s="679"/>
      <c r="BI15" s="679"/>
      <c r="BJ15" s="679"/>
      <c r="BK15" s="680">
        <f t="shared" si="14"/>
        <v>2.5445292620865034E-2</v>
      </c>
      <c r="BL15" s="680">
        <f t="shared" si="14"/>
        <v>0.54094292803970223</v>
      </c>
      <c r="BM15" s="680">
        <f t="shared" si="14"/>
        <v>-6.4412238325280979E-3</v>
      </c>
      <c r="BN15" s="681">
        <f t="shared" si="14"/>
        <v>-3.7277147487844386E-2</v>
      </c>
      <c r="BO15" s="679">
        <f t="shared" si="14"/>
        <v>6.006453423120095E-2</v>
      </c>
      <c r="BP15" s="679" t="e">
        <f t="shared" si="14"/>
        <v>#REF!</v>
      </c>
      <c r="BQ15" s="679" t="e">
        <f>BQ58/BP58-1</f>
        <v>#REF!</v>
      </c>
      <c r="BR15" s="679" t="e">
        <f>BR58/BQ58-1</f>
        <v>#REF!</v>
      </c>
      <c r="BS15" s="679" t="e">
        <f>BS58/BR58-1</f>
        <v>#REF!</v>
      </c>
      <c r="BT15" s="27"/>
    </row>
    <row r="16" spans="1:72" s="19" customFormat="1" outlineLevel="1" x14ac:dyDescent="0.35">
      <c r="A16" s="173"/>
      <c r="B16" s="106"/>
      <c r="C16" s="78"/>
      <c r="D16" s="78"/>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484"/>
      <c r="AV16" s="78"/>
      <c r="AW16" s="78"/>
      <c r="AX16" s="78"/>
      <c r="AY16" s="78"/>
      <c r="AZ16" s="673"/>
      <c r="BA16" s="673"/>
      <c r="BB16" s="673"/>
      <c r="BC16" s="673"/>
      <c r="BD16" s="673"/>
      <c r="BE16" s="673"/>
      <c r="BF16" s="673"/>
      <c r="BG16" s="673"/>
      <c r="BH16" s="673"/>
      <c r="BI16" s="673"/>
      <c r="BJ16" s="673"/>
      <c r="BK16" s="673"/>
      <c r="BL16" s="673"/>
      <c r="BM16" s="673"/>
      <c r="BN16" s="682"/>
      <c r="BO16" s="673"/>
      <c r="BP16" s="673"/>
      <c r="BQ16" s="673"/>
      <c r="BR16" s="673"/>
      <c r="BS16" s="673"/>
      <c r="BT16" s="27"/>
    </row>
    <row r="17" spans="1:72" s="132" customFormat="1" outlineLevel="1" x14ac:dyDescent="0.35">
      <c r="A17" s="74" t="s">
        <v>13</v>
      </c>
      <c r="B17" s="105"/>
      <c r="C17" s="61"/>
      <c r="D17" s="61"/>
      <c r="E17" s="61"/>
      <c r="F17" s="61"/>
      <c r="G17" s="61"/>
      <c r="H17" s="61"/>
      <c r="I17" s="61"/>
      <c r="J17" s="61"/>
      <c r="K17" s="25">
        <f t="shared" ref="K17:T21" si="16">K109/G109-1</f>
        <v>4.557290321247387E-2</v>
      </c>
      <c r="L17" s="25">
        <f t="shared" si="16"/>
        <v>1.9674612183125273E-2</v>
      </c>
      <c r="M17" s="25">
        <f t="shared" si="16"/>
        <v>3.5247851628877891E-2</v>
      </c>
      <c r="N17" s="25">
        <f t="shared" si="16"/>
        <v>-2.6814044600698139E-4</v>
      </c>
      <c r="O17" s="25">
        <f t="shared" si="16"/>
        <v>-0.12315507043715002</v>
      </c>
      <c r="P17" s="25">
        <f t="shared" si="16"/>
        <v>-0.13413474979032713</v>
      </c>
      <c r="Q17" s="25">
        <f t="shared" si="16"/>
        <v>-0.12849036251934531</v>
      </c>
      <c r="R17" s="25">
        <f t="shared" si="16"/>
        <v>-8.8942200235430868E-2</v>
      </c>
      <c r="S17" s="25">
        <f t="shared" si="16"/>
        <v>3.9925614944633647E-2</v>
      </c>
      <c r="T17" s="25">
        <f t="shared" si="16"/>
        <v>7.0738379533420215E-2</v>
      </c>
      <c r="U17" s="25">
        <f t="shared" ref="U17:AD21" si="17">U109/Q109-1</f>
        <v>8.5345903827114267E-3</v>
      </c>
      <c r="V17" s="25">
        <f t="shared" si="17"/>
        <v>-2.2297820374428845E-2</v>
      </c>
      <c r="W17" s="25">
        <f t="shared" si="17"/>
        <v>2.1491275604205162E-2</v>
      </c>
      <c r="X17" s="25">
        <f t="shared" si="17"/>
        <v>5.4606460667998569E-3</v>
      </c>
      <c r="Y17" s="25">
        <f t="shared" si="17"/>
        <v>7.022804639895841E-2</v>
      </c>
      <c r="Z17" s="25">
        <f t="shared" si="17"/>
        <v>0.1616128384708031</v>
      </c>
      <c r="AA17" s="25">
        <f t="shared" si="17"/>
        <v>0.16995215006418896</v>
      </c>
      <c r="AB17" s="25">
        <f t="shared" si="17"/>
        <v>0.21484579480020938</v>
      </c>
      <c r="AC17" s="25">
        <f t="shared" si="17"/>
        <v>0.11000598265031414</v>
      </c>
      <c r="AD17" s="25">
        <f t="shared" si="17"/>
        <v>7.6685275946985376E-2</v>
      </c>
      <c r="AE17" s="25">
        <f t="shared" ref="AE17:AH21" si="18">AE109/AA109-1</f>
        <v>3.1699033748520566E-2</v>
      </c>
      <c r="AF17" s="25">
        <f t="shared" si="18"/>
        <v>3.0445301243755329E-2</v>
      </c>
      <c r="AG17" s="25">
        <f t="shared" si="18"/>
        <v>2.5556378988973449E-2</v>
      </c>
      <c r="AH17" s="25">
        <f t="shared" si="18"/>
        <v>4.6104666197045008E-2</v>
      </c>
      <c r="AI17" s="61"/>
      <c r="AJ17" s="61"/>
      <c r="AK17" s="61"/>
      <c r="AL17" s="61"/>
      <c r="AM17" s="61"/>
      <c r="AN17" s="61"/>
      <c r="AO17" s="61"/>
      <c r="AP17" s="61"/>
      <c r="AQ17" s="61"/>
      <c r="AR17" s="61"/>
      <c r="AS17" s="61"/>
      <c r="AT17" s="61"/>
      <c r="AU17" s="482"/>
      <c r="AV17" s="61"/>
      <c r="AW17" s="61"/>
      <c r="AX17" s="61"/>
      <c r="AY17" s="61"/>
      <c r="AZ17" s="676"/>
      <c r="BA17" s="676"/>
      <c r="BB17" s="676"/>
      <c r="BC17" s="676"/>
      <c r="BD17" s="676"/>
      <c r="BE17" s="676"/>
      <c r="BF17" s="683">
        <f t="shared" ref="BF17:BK21" si="19">BF109/BE109-1</f>
        <v>2.4970586531024574E-2</v>
      </c>
      <c r="BG17" s="683">
        <f t="shared" si="19"/>
        <v>-0.11874244939945466</v>
      </c>
      <c r="BH17" s="683">
        <f t="shared" si="19"/>
        <v>2.3193349501226646E-2</v>
      </c>
      <c r="BI17" s="683">
        <f t="shared" si="19"/>
        <v>6.4205590917144839E-2</v>
      </c>
      <c r="BJ17" s="683">
        <f t="shared" si="19"/>
        <v>0.14021314118778627</v>
      </c>
      <c r="BK17" s="683">
        <f t="shared" si="19"/>
        <v>3.3478419589452857E-2</v>
      </c>
      <c r="BL17" s="676"/>
      <c r="BM17" s="676"/>
      <c r="BN17" s="677"/>
      <c r="BO17" s="676"/>
      <c r="BP17" s="676"/>
      <c r="BQ17" s="676"/>
      <c r="BR17" s="676"/>
      <c r="BS17" s="676"/>
      <c r="BT17" s="49"/>
    </row>
    <row r="18" spans="1:72" s="132" customFormat="1" outlineLevel="1" x14ac:dyDescent="0.35">
      <c r="A18" s="74" t="s">
        <v>14</v>
      </c>
      <c r="B18" s="105"/>
      <c r="C18" s="61"/>
      <c r="D18" s="61"/>
      <c r="E18" s="61"/>
      <c r="F18" s="61"/>
      <c r="G18" s="61"/>
      <c r="H18" s="61"/>
      <c r="I18" s="61"/>
      <c r="J18" s="61"/>
      <c r="K18" s="25">
        <f t="shared" si="16"/>
        <v>0.1554894835370555</v>
      </c>
      <c r="L18" s="25">
        <f t="shared" si="16"/>
        <v>0.64841498559077815</v>
      </c>
      <c r="M18" s="25">
        <f t="shared" si="16"/>
        <v>0.37847427557658175</v>
      </c>
      <c r="N18" s="25">
        <f t="shared" si="16"/>
        <v>0.27192042846212683</v>
      </c>
      <c r="O18" s="25">
        <f t="shared" si="16"/>
        <v>0.49680739540646135</v>
      </c>
      <c r="P18" s="25">
        <f t="shared" si="16"/>
        <v>0.3627622377622377</v>
      </c>
      <c r="Q18" s="25">
        <f t="shared" si="16"/>
        <v>0.40980265980265984</v>
      </c>
      <c r="R18" s="25">
        <f t="shared" si="16"/>
        <v>0.34263715110683357</v>
      </c>
      <c r="S18" s="25">
        <f t="shared" si="16"/>
        <v>0.16484146186170912</v>
      </c>
      <c r="T18" s="25">
        <f t="shared" si="16"/>
        <v>0.13110968569595904</v>
      </c>
      <c r="U18" s="25">
        <f t="shared" si="17"/>
        <v>0.21955116013693421</v>
      </c>
      <c r="V18" s="25">
        <f t="shared" si="17"/>
        <v>0.20089605734766969</v>
      </c>
      <c r="W18" s="25">
        <f t="shared" si="17"/>
        <v>-6.2093468160699827E-2</v>
      </c>
      <c r="X18" s="25">
        <f t="shared" si="17"/>
        <v>-0.20658954292843379</v>
      </c>
      <c r="Y18" s="25">
        <f t="shared" si="17"/>
        <v>-0.17347638949535271</v>
      </c>
      <c r="Z18" s="25">
        <f t="shared" si="17"/>
        <v>-7.5958812117593921E-2</v>
      </c>
      <c r="AA18" s="25">
        <f t="shared" si="17"/>
        <v>-0.33533422693630166</v>
      </c>
      <c r="AB18" s="25">
        <f t="shared" si="17"/>
        <v>-5.5321277964405668E-2</v>
      </c>
      <c r="AC18" s="25">
        <f t="shared" si="17"/>
        <v>-3.5773584905660405E-2</v>
      </c>
      <c r="AD18" s="25">
        <f t="shared" si="17"/>
        <v>6.7910206718346355E-2</v>
      </c>
      <c r="AE18" s="25">
        <f t="shared" si="18"/>
        <v>-0.16054362121876364</v>
      </c>
      <c r="AF18" s="25">
        <f t="shared" si="18"/>
        <v>-0.3156540818642658</v>
      </c>
      <c r="AG18" s="25">
        <f t="shared" si="18"/>
        <v>-0.36028490920475886</v>
      </c>
      <c r="AH18" s="25">
        <f t="shared" si="18"/>
        <v>-0.28899810964083195</v>
      </c>
      <c r="AI18" s="61"/>
      <c r="AJ18" s="61"/>
      <c r="AK18" s="61"/>
      <c r="AL18" s="61"/>
      <c r="AM18" s="61"/>
      <c r="AN18" s="61"/>
      <c r="AO18" s="61"/>
      <c r="AP18" s="61"/>
      <c r="AQ18" s="61"/>
      <c r="AR18" s="61"/>
      <c r="AS18" s="61"/>
      <c r="AT18" s="61"/>
      <c r="AU18" s="482"/>
      <c r="AV18" s="61"/>
      <c r="AW18" s="61"/>
      <c r="AX18" s="61"/>
      <c r="AY18" s="61"/>
      <c r="AZ18" s="676"/>
      <c r="BA18" s="676"/>
      <c r="BB18" s="676"/>
      <c r="BC18" s="676"/>
      <c r="BD18" s="676"/>
      <c r="BE18" s="676"/>
      <c r="BF18" s="683">
        <f t="shared" si="19"/>
        <v>0.36360799001248445</v>
      </c>
      <c r="BG18" s="683">
        <f t="shared" si="19"/>
        <v>0.41402812746369633</v>
      </c>
      <c r="BH18" s="683">
        <f t="shared" si="19"/>
        <v>0.17555439650365989</v>
      </c>
      <c r="BI18" s="683">
        <f t="shared" si="19"/>
        <v>-0.13123833420029984</v>
      </c>
      <c r="BJ18" s="683">
        <f t="shared" si="19"/>
        <v>-0.10849887292194982</v>
      </c>
      <c r="BK18" s="683">
        <f t="shared" si="19"/>
        <v>-0.28500879047073457</v>
      </c>
      <c r="BL18" s="676"/>
      <c r="BM18" s="676"/>
      <c r="BN18" s="677"/>
      <c r="BO18" s="676"/>
      <c r="BP18" s="676"/>
      <c r="BQ18" s="676"/>
      <c r="BR18" s="676"/>
      <c r="BS18" s="676"/>
      <c r="BT18" s="49"/>
    </row>
    <row r="19" spans="1:72" s="132" customFormat="1" outlineLevel="1" x14ac:dyDescent="0.35">
      <c r="A19" s="263" t="s">
        <v>15</v>
      </c>
      <c r="B19" s="278"/>
      <c r="C19" s="279"/>
      <c r="D19" s="279"/>
      <c r="E19" s="279"/>
      <c r="F19" s="279"/>
      <c r="G19" s="279"/>
      <c r="H19" s="279"/>
      <c r="I19" s="279"/>
      <c r="J19" s="279"/>
      <c r="K19" s="264">
        <f t="shared" si="16"/>
        <v>-9.8472955615812707E-2</v>
      </c>
      <c r="L19" s="264">
        <f t="shared" si="16"/>
        <v>-1.1280080213903698E-2</v>
      </c>
      <c r="M19" s="264">
        <f t="shared" si="16"/>
        <v>0.154632655212396</v>
      </c>
      <c r="N19" s="264">
        <f t="shared" si="16"/>
        <v>4.0505122706695484E-2</v>
      </c>
      <c r="O19" s="264">
        <f t="shared" si="16"/>
        <v>5.1765078359981009E-2</v>
      </c>
      <c r="P19" s="264">
        <f t="shared" si="16"/>
        <v>3.1014958167835616E-2</v>
      </c>
      <c r="Q19" s="264">
        <f t="shared" si="16"/>
        <v>-2.8208873470878304E-2</v>
      </c>
      <c r="R19" s="264">
        <f t="shared" si="16"/>
        <v>0.2866193420349592</v>
      </c>
      <c r="S19" s="264">
        <f t="shared" si="16"/>
        <v>0.2013094521372667</v>
      </c>
      <c r="T19" s="264">
        <f t="shared" si="16"/>
        <v>4.6721311475409921E-2</v>
      </c>
      <c r="U19" s="264">
        <f t="shared" si="17"/>
        <v>-3.8609675904180296E-2</v>
      </c>
      <c r="V19" s="264">
        <f t="shared" si="17"/>
        <v>-0.12541528239202637</v>
      </c>
      <c r="W19" s="264">
        <f t="shared" si="17"/>
        <v>-0.15692538996429239</v>
      </c>
      <c r="X19" s="264">
        <f t="shared" si="17"/>
        <v>-0.10438527799530151</v>
      </c>
      <c r="Y19" s="264">
        <f t="shared" si="17"/>
        <v>-6.1461794019933458E-2</v>
      </c>
      <c r="Z19" s="264">
        <f t="shared" si="17"/>
        <v>-0.36562203228869938</v>
      </c>
      <c r="AA19" s="264">
        <f t="shared" si="17"/>
        <v>-0.17565760142666076</v>
      </c>
      <c r="AB19" s="264">
        <f t="shared" si="17"/>
        <v>-0.13517530821019497</v>
      </c>
      <c r="AC19" s="264">
        <f t="shared" si="17"/>
        <v>-0.11192087454450816</v>
      </c>
      <c r="AD19" s="264">
        <f t="shared" si="17"/>
        <v>4.9508126603934999E-2</v>
      </c>
      <c r="AE19" s="264">
        <f t="shared" si="18"/>
        <v>2.3436091581034768E-2</v>
      </c>
      <c r="AF19" s="264">
        <f t="shared" si="18"/>
        <v>4.2563947022545623E-2</v>
      </c>
      <c r="AG19" s="264">
        <f t="shared" si="18"/>
        <v>5.8616647127784915E-3</v>
      </c>
      <c r="AH19" s="264">
        <f t="shared" si="18"/>
        <v>-0.13204279164543986</v>
      </c>
      <c r="AI19" s="279"/>
      <c r="AJ19" s="279"/>
      <c r="AK19" s="279"/>
      <c r="AL19" s="279"/>
      <c r="AM19" s="279"/>
      <c r="AN19" s="279"/>
      <c r="AO19" s="279"/>
      <c r="AP19" s="279"/>
      <c r="AQ19" s="279"/>
      <c r="AR19" s="279"/>
      <c r="AS19" s="279"/>
      <c r="AT19" s="279"/>
      <c r="AU19" s="485"/>
      <c r="AV19" s="279"/>
      <c r="AW19" s="279"/>
      <c r="AX19" s="279"/>
      <c r="AY19" s="279"/>
      <c r="AZ19" s="684"/>
      <c r="BA19" s="684"/>
      <c r="BB19" s="684"/>
      <c r="BC19" s="684"/>
      <c r="BD19" s="684"/>
      <c r="BE19" s="684"/>
      <c r="BF19" s="685">
        <f t="shared" si="19"/>
        <v>4.634874858378879E-3</v>
      </c>
      <c r="BG19" s="685">
        <f t="shared" si="19"/>
        <v>8.6528603649784763E-2</v>
      </c>
      <c r="BH19" s="685">
        <f t="shared" si="19"/>
        <v>1.356859784865061E-2</v>
      </c>
      <c r="BI19" s="685">
        <f t="shared" si="19"/>
        <v>-0.18352603846655136</v>
      </c>
      <c r="BJ19" s="685">
        <f t="shared" si="19"/>
        <v>-0.10311958405545929</v>
      </c>
      <c r="BK19" s="685">
        <f t="shared" si="19"/>
        <v>-1.4365624205441074E-2</v>
      </c>
      <c r="BL19" s="684"/>
      <c r="BM19" s="684"/>
      <c r="BN19" s="686"/>
      <c r="BO19" s="684"/>
      <c r="BP19" s="684"/>
      <c r="BQ19" s="684"/>
      <c r="BR19" s="684"/>
      <c r="BS19" s="684"/>
      <c r="BT19" s="49"/>
    </row>
    <row r="20" spans="1:72" s="19" customFormat="1" outlineLevel="1" x14ac:dyDescent="0.35">
      <c r="A20" s="42" t="s">
        <v>493</v>
      </c>
      <c r="B20" s="109"/>
      <c r="C20" s="77"/>
      <c r="D20" s="77"/>
      <c r="E20" s="77"/>
      <c r="F20" s="77"/>
      <c r="G20" s="77"/>
      <c r="H20" s="77"/>
      <c r="I20" s="77"/>
      <c r="J20" s="77"/>
      <c r="K20" s="24">
        <f t="shared" si="16"/>
        <v>1.3855812946526047E-3</v>
      </c>
      <c r="L20" s="24">
        <f t="shared" si="16"/>
        <v>0.23085466469219362</v>
      </c>
      <c r="M20" s="24">
        <f t="shared" si="16"/>
        <v>0.24780013537628442</v>
      </c>
      <c r="N20" s="24">
        <f t="shared" si="16"/>
        <v>0.11957544703544931</v>
      </c>
      <c r="O20" s="24">
        <f t="shared" si="16"/>
        <v>0.25368616768279484</v>
      </c>
      <c r="P20" s="24">
        <f t="shared" si="16"/>
        <v>0.19408756928629733</v>
      </c>
      <c r="Q20" s="24">
        <f t="shared" si="16"/>
        <v>0.17319262254660228</v>
      </c>
      <c r="R20" s="24">
        <f t="shared" si="16"/>
        <v>0.30836407789660503</v>
      </c>
      <c r="S20" s="24">
        <f t="shared" si="16"/>
        <v>0.18155480444229855</v>
      </c>
      <c r="T20" s="24">
        <f t="shared" si="16"/>
        <v>9.4062612450521721E-2</v>
      </c>
      <c r="U20" s="24">
        <f t="shared" si="17"/>
        <v>0.1040353089533419</v>
      </c>
      <c r="V20" s="24">
        <f t="shared" si="17"/>
        <v>4.5688178183893591E-3</v>
      </c>
      <c r="W20" s="24">
        <f t="shared" si="17"/>
        <v>-0.10628174441006499</v>
      </c>
      <c r="X20" s="24">
        <f t="shared" si="17"/>
        <v>-0.16366267596368911</v>
      </c>
      <c r="Y20" s="24">
        <f t="shared" si="17"/>
        <v>-0.1298305730059014</v>
      </c>
      <c r="Z20" s="24">
        <f t="shared" si="17"/>
        <v>-0.22768618533257534</v>
      </c>
      <c r="AA20" s="24">
        <f t="shared" si="17"/>
        <v>-0.26514681386158012</v>
      </c>
      <c r="AB20" s="24">
        <f t="shared" si="17"/>
        <v>-9.1238005348434625E-2</v>
      </c>
      <c r="AC20" s="24">
        <f t="shared" si="17"/>
        <v>-6.7775103915992285E-2</v>
      </c>
      <c r="AD20" s="24">
        <f t="shared" si="17"/>
        <v>5.9992638940007392E-2</v>
      </c>
      <c r="AE20" s="24">
        <f t="shared" si="18"/>
        <v>-6.9825325570025409E-2</v>
      </c>
      <c r="AF20" s="24">
        <f t="shared" si="18"/>
        <v>-0.16232473602215691</v>
      </c>
      <c r="AG20" s="24">
        <f t="shared" si="18"/>
        <v>-0.2136956725804936</v>
      </c>
      <c r="AH20" s="24">
        <f t="shared" si="18"/>
        <v>-0.22213541666666647</v>
      </c>
      <c r="AI20" s="77"/>
      <c r="AJ20" s="77"/>
      <c r="AK20" s="77"/>
      <c r="AL20" s="77"/>
      <c r="AM20" s="77"/>
      <c r="AN20" s="77"/>
      <c r="AO20" s="77"/>
      <c r="AP20" s="77"/>
      <c r="AQ20" s="77"/>
      <c r="AR20" s="77"/>
      <c r="AS20" s="77"/>
      <c r="AT20" s="77"/>
      <c r="AU20" s="486"/>
      <c r="AV20" s="77"/>
      <c r="AW20" s="77"/>
      <c r="AX20" s="77"/>
      <c r="AY20" s="77"/>
      <c r="AZ20" s="679"/>
      <c r="BA20" s="679"/>
      <c r="BB20" s="679"/>
      <c r="BC20" s="679"/>
      <c r="BD20" s="679"/>
      <c r="BE20" s="679"/>
      <c r="BF20" s="680">
        <f t="shared" si="19"/>
        <v>0.13840606867318872</v>
      </c>
      <c r="BG20" s="680">
        <f t="shared" si="19"/>
        <v>0.23271389812807208</v>
      </c>
      <c r="BH20" s="680">
        <f t="shared" si="19"/>
        <v>9.6508918787008069E-2</v>
      </c>
      <c r="BI20" s="680">
        <f t="shared" si="19"/>
        <v>-0.15482359264640422</v>
      </c>
      <c r="BJ20" s="680">
        <f t="shared" si="19"/>
        <v>-0.10615485512142764</v>
      </c>
      <c r="BK20" s="680">
        <f t="shared" si="19"/>
        <v>-0.16667593076384324</v>
      </c>
      <c r="BL20" s="679"/>
      <c r="BM20" s="679"/>
      <c r="BN20" s="687"/>
      <c r="BO20" s="679"/>
      <c r="BP20" s="679"/>
      <c r="BQ20" s="679"/>
      <c r="BR20" s="679"/>
      <c r="BS20" s="679"/>
      <c r="BT20" s="27"/>
    </row>
    <row r="21" spans="1:72" s="132" customFormat="1" outlineLevel="1" x14ac:dyDescent="0.35">
      <c r="A21" s="265" t="s">
        <v>16</v>
      </c>
      <c r="B21" s="278"/>
      <c r="C21" s="279"/>
      <c r="D21" s="279"/>
      <c r="E21" s="279"/>
      <c r="F21" s="279"/>
      <c r="G21" s="279"/>
      <c r="H21" s="279"/>
      <c r="I21" s="279"/>
      <c r="J21" s="279"/>
      <c r="K21" s="264">
        <f t="shared" si="16"/>
        <v>-4.3285238623751332E-2</v>
      </c>
      <c r="L21" s="264">
        <f t="shared" si="16"/>
        <v>-6.428098078197475E-2</v>
      </c>
      <c r="M21" s="264">
        <f t="shared" si="16"/>
        <v>-0.14506576417198669</v>
      </c>
      <c r="N21" s="264">
        <f t="shared" si="16"/>
        <v>0.11930980664181057</v>
      </c>
      <c r="O21" s="264">
        <f t="shared" si="16"/>
        <v>0.31902552204176349</v>
      </c>
      <c r="P21" s="264">
        <f t="shared" si="16"/>
        <v>-5.497521246458914E-2</v>
      </c>
      <c r="Q21" s="264">
        <f t="shared" si="16"/>
        <v>5.42510121457489E-2</v>
      </c>
      <c r="R21" s="264">
        <f t="shared" si="16"/>
        <v>-0.23487489348516533</v>
      </c>
      <c r="S21" s="264">
        <f t="shared" si="16"/>
        <v>-0.30045328462215004</v>
      </c>
      <c r="T21" s="264">
        <f t="shared" si="16"/>
        <v>-0.22341920374707269</v>
      </c>
      <c r="U21" s="264">
        <f t="shared" si="17"/>
        <v>-0.24475166410650284</v>
      </c>
      <c r="V21" s="264">
        <f t="shared" si="17"/>
        <v>-0.16189126252910746</v>
      </c>
      <c r="W21" s="264">
        <f t="shared" si="17"/>
        <v>-6.5570599613152702E-2</v>
      </c>
      <c r="X21" s="264">
        <f t="shared" si="17"/>
        <v>1.218335343787702E-2</v>
      </c>
      <c r="Y21" s="264">
        <f t="shared" si="17"/>
        <v>6.542372881355929E-2</v>
      </c>
      <c r="Z21" s="264">
        <f t="shared" si="17"/>
        <v>6.5353950229523505E-2</v>
      </c>
      <c r="AA21" s="264">
        <f t="shared" si="17"/>
        <v>-0.14386255433657635</v>
      </c>
      <c r="AB21" s="264">
        <f t="shared" si="17"/>
        <v>6.9121677988320807E-2</v>
      </c>
      <c r="AC21" s="264">
        <f t="shared" si="17"/>
        <v>-1.3575140523915619E-2</v>
      </c>
      <c r="AD21" s="264">
        <f t="shared" si="17"/>
        <v>1.8256038099557115E-2</v>
      </c>
      <c r="AE21" s="264">
        <f t="shared" si="18"/>
        <v>4.6784332688588171E-2</v>
      </c>
      <c r="AF21" s="264">
        <f t="shared" si="18"/>
        <v>-3.8457251142570592E-2</v>
      </c>
      <c r="AG21" s="264">
        <f t="shared" si="18"/>
        <v>0.29727986238038917</v>
      </c>
      <c r="AH21" s="264">
        <f t="shared" si="18"/>
        <v>0.82338530066815241</v>
      </c>
      <c r="AI21" s="279"/>
      <c r="AJ21" s="279"/>
      <c r="AK21" s="279"/>
      <c r="AL21" s="279"/>
      <c r="AM21" s="279"/>
      <c r="AN21" s="279"/>
      <c r="AO21" s="279"/>
      <c r="AP21" s="279"/>
      <c r="AQ21" s="279"/>
      <c r="AR21" s="279"/>
      <c r="AS21" s="279"/>
      <c r="AT21" s="279"/>
      <c r="AU21" s="485"/>
      <c r="AV21" s="279"/>
      <c r="AW21" s="279"/>
      <c r="AX21" s="279"/>
      <c r="AY21" s="279"/>
      <c r="AZ21" s="684"/>
      <c r="BA21" s="684"/>
      <c r="BB21" s="684"/>
      <c r="BC21" s="684"/>
      <c r="BD21" s="684"/>
      <c r="BE21" s="684"/>
      <c r="BF21" s="685">
        <f t="shared" si="19"/>
        <v>-3.7087627799163747E-2</v>
      </c>
      <c r="BG21" s="685">
        <f t="shared" si="19"/>
        <v>1.1262519881356514E-2</v>
      </c>
      <c r="BH21" s="685">
        <f t="shared" si="19"/>
        <v>-0.23999999999999988</v>
      </c>
      <c r="BI21" s="685">
        <f t="shared" si="19"/>
        <v>1.5185413054421337E-2</v>
      </c>
      <c r="BJ21" s="685">
        <f t="shared" si="19"/>
        <v>-2.1404369025646686E-2</v>
      </c>
      <c r="BK21" s="685">
        <f t="shared" si="19"/>
        <v>0.28715797770521334</v>
      </c>
      <c r="BL21" s="684"/>
      <c r="BM21" s="684"/>
      <c r="BN21" s="686"/>
      <c r="BO21" s="684"/>
      <c r="BP21" s="684"/>
      <c r="BQ21" s="684"/>
      <c r="BR21" s="684"/>
      <c r="BS21" s="684"/>
      <c r="BT21" s="49"/>
    </row>
    <row r="22" spans="1:72" s="19" customFormat="1" outlineLevel="1" x14ac:dyDescent="0.35">
      <c r="A22" s="43" t="s">
        <v>17</v>
      </c>
      <c r="B22" s="109"/>
      <c r="C22" s="77"/>
      <c r="D22" s="77"/>
      <c r="E22" s="77"/>
      <c r="F22" s="77"/>
      <c r="G22" s="24">
        <f t="shared" ref="G22:AX22" si="20">G190/C190-1</f>
        <v>3.2881644172667146E-2</v>
      </c>
      <c r="H22" s="24">
        <f t="shared" si="20"/>
        <v>8.6837711379035953E-2</v>
      </c>
      <c r="I22" s="24">
        <f t="shared" si="20"/>
        <v>7.8955455967414379E-2</v>
      </c>
      <c r="J22" s="24">
        <f t="shared" si="20"/>
        <v>0.14259406067350455</v>
      </c>
      <c r="K22" s="24">
        <f t="shared" si="20"/>
        <v>3.6546596253382635E-2</v>
      </c>
      <c r="L22" s="24">
        <f t="shared" si="20"/>
        <v>3.2980676048035118E-2</v>
      </c>
      <c r="M22" s="24">
        <f t="shared" si="20"/>
        <v>3.9966499732167815E-2</v>
      </c>
      <c r="N22" s="24">
        <f t="shared" si="20"/>
        <v>1.5552950708049629E-2</v>
      </c>
      <c r="O22" s="24">
        <f t="shared" si="20"/>
        <v>-6.5404373246814695E-2</v>
      </c>
      <c r="P22" s="24">
        <f t="shared" si="20"/>
        <v>-9.7244319164389692E-2</v>
      </c>
      <c r="Q22" s="24">
        <f t="shared" si="20"/>
        <v>-9.517911234838905E-2</v>
      </c>
      <c r="R22" s="24">
        <f t="shared" si="20"/>
        <v>-6.083469478687098E-2</v>
      </c>
      <c r="S22" s="24">
        <f t="shared" si="20"/>
        <v>3.5745604122406682E-2</v>
      </c>
      <c r="T22" s="24">
        <f t="shared" si="20"/>
        <v>5.8804373332822513E-2</v>
      </c>
      <c r="U22" s="24">
        <f t="shared" si="20"/>
        <v>5.3898978946416154E-3</v>
      </c>
      <c r="V22" s="24">
        <f t="shared" si="20"/>
        <v>-2.5126627176157657E-2</v>
      </c>
      <c r="W22" s="24">
        <f t="shared" si="20"/>
        <v>-1.5405563459575111E-3</v>
      </c>
      <c r="X22" s="24">
        <f t="shared" si="20"/>
        <v>-1.7544891220769743E-2</v>
      </c>
      <c r="Y22" s="24">
        <f t="shared" si="20"/>
        <v>4.6424575231538867E-2</v>
      </c>
      <c r="Z22" s="24">
        <f t="shared" si="20"/>
        <v>0.10713855337924927</v>
      </c>
      <c r="AA22" s="24">
        <f t="shared" si="20"/>
        <v>9.8472364884061525E-2</v>
      </c>
      <c r="AB22" s="24">
        <f t="shared" si="20"/>
        <v>0.17338440502552821</v>
      </c>
      <c r="AC22" s="24">
        <f t="shared" si="20"/>
        <v>8.7553249965645286E-2</v>
      </c>
      <c r="AD22" s="24">
        <f t="shared" si="20"/>
        <v>7.3009201503721588E-2</v>
      </c>
      <c r="AE22" s="24">
        <f t="shared" si="20"/>
        <v>2.3106551962883026E-2</v>
      </c>
      <c r="AF22" s="24">
        <f t="shared" si="20"/>
        <v>1.0542546847044809E-2</v>
      </c>
      <c r="AG22" s="24">
        <f t="shared" si="20"/>
        <v>1.5407578222481844E-2</v>
      </c>
      <c r="AH22" s="24">
        <f t="shared" si="20"/>
        <v>4.9224778982030593E-2</v>
      </c>
      <c r="AI22" s="24">
        <f t="shared" si="20"/>
        <v>0.44274485553494269</v>
      </c>
      <c r="AJ22" s="24">
        <f t="shared" si="20"/>
        <v>0.46042266043896718</v>
      </c>
      <c r="AK22" s="24">
        <f t="shared" si="20"/>
        <v>0.52494225250239146</v>
      </c>
      <c r="AL22" s="24">
        <f t="shared" si="20"/>
        <v>0.47811148584581109</v>
      </c>
      <c r="AM22" s="24">
        <f t="shared" si="20"/>
        <v>7.8892602976062154E-2</v>
      </c>
      <c r="AN22" s="24">
        <f t="shared" si="20"/>
        <v>8.8694519400763117E-2</v>
      </c>
      <c r="AO22" s="24">
        <f t="shared" si="20"/>
        <v>7.5423631564854876E-2</v>
      </c>
      <c r="AP22" s="24">
        <f t="shared" si="20"/>
        <v>0.14515609670196938</v>
      </c>
      <c r="AQ22" s="24">
        <f t="shared" si="20"/>
        <v>6.2274814729677663E-2</v>
      </c>
      <c r="AR22" s="24">
        <f t="shared" si="20"/>
        <v>0.11948025308480692</v>
      </c>
      <c r="AS22" s="24">
        <f t="shared" si="20"/>
        <v>0.11515168760463057</v>
      </c>
      <c r="AT22" s="24">
        <f t="shared" si="20"/>
        <v>6.2120642954586414E-2</v>
      </c>
      <c r="AU22" s="483">
        <f t="shared" si="20"/>
        <v>0.12943902152181574</v>
      </c>
      <c r="AV22" s="77">
        <f t="shared" si="20"/>
        <v>8.9143008714430483E-2</v>
      </c>
      <c r="AW22" s="77">
        <f t="shared" si="20"/>
        <v>6.9545509947180895E-2</v>
      </c>
      <c r="AX22" s="77">
        <f t="shared" si="20"/>
        <v>6.6057712998640827E-2</v>
      </c>
      <c r="AY22" s="77"/>
      <c r="AZ22" s="679"/>
      <c r="BA22" s="680">
        <f t="shared" ref="BA22:BS22" si="21">BA190/AZ190-1</f>
        <v>0.21832349408853124</v>
      </c>
      <c r="BB22" s="680">
        <f t="shared" si="21"/>
        <v>0.35884204229198624</v>
      </c>
      <c r="BC22" s="680">
        <f t="shared" si="21"/>
        <v>0.35597415175888258</v>
      </c>
      <c r="BD22" s="680">
        <f t="shared" si="21"/>
        <v>0.197362533120085</v>
      </c>
      <c r="BE22" s="680">
        <f t="shared" si="21"/>
        <v>8.4097286081441069E-2</v>
      </c>
      <c r="BF22" s="680">
        <f t="shared" si="21"/>
        <v>3.125540344058475E-2</v>
      </c>
      <c r="BG22" s="680">
        <f t="shared" si="21"/>
        <v>-7.9715784345361196E-2</v>
      </c>
      <c r="BH22" s="680">
        <f t="shared" si="21"/>
        <v>1.8126503953248552E-2</v>
      </c>
      <c r="BI22" s="680">
        <f t="shared" si="21"/>
        <v>3.2880557421957279E-2</v>
      </c>
      <c r="BJ22" s="680">
        <f t="shared" si="21"/>
        <v>0.10680436815024819</v>
      </c>
      <c r="BK22" s="680">
        <f t="shared" si="21"/>
        <v>2.4625105340673858E-2</v>
      </c>
      <c r="BL22" s="680">
        <f t="shared" si="21"/>
        <v>0.47656771701584866</v>
      </c>
      <c r="BM22" s="680">
        <f t="shared" si="21"/>
        <v>9.7546786746141256E-2</v>
      </c>
      <c r="BN22" s="681">
        <f t="shared" si="21"/>
        <v>8.9343118317438019E-2</v>
      </c>
      <c r="BO22" s="679">
        <f t="shared" si="21"/>
        <v>8.7376326986901898E-2</v>
      </c>
      <c r="BP22" s="679" t="e">
        <f t="shared" si="21"/>
        <v>#REF!</v>
      </c>
      <c r="BQ22" s="679" t="e">
        <f t="shared" si="21"/>
        <v>#REF!</v>
      </c>
      <c r="BR22" s="679" t="e">
        <f t="shared" si="21"/>
        <v>#REF!</v>
      </c>
      <c r="BS22" s="679" t="e">
        <f t="shared" si="21"/>
        <v>#REF!</v>
      </c>
      <c r="BT22" s="27"/>
    </row>
    <row r="23" spans="1:72" s="19" customFormat="1" outlineLevel="1" x14ac:dyDescent="0.35">
      <c r="A23" s="173"/>
      <c r="B23" s="106"/>
      <c r="C23" s="78"/>
      <c r="D23" s="78"/>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484"/>
      <c r="AV23" s="78"/>
      <c r="AW23" s="78"/>
      <c r="AX23" s="78"/>
      <c r="AY23" s="78"/>
      <c r="AZ23" s="673"/>
      <c r="BA23" s="673"/>
      <c r="BB23" s="673"/>
      <c r="BC23" s="673"/>
      <c r="BD23" s="673"/>
      <c r="BE23" s="673"/>
      <c r="BF23" s="673"/>
      <c r="BG23" s="673"/>
      <c r="BH23" s="673"/>
      <c r="BI23" s="673"/>
      <c r="BJ23" s="673"/>
      <c r="BK23" s="673"/>
      <c r="BL23" s="673"/>
      <c r="BM23" s="673"/>
      <c r="BN23" s="682"/>
      <c r="BO23" s="673"/>
      <c r="BP23" s="673"/>
      <c r="BQ23" s="673"/>
      <c r="BR23" s="673"/>
      <c r="BS23" s="673"/>
      <c r="BT23" s="27"/>
    </row>
    <row r="24" spans="1:72" s="132" customFormat="1" outlineLevel="1" x14ac:dyDescent="0.35">
      <c r="A24" s="60" t="s">
        <v>18</v>
      </c>
      <c r="B24" s="105"/>
      <c r="C24" s="61"/>
      <c r="D24" s="61"/>
      <c r="E24" s="61"/>
      <c r="F24" s="61"/>
      <c r="G24" s="61"/>
      <c r="H24" s="61"/>
      <c r="I24" s="61"/>
      <c r="J24" s="61"/>
      <c r="K24" s="61">
        <f t="shared" ref="K24:AH24" si="22">K117/G117-1</f>
        <v>-4.6880901296175836E-2</v>
      </c>
      <c r="L24" s="61">
        <f t="shared" si="22"/>
        <v>-3.9142436815048698E-2</v>
      </c>
      <c r="M24" s="61">
        <f t="shared" si="22"/>
        <v>-4.5771210140490792E-2</v>
      </c>
      <c r="N24" s="61">
        <f t="shared" si="22"/>
        <v>-2.2158177786157474E-2</v>
      </c>
      <c r="O24" s="61">
        <f t="shared" si="22"/>
        <v>-0.11955247915419565</v>
      </c>
      <c r="P24" s="61">
        <f t="shared" si="22"/>
        <v>-0.10757969344045137</v>
      </c>
      <c r="Q24" s="61">
        <f t="shared" si="22"/>
        <v>-9.2690540189022785E-2</v>
      </c>
      <c r="R24" s="61">
        <f t="shared" si="22"/>
        <v>-9.6471495597403312E-2</v>
      </c>
      <c r="S24" s="61">
        <f t="shared" si="22"/>
        <v>3.8983424144634071E-2</v>
      </c>
      <c r="T24" s="61">
        <f t="shared" si="22"/>
        <v>2.3604591762971028E-2</v>
      </c>
      <c r="U24" s="61">
        <f t="shared" si="22"/>
        <v>-8.0275229357797961E-3</v>
      </c>
      <c r="V24" s="61">
        <f t="shared" si="22"/>
        <v>-1.0222953884925667E-2</v>
      </c>
      <c r="W24" s="61">
        <f t="shared" si="22"/>
        <v>2.3963133640553025E-2</v>
      </c>
      <c r="X24" s="61">
        <f t="shared" si="22"/>
        <v>2.1657250470809686E-2</v>
      </c>
      <c r="Y24" s="61">
        <f t="shared" si="22"/>
        <v>6.7437379576107848E-2</v>
      </c>
      <c r="Z24" s="61">
        <f t="shared" si="22"/>
        <v>7.8028747433264822E-2</v>
      </c>
      <c r="AA24" s="61">
        <f t="shared" si="22"/>
        <v>6.9306930693069368E-2</v>
      </c>
      <c r="AB24" s="61">
        <f t="shared" si="22"/>
        <v>7.2811059907834208E-2</v>
      </c>
      <c r="AC24" s="61">
        <f t="shared" si="22"/>
        <v>5.6859205776173205E-2</v>
      </c>
      <c r="AD24" s="61">
        <f t="shared" si="22"/>
        <v>5.2380952380952417E-2</v>
      </c>
      <c r="AE24" s="61">
        <f t="shared" si="22"/>
        <v>2.946127946127941E-2</v>
      </c>
      <c r="AF24" s="61">
        <f t="shared" si="22"/>
        <v>1.0309278350515427E-2</v>
      </c>
      <c r="AG24" s="61">
        <f t="shared" si="22"/>
        <v>2.2203245089666979E-2</v>
      </c>
      <c r="AH24" s="61">
        <f t="shared" si="22"/>
        <v>5.6108597285067896E-2</v>
      </c>
      <c r="AI24" s="61">
        <f t="shared" ref="AI24:AL25" si="23">AI66/AE66-1</f>
        <v>0.55928045789043335</v>
      </c>
      <c r="AJ24" s="61">
        <f t="shared" si="23"/>
        <v>0.58758503401360551</v>
      </c>
      <c r="AK24" s="61">
        <f t="shared" si="23"/>
        <v>0.50877192982456143</v>
      </c>
      <c r="AL24" s="61">
        <f t="shared" si="23"/>
        <v>0.46443873179091688</v>
      </c>
      <c r="AM24" s="61"/>
      <c r="AN24" s="61"/>
      <c r="AO24" s="61"/>
      <c r="AP24" s="61"/>
      <c r="AQ24" s="61"/>
      <c r="AR24" s="61"/>
      <c r="AS24" s="61"/>
      <c r="AT24" s="61"/>
      <c r="AU24" s="482"/>
      <c r="AV24" s="61"/>
      <c r="AW24" s="61"/>
      <c r="AX24" s="61"/>
      <c r="AY24" s="61"/>
      <c r="AZ24" s="676"/>
      <c r="BA24" s="676"/>
      <c r="BB24" s="676"/>
      <c r="BC24" s="676"/>
      <c r="BD24" s="676"/>
      <c r="BE24" s="676"/>
      <c r="BF24" s="676">
        <f t="shared" ref="BF24:BK24" si="24">BF117/BE117-1</f>
        <v>-3.8742585803334006E-2</v>
      </c>
      <c r="BG24" s="676">
        <f t="shared" si="24"/>
        <v>-0.10162420687909646</v>
      </c>
      <c r="BH24" s="676">
        <f t="shared" si="24"/>
        <v>7.3735852722591755E-3</v>
      </c>
      <c r="BI24" s="676">
        <f t="shared" si="24"/>
        <v>4.8662410554130453E-2</v>
      </c>
      <c r="BJ24" s="676">
        <f t="shared" si="24"/>
        <v>6.2727607136288555E-2</v>
      </c>
      <c r="BK24" s="676">
        <f t="shared" si="24"/>
        <v>2.629779943060373E-2</v>
      </c>
      <c r="BL24" s="676">
        <f>BL66/BK66-1</f>
        <v>0.53119730185497471</v>
      </c>
      <c r="BM24" s="676"/>
      <c r="BN24" s="677"/>
      <c r="BO24" s="676"/>
      <c r="BP24" s="676"/>
      <c r="BQ24" s="676"/>
      <c r="BR24" s="676"/>
      <c r="BS24" s="676"/>
      <c r="BT24" s="49"/>
    </row>
    <row r="25" spans="1:72" s="132" customFormat="1" outlineLevel="1" x14ac:dyDescent="0.35">
      <c r="A25" s="60" t="s">
        <v>19</v>
      </c>
      <c r="B25" s="105"/>
      <c r="C25" s="61"/>
      <c r="D25" s="61"/>
      <c r="E25" s="61"/>
      <c r="F25" s="61"/>
      <c r="G25" s="61"/>
      <c r="H25" s="61"/>
      <c r="I25" s="61"/>
      <c r="J25" s="61"/>
      <c r="K25" s="61">
        <f t="shared" ref="K25:AH25" si="25">K120/G120-1</f>
        <v>0.392413606911447</v>
      </c>
      <c r="L25" s="61">
        <f t="shared" si="25"/>
        <v>0.41304954640614078</v>
      </c>
      <c r="M25" s="61">
        <f t="shared" si="25"/>
        <v>0.38088064096418539</v>
      </c>
      <c r="N25" s="61">
        <f t="shared" si="25"/>
        <v>0.32794086883759865</v>
      </c>
      <c r="O25" s="61">
        <f t="shared" si="25"/>
        <v>0.34532234609791579</v>
      </c>
      <c r="P25" s="61">
        <f t="shared" si="25"/>
        <v>0.35873376463035234</v>
      </c>
      <c r="Q25" s="61">
        <f t="shared" si="25"/>
        <v>0.3298289114802877</v>
      </c>
      <c r="R25" s="61">
        <f t="shared" si="25"/>
        <v>0.35071413568578014</v>
      </c>
      <c r="S25" s="61">
        <f t="shared" si="25"/>
        <v>1.6574187504503346E-3</v>
      </c>
      <c r="T25" s="61">
        <f t="shared" si="25"/>
        <v>4.3143241376803587E-2</v>
      </c>
      <c r="U25" s="61">
        <f t="shared" si="25"/>
        <v>9.2631264916467781E-2</v>
      </c>
      <c r="V25" s="61">
        <f t="shared" si="25"/>
        <v>0.12350814446215441</v>
      </c>
      <c r="W25" s="61">
        <f t="shared" si="25"/>
        <v>-0.13669064748201443</v>
      </c>
      <c r="X25" s="61">
        <f t="shared" si="25"/>
        <v>-0.16724738675958195</v>
      </c>
      <c r="Y25" s="61">
        <f t="shared" si="25"/>
        <v>-0.17064846416382251</v>
      </c>
      <c r="Z25" s="61">
        <f t="shared" si="25"/>
        <v>-0.20069204152249132</v>
      </c>
      <c r="AA25" s="61">
        <f t="shared" si="25"/>
        <v>-8.3333333333333037E-3</v>
      </c>
      <c r="AB25" s="61">
        <f t="shared" si="25"/>
        <v>-8.3682008368201055E-3</v>
      </c>
      <c r="AC25" s="61">
        <f t="shared" si="25"/>
        <v>8.2304526748970819E-3</v>
      </c>
      <c r="AD25" s="61">
        <f t="shared" si="25"/>
        <v>8.6580086580085869E-3</v>
      </c>
      <c r="AE25" s="61">
        <f t="shared" si="25"/>
        <v>-0.34453781512605042</v>
      </c>
      <c r="AF25" s="61">
        <f t="shared" si="25"/>
        <v>-0.34177215189873422</v>
      </c>
      <c r="AG25" s="61">
        <f t="shared" si="25"/>
        <v>-0.3387755102040817</v>
      </c>
      <c r="AH25" s="61">
        <f t="shared" si="25"/>
        <v>-0.33476394849785407</v>
      </c>
      <c r="AI25" s="61">
        <f t="shared" si="23"/>
        <v>2.2692307692307692</v>
      </c>
      <c r="AJ25" s="61">
        <f t="shared" si="23"/>
        <v>2.5576923076923079</v>
      </c>
      <c r="AK25" s="61">
        <f t="shared" si="23"/>
        <v>2.4197530864197532</v>
      </c>
      <c r="AL25" s="61">
        <f t="shared" si="23"/>
        <v>2.2709677419354839</v>
      </c>
      <c r="AM25" s="61"/>
      <c r="AN25" s="61"/>
      <c r="AO25" s="61"/>
      <c r="AP25" s="61"/>
      <c r="AQ25" s="61"/>
      <c r="AR25" s="61"/>
      <c r="AS25" s="61"/>
      <c r="AT25" s="61"/>
      <c r="AU25" s="482"/>
      <c r="AV25" s="61"/>
      <c r="AW25" s="61"/>
      <c r="AX25" s="61"/>
      <c r="AY25" s="61"/>
      <c r="AZ25" s="676"/>
      <c r="BA25" s="676"/>
      <c r="BB25" s="676"/>
      <c r="BC25" s="676"/>
      <c r="BD25" s="676"/>
      <c r="BE25" s="676"/>
      <c r="BF25" s="676">
        <f t="shared" ref="BF25:BK25" si="26">BF120/BE120-1</f>
        <v>0.38468443585140188</v>
      </c>
      <c r="BG25" s="676">
        <f t="shared" si="26"/>
        <v>0.34493591981249683</v>
      </c>
      <c r="BH25" s="676">
        <f t="shared" si="26"/>
        <v>7.1560993696700104E-2</v>
      </c>
      <c r="BI25" s="676">
        <f t="shared" si="26"/>
        <v>-0.17301038062283736</v>
      </c>
      <c r="BJ25" s="676">
        <f t="shared" si="26"/>
        <v>0</v>
      </c>
      <c r="BK25" s="676">
        <f t="shared" si="26"/>
        <v>-0.33891213389121333</v>
      </c>
      <c r="BL25" s="676">
        <f>BL67/BK67-1</f>
        <v>2.2531645569620249</v>
      </c>
      <c r="BM25" s="676"/>
      <c r="BN25" s="677"/>
      <c r="BO25" s="676"/>
      <c r="BP25" s="676"/>
      <c r="BQ25" s="676"/>
      <c r="BR25" s="676"/>
      <c r="BS25" s="676"/>
      <c r="BT25" s="49"/>
    </row>
    <row r="26" spans="1:72" s="19" customFormat="1" x14ac:dyDescent="0.35">
      <c r="A26" s="173"/>
      <c r="B26" s="106"/>
      <c r="C26" s="78"/>
      <c r="D26" s="78"/>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c r="AU26" s="484"/>
      <c r="AV26" s="78"/>
      <c r="AW26" s="78"/>
      <c r="AX26" s="78"/>
      <c r="AY26" s="78"/>
      <c r="AZ26" s="673"/>
      <c r="BA26" s="673"/>
      <c r="BB26" s="673"/>
      <c r="BC26" s="673"/>
      <c r="BD26" s="673"/>
      <c r="BE26" s="673"/>
      <c r="BF26" s="673"/>
      <c r="BG26" s="673"/>
      <c r="BH26" s="673"/>
      <c r="BI26" s="673"/>
      <c r="BJ26" s="673"/>
      <c r="BK26" s="673"/>
      <c r="BL26" s="673"/>
      <c r="BM26" s="673"/>
      <c r="BN26" s="682"/>
      <c r="BO26" s="673"/>
      <c r="BP26" s="673"/>
      <c r="BQ26" s="673"/>
      <c r="BR26" s="673"/>
      <c r="BS26" s="673"/>
      <c r="BT26" s="27"/>
    </row>
    <row r="27" spans="1:72" s="1" customFormat="1" x14ac:dyDescent="0.35">
      <c r="A27" s="527" t="s">
        <v>460</v>
      </c>
      <c r="B27" s="527"/>
      <c r="C27" s="527"/>
      <c r="D27" s="527"/>
      <c r="E27" s="527"/>
      <c r="F27" s="527"/>
      <c r="G27" s="527"/>
      <c r="H27" s="527"/>
      <c r="I27" s="527"/>
      <c r="J27" s="527"/>
      <c r="K27" s="527"/>
      <c r="L27" s="527"/>
      <c r="M27" s="527"/>
      <c r="N27" s="527"/>
      <c r="O27" s="527"/>
      <c r="P27" s="527"/>
      <c r="Q27" s="527"/>
      <c r="R27" s="527"/>
      <c r="S27" s="527"/>
      <c r="T27" s="527"/>
      <c r="U27" s="527"/>
      <c r="V27" s="527"/>
      <c r="W27" s="527"/>
      <c r="X27" s="527"/>
      <c r="Y27" s="527"/>
      <c r="Z27" s="527"/>
      <c r="AA27" s="527"/>
      <c r="AB27" s="527"/>
      <c r="AC27" s="527"/>
      <c r="AD27" s="527"/>
      <c r="AE27" s="527"/>
      <c r="AF27" s="527"/>
      <c r="AG27" s="527"/>
      <c r="AH27" s="527"/>
      <c r="AI27" s="527"/>
      <c r="AJ27" s="527"/>
      <c r="AK27" s="527"/>
      <c r="AL27" s="527"/>
      <c r="AM27" s="527"/>
      <c r="AN27" s="527"/>
      <c r="AO27" s="527"/>
      <c r="AP27" s="527"/>
      <c r="AQ27" s="527"/>
      <c r="AR27" s="527"/>
      <c r="AS27" s="527"/>
      <c r="AT27" s="527"/>
      <c r="AU27" s="547"/>
      <c r="AV27" s="527"/>
      <c r="AW27" s="527"/>
      <c r="AX27" s="527"/>
      <c r="AY27" s="527"/>
      <c r="AZ27" s="527"/>
      <c r="BA27" s="527"/>
      <c r="BB27" s="527"/>
      <c r="BC27" s="527"/>
      <c r="BD27" s="527"/>
      <c r="BE27" s="527"/>
      <c r="BF27" s="527"/>
      <c r="BG27" s="527"/>
      <c r="BH27" s="527"/>
      <c r="BI27" s="527"/>
      <c r="BJ27" s="527"/>
      <c r="BK27" s="527"/>
      <c r="BL27" s="527"/>
      <c r="BM27" s="527"/>
      <c r="BN27" s="547"/>
      <c r="BO27" s="527"/>
      <c r="BP27" s="527"/>
      <c r="BQ27" s="527"/>
      <c r="BR27" s="527"/>
      <c r="BS27" s="527"/>
      <c r="BT27" s="530"/>
    </row>
    <row r="28" spans="1:72" s="1" customFormat="1" x14ac:dyDescent="0.35">
      <c r="A28" s="55" t="s">
        <v>494</v>
      </c>
      <c r="B28" s="350"/>
      <c r="C28" s="548"/>
      <c r="D28" s="548"/>
      <c r="E28" s="548"/>
      <c r="F28" s="548"/>
      <c r="G28" s="548"/>
      <c r="H28" s="548"/>
      <c r="I28" s="548"/>
      <c r="J28" s="548"/>
      <c r="K28" s="548"/>
      <c r="L28" s="548"/>
      <c r="M28" s="548"/>
      <c r="N28" s="548"/>
      <c r="O28" s="548"/>
      <c r="P28" s="548"/>
      <c r="Q28" s="548"/>
      <c r="R28" s="548"/>
      <c r="S28" s="548"/>
      <c r="T28" s="548"/>
      <c r="U28" s="548"/>
      <c r="V28" s="548"/>
      <c r="W28" s="548"/>
      <c r="X28" s="548"/>
      <c r="Y28" s="548"/>
      <c r="Z28" s="548"/>
      <c r="AA28" s="549">
        <f t="shared" ref="AA28:AL28" si="27">AA46</f>
        <v>238.51499999999999</v>
      </c>
      <c r="AB28" s="549">
        <f t="shared" si="27"/>
        <v>242.57500000000002</v>
      </c>
      <c r="AC28" s="549">
        <f t="shared" si="27"/>
        <v>241.23600000000002</v>
      </c>
      <c r="AD28" s="549">
        <f t="shared" si="27"/>
        <v>243.60500000000002</v>
      </c>
      <c r="AE28" s="549">
        <f t="shared" si="27"/>
        <v>233.56599999999997</v>
      </c>
      <c r="AF28" s="549">
        <f t="shared" si="27"/>
        <v>232.61899999999997</v>
      </c>
      <c r="AG28" s="549">
        <f t="shared" si="27"/>
        <v>233.14699999999999</v>
      </c>
      <c r="AH28" s="549">
        <f t="shared" si="27"/>
        <v>234.47600000000003</v>
      </c>
      <c r="AI28" s="549">
        <f t="shared" si="27"/>
        <v>313.84799999999996</v>
      </c>
      <c r="AJ28" s="549">
        <f t="shared" si="27"/>
        <v>313.98900000000003</v>
      </c>
      <c r="AK28" s="549">
        <f t="shared" si="27"/>
        <v>322.30399999999997</v>
      </c>
      <c r="AL28" s="549">
        <f t="shared" si="27"/>
        <v>330.05799999999999</v>
      </c>
      <c r="AM28" s="625">
        <v>306.34100000000001</v>
      </c>
      <c r="AN28" s="625">
        <v>313.24099999999999</v>
      </c>
      <c r="AO28" s="625">
        <v>315.858</v>
      </c>
      <c r="AP28" s="625">
        <v>338.34300000000002</v>
      </c>
      <c r="AQ28" s="625">
        <v>271.65800000000002</v>
      </c>
      <c r="AR28" s="625">
        <v>274.76400000000001</v>
      </c>
      <c r="AS28" s="625">
        <v>289.56599999999997</v>
      </c>
      <c r="AT28" s="625">
        <v>295.40199999999999</v>
      </c>
      <c r="AU28" s="626">
        <v>299.33800000000002</v>
      </c>
      <c r="AV28" s="548">
        <f t="shared" ref="AV28:AX28" si="28">AV34*AV56/1000</f>
        <v>299.98733520000002</v>
      </c>
      <c r="AW28" s="548">
        <f t="shared" si="28"/>
        <v>307.08474299999995</v>
      </c>
      <c r="AX28" s="548">
        <f t="shared" si="28"/>
        <v>313.12612000000007</v>
      </c>
      <c r="AY28" s="548"/>
      <c r="AZ28" s="688"/>
      <c r="BA28" s="688"/>
      <c r="BB28" s="688"/>
      <c r="BC28" s="688"/>
      <c r="BD28" s="688"/>
      <c r="BE28" s="688"/>
      <c r="BF28" s="688"/>
      <c r="BG28" s="688"/>
      <c r="BH28" s="688"/>
      <c r="BI28" s="688"/>
      <c r="BJ28" s="689">
        <f>BJ46</f>
        <v>965.93099999999993</v>
      </c>
      <c r="BK28" s="689">
        <f>BK46</f>
        <v>933.80799999999999</v>
      </c>
      <c r="BL28" s="689">
        <f>BL46</f>
        <v>1280.1990000000001</v>
      </c>
      <c r="BM28" s="690">
        <v>1273.7829999999999</v>
      </c>
      <c r="BN28" s="691">
        <v>1131.3910000000001</v>
      </c>
      <c r="BO28" s="688">
        <f>SUM(AU28,AV28,AW28,AX28)</f>
        <v>1219.5361982000002</v>
      </c>
      <c r="BP28" s="688" t="e">
        <f>SUM(#REF!,#REF!,#REF!,#REF!)</f>
        <v>#REF!</v>
      </c>
      <c r="BQ28" s="688" t="e">
        <f>BQ34*BQ56/1000</f>
        <v>#REF!</v>
      </c>
      <c r="BR28" s="688" t="e">
        <f>BR34*BR56/1000</f>
        <v>#REF!</v>
      </c>
      <c r="BS28" s="688" t="e">
        <f>BS34*BS56/1000</f>
        <v>#REF!</v>
      </c>
      <c r="BT28" s="530"/>
    </row>
    <row r="29" spans="1:72" s="17" customFormat="1" x14ac:dyDescent="0.35">
      <c r="A29" s="56" t="s">
        <v>461</v>
      </c>
      <c r="B29" s="351"/>
      <c r="C29" s="528"/>
      <c r="D29" s="528"/>
      <c r="E29" s="528"/>
      <c r="F29" s="528"/>
      <c r="G29" s="528"/>
      <c r="H29" s="528"/>
      <c r="I29" s="528"/>
      <c r="J29" s="528"/>
      <c r="K29" s="528"/>
      <c r="L29" s="528"/>
      <c r="M29" s="528"/>
      <c r="N29" s="528"/>
      <c r="O29" s="528"/>
      <c r="P29" s="528"/>
      <c r="Q29" s="528"/>
      <c r="R29" s="528"/>
      <c r="S29" s="528"/>
      <c r="T29" s="528"/>
      <c r="U29" s="528"/>
      <c r="V29" s="528"/>
      <c r="W29" s="528"/>
      <c r="X29" s="528"/>
      <c r="Y29" s="528"/>
      <c r="Z29" s="528"/>
      <c r="AA29" s="528"/>
      <c r="AB29" s="528"/>
      <c r="AC29" s="528"/>
      <c r="AD29" s="528"/>
      <c r="AE29" s="627">
        <v>23.555</v>
      </c>
      <c r="AF29" s="627">
        <v>24.94</v>
      </c>
      <c r="AG29" s="627">
        <v>20.82</v>
      </c>
      <c r="AH29" s="627">
        <v>26.689</v>
      </c>
      <c r="AI29" s="627">
        <v>48.771000000000001</v>
      </c>
      <c r="AJ29" s="627">
        <v>51.375999999999998</v>
      </c>
      <c r="AK29" s="627">
        <v>52.381999999999998</v>
      </c>
      <c r="AL29" s="627">
        <v>48.244999999999997</v>
      </c>
      <c r="AM29" s="627">
        <v>71.411000000000001</v>
      </c>
      <c r="AN29" s="627">
        <v>75.287000000000006</v>
      </c>
      <c r="AO29" s="627">
        <v>83.238</v>
      </c>
      <c r="AP29" s="627">
        <v>91.478999999999999</v>
      </c>
      <c r="AQ29" s="627">
        <v>125.535</v>
      </c>
      <c r="AR29" s="627">
        <v>153.79499999999999</v>
      </c>
      <c r="AS29" s="627">
        <v>150.77199999999999</v>
      </c>
      <c r="AT29" s="627">
        <v>156.66800000000001</v>
      </c>
      <c r="AU29" s="628">
        <v>150.97399999999999</v>
      </c>
      <c r="AV29" s="528">
        <f t="shared" ref="AV29:AX29" si="29">AV36*AV57/1000</f>
        <v>167.94413999999995</v>
      </c>
      <c r="AW29" s="528">
        <f t="shared" si="29"/>
        <v>164.46209760000002</v>
      </c>
      <c r="AX29" s="528">
        <f t="shared" si="29"/>
        <v>169.31110760000001</v>
      </c>
      <c r="AY29" s="528"/>
      <c r="AZ29" s="692"/>
      <c r="BA29" s="692"/>
      <c r="BB29" s="692"/>
      <c r="BC29" s="692"/>
      <c r="BD29" s="692"/>
      <c r="BE29" s="692"/>
      <c r="BF29" s="692"/>
      <c r="BG29" s="692"/>
      <c r="BH29" s="692"/>
      <c r="BI29" s="692"/>
      <c r="BJ29" s="692"/>
      <c r="BK29" s="693">
        <f>SUM(AE29,AF29,AG29,AH29)</f>
        <v>96.003999999999991</v>
      </c>
      <c r="BL29" s="693">
        <f>SUM(AI29,AJ29,AK29,AL29)</f>
        <v>200.774</v>
      </c>
      <c r="BM29" s="694">
        <v>321.416</v>
      </c>
      <c r="BN29" s="695">
        <v>586.77</v>
      </c>
      <c r="BO29" s="692">
        <f>SUM(AU29,AV29,AW29,AX29)</f>
        <v>652.6913452</v>
      </c>
      <c r="BP29" s="692" t="e">
        <f>SUM(#REF!,#REF!,#REF!,#REF!)</f>
        <v>#REF!</v>
      </c>
      <c r="BQ29" s="692" t="e">
        <f>BQ36*BQ57/1000</f>
        <v>#REF!</v>
      </c>
      <c r="BR29" s="692" t="e">
        <f>BR36*BR57/1000</f>
        <v>#REF!</v>
      </c>
      <c r="BS29" s="692" t="e">
        <f>BS36*BS57/1000</f>
        <v>#REF!</v>
      </c>
      <c r="BT29" s="533"/>
    </row>
    <row r="30" spans="1:72" s="17" customFormat="1" x14ac:dyDescent="0.35">
      <c r="A30" s="56" t="s">
        <v>462</v>
      </c>
      <c r="B30" s="351"/>
      <c r="C30" s="528"/>
      <c r="D30" s="528"/>
      <c r="E30" s="528"/>
      <c r="F30" s="528"/>
      <c r="G30" s="528"/>
      <c r="H30" s="528"/>
      <c r="I30" s="528"/>
      <c r="J30" s="528"/>
      <c r="K30" s="528"/>
      <c r="L30" s="528"/>
      <c r="M30" s="528"/>
      <c r="N30" s="528"/>
      <c r="O30" s="528"/>
      <c r="P30" s="528"/>
      <c r="Q30" s="528"/>
      <c r="R30" s="528"/>
      <c r="S30" s="528"/>
      <c r="T30" s="528"/>
      <c r="U30" s="528"/>
      <c r="V30" s="528"/>
      <c r="W30" s="528"/>
      <c r="X30" s="528"/>
      <c r="Y30" s="528"/>
      <c r="Z30" s="528"/>
      <c r="AA30" s="528"/>
      <c r="AB30" s="528"/>
      <c r="AC30" s="528"/>
      <c r="AD30" s="528"/>
      <c r="AE30" s="528"/>
      <c r="AF30" s="528"/>
      <c r="AG30" s="627">
        <v>3.1869999999999998</v>
      </c>
      <c r="AH30" s="627">
        <v>7.766</v>
      </c>
      <c r="AI30" s="627">
        <v>8.3409999999999993</v>
      </c>
      <c r="AJ30" s="627">
        <v>10.78</v>
      </c>
      <c r="AK30" s="627">
        <v>17.459</v>
      </c>
      <c r="AL30" s="627">
        <v>19.207000000000001</v>
      </c>
      <c r="AM30" s="627">
        <v>22.474</v>
      </c>
      <c r="AN30" s="627">
        <v>20.978999999999999</v>
      </c>
      <c r="AO30" s="627">
        <v>22.626000000000001</v>
      </c>
      <c r="AP30" s="627">
        <v>25.388999999999999</v>
      </c>
      <c r="AQ30" s="627">
        <v>27.957000000000001</v>
      </c>
      <c r="AR30" s="627">
        <v>29.876000000000001</v>
      </c>
      <c r="AS30" s="627">
        <v>29.946000000000002</v>
      </c>
      <c r="AT30" s="627">
        <v>31.419</v>
      </c>
      <c r="AU30" s="628">
        <v>29.869</v>
      </c>
      <c r="AV30" s="528">
        <f t="shared" ref="AV30:AX30" si="30">AR30*(1+AV9)</f>
        <v>31.369800000000001</v>
      </c>
      <c r="AW30" s="528">
        <f t="shared" si="30"/>
        <v>31.443300000000004</v>
      </c>
      <c r="AX30" s="528">
        <f t="shared" si="30"/>
        <v>32.98995</v>
      </c>
      <c r="AY30" s="528"/>
      <c r="AZ30" s="692"/>
      <c r="BA30" s="692"/>
      <c r="BB30" s="692"/>
      <c r="BC30" s="692"/>
      <c r="BD30" s="692"/>
      <c r="BE30" s="692"/>
      <c r="BF30" s="692"/>
      <c r="BG30" s="692"/>
      <c r="BH30" s="692"/>
      <c r="BI30" s="692"/>
      <c r="BJ30" s="692"/>
      <c r="BK30" s="693">
        <f>SUM(AE30,AF30,AG30,AH30)</f>
        <v>10.952999999999999</v>
      </c>
      <c r="BL30" s="693">
        <f>SUM(AI30,AJ30,AK30,AL30)</f>
        <v>55.786999999999999</v>
      </c>
      <c r="BM30" s="694">
        <v>91.466999999999999</v>
      </c>
      <c r="BN30" s="695">
        <v>119.197</v>
      </c>
      <c r="BO30" s="692">
        <f>SUM(AU30,AV30,AW30,AX30)</f>
        <v>125.67205000000001</v>
      </c>
      <c r="BP30" s="692" t="e">
        <f>SUM(#REF!,#REF!,#REF!,#REF!)</f>
        <v>#REF!</v>
      </c>
      <c r="BQ30" s="692" t="e">
        <f>BP30*(1+BQ9)</f>
        <v>#REF!</v>
      </c>
      <c r="BR30" s="692" t="e">
        <f>BQ30*(1+BR9)</f>
        <v>#REF!</v>
      </c>
      <c r="BS30" s="692" t="e">
        <f>BR30*(1+BS9)</f>
        <v>#REF!</v>
      </c>
      <c r="BT30" s="533"/>
    </row>
    <row r="31" spans="1:72" s="1" customFormat="1" x14ac:dyDescent="0.35">
      <c r="A31" s="317" t="s">
        <v>495</v>
      </c>
      <c r="B31" s="352"/>
      <c r="C31" s="553"/>
      <c r="D31" s="553"/>
      <c r="E31" s="553"/>
      <c r="F31" s="553"/>
      <c r="G31" s="553"/>
      <c r="H31" s="553"/>
      <c r="I31" s="553"/>
      <c r="J31" s="553"/>
      <c r="K31" s="553"/>
      <c r="L31" s="553"/>
      <c r="M31" s="553"/>
      <c r="N31" s="553"/>
      <c r="O31" s="553"/>
      <c r="P31" s="553"/>
      <c r="Q31" s="553"/>
      <c r="R31" s="553"/>
      <c r="S31" s="553"/>
      <c r="T31" s="553"/>
      <c r="U31" s="553"/>
      <c r="V31" s="553"/>
      <c r="W31" s="553"/>
      <c r="X31" s="553"/>
      <c r="Y31" s="553"/>
      <c r="Z31" s="553"/>
      <c r="AA31" s="554">
        <f>AA53</f>
        <v>12.798999999999999</v>
      </c>
      <c r="AB31" s="554">
        <f>AB53</f>
        <v>12.297000000000001</v>
      </c>
      <c r="AC31" s="554">
        <f>AC53</f>
        <v>12.016</v>
      </c>
      <c r="AD31" s="554">
        <f>AD53</f>
        <v>12.709</v>
      </c>
      <c r="AE31" s="554">
        <f t="shared" ref="AE31:AX31" si="31">SUM(AE29:AE30)</f>
        <v>23.555</v>
      </c>
      <c r="AF31" s="554">
        <f t="shared" si="31"/>
        <v>24.94</v>
      </c>
      <c r="AG31" s="554">
        <f t="shared" si="31"/>
        <v>24.007000000000001</v>
      </c>
      <c r="AH31" s="554">
        <f t="shared" si="31"/>
        <v>34.454999999999998</v>
      </c>
      <c r="AI31" s="554">
        <f t="shared" si="31"/>
        <v>57.112000000000002</v>
      </c>
      <c r="AJ31" s="554">
        <f t="shared" si="31"/>
        <v>62.155999999999999</v>
      </c>
      <c r="AK31" s="554">
        <f t="shared" si="31"/>
        <v>69.840999999999994</v>
      </c>
      <c r="AL31" s="554">
        <f t="shared" si="31"/>
        <v>67.451999999999998</v>
      </c>
      <c r="AM31" s="554">
        <f t="shared" si="31"/>
        <v>93.885000000000005</v>
      </c>
      <c r="AN31" s="554">
        <f t="shared" si="31"/>
        <v>96.266000000000005</v>
      </c>
      <c r="AO31" s="554">
        <f t="shared" si="31"/>
        <v>105.864</v>
      </c>
      <c r="AP31" s="554">
        <f t="shared" si="31"/>
        <v>116.86799999999999</v>
      </c>
      <c r="AQ31" s="554">
        <f t="shared" si="31"/>
        <v>153.49199999999999</v>
      </c>
      <c r="AR31" s="554">
        <f t="shared" si="31"/>
        <v>183.67099999999999</v>
      </c>
      <c r="AS31" s="554">
        <f t="shared" si="31"/>
        <v>180.71799999999999</v>
      </c>
      <c r="AT31" s="554">
        <f t="shared" si="31"/>
        <v>188.08700000000002</v>
      </c>
      <c r="AU31" s="555">
        <f t="shared" si="31"/>
        <v>180.84299999999999</v>
      </c>
      <c r="AV31" s="553">
        <f t="shared" si="31"/>
        <v>199.31393999999995</v>
      </c>
      <c r="AW31" s="553">
        <f t="shared" si="31"/>
        <v>195.90539760000001</v>
      </c>
      <c r="AX31" s="553">
        <f t="shared" si="31"/>
        <v>202.30105760000001</v>
      </c>
      <c r="AY31" s="553"/>
      <c r="AZ31" s="696"/>
      <c r="BA31" s="696"/>
      <c r="BB31" s="696"/>
      <c r="BC31" s="696"/>
      <c r="BD31" s="696"/>
      <c r="BE31" s="696"/>
      <c r="BF31" s="696"/>
      <c r="BG31" s="696"/>
      <c r="BH31" s="696"/>
      <c r="BI31" s="696"/>
      <c r="BJ31" s="697">
        <f>BJ53</f>
        <v>49.820999999999998</v>
      </c>
      <c r="BK31" s="697">
        <f t="shared" ref="BK31:BS31" si="32">SUM(BK29:BK30)</f>
        <v>106.95699999999999</v>
      </c>
      <c r="BL31" s="697">
        <f t="shared" si="32"/>
        <v>256.56099999999998</v>
      </c>
      <c r="BM31" s="697">
        <f t="shared" si="32"/>
        <v>412.88299999999998</v>
      </c>
      <c r="BN31" s="698">
        <f t="shared" si="32"/>
        <v>705.96699999999998</v>
      </c>
      <c r="BO31" s="696">
        <f t="shared" si="32"/>
        <v>778.36339520000001</v>
      </c>
      <c r="BP31" s="696" t="e">
        <f t="shared" si="32"/>
        <v>#REF!</v>
      </c>
      <c r="BQ31" s="696" t="e">
        <f t="shared" si="32"/>
        <v>#REF!</v>
      </c>
      <c r="BR31" s="696" t="e">
        <f t="shared" si="32"/>
        <v>#REF!</v>
      </c>
      <c r="BS31" s="696" t="e">
        <f t="shared" si="32"/>
        <v>#REF!</v>
      </c>
      <c r="BT31" s="530"/>
    </row>
    <row r="32" spans="1:72" s="1" customFormat="1" x14ac:dyDescent="0.35">
      <c r="A32" s="47" t="s">
        <v>23</v>
      </c>
      <c r="B32" s="353"/>
      <c r="C32" s="556"/>
      <c r="D32" s="556"/>
      <c r="E32" s="556"/>
      <c r="F32" s="556"/>
      <c r="G32" s="556"/>
      <c r="H32" s="556"/>
      <c r="I32" s="556"/>
      <c r="J32" s="556"/>
      <c r="K32" s="556"/>
      <c r="L32" s="556"/>
      <c r="M32" s="556"/>
      <c r="N32" s="556"/>
      <c r="O32" s="556"/>
      <c r="P32" s="556"/>
      <c r="Q32" s="556"/>
      <c r="R32" s="556"/>
      <c r="S32" s="556"/>
      <c r="T32" s="556"/>
      <c r="U32" s="556"/>
      <c r="V32" s="556"/>
      <c r="W32" s="556"/>
      <c r="X32" s="556"/>
      <c r="Y32" s="556"/>
      <c r="Z32" s="556"/>
      <c r="AA32" s="557">
        <f t="shared" ref="AA32:AX32" si="33">AA28+AA31</f>
        <v>251.31399999999999</v>
      </c>
      <c r="AB32" s="557">
        <f t="shared" si="33"/>
        <v>254.87200000000001</v>
      </c>
      <c r="AC32" s="557">
        <f t="shared" si="33"/>
        <v>253.25200000000001</v>
      </c>
      <c r="AD32" s="557">
        <f t="shared" si="33"/>
        <v>256.31400000000002</v>
      </c>
      <c r="AE32" s="557">
        <f t="shared" si="33"/>
        <v>257.12099999999998</v>
      </c>
      <c r="AF32" s="557">
        <f t="shared" si="33"/>
        <v>257.55899999999997</v>
      </c>
      <c r="AG32" s="557">
        <f t="shared" si="33"/>
        <v>257.154</v>
      </c>
      <c r="AH32" s="557">
        <f t="shared" si="33"/>
        <v>268.93100000000004</v>
      </c>
      <c r="AI32" s="557">
        <f t="shared" si="33"/>
        <v>370.96</v>
      </c>
      <c r="AJ32" s="557">
        <f t="shared" si="33"/>
        <v>376.14500000000004</v>
      </c>
      <c r="AK32" s="557">
        <f t="shared" si="33"/>
        <v>392.14499999999998</v>
      </c>
      <c r="AL32" s="557">
        <f t="shared" si="33"/>
        <v>397.51</v>
      </c>
      <c r="AM32" s="557">
        <f t="shared" si="33"/>
        <v>400.226</v>
      </c>
      <c r="AN32" s="557">
        <f t="shared" si="33"/>
        <v>409.50700000000001</v>
      </c>
      <c r="AO32" s="557">
        <f t="shared" si="33"/>
        <v>421.72199999999998</v>
      </c>
      <c r="AP32" s="557">
        <f t="shared" si="33"/>
        <v>455.21100000000001</v>
      </c>
      <c r="AQ32" s="557">
        <f t="shared" si="33"/>
        <v>425.15</v>
      </c>
      <c r="AR32" s="557">
        <f t="shared" si="33"/>
        <v>458.435</v>
      </c>
      <c r="AS32" s="557">
        <f t="shared" si="33"/>
        <v>470.28399999999999</v>
      </c>
      <c r="AT32" s="557">
        <f t="shared" si="33"/>
        <v>483.48900000000003</v>
      </c>
      <c r="AU32" s="558">
        <f t="shared" si="33"/>
        <v>480.18100000000004</v>
      </c>
      <c r="AV32" s="556">
        <f t="shared" si="33"/>
        <v>499.30127519999996</v>
      </c>
      <c r="AW32" s="556">
        <f t="shared" si="33"/>
        <v>502.99014059999996</v>
      </c>
      <c r="AX32" s="556">
        <f t="shared" si="33"/>
        <v>515.42717760000005</v>
      </c>
      <c r="AY32" s="556"/>
      <c r="AZ32" s="699"/>
      <c r="BA32" s="699"/>
      <c r="BB32" s="699"/>
      <c r="BC32" s="699"/>
      <c r="BD32" s="699"/>
      <c r="BE32" s="699"/>
      <c r="BF32" s="699"/>
      <c r="BG32" s="699"/>
      <c r="BH32" s="699"/>
      <c r="BI32" s="699"/>
      <c r="BJ32" s="700">
        <f t="shared" ref="BJ32:BS32" si="34">BJ28+BJ31</f>
        <v>1015.752</v>
      </c>
      <c r="BK32" s="700">
        <f t="shared" si="34"/>
        <v>1040.7649999999999</v>
      </c>
      <c r="BL32" s="700">
        <f t="shared" si="34"/>
        <v>1536.76</v>
      </c>
      <c r="BM32" s="700">
        <f t="shared" si="34"/>
        <v>1686.6659999999999</v>
      </c>
      <c r="BN32" s="701">
        <f t="shared" si="34"/>
        <v>1837.3580000000002</v>
      </c>
      <c r="BO32" s="699">
        <f t="shared" si="34"/>
        <v>1997.8995934000002</v>
      </c>
      <c r="BP32" s="699" t="e">
        <f t="shared" si="34"/>
        <v>#REF!</v>
      </c>
      <c r="BQ32" s="699" t="e">
        <f t="shared" si="34"/>
        <v>#REF!</v>
      </c>
      <c r="BR32" s="699" t="e">
        <f t="shared" si="34"/>
        <v>#REF!</v>
      </c>
      <c r="BS32" s="699" t="e">
        <f t="shared" si="34"/>
        <v>#REF!</v>
      </c>
      <c r="BT32" s="530"/>
    </row>
    <row r="33" spans="1:72" s="1" customFormat="1" x14ac:dyDescent="0.35">
      <c r="A33" s="354"/>
      <c r="B33" s="350"/>
      <c r="C33" s="548"/>
      <c r="D33" s="548"/>
      <c r="E33" s="548"/>
      <c r="F33" s="548"/>
      <c r="G33" s="548"/>
      <c r="H33" s="548"/>
      <c r="I33" s="548"/>
      <c r="J33" s="548"/>
      <c r="K33" s="548"/>
      <c r="L33" s="548"/>
      <c r="M33" s="548"/>
      <c r="N33" s="548"/>
      <c r="O33" s="548"/>
      <c r="P33" s="548"/>
      <c r="Q33" s="548"/>
      <c r="R33" s="548"/>
      <c r="S33" s="548"/>
      <c r="T33" s="548"/>
      <c r="U33" s="548"/>
      <c r="V33" s="548"/>
      <c r="W33" s="548"/>
      <c r="X33" s="548"/>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59">
        <f>+AU29/AU31</f>
        <v>0.8348346355678683</v>
      </c>
      <c r="AV33" s="548"/>
      <c r="AW33" s="548"/>
      <c r="AX33" s="548"/>
      <c r="AY33" s="548"/>
      <c r="AZ33" s="688"/>
      <c r="BA33" s="688"/>
      <c r="BB33" s="688"/>
      <c r="BC33" s="688"/>
      <c r="BD33" s="688"/>
      <c r="BE33" s="688"/>
      <c r="BF33" s="688"/>
      <c r="BG33" s="688"/>
      <c r="BH33" s="688"/>
      <c r="BI33" s="688"/>
      <c r="BJ33" s="688"/>
      <c r="BK33" s="688"/>
      <c r="BL33" s="688"/>
      <c r="BM33" s="688"/>
      <c r="BN33" s="935"/>
      <c r="BO33" s="688"/>
      <c r="BP33" s="688"/>
      <c r="BQ33" s="688"/>
      <c r="BR33" s="688"/>
      <c r="BS33" s="688"/>
      <c r="BT33" s="530"/>
    </row>
    <row r="34" spans="1:72" s="340" customFormat="1" x14ac:dyDescent="0.35">
      <c r="A34" s="337" t="s">
        <v>467</v>
      </c>
      <c r="B34" s="355"/>
      <c r="C34" s="356"/>
      <c r="D34" s="356"/>
      <c r="E34" s="356"/>
      <c r="F34" s="356"/>
      <c r="G34" s="356"/>
      <c r="H34" s="356"/>
      <c r="I34" s="356"/>
      <c r="J34" s="356"/>
      <c r="K34" s="356"/>
      <c r="L34" s="356"/>
      <c r="M34" s="356"/>
      <c r="N34" s="356"/>
      <c r="O34" s="356"/>
      <c r="P34" s="356"/>
      <c r="Q34" s="356"/>
      <c r="R34" s="356"/>
      <c r="S34" s="356"/>
      <c r="T34" s="356"/>
      <c r="U34" s="356"/>
      <c r="V34" s="356"/>
      <c r="W34" s="356"/>
      <c r="X34" s="356"/>
      <c r="Y34" s="356"/>
      <c r="Z34" s="356"/>
      <c r="AA34" s="338">
        <f t="shared" ref="AA34:AU34" si="35">AA28/AA56*1000</f>
        <v>2092.2368421052629</v>
      </c>
      <c r="AB34" s="338">
        <f t="shared" si="35"/>
        <v>2167.7837354781054</v>
      </c>
      <c r="AC34" s="338">
        <f t="shared" si="35"/>
        <v>2138.617021276596</v>
      </c>
      <c r="AD34" s="338">
        <f t="shared" si="35"/>
        <v>2289.5206766917295</v>
      </c>
      <c r="AE34" s="338">
        <f t="shared" si="35"/>
        <v>2107.9963898916967</v>
      </c>
      <c r="AF34" s="338">
        <f t="shared" si="35"/>
        <v>2178.0805243445693</v>
      </c>
      <c r="AG34" s="338">
        <f t="shared" si="35"/>
        <v>2140.9274563820018</v>
      </c>
      <c r="AH34" s="338">
        <f t="shared" si="35"/>
        <v>2207.871939736347</v>
      </c>
      <c r="AI34" s="338">
        <f t="shared" si="35"/>
        <v>1906.7314702308624</v>
      </c>
      <c r="AJ34" s="338">
        <f t="shared" si="35"/>
        <v>1947.8225806451617</v>
      </c>
      <c r="AK34" s="338">
        <f t="shared" si="35"/>
        <v>2068.7034659820279</v>
      </c>
      <c r="AL34" s="338">
        <f t="shared" si="35"/>
        <v>2242.241847826087</v>
      </c>
      <c r="AM34" s="338">
        <f t="shared" si="35"/>
        <v>2075.481029810298</v>
      </c>
      <c r="AN34" s="338">
        <f t="shared" si="35"/>
        <v>2151.3804945054944</v>
      </c>
      <c r="AO34" s="338">
        <f t="shared" si="35"/>
        <v>2196.5090403337972</v>
      </c>
      <c r="AP34" s="338">
        <f t="shared" si="35"/>
        <v>2478.7032967032969</v>
      </c>
      <c r="AQ34" s="338">
        <f t="shared" si="35"/>
        <v>2419.0382902938559</v>
      </c>
      <c r="AR34" s="338">
        <f t="shared" si="35"/>
        <v>2470.8992805755393</v>
      </c>
      <c r="AS34" s="338">
        <f t="shared" si="35"/>
        <v>2526.7539267015704</v>
      </c>
      <c r="AT34" s="338">
        <f t="shared" si="35"/>
        <v>2670.9041591320074</v>
      </c>
      <c r="AU34" s="487">
        <f t="shared" si="35"/>
        <v>2545.3911564625855</v>
      </c>
      <c r="AV34" s="356">
        <f t="shared" ref="AV34:AX34" si="36">AR34*(1+AV35)</f>
        <v>2545.0262589928057</v>
      </c>
      <c r="AW34" s="356">
        <f t="shared" si="36"/>
        <v>2552.0214659685862</v>
      </c>
      <c r="AX34" s="356">
        <f t="shared" si="36"/>
        <v>2670.9041591320074</v>
      </c>
      <c r="AY34" s="356"/>
      <c r="AZ34" s="703"/>
      <c r="BA34" s="703"/>
      <c r="BB34" s="703"/>
      <c r="BC34" s="703"/>
      <c r="BD34" s="703"/>
      <c r="BE34" s="703"/>
      <c r="BF34" s="703"/>
      <c r="BG34" s="703"/>
      <c r="BH34" s="703"/>
      <c r="BI34" s="703"/>
      <c r="BJ34" s="704">
        <f t="shared" ref="BJ34:BP34" si="37">BJ28/BJ56*1000</f>
        <v>8686.4298561151063</v>
      </c>
      <c r="BK34" s="704">
        <f t="shared" si="37"/>
        <v>8662.411873840445</v>
      </c>
      <c r="BL34" s="704">
        <f t="shared" si="37"/>
        <v>8169.7447351627325</v>
      </c>
      <c r="BM34" s="704">
        <f t="shared" si="37"/>
        <v>8895.132681564246</v>
      </c>
      <c r="BN34" s="705">
        <f t="shared" si="37"/>
        <v>10074.719501335709</v>
      </c>
      <c r="BO34" s="703">
        <f t="shared" si="37"/>
        <v>10312.374043522932</v>
      </c>
      <c r="BP34" s="703" t="e">
        <f t="shared" si="37"/>
        <v>#REF!</v>
      </c>
      <c r="BQ34" s="703" t="e">
        <f>BP34*(1+BQ35)</f>
        <v>#REF!</v>
      </c>
      <c r="BR34" s="703" t="e">
        <f>BQ34*(1+BR35)</f>
        <v>#REF!</v>
      </c>
      <c r="BS34" s="703" t="e">
        <f>BR34*(1+BS35)</f>
        <v>#REF!</v>
      </c>
      <c r="BT34" s="339"/>
    </row>
    <row r="35" spans="1:72" s="104" customFormat="1" x14ac:dyDescent="0.35">
      <c r="A35" s="322" t="s">
        <v>468</v>
      </c>
      <c r="B35" s="323"/>
      <c r="C35" s="322"/>
      <c r="D35" s="322"/>
      <c r="E35" s="322"/>
      <c r="F35" s="322"/>
      <c r="G35" s="322"/>
      <c r="H35" s="322"/>
      <c r="I35" s="322"/>
      <c r="J35" s="322"/>
      <c r="K35" s="322"/>
      <c r="L35" s="322"/>
      <c r="M35" s="322"/>
      <c r="N35" s="322"/>
      <c r="O35" s="322"/>
      <c r="P35" s="322"/>
      <c r="Q35" s="322"/>
      <c r="R35" s="322"/>
      <c r="S35" s="322"/>
      <c r="T35" s="322"/>
      <c r="U35" s="322"/>
      <c r="V35" s="322"/>
      <c r="W35" s="322"/>
      <c r="X35" s="322"/>
      <c r="Y35" s="322"/>
      <c r="Z35" s="322"/>
      <c r="AA35" s="322"/>
      <c r="AB35" s="322"/>
      <c r="AC35" s="322"/>
      <c r="AD35" s="322"/>
      <c r="AE35" s="322">
        <f t="shared" ref="AE35:AU35" si="38">AE34/AA34-1</f>
        <v>7.5323918732719264E-3</v>
      </c>
      <c r="AF35" s="322">
        <f t="shared" si="38"/>
        <v>4.7499151773979786E-3</v>
      </c>
      <c r="AG35" s="322">
        <f t="shared" si="38"/>
        <v>1.0803407447055324E-3</v>
      </c>
      <c r="AH35" s="322">
        <f t="shared" si="38"/>
        <v>-3.5661934738830059E-2</v>
      </c>
      <c r="AI35" s="322">
        <f t="shared" si="38"/>
        <v>-9.5476880617985649E-2</v>
      </c>
      <c r="AJ35" s="322">
        <f t="shared" si="38"/>
        <v>-0.10571599218936001</v>
      </c>
      <c r="AK35" s="322">
        <f t="shared" si="38"/>
        <v>-3.3734907824493399E-2</v>
      </c>
      <c r="AL35" s="322">
        <f t="shared" si="38"/>
        <v>1.5566984421136354E-2</v>
      </c>
      <c r="AM35" s="322">
        <f t="shared" si="38"/>
        <v>8.8502005769592662E-2</v>
      </c>
      <c r="AN35" s="322">
        <f t="shared" si="38"/>
        <v>0.10450536711249647</v>
      </c>
      <c r="AO35" s="322">
        <f t="shared" si="38"/>
        <v>6.1780519273746837E-2</v>
      </c>
      <c r="AP35" s="322">
        <f t="shared" si="38"/>
        <v>0.10545760222362532</v>
      </c>
      <c r="AQ35" s="322">
        <f t="shared" si="38"/>
        <v>0.16553139033747732</v>
      </c>
      <c r="AR35" s="322">
        <f t="shared" si="38"/>
        <v>0.14851802686046378</v>
      </c>
      <c r="AS35" s="322">
        <f t="shared" si="38"/>
        <v>0.15034988716349051</v>
      </c>
      <c r="AT35" s="322">
        <f t="shared" si="38"/>
        <v>7.7540891112034105E-2</v>
      </c>
      <c r="AU35" s="488">
        <f t="shared" si="38"/>
        <v>5.2232685474929319E-2</v>
      </c>
      <c r="AV35" s="629">
        <v>0.03</v>
      </c>
      <c r="AW35" s="629">
        <v>0.01</v>
      </c>
      <c r="AX35" s="629">
        <v>0</v>
      </c>
      <c r="AY35" s="324"/>
      <c r="AZ35" s="706"/>
      <c r="BA35" s="706"/>
      <c r="BB35" s="706"/>
      <c r="BC35" s="706"/>
      <c r="BD35" s="706"/>
      <c r="BE35" s="706"/>
      <c r="BF35" s="706"/>
      <c r="BG35" s="706"/>
      <c r="BH35" s="706"/>
      <c r="BI35" s="706"/>
      <c r="BJ35" s="706"/>
      <c r="BK35" s="706">
        <f t="shared" ref="BK35:BP35" si="39">BK34/BJ34-1</f>
        <v>-2.7650004285423302E-3</v>
      </c>
      <c r="BL35" s="706">
        <f t="shared" si="39"/>
        <v>-5.6874129959753383E-2</v>
      </c>
      <c r="BM35" s="706">
        <f t="shared" si="39"/>
        <v>8.8789548500754378E-2</v>
      </c>
      <c r="BN35" s="707">
        <f t="shared" si="39"/>
        <v>0.1326103681641797</v>
      </c>
      <c r="BO35" s="706">
        <f t="shared" si="39"/>
        <v>2.3589196915677402E-2</v>
      </c>
      <c r="BP35" s="706" t="e">
        <f t="shared" si="39"/>
        <v>#REF!</v>
      </c>
      <c r="BQ35" s="708">
        <v>9.9999999999997868E-3</v>
      </c>
      <c r="BR35" s="708">
        <v>9.9999999999997868E-3</v>
      </c>
      <c r="BS35" s="708">
        <v>9.9999999999997868E-3</v>
      </c>
      <c r="BT35" s="103"/>
    </row>
    <row r="36" spans="1:72" s="340" customFormat="1" x14ac:dyDescent="0.35">
      <c r="A36" s="337" t="s">
        <v>469</v>
      </c>
      <c r="B36" s="355"/>
      <c r="C36" s="356"/>
      <c r="D36" s="356"/>
      <c r="E36" s="356"/>
      <c r="F36" s="356"/>
      <c r="G36" s="356"/>
      <c r="H36" s="356"/>
      <c r="I36" s="356"/>
      <c r="J36" s="356"/>
      <c r="K36" s="356"/>
      <c r="L36" s="356"/>
      <c r="M36" s="356"/>
      <c r="N36" s="356"/>
      <c r="O36" s="356"/>
      <c r="P36" s="356"/>
      <c r="Q36" s="356"/>
      <c r="R36" s="356"/>
      <c r="S36" s="356"/>
      <c r="T36" s="356"/>
      <c r="U36" s="356"/>
      <c r="V36" s="356"/>
      <c r="W36" s="356"/>
      <c r="X36" s="356"/>
      <c r="Y36" s="356"/>
      <c r="Z36" s="356"/>
      <c r="AA36" s="338">
        <f>AA31/AA57*1000</f>
        <v>1802.6760563380283</v>
      </c>
      <c r="AB36" s="338">
        <f>AB31/AB57*1000</f>
        <v>1808.3823529411766</v>
      </c>
      <c r="AC36" s="338">
        <f>AC31/AC57*1000</f>
        <v>1793.4328358208954</v>
      </c>
      <c r="AD36" s="338">
        <f>AD31/AD57*1000</f>
        <v>1985.7812499999998</v>
      </c>
      <c r="AE36" s="338">
        <f t="shared" ref="AE36:AU36" si="40">AE29/AE57*1000</f>
        <v>1731.9852941176471</v>
      </c>
      <c r="AF36" s="338">
        <f t="shared" si="40"/>
        <v>1903.8167938931299</v>
      </c>
      <c r="AG36" s="338">
        <f t="shared" si="40"/>
        <v>1577.2727272727275</v>
      </c>
      <c r="AH36" s="338">
        <f t="shared" si="40"/>
        <v>2101.4960629921261</v>
      </c>
      <c r="AI36" s="338">
        <f t="shared" si="40"/>
        <v>1583.4740259740258</v>
      </c>
      <c r="AJ36" s="338">
        <f t="shared" si="40"/>
        <v>1695.5775577557754</v>
      </c>
      <c r="AK36" s="338">
        <f t="shared" si="40"/>
        <v>1775.6610169491526</v>
      </c>
      <c r="AL36" s="338">
        <f t="shared" si="40"/>
        <v>1710.8156028368792</v>
      </c>
      <c r="AM36" s="338">
        <f t="shared" si="40"/>
        <v>1700.2619047619048</v>
      </c>
      <c r="AN36" s="338">
        <f t="shared" si="40"/>
        <v>1796.8257756563248</v>
      </c>
      <c r="AO36" s="338">
        <f t="shared" si="40"/>
        <v>1981.8571428571427</v>
      </c>
      <c r="AP36" s="338">
        <f t="shared" si="40"/>
        <v>2183.2696897374703</v>
      </c>
      <c r="AQ36" s="338">
        <f t="shared" si="40"/>
        <v>2037.9058441558441</v>
      </c>
      <c r="AR36" s="338">
        <f t="shared" si="40"/>
        <v>2319.6832579185516</v>
      </c>
      <c r="AS36" s="338">
        <f t="shared" si="40"/>
        <v>2243.6309523809523</v>
      </c>
      <c r="AT36" s="338">
        <f t="shared" si="40"/>
        <v>2391.8778625954201</v>
      </c>
      <c r="AU36" s="487">
        <f t="shared" si="40"/>
        <v>2147.5675675675675</v>
      </c>
      <c r="AV36" s="356">
        <f t="shared" ref="AV36:AX36" si="41">AR36*(1+AV37)</f>
        <v>2412.4705882352937</v>
      </c>
      <c r="AW36" s="356">
        <f t="shared" si="41"/>
        <v>2266.0672619047618</v>
      </c>
      <c r="AX36" s="356">
        <f t="shared" si="41"/>
        <v>2415.7966412213741</v>
      </c>
      <c r="AY36" s="356"/>
      <c r="AZ36" s="703"/>
      <c r="BA36" s="703"/>
      <c r="BB36" s="703"/>
      <c r="BC36" s="703"/>
      <c r="BD36" s="703"/>
      <c r="BE36" s="703"/>
      <c r="BF36" s="703"/>
      <c r="BG36" s="703"/>
      <c r="BH36" s="703"/>
      <c r="BI36" s="703"/>
      <c r="BJ36" s="704">
        <f>BJ31/BJ57*1000</f>
        <v>7435.9701492537306</v>
      </c>
      <c r="BK36" s="704">
        <f t="shared" ref="BK36:BP36" si="42">BK29/BK57*1000</f>
        <v>7328.5496183206105</v>
      </c>
      <c r="BL36" s="704">
        <f t="shared" si="42"/>
        <v>6782.905405405405</v>
      </c>
      <c r="BM36" s="704">
        <f t="shared" si="42"/>
        <v>7671.0262529832935</v>
      </c>
      <c r="BN36" s="705">
        <f t="shared" si="42"/>
        <v>8903.9453717754168</v>
      </c>
      <c r="BO36" s="703">
        <f t="shared" si="42"/>
        <v>9239.1617858558402</v>
      </c>
      <c r="BP36" s="703" t="e">
        <f t="shared" si="42"/>
        <v>#REF!</v>
      </c>
      <c r="BQ36" s="703" t="e">
        <f>BP36*(1+BQ37)</f>
        <v>#REF!</v>
      </c>
      <c r="BR36" s="703" t="e">
        <f>BQ36*(1+BR37)</f>
        <v>#REF!</v>
      </c>
      <c r="BS36" s="703" t="e">
        <f>BR36*(1+BS37)</f>
        <v>#REF!</v>
      </c>
      <c r="BT36" s="339"/>
    </row>
    <row r="37" spans="1:72" s="320" customFormat="1" x14ac:dyDescent="0.35">
      <c r="A37" s="322" t="s">
        <v>470</v>
      </c>
      <c r="B37" s="325"/>
      <c r="C37" s="326"/>
      <c r="D37" s="326"/>
      <c r="E37" s="326"/>
      <c r="F37" s="326"/>
      <c r="G37" s="326"/>
      <c r="H37" s="326"/>
      <c r="I37" s="326"/>
      <c r="J37" s="326"/>
      <c r="K37" s="326"/>
      <c r="L37" s="326"/>
      <c r="M37" s="326"/>
      <c r="N37" s="326"/>
      <c r="O37" s="326"/>
      <c r="P37" s="326"/>
      <c r="Q37" s="326"/>
      <c r="R37" s="326"/>
      <c r="S37" s="326"/>
      <c r="T37" s="326"/>
      <c r="U37" s="326"/>
      <c r="V37" s="326"/>
      <c r="W37" s="326"/>
      <c r="X37" s="326"/>
      <c r="Y37" s="326"/>
      <c r="Z37" s="326"/>
      <c r="AA37" s="326"/>
      <c r="AB37" s="326"/>
      <c r="AC37" s="326"/>
      <c r="AD37" s="326"/>
      <c r="AE37" s="326">
        <f t="shared" ref="AE37:AU37" si="43">AE36/AA36-1</f>
        <v>-3.9214345789882477E-2</v>
      </c>
      <c r="AF37" s="326">
        <f t="shared" si="43"/>
        <v>5.2773375495916319E-2</v>
      </c>
      <c r="AG37" s="326">
        <f t="shared" si="43"/>
        <v>-0.12052868902069946</v>
      </c>
      <c r="AH37" s="326">
        <f t="shared" si="43"/>
        <v>5.8271681733386371E-2</v>
      </c>
      <c r="AI37" s="326">
        <f t="shared" si="43"/>
        <v>-8.5746263924994626E-2</v>
      </c>
      <c r="AJ37" s="326">
        <f t="shared" si="43"/>
        <v>-0.10937987142739947</v>
      </c>
      <c r="AK37" s="326">
        <f t="shared" si="43"/>
        <v>0.12577931910320905</v>
      </c>
      <c r="AL37" s="326">
        <f t="shared" si="43"/>
        <v>-0.18590587298031536</v>
      </c>
      <c r="AM37" s="326">
        <f t="shared" si="43"/>
        <v>7.3754211860873831E-2</v>
      </c>
      <c r="AN37" s="326">
        <f t="shared" si="43"/>
        <v>5.9713115119640392E-2</v>
      </c>
      <c r="AO37" s="326">
        <f t="shared" si="43"/>
        <v>0.11612358661917654</v>
      </c>
      <c r="AP37" s="326">
        <f t="shared" si="43"/>
        <v>0.27615722355884897</v>
      </c>
      <c r="AQ37" s="326">
        <f t="shared" si="43"/>
        <v>0.19858348790166014</v>
      </c>
      <c r="AR37" s="326">
        <f t="shared" si="43"/>
        <v>0.29098952683447732</v>
      </c>
      <c r="AS37" s="326">
        <f t="shared" si="43"/>
        <v>0.13208510536053253</v>
      </c>
      <c r="AT37" s="326">
        <f t="shared" si="43"/>
        <v>9.5548513240722999E-2</v>
      </c>
      <c r="AU37" s="489">
        <f t="shared" si="43"/>
        <v>5.3810986276035866E-2</v>
      </c>
      <c r="AV37" s="630">
        <v>0.04</v>
      </c>
      <c r="AW37" s="630">
        <v>0.01</v>
      </c>
      <c r="AX37" s="630">
        <v>0.01</v>
      </c>
      <c r="AY37" s="327"/>
      <c r="AZ37" s="709"/>
      <c r="BA37" s="709"/>
      <c r="BB37" s="709"/>
      <c r="BC37" s="709"/>
      <c r="BD37" s="709"/>
      <c r="BE37" s="709"/>
      <c r="BF37" s="709"/>
      <c r="BG37" s="709"/>
      <c r="BH37" s="709"/>
      <c r="BI37" s="709"/>
      <c r="BJ37" s="709"/>
      <c r="BK37" s="709">
        <f t="shared" ref="BK37:BP37" si="44">BK36/BJ36-1</f>
        <v>-1.4446068068724172E-2</v>
      </c>
      <c r="BL37" s="709">
        <f t="shared" si="44"/>
        <v>-7.4454597612486961E-2</v>
      </c>
      <c r="BM37" s="709">
        <f t="shared" si="44"/>
        <v>0.13093516634776159</v>
      </c>
      <c r="BN37" s="710">
        <f t="shared" si="44"/>
        <v>0.1607241427850199</v>
      </c>
      <c r="BO37" s="709">
        <f t="shared" si="44"/>
        <v>3.7648076227312144E-2</v>
      </c>
      <c r="BP37" s="709" t="e">
        <f t="shared" si="44"/>
        <v>#REF!</v>
      </c>
      <c r="BQ37" s="711">
        <v>5.0000000000000001E-3</v>
      </c>
      <c r="BR37" s="711">
        <v>5.0000000000000001E-3</v>
      </c>
      <c r="BS37" s="711">
        <v>5.0000000000000001E-3</v>
      </c>
      <c r="BT37" s="319"/>
    </row>
    <row r="38" spans="1:72" s="1" customFormat="1" x14ac:dyDescent="0.35">
      <c r="A38" s="354"/>
      <c r="B38" s="350"/>
      <c r="C38" s="548"/>
      <c r="D38" s="548"/>
      <c r="E38" s="548"/>
      <c r="F38" s="548"/>
      <c r="G38" s="548"/>
      <c r="H38" s="548"/>
      <c r="I38" s="548"/>
      <c r="J38" s="548"/>
      <c r="K38" s="548"/>
      <c r="L38" s="548"/>
      <c r="M38" s="548"/>
      <c r="N38" s="548"/>
      <c r="O38" s="548"/>
      <c r="P38" s="548"/>
      <c r="Q38" s="548"/>
      <c r="R38" s="548"/>
      <c r="S38" s="548"/>
      <c r="T38" s="548"/>
      <c r="U38" s="548"/>
      <c r="V38" s="548"/>
      <c r="W38" s="548"/>
      <c r="X38" s="548"/>
      <c r="Y38" s="548"/>
      <c r="Z38" s="548"/>
      <c r="AA38" s="548"/>
      <c r="AB38" s="548"/>
      <c r="AC38" s="548"/>
      <c r="AD38" s="548"/>
      <c r="AE38" s="548"/>
      <c r="AF38" s="548"/>
      <c r="AG38" s="548"/>
      <c r="AH38" s="548"/>
      <c r="AI38" s="548"/>
      <c r="AJ38" s="548"/>
      <c r="AK38" s="548"/>
      <c r="AL38" s="548"/>
      <c r="AM38" s="548"/>
      <c r="AN38" s="548"/>
      <c r="AO38" s="548"/>
      <c r="AP38" s="548"/>
      <c r="AQ38" s="548"/>
      <c r="AR38" s="548"/>
      <c r="AS38" s="548"/>
      <c r="AT38" s="548"/>
      <c r="AU38" s="559"/>
      <c r="AV38" s="548"/>
      <c r="AW38" s="548"/>
      <c r="AX38" s="548"/>
      <c r="AY38" s="548"/>
      <c r="AZ38" s="688"/>
      <c r="BA38" s="688"/>
      <c r="BB38" s="688"/>
      <c r="BC38" s="688"/>
      <c r="BD38" s="688"/>
      <c r="BE38" s="688"/>
      <c r="BF38" s="688"/>
      <c r="BG38" s="688"/>
      <c r="BH38" s="688"/>
      <c r="BI38" s="688"/>
      <c r="BJ38" s="688"/>
      <c r="BK38" s="688"/>
      <c r="BL38" s="688"/>
      <c r="BM38" s="688"/>
      <c r="BN38" s="702"/>
      <c r="BO38" s="688"/>
      <c r="BP38" s="688"/>
      <c r="BQ38" s="688"/>
      <c r="BR38" s="688"/>
      <c r="BS38" s="688"/>
      <c r="BT38" s="530"/>
    </row>
    <row r="39" spans="1:72" s="1" customFormat="1" x14ac:dyDescent="0.35">
      <c r="A39" s="527" t="s">
        <v>449</v>
      </c>
      <c r="B39" s="527"/>
      <c r="C39" s="527"/>
      <c r="D39" s="527"/>
      <c r="E39" s="527"/>
      <c r="F39" s="527"/>
      <c r="G39" s="527"/>
      <c r="H39" s="527"/>
      <c r="I39" s="527"/>
      <c r="J39" s="527"/>
      <c r="K39" s="527"/>
      <c r="L39" s="527"/>
      <c r="M39" s="527"/>
      <c r="N39" s="527"/>
      <c r="O39" s="527"/>
      <c r="P39" s="527"/>
      <c r="Q39" s="527"/>
      <c r="R39" s="527"/>
      <c r="S39" s="527"/>
      <c r="T39" s="527"/>
      <c r="U39" s="527"/>
      <c r="V39" s="527"/>
      <c r="W39" s="527"/>
      <c r="X39" s="527"/>
      <c r="Y39" s="527"/>
      <c r="Z39" s="527"/>
      <c r="AA39" s="527"/>
      <c r="AB39" s="527"/>
      <c r="AC39" s="527"/>
      <c r="AD39" s="527"/>
      <c r="AE39" s="527"/>
      <c r="AF39" s="527"/>
      <c r="AG39" s="527"/>
      <c r="AH39" s="527"/>
      <c r="AI39" s="527"/>
      <c r="AJ39" s="527"/>
      <c r="AK39" s="527"/>
      <c r="AL39" s="527"/>
      <c r="AM39" s="527"/>
      <c r="AN39" s="527"/>
      <c r="AO39" s="527"/>
      <c r="AP39" s="527"/>
      <c r="AQ39" s="527"/>
      <c r="AR39" s="527"/>
      <c r="AS39" s="527"/>
      <c r="AT39" s="527"/>
      <c r="AU39" s="547"/>
      <c r="AV39" s="527"/>
      <c r="AW39" s="527"/>
      <c r="AX39" s="527"/>
      <c r="AY39" s="527"/>
      <c r="AZ39" s="527"/>
      <c r="BA39" s="527"/>
      <c r="BB39" s="527"/>
      <c r="BC39" s="527"/>
      <c r="BD39" s="527"/>
      <c r="BE39" s="527"/>
      <c r="BF39" s="527"/>
      <c r="BG39" s="527"/>
      <c r="BH39" s="527"/>
      <c r="BI39" s="527"/>
      <c r="BJ39" s="527"/>
      <c r="BK39" s="527"/>
      <c r="BL39" s="527"/>
      <c r="BM39" s="527"/>
      <c r="BN39" s="547"/>
      <c r="BO39" s="527"/>
      <c r="BP39" s="527"/>
      <c r="BQ39" s="527"/>
      <c r="BR39" s="527"/>
      <c r="BS39" s="527"/>
      <c r="BT39" s="530"/>
    </row>
    <row r="40" spans="1:72" s="1" customFormat="1" outlineLevel="1" x14ac:dyDescent="0.35">
      <c r="A40" s="55" t="s">
        <v>552</v>
      </c>
      <c r="B40" s="350"/>
      <c r="C40" s="548"/>
      <c r="D40" s="548"/>
      <c r="E40" s="548"/>
      <c r="F40" s="548"/>
      <c r="G40" s="548"/>
      <c r="H40" s="548"/>
      <c r="I40" s="548"/>
      <c r="J40" s="548"/>
      <c r="K40" s="548"/>
      <c r="L40" s="548"/>
      <c r="M40" s="548"/>
      <c r="N40" s="548"/>
      <c r="O40" s="548"/>
      <c r="P40" s="548"/>
      <c r="Q40" s="548"/>
      <c r="R40" s="548"/>
      <c r="S40" s="548"/>
      <c r="T40" s="548"/>
      <c r="U40" s="548"/>
      <c r="V40" s="548"/>
      <c r="W40" s="548"/>
      <c r="X40" s="548"/>
      <c r="Y40" s="548"/>
      <c r="Z40" s="548"/>
      <c r="AA40" s="625">
        <v>220.54300000000001</v>
      </c>
      <c r="AB40" s="625">
        <v>222.79300000000001</v>
      </c>
      <c r="AC40" s="625">
        <v>222.64500000000001</v>
      </c>
      <c r="AD40" s="625">
        <v>224.29400000000001</v>
      </c>
      <c r="AE40" s="625">
        <v>227.53399999999999</v>
      </c>
      <c r="AF40" s="625">
        <v>229.57599999999999</v>
      </c>
      <c r="AG40" s="625">
        <v>228.33500000000001</v>
      </c>
      <c r="AH40" s="625">
        <v>234.63399999999999</v>
      </c>
      <c r="AI40" s="625">
        <v>327.20400000000001</v>
      </c>
      <c r="AJ40" s="625">
        <v>325.827</v>
      </c>
      <c r="AK40" s="625">
        <v>336.28100000000001</v>
      </c>
      <c r="AL40" s="625">
        <v>339.654</v>
      </c>
      <c r="AM40" s="548"/>
      <c r="AN40" s="548"/>
      <c r="AO40" s="548"/>
      <c r="AP40" s="548"/>
      <c r="AQ40" s="548"/>
      <c r="AR40" s="548"/>
      <c r="AS40" s="548"/>
      <c r="AT40" s="548"/>
      <c r="AU40" s="559"/>
      <c r="AV40" s="548"/>
      <c r="AW40" s="548"/>
      <c r="AX40" s="548"/>
      <c r="AY40" s="548"/>
      <c r="AZ40" s="688"/>
      <c r="BA40" s="688"/>
      <c r="BB40" s="688"/>
      <c r="BC40" s="688"/>
      <c r="BD40" s="688"/>
      <c r="BE40" s="688"/>
      <c r="BF40" s="688"/>
      <c r="BG40" s="688"/>
      <c r="BH40" s="688"/>
      <c r="BI40" s="688"/>
      <c r="BJ40" s="689">
        <f t="shared" ref="BJ40:BJ45" si="45">SUM(AA40,AB40,AC40,AD40)</f>
        <v>890.27499999999998</v>
      </c>
      <c r="BK40" s="689">
        <f t="shared" ref="BK40:BK45" si="46">SUM(AE40,AF40,AG40,AH40)</f>
        <v>920.07900000000006</v>
      </c>
      <c r="BL40" s="689">
        <f t="shared" ref="BL40:BL45" si="47">SUM(AI40,AJ40,AK40,AL40)</f>
        <v>1328.9659999999999</v>
      </c>
      <c r="BM40" s="688"/>
      <c r="BN40" s="702"/>
      <c r="BO40" s="688"/>
      <c r="BP40" s="688"/>
      <c r="BQ40" s="688"/>
      <c r="BR40" s="688"/>
      <c r="BS40" s="688"/>
      <c r="BT40" s="530"/>
    </row>
    <row r="41" spans="1:72" s="1" customFormat="1" outlineLevel="1" x14ac:dyDescent="0.35">
      <c r="A41" s="55" t="s">
        <v>553</v>
      </c>
      <c r="B41" s="350"/>
      <c r="C41" s="548"/>
      <c r="D41" s="548"/>
      <c r="E41" s="548"/>
      <c r="F41" s="548"/>
      <c r="G41" s="548"/>
      <c r="H41" s="548"/>
      <c r="I41" s="548"/>
      <c r="J41" s="548"/>
      <c r="K41" s="548"/>
      <c r="L41" s="548"/>
      <c r="M41" s="548"/>
      <c r="N41" s="548"/>
      <c r="O41" s="548"/>
      <c r="P41" s="548"/>
      <c r="Q41" s="548"/>
      <c r="R41" s="548"/>
      <c r="S41" s="548"/>
      <c r="T41" s="548"/>
      <c r="U41" s="548"/>
      <c r="V41" s="548"/>
      <c r="W41" s="548"/>
      <c r="X41" s="548"/>
      <c r="Y41" s="548"/>
      <c r="Z41" s="548"/>
      <c r="AA41" s="625">
        <v>8.2720000000000002</v>
      </c>
      <c r="AB41" s="625">
        <v>8.9710000000000001</v>
      </c>
      <c r="AC41" s="625">
        <v>9.3010000000000002</v>
      </c>
      <c r="AD41" s="625">
        <v>8.98</v>
      </c>
      <c r="AE41" s="625">
        <v>8.6590000000000007</v>
      </c>
      <c r="AF41" s="625">
        <v>8.6259999999999994</v>
      </c>
      <c r="AG41" s="625">
        <v>8.8789999999999996</v>
      </c>
      <c r="AH41" s="625">
        <v>8.609</v>
      </c>
      <c r="AI41" s="625">
        <v>8.4359999999999999</v>
      </c>
      <c r="AJ41" s="625">
        <v>12.532999999999999</v>
      </c>
      <c r="AK41" s="625">
        <v>12.241</v>
      </c>
      <c r="AL41" s="625">
        <v>12.117000000000001</v>
      </c>
      <c r="AM41" s="548"/>
      <c r="AN41" s="548"/>
      <c r="AO41" s="548"/>
      <c r="AP41" s="548"/>
      <c r="AQ41" s="548"/>
      <c r="AR41" s="548"/>
      <c r="AS41" s="548"/>
      <c r="AT41" s="548"/>
      <c r="AU41" s="559"/>
      <c r="AV41" s="548"/>
      <c r="AW41" s="548"/>
      <c r="AX41" s="548"/>
      <c r="AY41" s="548"/>
      <c r="AZ41" s="688"/>
      <c r="BA41" s="688"/>
      <c r="BB41" s="688"/>
      <c r="BC41" s="688"/>
      <c r="BD41" s="688"/>
      <c r="BE41" s="688"/>
      <c r="BF41" s="688"/>
      <c r="BG41" s="688"/>
      <c r="BH41" s="688"/>
      <c r="BI41" s="688"/>
      <c r="BJ41" s="689">
        <f t="shared" si="45"/>
        <v>35.524000000000001</v>
      </c>
      <c r="BK41" s="689">
        <f t="shared" si="46"/>
        <v>34.773000000000003</v>
      </c>
      <c r="BL41" s="689">
        <f t="shared" si="47"/>
        <v>45.326999999999998</v>
      </c>
      <c r="BM41" s="688"/>
      <c r="BN41" s="702"/>
      <c r="BO41" s="688"/>
      <c r="BP41" s="688"/>
      <c r="BQ41" s="688"/>
      <c r="BR41" s="688"/>
      <c r="BS41" s="688"/>
      <c r="BT41" s="530"/>
    </row>
    <row r="42" spans="1:72" s="1" customFormat="1" outlineLevel="1" x14ac:dyDescent="0.35">
      <c r="A42" s="55" t="s">
        <v>554</v>
      </c>
      <c r="B42" s="350"/>
      <c r="C42" s="548"/>
      <c r="D42" s="548"/>
      <c r="E42" s="548"/>
      <c r="F42" s="548"/>
      <c r="G42" s="548"/>
      <c r="H42" s="548"/>
      <c r="I42" s="548"/>
      <c r="J42" s="548"/>
      <c r="K42" s="548"/>
      <c r="L42" s="548"/>
      <c r="M42" s="548"/>
      <c r="N42" s="548"/>
      <c r="O42" s="548"/>
      <c r="P42" s="548"/>
      <c r="Q42" s="548"/>
      <c r="R42" s="548"/>
      <c r="S42" s="548"/>
      <c r="T42" s="548"/>
      <c r="U42" s="548"/>
      <c r="V42" s="548"/>
      <c r="W42" s="548"/>
      <c r="X42" s="548"/>
      <c r="Y42" s="548"/>
      <c r="Z42" s="548"/>
      <c r="AA42" s="625">
        <v>22.498999999999999</v>
      </c>
      <c r="AB42" s="625">
        <v>23.108000000000001</v>
      </c>
      <c r="AC42" s="625">
        <v>21.306000000000001</v>
      </c>
      <c r="AD42" s="625">
        <v>23.04</v>
      </c>
      <c r="AE42" s="625">
        <v>20.928000000000001</v>
      </c>
      <c r="AF42" s="625">
        <v>19.356999999999999</v>
      </c>
      <c r="AG42" s="625">
        <v>16.753</v>
      </c>
      <c r="AH42" s="625">
        <v>17.922000000000001</v>
      </c>
      <c r="AI42" s="625">
        <v>26.978999999999999</v>
      </c>
      <c r="AJ42" s="625">
        <v>27.004999999999999</v>
      </c>
      <c r="AK42" s="625">
        <v>26.164000000000001</v>
      </c>
      <c r="AL42" s="625">
        <v>26.532</v>
      </c>
      <c r="AM42" s="548"/>
      <c r="AN42" s="548"/>
      <c r="AO42" s="548"/>
      <c r="AP42" s="548"/>
      <c r="AQ42" s="548"/>
      <c r="AR42" s="548"/>
      <c r="AS42" s="548"/>
      <c r="AT42" s="548"/>
      <c r="AU42" s="559"/>
      <c r="AV42" s="548"/>
      <c r="AW42" s="548"/>
      <c r="AX42" s="548"/>
      <c r="AY42" s="548"/>
      <c r="AZ42" s="688"/>
      <c r="BA42" s="688"/>
      <c r="BB42" s="688"/>
      <c r="BC42" s="688"/>
      <c r="BD42" s="688"/>
      <c r="BE42" s="688"/>
      <c r="BF42" s="688"/>
      <c r="BG42" s="688"/>
      <c r="BH42" s="688"/>
      <c r="BI42" s="688"/>
      <c r="BJ42" s="689">
        <f t="shared" si="45"/>
        <v>89.953000000000003</v>
      </c>
      <c r="BK42" s="689">
        <f t="shared" si="46"/>
        <v>74.959999999999994</v>
      </c>
      <c r="BL42" s="689">
        <f t="shared" si="47"/>
        <v>106.67999999999999</v>
      </c>
      <c r="BM42" s="688"/>
      <c r="BN42" s="702"/>
      <c r="BO42" s="688"/>
      <c r="BP42" s="688"/>
      <c r="BQ42" s="688"/>
      <c r="BR42" s="688"/>
      <c r="BS42" s="688"/>
      <c r="BT42" s="530"/>
    </row>
    <row r="43" spans="1:72" s="17" customFormat="1" outlineLevel="1" x14ac:dyDescent="0.35">
      <c r="A43" s="208" t="s">
        <v>455</v>
      </c>
      <c r="B43" s="351"/>
      <c r="C43" s="528"/>
      <c r="D43" s="528"/>
      <c r="E43" s="528"/>
      <c r="F43" s="528"/>
      <c r="G43" s="528"/>
      <c r="H43" s="528"/>
      <c r="I43" s="528"/>
      <c r="J43" s="528"/>
      <c r="K43" s="528"/>
      <c r="L43" s="528"/>
      <c r="M43" s="528"/>
      <c r="N43" s="528"/>
      <c r="O43" s="528"/>
      <c r="P43" s="528"/>
      <c r="Q43" s="528"/>
      <c r="R43" s="528"/>
      <c r="S43" s="528"/>
      <c r="T43" s="528"/>
      <c r="U43" s="528"/>
      <c r="V43" s="528"/>
      <c r="W43" s="528"/>
      <c r="X43" s="528"/>
      <c r="Y43" s="528"/>
      <c r="Z43" s="528"/>
      <c r="AA43" s="551">
        <f t="shared" ref="AA43:AL43" si="48">-AA49</f>
        <v>-12.798999999999999</v>
      </c>
      <c r="AB43" s="551">
        <f t="shared" si="48"/>
        <v>-12.297000000000001</v>
      </c>
      <c r="AC43" s="551">
        <f t="shared" si="48"/>
        <v>-12.016</v>
      </c>
      <c r="AD43" s="551">
        <f t="shared" si="48"/>
        <v>-12.709</v>
      </c>
      <c r="AE43" s="551">
        <f t="shared" si="48"/>
        <v>-23.422999999999998</v>
      </c>
      <c r="AF43" s="551">
        <f t="shared" si="48"/>
        <v>-24.356000000000002</v>
      </c>
      <c r="AG43" s="551">
        <f t="shared" si="48"/>
        <v>-20.585999999999999</v>
      </c>
      <c r="AH43" s="551">
        <f t="shared" si="48"/>
        <v>-26.498000000000001</v>
      </c>
      <c r="AI43" s="551">
        <f t="shared" si="48"/>
        <v>-47.993000000000002</v>
      </c>
      <c r="AJ43" s="551">
        <f t="shared" si="48"/>
        <v>-50.228000000000002</v>
      </c>
      <c r="AK43" s="551">
        <f t="shared" si="48"/>
        <v>-51.177999999999997</v>
      </c>
      <c r="AL43" s="551">
        <f t="shared" si="48"/>
        <v>-47.027999999999999</v>
      </c>
      <c r="AM43" s="528"/>
      <c r="AN43" s="528"/>
      <c r="AO43" s="528"/>
      <c r="AP43" s="528"/>
      <c r="AQ43" s="528"/>
      <c r="AR43" s="528"/>
      <c r="AS43" s="528"/>
      <c r="AT43" s="528"/>
      <c r="AU43" s="560"/>
      <c r="AV43" s="528"/>
      <c r="AW43" s="528"/>
      <c r="AX43" s="528"/>
      <c r="AY43" s="528"/>
      <c r="AZ43" s="692"/>
      <c r="BA43" s="692"/>
      <c r="BB43" s="692"/>
      <c r="BC43" s="692"/>
      <c r="BD43" s="692"/>
      <c r="BE43" s="692"/>
      <c r="BF43" s="692"/>
      <c r="BG43" s="692"/>
      <c r="BH43" s="692"/>
      <c r="BI43" s="692"/>
      <c r="BJ43" s="693">
        <f t="shared" si="45"/>
        <v>-49.820999999999998</v>
      </c>
      <c r="BK43" s="693">
        <f t="shared" si="46"/>
        <v>-94.863</v>
      </c>
      <c r="BL43" s="693">
        <f t="shared" si="47"/>
        <v>-196.42699999999999</v>
      </c>
      <c r="BM43" s="692"/>
      <c r="BN43" s="712"/>
      <c r="BO43" s="692"/>
      <c r="BP43" s="692"/>
      <c r="BQ43" s="692"/>
      <c r="BR43" s="692"/>
      <c r="BS43" s="692"/>
      <c r="BT43" s="533"/>
    </row>
    <row r="44" spans="1:72" s="17" customFormat="1" outlineLevel="1" x14ac:dyDescent="0.35">
      <c r="A44" s="208" t="s">
        <v>456</v>
      </c>
      <c r="B44" s="351"/>
      <c r="C44" s="528"/>
      <c r="D44" s="528"/>
      <c r="E44" s="528"/>
      <c r="F44" s="528"/>
      <c r="G44" s="528"/>
      <c r="H44" s="528"/>
      <c r="I44" s="528"/>
      <c r="J44" s="528"/>
      <c r="K44" s="528"/>
      <c r="L44" s="528"/>
      <c r="M44" s="528"/>
      <c r="N44" s="528"/>
      <c r="O44" s="528"/>
      <c r="P44" s="528"/>
      <c r="Q44" s="528"/>
      <c r="R44" s="528"/>
      <c r="S44" s="528"/>
      <c r="T44" s="528"/>
      <c r="U44" s="528"/>
      <c r="V44" s="528"/>
      <c r="W44" s="528"/>
      <c r="X44" s="528"/>
      <c r="Y44" s="528"/>
      <c r="Z44" s="528"/>
      <c r="AA44" s="551">
        <f t="shared" ref="AA44:AL44" si="49">-AA50</f>
        <v>0</v>
      </c>
      <c r="AB44" s="551">
        <f t="shared" si="49"/>
        <v>0</v>
      </c>
      <c r="AC44" s="551">
        <f t="shared" si="49"/>
        <v>0</v>
      </c>
      <c r="AD44" s="551">
        <f t="shared" si="49"/>
        <v>0</v>
      </c>
      <c r="AE44" s="551">
        <f t="shared" si="49"/>
        <v>-0.108</v>
      </c>
      <c r="AF44" s="551">
        <f t="shared" si="49"/>
        <v>-0.48099999999999998</v>
      </c>
      <c r="AG44" s="551">
        <f t="shared" si="49"/>
        <v>-8.2000000000000003E-2</v>
      </c>
      <c r="AH44" s="551">
        <f t="shared" si="49"/>
        <v>-1E-3</v>
      </c>
      <c r="AI44" s="551">
        <f t="shared" si="49"/>
        <v>-0.56499999999999995</v>
      </c>
      <c r="AJ44" s="551">
        <f t="shared" si="49"/>
        <v>-0.47699999999999998</v>
      </c>
      <c r="AK44" s="551">
        <f t="shared" si="49"/>
        <v>-0.54100000000000004</v>
      </c>
      <c r="AL44" s="551">
        <f t="shared" si="49"/>
        <v>-0.58199999999999996</v>
      </c>
      <c r="AM44" s="528"/>
      <c r="AN44" s="528"/>
      <c r="AO44" s="528"/>
      <c r="AP44" s="528"/>
      <c r="AQ44" s="528"/>
      <c r="AR44" s="528"/>
      <c r="AS44" s="528"/>
      <c r="AT44" s="528"/>
      <c r="AU44" s="560"/>
      <c r="AV44" s="528"/>
      <c r="AW44" s="528"/>
      <c r="AX44" s="528"/>
      <c r="AY44" s="528"/>
      <c r="AZ44" s="692"/>
      <c r="BA44" s="692"/>
      <c r="BB44" s="692"/>
      <c r="BC44" s="692"/>
      <c r="BD44" s="692"/>
      <c r="BE44" s="692"/>
      <c r="BF44" s="692"/>
      <c r="BG44" s="692"/>
      <c r="BH44" s="692"/>
      <c r="BI44" s="692"/>
      <c r="BJ44" s="693">
        <f t="shared" si="45"/>
        <v>0</v>
      </c>
      <c r="BK44" s="693">
        <f t="shared" si="46"/>
        <v>-0.67199999999999993</v>
      </c>
      <c r="BL44" s="693">
        <f t="shared" si="47"/>
        <v>-2.1649999999999996</v>
      </c>
      <c r="BM44" s="692"/>
      <c r="BN44" s="712"/>
      <c r="BO44" s="692"/>
      <c r="BP44" s="692"/>
      <c r="BQ44" s="692"/>
      <c r="BR44" s="692"/>
      <c r="BS44" s="692"/>
      <c r="BT44" s="533"/>
    </row>
    <row r="45" spans="1:72" s="17" customFormat="1" outlineLevel="1" x14ac:dyDescent="0.35">
      <c r="A45" s="208" t="s">
        <v>457</v>
      </c>
      <c r="B45" s="351"/>
      <c r="C45" s="528"/>
      <c r="D45" s="528"/>
      <c r="E45" s="528"/>
      <c r="F45" s="528"/>
      <c r="G45" s="528"/>
      <c r="H45" s="528"/>
      <c r="I45" s="528"/>
      <c r="J45" s="528"/>
      <c r="K45" s="528"/>
      <c r="L45" s="528"/>
      <c r="M45" s="528"/>
      <c r="N45" s="528"/>
      <c r="O45" s="528"/>
      <c r="P45" s="528"/>
      <c r="Q45" s="528"/>
      <c r="R45" s="528"/>
      <c r="S45" s="528"/>
      <c r="T45" s="528"/>
      <c r="U45" s="528"/>
      <c r="V45" s="528"/>
      <c r="W45" s="528"/>
      <c r="X45" s="528"/>
      <c r="Y45" s="528"/>
      <c r="Z45" s="528"/>
      <c r="AA45" s="551">
        <f t="shared" ref="AA45:AL45" si="50">-AA51</f>
        <v>0</v>
      </c>
      <c r="AB45" s="551">
        <f t="shared" si="50"/>
        <v>0</v>
      </c>
      <c r="AC45" s="551">
        <f t="shared" si="50"/>
        <v>0</v>
      </c>
      <c r="AD45" s="551">
        <f t="shared" si="50"/>
        <v>0</v>
      </c>
      <c r="AE45" s="551">
        <f t="shared" si="50"/>
        <v>-2.4E-2</v>
      </c>
      <c r="AF45" s="551">
        <f t="shared" si="50"/>
        <v>-0.10299999999999999</v>
      </c>
      <c r="AG45" s="551">
        <f t="shared" si="50"/>
        <v>-0.152</v>
      </c>
      <c r="AH45" s="551">
        <f t="shared" si="50"/>
        <v>-0.19</v>
      </c>
      <c r="AI45" s="551">
        <f t="shared" si="50"/>
        <v>-0.21299999999999999</v>
      </c>
      <c r="AJ45" s="551">
        <f t="shared" si="50"/>
        <v>-0.67100000000000004</v>
      </c>
      <c r="AK45" s="551">
        <f t="shared" si="50"/>
        <v>-0.66300000000000003</v>
      </c>
      <c r="AL45" s="551">
        <f t="shared" si="50"/>
        <v>-0.63500000000000001</v>
      </c>
      <c r="AM45" s="528"/>
      <c r="AN45" s="528"/>
      <c r="AO45" s="528"/>
      <c r="AP45" s="528"/>
      <c r="AQ45" s="528"/>
      <c r="AR45" s="528"/>
      <c r="AS45" s="528"/>
      <c r="AT45" s="528"/>
      <c r="AU45" s="560"/>
      <c r="AV45" s="528"/>
      <c r="AW45" s="528"/>
      <c r="AX45" s="528"/>
      <c r="AY45" s="528"/>
      <c r="AZ45" s="692"/>
      <c r="BA45" s="692"/>
      <c r="BB45" s="692"/>
      <c r="BC45" s="692"/>
      <c r="BD45" s="692"/>
      <c r="BE45" s="692"/>
      <c r="BF45" s="692"/>
      <c r="BG45" s="692"/>
      <c r="BH45" s="692"/>
      <c r="BI45" s="692"/>
      <c r="BJ45" s="693">
        <f t="shared" si="45"/>
        <v>0</v>
      </c>
      <c r="BK45" s="693">
        <f t="shared" si="46"/>
        <v>-0.46900000000000003</v>
      </c>
      <c r="BL45" s="693">
        <f t="shared" si="47"/>
        <v>-2.1820000000000004</v>
      </c>
      <c r="BM45" s="692"/>
      <c r="BN45" s="712"/>
      <c r="BO45" s="692"/>
      <c r="BP45" s="692"/>
      <c r="BQ45" s="692"/>
      <c r="BR45" s="692"/>
      <c r="BS45" s="692"/>
      <c r="BT45" s="533"/>
    </row>
    <row r="46" spans="1:72" s="1" customFormat="1" outlineLevel="1" x14ac:dyDescent="0.35">
      <c r="A46" s="47" t="s">
        <v>555</v>
      </c>
      <c r="B46" s="353"/>
      <c r="C46" s="556"/>
      <c r="D46" s="556"/>
      <c r="E46" s="556"/>
      <c r="F46" s="556"/>
      <c r="G46" s="556"/>
      <c r="H46" s="556"/>
      <c r="I46" s="556"/>
      <c r="J46" s="556"/>
      <c r="K46" s="556"/>
      <c r="L46" s="556"/>
      <c r="M46" s="556"/>
      <c r="N46" s="556"/>
      <c r="O46" s="556"/>
      <c r="P46" s="556"/>
      <c r="Q46" s="556"/>
      <c r="R46" s="556"/>
      <c r="S46" s="556"/>
      <c r="T46" s="556"/>
      <c r="U46" s="556"/>
      <c r="V46" s="556"/>
      <c r="W46" s="556"/>
      <c r="X46" s="556"/>
      <c r="Y46" s="556"/>
      <c r="Z46" s="556"/>
      <c r="AA46" s="557">
        <f t="shared" ref="AA46:AL46" si="51">SUM(AA40:AA45)</f>
        <v>238.51499999999999</v>
      </c>
      <c r="AB46" s="557">
        <f t="shared" si="51"/>
        <v>242.57500000000002</v>
      </c>
      <c r="AC46" s="557">
        <f t="shared" si="51"/>
        <v>241.23600000000002</v>
      </c>
      <c r="AD46" s="557">
        <f t="shared" si="51"/>
        <v>243.60500000000002</v>
      </c>
      <c r="AE46" s="557">
        <f t="shared" si="51"/>
        <v>233.56599999999997</v>
      </c>
      <c r="AF46" s="557">
        <f t="shared" si="51"/>
        <v>232.61899999999997</v>
      </c>
      <c r="AG46" s="557">
        <f t="shared" si="51"/>
        <v>233.14699999999999</v>
      </c>
      <c r="AH46" s="557">
        <f t="shared" si="51"/>
        <v>234.47600000000003</v>
      </c>
      <c r="AI46" s="557">
        <f t="shared" si="51"/>
        <v>313.84799999999996</v>
      </c>
      <c r="AJ46" s="557">
        <f t="shared" si="51"/>
        <v>313.98900000000003</v>
      </c>
      <c r="AK46" s="557">
        <f t="shared" si="51"/>
        <v>322.30399999999997</v>
      </c>
      <c r="AL46" s="557">
        <f t="shared" si="51"/>
        <v>330.05799999999999</v>
      </c>
      <c r="AM46" s="556"/>
      <c r="AN46" s="556"/>
      <c r="AO46" s="556"/>
      <c r="AP46" s="556"/>
      <c r="AQ46" s="556"/>
      <c r="AR46" s="556"/>
      <c r="AS46" s="556"/>
      <c r="AT46" s="556"/>
      <c r="AU46" s="561"/>
      <c r="AV46" s="556"/>
      <c r="AW46" s="556"/>
      <c r="AX46" s="556"/>
      <c r="AY46" s="556"/>
      <c r="AZ46" s="699"/>
      <c r="BA46" s="699"/>
      <c r="BB46" s="699"/>
      <c r="BC46" s="699"/>
      <c r="BD46" s="699"/>
      <c r="BE46" s="699"/>
      <c r="BF46" s="699"/>
      <c r="BG46" s="699"/>
      <c r="BH46" s="699"/>
      <c r="BI46" s="699"/>
      <c r="BJ46" s="700">
        <f>SUM(BJ40:BJ45)</f>
        <v>965.93099999999993</v>
      </c>
      <c r="BK46" s="700">
        <f>SUM(BK40:BK45)</f>
        <v>933.80799999999999</v>
      </c>
      <c r="BL46" s="700">
        <f>SUM(BL40:BL45)</f>
        <v>1280.1990000000001</v>
      </c>
      <c r="BM46" s="699"/>
      <c r="BN46" s="713"/>
      <c r="BO46" s="699"/>
      <c r="BP46" s="699"/>
      <c r="BQ46" s="699"/>
      <c r="BR46" s="699"/>
      <c r="BS46" s="699"/>
      <c r="BT46" s="530"/>
    </row>
    <row r="47" spans="1:72" s="1" customFormat="1" x14ac:dyDescent="0.35">
      <c r="A47" s="354"/>
      <c r="B47" s="350"/>
      <c r="C47" s="548"/>
      <c r="D47" s="548"/>
      <c r="E47" s="548"/>
      <c r="F47" s="548"/>
      <c r="G47" s="548"/>
      <c r="H47" s="548"/>
      <c r="I47" s="548"/>
      <c r="J47" s="548"/>
      <c r="K47" s="548"/>
      <c r="L47" s="548"/>
      <c r="M47" s="548"/>
      <c r="N47" s="548"/>
      <c r="O47" s="548"/>
      <c r="P47" s="548"/>
      <c r="Q47" s="548"/>
      <c r="R47" s="548"/>
      <c r="S47" s="548"/>
      <c r="T47" s="548"/>
      <c r="U47" s="548"/>
      <c r="V47" s="548"/>
      <c r="W47" s="548"/>
      <c r="X47" s="548"/>
      <c r="Y47" s="548"/>
      <c r="Z47" s="548"/>
      <c r="AA47" s="548"/>
      <c r="AB47" s="548"/>
      <c r="AC47" s="548"/>
      <c r="AD47" s="548"/>
      <c r="AE47" s="548"/>
      <c r="AF47" s="548"/>
      <c r="AG47" s="548"/>
      <c r="AH47" s="548"/>
      <c r="AI47" s="548"/>
      <c r="AJ47" s="548"/>
      <c r="AK47" s="548"/>
      <c r="AL47" s="548"/>
      <c r="AM47" s="548"/>
      <c r="AN47" s="548"/>
      <c r="AO47" s="548"/>
      <c r="AP47" s="548"/>
      <c r="AQ47" s="548"/>
      <c r="AR47" s="548"/>
      <c r="AS47" s="548"/>
      <c r="AT47" s="548"/>
      <c r="AU47" s="559"/>
      <c r="AV47" s="548"/>
      <c r="AW47" s="548"/>
      <c r="AX47" s="548"/>
      <c r="AY47" s="548"/>
      <c r="AZ47" s="688"/>
      <c r="BA47" s="688"/>
      <c r="BB47" s="688"/>
      <c r="BC47" s="688"/>
      <c r="BD47" s="688"/>
      <c r="BE47" s="688"/>
      <c r="BF47" s="688"/>
      <c r="BG47" s="688"/>
      <c r="BH47" s="688"/>
      <c r="BI47" s="688"/>
      <c r="BJ47" s="688"/>
      <c r="BK47" s="688"/>
      <c r="BL47" s="688"/>
      <c r="BM47" s="688"/>
      <c r="BN47" s="702"/>
      <c r="BO47" s="688"/>
      <c r="BP47" s="688"/>
      <c r="BQ47" s="688"/>
      <c r="BR47" s="688"/>
      <c r="BS47" s="688"/>
      <c r="BT47" s="530"/>
    </row>
    <row r="48" spans="1:72" s="1" customFormat="1" x14ac:dyDescent="0.35">
      <c r="A48" s="527" t="s">
        <v>450</v>
      </c>
      <c r="B48" s="527"/>
      <c r="C48" s="527"/>
      <c r="D48" s="527"/>
      <c r="E48" s="527"/>
      <c r="F48" s="527"/>
      <c r="G48" s="527"/>
      <c r="H48" s="527"/>
      <c r="I48" s="527"/>
      <c r="J48" s="527"/>
      <c r="K48" s="527"/>
      <c r="L48" s="527"/>
      <c r="M48" s="527"/>
      <c r="N48" s="527"/>
      <c r="O48" s="527"/>
      <c r="P48" s="527"/>
      <c r="Q48" s="527"/>
      <c r="R48" s="527"/>
      <c r="S48" s="527"/>
      <c r="T48" s="527"/>
      <c r="U48" s="527"/>
      <c r="V48" s="527"/>
      <c r="W48" s="527"/>
      <c r="X48" s="527"/>
      <c r="Y48" s="527"/>
      <c r="Z48" s="527"/>
      <c r="AA48" s="527"/>
      <c r="AB48" s="527"/>
      <c r="AC48" s="527"/>
      <c r="AD48" s="527"/>
      <c r="AE48" s="527"/>
      <c r="AF48" s="527"/>
      <c r="AG48" s="527"/>
      <c r="AH48" s="527"/>
      <c r="AI48" s="527"/>
      <c r="AJ48" s="527"/>
      <c r="AK48" s="527"/>
      <c r="AL48" s="527"/>
      <c r="AM48" s="527"/>
      <c r="AN48" s="527"/>
      <c r="AO48" s="527"/>
      <c r="AP48" s="527"/>
      <c r="AQ48" s="527"/>
      <c r="AR48" s="527"/>
      <c r="AS48" s="527"/>
      <c r="AT48" s="527"/>
      <c r="AU48" s="547"/>
      <c r="AV48" s="527"/>
      <c r="AW48" s="527"/>
      <c r="AX48" s="527"/>
      <c r="AY48" s="527"/>
      <c r="AZ48" s="527"/>
      <c r="BA48" s="527"/>
      <c r="BB48" s="527"/>
      <c r="BC48" s="527"/>
      <c r="BD48" s="527"/>
      <c r="BE48" s="527"/>
      <c r="BF48" s="527"/>
      <c r="BG48" s="527"/>
      <c r="BH48" s="527"/>
      <c r="BI48" s="527"/>
      <c r="BJ48" s="527"/>
      <c r="BK48" s="527"/>
      <c r="BL48" s="527"/>
      <c r="BM48" s="527"/>
      <c r="BN48" s="547"/>
      <c r="BO48" s="527"/>
      <c r="BP48" s="527"/>
      <c r="BQ48" s="527"/>
      <c r="BR48" s="527"/>
      <c r="BS48" s="527"/>
      <c r="BT48" s="530"/>
    </row>
    <row r="49" spans="1:72" s="17" customFormat="1" outlineLevel="1" x14ac:dyDescent="0.35">
      <c r="A49" s="208" t="s">
        <v>451</v>
      </c>
      <c r="B49" s="351"/>
      <c r="C49" s="528"/>
      <c r="D49" s="528"/>
      <c r="E49" s="528"/>
      <c r="F49" s="528"/>
      <c r="G49" s="528"/>
      <c r="H49" s="528"/>
      <c r="I49" s="528"/>
      <c r="J49" s="528"/>
      <c r="K49" s="528"/>
      <c r="L49" s="528"/>
      <c r="M49" s="528"/>
      <c r="N49" s="528"/>
      <c r="O49" s="528"/>
      <c r="P49" s="528"/>
      <c r="Q49" s="528"/>
      <c r="R49" s="528"/>
      <c r="S49" s="528"/>
      <c r="T49" s="528"/>
      <c r="U49" s="528"/>
      <c r="V49" s="528"/>
      <c r="W49" s="528"/>
      <c r="X49" s="528"/>
      <c r="Y49" s="528"/>
      <c r="Z49" s="528"/>
      <c r="AA49" s="627">
        <v>12.798999999999999</v>
      </c>
      <c r="AB49" s="627">
        <v>12.297000000000001</v>
      </c>
      <c r="AC49" s="627">
        <v>12.016</v>
      </c>
      <c r="AD49" s="627">
        <v>12.709</v>
      </c>
      <c r="AE49" s="627">
        <v>23.422999999999998</v>
      </c>
      <c r="AF49" s="627">
        <v>24.356000000000002</v>
      </c>
      <c r="AG49" s="627">
        <v>20.585999999999999</v>
      </c>
      <c r="AH49" s="627">
        <v>26.498000000000001</v>
      </c>
      <c r="AI49" s="627">
        <v>47.993000000000002</v>
      </c>
      <c r="AJ49" s="627">
        <v>50.228000000000002</v>
      </c>
      <c r="AK49" s="627">
        <v>51.177999999999997</v>
      </c>
      <c r="AL49" s="627">
        <v>47.027999999999999</v>
      </c>
      <c r="AM49" s="528"/>
      <c r="AN49" s="528"/>
      <c r="AO49" s="528"/>
      <c r="AP49" s="528"/>
      <c r="AQ49" s="528"/>
      <c r="AR49" s="528"/>
      <c r="AS49" s="528"/>
      <c r="AT49" s="528"/>
      <c r="AU49" s="560"/>
      <c r="AV49" s="528"/>
      <c r="AW49" s="528"/>
      <c r="AX49" s="528"/>
      <c r="AY49" s="528"/>
      <c r="AZ49" s="692"/>
      <c r="BA49" s="692"/>
      <c r="BB49" s="692"/>
      <c r="BC49" s="692"/>
      <c r="BD49" s="692"/>
      <c r="BE49" s="692"/>
      <c r="BF49" s="692"/>
      <c r="BG49" s="692"/>
      <c r="BH49" s="692"/>
      <c r="BI49" s="692"/>
      <c r="BJ49" s="693">
        <f>SUM(AA49,AB49,AC49,AD49)</f>
        <v>49.820999999999998</v>
      </c>
      <c r="BK49" s="693">
        <f>SUM(AE49,AF49,AG49,AH49)</f>
        <v>94.863</v>
      </c>
      <c r="BL49" s="693">
        <f>SUM(AI49,AJ49,AK49,AL49)</f>
        <v>196.42699999999999</v>
      </c>
      <c r="BM49" s="692"/>
      <c r="BN49" s="712"/>
      <c r="BO49" s="692"/>
      <c r="BP49" s="692"/>
      <c r="BQ49" s="692"/>
      <c r="BR49" s="692"/>
      <c r="BS49" s="692"/>
      <c r="BT49" s="533"/>
    </row>
    <row r="50" spans="1:72" s="17" customFormat="1" outlineLevel="1" x14ac:dyDescent="0.35">
      <c r="A50" s="208" t="s">
        <v>453</v>
      </c>
      <c r="B50" s="351"/>
      <c r="C50" s="528"/>
      <c r="D50" s="528"/>
      <c r="E50" s="528"/>
      <c r="F50" s="528"/>
      <c r="G50" s="528"/>
      <c r="H50" s="528"/>
      <c r="I50" s="528"/>
      <c r="J50" s="528"/>
      <c r="K50" s="528"/>
      <c r="L50" s="528"/>
      <c r="M50" s="528"/>
      <c r="N50" s="528"/>
      <c r="O50" s="528"/>
      <c r="P50" s="528"/>
      <c r="Q50" s="528"/>
      <c r="R50" s="528"/>
      <c r="S50" s="528"/>
      <c r="T50" s="528"/>
      <c r="U50" s="528"/>
      <c r="V50" s="528"/>
      <c r="W50" s="528"/>
      <c r="X50" s="528"/>
      <c r="Y50" s="528"/>
      <c r="Z50" s="528"/>
      <c r="AA50" s="528"/>
      <c r="AB50" s="528"/>
      <c r="AC50" s="528"/>
      <c r="AD50" s="528"/>
      <c r="AE50" s="627">
        <v>0.108</v>
      </c>
      <c r="AF50" s="627">
        <v>0.48099999999999998</v>
      </c>
      <c r="AG50" s="627">
        <v>8.2000000000000003E-2</v>
      </c>
      <c r="AH50" s="627">
        <v>1E-3</v>
      </c>
      <c r="AI50" s="627">
        <v>0.56499999999999995</v>
      </c>
      <c r="AJ50" s="627">
        <v>0.47699999999999998</v>
      </c>
      <c r="AK50" s="627">
        <v>0.54100000000000004</v>
      </c>
      <c r="AL50" s="627">
        <v>0.58199999999999996</v>
      </c>
      <c r="AM50" s="528"/>
      <c r="AN50" s="528"/>
      <c r="AO50" s="528"/>
      <c r="AP50" s="528"/>
      <c r="AQ50" s="528"/>
      <c r="AR50" s="528"/>
      <c r="AS50" s="528"/>
      <c r="AT50" s="528"/>
      <c r="AU50" s="560"/>
      <c r="AV50" s="528"/>
      <c r="AW50" s="528"/>
      <c r="AX50" s="528"/>
      <c r="AY50" s="528"/>
      <c r="AZ50" s="692"/>
      <c r="BA50" s="692"/>
      <c r="BB50" s="692"/>
      <c r="BC50" s="692"/>
      <c r="BD50" s="692"/>
      <c r="BE50" s="692"/>
      <c r="BF50" s="692"/>
      <c r="BG50" s="692"/>
      <c r="BH50" s="692"/>
      <c r="BI50" s="692"/>
      <c r="BJ50" s="692"/>
      <c r="BK50" s="693">
        <f>SUM(AE50,AF50,AG50,AH50)</f>
        <v>0.67199999999999993</v>
      </c>
      <c r="BL50" s="693">
        <f>SUM(AI50,AJ50,AK50,AL50)</f>
        <v>2.1649999999999996</v>
      </c>
      <c r="BM50" s="692"/>
      <c r="BN50" s="712"/>
      <c r="BO50" s="692"/>
      <c r="BP50" s="692"/>
      <c r="BQ50" s="692"/>
      <c r="BR50" s="692"/>
      <c r="BS50" s="692"/>
      <c r="BT50" s="533"/>
    </row>
    <row r="51" spans="1:72" s="17" customFormat="1" outlineLevel="1" x14ac:dyDescent="0.35">
      <c r="A51" s="208" t="s">
        <v>452</v>
      </c>
      <c r="B51" s="351"/>
      <c r="C51" s="528"/>
      <c r="D51" s="528"/>
      <c r="E51" s="528"/>
      <c r="F51" s="528"/>
      <c r="G51" s="528"/>
      <c r="H51" s="528"/>
      <c r="I51" s="528"/>
      <c r="J51" s="528"/>
      <c r="K51" s="528"/>
      <c r="L51" s="528"/>
      <c r="M51" s="528"/>
      <c r="N51" s="528"/>
      <c r="O51" s="528"/>
      <c r="P51" s="528"/>
      <c r="Q51" s="528"/>
      <c r="R51" s="528"/>
      <c r="S51" s="528"/>
      <c r="T51" s="528"/>
      <c r="U51" s="528"/>
      <c r="V51" s="528"/>
      <c r="W51" s="528"/>
      <c r="X51" s="528"/>
      <c r="Y51" s="528"/>
      <c r="Z51" s="528"/>
      <c r="AA51" s="528"/>
      <c r="AB51" s="528"/>
      <c r="AC51" s="528"/>
      <c r="AD51" s="528"/>
      <c r="AE51" s="627">
        <v>2.4E-2</v>
      </c>
      <c r="AF51" s="627">
        <v>0.10299999999999999</v>
      </c>
      <c r="AG51" s="627">
        <v>0.152</v>
      </c>
      <c r="AH51" s="627">
        <v>0.19</v>
      </c>
      <c r="AI51" s="627">
        <v>0.21299999999999999</v>
      </c>
      <c r="AJ51" s="627">
        <v>0.67100000000000004</v>
      </c>
      <c r="AK51" s="627">
        <v>0.66300000000000003</v>
      </c>
      <c r="AL51" s="627">
        <v>0.63500000000000001</v>
      </c>
      <c r="AM51" s="528"/>
      <c r="AN51" s="528"/>
      <c r="AO51" s="528"/>
      <c r="AP51" s="528"/>
      <c r="AQ51" s="528"/>
      <c r="AR51" s="528"/>
      <c r="AS51" s="528"/>
      <c r="AT51" s="528"/>
      <c r="AU51" s="560"/>
      <c r="AV51" s="528"/>
      <c r="AW51" s="528"/>
      <c r="AX51" s="528"/>
      <c r="AY51" s="528"/>
      <c r="AZ51" s="692"/>
      <c r="BA51" s="692"/>
      <c r="BB51" s="692"/>
      <c r="BC51" s="692"/>
      <c r="BD51" s="692"/>
      <c r="BE51" s="692"/>
      <c r="BF51" s="692"/>
      <c r="BG51" s="692"/>
      <c r="BH51" s="692"/>
      <c r="BI51" s="692"/>
      <c r="BJ51" s="692"/>
      <c r="BK51" s="693">
        <f>SUM(AE51,AF51,AG51,AH51)</f>
        <v>0.46900000000000003</v>
      </c>
      <c r="BL51" s="693">
        <f>SUM(AI51,AJ51,AK51,AL51)</f>
        <v>2.1820000000000004</v>
      </c>
      <c r="BM51" s="692"/>
      <c r="BN51" s="712"/>
      <c r="BO51" s="692"/>
      <c r="BP51" s="692"/>
      <c r="BQ51" s="692"/>
      <c r="BR51" s="692"/>
      <c r="BS51" s="692"/>
      <c r="BT51" s="533"/>
    </row>
    <row r="52" spans="1:72" s="17" customFormat="1" outlineLevel="1" x14ac:dyDescent="0.35">
      <c r="A52" s="208" t="s">
        <v>454</v>
      </c>
      <c r="B52" s="351"/>
      <c r="C52" s="528"/>
      <c r="D52" s="528"/>
      <c r="E52" s="528"/>
      <c r="F52" s="528"/>
      <c r="G52" s="528"/>
      <c r="H52" s="528"/>
      <c r="I52" s="528"/>
      <c r="J52" s="528"/>
      <c r="K52" s="528"/>
      <c r="L52" s="528"/>
      <c r="M52" s="528"/>
      <c r="N52" s="528"/>
      <c r="O52" s="528"/>
      <c r="P52" s="528"/>
      <c r="Q52" s="528"/>
      <c r="R52" s="528"/>
      <c r="S52" s="528"/>
      <c r="T52" s="528"/>
      <c r="U52" s="528"/>
      <c r="V52" s="528"/>
      <c r="W52" s="528"/>
      <c r="X52" s="528"/>
      <c r="Y52" s="528"/>
      <c r="Z52" s="528"/>
      <c r="AA52" s="528"/>
      <c r="AB52" s="528"/>
      <c r="AC52" s="528"/>
      <c r="AD52" s="528"/>
      <c r="AE52" s="528"/>
      <c r="AF52" s="528"/>
      <c r="AG52" s="627">
        <v>3.1869999999999998</v>
      </c>
      <c r="AH52" s="627">
        <v>7.766</v>
      </c>
      <c r="AI52" s="627">
        <v>8.3409999999999993</v>
      </c>
      <c r="AJ52" s="627">
        <v>10.78</v>
      </c>
      <c r="AK52" s="627">
        <v>17.459</v>
      </c>
      <c r="AL52" s="627">
        <v>19.207000000000001</v>
      </c>
      <c r="AM52" s="528"/>
      <c r="AN52" s="528"/>
      <c r="AO52" s="528"/>
      <c r="AP52" s="528"/>
      <c r="AQ52" s="528"/>
      <c r="AR52" s="528"/>
      <c r="AS52" s="528"/>
      <c r="AT52" s="528"/>
      <c r="AU52" s="560"/>
      <c r="AV52" s="528"/>
      <c r="AW52" s="528"/>
      <c r="AX52" s="528"/>
      <c r="AY52" s="528"/>
      <c r="AZ52" s="692"/>
      <c r="BA52" s="692"/>
      <c r="BB52" s="692"/>
      <c r="BC52" s="692"/>
      <c r="BD52" s="692"/>
      <c r="BE52" s="692"/>
      <c r="BF52" s="692"/>
      <c r="BG52" s="692"/>
      <c r="BH52" s="692"/>
      <c r="BI52" s="692"/>
      <c r="BJ52" s="692"/>
      <c r="BK52" s="693">
        <f>SUM(AE52,AF52,AG52,AH52)</f>
        <v>10.952999999999999</v>
      </c>
      <c r="BL52" s="693">
        <f>SUM(AI52,AJ52,AK52,AL52)</f>
        <v>55.786999999999999</v>
      </c>
      <c r="BM52" s="692"/>
      <c r="BN52" s="712"/>
      <c r="BO52" s="692"/>
      <c r="BP52" s="692"/>
      <c r="BQ52" s="692"/>
      <c r="BR52" s="692"/>
      <c r="BS52" s="692"/>
      <c r="BT52" s="533"/>
    </row>
    <row r="53" spans="1:72" s="1" customFormat="1" outlineLevel="1" x14ac:dyDescent="0.35">
      <c r="A53" s="47" t="s">
        <v>496</v>
      </c>
      <c r="B53" s="353"/>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7">
        <f t="shared" ref="AA53:AL53" si="52">SUM(AA49:AA52)</f>
        <v>12.798999999999999</v>
      </c>
      <c r="AB53" s="557">
        <f t="shared" si="52"/>
        <v>12.297000000000001</v>
      </c>
      <c r="AC53" s="557">
        <f t="shared" si="52"/>
        <v>12.016</v>
      </c>
      <c r="AD53" s="557">
        <f t="shared" si="52"/>
        <v>12.709</v>
      </c>
      <c r="AE53" s="557">
        <f t="shared" si="52"/>
        <v>23.555</v>
      </c>
      <c r="AF53" s="557">
        <f t="shared" si="52"/>
        <v>24.940000000000005</v>
      </c>
      <c r="AG53" s="557">
        <f t="shared" si="52"/>
        <v>24.007000000000001</v>
      </c>
      <c r="AH53" s="557">
        <f t="shared" si="52"/>
        <v>34.455000000000005</v>
      </c>
      <c r="AI53" s="557">
        <f t="shared" si="52"/>
        <v>57.112000000000002</v>
      </c>
      <c r="AJ53" s="557">
        <f t="shared" si="52"/>
        <v>62.155999999999999</v>
      </c>
      <c r="AK53" s="557">
        <f t="shared" si="52"/>
        <v>69.840999999999994</v>
      </c>
      <c r="AL53" s="557">
        <f t="shared" si="52"/>
        <v>67.451999999999998</v>
      </c>
      <c r="AM53" s="556"/>
      <c r="AN53" s="556"/>
      <c r="AO53" s="556"/>
      <c r="AP53" s="556"/>
      <c r="AQ53" s="556"/>
      <c r="AR53" s="556"/>
      <c r="AS53" s="556"/>
      <c r="AT53" s="556"/>
      <c r="AU53" s="561"/>
      <c r="AV53" s="556"/>
      <c r="AW53" s="556"/>
      <c r="AX53" s="556"/>
      <c r="AY53" s="556"/>
      <c r="AZ53" s="699"/>
      <c r="BA53" s="699"/>
      <c r="BB53" s="699"/>
      <c r="BC53" s="699"/>
      <c r="BD53" s="699"/>
      <c r="BE53" s="699"/>
      <c r="BF53" s="699"/>
      <c r="BG53" s="699"/>
      <c r="BH53" s="699"/>
      <c r="BI53" s="699"/>
      <c r="BJ53" s="700">
        <f>SUM(BJ49:BJ52)</f>
        <v>49.820999999999998</v>
      </c>
      <c r="BK53" s="700">
        <f>SUM(BK49:BK52)</f>
        <v>106.95699999999999</v>
      </c>
      <c r="BL53" s="700">
        <f>SUM(BL49:BL52)</f>
        <v>256.56099999999998</v>
      </c>
      <c r="BM53" s="699"/>
      <c r="BN53" s="713"/>
      <c r="BO53" s="699"/>
      <c r="BP53" s="699"/>
      <c r="BQ53" s="699"/>
      <c r="BR53" s="699"/>
      <c r="BS53" s="699"/>
      <c r="BT53" s="530"/>
    </row>
    <row r="54" spans="1:72" s="19" customFormat="1" x14ac:dyDescent="0.35">
      <c r="A54" s="173"/>
      <c r="B54" s="106"/>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484"/>
      <c r="AV54" s="78"/>
      <c r="AW54" s="78"/>
      <c r="AX54" s="78"/>
      <c r="AY54" s="78"/>
      <c r="AZ54" s="673"/>
      <c r="BA54" s="673"/>
      <c r="BB54" s="673"/>
      <c r="BC54" s="673"/>
      <c r="BD54" s="673"/>
      <c r="BE54" s="673"/>
      <c r="BF54" s="673"/>
      <c r="BG54" s="673"/>
      <c r="BH54" s="673"/>
      <c r="BI54" s="673"/>
      <c r="BJ54" s="673"/>
      <c r="BK54" s="673"/>
      <c r="BL54" s="673"/>
      <c r="BM54" s="673"/>
      <c r="BN54" s="682"/>
      <c r="BO54" s="673"/>
      <c r="BP54" s="673"/>
      <c r="BQ54" s="673"/>
      <c r="BR54" s="673"/>
      <c r="BS54" s="673"/>
      <c r="BT54" s="27"/>
    </row>
    <row r="55" spans="1:72" s="1" customFormat="1" x14ac:dyDescent="0.35">
      <c r="A55" s="527" t="s">
        <v>24</v>
      </c>
      <c r="B55" s="527"/>
      <c r="C55" s="527"/>
      <c r="D55" s="527"/>
      <c r="E55" s="527"/>
      <c r="F55" s="527"/>
      <c r="G55" s="527"/>
      <c r="H55" s="527"/>
      <c r="I55" s="527"/>
      <c r="J55" s="527"/>
      <c r="K55" s="527"/>
      <c r="L55" s="527"/>
      <c r="M55" s="527"/>
      <c r="N55" s="527"/>
      <c r="O55" s="527"/>
      <c r="P55" s="527"/>
      <c r="Q55" s="527"/>
      <c r="R55" s="527"/>
      <c r="S55" s="527"/>
      <c r="T55" s="527"/>
      <c r="U55" s="527"/>
      <c r="V55" s="527"/>
      <c r="W55" s="527"/>
      <c r="X55" s="527"/>
      <c r="Y55" s="527"/>
      <c r="Z55" s="527"/>
      <c r="AA55" s="527"/>
      <c r="AB55" s="527"/>
      <c r="AC55" s="527"/>
      <c r="AD55" s="527"/>
      <c r="AE55" s="527"/>
      <c r="AF55" s="527"/>
      <c r="AG55" s="527"/>
      <c r="AH55" s="527"/>
      <c r="AI55" s="527"/>
      <c r="AJ55" s="527"/>
      <c r="AK55" s="527"/>
      <c r="AL55" s="527"/>
      <c r="AM55" s="527"/>
      <c r="AN55" s="527"/>
      <c r="AO55" s="527"/>
      <c r="AP55" s="527"/>
      <c r="AQ55" s="527"/>
      <c r="AR55" s="527"/>
      <c r="AS55" s="527"/>
      <c r="AT55" s="527"/>
      <c r="AU55" s="547"/>
      <c r="AV55" s="527"/>
      <c r="AW55" s="527"/>
      <c r="AX55" s="527"/>
      <c r="AY55" s="527"/>
      <c r="AZ55" s="527"/>
      <c r="BA55" s="527"/>
      <c r="BB55" s="527"/>
      <c r="BC55" s="527"/>
      <c r="BD55" s="527"/>
      <c r="BE55" s="527"/>
      <c r="BF55" s="527"/>
      <c r="BG55" s="527"/>
      <c r="BH55" s="527"/>
      <c r="BI55" s="527"/>
      <c r="BJ55" s="527"/>
      <c r="BK55" s="527"/>
      <c r="BL55" s="527"/>
      <c r="BM55" s="527"/>
      <c r="BN55" s="547"/>
      <c r="BO55" s="527"/>
      <c r="BP55" s="527"/>
      <c r="BQ55" s="527"/>
      <c r="BR55" s="527"/>
      <c r="BS55" s="527"/>
      <c r="BT55" s="530"/>
    </row>
    <row r="56" spans="1:72" s="17" customFormat="1" outlineLevel="1" x14ac:dyDescent="0.35">
      <c r="A56" s="208" t="s">
        <v>477</v>
      </c>
      <c r="B56" s="351"/>
      <c r="C56" s="528"/>
      <c r="D56" s="528"/>
      <c r="E56" s="528"/>
      <c r="F56" s="528"/>
      <c r="G56" s="528"/>
      <c r="H56" s="528"/>
      <c r="I56" s="528"/>
      <c r="J56" s="528"/>
      <c r="K56" s="528"/>
      <c r="L56" s="528"/>
      <c r="M56" s="528"/>
      <c r="N56" s="528"/>
      <c r="O56" s="528"/>
      <c r="P56" s="528"/>
      <c r="Q56" s="528"/>
      <c r="R56" s="528"/>
      <c r="S56" s="528"/>
      <c r="T56" s="528"/>
      <c r="U56" s="528"/>
      <c r="V56" s="528"/>
      <c r="W56" s="528"/>
      <c r="X56" s="528"/>
      <c r="Y56" s="528"/>
      <c r="Z56" s="528"/>
      <c r="AA56" s="627">
        <v>114</v>
      </c>
      <c r="AB56" s="627">
        <v>111.9</v>
      </c>
      <c r="AC56" s="627">
        <v>112.8</v>
      </c>
      <c r="AD56" s="627">
        <v>106.4</v>
      </c>
      <c r="AE56" s="627">
        <v>110.8</v>
      </c>
      <c r="AF56" s="627">
        <v>106.8</v>
      </c>
      <c r="AG56" s="627">
        <v>108.9</v>
      </c>
      <c r="AH56" s="627">
        <v>106.2</v>
      </c>
      <c r="AI56" s="627">
        <v>164.6</v>
      </c>
      <c r="AJ56" s="627">
        <v>161.19999999999999</v>
      </c>
      <c r="AK56" s="627">
        <v>155.80000000000001</v>
      </c>
      <c r="AL56" s="627">
        <v>147.19999999999999</v>
      </c>
      <c r="AM56" s="627">
        <v>147.6</v>
      </c>
      <c r="AN56" s="627">
        <v>145.6</v>
      </c>
      <c r="AO56" s="627">
        <v>143.80000000000001</v>
      </c>
      <c r="AP56" s="627">
        <v>136.5</v>
      </c>
      <c r="AQ56" s="627">
        <v>112.3</v>
      </c>
      <c r="AR56" s="627">
        <v>111.2</v>
      </c>
      <c r="AS56" s="627">
        <v>114.6</v>
      </c>
      <c r="AT56" s="627">
        <v>110.6</v>
      </c>
      <c r="AU56" s="628">
        <v>117.6</v>
      </c>
      <c r="AV56" s="528">
        <f t="shared" ref="AV56:AX57" si="53">AR56*(1+AV13)</f>
        <v>117.87200000000001</v>
      </c>
      <c r="AW56" s="528">
        <f t="shared" si="53"/>
        <v>120.33</v>
      </c>
      <c r="AX56" s="528">
        <f t="shared" si="53"/>
        <v>117.236</v>
      </c>
      <c r="AY56" s="528"/>
      <c r="AZ56" s="692"/>
      <c r="BA56" s="692"/>
      <c r="BB56" s="692"/>
      <c r="BC56" s="692"/>
      <c r="BD56" s="692"/>
      <c r="BE56" s="692"/>
      <c r="BF56" s="692"/>
      <c r="BG56" s="692"/>
      <c r="BH56" s="692"/>
      <c r="BI56" s="692"/>
      <c r="BJ56" s="694">
        <v>111.2</v>
      </c>
      <c r="BK56" s="694">
        <v>107.8</v>
      </c>
      <c r="BL56" s="694">
        <v>156.69999999999999</v>
      </c>
      <c r="BM56" s="694">
        <v>143.19999999999999</v>
      </c>
      <c r="BN56" s="695">
        <v>112.3</v>
      </c>
      <c r="BO56" s="692">
        <f>AVERAGE(AU56,AV56,AW56,AX56)</f>
        <v>118.2595</v>
      </c>
      <c r="BP56" s="692" t="e">
        <f>AVERAGE(#REF!,#REF!,#REF!,#REF!)</f>
        <v>#REF!</v>
      </c>
      <c r="BQ56" s="692" t="e">
        <f t="shared" ref="BQ56:BS57" si="54">BP56*(1+BQ13)</f>
        <v>#REF!</v>
      </c>
      <c r="BR56" s="692" t="e">
        <f t="shared" si="54"/>
        <v>#REF!</v>
      </c>
      <c r="BS56" s="692" t="e">
        <f t="shared" si="54"/>
        <v>#REF!</v>
      </c>
      <c r="BT56" s="533"/>
    </row>
    <row r="57" spans="1:72" s="17" customFormat="1" outlineLevel="1" x14ac:dyDescent="0.35">
      <c r="A57" s="208" t="s">
        <v>478</v>
      </c>
      <c r="B57" s="351"/>
      <c r="C57" s="528"/>
      <c r="D57" s="528"/>
      <c r="E57" s="528"/>
      <c r="F57" s="528"/>
      <c r="G57" s="528"/>
      <c r="H57" s="528"/>
      <c r="I57" s="528"/>
      <c r="J57" s="528"/>
      <c r="K57" s="528"/>
      <c r="L57" s="528"/>
      <c r="M57" s="528"/>
      <c r="N57" s="528"/>
      <c r="O57" s="528"/>
      <c r="P57" s="528"/>
      <c r="Q57" s="528"/>
      <c r="R57" s="528"/>
      <c r="S57" s="528"/>
      <c r="T57" s="528"/>
      <c r="U57" s="528"/>
      <c r="V57" s="528"/>
      <c r="W57" s="528"/>
      <c r="X57" s="528"/>
      <c r="Y57" s="528"/>
      <c r="Z57" s="528"/>
      <c r="AA57" s="627">
        <v>7.1</v>
      </c>
      <c r="AB57" s="627">
        <v>6.8</v>
      </c>
      <c r="AC57" s="627">
        <v>6.7</v>
      </c>
      <c r="AD57" s="627">
        <v>6.4</v>
      </c>
      <c r="AE57" s="627">
        <v>13.6</v>
      </c>
      <c r="AF57" s="627">
        <v>13.1</v>
      </c>
      <c r="AG57" s="627">
        <v>13.2</v>
      </c>
      <c r="AH57" s="627">
        <v>12.7</v>
      </c>
      <c r="AI57" s="627">
        <v>30.8</v>
      </c>
      <c r="AJ57" s="627">
        <v>30.3</v>
      </c>
      <c r="AK57" s="627">
        <v>29.5</v>
      </c>
      <c r="AL57" s="627">
        <v>28.2</v>
      </c>
      <c r="AM57" s="627">
        <v>42</v>
      </c>
      <c r="AN57" s="627">
        <v>41.9</v>
      </c>
      <c r="AO57" s="627">
        <v>42</v>
      </c>
      <c r="AP57" s="627">
        <v>41.9</v>
      </c>
      <c r="AQ57" s="627">
        <v>61.6</v>
      </c>
      <c r="AR57" s="627">
        <v>66.3</v>
      </c>
      <c r="AS57" s="627">
        <v>67.2</v>
      </c>
      <c r="AT57" s="627">
        <v>65.5</v>
      </c>
      <c r="AU57" s="628">
        <v>70.3</v>
      </c>
      <c r="AV57" s="528">
        <f t="shared" si="53"/>
        <v>69.614999999999995</v>
      </c>
      <c r="AW57" s="528">
        <f t="shared" si="53"/>
        <v>72.576000000000008</v>
      </c>
      <c r="AX57" s="528">
        <f t="shared" si="53"/>
        <v>70.085000000000008</v>
      </c>
      <c r="AY57" s="528"/>
      <c r="AZ57" s="692"/>
      <c r="BA57" s="692"/>
      <c r="BB57" s="692"/>
      <c r="BC57" s="692"/>
      <c r="BD57" s="692"/>
      <c r="BE57" s="692"/>
      <c r="BF57" s="692"/>
      <c r="BG57" s="692"/>
      <c r="BH57" s="692"/>
      <c r="BI57" s="692"/>
      <c r="BJ57" s="694">
        <v>6.7</v>
      </c>
      <c r="BK57" s="694">
        <v>13.1</v>
      </c>
      <c r="BL57" s="694">
        <v>29.6</v>
      </c>
      <c r="BM57" s="694">
        <v>41.9</v>
      </c>
      <c r="BN57" s="695">
        <v>65.900000000000006</v>
      </c>
      <c r="BO57" s="692">
        <f>AVERAGE(AU57,AV57,AW57,AX57)</f>
        <v>70.644000000000005</v>
      </c>
      <c r="BP57" s="692" t="e">
        <f>AVERAGE(#REF!,#REF!,#REF!,#REF!)</f>
        <v>#REF!</v>
      </c>
      <c r="BQ57" s="692" t="e">
        <f t="shared" si="54"/>
        <v>#REF!</v>
      </c>
      <c r="BR57" s="692" t="e">
        <f t="shared" si="54"/>
        <v>#REF!</v>
      </c>
      <c r="BS57" s="692" t="e">
        <f t="shared" si="54"/>
        <v>#REF!</v>
      </c>
      <c r="BT57" s="533"/>
    </row>
    <row r="58" spans="1:72" s="1" customFormat="1" outlineLevel="1" x14ac:dyDescent="0.35">
      <c r="A58" s="47" t="s">
        <v>485</v>
      </c>
      <c r="B58" s="353"/>
      <c r="C58" s="556"/>
      <c r="D58" s="556"/>
      <c r="E58" s="556"/>
      <c r="F58" s="556"/>
      <c r="G58" s="556"/>
      <c r="H58" s="556"/>
      <c r="I58" s="556"/>
      <c r="J58" s="556"/>
      <c r="K58" s="556"/>
      <c r="L58" s="556"/>
      <c r="M58" s="556"/>
      <c r="N58" s="556"/>
      <c r="O58" s="556"/>
      <c r="P58" s="556"/>
      <c r="Q58" s="556"/>
      <c r="R58" s="556"/>
      <c r="S58" s="556"/>
      <c r="T58" s="556"/>
      <c r="U58" s="556"/>
      <c r="V58" s="556"/>
      <c r="W58" s="556"/>
      <c r="X58" s="556"/>
      <c r="Y58" s="556"/>
      <c r="Z58" s="556"/>
      <c r="AA58" s="557">
        <f t="shared" ref="AA58:AX58" si="55">SUM(AA56:AA57)</f>
        <v>121.1</v>
      </c>
      <c r="AB58" s="557">
        <f t="shared" si="55"/>
        <v>118.7</v>
      </c>
      <c r="AC58" s="557">
        <f t="shared" si="55"/>
        <v>119.5</v>
      </c>
      <c r="AD58" s="557">
        <f t="shared" si="55"/>
        <v>112.80000000000001</v>
      </c>
      <c r="AE58" s="557">
        <f t="shared" si="55"/>
        <v>124.39999999999999</v>
      </c>
      <c r="AF58" s="557">
        <f t="shared" si="55"/>
        <v>119.89999999999999</v>
      </c>
      <c r="AG58" s="557">
        <f t="shared" si="55"/>
        <v>122.10000000000001</v>
      </c>
      <c r="AH58" s="557">
        <f t="shared" si="55"/>
        <v>118.9</v>
      </c>
      <c r="AI58" s="557">
        <f t="shared" si="55"/>
        <v>195.4</v>
      </c>
      <c r="AJ58" s="557">
        <f t="shared" si="55"/>
        <v>191.5</v>
      </c>
      <c r="AK58" s="557">
        <f t="shared" si="55"/>
        <v>185.3</v>
      </c>
      <c r="AL58" s="557">
        <f t="shared" si="55"/>
        <v>175.39999999999998</v>
      </c>
      <c r="AM58" s="557">
        <f t="shared" si="55"/>
        <v>189.6</v>
      </c>
      <c r="AN58" s="557">
        <f t="shared" si="55"/>
        <v>187.5</v>
      </c>
      <c r="AO58" s="557">
        <f t="shared" si="55"/>
        <v>185.8</v>
      </c>
      <c r="AP58" s="557">
        <f t="shared" si="55"/>
        <v>178.4</v>
      </c>
      <c r="AQ58" s="557">
        <f t="shared" si="55"/>
        <v>173.9</v>
      </c>
      <c r="AR58" s="557">
        <f t="shared" si="55"/>
        <v>177.5</v>
      </c>
      <c r="AS58" s="557">
        <f t="shared" si="55"/>
        <v>181.8</v>
      </c>
      <c r="AT58" s="557">
        <f t="shared" si="55"/>
        <v>176.1</v>
      </c>
      <c r="AU58" s="558">
        <f t="shared" si="55"/>
        <v>187.89999999999998</v>
      </c>
      <c r="AV58" s="556">
        <f t="shared" si="55"/>
        <v>187.48700000000002</v>
      </c>
      <c r="AW58" s="556">
        <f t="shared" si="55"/>
        <v>192.90600000000001</v>
      </c>
      <c r="AX58" s="556">
        <f t="shared" si="55"/>
        <v>187.32100000000003</v>
      </c>
      <c r="AY58" s="556"/>
      <c r="AZ58" s="699"/>
      <c r="BA58" s="699"/>
      <c r="BB58" s="699"/>
      <c r="BC58" s="699"/>
      <c r="BD58" s="699"/>
      <c r="BE58" s="699"/>
      <c r="BF58" s="699"/>
      <c r="BG58" s="699"/>
      <c r="BH58" s="699"/>
      <c r="BI58" s="699"/>
      <c r="BJ58" s="700">
        <f t="shared" ref="BJ58:BS58" si="56">SUM(BJ56:BJ57)</f>
        <v>117.9</v>
      </c>
      <c r="BK58" s="700">
        <f t="shared" si="56"/>
        <v>120.89999999999999</v>
      </c>
      <c r="BL58" s="700">
        <f t="shared" si="56"/>
        <v>186.29999999999998</v>
      </c>
      <c r="BM58" s="700">
        <f t="shared" si="56"/>
        <v>185.1</v>
      </c>
      <c r="BN58" s="701">
        <f t="shared" si="56"/>
        <v>178.2</v>
      </c>
      <c r="BO58" s="699">
        <f t="shared" si="56"/>
        <v>188.90350000000001</v>
      </c>
      <c r="BP58" s="699" t="e">
        <f t="shared" si="56"/>
        <v>#REF!</v>
      </c>
      <c r="BQ58" s="699" t="e">
        <f t="shared" si="56"/>
        <v>#REF!</v>
      </c>
      <c r="BR58" s="699" t="e">
        <f t="shared" si="56"/>
        <v>#REF!</v>
      </c>
      <c r="BS58" s="699" t="e">
        <f t="shared" si="56"/>
        <v>#REF!</v>
      </c>
      <c r="BT58" s="530"/>
    </row>
    <row r="59" spans="1:72" s="19" customFormat="1" outlineLevel="1" x14ac:dyDescent="0.35">
      <c r="A59" s="173"/>
      <c r="B59" s="106"/>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484"/>
      <c r="AV59" s="78"/>
      <c r="AW59" s="78"/>
      <c r="AX59" s="78"/>
      <c r="AY59" s="78"/>
      <c r="AZ59" s="673"/>
      <c r="BA59" s="673"/>
      <c r="BB59" s="673"/>
      <c r="BC59" s="673"/>
      <c r="BD59" s="673"/>
      <c r="BE59" s="673"/>
      <c r="BF59" s="673"/>
      <c r="BG59" s="673"/>
      <c r="BH59" s="673"/>
      <c r="BI59" s="673"/>
      <c r="BJ59" s="673"/>
      <c r="BK59" s="673"/>
      <c r="BL59" s="673"/>
      <c r="BM59" s="673"/>
      <c r="BN59" s="682"/>
      <c r="BO59" s="673"/>
      <c r="BP59" s="673"/>
      <c r="BQ59" s="673"/>
      <c r="BR59" s="673"/>
      <c r="BS59" s="673"/>
      <c r="BT59" s="27"/>
    </row>
    <row r="60" spans="1:72" s="340" customFormat="1" outlineLevel="1" x14ac:dyDescent="0.35">
      <c r="A60" s="337" t="s">
        <v>463</v>
      </c>
      <c r="B60" s="355"/>
      <c r="C60" s="356"/>
      <c r="D60" s="356"/>
      <c r="E60" s="356"/>
      <c r="F60" s="356"/>
      <c r="G60" s="356"/>
      <c r="H60" s="356"/>
      <c r="I60" s="356"/>
      <c r="J60" s="356"/>
      <c r="K60" s="356"/>
      <c r="L60" s="356"/>
      <c r="M60" s="356"/>
      <c r="N60" s="356"/>
      <c r="O60" s="356"/>
      <c r="P60" s="356"/>
      <c r="Q60" s="356"/>
      <c r="R60" s="356"/>
      <c r="S60" s="356"/>
      <c r="T60" s="356"/>
      <c r="U60" s="356"/>
      <c r="V60" s="356"/>
      <c r="W60" s="356"/>
      <c r="X60" s="356"/>
      <c r="Y60" s="356"/>
      <c r="Z60" s="356"/>
      <c r="AA60" s="356"/>
      <c r="AB60" s="356"/>
      <c r="AC60" s="356"/>
      <c r="AD60" s="356"/>
      <c r="AE60" s="631">
        <v>1860</v>
      </c>
      <c r="AF60" s="631">
        <v>1953</v>
      </c>
      <c r="AG60" s="631">
        <v>1946</v>
      </c>
      <c r="AH60" s="631">
        <v>1992</v>
      </c>
      <c r="AI60" s="631">
        <v>1718</v>
      </c>
      <c r="AJ60" s="631">
        <v>1755</v>
      </c>
      <c r="AK60" s="631">
        <v>1876</v>
      </c>
      <c r="AL60" s="631">
        <v>2035</v>
      </c>
      <c r="AM60" s="631">
        <v>1885</v>
      </c>
      <c r="AN60" s="631">
        <v>1953</v>
      </c>
      <c r="AO60" s="631">
        <v>2006</v>
      </c>
      <c r="AP60" s="631">
        <v>2266</v>
      </c>
      <c r="AQ60" s="631">
        <v>2216</v>
      </c>
      <c r="AR60" s="631">
        <v>2281</v>
      </c>
      <c r="AS60" s="631">
        <v>2332</v>
      </c>
      <c r="AT60" s="631">
        <v>2455</v>
      </c>
      <c r="AU60" s="632">
        <v>2381</v>
      </c>
      <c r="AV60" s="356"/>
      <c r="AW60" s="356"/>
      <c r="AX60" s="356"/>
      <c r="AY60" s="356"/>
      <c r="AZ60" s="703"/>
      <c r="BA60" s="703"/>
      <c r="BB60" s="703"/>
      <c r="BC60" s="703"/>
      <c r="BD60" s="703"/>
      <c r="BE60" s="703"/>
      <c r="BF60" s="703"/>
      <c r="BG60" s="703"/>
      <c r="BH60" s="703"/>
      <c r="BI60" s="703"/>
      <c r="BJ60" s="703"/>
      <c r="BK60" s="714">
        <v>7775</v>
      </c>
      <c r="BL60" s="714">
        <v>7389</v>
      </c>
      <c r="BM60" s="714">
        <v>8104</v>
      </c>
      <c r="BN60" s="715">
        <v>9270</v>
      </c>
      <c r="BO60" s="703"/>
      <c r="BP60" s="703"/>
      <c r="BQ60" s="703"/>
      <c r="BR60" s="703"/>
      <c r="BS60" s="703"/>
      <c r="BT60" s="339"/>
    </row>
    <row r="61" spans="1:72" s="104" customFormat="1" outlineLevel="1" x14ac:dyDescent="0.35">
      <c r="A61" s="103" t="s">
        <v>465</v>
      </c>
      <c r="B61" s="323"/>
      <c r="C61" s="322"/>
      <c r="D61" s="322"/>
      <c r="E61" s="322"/>
      <c r="F61" s="322"/>
      <c r="G61" s="322"/>
      <c r="H61" s="322"/>
      <c r="I61" s="322"/>
      <c r="J61" s="322"/>
      <c r="K61" s="322"/>
      <c r="L61" s="322"/>
      <c r="M61" s="322"/>
      <c r="N61" s="322"/>
      <c r="O61" s="322"/>
      <c r="P61" s="322"/>
      <c r="Q61" s="322"/>
      <c r="R61" s="322"/>
      <c r="S61" s="322"/>
      <c r="T61" s="322"/>
      <c r="U61" s="322"/>
      <c r="V61" s="322"/>
      <c r="W61" s="322"/>
      <c r="X61" s="322"/>
      <c r="Y61" s="322"/>
      <c r="Z61" s="322"/>
      <c r="AA61" s="322"/>
      <c r="AB61" s="322"/>
      <c r="AC61" s="322"/>
      <c r="AD61" s="322"/>
      <c r="AE61" s="322"/>
      <c r="AF61" s="322"/>
      <c r="AG61" s="322"/>
      <c r="AH61" s="322"/>
      <c r="AI61" s="103">
        <f t="shared" ref="AI61:AU61" si="57">AI60/AE60-1</f>
        <v>-7.6344086021505331E-2</v>
      </c>
      <c r="AJ61" s="103">
        <f t="shared" si="57"/>
        <v>-0.10138248847926268</v>
      </c>
      <c r="AK61" s="103">
        <f t="shared" si="57"/>
        <v>-3.5971223021582732E-2</v>
      </c>
      <c r="AL61" s="322">
        <f t="shared" si="57"/>
        <v>2.1586345381526151E-2</v>
      </c>
      <c r="AM61" s="103">
        <f t="shared" si="57"/>
        <v>9.720605355064027E-2</v>
      </c>
      <c r="AN61" s="103">
        <f t="shared" si="57"/>
        <v>0.11282051282051286</v>
      </c>
      <c r="AO61" s="103">
        <f t="shared" si="57"/>
        <v>6.9296375266524546E-2</v>
      </c>
      <c r="AP61" s="322">
        <f t="shared" si="57"/>
        <v>0.11351351351351346</v>
      </c>
      <c r="AQ61" s="103">
        <f t="shared" si="57"/>
        <v>0.17559681697612728</v>
      </c>
      <c r="AR61" s="103">
        <f t="shared" si="57"/>
        <v>0.16794674859190994</v>
      </c>
      <c r="AS61" s="103">
        <f t="shared" si="57"/>
        <v>0.16251246261216346</v>
      </c>
      <c r="AT61" s="322">
        <f t="shared" si="57"/>
        <v>8.3406884377758228E-2</v>
      </c>
      <c r="AU61" s="490">
        <f t="shared" si="57"/>
        <v>7.4458483754512583E-2</v>
      </c>
      <c r="AV61" s="322"/>
      <c r="AW61" s="322"/>
      <c r="AX61" s="322"/>
      <c r="AY61" s="322"/>
      <c r="AZ61" s="706"/>
      <c r="BA61" s="706"/>
      <c r="BB61" s="706"/>
      <c r="BC61" s="706"/>
      <c r="BD61" s="706"/>
      <c r="BE61" s="706"/>
      <c r="BF61" s="706"/>
      <c r="BG61" s="706"/>
      <c r="BH61" s="706"/>
      <c r="BI61" s="706"/>
      <c r="BJ61" s="706"/>
      <c r="BK61" s="706"/>
      <c r="BL61" s="706">
        <f>BL60/BK60-1</f>
        <v>-4.9646302250803909E-2</v>
      </c>
      <c r="BM61" s="706">
        <f>BM60/BL60-1</f>
        <v>9.6765462173501238E-2</v>
      </c>
      <c r="BN61" s="707">
        <f>BN60/BM60-1</f>
        <v>0.14387956564659432</v>
      </c>
      <c r="BO61" s="706"/>
      <c r="BP61" s="706"/>
      <c r="BQ61" s="706"/>
      <c r="BR61" s="706"/>
      <c r="BS61" s="706"/>
      <c r="BT61" s="103"/>
    </row>
    <row r="62" spans="1:72" s="340" customFormat="1" outlineLevel="1" x14ac:dyDescent="0.35">
      <c r="A62" s="337" t="s">
        <v>464</v>
      </c>
      <c r="B62" s="355"/>
      <c r="C62" s="356"/>
      <c r="D62" s="356"/>
      <c r="E62" s="356"/>
      <c r="F62" s="356"/>
      <c r="G62" s="356"/>
      <c r="H62" s="356"/>
      <c r="I62" s="356"/>
      <c r="J62" s="356"/>
      <c r="K62" s="356"/>
      <c r="L62" s="356"/>
      <c r="M62" s="356"/>
      <c r="N62" s="356"/>
      <c r="O62" s="356"/>
      <c r="P62" s="356"/>
      <c r="Q62" s="356"/>
      <c r="R62" s="356"/>
      <c r="S62" s="356"/>
      <c r="T62" s="356"/>
      <c r="U62" s="356"/>
      <c r="V62" s="356"/>
      <c r="W62" s="356"/>
      <c r="X62" s="356"/>
      <c r="Y62" s="356"/>
      <c r="Z62" s="356"/>
      <c r="AA62" s="356"/>
      <c r="AB62" s="356"/>
      <c r="AC62" s="356"/>
      <c r="AD62" s="356"/>
      <c r="AE62" s="631">
        <v>1720</v>
      </c>
      <c r="AF62" s="631">
        <v>1866</v>
      </c>
      <c r="AG62" s="631">
        <v>1569</v>
      </c>
      <c r="AH62" s="631">
        <v>2097</v>
      </c>
      <c r="AI62" s="631">
        <v>1564</v>
      </c>
      <c r="AJ62" s="631">
        <v>1681</v>
      </c>
      <c r="AK62" s="631">
        <v>1759</v>
      </c>
      <c r="AL62" s="631">
        <v>1690</v>
      </c>
      <c r="AM62" s="631">
        <v>1688</v>
      </c>
      <c r="AN62" s="631">
        <v>1794</v>
      </c>
      <c r="AO62" s="631">
        <v>1981</v>
      </c>
      <c r="AP62" s="631">
        <v>2177</v>
      </c>
      <c r="AQ62" s="631">
        <v>2029</v>
      </c>
      <c r="AR62" s="631">
        <v>2319</v>
      </c>
      <c r="AS62" s="631">
        <v>2237</v>
      </c>
      <c r="AT62" s="631">
        <v>2389</v>
      </c>
      <c r="AU62" s="632">
        <v>2144</v>
      </c>
      <c r="AV62" s="356"/>
      <c r="AW62" s="356"/>
      <c r="AX62" s="356"/>
      <c r="AY62" s="356"/>
      <c r="AZ62" s="703"/>
      <c r="BA62" s="703"/>
      <c r="BB62" s="703"/>
      <c r="BC62" s="703"/>
      <c r="BD62" s="703"/>
      <c r="BE62" s="703"/>
      <c r="BF62" s="703"/>
      <c r="BG62" s="703"/>
      <c r="BH62" s="703"/>
      <c r="BI62" s="703"/>
      <c r="BJ62" s="703"/>
      <c r="BK62" s="714">
        <v>7268</v>
      </c>
      <c r="BL62" s="714">
        <v>6711</v>
      </c>
      <c r="BM62" s="714">
        <v>7640</v>
      </c>
      <c r="BN62" s="715">
        <v>8885</v>
      </c>
      <c r="BO62" s="703"/>
      <c r="BP62" s="703"/>
      <c r="BQ62" s="703"/>
      <c r="BR62" s="703"/>
      <c r="BS62" s="703"/>
      <c r="BT62" s="339"/>
    </row>
    <row r="63" spans="1:72" s="320" customFormat="1" outlineLevel="1" x14ac:dyDescent="0.35">
      <c r="A63" s="103" t="s">
        <v>466</v>
      </c>
      <c r="B63" s="325"/>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326"/>
      <c r="AD63" s="326"/>
      <c r="AE63" s="326"/>
      <c r="AF63" s="326"/>
      <c r="AG63" s="326"/>
      <c r="AH63" s="326"/>
      <c r="AI63" s="318">
        <f t="shared" ref="AI63:AU63" si="58">AI62/AE62-1</f>
        <v>-9.0697674418604657E-2</v>
      </c>
      <c r="AJ63" s="318">
        <f t="shared" si="58"/>
        <v>-9.9142550911039629E-2</v>
      </c>
      <c r="AK63" s="318">
        <f t="shared" si="58"/>
        <v>0.1210962396430848</v>
      </c>
      <c r="AL63" s="326">
        <f t="shared" si="58"/>
        <v>-0.19408679065331425</v>
      </c>
      <c r="AM63" s="318">
        <f t="shared" si="58"/>
        <v>7.9283887468030612E-2</v>
      </c>
      <c r="AN63" s="318">
        <f t="shared" si="58"/>
        <v>6.7221891731112482E-2</v>
      </c>
      <c r="AO63" s="318">
        <f t="shared" si="58"/>
        <v>0.12620807276861856</v>
      </c>
      <c r="AP63" s="326">
        <f t="shared" si="58"/>
        <v>0.28816568047337277</v>
      </c>
      <c r="AQ63" s="318">
        <f t="shared" si="58"/>
        <v>0.20201421800947861</v>
      </c>
      <c r="AR63" s="318">
        <f t="shared" si="58"/>
        <v>0.29264214046822734</v>
      </c>
      <c r="AS63" s="318">
        <f t="shared" si="58"/>
        <v>0.12922766279656739</v>
      </c>
      <c r="AT63" s="326">
        <f t="shared" si="58"/>
        <v>9.7381717960496106E-2</v>
      </c>
      <c r="AU63" s="491">
        <f t="shared" si="58"/>
        <v>5.6678166584524403E-2</v>
      </c>
      <c r="AV63" s="326"/>
      <c r="AW63" s="326"/>
      <c r="AX63" s="326"/>
      <c r="AY63" s="326"/>
      <c r="AZ63" s="709"/>
      <c r="BA63" s="709"/>
      <c r="BB63" s="709"/>
      <c r="BC63" s="709"/>
      <c r="BD63" s="709"/>
      <c r="BE63" s="709"/>
      <c r="BF63" s="709"/>
      <c r="BG63" s="709"/>
      <c r="BH63" s="709"/>
      <c r="BI63" s="709"/>
      <c r="BJ63" s="709"/>
      <c r="BK63" s="709"/>
      <c r="BL63" s="709">
        <f>BL62/BK62-1</f>
        <v>-7.6637314254265232E-2</v>
      </c>
      <c r="BM63" s="709">
        <f>BM62/BL62-1</f>
        <v>0.13842944419609604</v>
      </c>
      <c r="BN63" s="710">
        <f>BN62/BM62-1</f>
        <v>0.16295811518324599</v>
      </c>
      <c r="BO63" s="709"/>
      <c r="BP63" s="709"/>
      <c r="BQ63" s="709"/>
      <c r="BR63" s="709"/>
      <c r="BS63" s="709"/>
      <c r="BT63" s="319"/>
    </row>
    <row r="64" spans="1:72" s="19" customFormat="1" x14ac:dyDescent="0.35">
      <c r="A64" s="173"/>
      <c r="B64" s="106"/>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484"/>
      <c r="AV64" s="78"/>
      <c r="AW64" s="78"/>
      <c r="AX64" s="78"/>
      <c r="AY64" s="78"/>
      <c r="AZ64" s="673"/>
      <c r="BA64" s="673"/>
      <c r="BB64" s="673"/>
      <c r="BC64" s="673"/>
      <c r="BD64" s="673"/>
      <c r="BE64" s="673"/>
      <c r="BF64" s="673"/>
      <c r="BG64" s="673"/>
      <c r="BH64" s="673"/>
      <c r="BI64" s="673"/>
      <c r="BJ64" s="673"/>
      <c r="BK64" s="673"/>
      <c r="BL64" s="673"/>
      <c r="BM64" s="673"/>
      <c r="BN64" s="682"/>
      <c r="BO64" s="673"/>
      <c r="BP64" s="673"/>
      <c r="BQ64" s="673"/>
      <c r="BR64" s="673"/>
      <c r="BS64" s="673"/>
      <c r="BT64" s="27"/>
    </row>
    <row r="65" spans="1:72" s="1" customFormat="1" x14ac:dyDescent="0.35">
      <c r="A65" s="527" t="s">
        <v>476</v>
      </c>
      <c r="B65" s="527"/>
      <c r="C65" s="527"/>
      <c r="D65" s="527"/>
      <c r="E65" s="527"/>
      <c r="F65" s="527"/>
      <c r="G65" s="527"/>
      <c r="H65" s="527"/>
      <c r="I65" s="527"/>
      <c r="J65" s="527"/>
      <c r="K65" s="527"/>
      <c r="L65" s="527"/>
      <c r="M65" s="527"/>
      <c r="N65" s="527"/>
      <c r="O65" s="527"/>
      <c r="P65" s="527"/>
      <c r="Q65" s="527"/>
      <c r="R65" s="527"/>
      <c r="S65" s="527"/>
      <c r="T65" s="527"/>
      <c r="U65" s="527"/>
      <c r="V65" s="527"/>
      <c r="W65" s="527"/>
      <c r="X65" s="527"/>
      <c r="Y65" s="527"/>
      <c r="Z65" s="527"/>
      <c r="AA65" s="527"/>
      <c r="AB65" s="527"/>
      <c r="AC65" s="527"/>
      <c r="AD65" s="527"/>
      <c r="AE65" s="527"/>
      <c r="AF65" s="527"/>
      <c r="AG65" s="527"/>
      <c r="AH65" s="527"/>
      <c r="AI65" s="527"/>
      <c r="AJ65" s="527"/>
      <c r="AK65" s="527"/>
      <c r="AL65" s="527"/>
      <c r="AM65" s="527"/>
      <c r="AN65" s="527"/>
      <c r="AO65" s="527"/>
      <c r="AP65" s="527"/>
      <c r="AQ65" s="527"/>
      <c r="AR65" s="527"/>
      <c r="AS65" s="527"/>
      <c r="AT65" s="527"/>
      <c r="AU65" s="547"/>
      <c r="AV65" s="527"/>
      <c r="AW65" s="527"/>
      <c r="AX65" s="527"/>
      <c r="AY65" s="527"/>
      <c r="AZ65" s="527"/>
      <c r="BA65" s="527"/>
      <c r="BB65" s="527"/>
      <c r="BC65" s="527"/>
      <c r="BD65" s="527"/>
      <c r="BE65" s="527"/>
      <c r="BF65" s="527"/>
      <c r="BG65" s="527"/>
      <c r="BH65" s="527"/>
      <c r="BI65" s="527"/>
      <c r="BJ65" s="527"/>
      <c r="BK65" s="527"/>
      <c r="BL65" s="527"/>
      <c r="BM65" s="527"/>
      <c r="BN65" s="547"/>
      <c r="BO65" s="527"/>
      <c r="BP65" s="527"/>
      <c r="BQ65" s="527"/>
      <c r="BR65" s="527"/>
      <c r="BS65" s="527"/>
      <c r="BT65" s="530"/>
    </row>
    <row r="66" spans="1:72" s="17" customFormat="1" outlineLevel="1" x14ac:dyDescent="0.35">
      <c r="A66" s="56" t="s">
        <v>458</v>
      </c>
      <c r="B66" s="351"/>
      <c r="C66" s="528"/>
      <c r="D66" s="528"/>
      <c r="E66" s="528"/>
      <c r="F66" s="528"/>
      <c r="G66" s="528"/>
      <c r="H66" s="528"/>
      <c r="I66" s="528"/>
      <c r="J66" s="528"/>
      <c r="K66" s="528"/>
      <c r="L66" s="528"/>
      <c r="M66" s="528"/>
      <c r="N66" s="528"/>
      <c r="O66" s="528"/>
      <c r="P66" s="528"/>
      <c r="Q66" s="528"/>
      <c r="R66" s="528"/>
      <c r="S66" s="528"/>
      <c r="T66" s="528"/>
      <c r="U66" s="528"/>
      <c r="V66" s="528"/>
      <c r="W66" s="528"/>
      <c r="X66" s="528"/>
      <c r="Y66" s="528"/>
      <c r="Z66" s="528"/>
      <c r="AA66" s="551">
        <f t="shared" ref="AA66:AH66" si="59">AA117</f>
        <v>118.8</v>
      </c>
      <c r="AB66" s="551">
        <f t="shared" si="59"/>
        <v>116.4</v>
      </c>
      <c r="AC66" s="551">
        <f t="shared" si="59"/>
        <v>117.1</v>
      </c>
      <c r="AD66" s="551">
        <f t="shared" si="59"/>
        <v>110.5</v>
      </c>
      <c r="AE66" s="551">
        <f t="shared" si="59"/>
        <v>122.3</v>
      </c>
      <c r="AF66" s="551">
        <f t="shared" si="59"/>
        <v>117.6</v>
      </c>
      <c r="AG66" s="551">
        <f t="shared" si="59"/>
        <v>119.7</v>
      </c>
      <c r="AH66" s="551">
        <f t="shared" si="59"/>
        <v>116.7</v>
      </c>
      <c r="AI66" s="627">
        <v>190.7</v>
      </c>
      <c r="AJ66" s="627">
        <v>186.7</v>
      </c>
      <c r="AK66" s="627">
        <v>180.6</v>
      </c>
      <c r="AL66" s="627">
        <v>170.9</v>
      </c>
      <c r="AM66" s="528"/>
      <c r="AN66" s="528"/>
      <c r="AO66" s="528"/>
      <c r="AP66" s="528"/>
      <c r="AQ66" s="528"/>
      <c r="AR66" s="528"/>
      <c r="AS66" s="528"/>
      <c r="AT66" s="528"/>
      <c r="AU66" s="560"/>
      <c r="AV66" s="528"/>
      <c r="AW66" s="528"/>
      <c r="AX66" s="528"/>
      <c r="AY66" s="528"/>
      <c r="AZ66" s="692"/>
      <c r="BA66" s="692"/>
      <c r="BB66" s="692"/>
      <c r="BC66" s="692"/>
      <c r="BD66" s="692"/>
      <c r="BE66" s="692"/>
      <c r="BF66" s="692"/>
      <c r="BG66" s="692"/>
      <c r="BH66" s="692"/>
      <c r="BI66" s="692"/>
      <c r="BJ66" s="693">
        <f>BJ117</f>
        <v>115.56100000000001</v>
      </c>
      <c r="BK66" s="693">
        <f>BK117</f>
        <v>118.6</v>
      </c>
      <c r="BL66" s="694">
        <v>181.6</v>
      </c>
      <c r="BM66" s="692"/>
      <c r="BN66" s="712"/>
      <c r="BO66" s="692"/>
      <c r="BP66" s="692"/>
      <c r="BQ66" s="692"/>
      <c r="BR66" s="692"/>
      <c r="BS66" s="692"/>
      <c r="BT66" s="533"/>
    </row>
    <row r="67" spans="1:72" s="17" customFormat="1" outlineLevel="1" x14ac:dyDescent="0.35">
      <c r="A67" s="56" t="s">
        <v>459</v>
      </c>
      <c r="B67" s="351"/>
      <c r="C67" s="528"/>
      <c r="D67" s="528"/>
      <c r="E67" s="528"/>
      <c r="F67" s="528"/>
      <c r="G67" s="528"/>
      <c r="H67" s="528"/>
      <c r="I67" s="528"/>
      <c r="J67" s="528"/>
      <c r="K67" s="528"/>
      <c r="L67" s="528"/>
      <c r="M67" s="528"/>
      <c r="N67" s="528"/>
      <c r="O67" s="528"/>
      <c r="P67" s="528"/>
      <c r="Q67" s="528"/>
      <c r="R67" s="528"/>
      <c r="S67" s="528"/>
      <c r="T67" s="528"/>
      <c r="U67" s="528"/>
      <c r="V67" s="528"/>
      <c r="W67" s="528"/>
      <c r="X67" s="528"/>
      <c r="Y67" s="528"/>
      <c r="Z67" s="528"/>
      <c r="AA67" s="551">
        <f t="shared" ref="AA67:AH67" si="60">AA120</f>
        <v>23.8</v>
      </c>
      <c r="AB67" s="551">
        <f t="shared" si="60"/>
        <v>23.7</v>
      </c>
      <c r="AC67" s="551">
        <f t="shared" si="60"/>
        <v>24.5</v>
      </c>
      <c r="AD67" s="551">
        <f t="shared" si="60"/>
        <v>23.3</v>
      </c>
      <c r="AE67" s="551">
        <f t="shared" si="60"/>
        <v>15.6</v>
      </c>
      <c r="AF67" s="551">
        <f t="shared" si="60"/>
        <v>15.6</v>
      </c>
      <c r="AG67" s="551">
        <f t="shared" si="60"/>
        <v>16.2</v>
      </c>
      <c r="AH67" s="551">
        <f t="shared" si="60"/>
        <v>15.5</v>
      </c>
      <c r="AI67" s="627">
        <v>51</v>
      </c>
      <c r="AJ67" s="627">
        <v>55.5</v>
      </c>
      <c r="AK67" s="627">
        <v>55.4</v>
      </c>
      <c r="AL67" s="627">
        <v>50.7</v>
      </c>
      <c r="AM67" s="528"/>
      <c r="AN67" s="528"/>
      <c r="AO67" s="528"/>
      <c r="AP67" s="528"/>
      <c r="AQ67" s="528"/>
      <c r="AR67" s="528"/>
      <c r="AS67" s="528"/>
      <c r="AT67" s="528"/>
      <c r="AU67" s="560"/>
      <c r="AV67" s="528"/>
      <c r="AW67" s="528"/>
      <c r="AX67" s="528"/>
      <c r="AY67" s="528"/>
      <c r="AZ67" s="692"/>
      <c r="BA67" s="692"/>
      <c r="BB67" s="692"/>
      <c r="BC67" s="692"/>
      <c r="BD67" s="692"/>
      <c r="BE67" s="692"/>
      <c r="BF67" s="692"/>
      <c r="BG67" s="692"/>
      <c r="BH67" s="692"/>
      <c r="BI67" s="692"/>
      <c r="BJ67" s="693">
        <f>BJ120</f>
        <v>23.9</v>
      </c>
      <c r="BK67" s="693">
        <f>BK120</f>
        <v>15.8</v>
      </c>
      <c r="BL67" s="694">
        <v>51.4</v>
      </c>
      <c r="BM67" s="692"/>
      <c r="BN67" s="712"/>
      <c r="BO67" s="692"/>
      <c r="BP67" s="692"/>
      <c r="BQ67" s="692"/>
      <c r="BR67" s="692"/>
      <c r="BS67" s="692"/>
      <c r="BT67" s="533"/>
    </row>
    <row r="68" spans="1:72" s="1" customFormat="1" outlineLevel="1" x14ac:dyDescent="0.35">
      <c r="A68" s="46" t="s">
        <v>556</v>
      </c>
      <c r="B68" s="353"/>
      <c r="C68" s="556"/>
      <c r="D68" s="556"/>
      <c r="E68" s="556"/>
      <c r="F68" s="556"/>
      <c r="G68" s="556"/>
      <c r="H68" s="556"/>
      <c r="I68" s="556"/>
      <c r="J68" s="556"/>
      <c r="K68" s="556"/>
      <c r="L68" s="556"/>
      <c r="M68" s="556"/>
      <c r="N68" s="556"/>
      <c r="O68" s="556"/>
      <c r="P68" s="556"/>
      <c r="Q68" s="556"/>
      <c r="R68" s="556"/>
      <c r="S68" s="556"/>
      <c r="T68" s="556"/>
      <c r="U68" s="556"/>
      <c r="V68" s="556"/>
      <c r="W68" s="556"/>
      <c r="X68" s="556"/>
      <c r="Y68" s="556"/>
      <c r="Z68" s="556"/>
      <c r="AA68" s="557">
        <f t="shared" ref="AA68:AL68" si="61">SUM(AA66:AA67)</f>
        <v>142.6</v>
      </c>
      <c r="AB68" s="557">
        <f t="shared" si="61"/>
        <v>140.1</v>
      </c>
      <c r="AC68" s="557">
        <f t="shared" si="61"/>
        <v>141.6</v>
      </c>
      <c r="AD68" s="557">
        <f t="shared" si="61"/>
        <v>133.80000000000001</v>
      </c>
      <c r="AE68" s="557">
        <f t="shared" si="61"/>
        <v>137.9</v>
      </c>
      <c r="AF68" s="557">
        <f t="shared" si="61"/>
        <v>133.19999999999999</v>
      </c>
      <c r="AG68" s="557">
        <f t="shared" si="61"/>
        <v>135.9</v>
      </c>
      <c r="AH68" s="557">
        <f t="shared" si="61"/>
        <v>132.19999999999999</v>
      </c>
      <c r="AI68" s="557">
        <f t="shared" si="61"/>
        <v>241.7</v>
      </c>
      <c r="AJ68" s="557">
        <f t="shared" si="61"/>
        <v>242.2</v>
      </c>
      <c r="AK68" s="557">
        <f t="shared" si="61"/>
        <v>236</v>
      </c>
      <c r="AL68" s="557">
        <f t="shared" si="61"/>
        <v>221.60000000000002</v>
      </c>
      <c r="AM68" s="556"/>
      <c r="AN68" s="556"/>
      <c r="AO68" s="556"/>
      <c r="AP68" s="556"/>
      <c r="AQ68" s="556"/>
      <c r="AR68" s="556"/>
      <c r="AS68" s="556"/>
      <c r="AT68" s="556"/>
      <c r="AU68" s="561"/>
      <c r="AV68" s="556"/>
      <c r="AW68" s="556"/>
      <c r="AX68" s="556"/>
      <c r="AY68" s="556"/>
      <c r="AZ68" s="699"/>
      <c r="BA68" s="699"/>
      <c r="BB68" s="699"/>
      <c r="BC68" s="699"/>
      <c r="BD68" s="699"/>
      <c r="BE68" s="699"/>
      <c r="BF68" s="699"/>
      <c r="BG68" s="699"/>
      <c r="BH68" s="699"/>
      <c r="BI68" s="699"/>
      <c r="BJ68" s="700">
        <f>SUM(BJ66:BJ67)</f>
        <v>139.46100000000001</v>
      </c>
      <c r="BK68" s="700">
        <f>SUM(BK66:BK67)</f>
        <v>134.4</v>
      </c>
      <c r="BL68" s="700">
        <f>SUM(BL66:BL67)</f>
        <v>233</v>
      </c>
      <c r="BM68" s="699"/>
      <c r="BN68" s="713"/>
      <c r="BO68" s="699"/>
      <c r="BP68" s="699"/>
      <c r="BQ68" s="699"/>
      <c r="BR68" s="699"/>
      <c r="BS68" s="699"/>
      <c r="BT68" s="530"/>
    </row>
    <row r="69" spans="1:72" s="17" customFormat="1" outlineLevel="1" x14ac:dyDescent="0.35">
      <c r="A69" s="56" t="s">
        <v>471</v>
      </c>
      <c r="B69" s="351"/>
      <c r="C69" s="528"/>
      <c r="D69" s="528"/>
      <c r="E69" s="528"/>
      <c r="F69" s="528"/>
      <c r="G69" s="528"/>
      <c r="H69" s="528"/>
      <c r="I69" s="528"/>
      <c r="J69" s="528"/>
      <c r="K69" s="528"/>
      <c r="L69" s="528"/>
      <c r="M69" s="528"/>
      <c r="N69" s="528"/>
      <c r="O69" s="528"/>
      <c r="P69" s="528"/>
      <c r="Q69" s="528"/>
      <c r="R69" s="528"/>
      <c r="S69" s="528"/>
      <c r="T69" s="528"/>
      <c r="U69" s="528"/>
      <c r="V69" s="528"/>
      <c r="W69" s="528"/>
      <c r="X69" s="528"/>
      <c r="Y69" s="528"/>
      <c r="Z69" s="528"/>
      <c r="AA69" s="627">
        <v>2.2999999999999998</v>
      </c>
      <c r="AB69" s="627">
        <v>2.2999999999999998</v>
      </c>
      <c r="AC69" s="627">
        <v>2.4</v>
      </c>
      <c r="AD69" s="627">
        <v>2.2999999999999998</v>
      </c>
      <c r="AE69" s="627">
        <v>2.1</v>
      </c>
      <c r="AF69" s="627">
        <v>2.2999999999999998</v>
      </c>
      <c r="AG69" s="627">
        <v>2.4</v>
      </c>
      <c r="AH69" s="627">
        <v>2.2000000000000002</v>
      </c>
      <c r="AI69" s="627">
        <v>4.7</v>
      </c>
      <c r="AJ69" s="627">
        <v>4.8</v>
      </c>
      <c r="AK69" s="627">
        <v>4.7</v>
      </c>
      <c r="AL69" s="627">
        <v>4.5</v>
      </c>
      <c r="AM69" s="528"/>
      <c r="AN69" s="528"/>
      <c r="AO69" s="528"/>
      <c r="AP69" s="528"/>
      <c r="AQ69" s="528"/>
      <c r="AR69" s="528"/>
      <c r="AS69" s="528"/>
      <c r="AT69" s="528"/>
      <c r="AU69" s="560"/>
      <c r="AV69" s="528"/>
      <c r="AW69" s="528"/>
      <c r="AX69" s="528"/>
      <c r="AY69" s="528"/>
      <c r="AZ69" s="692"/>
      <c r="BA69" s="692"/>
      <c r="BB69" s="692"/>
      <c r="BC69" s="692"/>
      <c r="BD69" s="692"/>
      <c r="BE69" s="692"/>
      <c r="BF69" s="692"/>
      <c r="BG69" s="692"/>
      <c r="BH69" s="692"/>
      <c r="BI69" s="692"/>
      <c r="BJ69" s="693">
        <f>AVERAGE(AA69,AB69,AC69,AD69)</f>
        <v>2.3250000000000002</v>
      </c>
      <c r="BK69" s="693">
        <f>AVERAGE(AE69,AF69,AG69,AH69)</f>
        <v>2.25</v>
      </c>
      <c r="BL69" s="694">
        <v>4.7</v>
      </c>
      <c r="BM69" s="692"/>
      <c r="BN69" s="712"/>
      <c r="BO69" s="692"/>
      <c r="BP69" s="692"/>
      <c r="BQ69" s="692"/>
      <c r="BR69" s="692"/>
      <c r="BS69" s="692"/>
      <c r="BT69" s="533"/>
    </row>
    <row r="70" spans="1:72" s="17" customFormat="1" outlineLevel="1" x14ac:dyDescent="0.35">
      <c r="A70" s="56" t="s">
        <v>472</v>
      </c>
      <c r="B70" s="351"/>
      <c r="C70" s="528"/>
      <c r="D70" s="528"/>
      <c r="E70" s="528"/>
      <c r="F70" s="528"/>
      <c r="G70" s="528"/>
      <c r="H70" s="528"/>
      <c r="I70" s="528"/>
      <c r="J70" s="528"/>
      <c r="K70" s="528"/>
      <c r="L70" s="528"/>
      <c r="M70" s="528"/>
      <c r="N70" s="528"/>
      <c r="O70" s="528"/>
      <c r="P70" s="528"/>
      <c r="Q70" s="528"/>
      <c r="R70" s="528"/>
      <c r="S70" s="528"/>
      <c r="T70" s="528"/>
      <c r="U70" s="528"/>
      <c r="V70" s="528"/>
      <c r="W70" s="528"/>
      <c r="X70" s="528"/>
      <c r="Y70" s="528"/>
      <c r="Z70" s="528"/>
      <c r="AA70" s="627">
        <v>-23.8</v>
      </c>
      <c r="AB70" s="627">
        <v>-23.7</v>
      </c>
      <c r="AC70" s="627">
        <v>-24.5</v>
      </c>
      <c r="AD70" s="627">
        <v>-23.3</v>
      </c>
      <c r="AE70" s="627">
        <v>-15.6</v>
      </c>
      <c r="AF70" s="627">
        <v>-15.6</v>
      </c>
      <c r="AG70" s="627">
        <v>-16.2</v>
      </c>
      <c r="AH70" s="627">
        <v>-15.5</v>
      </c>
      <c r="AI70" s="627">
        <v>-51</v>
      </c>
      <c r="AJ70" s="627">
        <v>-55.5</v>
      </c>
      <c r="AK70" s="627">
        <v>-55.4</v>
      </c>
      <c r="AL70" s="627">
        <v>-50.7</v>
      </c>
      <c r="AM70" s="528"/>
      <c r="AN70" s="528"/>
      <c r="AO70" s="528"/>
      <c r="AP70" s="528"/>
      <c r="AQ70" s="528"/>
      <c r="AR70" s="528"/>
      <c r="AS70" s="528"/>
      <c r="AT70" s="528"/>
      <c r="AU70" s="560"/>
      <c r="AV70" s="528"/>
      <c r="AW70" s="528"/>
      <c r="AX70" s="528"/>
      <c r="AY70" s="528"/>
      <c r="AZ70" s="692"/>
      <c r="BA70" s="692"/>
      <c r="BB70" s="692"/>
      <c r="BC70" s="692"/>
      <c r="BD70" s="692"/>
      <c r="BE70" s="692"/>
      <c r="BF70" s="692"/>
      <c r="BG70" s="692"/>
      <c r="BH70" s="692"/>
      <c r="BI70" s="692"/>
      <c r="BJ70" s="693">
        <f>AVERAGE(AA70,AB70,AC70,AD70)</f>
        <v>-23.824999999999999</v>
      </c>
      <c r="BK70" s="693">
        <f>AVERAGE(AE70,AF70,AG70,AH70)</f>
        <v>-15.725</v>
      </c>
      <c r="BL70" s="694">
        <v>-51.4</v>
      </c>
      <c r="BM70" s="692"/>
      <c r="BN70" s="712"/>
      <c r="BO70" s="692"/>
      <c r="BP70" s="692"/>
      <c r="BQ70" s="692"/>
      <c r="BR70" s="692"/>
      <c r="BS70" s="692"/>
      <c r="BT70" s="533"/>
    </row>
    <row r="71" spans="1:72" s="1" customFormat="1" outlineLevel="1" x14ac:dyDescent="0.35">
      <c r="A71" s="317" t="s">
        <v>557</v>
      </c>
      <c r="B71" s="352"/>
      <c r="C71" s="553"/>
      <c r="D71" s="553"/>
      <c r="E71" s="553"/>
      <c r="F71" s="553"/>
      <c r="G71" s="553"/>
      <c r="H71" s="553"/>
      <c r="I71" s="553"/>
      <c r="J71" s="553"/>
      <c r="K71" s="553"/>
      <c r="L71" s="553"/>
      <c r="M71" s="553"/>
      <c r="N71" s="553"/>
      <c r="O71" s="553"/>
      <c r="P71" s="553"/>
      <c r="Q71" s="553"/>
      <c r="R71" s="553"/>
      <c r="S71" s="553"/>
      <c r="T71" s="553"/>
      <c r="U71" s="553"/>
      <c r="V71" s="553"/>
      <c r="W71" s="553"/>
      <c r="X71" s="553"/>
      <c r="Y71" s="553"/>
      <c r="Z71" s="553"/>
      <c r="AA71" s="554">
        <f t="shared" ref="AA71:AL71" si="62">SUM(AA69:AA70)</f>
        <v>-21.5</v>
      </c>
      <c r="AB71" s="554">
        <f t="shared" si="62"/>
        <v>-21.4</v>
      </c>
      <c r="AC71" s="554">
        <f t="shared" si="62"/>
        <v>-22.1</v>
      </c>
      <c r="AD71" s="554">
        <f t="shared" si="62"/>
        <v>-21</v>
      </c>
      <c r="AE71" s="554">
        <f t="shared" si="62"/>
        <v>-13.5</v>
      </c>
      <c r="AF71" s="554">
        <f t="shared" si="62"/>
        <v>-13.3</v>
      </c>
      <c r="AG71" s="554">
        <f t="shared" si="62"/>
        <v>-13.799999999999999</v>
      </c>
      <c r="AH71" s="554">
        <f t="shared" si="62"/>
        <v>-13.3</v>
      </c>
      <c r="AI71" s="554">
        <f t="shared" si="62"/>
        <v>-46.3</v>
      </c>
      <c r="AJ71" s="554">
        <f t="shared" si="62"/>
        <v>-50.7</v>
      </c>
      <c r="AK71" s="554">
        <f t="shared" si="62"/>
        <v>-50.699999999999996</v>
      </c>
      <c r="AL71" s="554">
        <f t="shared" si="62"/>
        <v>-46.2</v>
      </c>
      <c r="AM71" s="553"/>
      <c r="AN71" s="553"/>
      <c r="AO71" s="553"/>
      <c r="AP71" s="553"/>
      <c r="AQ71" s="553"/>
      <c r="AR71" s="553"/>
      <c r="AS71" s="553"/>
      <c r="AT71" s="553"/>
      <c r="AU71" s="562"/>
      <c r="AV71" s="553"/>
      <c r="AW71" s="553"/>
      <c r="AX71" s="553"/>
      <c r="AY71" s="553"/>
      <c r="AZ71" s="696"/>
      <c r="BA71" s="696"/>
      <c r="BB71" s="696"/>
      <c r="BC71" s="696"/>
      <c r="BD71" s="696"/>
      <c r="BE71" s="696"/>
      <c r="BF71" s="696"/>
      <c r="BG71" s="696"/>
      <c r="BH71" s="696"/>
      <c r="BI71" s="696"/>
      <c r="BJ71" s="697">
        <f>SUM(BJ69:BJ70)</f>
        <v>-21.5</v>
      </c>
      <c r="BK71" s="697">
        <f>SUM(BK69:BK70)</f>
        <v>-13.475</v>
      </c>
      <c r="BL71" s="697">
        <f>SUM(BL69:BL70)</f>
        <v>-46.699999999999996</v>
      </c>
      <c r="BM71" s="696"/>
      <c r="BN71" s="716"/>
      <c r="BO71" s="696"/>
      <c r="BP71" s="696"/>
      <c r="BQ71" s="696"/>
      <c r="BR71" s="696"/>
      <c r="BS71" s="696"/>
      <c r="BT71" s="530"/>
    </row>
    <row r="72" spans="1:72" s="1" customFormat="1" outlineLevel="1" x14ac:dyDescent="0.35">
      <c r="A72" s="47" t="s">
        <v>473</v>
      </c>
      <c r="B72" s="353"/>
      <c r="C72" s="556"/>
      <c r="D72" s="556"/>
      <c r="E72" s="556"/>
      <c r="F72" s="556"/>
      <c r="G72" s="556"/>
      <c r="H72" s="556"/>
      <c r="I72" s="556"/>
      <c r="J72" s="556"/>
      <c r="K72" s="556"/>
      <c r="L72" s="556"/>
      <c r="M72" s="556"/>
      <c r="N72" s="556"/>
      <c r="O72" s="556"/>
      <c r="P72" s="556"/>
      <c r="Q72" s="556"/>
      <c r="R72" s="556"/>
      <c r="S72" s="556"/>
      <c r="T72" s="556"/>
      <c r="U72" s="556"/>
      <c r="V72" s="556"/>
      <c r="W72" s="556"/>
      <c r="X72" s="556"/>
      <c r="Y72" s="556"/>
      <c r="Z72" s="556"/>
      <c r="AA72" s="557">
        <f t="shared" ref="AA72:AL72" si="63">AA68+AA71</f>
        <v>121.1</v>
      </c>
      <c r="AB72" s="557">
        <f t="shared" si="63"/>
        <v>118.69999999999999</v>
      </c>
      <c r="AC72" s="557">
        <f t="shared" si="63"/>
        <v>119.5</v>
      </c>
      <c r="AD72" s="557">
        <f t="shared" si="63"/>
        <v>112.80000000000001</v>
      </c>
      <c r="AE72" s="557">
        <f t="shared" si="63"/>
        <v>124.4</v>
      </c>
      <c r="AF72" s="557">
        <f t="shared" si="63"/>
        <v>119.89999999999999</v>
      </c>
      <c r="AG72" s="557">
        <f t="shared" si="63"/>
        <v>122.10000000000001</v>
      </c>
      <c r="AH72" s="557">
        <f t="shared" si="63"/>
        <v>118.89999999999999</v>
      </c>
      <c r="AI72" s="557">
        <f t="shared" si="63"/>
        <v>195.39999999999998</v>
      </c>
      <c r="AJ72" s="557">
        <f t="shared" si="63"/>
        <v>191.5</v>
      </c>
      <c r="AK72" s="557">
        <f t="shared" si="63"/>
        <v>185.3</v>
      </c>
      <c r="AL72" s="557">
        <f t="shared" si="63"/>
        <v>175.40000000000003</v>
      </c>
      <c r="AM72" s="556"/>
      <c r="AN72" s="556"/>
      <c r="AO72" s="556"/>
      <c r="AP72" s="556"/>
      <c r="AQ72" s="556"/>
      <c r="AR72" s="556"/>
      <c r="AS72" s="556"/>
      <c r="AT72" s="556"/>
      <c r="AU72" s="561"/>
      <c r="AV72" s="556"/>
      <c r="AW72" s="556"/>
      <c r="AX72" s="556"/>
      <c r="AY72" s="556"/>
      <c r="AZ72" s="699"/>
      <c r="BA72" s="699"/>
      <c r="BB72" s="699"/>
      <c r="BC72" s="699"/>
      <c r="BD72" s="699"/>
      <c r="BE72" s="699"/>
      <c r="BF72" s="699"/>
      <c r="BG72" s="699"/>
      <c r="BH72" s="699"/>
      <c r="BI72" s="699"/>
      <c r="BJ72" s="700">
        <f>BJ68+BJ71</f>
        <v>117.96100000000001</v>
      </c>
      <c r="BK72" s="700">
        <f>BK68+BK71</f>
        <v>120.92500000000001</v>
      </c>
      <c r="BL72" s="700">
        <f>BL68+BL71</f>
        <v>186.3</v>
      </c>
      <c r="BM72" s="699"/>
      <c r="BN72" s="713"/>
      <c r="BO72" s="699"/>
      <c r="BP72" s="699"/>
      <c r="BQ72" s="699"/>
      <c r="BR72" s="699"/>
      <c r="BS72" s="699"/>
      <c r="BT72" s="530"/>
    </row>
    <row r="73" spans="1:72" s="1" customFormat="1" x14ac:dyDescent="0.35">
      <c r="A73" s="354"/>
      <c r="B73" s="350"/>
      <c r="C73" s="548"/>
      <c r="D73" s="548"/>
      <c r="E73" s="548"/>
      <c r="F73" s="548"/>
      <c r="G73" s="548"/>
      <c r="H73" s="548"/>
      <c r="I73" s="548"/>
      <c r="J73" s="548"/>
      <c r="K73" s="548"/>
      <c r="L73" s="548"/>
      <c r="M73" s="548"/>
      <c r="N73" s="548"/>
      <c r="O73" s="548"/>
      <c r="P73" s="548"/>
      <c r="Q73" s="548"/>
      <c r="R73" s="548"/>
      <c r="S73" s="548"/>
      <c r="T73" s="548"/>
      <c r="U73" s="548"/>
      <c r="V73" s="548"/>
      <c r="W73" s="548"/>
      <c r="X73" s="548"/>
      <c r="Y73" s="548"/>
      <c r="Z73" s="548"/>
      <c r="AA73" s="548"/>
      <c r="AB73" s="548"/>
      <c r="AC73" s="548"/>
      <c r="AD73" s="548"/>
      <c r="AE73" s="548"/>
      <c r="AF73" s="548"/>
      <c r="AG73" s="548"/>
      <c r="AH73" s="548"/>
      <c r="AI73" s="548"/>
      <c r="AJ73" s="548"/>
      <c r="AK73" s="548"/>
      <c r="AL73" s="548"/>
      <c r="AM73" s="548"/>
      <c r="AN73" s="548"/>
      <c r="AO73" s="548"/>
      <c r="AP73" s="548"/>
      <c r="AQ73" s="548"/>
      <c r="AR73" s="548"/>
      <c r="AS73" s="548"/>
      <c r="AT73" s="548"/>
      <c r="AU73" s="559"/>
      <c r="AV73" s="548"/>
      <c r="AW73" s="548"/>
      <c r="AX73" s="548"/>
      <c r="AY73" s="548"/>
      <c r="AZ73" s="688"/>
      <c r="BA73" s="688"/>
      <c r="BB73" s="688"/>
      <c r="BC73" s="688"/>
      <c r="BD73" s="688"/>
      <c r="BE73" s="688"/>
      <c r="BF73" s="688"/>
      <c r="BG73" s="688"/>
      <c r="BH73" s="688"/>
      <c r="BI73" s="688"/>
      <c r="BJ73" s="688"/>
      <c r="BK73" s="688"/>
      <c r="BL73" s="688"/>
      <c r="BM73" s="688"/>
      <c r="BN73" s="702"/>
      <c r="BO73" s="688"/>
      <c r="BP73" s="688"/>
      <c r="BQ73" s="688"/>
      <c r="BR73" s="688"/>
      <c r="BS73" s="688"/>
      <c r="BT73" s="530"/>
    </row>
    <row r="74" spans="1:72" s="1" customFormat="1" x14ac:dyDescent="0.35">
      <c r="A74" s="527" t="s">
        <v>529</v>
      </c>
      <c r="B74" s="527"/>
      <c r="C74" s="527"/>
      <c r="D74" s="527"/>
      <c r="E74" s="527"/>
      <c r="F74" s="527"/>
      <c r="G74" s="527"/>
      <c r="H74" s="527"/>
      <c r="I74" s="527"/>
      <c r="J74" s="527"/>
      <c r="K74" s="527"/>
      <c r="L74" s="527"/>
      <c r="M74" s="527"/>
      <c r="N74" s="527"/>
      <c r="O74" s="527"/>
      <c r="P74" s="527"/>
      <c r="Q74" s="527"/>
      <c r="R74" s="527"/>
      <c r="S74" s="527"/>
      <c r="T74" s="527"/>
      <c r="U74" s="527"/>
      <c r="V74" s="527"/>
      <c r="W74" s="527"/>
      <c r="X74" s="527"/>
      <c r="Y74" s="527"/>
      <c r="Z74" s="527"/>
      <c r="AA74" s="527"/>
      <c r="AB74" s="527"/>
      <c r="AC74" s="527"/>
      <c r="AD74" s="527"/>
      <c r="AE74" s="527"/>
      <c r="AF74" s="527"/>
      <c r="AG74" s="527"/>
      <c r="AH74" s="527"/>
      <c r="AI74" s="527"/>
      <c r="AJ74" s="527"/>
      <c r="AK74" s="527"/>
      <c r="AL74" s="527"/>
      <c r="AM74" s="527"/>
      <c r="AN74" s="527"/>
      <c r="AO74" s="527"/>
      <c r="AP74" s="563" t="s">
        <v>637</v>
      </c>
      <c r="AQ74" s="527"/>
      <c r="AR74" s="527"/>
      <c r="AS74" s="527"/>
      <c r="AT74" s="527"/>
      <c r="AU74" s="547"/>
      <c r="AV74" s="527"/>
      <c r="AW74" s="527"/>
      <c r="AX74" s="527"/>
      <c r="AY74" s="527"/>
      <c r="AZ74" s="527"/>
      <c r="BA74" s="527"/>
      <c r="BB74" s="527"/>
      <c r="BC74" s="527"/>
      <c r="BD74" s="527"/>
      <c r="BE74" s="527"/>
      <c r="BF74" s="527"/>
      <c r="BG74" s="527"/>
      <c r="BH74" s="527"/>
      <c r="BI74" s="527"/>
      <c r="BJ74" s="527"/>
      <c r="BK74" s="527"/>
      <c r="BL74" s="527"/>
      <c r="BM74" s="563" t="s">
        <v>637</v>
      </c>
      <c r="BN74" s="547"/>
      <c r="BO74" s="527"/>
      <c r="BP74" s="527"/>
      <c r="BQ74" s="527"/>
      <c r="BR74" s="527"/>
      <c r="BS74" s="527"/>
      <c r="BT74" s="530"/>
    </row>
    <row r="75" spans="1:72" s="17" customFormat="1" outlineLevel="1" x14ac:dyDescent="0.35">
      <c r="A75" s="174" t="s">
        <v>542</v>
      </c>
      <c r="B75" s="351"/>
      <c r="C75" s="528"/>
      <c r="D75" s="528"/>
      <c r="E75" s="528"/>
      <c r="F75" s="528"/>
      <c r="G75" s="528"/>
      <c r="H75" s="528"/>
      <c r="I75" s="528"/>
      <c r="J75" s="528"/>
      <c r="K75" s="528"/>
      <c r="L75" s="528"/>
      <c r="M75" s="528"/>
      <c r="N75" s="528"/>
      <c r="O75" s="528"/>
      <c r="P75" s="528"/>
      <c r="Q75" s="528"/>
      <c r="R75" s="528"/>
      <c r="S75" s="528"/>
      <c r="T75" s="528"/>
      <c r="U75" s="528"/>
      <c r="V75" s="528"/>
      <c r="W75" s="528"/>
      <c r="X75" s="528"/>
      <c r="Y75" s="528"/>
      <c r="Z75" s="528"/>
      <c r="AA75" s="528"/>
      <c r="AB75" s="528"/>
      <c r="AC75" s="528"/>
      <c r="AD75" s="528"/>
      <c r="AE75" s="627">
        <v>4</v>
      </c>
      <c r="AF75" s="627">
        <v>4.3</v>
      </c>
      <c r="AG75" s="627">
        <v>4.5999999999999996</v>
      </c>
      <c r="AH75" s="528">
        <f>BK75-SUM(AE75,AF75,AG75)</f>
        <v>4.9999999999999982</v>
      </c>
      <c r="AI75" s="627">
        <v>5.5</v>
      </c>
      <c r="AJ75" s="627">
        <v>9.3000000000000007</v>
      </c>
      <c r="AK75" s="627">
        <v>8.5</v>
      </c>
      <c r="AL75" s="528">
        <f>BL75-SUM(AI75,AJ75,AK75)</f>
        <v>8.0999999999999979</v>
      </c>
      <c r="AM75" s="627">
        <v>8.1</v>
      </c>
      <c r="AN75" s="627">
        <v>9.8000000000000007</v>
      </c>
      <c r="AO75" s="627">
        <v>9.1999999999999993</v>
      </c>
      <c r="AP75" s="528">
        <f>BM75-SUM(AM75,AN75,AO75)</f>
        <v>9.3000000000000007</v>
      </c>
      <c r="AQ75" s="627">
        <v>10.3</v>
      </c>
      <c r="AR75" s="627">
        <v>10.3</v>
      </c>
      <c r="AS75" s="627">
        <v>10.199999999999999</v>
      </c>
      <c r="AT75" s="528">
        <f>BN75-SUM(AQ75,AR75,AS75)</f>
        <v>11.499999999999996</v>
      </c>
      <c r="AU75" s="628">
        <v>9.4</v>
      </c>
      <c r="AV75" s="627">
        <v>9.5</v>
      </c>
      <c r="AW75" s="627">
        <v>9.5</v>
      </c>
      <c r="AX75" s="627">
        <v>9</v>
      </c>
      <c r="AY75" s="564"/>
      <c r="AZ75" s="694">
        <v>10.3</v>
      </c>
      <c r="BA75" s="694">
        <v>12.3</v>
      </c>
      <c r="BB75" s="694">
        <v>13.9</v>
      </c>
      <c r="BC75" s="694">
        <v>17.7</v>
      </c>
      <c r="BD75" s="694">
        <v>21</v>
      </c>
      <c r="BE75" s="694">
        <v>28.1</v>
      </c>
      <c r="BF75" s="694">
        <v>27.5</v>
      </c>
      <c r="BG75" s="694">
        <v>12.6</v>
      </c>
      <c r="BH75" s="694">
        <v>11.2</v>
      </c>
      <c r="BI75" s="694">
        <v>12.4</v>
      </c>
      <c r="BJ75" s="694">
        <v>15</v>
      </c>
      <c r="BK75" s="694">
        <v>17.899999999999999</v>
      </c>
      <c r="BL75" s="694">
        <v>31.4</v>
      </c>
      <c r="BM75" s="694">
        <v>36.4</v>
      </c>
      <c r="BN75" s="695">
        <v>42.3</v>
      </c>
      <c r="BO75" s="692">
        <f>SUM(AU75,AV75,AW75,AX75)</f>
        <v>37.4</v>
      </c>
      <c r="BP75" s="692" t="e">
        <f>SUM(#REF!,#REF!,#REF!,#REF!)</f>
        <v>#REF!</v>
      </c>
      <c r="BQ75" s="694">
        <v>20</v>
      </c>
      <c r="BR75" s="694">
        <v>20</v>
      </c>
      <c r="BS75" s="694">
        <v>20</v>
      </c>
      <c r="BT75" s="533"/>
    </row>
    <row r="76" spans="1:72" s="17" customFormat="1" outlineLevel="1" x14ac:dyDescent="0.35">
      <c r="A76" s="409" t="s">
        <v>530</v>
      </c>
      <c r="B76" s="410"/>
      <c r="C76" s="565"/>
      <c r="D76" s="565"/>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633">
        <v>1.1000000000000001</v>
      </c>
      <c r="AF76" s="633">
        <v>1.1000000000000001</v>
      </c>
      <c r="AG76" s="633">
        <v>1.1000000000000001</v>
      </c>
      <c r="AH76" s="565">
        <f>BK76-SUM(AE76,AF76,AG76)</f>
        <v>0.99999999999999956</v>
      </c>
      <c r="AI76" s="633">
        <v>1</v>
      </c>
      <c r="AJ76" s="633">
        <v>1</v>
      </c>
      <c r="AK76" s="633">
        <v>1.3</v>
      </c>
      <c r="AL76" s="565">
        <f>BL76-SUM(AI76,AJ76,AK76)</f>
        <v>3.3</v>
      </c>
      <c r="AM76" s="633">
        <v>1.2</v>
      </c>
      <c r="AN76" s="633">
        <v>1.2</v>
      </c>
      <c r="AO76" s="633">
        <v>1.1000000000000001</v>
      </c>
      <c r="AP76" s="565">
        <f>BM76-SUM(AM76,AN76,AO76)</f>
        <v>1.5999999999999996</v>
      </c>
      <c r="AQ76" s="633">
        <v>1.6</v>
      </c>
      <c r="AR76" s="633">
        <v>1</v>
      </c>
      <c r="AS76" s="633">
        <v>1</v>
      </c>
      <c r="AT76" s="565">
        <f>BN76-SUM(AQ76,AR76,AS76)</f>
        <v>0</v>
      </c>
      <c r="AU76" s="634">
        <v>1</v>
      </c>
      <c r="AV76" s="565">
        <f t="shared" ref="AV76:AX76" si="64">AV77-AV75</f>
        <v>2.6302125683060105</v>
      </c>
      <c r="AW76" s="565">
        <f t="shared" si="64"/>
        <v>0.43983106137836359</v>
      </c>
      <c r="AX76" s="565">
        <f t="shared" si="64"/>
        <v>-0.65310815993991689</v>
      </c>
      <c r="AY76" s="565"/>
      <c r="AZ76" s="717">
        <v>4.4000000000000004</v>
      </c>
      <c r="BA76" s="717">
        <v>3.7</v>
      </c>
      <c r="BB76" s="717">
        <v>4.9000000000000004</v>
      </c>
      <c r="BC76" s="717">
        <v>9.6</v>
      </c>
      <c r="BD76" s="717">
        <v>9.8000000000000007</v>
      </c>
      <c r="BE76" s="717">
        <v>9.4</v>
      </c>
      <c r="BF76" s="717">
        <v>6</v>
      </c>
      <c r="BG76" s="717">
        <v>6.4</v>
      </c>
      <c r="BH76" s="717">
        <v>6.7</v>
      </c>
      <c r="BI76" s="717">
        <v>5.0999999999999996</v>
      </c>
      <c r="BJ76" s="717">
        <v>5.2</v>
      </c>
      <c r="BK76" s="717">
        <v>4.3</v>
      </c>
      <c r="BL76" s="717">
        <v>6.6</v>
      </c>
      <c r="BM76" s="717">
        <v>5.0999999999999996</v>
      </c>
      <c r="BN76" s="718">
        <v>3.6</v>
      </c>
      <c r="BO76" s="719">
        <f>SUM(AU76,AV76,AW76,AX76)</f>
        <v>3.4169354697444572</v>
      </c>
      <c r="BP76" s="719" t="e">
        <f>SUM(#REF!,#REF!,#REF!,#REF!)</f>
        <v>#REF!</v>
      </c>
      <c r="BQ76" s="719" t="e">
        <f>BQ77-BQ75</f>
        <v>#REF!</v>
      </c>
      <c r="BR76" s="719" t="e">
        <f>BR77-BR75</f>
        <v>#REF!</v>
      </c>
      <c r="BS76" s="719" t="e">
        <f>BS77-BS75</f>
        <v>#REF!</v>
      </c>
      <c r="BT76" s="533"/>
    </row>
    <row r="77" spans="1:72" s="1" customFormat="1" outlineLevel="1" x14ac:dyDescent="0.35">
      <c r="A77" s="328" t="s">
        <v>531</v>
      </c>
      <c r="B77" s="350"/>
      <c r="C77" s="625">
        <v>7.7</v>
      </c>
      <c r="D77" s="548">
        <f>15.8-C77</f>
        <v>8.1000000000000014</v>
      </c>
      <c r="E77" s="625">
        <v>8</v>
      </c>
      <c r="F77" s="548">
        <f>BD77-SUM(C77,D77,E77)</f>
        <v>7</v>
      </c>
      <c r="G77" s="625">
        <v>8.5</v>
      </c>
      <c r="H77" s="625">
        <v>14.4</v>
      </c>
      <c r="I77" s="625">
        <v>9.1999999999999993</v>
      </c>
      <c r="J77" s="548">
        <f>BE77-SUM(G77,H77,I77)</f>
        <v>5.4000000000000057</v>
      </c>
      <c r="K77" s="625">
        <v>7.4</v>
      </c>
      <c r="L77" s="625">
        <v>7.2</v>
      </c>
      <c r="M77" s="625">
        <v>7.1</v>
      </c>
      <c r="N77" s="548">
        <f>BF77-SUM(K77,L77,M77)</f>
        <v>11.799999999999997</v>
      </c>
      <c r="O77" s="625">
        <v>5.3</v>
      </c>
      <c r="P77" s="625">
        <v>5.0999999999999996</v>
      </c>
      <c r="Q77" s="625">
        <v>4.7</v>
      </c>
      <c r="R77" s="548">
        <f>BG77-SUM(O77,P77,Q77)</f>
        <v>3.9000000000000021</v>
      </c>
      <c r="S77" s="625">
        <v>4.4000000000000004</v>
      </c>
      <c r="T77" s="625">
        <v>4.2</v>
      </c>
      <c r="U77" s="625">
        <v>5.5</v>
      </c>
      <c r="V77" s="548">
        <f>BH77-SUM(S77,T77,U77)</f>
        <v>3.7999999999999972</v>
      </c>
      <c r="W77" s="625">
        <v>4.4000000000000004</v>
      </c>
      <c r="X77" s="625">
        <v>4.5</v>
      </c>
      <c r="Y77" s="625">
        <v>4.8</v>
      </c>
      <c r="Z77" s="548">
        <f>BI77-SUM(W77,X77,Y77)</f>
        <v>3.8000000000000007</v>
      </c>
      <c r="AA77" s="625">
        <v>5.6</v>
      </c>
      <c r="AB77" s="625">
        <v>4.7</v>
      </c>
      <c r="AC77" s="625">
        <v>4.9000000000000004</v>
      </c>
      <c r="AD77" s="548">
        <f>BJ77-SUM(AA77,AB77,AC77)</f>
        <v>4.9999999999999982</v>
      </c>
      <c r="AE77" s="548">
        <f t="shared" ref="AE77:AU77" si="65">AE75+AE76</f>
        <v>5.0999999999999996</v>
      </c>
      <c r="AF77" s="548">
        <f t="shared" si="65"/>
        <v>5.4</v>
      </c>
      <c r="AG77" s="548">
        <f t="shared" si="65"/>
        <v>5.6999999999999993</v>
      </c>
      <c r="AH77" s="548">
        <f t="shared" si="65"/>
        <v>5.9999999999999982</v>
      </c>
      <c r="AI77" s="548">
        <f t="shared" si="65"/>
        <v>6.5</v>
      </c>
      <c r="AJ77" s="548">
        <f t="shared" si="65"/>
        <v>10.3</v>
      </c>
      <c r="AK77" s="548">
        <f t="shared" si="65"/>
        <v>9.8000000000000007</v>
      </c>
      <c r="AL77" s="548">
        <f t="shared" si="65"/>
        <v>11.399999999999999</v>
      </c>
      <c r="AM77" s="548">
        <f t="shared" si="65"/>
        <v>9.2999999999999989</v>
      </c>
      <c r="AN77" s="548">
        <f t="shared" si="65"/>
        <v>11</v>
      </c>
      <c r="AO77" s="548">
        <f t="shared" si="65"/>
        <v>10.299999999999999</v>
      </c>
      <c r="AP77" s="548">
        <f t="shared" si="65"/>
        <v>10.9</v>
      </c>
      <c r="AQ77" s="548">
        <f t="shared" si="65"/>
        <v>11.9</v>
      </c>
      <c r="AR77" s="548">
        <f t="shared" si="65"/>
        <v>11.3</v>
      </c>
      <c r="AS77" s="548">
        <f t="shared" si="65"/>
        <v>11.2</v>
      </c>
      <c r="AT77" s="548">
        <f t="shared" si="65"/>
        <v>11.499999999999996</v>
      </c>
      <c r="AU77" s="559">
        <f t="shared" si="65"/>
        <v>10.4</v>
      </c>
      <c r="AV77" s="548">
        <f t="shared" ref="AV77:AX77" si="66">AV201</f>
        <v>12.13021256830601</v>
      </c>
      <c r="AW77" s="548">
        <f t="shared" si="66"/>
        <v>9.9398310613783636</v>
      </c>
      <c r="AX77" s="548">
        <f t="shared" si="66"/>
        <v>8.3468918400600831</v>
      </c>
      <c r="AY77" s="548"/>
      <c r="AZ77" s="688">
        <f t="shared" ref="AZ77:BP77" si="67">AZ75+AZ76</f>
        <v>14.700000000000001</v>
      </c>
      <c r="BA77" s="688">
        <f t="shared" si="67"/>
        <v>16</v>
      </c>
      <c r="BB77" s="688">
        <f t="shared" si="67"/>
        <v>18.8</v>
      </c>
      <c r="BC77" s="688">
        <f t="shared" si="67"/>
        <v>27.299999999999997</v>
      </c>
      <c r="BD77" s="688">
        <f t="shared" si="67"/>
        <v>30.8</v>
      </c>
      <c r="BE77" s="688">
        <f t="shared" si="67"/>
        <v>37.5</v>
      </c>
      <c r="BF77" s="688">
        <f t="shared" si="67"/>
        <v>33.5</v>
      </c>
      <c r="BG77" s="688">
        <f t="shared" si="67"/>
        <v>19</v>
      </c>
      <c r="BH77" s="688">
        <f t="shared" si="67"/>
        <v>17.899999999999999</v>
      </c>
      <c r="BI77" s="688">
        <f t="shared" si="67"/>
        <v>17.5</v>
      </c>
      <c r="BJ77" s="688">
        <f t="shared" si="67"/>
        <v>20.2</v>
      </c>
      <c r="BK77" s="688">
        <f t="shared" si="67"/>
        <v>22.2</v>
      </c>
      <c r="BL77" s="688">
        <f t="shared" si="67"/>
        <v>38</v>
      </c>
      <c r="BM77" s="688">
        <f t="shared" si="67"/>
        <v>41.5</v>
      </c>
      <c r="BN77" s="702">
        <f t="shared" si="67"/>
        <v>45.9</v>
      </c>
      <c r="BO77" s="688">
        <f t="shared" si="67"/>
        <v>40.816935469744458</v>
      </c>
      <c r="BP77" s="688" t="e">
        <f t="shared" si="67"/>
        <v>#REF!</v>
      </c>
      <c r="BQ77" s="688" t="e">
        <f>BQ201</f>
        <v>#REF!</v>
      </c>
      <c r="BR77" s="688" t="e">
        <f>BR201</f>
        <v>#REF!</v>
      </c>
      <c r="BS77" s="688" t="e">
        <f>BS201</f>
        <v>#REF!</v>
      </c>
      <c r="BT77" s="530"/>
    </row>
    <row r="78" spans="1:72" s="17" customFormat="1" outlineLevel="1" x14ac:dyDescent="0.35">
      <c r="A78" s="175" t="s">
        <v>539</v>
      </c>
      <c r="B78" s="351"/>
      <c r="C78" s="528"/>
      <c r="D78" s="528"/>
      <c r="E78" s="528"/>
      <c r="F78" s="528"/>
      <c r="G78" s="528"/>
      <c r="H78" s="528"/>
      <c r="I78" s="528"/>
      <c r="J78" s="528"/>
      <c r="K78" s="528"/>
      <c r="L78" s="528"/>
      <c r="M78" s="528"/>
      <c r="N78" s="528"/>
      <c r="O78" s="528"/>
      <c r="P78" s="528"/>
      <c r="Q78" s="528"/>
      <c r="R78" s="528"/>
      <c r="S78" s="528"/>
      <c r="T78" s="528"/>
      <c r="U78" s="528"/>
      <c r="V78" s="528"/>
      <c r="W78" s="528"/>
      <c r="X78" s="528"/>
      <c r="Y78" s="528"/>
      <c r="Z78" s="528"/>
      <c r="AA78" s="528"/>
      <c r="AB78" s="528"/>
      <c r="AC78" s="528"/>
      <c r="AD78" s="528"/>
      <c r="AE78" s="627">
        <v>5.4</v>
      </c>
      <c r="AF78" s="627">
        <v>5.2</v>
      </c>
      <c r="AG78" s="627">
        <v>5.0999999999999996</v>
      </c>
      <c r="AH78" s="528">
        <f>BK78-SUM(AE78,AF78,AG78)</f>
        <v>5.0999999999999996</v>
      </c>
      <c r="AI78" s="627">
        <v>4.7</v>
      </c>
      <c r="AJ78" s="627">
        <v>5</v>
      </c>
      <c r="AK78" s="627">
        <v>4.9000000000000004</v>
      </c>
      <c r="AL78" s="528">
        <f>BL78-SUM(AI78,AJ78,AK78)</f>
        <v>5.0999999999999996</v>
      </c>
      <c r="AM78" s="627">
        <v>6.2</v>
      </c>
      <c r="AN78" s="627">
        <v>5.9</v>
      </c>
      <c r="AO78" s="627">
        <v>5.6</v>
      </c>
      <c r="AP78" s="528">
        <f>BM78-SUM(AM78,AN78,AO78)</f>
        <v>5.1999999999999957</v>
      </c>
      <c r="AQ78" s="627">
        <v>5.7</v>
      </c>
      <c r="AR78" s="627">
        <v>7.4</v>
      </c>
      <c r="AS78" s="627">
        <v>7</v>
      </c>
      <c r="AT78" s="528">
        <f>BN78-SUM(AQ78,AR78,AS78)</f>
        <v>6.8999999999999986</v>
      </c>
      <c r="AU78" s="628">
        <v>8.3000000000000007</v>
      </c>
      <c r="AV78" s="627">
        <v>8.3000000000000007</v>
      </c>
      <c r="AW78" s="627">
        <v>8.3000000000000007</v>
      </c>
      <c r="AX78" s="627">
        <v>8.3000000000000007</v>
      </c>
      <c r="AY78" s="564"/>
      <c r="AZ78" s="694">
        <v>1.2</v>
      </c>
      <c r="BA78" s="694">
        <v>2.7</v>
      </c>
      <c r="BB78" s="694">
        <v>7</v>
      </c>
      <c r="BC78" s="694">
        <v>9.6</v>
      </c>
      <c r="BD78" s="694">
        <v>12.2</v>
      </c>
      <c r="BE78" s="694">
        <v>18.2</v>
      </c>
      <c r="BF78" s="694">
        <v>19.399999999999999</v>
      </c>
      <c r="BG78" s="694">
        <v>23.4</v>
      </c>
      <c r="BH78" s="694">
        <v>25.1</v>
      </c>
      <c r="BI78" s="694">
        <v>25.8</v>
      </c>
      <c r="BJ78" s="694">
        <v>22.3</v>
      </c>
      <c r="BK78" s="694">
        <v>20.8</v>
      </c>
      <c r="BL78" s="694">
        <v>19.7</v>
      </c>
      <c r="BM78" s="694">
        <v>22.9</v>
      </c>
      <c r="BN78" s="695">
        <v>27</v>
      </c>
      <c r="BO78" s="692">
        <f>SUM(AU78,AV78,AW78,AX78)</f>
        <v>33.200000000000003</v>
      </c>
      <c r="BP78" s="692" t="e">
        <f>SUM(#REF!,#REF!,#REF!,#REF!)</f>
        <v>#REF!</v>
      </c>
      <c r="BQ78" s="694">
        <v>33</v>
      </c>
      <c r="BR78" s="694">
        <v>33</v>
      </c>
      <c r="BS78" s="694">
        <v>33</v>
      </c>
      <c r="BT78" s="533"/>
    </row>
    <row r="79" spans="1:72" s="17" customFormat="1" outlineLevel="1" x14ac:dyDescent="0.35">
      <c r="A79" s="175" t="s">
        <v>540</v>
      </c>
      <c r="B79" s="351"/>
      <c r="C79" s="528"/>
      <c r="D79" s="528"/>
      <c r="E79" s="528"/>
      <c r="F79" s="528"/>
      <c r="G79" s="528"/>
      <c r="H79" s="528"/>
      <c r="I79" s="528"/>
      <c r="J79" s="528"/>
      <c r="K79" s="528"/>
      <c r="L79" s="528"/>
      <c r="M79" s="528"/>
      <c r="N79" s="528"/>
      <c r="O79" s="528"/>
      <c r="P79" s="528"/>
      <c r="Q79" s="528"/>
      <c r="R79" s="528"/>
      <c r="S79" s="528"/>
      <c r="T79" s="528"/>
      <c r="U79" s="528"/>
      <c r="V79" s="528"/>
      <c r="W79" s="528"/>
      <c r="X79" s="528"/>
      <c r="Y79" s="528"/>
      <c r="Z79" s="528"/>
      <c r="AA79" s="528"/>
      <c r="AB79" s="528"/>
      <c r="AC79" s="528"/>
      <c r="AD79" s="528"/>
      <c r="AE79" s="528"/>
      <c r="AF79" s="528"/>
      <c r="AG79" s="528"/>
      <c r="AH79" s="528">
        <f>BK79-SUM(AE79,AF79,AG79)</f>
        <v>0</v>
      </c>
      <c r="AI79" s="528"/>
      <c r="AJ79" s="528"/>
      <c r="AK79" s="528"/>
      <c r="AL79" s="528">
        <f>BL79-SUM(AI79,AJ79,AK79)</f>
        <v>0</v>
      </c>
      <c r="AM79" s="528"/>
      <c r="AN79" s="528"/>
      <c r="AO79" s="528"/>
      <c r="AP79" s="528">
        <f>BM79-SUM(AM79,AN79,AO79)</f>
        <v>0</v>
      </c>
      <c r="AQ79" s="528"/>
      <c r="AR79" s="528"/>
      <c r="AS79" s="528"/>
      <c r="AT79" s="528">
        <f>BN79-SUM(AQ79,AR79,AS79)</f>
        <v>0</v>
      </c>
      <c r="AU79" s="560"/>
      <c r="AV79" s="528"/>
      <c r="AW79" s="528"/>
      <c r="AX79" s="528"/>
      <c r="AY79" s="528"/>
      <c r="AZ79" s="694">
        <v>1.1000000000000001</v>
      </c>
      <c r="BA79" s="694">
        <v>1.1000000000000001</v>
      </c>
      <c r="BB79" s="694">
        <v>1.3</v>
      </c>
      <c r="BC79" s="694">
        <v>2</v>
      </c>
      <c r="BD79" s="694">
        <v>0.8</v>
      </c>
      <c r="BE79" s="692"/>
      <c r="BF79" s="692"/>
      <c r="BG79" s="692"/>
      <c r="BH79" s="692"/>
      <c r="BI79" s="692"/>
      <c r="BJ79" s="692"/>
      <c r="BK79" s="692"/>
      <c r="BL79" s="692"/>
      <c r="BM79" s="692"/>
      <c r="BN79" s="712"/>
      <c r="BO79" s="692">
        <f>SUM(AU79,AV79,AW79,AX79)</f>
        <v>0</v>
      </c>
      <c r="BP79" s="692" t="e">
        <f>SUM(#REF!,#REF!,#REF!,#REF!)</f>
        <v>#REF!</v>
      </c>
      <c r="BQ79" s="692"/>
      <c r="BR79" s="692"/>
      <c r="BS79" s="692"/>
      <c r="BT79" s="533"/>
    </row>
    <row r="80" spans="1:72" s="17" customFormat="1" outlineLevel="1" x14ac:dyDescent="0.35">
      <c r="A80" s="175" t="s">
        <v>541</v>
      </c>
      <c r="B80" s="351"/>
      <c r="C80" s="528"/>
      <c r="D80" s="528"/>
      <c r="E80" s="528"/>
      <c r="F80" s="528"/>
      <c r="G80" s="528"/>
      <c r="H80" s="528"/>
      <c r="I80" s="528"/>
      <c r="J80" s="528"/>
      <c r="K80" s="528"/>
      <c r="L80" s="528"/>
      <c r="M80" s="528"/>
      <c r="N80" s="528"/>
      <c r="O80" s="528"/>
      <c r="P80" s="528"/>
      <c r="Q80" s="528"/>
      <c r="R80" s="528"/>
      <c r="S80" s="528"/>
      <c r="T80" s="528"/>
      <c r="U80" s="528"/>
      <c r="V80" s="528"/>
      <c r="W80" s="528"/>
      <c r="X80" s="528"/>
      <c r="Y80" s="528"/>
      <c r="Z80" s="528"/>
      <c r="AA80" s="528"/>
      <c r="AB80" s="528"/>
      <c r="AC80" s="528"/>
      <c r="AD80" s="528"/>
      <c r="AE80" s="627">
        <v>1.5</v>
      </c>
      <c r="AF80" s="627">
        <v>1.5</v>
      </c>
      <c r="AG80" s="627">
        <v>1.3</v>
      </c>
      <c r="AH80" s="528">
        <f>BK80-SUM(AE80,AF80,AG80)</f>
        <v>1.2000000000000002</v>
      </c>
      <c r="AI80" s="627">
        <v>1.1000000000000001</v>
      </c>
      <c r="AJ80" s="627">
        <v>1.1000000000000001</v>
      </c>
      <c r="AK80" s="627">
        <v>1</v>
      </c>
      <c r="AL80" s="528">
        <f>BL80-SUM(AI80,AJ80,AK80)</f>
        <v>1</v>
      </c>
      <c r="AM80" s="627">
        <v>1.3</v>
      </c>
      <c r="AN80" s="627">
        <v>1.3</v>
      </c>
      <c r="AO80" s="627">
        <v>1.4</v>
      </c>
      <c r="AP80" s="528">
        <f>BM80-SUM(AM80,AN80,AO80)</f>
        <v>1.4000000000000004</v>
      </c>
      <c r="AQ80" s="627">
        <v>1.3</v>
      </c>
      <c r="AR80" s="627">
        <v>1.3</v>
      </c>
      <c r="AS80" s="627">
        <v>1.4</v>
      </c>
      <c r="AT80" s="528">
        <f>BN80-SUM(AQ80,AR80,AS80)</f>
        <v>1.5999999999999996</v>
      </c>
      <c r="AU80" s="628">
        <v>1.7</v>
      </c>
      <c r="AV80" s="627">
        <v>1.7</v>
      </c>
      <c r="AW80" s="627">
        <v>1.7</v>
      </c>
      <c r="AX80" s="627">
        <v>1.7</v>
      </c>
      <c r="AY80" s="564"/>
      <c r="AZ80" s="694">
        <v>0.3</v>
      </c>
      <c r="BA80" s="694">
        <v>0.1</v>
      </c>
      <c r="BB80" s="694">
        <v>0.6</v>
      </c>
      <c r="BC80" s="694">
        <v>1</v>
      </c>
      <c r="BD80" s="694">
        <v>1.7</v>
      </c>
      <c r="BE80" s="694">
        <v>1.9</v>
      </c>
      <c r="BF80" s="694">
        <v>7.4</v>
      </c>
      <c r="BG80" s="694">
        <v>5.5</v>
      </c>
      <c r="BH80" s="694">
        <v>7.9</v>
      </c>
      <c r="BI80" s="694">
        <v>9.1</v>
      </c>
      <c r="BJ80" s="694">
        <v>7.4</v>
      </c>
      <c r="BK80" s="694">
        <v>5.5</v>
      </c>
      <c r="BL80" s="694">
        <v>4.2</v>
      </c>
      <c r="BM80" s="694">
        <v>5.4</v>
      </c>
      <c r="BN80" s="695">
        <v>5.6</v>
      </c>
      <c r="BO80" s="692">
        <f>SUM(AU80,AV80,AW80,AX80)</f>
        <v>6.8</v>
      </c>
      <c r="BP80" s="692" t="e">
        <f>SUM(#REF!,#REF!,#REF!,#REF!)</f>
        <v>#REF!</v>
      </c>
      <c r="BQ80" s="694">
        <v>6.8</v>
      </c>
      <c r="BR80" s="694">
        <v>6.8</v>
      </c>
      <c r="BS80" s="694">
        <v>6.8</v>
      </c>
      <c r="BT80" s="533"/>
    </row>
    <row r="81" spans="1:72" s="17" customFormat="1" outlineLevel="1" x14ac:dyDescent="0.35">
      <c r="A81" s="364" t="s">
        <v>538</v>
      </c>
      <c r="B81" s="412"/>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f t="shared" ref="AE81:AX81" si="68">SUM(AE78:AE80)</f>
        <v>6.9</v>
      </c>
      <c r="AF81" s="566">
        <f t="shared" si="68"/>
        <v>6.7</v>
      </c>
      <c r="AG81" s="566">
        <f t="shared" si="68"/>
        <v>6.3999999999999995</v>
      </c>
      <c r="AH81" s="566">
        <f t="shared" si="68"/>
        <v>6.3</v>
      </c>
      <c r="AI81" s="566">
        <f t="shared" si="68"/>
        <v>5.8000000000000007</v>
      </c>
      <c r="AJ81" s="566">
        <f t="shared" si="68"/>
        <v>6.1</v>
      </c>
      <c r="AK81" s="566">
        <f t="shared" si="68"/>
        <v>5.9</v>
      </c>
      <c r="AL81" s="566">
        <f t="shared" si="68"/>
        <v>6.1</v>
      </c>
      <c r="AM81" s="566">
        <f t="shared" si="68"/>
        <v>7.5</v>
      </c>
      <c r="AN81" s="566">
        <f t="shared" si="68"/>
        <v>7.2</v>
      </c>
      <c r="AO81" s="566">
        <f t="shared" si="68"/>
        <v>7</v>
      </c>
      <c r="AP81" s="566">
        <f t="shared" si="68"/>
        <v>6.5999999999999961</v>
      </c>
      <c r="AQ81" s="566">
        <f t="shared" si="68"/>
        <v>7</v>
      </c>
      <c r="AR81" s="566">
        <f t="shared" si="68"/>
        <v>8.7000000000000011</v>
      </c>
      <c r="AS81" s="566">
        <f t="shared" si="68"/>
        <v>8.4</v>
      </c>
      <c r="AT81" s="566">
        <f t="shared" si="68"/>
        <v>8.4999999999999982</v>
      </c>
      <c r="AU81" s="567">
        <f t="shared" si="68"/>
        <v>10</v>
      </c>
      <c r="AV81" s="566">
        <f t="shared" si="68"/>
        <v>10</v>
      </c>
      <c r="AW81" s="566">
        <f t="shared" si="68"/>
        <v>10</v>
      </c>
      <c r="AX81" s="566">
        <f t="shared" si="68"/>
        <v>10</v>
      </c>
      <c r="AY81" s="566"/>
      <c r="AZ81" s="720">
        <f>SUM(AZ78:AZ80)</f>
        <v>2.5999999999999996</v>
      </c>
      <c r="BA81" s="720">
        <f>SUM(BA78:BA80)</f>
        <v>3.9000000000000004</v>
      </c>
      <c r="BB81" s="720">
        <f>SUM(BB78:BB80)</f>
        <v>8.9</v>
      </c>
      <c r="BC81" s="721">
        <v>11.7</v>
      </c>
      <c r="BD81" s="720">
        <f t="shared" ref="BD81:BS81" si="69">SUM(BD78:BD80)</f>
        <v>14.7</v>
      </c>
      <c r="BE81" s="720">
        <f t="shared" si="69"/>
        <v>20.099999999999998</v>
      </c>
      <c r="BF81" s="720">
        <f t="shared" si="69"/>
        <v>26.799999999999997</v>
      </c>
      <c r="BG81" s="720">
        <f t="shared" si="69"/>
        <v>28.9</v>
      </c>
      <c r="BH81" s="720">
        <f t="shared" si="69"/>
        <v>33</v>
      </c>
      <c r="BI81" s="720">
        <f t="shared" si="69"/>
        <v>34.9</v>
      </c>
      <c r="BJ81" s="720">
        <f t="shared" si="69"/>
        <v>29.700000000000003</v>
      </c>
      <c r="BK81" s="720">
        <f t="shared" si="69"/>
        <v>26.3</v>
      </c>
      <c r="BL81" s="720">
        <f t="shared" si="69"/>
        <v>23.9</v>
      </c>
      <c r="BM81" s="720">
        <f t="shared" si="69"/>
        <v>28.299999999999997</v>
      </c>
      <c r="BN81" s="722">
        <f t="shared" si="69"/>
        <v>32.6</v>
      </c>
      <c r="BO81" s="720">
        <f t="shared" si="69"/>
        <v>40</v>
      </c>
      <c r="BP81" s="720" t="e">
        <f t="shared" si="69"/>
        <v>#REF!</v>
      </c>
      <c r="BQ81" s="720">
        <f t="shared" si="69"/>
        <v>39.799999999999997</v>
      </c>
      <c r="BR81" s="720">
        <f t="shared" si="69"/>
        <v>39.799999999999997</v>
      </c>
      <c r="BS81" s="720">
        <f t="shared" si="69"/>
        <v>39.799999999999997</v>
      </c>
      <c r="BT81" s="533"/>
    </row>
    <row r="82" spans="1:72" s="17" customFormat="1" outlineLevel="1" x14ac:dyDescent="0.35">
      <c r="A82" s="308" t="s">
        <v>536</v>
      </c>
      <c r="B82" s="351"/>
      <c r="C82" s="528"/>
      <c r="D82" s="528"/>
      <c r="E82" s="528"/>
      <c r="F82" s="528"/>
      <c r="G82" s="528"/>
      <c r="H82" s="528"/>
      <c r="I82" s="528"/>
      <c r="J82" s="528"/>
      <c r="K82" s="528"/>
      <c r="L82" s="528"/>
      <c r="M82" s="528"/>
      <c r="N82" s="528"/>
      <c r="O82" s="528"/>
      <c r="P82" s="528"/>
      <c r="Q82" s="528"/>
      <c r="R82" s="528"/>
      <c r="S82" s="528"/>
      <c r="T82" s="528"/>
      <c r="U82" s="528"/>
      <c r="V82" s="528"/>
      <c r="W82" s="528"/>
      <c r="X82" s="528"/>
      <c r="Y82" s="528"/>
      <c r="Z82" s="528"/>
      <c r="AA82" s="528"/>
      <c r="AB82" s="528"/>
      <c r="AC82" s="528"/>
      <c r="AD82" s="528"/>
      <c r="AE82" s="528"/>
      <c r="AF82" s="528"/>
      <c r="AG82" s="528"/>
      <c r="AH82" s="528">
        <f>BK82-SUM(AE82,AF82,AG82)</f>
        <v>0</v>
      </c>
      <c r="AI82" s="528"/>
      <c r="AJ82" s="528"/>
      <c r="AK82" s="528"/>
      <c r="AL82" s="528">
        <f>BL82-SUM(AI82,AJ82,AK82)</f>
        <v>0</v>
      </c>
      <c r="AM82" s="528"/>
      <c r="AN82" s="528"/>
      <c r="AO82" s="528"/>
      <c r="AP82" s="528">
        <f>BM82-SUM(AM82,AN82,AO82)</f>
        <v>0</v>
      </c>
      <c r="AQ82" s="528"/>
      <c r="AR82" s="528"/>
      <c r="AS82" s="528"/>
      <c r="AT82" s="528">
        <f>BN82-SUM(AQ82,AR82,AS82)</f>
        <v>0</v>
      </c>
      <c r="AU82" s="560"/>
      <c r="AV82" s="528"/>
      <c r="AW82" s="528"/>
      <c r="AX82" s="528"/>
      <c r="AY82" s="528"/>
      <c r="AZ82" s="694">
        <v>0</v>
      </c>
      <c r="BA82" s="694">
        <v>0</v>
      </c>
      <c r="BB82" s="694">
        <v>1.7</v>
      </c>
      <c r="BC82" s="694">
        <v>2</v>
      </c>
      <c r="BD82" s="694">
        <v>1.4</v>
      </c>
      <c r="BE82" s="694">
        <v>1.7</v>
      </c>
      <c r="BF82" s="694">
        <v>0.9</v>
      </c>
      <c r="BG82" s="694">
        <v>0.5</v>
      </c>
      <c r="BH82" s="694">
        <v>0.6</v>
      </c>
      <c r="BI82" s="694">
        <v>0.5</v>
      </c>
      <c r="BJ82" s="692"/>
      <c r="BK82" s="692"/>
      <c r="BL82" s="692"/>
      <c r="BM82" s="692"/>
      <c r="BN82" s="712"/>
      <c r="BO82" s="692">
        <f>SUM(AU82,AV82,AW82,AX82)</f>
        <v>0</v>
      </c>
      <c r="BP82" s="692" t="e">
        <f>SUM(#REF!,#REF!,#REF!,#REF!)</f>
        <v>#REF!</v>
      </c>
      <c r="BQ82" s="692"/>
      <c r="BR82" s="692"/>
      <c r="BS82" s="692"/>
      <c r="BT82" s="533"/>
    </row>
    <row r="83" spans="1:72" s="17" customFormat="1" outlineLevel="1" x14ac:dyDescent="0.35">
      <c r="A83" s="411" t="s">
        <v>537</v>
      </c>
      <c r="B83" s="412"/>
      <c r="C83" s="635">
        <v>3.3</v>
      </c>
      <c r="D83" s="635">
        <v>3.4</v>
      </c>
      <c r="E83" s="635">
        <v>3.6</v>
      </c>
      <c r="F83" s="566">
        <f>BD83-SUM(C83,D83,E83)</f>
        <v>5.7999999999999989</v>
      </c>
      <c r="G83" s="635">
        <v>3.7</v>
      </c>
      <c r="H83" s="635">
        <v>7.9</v>
      </c>
      <c r="I83" s="635">
        <v>3.9</v>
      </c>
      <c r="J83" s="566">
        <f>BE83-SUM(G83,H83,I83)</f>
        <v>6.2999999999999954</v>
      </c>
      <c r="K83" s="635">
        <v>4.8</v>
      </c>
      <c r="L83" s="635">
        <v>5.3</v>
      </c>
      <c r="M83" s="635">
        <v>5.6</v>
      </c>
      <c r="N83" s="566">
        <f>BF83-SUM(K83,L83,M83)</f>
        <v>11.999999999999996</v>
      </c>
      <c r="O83" s="635">
        <v>6.5</v>
      </c>
      <c r="P83" s="635">
        <v>6.8</v>
      </c>
      <c r="Q83" s="635">
        <v>8</v>
      </c>
      <c r="R83" s="566">
        <f>BG83-SUM(O83,P83,Q83)</f>
        <v>8.0999999999999979</v>
      </c>
      <c r="S83" s="635">
        <v>8</v>
      </c>
      <c r="T83" s="635">
        <v>8.8000000000000007</v>
      </c>
      <c r="U83" s="635">
        <v>8.4</v>
      </c>
      <c r="V83" s="566">
        <f>BH83-SUM(S83,T83,U83)</f>
        <v>8.3999999999999986</v>
      </c>
      <c r="W83" s="635">
        <v>10.3</v>
      </c>
      <c r="X83" s="635">
        <v>8.4</v>
      </c>
      <c r="Y83" s="635">
        <v>8.1999999999999993</v>
      </c>
      <c r="Z83" s="566">
        <f>BI83-SUM(W83,X83,Y83)</f>
        <v>8.4999999999999964</v>
      </c>
      <c r="AA83" s="635">
        <v>7.7</v>
      </c>
      <c r="AB83" s="635">
        <v>7.7</v>
      </c>
      <c r="AC83" s="635">
        <v>7</v>
      </c>
      <c r="AD83" s="566">
        <f>BJ83-SUM(AA83,AB83,AC83)</f>
        <v>7.3000000000000043</v>
      </c>
      <c r="AE83" s="566">
        <f t="shared" ref="AE83:AX83" si="70">SUM(AE81:AE82)</f>
        <v>6.9</v>
      </c>
      <c r="AF83" s="566">
        <f t="shared" si="70"/>
        <v>6.7</v>
      </c>
      <c r="AG83" s="566">
        <f t="shared" si="70"/>
        <v>6.3999999999999995</v>
      </c>
      <c r="AH83" s="566">
        <f t="shared" si="70"/>
        <v>6.3</v>
      </c>
      <c r="AI83" s="566">
        <f t="shared" si="70"/>
        <v>5.8000000000000007</v>
      </c>
      <c r="AJ83" s="566">
        <f t="shared" si="70"/>
        <v>6.1</v>
      </c>
      <c r="AK83" s="566">
        <f t="shared" si="70"/>
        <v>5.9</v>
      </c>
      <c r="AL83" s="566">
        <f t="shared" si="70"/>
        <v>6.1</v>
      </c>
      <c r="AM83" s="566">
        <f t="shared" si="70"/>
        <v>7.5</v>
      </c>
      <c r="AN83" s="566">
        <f t="shared" si="70"/>
        <v>7.2</v>
      </c>
      <c r="AO83" s="566">
        <f t="shared" si="70"/>
        <v>7</v>
      </c>
      <c r="AP83" s="566">
        <f t="shared" si="70"/>
        <v>6.5999999999999961</v>
      </c>
      <c r="AQ83" s="566">
        <f t="shared" si="70"/>
        <v>7</v>
      </c>
      <c r="AR83" s="566">
        <f t="shared" si="70"/>
        <v>8.7000000000000011</v>
      </c>
      <c r="AS83" s="566">
        <f t="shared" si="70"/>
        <v>8.4</v>
      </c>
      <c r="AT83" s="566">
        <f t="shared" si="70"/>
        <v>8.4999999999999982</v>
      </c>
      <c r="AU83" s="567">
        <f t="shared" si="70"/>
        <v>10</v>
      </c>
      <c r="AV83" s="566">
        <f t="shared" si="70"/>
        <v>10</v>
      </c>
      <c r="AW83" s="566">
        <f t="shared" si="70"/>
        <v>10</v>
      </c>
      <c r="AX83" s="566">
        <f t="shared" si="70"/>
        <v>10</v>
      </c>
      <c r="AY83" s="566"/>
      <c r="AZ83" s="720">
        <f t="shared" ref="AZ83:BS83" si="71">SUM(AZ81:AZ82)</f>
        <v>2.5999999999999996</v>
      </c>
      <c r="BA83" s="720">
        <f t="shared" si="71"/>
        <v>3.9000000000000004</v>
      </c>
      <c r="BB83" s="720">
        <f t="shared" si="71"/>
        <v>10.6</v>
      </c>
      <c r="BC83" s="720">
        <f t="shared" si="71"/>
        <v>13.7</v>
      </c>
      <c r="BD83" s="720">
        <f t="shared" si="71"/>
        <v>16.099999999999998</v>
      </c>
      <c r="BE83" s="720">
        <f t="shared" si="71"/>
        <v>21.799999999999997</v>
      </c>
      <c r="BF83" s="720">
        <f t="shared" si="71"/>
        <v>27.699999999999996</v>
      </c>
      <c r="BG83" s="720">
        <f t="shared" si="71"/>
        <v>29.4</v>
      </c>
      <c r="BH83" s="720">
        <f t="shared" si="71"/>
        <v>33.6</v>
      </c>
      <c r="BI83" s="720">
        <f t="shared" si="71"/>
        <v>35.4</v>
      </c>
      <c r="BJ83" s="720">
        <f t="shared" si="71"/>
        <v>29.700000000000003</v>
      </c>
      <c r="BK83" s="720">
        <f t="shared" si="71"/>
        <v>26.3</v>
      </c>
      <c r="BL83" s="720">
        <f t="shared" si="71"/>
        <v>23.9</v>
      </c>
      <c r="BM83" s="720">
        <f t="shared" si="71"/>
        <v>28.299999999999997</v>
      </c>
      <c r="BN83" s="722">
        <f t="shared" si="71"/>
        <v>32.6</v>
      </c>
      <c r="BO83" s="720">
        <f t="shared" si="71"/>
        <v>40</v>
      </c>
      <c r="BP83" s="720" t="e">
        <f t="shared" si="71"/>
        <v>#REF!</v>
      </c>
      <c r="BQ83" s="720">
        <f t="shared" si="71"/>
        <v>39.799999999999997</v>
      </c>
      <c r="BR83" s="720">
        <f t="shared" si="71"/>
        <v>39.799999999999997</v>
      </c>
      <c r="BS83" s="720">
        <f t="shared" si="71"/>
        <v>39.799999999999997</v>
      </c>
      <c r="BT83" s="533"/>
    </row>
    <row r="84" spans="1:72" s="17" customFormat="1" outlineLevel="1" x14ac:dyDescent="0.35">
      <c r="A84" s="174" t="s">
        <v>532</v>
      </c>
      <c r="B84" s="351"/>
      <c r="C84" s="627">
        <v>3.5</v>
      </c>
      <c r="D84" s="627">
        <v>3.6</v>
      </c>
      <c r="E84" s="627">
        <v>3.6</v>
      </c>
      <c r="F84" s="528">
        <f>BD84-SUM(C84,D84,E84)</f>
        <v>3.6000000000000014</v>
      </c>
      <c r="G84" s="627">
        <v>3.9</v>
      </c>
      <c r="H84" s="627">
        <v>6.4</v>
      </c>
      <c r="I84" s="627">
        <v>4.3</v>
      </c>
      <c r="J84" s="528">
        <f>BE84-SUM(G84,H84,I84)</f>
        <v>4.3999999999999986</v>
      </c>
      <c r="K84" s="627">
        <v>4</v>
      </c>
      <c r="L84" s="627">
        <v>4.5</v>
      </c>
      <c r="M84" s="627">
        <v>4.5</v>
      </c>
      <c r="N84" s="528">
        <f>BF84-SUM(K84,L84,M84)</f>
        <v>7.1000000000000014</v>
      </c>
      <c r="O84" s="627">
        <v>4.2</v>
      </c>
      <c r="P84" s="627">
        <v>4</v>
      </c>
      <c r="Q84" s="627">
        <v>4.3</v>
      </c>
      <c r="R84" s="528">
        <f>BG84-SUM(O84,P84,Q84)</f>
        <v>4.5</v>
      </c>
      <c r="S84" s="627">
        <v>4.5999999999999996</v>
      </c>
      <c r="T84" s="627">
        <v>5</v>
      </c>
      <c r="U84" s="627">
        <v>5.2</v>
      </c>
      <c r="V84" s="528">
        <f>BH84-SUM(S84,T84,U84)</f>
        <v>5.0999999999999979</v>
      </c>
      <c r="W84" s="627">
        <v>5.2</v>
      </c>
      <c r="X84" s="627">
        <v>4.9000000000000004</v>
      </c>
      <c r="Y84" s="627">
        <v>4.7</v>
      </c>
      <c r="Z84" s="528">
        <f>BI84-SUM(W84,X84,Y84)</f>
        <v>4.5999999999999979</v>
      </c>
      <c r="AA84" s="627">
        <v>4.5</v>
      </c>
      <c r="AB84" s="627">
        <v>4.5</v>
      </c>
      <c r="AC84" s="627">
        <v>4.5</v>
      </c>
      <c r="AD84" s="528">
        <f>BJ84-SUM(AA84,AB84,AC84)</f>
        <v>5</v>
      </c>
      <c r="AE84" s="627">
        <v>4.4000000000000004</v>
      </c>
      <c r="AF84" s="627">
        <v>4.4000000000000004</v>
      </c>
      <c r="AG84" s="627">
        <v>4.5</v>
      </c>
      <c r="AH84" s="528">
        <f>BK84-SUM(AE84,AF84,AG84)</f>
        <v>4.1999999999999993</v>
      </c>
      <c r="AI84" s="627">
        <v>4</v>
      </c>
      <c r="AJ84" s="627">
        <v>4.3</v>
      </c>
      <c r="AK84" s="627">
        <v>4.4000000000000004</v>
      </c>
      <c r="AL84" s="528">
        <f>BL84-SUM(AI84,AJ84,AK84)</f>
        <v>3.6999999999999975</v>
      </c>
      <c r="AM84" s="627">
        <v>4.2</v>
      </c>
      <c r="AN84" s="627">
        <v>3.8</v>
      </c>
      <c r="AO84" s="627">
        <v>3.5</v>
      </c>
      <c r="AP84" s="528">
        <f>BM84-SUM(AM84,AN84,AO84)</f>
        <v>3.5999999999999996</v>
      </c>
      <c r="AQ84" s="627">
        <v>4</v>
      </c>
      <c r="AR84" s="627">
        <v>4.0999999999999996</v>
      </c>
      <c r="AS84" s="627">
        <v>4.0999999999999996</v>
      </c>
      <c r="AT84" s="528">
        <f>BN84-SUM(AQ84,AR84,AS84)</f>
        <v>4.5</v>
      </c>
      <c r="AU84" s="628">
        <v>4.5999999999999996</v>
      </c>
      <c r="AV84" s="528">
        <f t="shared" ref="AV84:AX84" si="72">AV86-AV83-AV85</f>
        <v>3.8712030054644808</v>
      </c>
      <c r="AW84" s="528">
        <f t="shared" si="72"/>
        <v>3.6912210420175291</v>
      </c>
      <c r="AX84" s="528">
        <f t="shared" si="72"/>
        <v>3.6644657866462054</v>
      </c>
      <c r="AY84" s="528"/>
      <c r="AZ84" s="694">
        <v>3.4</v>
      </c>
      <c r="BA84" s="694">
        <v>5.7</v>
      </c>
      <c r="BB84" s="694">
        <v>10.4</v>
      </c>
      <c r="BC84" s="694">
        <v>12.4</v>
      </c>
      <c r="BD84" s="694">
        <v>14.3</v>
      </c>
      <c r="BE84" s="694">
        <v>19</v>
      </c>
      <c r="BF84" s="694">
        <v>20.100000000000001</v>
      </c>
      <c r="BG84" s="694">
        <v>17</v>
      </c>
      <c r="BH84" s="694">
        <v>19.899999999999999</v>
      </c>
      <c r="BI84" s="694">
        <v>19.399999999999999</v>
      </c>
      <c r="BJ84" s="694">
        <v>18.5</v>
      </c>
      <c r="BK84" s="694">
        <v>17.5</v>
      </c>
      <c r="BL84" s="694">
        <v>16.399999999999999</v>
      </c>
      <c r="BM84" s="694">
        <v>15.1</v>
      </c>
      <c r="BN84" s="695">
        <v>16.7</v>
      </c>
      <c r="BO84" s="692">
        <f>SUM(AU84,AV84,AW84,AX84)</f>
        <v>15.826889834128217</v>
      </c>
      <c r="BP84" s="692" t="e">
        <f>SUM(#REF!,#REF!,#REF!,#REF!)</f>
        <v>#REF!</v>
      </c>
      <c r="BQ84" s="692" t="e">
        <f>BQ86-BQ83-BQ85</f>
        <v>#REF!</v>
      </c>
      <c r="BR84" s="692" t="e">
        <f>BR86-BR83-BR85</f>
        <v>#REF!</v>
      </c>
      <c r="BS84" s="692" t="e">
        <f>BS86-BS83-BS85</f>
        <v>#REF!</v>
      </c>
      <c r="BT84" s="533"/>
    </row>
    <row r="85" spans="1:72" s="17" customFormat="1" outlineLevel="1" x14ac:dyDescent="0.35">
      <c r="A85" s="409" t="s">
        <v>533</v>
      </c>
      <c r="B85" s="410"/>
      <c r="C85" s="633">
        <v>1.1000000000000001</v>
      </c>
      <c r="D85" s="633">
        <v>1.1000000000000001</v>
      </c>
      <c r="E85" s="633">
        <v>1.1000000000000001</v>
      </c>
      <c r="F85" s="565">
        <f>BD85-SUM(C85,D85,E85)</f>
        <v>1.2999999999999994</v>
      </c>
      <c r="G85" s="633">
        <v>0.8</v>
      </c>
      <c r="H85" s="633">
        <v>5.9</v>
      </c>
      <c r="I85" s="633">
        <v>0.7</v>
      </c>
      <c r="J85" s="565">
        <f>BE85-SUM(G85,H85,I85)</f>
        <v>0.59999999999999964</v>
      </c>
      <c r="K85" s="633">
        <v>0.6</v>
      </c>
      <c r="L85" s="633">
        <v>0.6</v>
      </c>
      <c r="M85" s="633">
        <v>0.6</v>
      </c>
      <c r="N85" s="565">
        <f>BF85-SUM(K85,L85,M85)</f>
        <v>0.80000000000000027</v>
      </c>
      <c r="O85" s="633">
        <v>0.6</v>
      </c>
      <c r="P85" s="633">
        <v>0.6</v>
      </c>
      <c r="Q85" s="633">
        <v>0.6</v>
      </c>
      <c r="R85" s="565">
        <f>BG85-SUM(O85,P85,Q85)</f>
        <v>0.90000000000000036</v>
      </c>
      <c r="S85" s="633">
        <v>0.7</v>
      </c>
      <c r="T85" s="633">
        <v>0.7</v>
      </c>
      <c r="U85" s="633">
        <v>0.8</v>
      </c>
      <c r="V85" s="565">
        <f>BH85-SUM(S85,T85,U85)</f>
        <v>0.69999999999999973</v>
      </c>
      <c r="W85" s="633">
        <v>0.7</v>
      </c>
      <c r="X85" s="633">
        <v>0.8</v>
      </c>
      <c r="Y85" s="633">
        <v>0.7</v>
      </c>
      <c r="Z85" s="565">
        <f>BI85-SUM(W85,X85,Y85)</f>
        <v>0.79999999999999982</v>
      </c>
      <c r="AA85" s="633">
        <v>0.7</v>
      </c>
      <c r="AB85" s="633">
        <v>0.8</v>
      </c>
      <c r="AC85" s="633">
        <v>0.7</v>
      </c>
      <c r="AD85" s="565">
        <f>BJ85-SUM(AA85,AB85,AC85)</f>
        <v>0.79999999999999982</v>
      </c>
      <c r="AE85" s="633">
        <v>0.74299999999999999</v>
      </c>
      <c r="AF85" s="633">
        <v>0.74199999999999999</v>
      </c>
      <c r="AG85" s="633">
        <v>1.7649999999999999</v>
      </c>
      <c r="AH85" s="565">
        <f>BK85-SUM(AE85,AF85,AG85)</f>
        <v>2.7629999999999999</v>
      </c>
      <c r="AI85" s="633">
        <v>2.052</v>
      </c>
      <c r="AJ85" s="633">
        <v>2.524</v>
      </c>
      <c r="AK85" s="633">
        <v>3.4990000000000001</v>
      </c>
      <c r="AL85" s="565">
        <f>BL85-SUM(AI85,AJ85,AK85)</f>
        <v>3.5669999999999984</v>
      </c>
      <c r="AM85" s="633">
        <v>3.2130000000000001</v>
      </c>
      <c r="AN85" s="633">
        <v>3.214</v>
      </c>
      <c r="AO85" s="633">
        <v>3.27</v>
      </c>
      <c r="AP85" s="565">
        <f>BM85-SUM(AM85,AN85,AO85)</f>
        <v>3.2710000000000008</v>
      </c>
      <c r="AQ85" s="633">
        <v>3.2890000000000001</v>
      </c>
      <c r="AR85" s="633">
        <v>3.2789999999999999</v>
      </c>
      <c r="AS85" s="633">
        <v>3.2800000000000002</v>
      </c>
      <c r="AT85" s="565">
        <f>BN85-SUM(AQ85,AR85,AS85)</f>
        <v>5.3520000000000003</v>
      </c>
      <c r="AU85" s="634">
        <v>3.0150000000000001</v>
      </c>
      <c r="AV85" s="633">
        <v>3.3</v>
      </c>
      <c r="AW85" s="633">
        <v>3.1</v>
      </c>
      <c r="AX85" s="633">
        <v>3.1</v>
      </c>
      <c r="AY85" s="568"/>
      <c r="AZ85" s="717">
        <v>0.1</v>
      </c>
      <c r="BA85" s="717">
        <v>0.2</v>
      </c>
      <c r="BB85" s="717">
        <v>3.1</v>
      </c>
      <c r="BC85" s="717">
        <v>4.7</v>
      </c>
      <c r="BD85" s="717">
        <v>4.5999999999999996</v>
      </c>
      <c r="BE85" s="717">
        <v>8</v>
      </c>
      <c r="BF85" s="717">
        <v>2.6</v>
      </c>
      <c r="BG85" s="717">
        <v>2.7</v>
      </c>
      <c r="BH85" s="717">
        <v>2.9</v>
      </c>
      <c r="BI85" s="717">
        <v>3</v>
      </c>
      <c r="BJ85" s="717">
        <v>3</v>
      </c>
      <c r="BK85" s="717">
        <v>6.0129999999999999</v>
      </c>
      <c r="BL85" s="717">
        <v>11.641999999999999</v>
      </c>
      <c r="BM85" s="717">
        <v>12.968</v>
      </c>
      <c r="BN85" s="718">
        <v>15.2</v>
      </c>
      <c r="BO85" s="719">
        <f>SUM(AU85,AV85,AW85,AX85)</f>
        <v>12.514999999999999</v>
      </c>
      <c r="BP85" s="719" t="e">
        <f>SUM(#REF!,#REF!,#REF!,#REF!)</f>
        <v>#REF!</v>
      </c>
      <c r="BQ85" s="717">
        <v>14</v>
      </c>
      <c r="BR85" s="717">
        <v>14</v>
      </c>
      <c r="BS85" s="717">
        <v>14</v>
      </c>
      <c r="BT85" s="533"/>
    </row>
    <row r="86" spans="1:72" s="1" customFormat="1" outlineLevel="1" x14ac:dyDescent="0.35">
      <c r="A86" s="328" t="s">
        <v>534</v>
      </c>
      <c r="B86" s="350"/>
      <c r="C86" s="548">
        <f t="shared" ref="C86:AU86" si="73">C83+C84+C85</f>
        <v>7.9</v>
      </c>
      <c r="D86" s="548">
        <f t="shared" si="73"/>
        <v>8.1</v>
      </c>
      <c r="E86" s="548">
        <f t="shared" si="73"/>
        <v>8.3000000000000007</v>
      </c>
      <c r="F86" s="548">
        <f t="shared" si="73"/>
        <v>10.7</v>
      </c>
      <c r="G86" s="548">
        <f t="shared" si="73"/>
        <v>8.4</v>
      </c>
      <c r="H86" s="548">
        <f t="shared" si="73"/>
        <v>20.200000000000003</v>
      </c>
      <c r="I86" s="548">
        <f t="shared" si="73"/>
        <v>8.8999999999999986</v>
      </c>
      <c r="J86" s="548">
        <f t="shared" si="73"/>
        <v>11.299999999999994</v>
      </c>
      <c r="K86" s="548">
        <f t="shared" si="73"/>
        <v>9.4</v>
      </c>
      <c r="L86" s="548">
        <f t="shared" si="73"/>
        <v>10.4</v>
      </c>
      <c r="M86" s="548">
        <f t="shared" si="73"/>
        <v>10.7</v>
      </c>
      <c r="N86" s="548">
        <f t="shared" si="73"/>
        <v>19.899999999999999</v>
      </c>
      <c r="O86" s="548">
        <f t="shared" si="73"/>
        <v>11.299999999999999</v>
      </c>
      <c r="P86" s="548">
        <f t="shared" si="73"/>
        <v>11.4</v>
      </c>
      <c r="Q86" s="548">
        <f t="shared" si="73"/>
        <v>12.9</v>
      </c>
      <c r="R86" s="548">
        <f t="shared" si="73"/>
        <v>13.499999999999998</v>
      </c>
      <c r="S86" s="548">
        <f t="shared" si="73"/>
        <v>13.299999999999999</v>
      </c>
      <c r="T86" s="548">
        <f t="shared" si="73"/>
        <v>14.5</v>
      </c>
      <c r="U86" s="548">
        <f t="shared" si="73"/>
        <v>14.400000000000002</v>
      </c>
      <c r="V86" s="548">
        <f t="shared" si="73"/>
        <v>14.199999999999996</v>
      </c>
      <c r="W86" s="548">
        <f t="shared" si="73"/>
        <v>16.2</v>
      </c>
      <c r="X86" s="548">
        <f t="shared" si="73"/>
        <v>14.100000000000001</v>
      </c>
      <c r="Y86" s="548">
        <f t="shared" si="73"/>
        <v>13.599999999999998</v>
      </c>
      <c r="Z86" s="548">
        <f t="shared" si="73"/>
        <v>13.899999999999995</v>
      </c>
      <c r="AA86" s="548">
        <f t="shared" si="73"/>
        <v>12.899999999999999</v>
      </c>
      <c r="AB86" s="548">
        <f t="shared" si="73"/>
        <v>13</v>
      </c>
      <c r="AC86" s="548">
        <f t="shared" si="73"/>
        <v>12.2</v>
      </c>
      <c r="AD86" s="548">
        <f t="shared" si="73"/>
        <v>13.100000000000005</v>
      </c>
      <c r="AE86" s="548">
        <f t="shared" si="73"/>
        <v>12.043000000000001</v>
      </c>
      <c r="AF86" s="548">
        <f t="shared" si="73"/>
        <v>11.842000000000002</v>
      </c>
      <c r="AG86" s="548">
        <f t="shared" si="73"/>
        <v>12.664999999999999</v>
      </c>
      <c r="AH86" s="548">
        <f t="shared" si="73"/>
        <v>13.263</v>
      </c>
      <c r="AI86" s="548">
        <f t="shared" si="73"/>
        <v>11.852</v>
      </c>
      <c r="AJ86" s="548">
        <f t="shared" si="73"/>
        <v>12.923999999999999</v>
      </c>
      <c r="AK86" s="548">
        <f t="shared" si="73"/>
        <v>13.799000000000001</v>
      </c>
      <c r="AL86" s="548">
        <f t="shared" si="73"/>
        <v>13.366999999999996</v>
      </c>
      <c r="AM86" s="548">
        <f t="shared" si="73"/>
        <v>14.913</v>
      </c>
      <c r="AN86" s="548">
        <f t="shared" si="73"/>
        <v>14.214</v>
      </c>
      <c r="AO86" s="548">
        <f t="shared" si="73"/>
        <v>13.77</v>
      </c>
      <c r="AP86" s="548">
        <f t="shared" si="73"/>
        <v>13.470999999999997</v>
      </c>
      <c r="AQ86" s="548">
        <f t="shared" si="73"/>
        <v>14.289</v>
      </c>
      <c r="AR86" s="548">
        <f t="shared" si="73"/>
        <v>16.079000000000001</v>
      </c>
      <c r="AS86" s="548">
        <f t="shared" si="73"/>
        <v>15.780000000000001</v>
      </c>
      <c r="AT86" s="548">
        <f t="shared" si="73"/>
        <v>18.351999999999997</v>
      </c>
      <c r="AU86" s="559">
        <f t="shared" si="73"/>
        <v>17.614999999999998</v>
      </c>
      <c r="AV86" s="548">
        <f t="shared" ref="AV86:AX86" si="74">AV202</f>
        <v>17.171203005464481</v>
      </c>
      <c r="AW86" s="548">
        <f t="shared" si="74"/>
        <v>16.791221042017529</v>
      </c>
      <c r="AX86" s="548">
        <f t="shared" si="74"/>
        <v>16.764465786646205</v>
      </c>
      <c r="AY86" s="548"/>
      <c r="AZ86" s="688">
        <f t="shared" ref="AZ86:BP86" si="75">AZ83+AZ84+AZ85</f>
        <v>6.1</v>
      </c>
      <c r="BA86" s="688">
        <f t="shared" si="75"/>
        <v>9.8000000000000007</v>
      </c>
      <c r="BB86" s="688">
        <f t="shared" si="75"/>
        <v>24.1</v>
      </c>
      <c r="BC86" s="688">
        <f t="shared" si="75"/>
        <v>30.8</v>
      </c>
      <c r="BD86" s="688">
        <f t="shared" si="75"/>
        <v>35</v>
      </c>
      <c r="BE86" s="688">
        <f t="shared" si="75"/>
        <v>48.8</v>
      </c>
      <c r="BF86" s="688">
        <f t="shared" si="75"/>
        <v>50.4</v>
      </c>
      <c r="BG86" s="688">
        <f t="shared" si="75"/>
        <v>49.1</v>
      </c>
      <c r="BH86" s="688">
        <f t="shared" si="75"/>
        <v>56.4</v>
      </c>
      <c r="BI86" s="688">
        <f t="shared" si="75"/>
        <v>57.8</v>
      </c>
      <c r="BJ86" s="688">
        <f t="shared" si="75"/>
        <v>51.2</v>
      </c>
      <c r="BK86" s="688">
        <f t="shared" si="75"/>
        <v>49.812999999999995</v>
      </c>
      <c r="BL86" s="688">
        <f t="shared" si="75"/>
        <v>51.941999999999993</v>
      </c>
      <c r="BM86" s="688">
        <f t="shared" si="75"/>
        <v>56.367999999999995</v>
      </c>
      <c r="BN86" s="702">
        <f t="shared" si="75"/>
        <v>64.5</v>
      </c>
      <c r="BO86" s="688">
        <f t="shared" si="75"/>
        <v>68.34188983412821</v>
      </c>
      <c r="BP86" s="688" t="e">
        <f t="shared" si="75"/>
        <v>#REF!</v>
      </c>
      <c r="BQ86" s="688" t="e">
        <f>BQ202</f>
        <v>#REF!</v>
      </c>
      <c r="BR86" s="688" t="e">
        <f>BR202</f>
        <v>#REF!</v>
      </c>
      <c r="BS86" s="688" t="e">
        <f>BS202</f>
        <v>#REF!</v>
      </c>
      <c r="BT86" s="530"/>
    </row>
    <row r="87" spans="1:72" s="17" customFormat="1" outlineLevel="1" x14ac:dyDescent="0.35">
      <c r="A87" s="178" t="s">
        <v>544</v>
      </c>
      <c r="B87" s="351"/>
      <c r="C87" s="528">
        <f t="shared" ref="C87:AH87" si="76">C88-C77-C86</f>
        <v>6.0999999999999055E-2</v>
      </c>
      <c r="D87" s="528">
        <f t="shared" si="76"/>
        <v>3.2999999999995921E-2</v>
      </c>
      <c r="E87" s="528">
        <f t="shared" si="76"/>
        <v>-1.7999999999997129E-2</v>
      </c>
      <c r="F87" s="528">
        <f t="shared" si="76"/>
        <v>-0.13900000000000645</v>
      </c>
      <c r="G87" s="528">
        <f t="shared" si="76"/>
        <v>4.9999999999998934E-2</v>
      </c>
      <c r="H87" s="528">
        <f t="shared" si="76"/>
        <v>-7.6000000000000512E-2</v>
      </c>
      <c r="I87" s="528">
        <f t="shared" si="76"/>
        <v>-8.2999999999994856E-2</v>
      </c>
      <c r="J87" s="528">
        <f t="shared" si="76"/>
        <v>7.5999999999996959E-2</v>
      </c>
      <c r="K87" s="528">
        <f t="shared" si="76"/>
        <v>7.9999999999998295E-2</v>
      </c>
      <c r="L87" s="528">
        <f t="shared" si="76"/>
        <v>2.9000000000001691E-2</v>
      </c>
      <c r="M87" s="528">
        <f t="shared" si="76"/>
        <v>-3.5999999999996035E-2</v>
      </c>
      <c r="N87" s="528">
        <f t="shared" si="76"/>
        <v>-0.17199999999999704</v>
      </c>
      <c r="O87" s="528">
        <f t="shared" si="76"/>
        <v>-3.4999999999998366E-2</v>
      </c>
      <c r="P87" s="528">
        <f t="shared" si="76"/>
        <v>-3.000000000000469E-2</v>
      </c>
      <c r="Q87" s="528">
        <f t="shared" si="76"/>
        <v>-1.2999999999996348E-2</v>
      </c>
      <c r="R87" s="528">
        <f t="shared" si="76"/>
        <v>0.20299999999999407</v>
      </c>
      <c r="S87" s="528">
        <f t="shared" si="76"/>
        <v>-1.9999999999999574E-2</v>
      </c>
      <c r="T87" s="528">
        <f t="shared" si="76"/>
        <v>-4.9999999999990052E-3</v>
      </c>
      <c r="U87" s="528">
        <f t="shared" si="76"/>
        <v>5.0000000000000711E-2</v>
      </c>
      <c r="V87" s="528">
        <f t="shared" si="76"/>
        <v>-4.49999999999946E-2</v>
      </c>
      <c r="W87" s="528">
        <f t="shared" si="76"/>
        <v>3.5999999999997812E-2</v>
      </c>
      <c r="X87" s="528">
        <f t="shared" si="76"/>
        <v>-5.0000000000000711E-2</v>
      </c>
      <c r="Y87" s="528">
        <f t="shared" si="76"/>
        <v>2.6000000000003354E-2</v>
      </c>
      <c r="Z87" s="528">
        <f t="shared" si="76"/>
        <v>-5.1999999999992497E-2</v>
      </c>
      <c r="AA87" s="528">
        <f t="shared" si="76"/>
        <v>1.1000000000001009E-2</v>
      </c>
      <c r="AB87" s="528">
        <f t="shared" si="76"/>
        <v>9.9999999999980105E-3</v>
      </c>
      <c r="AC87" s="528">
        <f t="shared" si="76"/>
        <v>-6.1999999999995836E-2</v>
      </c>
      <c r="AD87" s="528">
        <f t="shared" si="76"/>
        <v>4.1000000000002146E-2</v>
      </c>
      <c r="AE87" s="528">
        <f t="shared" si="76"/>
        <v>3.0000000000001137E-3</v>
      </c>
      <c r="AF87" s="528">
        <f t="shared" si="76"/>
        <v>-1.2000000000005784E-2</v>
      </c>
      <c r="AG87" s="528">
        <f t="shared" si="76"/>
        <v>4.9000000000003041E-2</v>
      </c>
      <c r="AH87" s="528">
        <f t="shared" si="76"/>
        <v>3.7999999999996703E-2</v>
      </c>
      <c r="AI87" s="528">
        <f t="shared" ref="AI87:AX87" si="77">AI88-AI77-AI86</f>
        <v>-7.4999999999999289E-2</v>
      </c>
      <c r="AJ87" s="528">
        <f t="shared" si="77"/>
        <v>-6.2999999999998835E-2</v>
      </c>
      <c r="AK87" s="528">
        <f t="shared" si="77"/>
        <v>9.9999999999234035E-4</v>
      </c>
      <c r="AL87" s="528">
        <f t="shared" si="77"/>
        <v>0.27200000000000735</v>
      </c>
      <c r="AM87" s="528">
        <f t="shared" si="77"/>
        <v>-6.6000000000000725E-2</v>
      </c>
      <c r="AN87" s="528">
        <f t="shared" si="77"/>
        <v>-3.4000000000000696E-2</v>
      </c>
      <c r="AO87" s="528">
        <f t="shared" si="77"/>
        <v>6.7000000000001947E-2</v>
      </c>
      <c r="AP87" s="528">
        <f t="shared" si="77"/>
        <v>7.9000000000005954E-2</v>
      </c>
      <c r="AQ87" s="551">
        <f t="shared" si="77"/>
        <v>6.2000000000001165E-2</v>
      </c>
      <c r="AR87" s="551">
        <f t="shared" si="77"/>
        <v>8.3999999999996078E-2</v>
      </c>
      <c r="AS87" s="551">
        <f t="shared" si="77"/>
        <v>-3.799999999999315E-2</v>
      </c>
      <c r="AT87" s="528">
        <f t="shared" si="77"/>
        <v>-0.14999999999999503</v>
      </c>
      <c r="AU87" s="552">
        <f t="shared" si="77"/>
        <v>1.9999999999988916E-3</v>
      </c>
      <c r="AV87" s="528">
        <f t="shared" si="77"/>
        <v>0</v>
      </c>
      <c r="AW87" s="528">
        <f t="shared" si="77"/>
        <v>0</v>
      </c>
      <c r="AX87" s="528">
        <f t="shared" si="77"/>
        <v>0</v>
      </c>
      <c r="AY87" s="528"/>
      <c r="AZ87" s="692">
        <f t="shared" ref="AZ87:BS87" si="78">AZ88-AZ77-AZ86</f>
        <v>3.5000000000000142E-2</v>
      </c>
      <c r="BA87" s="692">
        <f t="shared" si="78"/>
        <v>-3.9000000000001478E-2</v>
      </c>
      <c r="BB87" s="692">
        <f t="shared" si="78"/>
        <v>3.3999999999995367E-2</v>
      </c>
      <c r="BC87" s="692">
        <f t="shared" si="78"/>
        <v>-6.6999999999996618E-2</v>
      </c>
      <c r="BD87" s="692">
        <f t="shared" si="78"/>
        <v>-6.3000000000002387E-2</v>
      </c>
      <c r="BE87" s="692">
        <f t="shared" si="78"/>
        <v>-3.3000000000001251E-2</v>
      </c>
      <c r="BF87" s="692">
        <f t="shared" si="78"/>
        <v>-9.8999999999996646E-2</v>
      </c>
      <c r="BG87" s="692">
        <f t="shared" si="78"/>
        <v>0.12499999999999289</v>
      </c>
      <c r="BH87" s="692">
        <f t="shared" si="78"/>
        <v>-1.9999999999996021E-2</v>
      </c>
      <c r="BI87" s="692">
        <f t="shared" si="78"/>
        <v>-3.9999999999992042E-2</v>
      </c>
      <c r="BJ87" s="692">
        <f t="shared" si="78"/>
        <v>0</v>
      </c>
      <c r="BK87" s="692">
        <f t="shared" si="78"/>
        <v>7.799999999999585E-2</v>
      </c>
      <c r="BL87" s="692">
        <f t="shared" si="78"/>
        <v>0.13500000000000512</v>
      </c>
      <c r="BM87" s="692">
        <f t="shared" si="78"/>
        <v>4.600000000000648E-2</v>
      </c>
      <c r="BN87" s="712">
        <f t="shared" si="78"/>
        <v>-4.2000000000001592E-2</v>
      </c>
      <c r="BO87" s="692">
        <f t="shared" si="78"/>
        <v>2.0000000000095497E-3</v>
      </c>
      <c r="BP87" s="692" t="e">
        <f t="shared" si="78"/>
        <v>#REF!</v>
      </c>
      <c r="BQ87" s="692" t="e">
        <f t="shared" si="78"/>
        <v>#REF!</v>
      </c>
      <c r="BR87" s="692" t="e">
        <f t="shared" si="78"/>
        <v>#REF!</v>
      </c>
      <c r="BS87" s="692" t="e">
        <f t="shared" si="78"/>
        <v>#REF!</v>
      </c>
      <c r="BT87" s="533"/>
    </row>
    <row r="88" spans="1:72" s="1" customFormat="1" outlineLevel="1" x14ac:dyDescent="0.35">
      <c r="A88" s="179" t="s">
        <v>535</v>
      </c>
      <c r="B88" s="353"/>
      <c r="C88" s="556">
        <f t="shared" ref="C88:AH88" si="79">C421</f>
        <v>15.661</v>
      </c>
      <c r="D88" s="556">
        <f t="shared" si="79"/>
        <v>16.232999999999997</v>
      </c>
      <c r="E88" s="556">
        <f t="shared" si="79"/>
        <v>16.282000000000004</v>
      </c>
      <c r="F88" s="556">
        <f t="shared" si="79"/>
        <v>17.560999999999993</v>
      </c>
      <c r="G88" s="556">
        <f t="shared" si="79"/>
        <v>16.95</v>
      </c>
      <c r="H88" s="556">
        <f t="shared" si="79"/>
        <v>34.524000000000001</v>
      </c>
      <c r="I88" s="556">
        <f t="shared" si="79"/>
        <v>18.017000000000003</v>
      </c>
      <c r="J88" s="556">
        <f t="shared" si="79"/>
        <v>16.775999999999996</v>
      </c>
      <c r="K88" s="556">
        <f t="shared" si="79"/>
        <v>16.88</v>
      </c>
      <c r="L88" s="556">
        <f t="shared" si="79"/>
        <v>17.629000000000001</v>
      </c>
      <c r="M88" s="556">
        <f t="shared" si="79"/>
        <v>17.764000000000003</v>
      </c>
      <c r="N88" s="556">
        <f t="shared" si="79"/>
        <v>31.527999999999999</v>
      </c>
      <c r="O88" s="556">
        <f t="shared" si="79"/>
        <v>16.565000000000001</v>
      </c>
      <c r="P88" s="556">
        <f t="shared" si="79"/>
        <v>16.469999999999995</v>
      </c>
      <c r="Q88" s="556">
        <f t="shared" si="79"/>
        <v>17.587000000000003</v>
      </c>
      <c r="R88" s="556">
        <f t="shared" si="79"/>
        <v>17.602999999999994</v>
      </c>
      <c r="S88" s="556">
        <f t="shared" si="79"/>
        <v>17.68</v>
      </c>
      <c r="T88" s="556">
        <f t="shared" si="79"/>
        <v>18.695</v>
      </c>
      <c r="U88" s="556">
        <f t="shared" si="79"/>
        <v>19.950000000000003</v>
      </c>
      <c r="V88" s="556">
        <f t="shared" si="79"/>
        <v>17.954999999999998</v>
      </c>
      <c r="W88" s="556">
        <f t="shared" si="79"/>
        <v>20.635999999999999</v>
      </c>
      <c r="X88" s="556">
        <f t="shared" si="79"/>
        <v>18.55</v>
      </c>
      <c r="Y88" s="556">
        <f t="shared" si="79"/>
        <v>18.426000000000002</v>
      </c>
      <c r="Z88" s="556">
        <f t="shared" si="79"/>
        <v>17.648000000000003</v>
      </c>
      <c r="AA88" s="556">
        <f t="shared" si="79"/>
        <v>18.510999999999999</v>
      </c>
      <c r="AB88" s="556">
        <f t="shared" si="79"/>
        <v>17.709999999999997</v>
      </c>
      <c r="AC88" s="556">
        <f t="shared" si="79"/>
        <v>17.038000000000004</v>
      </c>
      <c r="AD88" s="556">
        <f t="shared" si="79"/>
        <v>18.141000000000005</v>
      </c>
      <c r="AE88" s="556">
        <f t="shared" si="79"/>
        <v>17.146000000000001</v>
      </c>
      <c r="AF88" s="556">
        <f t="shared" si="79"/>
        <v>17.229999999999997</v>
      </c>
      <c r="AG88" s="556">
        <f t="shared" si="79"/>
        <v>18.414000000000001</v>
      </c>
      <c r="AH88" s="556">
        <f t="shared" si="79"/>
        <v>19.300999999999995</v>
      </c>
      <c r="AI88" s="556">
        <f t="shared" ref="AI88:AX88" si="80">AI421</f>
        <v>18.277000000000001</v>
      </c>
      <c r="AJ88" s="556">
        <f t="shared" si="80"/>
        <v>23.161000000000001</v>
      </c>
      <c r="AK88" s="556">
        <f t="shared" si="80"/>
        <v>23.599999999999994</v>
      </c>
      <c r="AL88" s="556">
        <f t="shared" si="80"/>
        <v>25.039000000000001</v>
      </c>
      <c r="AM88" s="556">
        <f t="shared" si="80"/>
        <v>24.146999999999998</v>
      </c>
      <c r="AN88" s="556">
        <f t="shared" si="80"/>
        <v>25.18</v>
      </c>
      <c r="AO88" s="556">
        <f t="shared" si="80"/>
        <v>24.137</v>
      </c>
      <c r="AP88" s="556">
        <f t="shared" si="80"/>
        <v>24.450000000000003</v>
      </c>
      <c r="AQ88" s="556">
        <f t="shared" si="80"/>
        <v>26.251000000000001</v>
      </c>
      <c r="AR88" s="556">
        <f t="shared" si="80"/>
        <v>27.462999999999997</v>
      </c>
      <c r="AS88" s="556">
        <f t="shared" si="80"/>
        <v>26.942000000000007</v>
      </c>
      <c r="AT88" s="556">
        <f t="shared" si="80"/>
        <v>29.701999999999998</v>
      </c>
      <c r="AU88" s="561">
        <f t="shared" si="80"/>
        <v>28.016999999999999</v>
      </c>
      <c r="AV88" s="556">
        <f t="shared" si="80"/>
        <v>29.301415573770491</v>
      </c>
      <c r="AW88" s="556">
        <f t="shared" si="80"/>
        <v>26.731052103395893</v>
      </c>
      <c r="AX88" s="556">
        <f t="shared" si="80"/>
        <v>25.111357626706287</v>
      </c>
      <c r="AY88" s="556"/>
      <c r="AZ88" s="699">
        <f t="shared" ref="AZ88:BS88" si="81">AZ421</f>
        <v>20.835000000000001</v>
      </c>
      <c r="BA88" s="699">
        <f t="shared" si="81"/>
        <v>25.760999999999999</v>
      </c>
      <c r="BB88" s="699">
        <f t="shared" si="81"/>
        <v>42.933999999999997</v>
      </c>
      <c r="BC88" s="699">
        <f t="shared" si="81"/>
        <v>58.033000000000001</v>
      </c>
      <c r="BD88" s="699">
        <f t="shared" si="81"/>
        <v>65.736999999999995</v>
      </c>
      <c r="BE88" s="699">
        <f t="shared" si="81"/>
        <v>86.266999999999996</v>
      </c>
      <c r="BF88" s="699">
        <f t="shared" si="81"/>
        <v>83.801000000000002</v>
      </c>
      <c r="BG88" s="699">
        <f t="shared" si="81"/>
        <v>68.224999999999994</v>
      </c>
      <c r="BH88" s="699">
        <f t="shared" si="81"/>
        <v>74.28</v>
      </c>
      <c r="BI88" s="699">
        <f t="shared" si="81"/>
        <v>75.260000000000005</v>
      </c>
      <c r="BJ88" s="699">
        <f t="shared" si="81"/>
        <v>71.400000000000006</v>
      </c>
      <c r="BK88" s="699">
        <f t="shared" si="81"/>
        <v>72.090999999999994</v>
      </c>
      <c r="BL88" s="699">
        <f t="shared" si="81"/>
        <v>90.076999999999998</v>
      </c>
      <c r="BM88" s="699">
        <f t="shared" si="81"/>
        <v>97.914000000000001</v>
      </c>
      <c r="BN88" s="713">
        <f t="shared" si="81"/>
        <v>110.358</v>
      </c>
      <c r="BO88" s="699">
        <f t="shared" si="81"/>
        <v>109.16082530387268</v>
      </c>
      <c r="BP88" s="699" t="e">
        <f t="shared" si="81"/>
        <v>#REF!</v>
      </c>
      <c r="BQ88" s="699" t="e">
        <f t="shared" si="81"/>
        <v>#REF!</v>
      </c>
      <c r="BR88" s="699" t="e">
        <f t="shared" si="81"/>
        <v>#REF!</v>
      </c>
      <c r="BS88" s="699" t="e">
        <f t="shared" si="81"/>
        <v>#REF!</v>
      </c>
      <c r="BT88" s="530"/>
    </row>
    <row r="89" spans="1:72" s="1" customFormat="1" x14ac:dyDescent="0.35">
      <c r="A89" s="354"/>
      <c r="B89" s="350"/>
      <c r="C89" s="548"/>
      <c r="D89" s="548"/>
      <c r="E89" s="548"/>
      <c r="F89" s="548"/>
      <c r="G89" s="548"/>
      <c r="H89" s="548"/>
      <c r="I89" s="548"/>
      <c r="J89" s="548"/>
      <c r="K89" s="548"/>
      <c r="L89" s="548"/>
      <c r="M89" s="548"/>
      <c r="N89" s="548"/>
      <c r="O89" s="548"/>
      <c r="P89" s="548"/>
      <c r="Q89" s="548"/>
      <c r="R89" s="548"/>
      <c r="S89" s="548"/>
      <c r="T89" s="548"/>
      <c r="U89" s="548"/>
      <c r="V89" s="548"/>
      <c r="W89" s="548"/>
      <c r="X89" s="548"/>
      <c r="Y89" s="548"/>
      <c r="Z89" s="548"/>
      <c r="AA89" s="548"/>
      <c r="AB89" s="548"/>
      <c r="AC89" s="548"/>
      <c r="AD89" s="548"/>
      <c r="AE89" s="548"/>
      <c r="AF89" s="548"/>
      <c r="AG89" s="548"/>
      <c r="AH89" s="548"/>
      <c r="AI89" s="548"/>
      <c r="AJ89" s="548"/>
      <c r="AK89" s="548"/>
      <c r="AL89" s="548"/>
      <c r="AM89" s="548"/>
      <c r="AN89" s="548"/>
      <c r="AO89" s="548"/>
      <c r="AP89" s="548"/>
      <c r="AQ89" s="548"/>
      <c r="AR89" s="548"/>
      <c r="AS89" s="548"/>
      <c r="AT89" s="548"/>
      <c r="AU89" s="559"/>
      <c r="AV89" s="548"/>
      <c r="AW89" s="548"/>
      <c r="AX89" s="548"/>
      <c r="AY89" s="548"/>
      <c r="AZ89" s="688"/>
      <c r="BA89" s="688"/>
      <c r="BB89" s="688"/>
      <c r="BC89" s="688"/>
      <c r="BD89" s="688"/>
      <c r="BE89" s="688"/>
      <c r="BF89" s="688"/>
      <c r="BG89" s="688"/>
      <c r="BH89" s="688"/>
      <c r="BI89" s="688"/>
      <c r="BJ89" s="688"/>
      <c r="BK89" s="688"/>
      <c r="BL89" s="688"/>
      <c r="BM89" s="688"/>
      <c r="BN89" s="702"/>
      <c r="BO89" s="688"/>
      <c r="BP89" s="688"/>
      <c r="BQ89" s="688"/>
      <c r="BR89" s="688"/>
      <c r="BS89" s="688"/>
      <c r="BT89" s="530"/>
    </row>
    <row r="90" spans="1:72" s="1" customFormat="1" x14ac:dyDescent="0.35">
      <c r="A90" s="527" t="s">
        <v>565</v>
      </c>
      <c r="B90" s="527"/>
      <c r="C90" s="527"/>
      <c r="D90" s="527"/>
      <c r="E90" s="527"/>
      <c r="F90" s="527"/>
      <c r="G90" s="527"/>
      <c r="H90" s="527"/>
      <c r="I90" s="527"/>
      <c r="J90" s="527"/>
      <c r="K90" s="527"/>
      <c r="L90" s="527"/>
      <c r="M90" s="527"/>
      <c r="N90" s="527"/>
      <c r="O90" s="527"/>
      <c r="P90" s="527"/>
      <c r="Q90" s="527"/>
      <c r="R90" s="527"/>
      <c r="S90" s="527"/>
      <c r="T90" s="527"/>
      <c r="U90" s="527"/>
      <c r="V90" s="527"/>
      <c r="W90" s="527"/>
      <c r="X90" s="527"/>
      <c r="Y90" s="527"/>
      <c r="Z90" s="527"/>
      <c r="AA90" s="527"/>
      <c r="AB90" s="527"/>
      <c r="AC90" s="527"/>
      <c r="AD90" s="527"/>
      <c r="AE90" s="527"/>
      <c r="AF90" s="527"/>
      <c r="AG90" s="527"/>
      <c r="AH90" s="527"/>
      <c r="AI90" s="527"/>
      <c r="AJ90" s="527"/>
      <c r="AK90" s="527"/>
      <c r="AL90" s="527"/>
      <c r="AM90" s="527"/>
      <c r="AN90" s="527"/>
      <c r="AO90" s="527"/>
      <c r="AP90" s="563" t="s">
        <v>637</v>
      </c>
      <c r="AQ90" s="527"/>
      <c r="AR90" s="527"/>
      <c r="AS90" s="527"/>
      <c r="AT90" s="527"/>
      <c r="AU90" s="547"/>
      <c r="AV90" s="527"/>
      <c r="AW90" s="527"/>
      <c r="AX90" s="527"/>
      <c r="AY90" s="527"/>
      <c r="AZ90" s="527"/>
      <c r="BA90" s="527"/>
      <c r="BB90" s="527"/>
      <c r="BC90" s="527"/>
      <c r="BD90" s="527"/>
      <c r="BE90" s="527"/>
      <c r="BF90" s="527"/>
      <c r="BG90" s="527"/>
      <c r="BH90" s="527"/>
      <c r="BI90" s="527"/>
      <c r="BJ90" s="527"/>
      <c r="BK90" s="527"/>
      <c r="BL90" s="527"/>
      <c r="BM90" s="563" t="s">
        <v>637</v>
      </c>
      <c r="BN90" s="547"/>
      <c r="BO90" s="527"/>
      <c r="BP90" s="527"/>
      <c r="BQ90" s="527"/>
      <c r="BR90" s="527"/>
      <c r="BS90" s="527"/>
      <c r="BT90" s="530"/>
    </row>
    <row r="91" spans="1:72" s="17" customFormat="1" outlineLevel="1" x14ac:dyDescent="0.35">
      <c r="A91" s="174" t="s">
        <v>566</v>
      </c>
      <c r="B91" s="351"/>
      <c r="C91" s="528"/>
      <c r="D91" s="528"/>
      <c r="E91" s="528"/>
      <c r="F91" s="528"/>
      <c r="G91" s="528"/>
      <c r="H91" s="528"/>
      <c r="I91" s="528"/>
      <c r="J91" s="528"/>
      <c r="K91" s="528"/>
      <c r="L91" s="528"/>
      <c r="M91" s="528"/>
      <c r="N91" s="528"/>
      <c r="O91" s="528"/>
      <c r="P91" s="528"/>
      <c r="Q91" s="528"/>
      <c r="R91" s="528"/>
      <c r="S91" s="528"/>
      <c r="T91" s="528"/>
      <c r="U91" s="528"/>
      <c r="V91" s="528"/>
      <c r="W91" s="528"/>
      <c r="X91" s="528"/>
      <c r="Y91" s="528"/>
      <c r="Z91" s="528"/>
      <c r="AA91" s="528"/>
      <c r="AB91" s="528"/>
      <c r="AC91" s="528"/>
      <c r="AD91" s="528"/>
      <c r="AE91" s="627">
        <v>3.9449999999999998</v>
      </c>
      <c r="AF91" s="627">
        <v>4.2409999999999997</v>
      </c>
      <c r="AG91" s="627">
        <v>4.2320000000000002</v>
      </c>
      <c r="AH91" s="528">
        <f>BK91-SUM(AE91,AF91,AG91)</f>
        <v>4.3219999999999992</v>
      </c>
      <c r="AI91" s="627">
        <v>4.8369999999999997</v>
      </c>
      <c r="AJ91" s="627">
        <v>8.3409999999999993</v>
      </c>
      <c r="AK91" s="627">
        <v>7.9870000000000001</v>
      </c>
      <c r="AL91" s="528">
        <f>BL91-SUM(AI91,AJ91,AK91)</f>
        <v>7.4819999999999993</v>
      </c>
      <c r="AM91" s="627">
        <v>7.62</v>
      </c>
      <c r="AN91" s="627">
        <v>9.3680000000000003</v>
      </c>
      <c r="AO91" s="627">
        <v>8.8119999999999994</v>
      </c>
      <c r="AP91" s="528">
        <f>BM91-SUM(AM91,AN91,AO91)</f>
        <v>8.919000000000004</v>
      </c>
      <c r="AQ91" s="627">
        <v>9.9339999999999993</v>
      </c>
      <c r="AR91" s="627">
        <v>10.018000000000001</v>
      </c>
      <c r="AS91" s="627">
        <v>9.8529999999999998</v>
      </c>
      <c r="AT91" s="528">
        <f>BN91-SUM(AQ91,AR91,AS91)</f>
        <v>9.5069999999999979</v>
      </c>
      <c r="AU91" s="628">
        <v>8.8420000000000005</v>
      </c>
      <c r="AV91" s="528"/>
      <c r="AW91" s="528"/>
      <c r="AX91" s="528"/>
      <c r="AY91" s="528"/>
      <c r="AZ91" s="692"/>
      <c r="BA91" s="692"/>
      <c r="BB91" s="692"/>
      <c r="BC91" s="692"/>
      <c r="BD91" s="692"/>
      <c r="BE91" s="692"/>
      <c r="BF91" s="692"/>
      <c r="BG91" s="692"/>
      <c r="BH91" s="692"/>
      <c r="BI91" s="692"/>
      <c r="BJ91" s="692"/>
      <c r="BK91" s="694">
        <v>16.739999999999998</v>
      </c>
      <c r="BL91" s="694">
        <v>28.646999999999998</v>
      </c>
      <c r="BM91" s="694">
        <v>34.719000000000001</v>
      </c>
      <c r="BN91" s="695">
        <v>39.311999999999998</v>
      </c>
      <c r="BO91" s="692"/>
      <c r="BP91" s="692"/>
      <c r="BQ91" s="692"/>
      <c r="BR91" s="692"/>
      <c r="BS91" s="692"/>
      <c r="BT91" s="533"/>
    </row>
    <row r="92" spans="1:72" s="17" customFormat="1" outlineLevel="1" x14ac:dyDescent="0.35">
      <c r="A92" s="174" t="s">
        <v>567</v>
      </c>
      <c r="B92" s="351"/>
      <c r="C92" s="528"/>
      <c r="D92" s="528"/>
      <c r="E92" s="528"/>
      <c r="F92" s="528"/>
      <c r="G92" s="528"/>
      <c r="H92" s="528"/>
      <c r="I92" s="528"/>
      <c r="J92" s="528"/>
      <c r="K92" s="528"/>
      <c r="L92" s="528"/>
      <c r="M92" s="528"/>
      <c r="N92" s="528"/>
      <c r="O92" s="528"/>
      <c r="P92" s="528"/>
      <c r="Q92" s="528"/>
      <c r="R92" s="528"/>
      <c r="S92" s="528"/>
      <c r="T92" s="528"/>
      <c r="U92" s="528"/>
      <c r="V92" s="528"/>
      <c r="W92" s="528"/>
      <c r="X92" s="528"/>
      <c r="Y92" s="528"/>
      <c r="Z92" s="528"/>
      <c r="AA92" s="528"/>
      <c r="AB92" s="528"/>
      <c r="AC92" s="528"/>
      <c r="AD92" s="528"/>
      <c r="AE92" s="627">
        <v>0.20300000000000001</v>
      </c>
      <c r="AF92" s="627">
        <v>0.17799999999999999</v>
      </c>
      <c r="AG92" s="627">
        <v>0.27600000000000002</v>
      </c>
      <c r="AH92" s="528">
        <f>BK92-SUM(AE92,AF92,AG92)</f>
        <v>0.16299999999999992</v>
      </c>
      <c r="AI92" s="627">
        <v>0.11799999999999999</v>
      </c>
      <c r="AJ92" s="627">
        <v>0.155</v>
      </c>
      <c r="AK92" s="627">
        <v>0.41199999999999998</v>
      </c>
      <c r="AL92" s="528">
        <f>BL92-SUM(AI92,AJ92,AK92)</f>
        <v>0.42599999999999993</v>
      </c>
      <c r="AM92" s="627">
        <v>0.41699999999999998</v>
      </c>
      <c r="AN92" s="627">
        <v>0.44500000000000001</v>
      </c>
      <c r="AO92" s="627">
        <v>0.47299999999999998</v>
      </c>
      <c r="AP92" s="528">
        <f>BM92-SUM(AM92,AN92,AO92)</f>
        <v>0.43399999999999994</v>
      </c>
      <c r="AQ92" s="627">
        <v>0.38800000000000001</v>
      </c>
      <c r="AR92" s="627">
        <v>0.50700000000000001</v>
      </c>
      <c r="AS92" s="627">
        <v>0.60899999999999999</v>
      </c>
      <c r="AT92" s="528">
        <f>BN92-SUM(AQ92,AR92,AS92)</f>
        <v>0.57600000000000007</v>
      </c>
      <c r="AU92" s="628">
        <v>0.51700000000000002</v>
      </c>
      <c r="AV92" s="528"/>
      <c r="AW92" s="528"/>
      <c r="AX92" s="528"/>
      <c r="AY92" s="528"/>
      <c r="AZ92" s="692"/>
      <c r="BA92" s="692"/>
      <c r="BB92" s="692"/>
      <c r="BC92" s="692"/>
      <c r="BD92" s="692"/>
      <c r="BE92" s="692"/>
      <c r="BF92" s="692"/>
      <c r="BG92" s="692"/>
      <c r="BH92" s="692"/>
      <c r="BI92" s="692"/>
      <c r="BJ92" s="692"/>
      <c r="BK92" s="694">
        <v>0.82</v>
      </c>
      <c r="BL92" s="694">
        <v>1.111</v>
      </c>
      <c r="BM92" s="694">
        <v>1.7689999999999999</v>
      </c>
      <c r="BN92" s="695">
        <v>2.08</v>
      </c>
      <c r="BO92" s="692"/>
      <c r="BP92" s="692"/>
      <c r="BQ92" s="692"/>
      <c r="BR92" s="692"/>
      <c r="BS92" s="692"/>
      <c r="BT92" s="533"/>
    </row>
    <row r="93" spans="1:72" s="17" customFormat="1" outlineLevel="1" x14ac:dyDescent="0.35">
      <c r="A93" s="413" t="s">
        <v>568</v>
      </c>
      <c r="B93" s="412"/>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f t="shared" ref="AE93:AU93" si="82">SUM(AE91:AE92)</f>
        <v>4.1479999999999997</v>
      </c>
      <c r="AF93" s="566">
        <f t="shared" si="82"/>
        <v>4.4189999999999996</v>
      </c>
      <c r="AG93" s="566">
        <f t="shared" si="82"/>
        <v>4.508</v>
      </c>
      <c r="AH93" s="566">
        <f t="shared" si="82"/>
        <v>4.4849999999999994</v>
      </c>
      <c r="AI93" s="566">
        <f t="shared" si="82"/>
        <v>4.9550000000000001</v>
      </c>
      <c r="AJ93" s="566">
        <f t="shared" si="82"/>
        <v>8.4959999999999987</v>
      </c>
      <c r="AK93" s="566">
        <f t="shared" si="82"/>
        <v>8.3990000000000009</v>
      </c>
      <c r="AL93" s="566">
        <f t="shared" si="82"/>
        <v>7.9079999999999995</v>
      </c>
      <c r="AM93" s="566">
        <f t="shared" si="82"/>
        <v>8.0370000000000008</v>
      </c>
      <c r="AN93" s="566">
        <f t="shared" si="82"/>
        <v>9.8130000000000006</v>
      </c>
      <c r="AO93" s="566">
        <f t="shared" si="82"/>
        <v>9.2850000000000001</v>
      </c>
      <c r="AP93" s="566">
        <f t="shared" si="82"/>
        <v>9.3530000000000033</v>
      </c>
      <c r="AQ93" s="566">
        <f t="shared" si="82"/>
        <v>10.321999999999999</v>
      </c>
      <c r="AR93" s="566">
        <f t="shared" si="82"/>
        <v>10.525</v>
      </c>
      <c r="AS93" s="566">
        <f t="shared" si="82"/>
        <v>10.462</v>
      </c>
      <c r="AT93" s="566">
        <f t="shared" si="82"/>
        <v>10.082999999999998</v>
      </c>
      <c r="AU93" s="567">
        <f t="shared" si="82"/>
        <v>9.359</v>
      </c>
      <c r="AV93" s="566"/>
      <c r="AW93" s="566"/>
      <c r="AX93" s="566"/>
      <c r="AY93" s="566"/>
      <c r="AZ93" s="720"/>
      <c r="BA93" s="720"/>
      <c r="BB93" s="720"/>
      <c r="BC93" s="720"/>
      <c r="BD93" s="720"/>
      <c r="BE93" s="720"/>
      <c r="BF93" s="720"/>
      <c r="BG93" s="720"/>
      <c r="BH93" s="720"/>
      <c r="BI93" s="720"/>
      <c r="BJ93" s="720"/>
      <c r="BK93" s="720">
        <f>SUM(BK91:BK92)</f>
        <v>17.559999999999999</v>
      </c>
      <c r="BL93" s="720">
        <f>SUM(BL91:BL92)</f>
        <v>29.757999999999999</v>
      </c>
      <c r="BM93" s="720">
        <f>SUM(BM91:BM92)</f>
        <v>36.488</v>
      </c>
      <c r="BN93" s="722">
        <f>SUM(BN91:BN92)</f>
        <v>41.391999999999996</v>
      </c>
      <c r="BO93" s="720"/>
      <c r="BP93" s="720"/>
      <c r="BQ93" s="720"/>
      <c r="BR93" s="720"/>
      <c r="BS93" s="720"/>
      <c r="BT93" s="533"/>
    </row>
    <row r="94" spans="1:72" s="17" customFormat="1" outlineLevel="1" x14ac:dyDescent="0.35">
      <c r="A94" s="308" t="s">
        <v>578</v>
      </c>
      <c r="B94" s="351"/>
      <c r="C94" s="528"/>
      <c r="D94" s="528"/>
      <c r="E94" s="528"/>
      <c r="F94" s="528"/>
      <c r="G94" s="528"/>
      <c r="H94" s="528"/>
      <c r="I94" s="528"/>
      <c r="J94" s="528"/>
      <c r="K94" s="528"/>
      <c r="L94" s="528"/>
      <c r="M94" s="528"/>
      <c r="N94" s="528"/>
      <c r="O94" s="528"/>
      <c r="P94" s="528"/>
      <c r="Q94" s="528"/>
      <c r="R94" s="528"/>
      <c r="S94" s="528"/>
      <c r="T94" s="528"/>
      <c r="U94" s="528"/>
      <c r="V94" s="528"/>
      <c r="W94" s="528"/>
      <c r="X94" s="528"/>
      <c r="Y94" s="528"/>
      <c r="Z94" s="528"/>
      <c r="AA94" s="528"/>
      <c r="AB94" s="528"/>
      <c r="AC94" s="528"/>
      <c r="AD94" s="528"/>
      <c r="AE94" s="528"/>
      <c r="AF94" s="528"/>
      <c r="AG94" s="528"/>
      <c r="AH94" s="528"/>
      <c r="AI94" s="528"/>
      <c r="AJ94" s="528"/>
      <c r="AK94" s="528"/>
      <c r="AL94" s="528"/>
      <c r="AM94" s="627">
        <v>3.9350000000000001</v>
      </c>
      <c r="AN94" s="627">
        <v>3.931</v>
      </c>
      <c r="AO94" s="627">
        <v>3.964</v>
      </c>
      <c r="AP94" s="528">
        <f>BM94-SUM(AM94,AN94,AO94)</f>
        <v>3.8879999999999999</v>
      </c>
      <c r="AQ94" s="627">
        <v>3.7149999999999999</v>
      </c>
      <c r="AR94" s="627">
        <v>2.64</v>
      </c>
      <c r="AS94" s="627">
        <v>2.8370000000000002</v>
      </c>
      <c r="AT94" s="528">
        <f>BN94-SUM(AQ94,AR94,AS94)</f>
        <v>2.8360000000000003</v>
      </c>
      <c r="AU94" s="628">
        <v>2.5579999999999998</v>
      </c>
      <c r="AV94" s="528"/>
      <c r="AW94" s="528"/>
      <c r="AX94" s="528"/>
      <c r="AY94" s="528"/>
      <c r="AZ94" s="692"/>
      <c r="BA94" s="692"/>
      <c r="BB94" s="692"/>
      <c r="BC94" s="692"/>
      <c r="BD94" s="692"/>
      <c r="BE94" s="692"/>
      <c r="BF94" s="692"/>
      <c r="BG94" s="692"/>
      <c r="BH94" s="692"/>
      <c r="BI94" s="692"/>
      <c r="BJ94" s="692"/>
      <c r="BK94" s="692"/>
      <c r="BL94" s="694">
        <v>15.877000000000001</v>
      </c>
      <c r="BM94" s="694">
        <v>15.718</v>
      </c>
      <c r="BN94" s="695">
        <v>12.028</v>
      </c>
      <c r="BO94" s="692"/>
      <c r="BP94" s="692"/>
      <c r="BQ94" s="692"/>
      <c r="BR94" s="692"/>
      <c r="BS94" s="692"/>
      <c r="BT94" s="533"/>
    </row>
    <row r="95" spans="1:72" s="17" customFormat="1" outlineLevel="1" x14ac:dyDescent="0.35">
      <c r="A95" s="308" t="s">
        <v>572</v>
      </c>
      <c r="B95" s="351"/>
      <c r="C95" s="528"/>
      <c r="D95" s="528"/>
      <c r="E95" s="528"/>
      <c r="F95" s="528"/>
      <c r="G95" s="528"/>
      <c r="H95" s="528"/>
      <c r="I95" s="528"/>
      <c r="J95" s="528"/>
      <c r="K95" s="528"/>
      <c r="L95" s="528"/>
      <c r="M95" s="528"/>
      <c r="N95" s="528"/>
      <c r="O95" s="528"/>
      <c r="P95" s="528"/>
      <c r="Q95" s="528"/>
      <c r="R95" s="528"/>
      <c r="S95" s="528"/>
      <c r="T95" s="528"/>
      <c r="U95" s="528"/>
      <c r="V95" s="528"/>
      <c r="W95" s="528"/>
      <c r="X95" s="528"/>
      <c r="Y95" s="528"/>
      <c r="Z95" s="528"/>
      <c r="AA95" s="528"/>
      <c r="AB95" s="528"/>
      <c r="AC95" s="528"/>
      <c r="AD95" s="528"/>
      <c r="AE95" s="528"/>
      <c r="AF95" s="528"/>
      <c r="AG95" s="528"/>
      <c r="AH95" s="528"/>
      <c r="AI95" s="528"/>
      <c r="AJ95" s="528"/>
      <c r="AK95" s="528"/>
      <c r="AL95" s="528"/>
      <c r="AM95" s="627">
        <v>1.667</v>
      </c>
      <c r="AN95" s="627">
        <v>1.7769999999999999</v>
      </c>
      <c r="AO95" s="627">
        <v>1.631</v>
      </c>
      <c r="AP95" s="528">
        <f>BM95-SUM(AM95,AN95,AO95)</f>
        <v>1.2850000000000001</v>
      </c>
      <c r="AQ95" s="627">
        <v>0.58599999999999997</v>
      </c>
      <c r="AR95" s="627">
        <v>0.58599999999999997</v>
      </c>
      <c r="AS95" s="627">
        <v>0.58399999999999996</v>
      </c>
      <c r="AT95" s="528">
        <f>BN95-SUM(AQ95,AR95,AS95)</f>
        <v>2.86</v>
      </c>
      <c r="AU95" s="628">
        <v>2.1989999999999998</v>
      </c>
      <c r="AV95" s="528"/>
      <c r="AW95" s="528"/>
      <c r="AX95" s="528"/>
      <c r="AY95" s="528"/>
      <c r="AZ95" s="692"/>
      <c r="BA95" s="692"/>
      <c r="BB95" s="692"/>
      <c r="BC95" s="692"/>
      <c r="BD95" s="692"/>
      <c r="BE95" s="692"/>
      <c r="BF95" s="692"/>
      <c r="BG95" s="692"/>
      <c r="BH95" s="692"/>
      <c r="BI95" s="692"/>
      <c r="BJ95" s="692"/>
      <c r="BK95" s="692"/>
      <c r="BL95" s="694">
        <v>6.681</v>
      </c>
      <c r="BM95" s="694">
        <v>6.36</v>
      </c>
      <c r="BN95" s="695">
        <v>4.6159999999999997</v>
      </c>
      <c r="BO95" s="692"/>
      <c r="BP95" s="692"/>
      <c r="BQ95" s="692"/>
      <c r="BR95" s="692"/>
      <c r="BS95" s="692"/>
      <c r="BT95" s="533"/>
    </row>
    <row r="96" spans="1:72" s="17" customFormat="1" outlineLevel="1" x14ac:dyDescent="0.35">
      <c r="A96" s="411" t="s">
        <v>575</v>
      </c>
      <c r="B96" s="412"/>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635">
        <v>1.607</v>
      </c>
      <c r="AF96" s="635">
        <v>1.728</v>
      </c>
      <c r="AG96" s="635">
        <v>4.0350000000000001</v>
      </c>
      <c r="AH96" s="566">
        <f>BK96-SUM(AE96,AF96,AG96)</f>
        <v>5.7589999999999995</v>
      </c>
      <c r="AI96" s="635">
        <v>5.5330000000000004</v>
      </c>
      <c r="AJ96" s="635">
        <v>5.5789999999999997</v>
      </c>
      <c r="AK96" s="635">
        <v>5.7119999999999997</v>
      </c>
      <c r="AL96" s="566">
        <f>BL96-SUM(AI96,AJ96,AK96)</f>
        <v>5.7340000000000018</v>
      </c>
      <c r="AM96" s="566">
        <f t="shared" ref="AM96:AU96" si="83">SUM(AM94:AM95)</f>
        <v>5.6020000000000003</v>
      </c>
      <c r="AN96" s="566">
        <f t="shared" si="83"/>
        <v>5.7080000000000002</v>
      </c>
      <c r="AO96" s="566">
        <f t="shared" si="83"/>
        <v>5.5949999999999998</v>
      </c>
      <c r="AP96" s="566">
        <f t="shared" si="83"/>
        <v>5.173</v>
      </c>
      <c r="AQ96" s="566">
        <f t="shared" si="83"/>
        <v>4.3010000000000002</v>
      </c>
      <c r="AR96" s="566">
        <f t="shared" si="83"/>
        <v>3.226</v>
      </c>
      <c r="AS96" s="566">
        <f t="shared" si="83"/>
        <v>3.4210000000000003</v>
      </c>
      <c r="AT96" s="566">
        <f t="shared" si="83"/>
        <v>5.6959999999999997</v>
      </c>
      <c r="AU96" s="567">
        <f t="shared" si="83"/>
        <v>4.7569999999999997</v>
      </c>
      <c r="AV96" s="566"/>
      <c r="AW96" s="566"/>
      <c r="AX96" s="566"/>
      <c r="AY96" s="566"/>
      <c r="AZ96" s="720"/>
      <c r="BA96" s="720"/>
      <c r="BB96" s="720"/>
      <c r="BC96" s="720"/>
      <c r="BD96" s="720"/>
      <c r="BE96" s="720"/>
      <c r="BF96" s="720"/>
      <c r="BG96" s="720"/>
      <c r="BH96" s="720"/>
      <c r="BI96" s="720"/>
      <c r="BJ96" s="720"/>
      <c r="BK96" s="721">
        <v>13.129</v>
      </c>
      <c r="BL96" s="720">
        <f>SUM(BL94:BL95)</f>
        <v>22.558</v>
      </c>
      <c r="BM96" s="720">
        <f>SUM(BM94:BM95)</f>
        <v>22.077999999999999</v>
      </c>
      <c r="BN96" s="722">
        <f>SUM(BN94:BN95)</f>
        <v>16.643999999999998</v>
      </c>
      <c r="BO96" s="720"/>
      <c r="BP96" s="720"/>
      <c r="BQ96" s="720"/>
      <c r="BR96" s="720"/>
      <c r="BS96" s="720"/>
      <c r="BT96" s="533"/>
    </row>
    <row r="97" spans="1:72" s="17" customFormat="1" outlineLevel="1" x14ac:dyDescent="0.35">
      <c r="A97" s="308" t="s">
        <v>579</v>
      </c>
      <c r="B97" s="351"/>
      <c r="C97" s="528"/>
      <c r="D97" s="528"/>
      <c r="E97" s="528"/>
      <c r="F97" s="528"/>
      <c r="G97" s="528"/>
      <c r="H97" s="528"/>
      <c r="I97" s="528"/>
      <c r="J97" s="528"/>
      <c r="K97" s="528"/>
      <c r="L97" s="528"/>
      <c r="M97" s="528"/>
      <c r="N97" s="528"/>
      <c r="O97" s="528"/>
      <c r="P97" s="528"/>
      <c r="Q97" s="528"/>
      <c r="R97" s="528"/>
      <c r="S97" s="528"/>
      <c r="T97" s="528"/>
      <c r="U97" s="528"/>
      <c r="V97" s="528"/>
      <c r="W97" s="528"/>
      <c r="X97" s="528"/>
      <c r="Y97" s="528"/>
      <c r="Z97" s="528"/>
      <c r="AA97" s="528"/>
      <c r="AB97" s="528"/>
      <c r="AC97" s="528"/>
      <c r="AD97" s="528"/>
      <c r="AE97" s="528"/>
      <c r="AF97" s="528"/>
      <c r="AG97" s="528"/>
      <c r="AH97" s="528"/>
      <c r="AI97" s="528"/>
      <c r="AJ97" s="528"/>
      <c r="AK97" s="528"/>
      <c r="AL97" s="528"/>
      <c r="AM97" s="627">
        <v>1.7999999999999999E-2</v>
      </c>
      <c r="AN97" s="627">
        <v>1.6E-2</v>
      </c>
      <c r="AO97" s="627">
        <v>1.6E-2</v>
      </c>
      <c r="AP97" s="528">
        <f>BM97-SUM(AM97,AN97,AO97)</f>
        <v>1.7000000000000001E-2</v>
      </c>
      <c r="AQ97" s="627">
        <v>2.4E-2</v>
      </c>
      <c r="AR97" s="627">
        <v>3.1E-2</v>
      </c>
      <c r="AS97" s="627">
        <v>2.4E-2</v>
      </c>
      <c r="AT97" s="528">
        <f>BN97-SUM(AQ97,AR97,AS97)</f>
        <v>2.3999999999999994E-2</v>
      </c>
      <c r="AU97" s="628">
        <v>1.2999999999999999E-2</v>
      </c>
      <c r="AV97" s="528"/>
      <c r="AW97" s="528"/>
      <c r="AX97" s="528"/>
      <c r="AY97" s="528"/>
      <c r="AZ97" s="692"/>
      <c r="BA97" s="692"/>
      <c r="BB97" s="692"/>
      <c r="BC97" s="692"/>
      <c r="BD97" s="692"/>
      <c r="BE97" s="692"/>
      <c r="BF97" s="692"/>
      <c r="BG97" s="692"/>
      <c r="BH97" s="692"/>
      <c r="BI97" s="692"/>
      <c r="BJ97" s="692"/>
      <c r="BK97" s="692"/>
      <c r="BL97" s="694">
        <v>0.18099999999999999</v>
      </c>
      <c r="BM97" s="694">
        <v>6.7000000000000004E-2</v>
      </c>
      <c r="BN97" s="695">
        <v>0.10299999999999999</v>
      </c>
      <c r="BO97" s="692"/>
      <c r="BP97" s="692"/>
      <c r="BQ97" s="692"/>
      <c r="BR97" s="692"/>
      <c r="BS97" s="692"/>
      <c r="BT97" s="533"/>
    </row>
    <row r="98" spans="1:72" s="17" customFormat="1" outlineLevel="1" x14ac:dyDescent="0.35">
      <c r="A98" s="308" t="s">
        <v>573</v>
      </c>
      <c r="B98" s="351"/>
      <c r="C98" s="528"/>
      <c r="D98" s="528"/>
      <c r="E98" s="528"/>
      <c r="F98" s="528"/>
      <c r="G98" s="528"/>
      <c r="H98" s="528"/>
      <c r="I98" s="528"/>
      <c r="J98" s="528"/>
      <c r="K98" s="528"/>
      <c r="L98" s="528"/>
      <c r="M98" s="528"/>
      <c r="N98" s="528"/>
      <c r="O98" s="528"/>
      <c r="P98" s="528"/>
      <c r="Q98" s="528"/>
      <c r="R98" s="528"/>
      <c r="S98" s="528"/>
      <c r="T98" s="528"/>
      <c r="U98" s="528"/>
      <c r="V98" s="528"/>
      <c r="W98" s="528"/>
      <c r="X98" s="528"/>
      <c r="Y98" s="528"/>
      <c r="Z98" s="528"/>
      <c r="AA98" s="528"/>
      <c r="AB98" s="528"/>
      <c r="AC98" s="528"/>
      <c r="AD98" s="528"/>
      <c r="AE98" s="528"/>
      <c r="AF98" s="528"/>
      <c r="AG98" s="528"/>
      <c r="AH98" s="528"/>
      <c r="AI98" s="528"/>
      <c r="AJ98" s="528"/>
      <c r="AK98" s="528"/>
      <c r="AL98" s="528"/>
      <c r="AM98" s="627">
        <v>4.0000000000000001E-3</v>
      </c>
      <c r="AN98" s="627">
        <v>4.0000000000000001E-3</v>
      </c>
      <c r="AO98" s="627">
        <v>3.9E-2</v>
      </c>
      <c r="AP98" s="528">
        <f>BM98-SUM(AM98,AN98,AO98)</f>
        <v>7.8E-2</v>
      </c>
      <c r="AQ98" s="627">
        <v>9.4E-2</v>
      </c>
      <c r="AR98" s="627">
        <v>4.7E-2</v>
      </c>
      <c r="AS98" s="627">
        <v>5.2999999999999999E-2</v>
      </c>
      <c r="AT98" s="528">
        <f>BN98-SUM(AQ98,AR98,AS98)</f>
        <v>6.5000000000000002E-2</v>
      </c>
      <c r="AU98" s="628">
        <v>5.6000000000000001E-2</v>
      </c>
      <c r="AV98" s="528"/>
      <c r="AW98" s="528"/>
      <c r="AX98" s="528"/>
      <c r="AY98" s="528"/>
      <c r="AZ98" s="692"/>
      <c r="BA98" s="692"/>
      <c r="BB98" s="692"/>
      <c r="BC98" s="692"/>
      <c r="BD98" s="692"/>
      <c r="BE98" s="692"/>
      <c r="BF98" s="692"/>
      <c r="BG98" s="692"/>
      <c r="BH98" s="692"/>
      <c r="BI98" s="692"/>
      <c r="BJ98" s="692"/>
      <c r="BK98" s="692"/>
      <c r="BL98" s="694">
        <v>0.97</v>
      </c>
      <c r="BM98" s="694">
        <v>0.125</v>
      </c>
      <c r="BN98" s="695">
        <v>0.25900000000000001</v>
      </c>
      <c r="BO98" s="692"/>
      <c r="BP98" s="692"/>
      <c r="BQ98" s="692"/>
      <c r="BR98" s="692"/>
      <c r="BS98" s="692"/>
      <c r="BT98" s="533"/>
    </row>
    <row r="99" spans="1:72" s="17" customFormat="1" outlineLevel="1" x14ac:dyDescent="0.35">
      <c r="A99" s="411" t="s">
        <v>577</v>
      </c>
      <c r="B99" s="412"/>
      <c r="C99" s="566"/>
      <c r="D99" s="566"/>
      <c r="E99" s="566"/>
      <c r="F99" s="566"/>
      <c r="G99" s="566"/>
      <c r="H99" s="566"/>
      <c r="I99" s="566"/>
      <c r="J99" s="566"/>
      <c r="K99" s="566"/>
      <c r="L99" s="566"/>
      <c r="M99" s="566"/>
      <c r="N99" s="566"/>
      <c r="O99" s="566"/>
      <c r="P99" s="566"/>
      <c r="Q99" s="566"/>
      <c r="R99" s="566"/>
      <c r="S99" s="566"/>
      <c r="T99" s="566"/>
      <c r="U99" s="566"/>
      <c r="V99" s="566"/>
      <c r="W99" s="566"/>
      <c r="X99" s="566"/>
      <c r="Y99" s="566"/>
      <c r="Z99" s="566"/>
      <c r="AA99" s="566"/>
      <c r="AB99" s="566"/>
      <c r="AC99" s="566"/>
      <c r="AD99" s="566"/>
      <c r="AE99" s="635">
        <v>0.38900000000000001</v>
      </c>
      <c r="AF99" s="635">
        <v>0.31900000000000001</v>
      </c>
      <c r="AG99" s="635">
        <v>0.28000000000000003</v>
      </c>
      <c r="AH99" s="566">
        <f>BK99-SUM(AE99,AF99,AG99)</f>
        <v>0.22599999999999998</v>
      </c>
      <c r="AI99" s="635">
        <v>0.28499999999999998</v>
      </c>
      <c r="AJ99" s="635">
        <v>0.315</v>
      </c>
      <c r="AK99" s="635">
        <v>0.23200000000000001</v>
      </c>
      <c r="AL99" s="566">
        <f>BL99-SUM(AI99,AJ99,AK99)</f>
        <v>0.31900000000000006</v>
      </c>
      <c r="AM99" s="566">
        <f t="shared" ref="AM99:AU99" si="84">SUM(AM97:AM98)</f>
        <v>2.1999999999999999E-2</v>
      </c>
      <c r="AN99" s="566">
        <f t="shared" si="84"/>
        <v>0.02</v>
      </c>
      <c r="AO99" s="566">
        <f t="shared" si="84"/>
        <v>5.5E-2</v>
      </c>
      <c r="AP99" s="566">
        <f t="shared" si="84"/>
        <v>9.5000000000000001E-2</v>
      </c>
      <c r="AQ99" s="566">
        <f t="shared" si="84"/>
        <v>0.11799999999999999</v>
      </c>
      <c r="AR99" s="566">
        <f t="shared" si="84"/>
        <v>7.8E-2</v>
      </c>
      <c r="AS99" s="566">
        <f t="shared" si="84"/>
        <v>7.6999999999999999E-2</v>
      </c>
      <c r="AT99" s="566">
        <f t="shared" si="84"/>
        <v>8.8999999999999996E-2</v>
      </c>
      <c r="AU99" s="567">
        <f t="shared" si="84"/>
        <v>6.9000000000000006E-2</v>
      </c>
      <c r="AV99" s="566"/>
      <c r="AW99" s="566"/>
      <c r="AX99" s="566"/>
      <c r="AY99" s="566"/>
      <c r="AZ99" s="720"/>
      <c r="BA99" s="720"/>
      <c r="BB99" s="720"/>
      <c r="BC99" s="720"/>
      <c r="BD99" s="720"/>
      <c r="BE99" s="720"/>
      <c r="BF99" s="720"/>
      <c r="BG99" s="720"/>
      <c r="BH99" s="720"/>
      <c r="BI99" s="720"/>
      <c r="BJ99" s="720"/>
      <c r="BK99" s="721">
        <v>1.214</v>
      </c>
      <c r="BL99" s="720">
        <f>SUM(BL97:BL98)</f>
        <v>1.151</v>
      </c>
      <c r="BM99" s="720">
        <f>SUM(BM97:BM98)</f>
        <v>0.192</v>
      </c>
      <c r="BN99" s="722">
        <f>SUM(BN97:BN98)</f>
        <v>0.36199999999999999</v>
      </c>
      <c r="BO99" s="720"/>
      <c r="BP99" s="720"/>
      <c r="BQ99" s="720"/>
      <c r="BR99" s="720"/>
      <c r="BS99" s="720"/>
      <c r="BT99" s="533"/>
    </row>
    <row r="100" spans="1:72" s="17" customFormat="1" outlineLevel="1" x14ac:dyDescent="0.35">
      <c r="A100" s="308" t="s">
        <v>580</v>
      </c>
      <c r="B100" s="351"/>
      <c r="C100" s="528"/>
      <c r="D100" s="528"/>
      <c r="E100" s="528"/>
      <c r="F100" s="528"/>
      <c r="G100" s="528"/>
      <c r="H100" s="528"/>
      <c r="I100" s="528"/>
      <c r="J100" s="528"/>
      <c r="K100" s="528"/>
      <c r="L100" s="528"/>
      <c r="M100" s="528"/>
      <c r="N100" s="528"/>
      <c r="O100" s="528"/>
      <c r="P100" s="528"/>
      <c r="Q100" s="528"/>
      <c r="R100" s="528"/>
      <c r="S100" s="528"/>
      <c r="T100" s="528"/>
      <c r="U100" s="528"/>
      <c r="V100" s="528"/>
      <c r="W100" s="528"/>
      <c r="X100" s="528"/>
      <c r="Y100" s="528"/>
      <c r="Z100" s="528"/>
      <c r="AA100" s="528"/>
      <c r="AB100" s="528"/>
      <c r="AC100" s="528"/>
      <c r="AD100" s="528"/>
      <c r="AE100" s="528"/>
      <c r="AF100" s="528"/>
      <c r="AG100" s="528"/>
      <c r="AH100" s="528"/>
      <c r="AI100" s="528"/>
      <c r="AJ100" s="528"/>
      <c r="AK100" s="528"/>
      <c r="AL100" s="528"/>
      <c r="AM100" s="627">
        <v>-0.33200000000000002</v>
      </c>
      <c r="AN100" s="627">
        <v>-0.247</v>
      </c>
      <c r="AO100" s="627">
        <v>-0.251</v>
      </c>
      <c r="AP100" s="528">
        <f>BM100-SUM(AM100,AN100,AO100)</f>
        <v>-0.125</v>
      </c>
      <c r="AQ100" s="627">
        <v>-0.28199999999999997</v>
      </c>
      <c r="AR100" s="627">
        <v>-0.27</v>
      </c>
      <c r="AS100" s="627">
        <v>-0.26500000000000001</v>
      </c>
      <c r="AT100" s="528">
        <f>BN100-SUM(AQ100,AR100,AS100)</f>
        <v>-0.2639999999999999</v>
      </c>
      <c r="AU100" s="628">
        <v>-0.13200000000000001</v>
      </c>
      <c r="AV100" s="528"/>
      <c r="AW100" s="528"/>
      <c r="AX100" s="528"/>
      <c r="AY100" s="528"/>
      <c r="AZ100" s="692"/>
      <c r="BA100" s="692"/>
      <c r="BB100" s="692"/>
      <c r="BC100" s="692"/>
      <c r="BD100" s="692"/>
      <c r="BE100" s="692"/>
      <c r="BF100" s="692"/>
      <c r="BG100" s="692"/>
      <c r="BH100" s="692"/>
      <c r="BI100" s="692"/>
      <c r="BJ100" s="692"/>
      <c r="BK100" s="692"/>
      <c r="BL100" s="694">
        <v>-0.92</v>
      </c>
      <c r="BM100" s="694">
        <v>-0.95499999999999996</v>
      </c>
      <c r="BN100" s="695">
        <v>-1.081</v>
      </c>
      <c r="BO100" s="692"/>
      <c r="BP100" s="692"/>
      <c r="BQ100" s="692"/>
      <c r="BR100" s="692"/>
      <c r="BS100" s="692"/>
      <c r="BT100" s="533"/>
    </row>
    <row r="101" spans="1:72" s="17" customFormat="1" outlineLevel="1" x14ac:dyDescent="0.35">
      <c r="A101" s="308" t="s">
        <v>574</v>
      </c>
      <c r="B101" s="351"/>
      <c r="C101" s="528"/>
      <c r="D101" s="528"/>
      <c r="E101" s="528"/>
      <c r="F101" s="528"/>
      <c r="G101" s="528"/>
      <c r="H101" s="528"/>
      <c r="I101" s="528"/>
      <c r="J101" s="528"/>
      <c r="K101" s="528"/>
      <c r="L101" s="528"/>
      <c r="M101" s="528"/>
      <c r="N101" s="528"/>
      <c r="O101" s="528"/>
      <c r="P101" s="528"/>
      <c r="Q101" s="528"/>
      <c r="R101" s="528"/>
      <c r="S101" s="528"/>
      <c r="T101" s="528"/>
      <c r="U101" s="528"/>
      <c r="V101" s="528"/>
      <c r="W101" s="528"/>
      <c r="X101" s="528"/>
      <c r="Y101" s="528"/>
      <c r="Z101" s="528"/>
      <c r="AA101" s="528"/>
      <c r="AB101" s="528"/>
      <c r="AC101" s="528"/>
      <c r="AD101" s="528"/>
      <c r="AE101" s="528"/>
      <c r="AF101" s="528"/>
      <c r="AG101" s="528"/>
      <c r="AH101" s="528"/>
      <c r="AI101" s="528"/>
      <c r="AJ101" s="528"/>
      <c r="AK101" s="528"/>
      <c r="AL101" s="528"/>
      <c r="AM101" s="627">
        <v>-0.129</v>
      </c>
      <c r="AN101" s="627">
        <v>-0.182</v>
      </c>
      <c r="AO101" s="627">
        <v>-0.158</v>
      </c>
      <c r="AP101" s="528">
        <f>BM101-SUM(AM101,AN101,AO101)</f>
        <v>-0.21600000000000008</v>
      </c>
      <c r="AQ101" s="627">
        <v>-0.08</v>
      </c>
      <c r="AR101" s="627">
        <v>-0.08</v>
      </c>
      <c r="AS101" s="627">
        <v>-0.123</v>
      </c>
      <c r="AT101" s="528">
        <f>BN101-SUM(AQ101,AR101,AS101)</f>
        <v>-0.123</v>
      </c>
      <c r="AU101" s="628">
        <v>-0.123</v>
      </c>
      <c r="AV101" s="528"/>
      <c r="AW101" s="528"/>
      <c r="AX101" s="528"/>
      <c r="AY101" s="528"/>
      <c r="AZ101" s="692"/>
      <c r="BA101" s="692"/>
      <c r="BB101" s="692"/>
      <c r="BC101" s="692"/>
      <c r="BD101" s="692"/>
      <c r="BE101" s="692"/>
      <c r="BF101" s="692"/>
      <c r="BG101" s="692"/>
      <c r="BH101" s="692"/>
      <c r="BI101" s="692"/>
      <c r="BJ101" s="692"/>
      <c r="BK101" s="692"/>
      <c r="BL101" s="694">
        <v>-0.91600000000000004</v>
      </c>
      <c r="BM101" s="694">
        <v>-0.68500000000000005</v>
      </c>
      <c r="BN101" s="695">
        <v>-0.40600000000000003</v>
      </c>
      <c r="BO101" s="692"/>
      <c r="BP101" s="692"/>
      <c r="BQ101" s="692"/>
      <c r="BR101" s="692"/>
      <c r="BS101" s="692"/>
      <c r="BT101" s="533"/>
    </row>
    <row r="102" spans="1:72" s="17" customFormat="1" outlineLevel="1" x14ac:dyDescent="0.35">
      <c r="A102" s="414" t="s">
        <v>576</v>
      </c>
      <c r="B102" s="415"/>
      <c r="C102" s="569"/>
      <c r="D102" s="569"/>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c r="AA102" s="569"/>
      <c r="AB102" s="569"/>
      <c r="AC102" s="569"/>
      <c r="AD102" s="569"/>
      <c r="AE102" s="636">
        <v>-0.188</v>
      </c>
      <c r="AF102" s="636">
        <v>-0.128</v>
      </c>
      <c r="AG102" s="636">
        <v>-0.215</v>
      </c>
      <c r="AH102" s="569">
        <f>BK102-SUM(AE102,AF102,AG102)</f>
        <v>-0.22899999999999998</v>
      </c>
      <c r="AI102" s="636">
        <v>-0.22900000000000001</v>
      </c>
      <c r="AJ102" s="636">
        <v>-0.44700000000000001</v>
      </c>
      <c r="AK102" s="636">
        <v>-0.51400000000000001</v>
      </c>
      <c r="AL102" s="569">
        <f>BL102-SUM(AI102,AJ102,AK102)</f>
        <v>-0.64600000000000013</v>
      </c>
      <c r="AM102" s="569">
        <f t="shared" ref="AM102:AU102" si="85">SUM(AM100:AM101)</f>
        <v>-0.46100000000000002</v>
      </c>
      <c r="AN102" s="569">
        <f t="shared" si="85"/>
        <v>-0.42899999999999999</v>
      </c>
      <c r="AO102" s="569">
        <f t="shared" si="85"/>
        <v>-0.40900000000000003</v>
      </c>
      <c r="AP102" s="569">
        <f t="shared" si="85"/>
        <v>-0.34100000000000008</v>
      </c>
      <c r="AQ102" s="569">
        <f t="shared" si="85"/>
        <v>-0.36199999999999999</v>
      </c>
      <c r="AR102" s="569">
        <f t="shared" si="85"/>
        <v>-0.35000000000000003</v>
      </c>
      <c r="AS102" s="569">
        <f t="shared" si="85"/>
        <v>-0.38800000000000001</v>
      </c>
      <c r="AT102" s="569">
        <f t="shared" si="85"/>
        <v>-0.3869999999999999</v>
      </c>
      <c r="AU102" s="570">
        <f t="shared" si="85"/>
        <v>-0.255</v>
      </c>
      <c r="AV102" s="569"/>
      <c r="AW102" s="569"/>
      <c r="AX102" s="569"/>
      <c r="AY102" s="569"/>
      <c r="AZ102" s="723"/>
      <c r="BA102" s="723"/>
      <c r="BB102" s="723"/>
      <c r="BC102" s="723"/>
      <c r="BD102" s="723"/>
      <c r="BE102" s="723"/>
      <c r="BF102" s="723"/>
      <c r="BG102" s="723"/>
      <c r="BH102" s="723"/>
      <c r="BI102" s="723"/>
      <c r="BJ102" s="723"/>
      <c r="BK102" s="724">
        <v>-0.76</v>
      </c>
      <c r="BL102" s="723">
        <f>SUM(BL100:BL101)</f>
        <v>-1.8360000000000001</v>
      </c>
      <c r="BM102" s="723">
        <f>SUM(BM100:BM101)</f>
        <v>-1.6400000000000001</v>
      </c>
      <c r="BN102" s="725">
        <f>SUM(BN100:BN101)</f>
        <v>-1.4870000000000001</v>
      </c>
      <c r="BO102" s="723"/>
      <c r="BP102" s="723"/>
      <c r="BQ102" s="723"/>
      <c r="BR102" s="723"/>
      <c r="BS102" s="723"/>
      <c r="BT102" s="533"/>
    </row>
    <row r="103" spans="1:72" s="17" customFormat="1" outlineLevel="1" x14ac:dyDescent="0.35">
      <c r="A103" s="416" t="s">
        <v>569</v>
      </c>
      <c r="B103" s="415"/>
      <c r="C103" s="569"/>
      <c r="D103" s="569"/>
      <c r="E103" s="569"/>
      <c r="F103" s="569"/>
      <c r="G103" s="569"/>
      <c r="H103" s="569"/>
      <c r="I103" s="569"/>
      <c r="J103" s="569"/>
      <c r="K103" s="569"/>
      <c r="L103" s="569"/>
      <c r="M103" s="569"/>
      <c r="N103" s="569"/>
      <c r="O103" s="569"/>
      <c r="P103" s="569"/>
      <c r="Q103" s="569"/>
      <c r="R103" s="569"/>
      <c r="S103" s="569"/>
      <c r="T103" s="569"/>
      <c r="U103" s="569"/>
      <c r="V103" s="569"/>
      <c r="W103" s="569"/>
      <c r="X103" s="569"/>
      <c r="Y103" s="569"/>
      <c r="Z103" s="569"/>
      <c r="AA103" s="569"/>
      <c r="AB103" s="569"/>
      <c r="AC103" s="569"/>
      <c r="AD103" s="569"/>
      <c r="AE103" s="569">
        <f t="shared" ref="AE103:AU103" si="86">AE96+AE99+AE102</f>
        <v>1.8080000000000001</v>
      </c>
      <c r="AF103" s="569">
        <f t="shared" si="86"/>
        <v>1.919</v>
      </c>
      <c r="AG103" s="569">
        <f t="shared" si="86"/>
        <v>4.1000000000000005</v>
      </c>
      <c r="AH103" s="569">
        <f t="shared" si="86"/>
        <v>5.7559999999999993</v>
      </c>
      <c r="AI103" s="569">
        <f t="shared" si="86"/>
        <v>5.5890000000000004</v>
      </c>
      <c r="AJ103" s="569">
        <f t="shared" si="86"/>
        <v>5.4470000000000001</v>
      </c>
      <c r="AK103" s="569">
        <f t="shared" si="86"/>
        <v>5.43</v>
      </c>
      <c r="AL103" s="569">
        <f t="shared" si="86"/>
        <v>5.4070000000000018</v>
      </c>
      <c r="AM103" s="569">
        <f t="shared" si="86"/>
        <v>5.1630000000000003</v>
      </c>
      <c r="AN103" s="569">
        <f t="shared" si="86"/>
        <v>5.2989999999999995</v>
      </c>
      <c r="AO103" s="569">
        <f t="shared" si="86"/>
        <v>5.2409999999999997</v>
      </c>
      <c r="AP103" s="569">
        <f t="shared" si="86"/>
        <v>4.9269999999999996</v>
      </c>
      <c r="AQ103" s="569">
        <f t="shared" si="86"/>
        <v>4.0570000000000004</v>
      </c>
      <c r="AR103" s="569">
        <f t="shared" si="86"/>
        <v>2.9539999999999997</v>
      </c>
      <c r="AS103" s="569">
        <f t="shared" si="86"/>
        <v>3.1100000000000003</v>
      </c>
      <c r="AT103" s="569">
        <f t="shared" si="86"/>
        <v>5.3980000000000006</v>
      </c>
      <c r="AU103" s="570">
        <f t="shared" si="86"/>
        <v>4.5709999999999997</v>
      </c>
      <c r="AV103" s="569"/>
      <c r="AW103" s="569"/>
      <c r="AX103" s="569"/>
      <c r="AY103" s="569"/>
      <c r="AZ103" s="723"/>
      <c r="BA103" s="723"/>
      <c r="BB103" s="723"/>
      <c r="BC103" s="723"/>
      <c r="BD103" s="723"/>
      <c r="BE103" s="723"/>
      <c r="BF103" s="723"/>
      <c r="BG103" s="723"/>
      <c r="BH103" s="723"/>
      <c r="BI103" s="723"/>
      <c r="BJ103" s="723"/>
      <c r="BK103" s="723">
        <f>BK96+BK99+BK102</f>
        <v>13.583</v>
      </c>
      <c r="BL103" s="723">
        <f>BL96+BL99+BL102</f>
        <v>21.873000000000001</v>
      </c>
      <c r="BM103" s="723">
        <f>BM96+BM99+BM102</f>
        <v>20.63</v>
      </c>
      <c r="BN103" s="725">
        <f>BN96+BN99+BN102</f>
        <v>15.518999999999997</v>
      </c>
      <c r="BO103" s="723"/>
      <c r="BP103" s="723"/>
      <c r="BQ103" s="723"/>
      <c r="BR103" s="723"/>
      <c r="BS103" s="723"/>
      <c r="BT103" s="533"/>
    </row>
    <row r="104" spans="1:72" s="1" customFormat="1" outlineLevel="1" x14ac:dyDescent="0.35">
      <c r="A104" s="179" t="s">
        <v>570</v>
      </c>
      <c r="B104" s="353"/>
      <c r="C104" s="556"/>
      <c r="D104" s="556"/>
      <c r="E104" s="556"/>
      <c r="F104" s="556"/>
      <c r="G104" s="556"/>
      <c r="H104" s="556"/>
      <c r="I104" s="556"/>
      <c r="J104" s="556"/>
      <c r="K104" s="556"/>
      <c r="L104" s="556"/>
      <c r="M104" s="556"/>
      <c r="N104" s="556"/>
      <c r="O104" s="556"/>
      <c r="P104" s="556"/>
      <c r="Q104" s="556"/>
      <c r="R104" s="556"/>
      <c r="S104" s="556"/>
      <c r="T104" s="556"/>
      <c r="U104" s="556"/>
      <c r="V104" s="556"/>
      <c r="W104" s="556"/>
      <c r="X104" s="556"/>
      <c r="Y104" s="556"/>
      <c r="Z104" s="556"/>
      <c r="AA104" s="556"/>
      <c r="AB104" s="556"/>
      <c r="AC104" s="556"/>
      <c r="AD104" s="556"/>
      <c r="AE104" s="556">
        <f t="shared" ref="AE104:AU104" si="87">AE93+AE103</f>
        <v>5.9559999999999995</v>
      </c>
      <c r="AF104" s="556">
        <f t="shared" si="87"/>
        <v>6.3379999999999992</v>
      </c>
      <c r="AG104" s="556">
        <f t="shared" si="87"/>
        <v>8.6080000000000005</v>
      </c>
      <c r="AH104" s="556">
        <f t="shared" si="87"/>
        <v>10.241</v>
      </c>
      <c r="AI104" s="556">
        <f t="shared" si="87"/>
        <v>10.544</v>
      </c>
      <c r="AJ104" s="556">
        <f t="shared" si="87"/>
        <v>13.942999999999998</v>
      </c>
      <c r="AK104" s="556">
        <f t="shared" si="87"/>
        <v>13.829000000000001</v>
      </c>
      <c r="AL104" s="556">
        <f t="shared" si="87"/>
        <v>13.315000000000001</v>
      </c>
      <c r="AM104" s="556">
        <f t="shared" si="87"/>
        <v>13.200000000000001</v>
      </c>
      <c r="AN104" s="556">
        <f t="shared" si="87"/>
        <v>15.112</v>
      </c>
      <c r="AO104" s="556">
        <f t="shared" si="87"/>
        <v>14.526</v>
      </c>
      <c r="AP104" s="556">
        <f t="shared" si="87"/>
        <v>14.280000000000003</v>
      </c>
      <c r="AQ104" s="556">
        <f t="shared" si="87"/>
        <v>14.379</v>
      </c>
      <c r="AR104" s="556">
        <f t="shared" si="87"/>
        <v>13.478999999999999</v>
      </c>
      <c r="AS104" s="556">
        <f t="shared" si="87"/>
        <v>13.571999999999999</v>
      </c>
      <c r="AT104" s="556">
        <f t="shared" si="87"/>
        <v>15.480999999999998</v>
      </c>
      <c r="AU104" s="561">
        <f t="shared" si="87"/>
        <v>13.93</v>
      </c>
      <c r="AV104" s="556"/>
      <c r="AW104" s="556"/>
      <c r="AX104" s="556"/>
      <c r="AY104" s="556"/>
      <c r="AZ104" s="699"/>
      <c r="BA104" s="699"/>
      <c r="BB104" s="699"/>
      <c r="BC104" s="699"/>
      <c r="BD104" s="699"/>
      <c r="BE104" s="699"/>
      <c r="BF104" s="699"/>
      <c r="BG104" s="699"/>
      <c r="BH104" s="699"/>
      <c r="BI104" s="699"/>
      <c r="BJ104" s="699"/>
      <c r="BK104" s="699">
        <f>BK93+BK103</f>
        <v>31.143000000000001</v>
      </c>
      <c r="BL104" s="699">
        <f>BL93+BL103</f>
        <v>51.631</v>
      </c>
      <c r="BM104" s="699">
        <f>BM93+BM103</f>
        <v>57.117999999999995</v>
      </c>
      <c r="BN104" s="713">
        <f>BN93+BN103</f>
        <v>56.910999999999994</v>
      </c>
      <c r="BO104" s="699"/>
      <c r="BP104" s="699"/>
      <c r="BQ104" s="699"/>
      <c r="BR104" s="699"/>
      <c r="BS104" s="699"/>
      <c r="BT104" s="530"/>
    </row>
    <row r="105" spans="1:72" s="1" customFormat="1" outlineLevel="1" x14ac:dyDescent="0.35">
      <c r="A105" s="354"/>
      <c r="B105" s="350"/>
      <c r="C105" s="548"/>
      <c r="D105" s="548"/>
      <c r="E105" s="548"/>
      <c r="F105" s="548"/>
      <c r="G105" s="548"/>
      <c r="H105" s="548"/>
      <c r="I105" s="548"/>
      <c r="J105" s="548"/>
      <c r="K105" s="548"/>
      <c r="L105" s="548"/>
      <c r="M105" s="548"/>
      <c r="N105" s="548"/>
      <c r="O105" s="548"/>
      <c r="P105" s="548"/>
      <c r="Q105" s="548"/>
      <c r="R105" s="548"/>
      <c r="S105" s="548"/>
      <c r="T105" s="548"/>
      <c r="U105" s="548"/>
      <c r="V105" s="548"/>
      <c r="W105" s="548"/>
      <c r="X105" s="548"/>
      <c r="Y105" s="548"/>
      <c r="Z105" s="548"/>
      <c r="AA105" s="548"/>
      <c r="AB105" s="548"/>
      <c r="AC105" s="548"/>
      <c r="AD105" s="548"/>
      <c r="AE105" s="548"/>
      <c r="AF105" s="548"/>
      <c r="AG105" s="548"/>
      <c r="AH105" s="548"/>
      <c r="AI105" s="548"/>
      <c r="AJ105" s="548"/>
      <c r="AK105" s="548"/>
      <c r="AL105" s="548"/>
      <c r="AM105" s="548"/>
      <c r="AN105" s="548"/>
      <c r="AO105" s="548"/>
      <c r="AP105" s="548"/>
      <c r="AQ105" s="548"/>
      <c r="AR105" s="548"/>
      <c r="AS105" s="548"/>
      <c r="AT105" s="548"/>
      <c r="AU105" s="559"/>
      <c r="AV105" s="548"/>
      <c r="AW105" s="548"/>
      <c r="AX105" s="548"/>
      <c r="AY105" s="548"/>
      <c r="AZ105" s="688"/>
      <c r="BA105" s="688"/>
      <c r="BB105" s="688"/>
      <c r="BC105" s="688"/>
      <c r="BD105" s="688"/>
      <c r="BE105" s="688"/>
      <c r="BF105" s="688"/>
      <c r="BG105" s="688"/>
      <c r="BH105" s="688"/>
      <c r="BI105" s="688"/>
      <c r="BJ105" s="688"/>
      <c r="BK105" s="688"/>
      <c r="BL105" s="688"/>
      <c r="BM105" s="688"/>
      <c r="BN105" s="702"/>
      <c r="BO105" s="688"/>
      <c r="BP105" s="688"/>
      <c r="BQ105" s="688"/>
      <c r="BR105" s="688"/>
      <c r="BS105" s="688"/>
      <c r="BT105" s="530"/>
    </row>
    <row r="106" spans="1:72" s="1" customFormat="1" outlineLevel="1" x14ac:dyDescent="0.35">
      <c r="A106" s="354" t="s">
        <v>571</v>
      </c>
      <c r="B106" s="350"/>
      <c r="C106" s="548"/>
      <c r="D106" s="548"/>
      <c r="E106" s="548"/>
      <c r="F106" s="548"/>
      <c r="G106" s="548"/>
      <c r="H106" s="548"/>
      <c r="I106" s="548"/>
      <c r="J106" s="548"/>
      <c r="K106" s="548"/>
      <c r="L106" s="548"/>
      <c r="M106" s="548"/>
      <c r="N106" s="548"/>
      <c r="O106" s="548"/>
      <c r="P106" s="548"/>
      <c r="Q106" s="548"/>
      <c r="R106" s="548"/>
      <c r="S106" s="548"/>
      <c r="T106" s="548"/>
      <c r="U106" s="548"/>
      <c r="V106" s="548"/>
      <c r="W106" s="548"/>
      <c r="X106" s="548"/>
      <c r="Y106" s="548"/>
      <c r="Z106" s="548"/>
      <c r="AA106" s="548"/>
      <c r="AB106" s="548"/>
      <c r="AC106" s="548"/>
      <c r="AD106" s="548"/>
      <c r="AE106" s="548"/>
      <c r="AF106" s="548"/>
      <c r="AG106" s="548"/>
      <c r="AH106" s="548"/>
      <c r="AI106" s="548"/>
      <c r="AJ106" s="548"/>
      <c r="AK106" s="548"/>
      <c r="AL106" s="548"/>
      <c r="AM106" s="548"/>
      <c r="AN106" s="548"/>
      <c r="AO106" s="548"/>
      <c r="AP106" s="548"/>
      <c r="AQ106" s="548"/>
      <c r="AR106" s="548"/>
      <c r="AS106" s="548"/>
      <c r="AT106" s="548"/>
      <c r="AU106" s="559"/>
      <c r="AV106" s="548"/>
      <c r="AW106" s="548"/>
      <c r="AX106" s="548"/>
      <c r="AY106" s="548"/>
      <c r="AZ106" s="690">
        <v>2.9</v>
      </c>
      <c r="BA106" s="690">
        <v>4</v>
      </c>
      <c r="BB106" s="690">
        <v>6.5</v>
      </c>
      <c r="BC106" s="690">
        <v>7.8</v>
      </c>
      <c r="BD106" s="690">
        <v>7.7</v>
      </c>
      <c r="BE106" s="690">
        <v>8.8000000000000007</v>
      </c>
      <c r="BF106" s="690">
        <v>8.1</v>
      </c>
      <c r="BG106" s="690">
        <v>7.8</v>
      </c>
      <c r="BH106" s="690">
        <v>6.3</v>
      </c>
      <c r="BI106" s="690">
        <v>6.8</v>
      </c>
      <c r="BJ106" s="690">
        <v>7.2</v>
      </c>
      <c r="BK106" s="688"/>
      <c r="BL106" s="688"/>
      <c r="BM106" s="688"/>
      <c r="BN106" s="702"/>
      <c r="BO106" s="688"/>
      <c r="BP106" s="688"/>
      <c r="BQ106" s="688"/>
      <c r="BR106" s="688"/>
      <c r="BS106" s="688"/>
      <c r="BT106" s="530"/>
    </row>
    <row r="107" spans="1:72" s="1" customFormat="1" x14ac:dyDescent="0.35">
      <c r="A107" s="354"/>
      <c r="B107" s="350"/>
      <c r="C107" s="548"/>
      <c r="D107" s="548"/>
      <c r="E107" s="548"/>
      <c r="F107" s="548"/>
      <c r="G107" s="548"/>
      <c r="H107" s="548"/>
      <c r="I107" s="548"/>
      <c r="J107" s="548"/>
      <c r="K107" s="548"/>
      <c r="L107" s="548"/>
      <c r="M107" s="548"/>
      <c r="N107" s="548"/>
      <c r="O107" s="548"/>
      <c r="P107" s="548"/>
      <c r="Q107" s="548"/>
      <c r="R107" s="548"/>
      <c r="S107" s="548"/>
      <c r="T107" s="548"/>
      <c r="U107" s="548"/>
      <c r="V107" s="548"/>
      <c r="W107" s="548"/>
      <c r="X107" s="548"/>
      <c r="Y107" s="548"/>
      <c r="Z107" s="548"/>
      <c r="AA107" s="548"/>
      <c r="AB107" s="548"/>
      <c r="AC107" s="548"/>
      <c r="AD107" s="548"/>
      <c r="AE107" s="548"/>
      <c r="AF107" s="548"/>
      <c r="AG107" s="548"/>
      <c r="AH107" s="548"/>
      <c r="AI107" s="548"/>
      <c r="AJ107" s="548"/>
      <c r="AK107" s="548"/>
      <c r="AL107" s="548"/>
      <c r="AM107" s="548"/>
      <c r="AN107" s="548"/>
      <c r="AO107" s="548"/>
      <c r="AP107" s="548"/>
      <c r="AQ107" s="548"/>
      <c r="AR107" s="548"/>
      <c r="AS107" s="548"/>
      <c r="AT107" s="548"/>
      <c r="AU107" s="559"/>
      <c r="AV107" s="548"/>
      <c r="AW107" s="548"/>
      <c r="AX107" s="548"/>
      <c r="AY107" s="548"/>
      <c r="AZ107" s="688"/>
      <c r="BA107" s="688"/>
      <c r="BB107" s="688"/>
      <c r="BC107" s="688"/>
      <c r="BD107" s="688"/>
      <c r="BE107" s="688"/>
      <c r="BF107" s="688"/>
      <c r="BG107" s="688"/>
      <c r="BH107" s="688"/>
      <c r="BI107" s="688"/>
      <c r="BJ107" s="688"/>
      <c r="BK107" s="688"/>
      <c r="BL107" s="688"/>
      <c r="BM107" s="688"/>
      <c r="BN107" s="702"/>
      <c r="BO107" s="688"/>
      <c r="BP107" s="688"/>
      <c r="BQ107" s="688"/>
      <c r="BR107" s="688"/>
      <c r="BS107" s="688"/>
      <c r="BT107" s="530"/>
    </row>
    <row r="108" spans="1:72" s="1" customFormat="1" x14ac:dyDescent="0.35">
      <c r="A108" s="527" t="s">
        <v>527</v>
      </c>
      <c r="B108" s="527"/>
      <c r="C108" s="527"/>
      <c r="D108" s="527"/>
      <c r="E108" s="527"/>
      <c r="F108" s="527"/>
      <c r="G108" s="527"/>
      <c r="H108" s="527"/>
      <c r="I108" s="527"/>
      <c r="J108" s="527"/>
      <c r="K108" s="527"/>
      <c r="L108" s="527"/>
      <c r="M108" s="527"/>
      <c r="N108" s="527"/>
      <c r="O108" s="527"/>
      <c r="P108" s="527"/>
      <c r="Q108" s="527"/>
      <c r="R108" s="527"/>
      <c r="S108" s="527"/>
      <c r="T108" s="527"/>
      <c r="U108" s="527"/>
      <c r="V108" s="527"/>
      <c r="W108" s="527"/>
      <c r="X108" s="527"/>
      <c r="Y108" s="527"/>
      <c r="Z108" s="527"/>
      <c r="AA108" s="527"/>
      <c r="AB108" s="527"/>
      <c r="AC108" s="527"/>
      <c r="AD108" s="527"/>
      <c r="AE108" s="527"/>
      <c r="AF108" s="527"/>
      <c r="AG108" s="527"/>
      <c r="AH108" s="527"/>
      <c r="AI108" s="527"/>
      <c r="AJ108" s="527"/>
      <c r="AK108" s="527"/>
      <c r="AL108" s="527"/>
      <c r="AM108" s="527"/>
      <c r="AN108" s="527"/>
      <c r="AO108" s="527"/>
      <c r="AP108" s="527"/>
      <c r="AQ108" s="527"/>
      <c r="AR108" s="527"/>
      <c r="AS108" s="527"/>
      <c r="AT108" s="527"/>
      <c r="AU108" s="547"/>
      <c r="AV108" s="527"/>
      <c r="AW108" s="527"/>
      <c r="AX108" s="527"/>
      <c r="AY108" s="527"/>
      <c r="AZ108" s="527"/>
      <c r="BA108" s="527"/>
      <c r="BB108" s="527"/>
      <c r="BC108" s="527"/>
      <c r="BD108" s="527"/>
      <c r="BE108" s="527"/>
      <c r="BF108" s="527"/>
      <c r="BG108" s="527"/>
      <c r="BH108" s="527"/>
      <c r="BI108" s="527"/>
      <c r="BJ108" s="527"/>
      <c r="BK108" s="527"/>
      <c r="BL108" s="527"/>
      <c r="BM108" s="527"/>
      <c r="BN108" s="547"/>
      <c r="BO108" s="527"/>
      <c r="BP108" s="527"/>
      <c r="BQ108" s="527"/>
      <c r="BR108" s="527"/>
      <c r="BS108" s="527"/>
      <c r="BT108" s="530"/>
    </row>
    <row r="109" spans="1:72" s="17" customFormat="1" outlineLevel="1" x14ac:dyDescent="0.35">
      <c r="A109" s="55" t="s">
        <v>552</v>
      </c>
      <c r="B109" s="331"/>
      <c r="C109" s="529"/>
      <c r="D109" s="529"/>
      <c r="E109" s="529"/>
      <c r="F109" s="529"/>
      <c r="G109" s="637">
        <v>193.55799999999999</v>
      </c>
      <c r="H109" s="637">
        <v>192.93899999999999</v>
      </c>
      <c r="I109" s="637">
        <v>205.97</v>
      </c>
      <c r="J109" s="637">
        <v>201.387</v>
      </c>
      <c r="K109" s="637">
        <v>202.37899999999999</v>
      </c>
      <c r="L109" s="637">
        <v>196.73500000000001</v>
      </c>
      <c r="M109" s="637">
        <v>213.23</v>
      </c>
      <c r="N109" s="637">
        <v>201.333</v>
      </c>
      <c r="O109" s="637">
        <v>177.45500000000001</v>
      </c>
      <c r="P109" s="637">
        <v>170.346</v>
      </c>
      <c r="Q109" s="637">
        <v>185.83199999999999</v>
      </c>
      <c r="R109" s="637">
        <v>183.42599999999999</v>
      </c>
      <c r="S109" s="637">
        <v>184.54</v>
      </c>
      <c r="T109" s="637">
        <v>182.39599999999999</v>
      </c>
      <c r="U109" s="637">
        <v>187.41800000000001</v>
      </c>
      <c r="V109" s="530">
        <f>BH109-SUM(S109,T109,U109)</f>
        <v>179.33600000000001</v>
      </c>
      <c r="W109" s="637">
        <v>188.506</v>
      </c>
      <c r="X109" s="637">
        <v>183.392</v>
      </c>
      <c r="Y109" s="637">
        <v>200.58</v>
      </c>
      <c r="Z109" s="530">
        <f>BI109-SUM(W109,X109,Y109)</f>
        <v>208.31899999999996</v>
      </c>
      <c r="AA109" s="637">
        <v>220.54300000000001</v>
      </c>
      <c r="AB109" s="637">
        <v>222.79300000000001</v>
      </c>
      <c r="AC109" s="637">
        <v>222.64500000000001</v>
      </c>
      <c r="AD109" s="530">
        <f>BJ109-SUM(AA109,AB109,AC109)</f>
        <v>224.29399999999998</v>
      </c>
      <c r="AE109" s="637">
        <v>227.53399999999999</v>
      </c>
      <c r="AF109" s="637">
        <v>229.57599999999999</v>
      </c>
      <c r="AG109" s="637">
        <v>228.33500000000001</v>
      </c>
      <c r="AH109" s="530">
        <f>BK109-SUM(AE109,AF109,AG109)</f>
        <v>234.63499999999999</v>
      </c>
      <c r="AI109" s="529"/>
      <c r="AJ109" s="529"/>
      <c r="AK109" s="529"/>
      <c r="AL109" s="529"/>
      <c r="AM109" s="529"/>
      <c r="AN109" s="529"/>
      <c r="AO109" s="529"/>
      <c r="AP109" s="529"/>
      <c r="AQ109" s="529"/>
      <c r="AR109" s="529"/>
      <c r="AS109" s="529"/>
      <c r="AT109" s="529"/>
      <c r="AU109" s="531"/>
      <c r="AV109" s="529"/>
      <c r="AW109" s="529"/>
      <c r="AX109" s="529"/>
      <c r="AY109" s="529"/>
      <c r="AZ109" s="726"/>
      <c r="BA109" s="726"/>
      <c r="BB109" s="726"/>
      <c r="BC109" s="726"/>
      <c r="BD109" s="726"/>
      <c r="BE109" s="727">
        <v>793.85400000000004</v>
      </c>
      <c r="BF109" s="727">
        <v>813.67700000000002</v>
      </c>
      <c r="BG109" s="727">
        <v>717.05899999999997</v>
      </c>
      <c r="BH109" s="727">
        <v>733.69</v>
      </c>
      <c r="BI109" s="727">
        <v>780.79700000000003</v>
      </c>
      <c r="BJ109" s="727">
        <v>890.27499999999998</v>
      </c>
      <c r="BK109" s="727">
        <v>920.08</v>
      </c>
      <c r="BL109" s="726"/>
      <c r="BM109" s="726"/>
      <c r="BN109" s="728"/>
      <c r="BO109" s="726"/>
      <c r="BP109" s="726"/>
      <c r="BQ109" s="726"/>
      <c r="BR109" s="726"/>
      <c r="BS109" s="726"/>
      <c r="BT109" s="533"/>
    </row>
    <row r="110" spans="1:72" s="17" customFormat="1" outlineLevel="1" x14ac:dyDescent="0.35">
      <c r="A110" s="56" t="s">
        <v>20</v>
      </c>
      <c r="B110" s="175"/>
      <c r="C110" s="532"/>
      <c r="D110" s="532"/>
      <c r="E110" s="532"/>
      <c r="F110" s="532"/>
      <c r="G110" s="638">
        <v>9.0809999999999995</v>
      </c>
      <c r="H110" s="638">
        <v>6.9399999999999995</v>
      </c>
      <c r="I110" s="638">
        <v>6.7640000000000002</v>
      </c>
      <c r="J110" s="638">
        <v>6.5350000000000001</v>
      </c>
      <c r="K110" s="638">
        <v>10.493</v>
      </c>
      <c r="L110" s="638">
        <v>11.44</v>
      </c>
      <c r="M110" s="638">
        <v>9.3239999999999998</v>
      </c>
      <c r="N110" s="638">
        <v>8.3119999999999994</v>
      </c>
      <c r="O110" s="638">
        <v>15.706</v>
      </c>
      <c r="P110" s="638">
        <v>15.59</v>
      </c>
      <c r="Q110" s="638">
        <v>13.145</v>
      </c>
      <c r="R110" s="638">
        <v>11.16</v>
      </c>
      <c r="S110" s="638">
        <v>18.295000000000002</v>
      </c>
      <c r="T110" s="638">
        <v>17.634</v>
      </c>
      <c r="U110" s="638">
        <v>16.030999999999999</v>
      </c>
      <c r="V110" s="533">
        <f>BH110-SUM(S110,T110,U110)</f>
        <v>13.401999999999994</v>
      </c>
      <c r="W110" s="638">
        <v>17.158999999999999</v>
      </c>
      <c r="X110" s="638">
        <v>13.991</v>
      </c>
      <c r="Y110" s="638">
        <v>13.25</v>
      </c>
      <c r="Z110" s="533">
        <f>BI110-SUM(W110,X110,Y110)</f>
        <v>12.384</v>
      </c>
      <c r="AA110" s="638">
        <v>11.404999999999999</v>
      </c>
      <c r="AB110" s="638">
        <v>13.217000000000001</v>
      </c>
      <c r="AC110" s="638">
        <v>12.776</v>
      </c>
      <c r="AD110" s="533">
        <f>BJ110-SUM(AA110,AB110,AC110)</f>
        <v>13.225000000000001</v>
      </c>
      <c r="AE110" s="638">
        <v>9.5739999999999998</v>
      </c>
      <c r="AF110" s="638">
        <v>9.0449999999999999</v>
      </c>
      <c r="AG110" s="638">
        <v>8.173</v>
      </c>
      <c r="AH110" s="533">
        <f>BK110-SUM(AE110,AF110,AG110)</f>
        <v>9.4029999999999987</v>
      </c>
      <c r="AI110" s="532"/>
      <c r="AJ110" s="532"/>
      <c r="AK110" s="532"/>
      <c r="AL110" s="532"/>
      <c r="AM110" s="532"/>
      <c r="AN110" s="532"/>
      <c r="AO110" s="532"/>
      <c r="AP110" s="532"/>
      <c r="AQ110" s="532"/>
      <c r="AR110" s="532"/>
      <c r="AS110" s="532"/>
      <c r="AT110" s="532"/>
      <c r="AU110" s="534"/>
      <c r="AV110" s="532"/>
      <c r="AW110" s="532"/>
      <c r="AX110" s="532"/>
      <c r="AY110" s="532"/>
      <c r="AZ110" s="156"/>
      <c r="BA110" s="156"/>
      <c r="BB110" s="156"/>
      <c r="BC110" s="156"/>
      <c r="BD110" s="156"/>
      <c r="BE110" s="729">
        <v>28.835999999999999</v>
      </c>
      <c r="BF110" s="729">
        <v>39.320999999999998</v>
      </c>
      <c r="BG110" s="729">
        <v>55.600999999999999</v>
      </c>
      <c r="BH110" s="729">
        <v>65.361999999999995</v>
      </c>
      <c r="BI110" s="729">
        <v>56.783999999999999</v>
      </c>
      <c r="BJ110" s="729">
        <v>50.622999999999998</v>
      </c>
      <c r="BK110" s="729">
        <v>36.195</v>
      </c>
      <c r="BL110" s="156"/>
      <c r="BM110" s="156"/>
      <c r="BN110" s="730"/>
      <c r="BO110" s="156"/>
      <c r="BP110" s="156"/>
      <c r="BQ110" s="156"/>
      <c r="BR110" s="156"/>
      <c r="BS110" s="156"/>
      <c r="BT110" s="533"/>
    </row>
    <row r="111" spans="1:72" s="17" customFormat="1" outlineLevel="1" x14ac:dyDescent="0.35">
      <c r="A111" s="266" t="s">
        <v>21</v>
      </c>
      <c r="B111" s="357"/>
      <c r="C111" s="535"/>
      <c r="D111" s="535"/>
      <c r="E111" s="535"/>
      <c r="F111" s="535"/>
      <c r="G111" s="639">
        <v>14.013999999999999</v>
      </c>
      <c r="H111" s="639">
        <v>11.968</v>
      </c>
      <c r="I111" s="639">
        <v>9.4870000000000001</v>
      </c>
      <c r="J111" s="639">
        <v>12.590999999999999</v>
      </c>
      <c r="K111" s="639">
        <v>12.634</v>
      </c>
      <c r="L111" s="639">
        <v>11.833</v>
      </c>
      <c r="M111" s="639">
        <v>10.954000000000001</v>
      </c>
      <c r="N111" s="639">
        <v>13.101000000000001</v>
      </c>
      <c r="O111" s="639">
        <v>13.288</v>
      </c>
      <c r="P111" s="639">
        <v>12.2</v>
      </c>
      <c r="Q111" s="639">
        <v>10.645</v>
      </c>
      <c r="R111" s="639">
        <v>16.856000000000002</v>
      </c>
      <c r="S111" s="639">
        <v>15.962999999999999</v>
      </c>
      <c r="T111" s="639">
        <v>12.77</v>
      </c>
      <c r="U111" s="639">
        <v>10.234</v>
      </c>
      <c r="V111" s="571">
        <f>BH111-SUM(S111,T111,U111)</f>
        <v>14.742000000000004</v>
      </c>
      <c r="W111" s="639">
        <v>13.458</v>
      </c>
      <c r="X111" s="639">
        <v>11.436999999999999</v>
      </c>
      <c r="Y111" s="639">
        <v>9.6050000000000004</v>
      </c>
      <c r="Z111" s="571">
        <f>BI111-SUM(W111,X111,Y111)</f>
        <v>9.3519999999999968</v>
      </c>
      <c r="AA111" s="639">
        <v>11.093999999999999</v>
      </c>
      <c r="AB111" s="639">
        <v>9.891</v>
      </c>
      <c r="AC111" s="639">
        <v>8.5299999999999994</v>
      </c>
      <c r="AD111" s="571">
        <f>BJ111-SUM(AA111,AB111,AC111)</f>
        <v>9.8149999999999977</v>
      </c>
      <c r="AE111" s="639">
        <v>11.353999999999999</v>
      </c>
      <c r="AF111" s="639">
        <v>10.311999999999999</v>
      </c>
      <c r="AG111" s="639">
        <v>8.58</v>
      </c>
      <c r="AH111" s="571">
        <f>BK111-SUM(AE111,AF111,AG111)</f>
        <v>8.5190000000000055</v>
      </c>
      <c r="AI111" s="535"/>
      <c r="AJ111" s="535"/>
      <c r="AK111" s="535"/>
      <c r="AL111" s="535"/>
      <c r="AM111" s="535"/>
      <c r="AN111" s="535"/>
      <c r="AO111" s="535"/>
      <c r="AP111" s="535"/>
      <c r="AQ111" s="535"/>
      <c r="AR111" s="535"/>
      <c r="AS111" s="535"/>
      <c r="AT111" s="535"/>
      <c r="AU111" s="536"/>
      <c r="AV111" s="535"/>
      <c r="AW111" s="535"/>
      <c r="AX111" s="535"/>
      <c r="AY111" s="535"/>
      <c r="AZ111" s="731"/>
      <c r="BA111" s="731"/>
      <c r="BB111" s="731"/>
      <c r="BC111" s="731"/>
      <c r="BD111" s="731"/>
      <c r="BE111" s="732">
        <v>48.545000000000002</v>
      </c>
      <c r="BF111" s="732">
        <v>48.77</v>
      </c>
      <c r="BG111" s="732">
        <v>52.99</v>
      </c>
      <c r="BH111" s="732">
        <v>53.709000000000003</v>
      </c>
      <c r="BI111" s="732">
        <v>43.851999999999997</v>
      </c>
      <c r="BJ111" s="732">
        <v>39.33</v>
      </c>
      <c r="BK111" s="732">
        <v>38.765000000000001</v>
      </c>
      <c r="BL111" s="731"/>
      <c r="BM111" s="731"/>
      <c r="BN111" s="733"/>
      <c r="BO111" s="731"/>
      <c r="BP111" s="731"/>
      <c r="BQ111" s="731"/>
      <c r="BR111" s="731"/>
      <c r="BS111" s="731"/>
      <c r="BT111" s="533"/>
    </row>
    <row r="112" spans="1:72" s="1" customFormat="1" outlineLevel="1" x14ac:dyDescent="0.35">
      <c r="A112" s="46" t="s">
        <v>558</v>
      </c>
      <c r="B112" s="177"/>
      <c r="C112" s="572"/>
      <c r="D112" s="572"/>
      <c r="E112" s="572"/>
      <c r="F112" s="572"/>
      <c r="G112" s="573">
        <f t="shared" ref="G112:AH112" si="88">SUM(G110:G111)</f>
        <v>23.094999999999999</v>
      </c>
      <c r="H112" s="573">
        <f t="shared" si="88"/>
        <v>18.908000000000001</v>
      </c>
      <c r="I112" s="573">
        <f t="shared" si="88"/>
        <v>16.251000000000001</v>
      </c>
      <c r="J112" s="573">
        <f t="shared" si="88"/>
        <v>19.125999999999998</v>
      </c>
      <c r="K112" s="573">
        <f t="shared" si="88"/>
        <v>23.127000000000002</v>
      </c>
      <c r="L112" s="573">
        <f t="shared" si="88"/>
        <v>23.273</v>
      </c>
      <c r="M112" s="573">
        <f t="shared" si="88"/>
        <v>20.277999999999999</v>
      </c>
      <c r="N112" s="573">
        <f t="shared" si="88"/>
        <v>21.413</v>
      </c>
      <c r="O112" s="573">
        <f t="shared" si="88"/>
        <v>28.994</v>
      </c>
      <c r="P112" s="573">
        <f t="shared" si="88"/>
        <v>27.79</v>
      </c>
      <c r="Q112" s="573">
        <f t="shared" si="88"/>
        <v>23.79</v>
      </c>
      <c r="R112" s="573">
        <f t="shared" si="88"/>
        <v>28.016000000000002</v>
      </c>
      <c r="S112" s="573">
        <f t="shared" si="88"/>
        <v>34.258000000000003</v>
      </c>
      <c r="T112" s="573">
        <f t="shared" si="88"/>
        <v>30.404</v>
      </c>
      <c r="U112" s="573">
        <f t="shared" si="88"/>
        <v>26.265000000000001</v>
      </c>
      <c r="V112" s="573">
        <f t="shared" si="88"/>
        <v>28.143999999999998</v>
      </c>
      <c r="W112" s="573">
        <f t="shared" si="88"/>
        <v>30.616999999999997</v>
      </c>
      <c r="X112" s="573">
        <f t="shared" si="88"/>
        <v>25.427999999999997</v>
      </c>
      <c r="Y112" s="573">
        <f t="shared" si="88"/>
        <v>22.855</v>
      </c>
      <c r="Z112" s="573">
        <f t="shared" si="88"/>
        <v>21.735999999999997</v>
      </c>
      <c r="AA112" s="573">
        <f t="shared" si="88"/>
        <v>22.498999999999999</v>
      </c>
      <c r="AB112" s="573">
        <f t="shared" si="88"/>
        <v>23.108000000000001</v>
      </c>
      <c r="AC112" s="573">
        <f t="shared" si="88"/>
        <v>21.305999999999997</v>
      </c>
      <c r="AD112" s="573">
        <f t="shared" si="88"/>
        <v>23.04</v>
      </c>
      <c r="AE112" s="573">
        <f t="shared" si="88"/>
        <v>20.927999999999997</v>
      </c>
      <c r="AF112" s="573">
        <f t="shared" si="88"/>
        <v>19.356999999999999</v>
      </c>
      <c r="AG112" s="573">
        <f t="shared" si="88"/>
        <v>16.753</v>
      </c>
      <c r="AH112" s="573">
        <f t="shared" si="88"/>
        <v>17.922000000000004</v>
      </c>
      <c r="AI112" s="572"/>
      <c r="AJ112" s="572"/>
      <c r="AK112" s="572"/>
      <c r="AL112" s="572"/>
      <c r="AM112" s="572"/>
      <c r="AN112" s="572"/>
      <c r="AO112" s="572"/>
      <c r="AP112" s="572"/>
      <c r="AQ112" s="572"/>
      <c r="AR112" s="572"/>
      <c r="AS112" s="572"/>
      <c r="AT112" s="572"/>
      <c r="AU112" s="574"/>
      <c r="AV112" s="572"/>
      <c r="AW112" s="572"/>
      <c r="AX112" s="572"/>
      <c r="AY112" s="572"/>
      <c r="AZ112" s="734"/>
      <c r="BA112" s="734"/>
      <c r="BB112" s="734"/>
      <c r="BC112" s="734"/>
      <c r="BD112" s="734"/>
      <c r="BE112" s="735">
        <f t="shared" ref="BE112:BK112" si="89">SUM(BE110:BE111)</f>
        <v>77.381</v>
      </c>
      <c r="BF112" s="735">
        <f t="shared" si="89"/>
        <v>88.091000000000008</v>
      </c>
      <c r="BG112" s="735">
        <f t="shared" si="89"/>
        <v>108.59100000000001</v>
      </c>
      <c r="BH112" s="735">
        <f t="shared" si="89"/>
        <v>119.071</v>
      </c>
      <c r="BI112" s="735">
        <f t="shared" si="89"/>
        <v>100.636</v>
      </c>
      <c r="BJ112" s="735">
        <f t="shared" si="89"/>
        <v>89.953000000000003</v>
      </c>
      <c r="BK112" s="735">
        <f t="shared" si="89"/>
        <v>74.960000000000008</v>
      </c>
      <c r="BL112" s="734"/>
      <c r="BM112" s="734"/>
      <c r="BN112" s="736"/>
      <c r="BO112" s="734"/>
      <c r="BP112" s="734"/>
      <c r="BQ112" s="734"/>
      <c r="BR112" s="734"/>
      <c r="BS112" s="734"/>
      <c r="BT112" s="530"/>
    </row>
    <row r="113" spans="1:72" s="17" customFormat="1" outlineLevel="1" x14ac:dyDescent="0.35">
      <c r="A113" s="267" t="s">
        <v>22</v>
      </c>
      <c r="B113" s="357"/>
      <c r="C113" s="535"/>
      <c r="D113" s="535"/>
      <c r="E113" s="535"/>
      <c r="F113" s="535"/>
      <c r="G113" s="639">
        <v>11.712999999999999</v>
      </c>
      <c r="H113" s="639">
        <v>12.071999999999999</v>
      </c>
      <c r="I113" s="639">
        <v>13.000999999999999</v>
      </c>
      <c r="J113" s="639">
        <v>11.532999999999999</v>
      </c>
      <c r="K113" s="639">
        <v>11.206</v>
      </c>
      <c r="L113" s="639">
        <v>11.295999999999999</v>
      </c>
      <c r="M113" s="639">
        <v>11.115</v>
      </c>
      <c r="N113" s="639">
        <v>12.909000000000001</v>
      </c>
      <c r="O113" s="639">
        <v>14.781000000000001</v>
      </c>
      <c r="P113" s="639">
        <v>10.675000000000001</v>
      </c>
      <c r="Q113" s="639">
        <v>11.718</v>
      </c>
      <c r="R113" s="639">
        <v>9.8770000000000007</v>
      </c>
      <c r="S113" s="639">
        <v>10.34</v>
      </c>
      <c r="T113" s="639">
        <v>8.2899999999999991</v>
      </c>
      <c r="U113" s="639">
        <v>8.85</v>
      </c>
      <c r="V113" s="571">
        <f>BH113-SUM(S113,T113,U113)</f>
        <v>8.2780000000000058</v>
      </c>
      <c r="W113" s="639">
        <v>9.6620000000000008</v>
      </c>
      <c r="X113" s="639">
        <v>8.391</v>
      </c>
      <c r="Y113" s="639">
        <v>9.4290000000000003</v>
      </c>
      <c r="Z113" s="571">
        <f>BI113-SUM(W113,X113,Y113)</f>
        <v>8.8190000000000026</v>
      </c>
      <c r="AA113" s="639">
        <v>8.2720000000000002</v>
      </c>
      <c r="AB113" s="639">
        <v>8.9710000000000001</v>
      </c>
      <c r="AC113" s="639">
        <v>9.3010000000000002</v>
      </c>
      <c r="AD113" s="571">
        <f>BJ113-SUM(AA113,AB113,AC113)</f>
        <v>8.9799999999999969</v>
      </c>
      <c r="AE113" s="639">
        <v>8.6590000000000007</v>
      </c>
      <c r="AF113" s="639">
        <v>8.6259999999999994</v>
      </c>
      <c r="AG113" s="639">
        <v>12.066000000000001</v>
      </c>
      <c r="AH113" s="571">
        <f>BK113-SUM(AE113,AF113,AG113)</f>
        <v>16.374000000000002</v>
      </c>
      <c r="AI113" s="535"/>
      <c r="AJ113" s="535"/>
      <c r="AK113" s="535"/>
      <c r="AL113" s="535"/>
      <c r="AM113" s="535"/>
      <c r="AN113" s="535"/>
      <c r="AO113" s="535"/>
      <c r="AP113" s="535"/>
      <c r="AQ113" s="535"/>
      <c r="AR113" s="535"/>
      <c r="AS113" s="535"/>
      <c r="AT113" s="535"/>
      <c r="AU113" s="536"/>
      <c r="AV113" s="535"/>
      <c r="AW113" s="535"/>
      <c r="AX113" s="535"/>
      <c r="AY113" s="535"/>
      <c r="AZ113" s="731"/>
      <c r="BA113" s="731"/>
      <c r="BB113" s="731"/>
      <c r="BC113" s="731"/>
      <c r="BD113" s="731"/>
      <c r="BE113" s="732">
        <v>48.317999999999998</v>
      </c>
      <c r="BF113" s="732">
        <v>46.526000000000003</v>
      </c>
      <c r="BG113" s="732">
        <v>47.05</v>
      </c>
      <c r="BH113" s="732">
        <v>35.758000000000003</v>
      </c>
      <c r="BI113" s="732">
        <v>36.301000000000002</v>
      </c>
      <c r="BJ113" s="732">
        <v>35.524000000000001</v>
      </c>
      <c r="BK113" s="732">
        <v>45.725000000000001</v>
      </c>
      <c r="BL113" s="731"/>
      <c r="BM113" s="731"/>
      <c r="BN113" s="733"/>
      <c r="BO113" s="731"/>
      <c r="BP113" s="731"/>
      <c r="BQ113" s="731"/>
      <c r="BR113" s="731"/>
      <c r="BS113" s="731"/>
      <c r="BT113" s="533"/>
    </row>
    <row r="114" spans="1:72" s="1" customFormat="1" outlineLevel="1" x14ac:dyDescent="0.35">
      <c r="A114" s="47" t="s">
        <v>23</v>
      </c>
      <c r="B114" s="177"/>
      <c r="C114" s="572"/>
      <c r="D114" s="572"/>
      <c r="E114" s="572"/>
      <c r="F114" s="572"/>
      <c r="G114" s="573">
        <f t="shared" ref="G114:AH114" si="90">G112+G113+G109</f>
        <v>228.36599999999999</v>
      </c>
      <c r="H114" s="573">
        <f t="shared" si="90"/>
        <v>223.91899999999998</v>
      </c>
      <c r="I114" s="573">
        <f t="shared" si="90"/>
        <v>235.22200000000001</v>
      </c>
      <c r="J114" s="573">
        <f t="shared" si="90"/>
        <v>232.04599999999999</v>
      </c>
      <c r="K114" s="573">
        <f t="shared" si="90"/>
        <v>236.71199999999999</v>
      </c>
      <c r="L114" s="573">
        <f t="shared" si="90"/>
        <v>231.30400000000003</v>
      </c>
      <c r="M114" s="573">
        <f t="shared" si="90"/>
        <v>244.62299999999999</v>
      </c>
      <c r="N114" s="573">
        <f t="shared" si="90"/>
        <v>235.655</v>
      </c>
      <c r="O114" s="573">
        <f t="shared" si="90"/>
        <v>221.23000000000002</v>
      </c>
      <c r="P114" s="573">
        <f t="shared" si="90"/>
        <v>208.81100000000001</v>
      </c>
      <c r="Q114" s="573">
        <f t="shared" si="90"/>
        <v>221.33999999999997</v>
      </c>
      <c r="R114" s="573">
        <f t="shared" si="90"/>
        <v>221.31899999999999</v>
      </c>
      <c r="S114" s="573">
        <f t="shared" si="90"/>
        <v>229.13799999999998</v>
      </c>
      <c r="T114" s="573">
        <f t="shared" si="90"/>
        <v>221.08999999999997</v>
      </c>
      <c r="U114" s="573">
        <f t="shared" si="90"/>
        <v>222.53300000000002</v>
      </c>
      <c r="V114" s="573">
        <f t="shared" si="90"/>
        <v>215.75800000000001</v>
      </c>
      <c r="W114" s="573">
        <f t="shared" si="90"/>
        <v>228.785</v>
      </c>
      <c r="X114" s="573">
        <f t="shared" si="90"/>
        <v>217.21099999999998</v>
      </c>
      <c r="Y114" s="573">
        <f t="shared" si="90"/>
        <v>232.864</v>
      </c>
      <c r="Z114" s="573">
        <f t="shared" si="90"/>
        <v>238.87399999999997</v>
      </c>
      <c r="AA114" s="573">
        <f t="shared" si="90"/>
        <v>251.31400000000002</v>
      </c>
      <c r="AB114" s="573">
        <f t="shared" si="90"/>
        <v>254.87200000000001</v>
      </c>
      <c r="AC114" s="573">
        <f t="shared" si="90"/>
        <v>253.25200000000001</v>
      </c>
      <c r="AD114" s="573">
        <f t="shared" si="90"/>
        <v>256.31399999999996</v>
      </c>
      <c r="AE114" s="573">
        <f t="shared" si="90"/>
        <v>257.12099999999998</v>
      </c>
      <c r="AF114" s="573">
        <f t="shared" si="90"/>
        <v>257.55899999999997</v>
      </c>
      <c r="AG114" s="573">
        <f t="shared" si="90"/>
        <v>257.154</v>
      </c>
      <c r="AH114" s="573">
        <f t="shared" si="90"/>
        <v>268.93099999999998</v>
      </c>
      <c r="AI114" s="572"/>
      <c r="AJ114" s="572"/>
      <c r="AK114" s="572"/>
      <c r="AL114" s="572"/>
      <c r="AM114" s="572"/>
      <c r="AN114" s="572"/>
      <c r="AO114" s="572"/>
      <c r="AP114" s="572"/>
      <c r="AQ114" s="572"/>
      <c r="AR114" s="572"/>
      <c r="AS114" s="572"/>
      <c r="AT114" s="572"/>
      <c r="AU114" s="574"/>
      <c r="AV114" s="572"/>
      <c r="AW114" s="572"/>
      <c r="AX114" s="572"/>
      <c r="AY114" s="572"/>
      <c r="AZ114" s="734"/>
      <c r="BA114" s="734"/>
      <c r="BB114" s="734"/>
      <c r="BC114" s="734"/>
      <c r="BD114" s="734"/>
      <c r="BE114" s="735">
        <f t="shared" ref="BE114:BK114" si="91">BE112+BE113+BE109</f>
        <v>919.553</v>
      </c>
      <c r="BF114" s="735">
        <f t="shared" si="91"/>
        <v>948.2940000000001</v>
      </c>
      <c r="BG114" s="735">
        <f t="shared" si="91"/>
        <v>872.7</v>
      </c>
      <c r="BH114" s="735">
        <f t="shared" si="91"/>
        <v>888.51900000000001</v>
      </c>
      <c r="BI114" s="735">
        <f t="shared" si="91"/>
        <v>917.73400000000004</v>
      </c>
      <c r="BJ114" s="735">
        <f t="shared" si="91"/>
        <v>1015.752</v>
      </c>
      <c r="BK114" s="735">
        <f t="shared" si="91"/>
        <v>1040.7650000000001</v>
      </c>
      <c r="BL114" s="734"/>
      <c r="BM114" s="734"/>
      <c r="BN114" s="736"/>
      <c r="BO114" s="734"/>
      <c r="BP114" s="734"/>
      <c r="BQ114" s="734"/>
      <c r="BR114" s="734"/>
      <c r="BS114" s="734"/>
      <c r="BT114" s="530"/>
    </row>
    <row r="115" spans="1:72" s="17" customFormat="1" x14ac:dyDescent="0.35">
      <c r="A115" s="358"/>
      <c r="B115" s="175"/>
      <c r="C115" s="532"/>
      <c r="D115" s="532"/>
      <c r="E115" s="532"/>
      <c r="F115" s="532"/>
      <c r="G115" s="532"/>
      <c r="H115" s="532"/>
      <c r="I115" s="532"/>
      <c r="J115" s="532"/>
      <c r="K115" s="532"/>
      <c r="L115" s="532"/>
      <c r="M115" s="532"/>
      <c r="N115" s="532"/>
      <c r="O115" s="532"/>
      <c r="P115" s="532"/>
      <c r="Q115" s="532"/>
      <c r="R115" s="532"/>
      <c r="S115" s="532"/>
      <c r="T115" s="532"/>
      <c r="U115" s="532"/>
      <c r="V115" s="532"/>
      <c r="W115" s="532"/>
      <c r="X115" s="532"/>
      <c r="Y115" s="532"/>
      <c r="Z115" s="532"/>
      <c r="AA115" s="532"/>
      <c r="AB115" s="532"/>
      <c r="AC115" s="532"/>
      <c r="AD115" s="532"/>
      <c r="AE115" s="532"/>
      <c r="AF115" s="532"/>
      <c r="AG115" s="532"/>
      <c r="AH115" s="532"/>
      <c r="AI115" s="532"/>
      <c r="AJ115" s="532"/>
      <c r="AK115" s="532"/>
      <c r="AL115" s="532"/>
      <c r="AM115" s="532"/>
      <c r="AN115" s="532"/>
      <c r="AO115" s="532"/>
      <c r="AP115" s="532"/>
      <c r="AQ115" s="532"/>
      <c r="AR115" s="532"/>
      <c r="AS115" s="532"/>
      <c r="AT115" s="532"/>
      <c r="AU115" s="534"/>
      <c r="AV115" s="532"/>
      <c r="AW115" s="532"/>
      <c r="AX115" s="532"/>
      <c r="AY115" s="532"/>
      <c r="AZ115" s="156"/>
      <c r="BA115" s="156"/>
      <c r="BB115" s="156"/>
      <c r="BC115" s="156"/>
      <c r="BD115" s="156"/>
      <c r="BE115" s="156"/>
      <c r="BF115" s="156"/>
      <c r="BG115" s="156"/>
      <c r="BH115" s="156"/>
      <c r="BI115" s="156"/>
      <c r="BJ115" s="156"/>
      <c r="BK115" s="156"/>
      <c r="BL115" s="156"/>
      <c r="BM115" s="156"/>
      <c r="BN115" s="730"/>
      <c r="BO115" s="156"/>
      <c r="BP115" s="156"/>
      <c r="BQ115" s="156"/>
      <c r="BR115" s="156"/>
      <c r="BS115" s="156"/>
      <c r="BT115" s="533"/>
    </row>
    <row r="116" spans="1:72" s="1" customFormat="1" x14ac:dyDescent="0.35">
      <c r="A116" s="527" t="s">
        <v>528</v>
      </c>
      <c r="B116" s="527"/>
      <c r="C116" s="527"/>
      <c r="D116" s="527"/>
      <c r="E116" s="527"/>
      <c r="F116" s="527"/>
      <c r="G116" s="527"/>
      <c r="H116" s="527"/>
      <c r="I116" s="527"/>
      <c r="J116" s="527"/>
      <c r="K116" s="527"/>
      <c r="L116" s="527"/>
      <c r="M116" s="527"/>
      <c r="N116" s="527"/>
      <c r="O116" s="527"/>
      <c r="P116" s="527"/>
      <c r="Q116" s="527"/>
      <c r="R116" s="527"/>
      <c r="S116" s="527"/>
      <c r="T116" s="527"/>
      <c r="U116" s="527"/>
      <c r="V116" s="527"/>
      <c r="W116" s="527"/>
      <c r="X116" s="527"/>
      <c r="Y116" s="527"/>
      <c r="Z116" s="527"/>
      <c r="AA116" s="527"/>
      <c r="AB116" s="527"/>
      <c r="AC116" s="527"/>
      <c r="AD116" s="527"/>
      <c r="AE116" s="527"/>
      <c r="AF116" s="527"/>
      <c r="AG116" s="527"/>
      <c r="AH116" s="527"/>
      <c r="AI116" s="527"/>
      <c r="AJ116" s="527"/>
      <c r="AK116" s="527"/>
      <c r="AL116" s="527"/>
      <c r="AM116" s="527"/>
      <c r="AN116" s="527"/>
      <c r="AO116" s="527"/>
      <c r="AP116" s="527"/>
      <c r="AQ116" s="527"/>
      <c r="AR116" s="527"/>
      <c r="AS116" s="527"/>
      <c r="AT116" s="527"/>
      <c r="AU116" s="547"/>
      <c r="AV116" s="527"/>
      <c r="AW116" s="527"/>
      <c r="AX116" s="527"/>
      <c r="AY116" s="527"/>
      <c r="AZ116" s="527"/>
      <c r="BA116" s="527"/>
      <c r="BB116" s="527"/>
      <c r="BC116" s="527"/>
      <c r="BD116" s="527"/>
      <c r="BE116" s="527"/>
      <c r="BF116" s="527"/>
      <c r="BG116" s="527"/>
      <c r="BH116" s="527"/>
      <c r="BI116" s="527"/>
      <c r="BJ116" s="527"/>
      <c r="BK116" s="527"/>
      <c r="BL116" s="527"/>
      <c r="BM116" s="527"/>
      <c r="BN116" s="547"/>
      <c r="BO116" s="527"/>
      <c r="BP116" s="527"/>
      <c r="BQ116" s="527"/>
      <c r="BR116" s="527"/>
      <c r="BS116" s="527"/>
      <c r="BT116" s="530"/>
    </row>
    <row r="117" spans="1:72" s="17" customFormat="1" outlineLevel="1" x14ac:dyDescent="0.35">
      <c r="A117" s="48" t="s">
        <v>25</v>
      </c>
      <c r="B117" s="175"/>
      <c r="C117" s="532"/>
      <c r="D117" s="532"/>
      <c r="E117" s="532"/>
      <c r="F117" s="532"/>
      <c r="G117" s="638">
        <v>124.443</v>
      </c>
      <c r="H117" s="638">
        <v>120.994</v>
      </c>
      <c r="I117" s="638">
        <v>120.86199999999999</v>
      </c>
      <c r="J117" s="638">
        <v>111.381</v>
      </c>
      <c r="K117" s="638">
        <v>118.60899999999999</v>
      </c>
      <c r="L117" s="638">
        <v>116.258</v>
      </c>
      <c r="M117" s="638">
        <v>115.33</v>
      </c>
      <c r="N117" s="638">
        <v>108.913</v>
      </c>
      <c r="O117" s="638">
        <v>104.429</v>
      </c>
      <c r="P117" s="638">
        <v>103.751</v>
      </c>
      <c r="Q117" s="638">
        <v>104.64</v>
      </c>
      <c r="R117" s="638">
        <v>98.406000000000006</v>
      </c>
      <c r="S117" s="638">
        <v>108.5</v>
      </c>
      <c r="T117" s="638">
        <v>106.2</v>
      </c>
      <c r="U117" s="638">
        <v>103.8</v>
      </c>
      <c r="V117" s="638">
        <v>97.4</v>
      </c>
      <c r="W117" s="638">
        <v>111.1</v>
      </c>
      <c r="X117" s="638">
        <v>108.5</v>
      </c>
      <c r="Y117" s="638">
        <v>110.8</v>
      </c>
      <c r="Z117" s="638">
        <v>105</v>
      </c>
      <c r="AA117" s="638">
        <v>118.8</v>
      </c>
      <c r="AB117" s="638">
        <v>116.4</v>
      </c>
      <c r="AC117" s="638">
        <v>117.1</v>
      </c>
      <c r="AD117" s="638">
        <v>110.5</v>
      </c>
      <c r="AE117" s="638">
        <v>122.3</v>
      </c>
      <c r="AF117" s="638">
        <v>117.6</v>
      </c>
      <c r="AG117" s="638">
        <v>119.7</v>
      </c>
      <c r="AH117" s="638">
        <v>116.7</v>
      </c>
      <c r="AI117" s="532"/>
      <c r="AJ117" s="532"/>
      <c r="AK117" s="532"/>
      <c r="AL117" s="532"/>
      <c r="AM117" s="532"/>
      <c r="AN117" s="532"/>
      <c r="AO117" s="532"/>
      <c r="AP117" s="532"/>
      <c r="AQ117" s="532"/>
      <c r="AR117" s="532"/>
      <c r="AS117" s="532"/>
      <c r="AT117" s="532"/>
      <c r="AU117" s="534"/>
      <c r="AV117" s="532"/>
      <c r="AW117" s="532"/>
      <c r="AX117" s="532"/>
      <c r="AY117" s="532"/>
      <c r="AZ117" s="156"/>
      <c r="BA117" s="156"/>
      <c r="BB117" s="156"/>
      <c r="BC117" s="156"/>
      <c r="BD117" s="156"/>
      <c r="BE117" s="729">
        <v>119.197</v>
      </c>
      <c r="BF117" s="729">
        <v>114.57899999999999</v>
      </c>
      <c r="BG117" s="729">
        <v>102.935</v>
      </c>
      <c r="BH117" s="729">
        <v>103.694</v>
      </c>
      <c r="BI117" s="729">
        <v>108.74</v>
      </c>
      <c r="BJ117" s="729">
        <v>115.56100000000001</v>
      </c>
      <c r="BK117" s="729">
        <v>118.6</v>
      </c>
      <c r="BL117" s="156"/>
      <c r="BM117" s="156"/>
      <c r="BN117" s="730"/>
      <c r="BO117" s="156"/>
      <c r="BP117" s="156"/>
      <c r="BQ117" s="156"/>
      <c r="BR117" s="156"/>
      <c r="BS117" s="156"/>
      <c r="BT117" s="533"/>
    </row>
    <row r="118" spans="1:72" s="41" customFormat="1" outlineLevel="1" x14ac:dyDescent="0.35">
      <c r="A118" s="261" t="s">
        <v>26</v>
      </c>
      <c r="B118" s="182"/>
      <c r="C118" s="359"/>
      <c r="D118" s="359"/>
      <c r="E118" s="359"/>
      <c r="F118" s="359"/>
      <c r="G118" s="640">
        <v>1555</v>
      </c>
      <c r="H118" s="640">
        <v>1595</v>
      </c>
      <c r="I118" s="640">
        <v>1704</v>
      </c>
      <c r="J118" s="640">
        <v>1808</v>
      </c>
      <c r="K118" s="640">
        <v>1706</v>
      </c>
      <c r="L118" s="640">
        <v>1692</v>
      </c>
      <c r="M118" s="640">
        <v>1849</v>
      </c>
      <c r="N118" s="640">
        <v>1849</v>
      </c>
      <c r="O118" s="640">
        <v>1699</v>
      </c>
      <c r="P118" s="640">
        <v>1642</v>
      </c>
      <c r="Q118" s="640">
        <v>1776</v>
      </c>
      <c r="R118" s="640">
        <v>1864</v>
      </c>
      <c r="S118" s="640">
        <v>1701</v>
      </c>
      <c r="T118" s="640">
        <v>1717</v>
      </c>
      <c r="U118" s="640">
        <v>1806</v>
      </c>
      <c r="V118" s="640">
        <v>1841</v>
      </c>
      <c r="W118" s="640">
        <v>1697</v>
      </c>
      <c r="X118" s="640">
        <v>1690</v>
      </c>
      <c r="Y118" s="640">
        <v>1810</v>
      </c>
      <c r="Z118" s="640">
        <v>1984</v>
      </c>
      <c r="AA118" s="640">
        <v>1856</v>
      </c>
      <c r="AB118" s="640">
        <v>1914</v>
      </c>
      <c r="AC118" s="640">
        <v>1901</v>
      </c>
      <c r="AD118" s="640">
        <v>2030</v>
      </c>
      <c r="AE118" s="640">
        <v>1860</v>
      </c>
      <c r="AF118" s="640">
        <v>1952</v>
      </c>
      <c r="AG118" s="640">
        <v>1908</v>
      </c>
      <c r="AH118" s="640">
        <v>2011</v>
      </c>
      <c r="AI118" s="359"/>
      <c r="AJ118" s="359"/>
      <c r="AK118" s="359"/>
      <c r="AL118" s="359"/>
      <c r="AM118" s="359"/>
      <c r="AN118" s="359"/>
      <c r="AO118" s="359"/>
      <c r="AP118" s="359"/>
      <c r="AQ118" s="359"/>
      <c r="AR118" s="359"/>
      <c r="AS118" s="359"/>
      <c r="AT118" s="359"/>
      <c r="AU118" s="492"/>
      <c r="AV118" s="359"/>
      <c r="AW118" s="359"/>
      <c r="AX118" s="359"/>
      <c r="AY118" s="359"/>
      <c r="AZ118" s="420"/>
      <c r="BA118" s="420"/>
      <c r="BB118" s="420"/>
      <c r="BC118" s="420"/>
      <c r="BD118" s="420"/>
      <c r="BE118" s="737">
        <v>6660</v>
      </c>
      <c r="BF118" s="737">
        <v>7101</v>
      </c>
      <c r="BG118" s="737">
        <v>6966</v>
      </c>
      <c r="BH118" s="737">
        <v>7075</v>
      </c>
      <c r="BI118" s="737">
        <v>7183</v>
      </c>
      <c r="BJ118" s="737">
        <v>7701</v>
      </c>
      <c r="BK118" s="737">
        <v>7758</v>
      </c>
      <c r="BL118" s="420"/>
      <c r="BM118" s="420"/>
      <c r="BN118" s="738"/>
      <c r="BO118" s="420"/>
      <c r="BP118" s="420"/>
      <c r="BQ118" s="420"/>
      <c r="BR118" s="420"/>
      <c r="BS118" s="420"/>
      <c r="BT118" s="262"/>
    </row>
    <row r="119" spans="1:72" s="17" customFormat="1" outlineLevel="1" x14ac:dyDescent="0.35">
      <c r="A119" s="178"/>
      <c r="B119" s="175"/>
      <c r="C119" s="532"/>
      <c r="D119" s="532"/>
      <c r="E119" s="532"/>
      <c r="F119" s="532"/>
      <c r="G119" s="532"/>
      <c r="H119" s="532"/>
      <c r="I119" s="532"/>
      <c r="J119" s="532"/>
      <c r="K119" s="532"/>
      <c r="L119" s="532"/>
      <c r="M119" s="532"/>
      <c r="N119" s="532"/>
      <c r="O119" s="532"/>
      <c r="P119" s="532"/>
      <c r="Q119" s="532"/>
      <c r="R119" s="532"/>
      <c r="S119" s="532"/>
      <c r="T119" s="532"/>
      <c r="U119" s="532"/>
      <c r="V119" s="532"/>
      <c r="W119" s="532"/>
      <c r="X119" s="532"/>
      <c r="Y119" s="532"/>
      <c r="Z119" s="532"/>
      <c r="AA119" s="532"/>
      <c r="AB119" s="532"/>
      <c r="AC119" s="532"/>
      <c r="AD119" s="532"/>
      <c r="AE119" s="532"/>
      <c r="AF119" s="532"/>
      <c r="AG119" s="532"/>
      <c r="AH119" s="532"/>
      <c r="AI119" s="532"/>
      <c r="AJ119" s="532"/>
      <c r="AK119" s="532"/>
      <c r="AL119" s="532"/>
      <c r="AM119" s="532"/>
      <c r="AN119" s="532"/>
      <c r="AO119" s="532"/>
      <c r="AP119" s="532"/>
      <c r="AQ119" s="532"/>
      <c r="AR119" s="532"/>
      <c r="AS119" s="532"/>
      <c r="AT119" s="532"/>
      <c r="AU119" s="534"/>
      <c r="AV119" s="532"/>
      <c r="AW119" s="532"/>
      <c r="AX119" s="532"/>
      <c r="AY119" s="532"/>
      <c r="AZ119" s="156"/>
      <c r="BA119" s="156"/>
      <c r="BB119" s="156"/>
      <c r="BC119" s="156"/>
      <c r="BD119" s="156"/>
      <c r="BE119" s="156"/>
      <c r="BF119" s="156"/>
      <c r="BG119" s="156"/>
      <c r="BH119" s="156"/>
      <c r="BI119" s="156"/>
      <c r="BJ119" s="156"/>
      <c r="BK119" s="156"/>
      <c r="BL119" s="156"/>
      <c r="BM119" s="156"/>
      <c r="BN119" s="730"/>
      <c r="BO119" s="156"/>
      <c r="BP119" s="156"/>
      <c r="BQ119" s="156"/>
      <c r="BR119" s="156"/>
      <c r="BS119" s="156"/>
      <c r="BT119" s="533"/>
    </row>
    <row r="120" spans="1:72" s="17" customFormat="1" outlineLevel="1" x14ac:dyDescent="0.35">
      <c r="A120" s="48" t="s">
        <v>27</v>
      </c>
      <c r="B120" s="175"/>
      <c r="C120" s="532"/>
      <c r="D120" s="532"/>
      <c r="E120" s="532"/>
      <c r="F120" s="532"/>
      <c r="G120" s="638">
        <v>14.816000000000001</v>
      </c>
      <c r="H120" s="638">
        <v>14.33</v>
      </c>
      <c r="I120" s="638">
        <v>14.603</v>
      </c>
      <c r="J120" s="638">
        <v>14.340999999999999</v>
      </c>
      <c r="K120" s="638">
        <v>20.63</v>
      </c>
      <c r="L120" s="638">
        <v>20.248999999999999</v>
      </c>
      <c r="M120" s="638">
        <v>20.164999999999999</v>
      </c>
      <c r="N120" s="638">
        <v>19.044</v>
      </c>
      <c r="O120" s="638">
        <v>27.754000000000001</v>
      </c>
      <c r="P120" s="638">
        <v>27.513000000000002</v>
      </c>
      <c r="Q120" s="638">
        <v>26.815999999999999</v>
      </c>
      <c r="R120" s="638">
        <v>25.722999999999999</v>
      </c>
      <c r="S120" s="638">
        <v>27.8</v>
      </c>
      <c r="T120" s="638">
        <v>28.7</v>
      </c>
      <c r="U120" s="638">
        <v>29.3</v>
      </c>
      <c r="V120" s="638">
        <v>28.9</v>
      </c>
      <c r="W120" s="638">
        <v>24</v>
      </c>
      <c r="X120" s="638">
        <v>23.9</v>
      </c>
      <c r="Y120" s="638">
        <v>24.3</v>
      </c>
      <c r="Z120" s="638">
        <v>23.1</v>
      </c>
      <c r="AA120" s="638">
        <v>23.8</v>
      </c>
      <c r="AB120" s="638">
        <v>23.7</v>
      </c>
      <c r="AC120" s="638">
        <v>24.5</v>
      </c>
      <c r="AD120" s="638">
        <v>23.3</v>
      </c>
      <c r="AE120" s="638">
        <v>15.6</v>
      </c>
      <c r="AF120" s="638">
        <v>15.6</v>
      </c>
      <c r="AG120" s="638">
        <v>16.2</v>
      </c>
      <c r="AH120" s="638">
        <v>15.5</v>
      </c>
      <c r="AI120" s="532"/>
      <c r="AJ120" s="532"/>
      <c r="AK120" s="532"/>
      <c r="AL120" s="532"/>
      <c r="AM120" s="532"/>
      <c r="AN120" s="532"/>
      <c r="AO120" s="532"/>
      <c r="AP120" s="532"/>
      <c r="AQ120" s="532"/>
      <c r="AR120" s="532"/>
      <c r="AS120" s="532"/>
      <c r="AT120" s="532"/>
      <c r="AU120" s="534"/>
      <c r="AV120" s="532"/>
      <c r="AW120" s="532"/>
      <c r="AX120" s="532"/>
      <c r="AY120" s="532"/>
      <c r="AZ120" s="156"/>
      <c r="BA120" s="156"/>
      <c r="BB120" s="156"/>
      <c r="BC120" s="156"/>
      <c r="BD120" s="156"/>
      <c r="BE120" s="729">
        <v>14.481999999999999</v>
      </c>
      <c r="BF120" s="729">
        <v>20.053000000000001</v>
      </c>
      <c r="BG120" s="729">
        <v>26.97</v>
      </c>
      <c r="BH120" s="729">
        <v>28.9</v>
      </c>
      <c r="BI120" s="729">
        <v>23.9</v>
      </c>
      <c r="BJ120" s="729">
        <v>23.9</v>
      </c>
      <c r="BK120" s="729">
        <v>15.8</v>
      </c>
      <c r="BL120" s="156"/>
      <c r="BM120" s="156"/>
      <c r="BN120" s="730"/>
      <c r="BO120" s="156"/>
      <c r="BP120" s="156"/>
      <c r="BQ120" s="156"/>
      <c r="BR120" s="156"/>
      <c r="BS120" s="156"/>
      <c r="BT120" s="533"/>
    </row>
    <row r="121" spans="1:72" s="425" customFormat="1" outlineLevel="1" x14ac:dyDescent="0.35">
      <c r="A121" s="423" t="s">
        <v>28</v>
      </c>
      <c r="B121" s="424"/>
      <c r="C121" s="359"/>
      <c r="D121" s="359"/>
      <c r="E121" s="359"/>
      <c r="F121" s="359"/>
      <c r="G121" s="640">
        <v>613</v>
      </c>
      <c r="H121" s="640">
        <v>484</v>
      </c>
      <c r="I121" s="640">
        <v>463</v>
      </c>
      <c r="J121" s="640">
        <v>456</v>
      </c>
      <c r="K121" s="640">
        <v>509</v>
      </c>
      <c r="L121" s="640">
        <v>565</v>
      </c>
      <c r="M121" s="640">
        <v>462</v>
      </c>
      <c r="N121" s="640">
        <v>436</v>
      </c>
      <c r="O121" s="640">
        <v>566</v>
      </c>
      <c r="P121" s="640">
        <v>567</v>
      </c>
      <c r="Q121" s="640">
        <v>490</v>
      </c>
      <c r="R121" s="640">
        <v>434</v>
      </c>
      <c r="S121" s="640">
        <v>658</v>
      </c>
      <c r="T121" s="640">
        <v>614</v>
      </c>
      <c r="U121" s="640">
        <v>547</v>
      </c>
      <c r="V121" s="640">
        <v>464</v>
      </c>
      <c r="W121" s="640">
        <v>715</v>
      </c>
      <c r="X121" s="640">
        <v>585</v>
      </c>
      <c r="Y121" s="640">
        <v>545</v>
      </c>
      <c r="Z121" s="640">
        <v>536</v>
      </c>
      <c r="AA121" s="640">
        <v>479</v>
      </c>
      <c r="AB121" s="640">
        <v>558</v>
      </c>
      <c r="AC121" s="640">
        <v>521</v>
      </c>
      <c r="AD121" s="640">
        <v>568</v>
      </c>
      <c r="AE121" s="640">
        <v>614</v>
      </c>
      <c r="AF121" s="640">
        <v>580</v>
      </c>
      <c r="AG121" s="640">
        <v>505</v>
      </c>
      <c r="AH121" s="640">
        <v>607</v>
      </c>
      <c r="AI121" s="359"/>
      <c r="AJ121" s="359"/>
      <c r="AK121" s="359"/>
      <c r="AL121" s="359"/>
      <c r="AM121" s="359"/>
      <c r="AN121" s="359"/>
      <c r="AO121" s="359"/>
      <c r="AP121" s="359"/>
      <c r="AQ121" s="359"/>
      <c r="AR121" s="359"/>
      <c r="AS121" s="359"/>
      <c r="AT121" s="359"/>
      <c r="AU121" s="492"/>
      <c r="AV121" s="359"/>
      <c r="AW121" s="359"/>
      <c r="AX121" s="359"/>
      <c r="AY121" s="359"/>
      <c r="AZ121" s="420"/>
      <c r="BA121" s="420"/>
      <c r="BB121" s="420"/>
      <c r="BC121" s="420"/>
      <c r="BD121" s="420"/>
      <c r="BE121" s="737">
        <v>1991</v>
      </c>
      <c r="BF121" s="737">
        <v>1961</v>
      </c>
      <c r="BG121" s="737">
        <v>2062</v>
      </c>
      <c r="BH121" s="737">
        <v>2262</v>
      </c>
      <c r="BI121" s="737">
        <v>2376</v>
      </c>
      <c r="BJ121" s="737">
        <v>2118</v>
      </c>
      <c r="BK121" s="737">
        <v>2291</v>
      </c>
      <c r="BL121" s="420"/>
      <c r="BM121" s="420"/>
      <c r="BN121" s="738"/>
      <c r="BO121" s="420"/>
      <c r="BP121" s="420"/>
      <c r="BQ121" s="420"/>
      <c r="BR121" s="420"/>
      <c r="BS121" s="420"/>
      <c r="BT121" s="417"/>
    </row>
    <row r="122" spans="1:72" s="17" customFormat="1" x14ac:dyDescent="0.35">
      <c r="A122" s="178"/>
      <c r="B122" s="175"/>
      <c r="C122" s="532"/>
      <c r="D122" s="532"/>
      <c r="E122" s="532"/>
      <c r="F122" s="532"/>
      <c r="G122" s="532"/>
      <c r="H122" s="532"/>
      <c r="I122" s="532"/>
      <c r="J122" s="532"/>
      <c r="K122" s="532"/>
      <c r="L122" s="532"/>
      <c r="M122" s="532"/>
      <c r="N122" s="532"/>
      <c r="O122" s="532"/>
      <c r="P122" s="532"/>
      <c r="Q122" s="532"/>
      <c r="R122" s="532"/>
      <c r="S122" s="532"/>
      <c r="T122" s="532"/>
      <c r="U122" s="532"/>
      <c r="V122" s="532"/>
      <c r="W122" s="532"/>
      <c r="X122" s="532"/>
      <c r="Y122" s="532"/>
      <c r="Z122" s="532"/>
      <c r="AA122" s="532"/>
      <c r="AB122" s="532"/>
      <c r="AC122" s="532"/>
      <c r="AD122" s="532"/>
      <c r="AE122" s="532"/>
      <c r="AF122" s="532"/>
      <c r="AG122" s="532"/>
      <c r="AH122" s="532"/>
      <c r="AI122" s="532"/>
      <c r="AJ122" s="532"/>
      <c r="AK122" s="532"/>
      <c r="AL122" s="532"/>
      <c r="AM122" s="532"/>
      <c r="AN122" s="532"/>
      <c r="AO122" s="532"/>
      <c r="AP122" s="532"/>
      <c r="AQ122" s="532"/>
      <c r="AR122" s="532"/>
      <c r="AS122" s="532"/>
      <c r="AT122" s="532"/>
      <c r="AU122" s="534"/>
      <c r="AV122" s="532"/>
      <c r="AW122" s="532"/>
      <c r="AX122" s="532"/>
      <c r="AY122" s="532"/>
      <c r="AZ122" s="156"/>
      <c r="BA122" s="156"/>
      <c r="BB122" s="156"/>
      <c r="BC122" s="156"/>
      <c r="BD122" s="156"/>
      <c r="BE122" s="156"/>
      <c r="BF122" s="156"/>
      <c r="BG122" s="156"/>
      <c r="BH122" s="156"/>
      <c r="BI122" s="156"/>
      <c r="BJ122" s="156"/>
      <c r="BK122" s="156"/>
      <c r="BL122" s="156"/>
      <c r="BM122" s="156"/>
      <c r="BN122" s="730"/>
      <c r="BO122" s="156"/>
      <c r="BP122" s="156"/>
      <c r="BQ122" s="156"/>
      <c r="BR122" s="156"/>
      <c r="BS122" s="156"/>
      <c r="BT122" s="533"/>
    </row>
    <row r="123" spans="1:72" s="19" customFormat="1" x14ac:dyDescent="0.35">
      <c r="A123" s="59" t="s">
        <v>29</v>
      </c>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391"/>
      <c r="AV123" s="59"/>
      <c r="AW123" s="59"/>
      <c r="AX123" s="59"/>
      <c r="AY123" s="59"/>
      <c r="AZ123" s="59"/>
      <c r="BA123" s="59"/>
      <c r="BB123" s="59"/>
      <c r="BC123" s="59"/>
      <c r="BD123" s="59"/>
      <c r="BE123" s="59"/>
      <c r="BF123" s="59"/>
      <c r="BG123" s="59"/>
      <c r="BH123" s="59"/>
      <c r="BI123" s="59"/>
      <c r="BJ123" s="59"/>
      <c r="BK123" s="59"/>
      <c r="BL123" s="59"/>
      <c r="BM123" s="59"/>
      <c r="BN123" s="391"/>
      <c r="BO123" s="59"/>
      <c r="BP123" s="59"/>
      <c r="BQ123" s="59"/>
      <c r="BR123" s="59"/>
      <c r="BS123" s="59"/>
      <c r="BT123" s="27"/>
    </row>
    <row r="124" spans="1:72" s="19" customFormat="1" hidden="1" outlineLevel="1" x14ac:dyDescent="0.35">
      <c r="A124" s="171" t="s">
        <v>30</v>
      </c>
      <c r="B124" s="105"/>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f t="shared" ref="AE124:AX124" si="92">(AE193-AE75-AE78-AE82-AE84)/AE190</f>
        <v>0.60499920271000818</v>
      </c>
      <c r="AF124" s="61">
        <f t="shared" si="92"/>
        <v>0.59625173261272169</v>
      </c>
      <c r="AG124" s="61">
        <f t="shared" si="92"/>
        <v>0.64073667918834631</v>
      </c>
      <c r="AH124" s="61">
        <f t="shared" si="92"/>
        <v>0.60660913022299368</v>
      </c>
      <c r="AI124" s="61">
        <f t="shared" si="92"/>
        <v>0.61157267629933154</v>
      </c>
      <c r="AJ124" s="61">
        <f t="shared" si="92"/>
        <v>0.60655864094963385</v>
      </c>
      <c r="AK124" s="61">
        <f t="shared" si="92"/>
        <v>0.60010455316273315</v>
      </c>
      <c r="AL124" s="61">
        <f t="shared" si="92"/>
        <v>0.61384367688863173</v>
      </c>
      <c r="AM124" s="61">
        <f t="shared" si="92"/>
        <v>0.6379495584994479</v>
      </c>
      <c r="AN124" s="61">
        <f t="shared" si="92"/>
        <v>0.59205337149303905</v>
      </c>
      <c r="AO124" s="61">
        <f t="shared" si="92"/>
        <v>0.58944755075618538</v>
      </c>
      <c r="AP124" s="61">
        <f t="shared" si="92"/>
        <v>0.59188815735999345</v>
      </c>
      <c r="AQ124" s="61">
        <f t="shared" si="92"/>
        <v>0.64800893802187465</v>
      </c>
      <c r="AR124" s="61">
        <f t="shared" si="92"/>
        <v>0.58142811958074747</v>
      </c>
      <c r="AS124" s="61">
        <f t="shared" si="92"/>
        <v>0.58205679972101954</v>
      </c>
      <c r="AT124" s="61">
        <f t="shared" si="92"/>
        <v>0.59672091815946193</v>
      </c>
      <c r="AU124" s="482">
        <f t="shared" si="92"/>
        <v>0.59351161332914049</v>
      </c>
      <c r="AV124" s="61">
        <f t="shared" si="92"/>
        <v>0.58659694040079535</v>
      </c>
      <c r="AW124" s="61">
        <f t="shared" si="92"/>
        <v>0.58727307693073005</v>
      </c>
      <c r="AX124" s="61">
        <f t="shared" si="92"/>
        <v>0.58932603731866895</v>
      </c>
      <c r="AY124" s="61"/>
      <c r="AZ124" s="676">
        <f t="shared" ref="AZ124:BS124" si="93">(AZ193-AZ75-AZ78-AZ82-AZ84)/AZ190</f>
        <v>0.57696951260088791</v>
      </c>
      <c r="BA124" s="676">
        <f t="shared" si="93"/>
        <v>0.52365334096288396</v>
      </c>
      <c r="BB124" s="676">
        <f t="shared" si="93"/>
        <v>0.52468062951492445</v>
      </c>
      <c r="BC124" s="676">
        <f t="shared" si="93"/>
        <v>0.51786614192124014</v>
      </c>
      <c r="BD124" s="676">
        <f t="shared" si="93"/>
        <v>0.529930914149631</v>
      </c>
      <c r="BE124" s="676">
        <f t="shared" si="93"/>
        <v>0.5461555777644137</v>
      </c>
      <c r="BF124" s="676">
        <f t="shared" si="93"/>
        <v>0.56929180190953443</v>
      </c>
      <c r="BG124" s="676">
        <f t="shared" si="93"/>
        <v>0.56492494557121575</v>
      </c>
      <c r="BH124" s="676">
        <f t="shared" si="93"/>
        <v>0.56331490941668094</v>
      </c>
      <c r="BI124" s="676">
        <f t="shared" si="93"/>
        <v>0.5822983566044192</v>
      </c>
      <c r="BJ124" s="676">
        <f t="shared" si="93"/>
        <v>0.59821393410990098</v>
      </c>
      <c r="BK124" s="676">
        <f t="shared" si="93"/>
        <v>0.61208053691275166</v>
      </c>
      <c r="BL124" s="676">
        <f t="shared" si="93"/>
        <v>0.60800645513938412</v>
      </c>
      <c r="BM124" s="676">
        <f t="shared" si="93"/>
        <v>0.60224786650113293</v>
      </c>
      <c r="BN124" s="677">
        <f t="shared" si="93"/>
        <v>0.60101950735784759</v>
      </c>
      <c r="BO124" s="676">
        <f t="shared" si="93"/>
        <v>0.58913312155232944</v>
      </c>
      <c r="BP124" s="676" t="e">
        <f t="shared" si="93"/>
        <v>#REF!</v>
      </c>
      <c r="BQ124" s="676" t="e">
        <f t="shared" si="93"/>
        <v>#REF!</v>
      </c>
      <c r="BR124" s="676" t="e">
        <f t="shared" si="93"/>
        <v>#REF!</v>
      </c>
      <c r="BS124" s="676" t="e">
        <f t="shared" si="93"/>
        <v>#REF!</v>
      </c>
      <c r="BT124" s="27"/>
    </row>
    <row r="125" spans="1:72" s="107" customFormat="1" hidden="1" outlineLevel="1" x14ac:dyDescent="0.35">
      <c r="A125" s="396" t="s">
        <v>32</v>
      </c>
      <c r="B125" s="397"/>
      <c r="C125" s="398"/>
      <c r="D125" s="398"/>
      <c r="E125" s="398"/>
      <c r="F125" s="398"/>
      <c r="G125" s="398"/>
      <c r="H125" s="398"/>
      <c r="I125" s="398"/>
      <c r="J125" s="398"/>
      <c r="K125" s="398"/>
      <c r="L125" s="398"/>
      <c r="M125" s="398"/>
      <c r="N125" s="398"/>
      <c r="O125" s="398"/>
      <c r="P125" s="398"/>
      <c r="Q125" s="398"/>
      <c r="R125" s="398"/>
      <c r="S125" s="398"/>
      <c r="T125" s="398"/>
      <c r="U125" s="398"/>
      <c r="V125" s="398"/>
      <c r="W125" s="398"/>
      <c r="X125" s="398"/>
      <c r="Y125" s="398"/>
      <c r="Z125" s="398"/>
      <c r="AA125" s="398"/>
      <c r="AB125" s="398"/>
      <c r="AC125" s="398"/>
      <c r="AD125" s="398"/>
      <c r="AE125" s="398">
        <f t="shared" ref="AE125:AX125" si="94">1-AE124</f>
        <v>0.39500079728999182</v>
      </c>
      <c r="AF125" s="398">
        <f t="shared" si="94"/>
        <v>0.40374826738727831</v>
      </c>
      <c r="AG125" s="398">
        <f t="shared" si="94"/>
        <v>0.35926332081165369</v>
      </c>
      <c r="AH125" s="398">
        <f t="shared" si="94"/>
        <v>0.39339086977700632</v>
      </c>
      <c r="AI125" s="398">
        <f t="shared" si="94"/>
        <v>0.38842732370066846</v>
      </c>
      <c r="AJ125" s="398">
        <f t="shared" si="94"/>
        <v>0.39344135905036615</v>
      </c>
      <c r="AK125" s="398">
        <f t="shared" si="94"/>
        <v>0.39989544683726685</v>
      </c>
      <c r="AL125" s="398">
        <f t="shared" si="94"/>
        <v>0.38615632311136827</v>
      </c>
      <c r="AM125" s="398">
        <f t="shared" si="94"/>
        <v>0.3620504415005521</v>
      </c>
      <c r="AN125" s="398">
        <f t="shared" si="94"/>
        <v>0.40794662850696095</v>
      </c>
      <c r="AO125" s="398">
        <f t="shared" si="94"/>
        <v>0.41055244924381462</v>
      </c>
      <c r="AP125" s="398">
        <f t="shared" si="94"/>
        <v>0.40811184264000655</v>
      </c>
      <c r="AQ125" s="398">
        <f t="shared" si="94"/>
        <v>0.35199106197812535</v>
      </c>
      <c r="AR125" s="398">
        <f t="shared" si="94"/>
        <v>0.41857188041925253</v>
      </c>
      <c r="AS125" s="398">
        <f t="shared" si="94"/>
        <v>0.41794320027898046</v>
      </c>
      <c r="AT125" s="398">
        <f t="shared" si="94"/>
        <v>0.40327908184053807</v>
      </c>
      <c r="AU125" s="493">
        <f t="shared" si="94"/>
        <v>0.40648838667085951</v>
      </c>
      <c r="AV125" s="398">
        <f t="shared" si="94"/>
        <v>0.41340305959920465</v>
      </c>
      <c r="AW125" s="398">
        <f t="shared" si="94"/>
        <v>0.41272692306926995</v>
      </c>
      <c r="AX125" s="398">
        <f t="shared" si="94"/>
        <v>0.41067396268133105</v>
      </c>
      <c r="AY125" s="398"/>
      <c r="AZ125" s="739">
        <f t="shared" ref="AZ125:BS125" si="95">1-AZ124</f>
        <v>0.42303048739911209</v>
      </c>
      <c r="BA125" s="739">
        <f t="shared" si="95"/>
        <v>0.47634665903711604</v>
      </c>
      <c r="BB125" s="739">
        <f t="shared" si="95"/>
        <v>0.47531937048507555</v>
      </c>
      <c r="BC125" s="739">
        <f t="shared" si="95"/>
        <v>0.48213385807875986</v>
      </c>
      <c r="BD125" s="739">
        <f t="shared" si="95"/>
        <v>0.470069085850369</v>
      </c>
      <c r="BE125" s="739">
        <f t="shared" si="95"/>
        <v>0.4538444222355863</v>
      </c>
      <c r="BF125" s="739">
        <f t="shared" si="95"/>
        <v>0.43070819809046557</v>
      </c>
      <c r="BG125" s="739">
        <f t="shared" si="95"/>
        <v>0.43507505442878425</v>
      </c>
      <c r="BH125" s="739">
        <f t="shared" si="95"/>
        <v>0.43668509058331906</v>
      </c>
      <c r="BI125" s="739">
        <f t="shared" si="95"/>
        <v>0.4177016433955808</v>
      </c>
      <c r="BJ125" s="739">
        <f t="shared" si="95"/>
        <v>0.40178606589009902</v>
      </c>
      <c r="BK125" s="739">
        <f t="shared" si="95"/>
        <v>0.38791946308724834</v>
      </c>
      <c r="BL125" s="739">
        <f t="shared" si="95"/>
        <v>0.39199354486061588</v>
      </c>
      <c r="BM125" s="739">
        <f t="shared" si="95"/>
        <v>0.39775213349886707</v>
      </c>
      <c r="BN125" s="740">
        <f t="shared" si="95"/>
        <v>0.39898049264215241</v>
      </c>
      <c r="BO125" s="739">
        <f t="shared" si="95"/>
        <v>0.41086687844767056</v>
      </c>
      <c r="BP125" s="739" t="e">
        <f t="shared" si="95"/>
        <v>#REF!</v>
      </c>
      <c r="BQ125" s="739" t="e">
        <f t="shared" si="95"/>
        <v>#REF!</v>
      </c>
      <c r="BR125" s="739" t="e">
        <f t="shared" si="95"/>
        <v>#REF!</v>
      </c>
      <c r="BS125" s="739" t="e">
        <f t="shared" si="95"/>
        <v>#REF!</v>
      </c>
      <c r="BT125" s="217"/>
    </row>
    <row r="126" spans="1:72" s="107" customFormat="1" hidden="1" outlineLevel="1" x14ac:dyDescent="0.35">
      <c r="A126" s="321"/>
      <c r="B126" s="105"/>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482"/>
      <c r="AV126" s="61"/>
      <c r="AW126" s="61"/>
      <c r="AX126" s="61"/>
      <c r="AY126" s="61"/>
      <c r="AZ126" s="676"/>
      <c r="BA126" s="676"/>
      <c r="BB126" s="676"/>
      <c r="BC126" s="676"/>
      <c r="BD126" s="676"/>
      <c r="BE126" s="676"/>
      <c r="BF126" s="676"/>
      <c r="BG126" s="676"/>
      <c r="BH126" s="676"/>
      <c r="BI126" s="676"/>
      <c r="BJ126" s="676"/>
      <c r="BK126" s="676"/>
      <c r="BL126" s="676"/>
      <c r="BM126" s="676"/>
      <c r="BN126" s="677"/>
      <c r="BO126" s="676"/>
      <c r="BP126" s="676"/>
      <c r="BQ126" s="676"/>
      <c r="BR126" s="676"/>
      <c r="BS126" s="676"/>
      <c r="BT126" s="217"/>
    </row>
    <row r="127" spans="1:72" s="107" customFormat="1" collapsed="1" x14ac:dyDescent="0.35">
      <c r="A127" s="268" t="s">
        <v>31</v>
      </c>
      <c r="B127" s="269"/>
      <c r="C127" s="270">
        <f t="shared" ref="C127:AH127" si="96">C193/C190</f>
        <v>0.53663566957339792</v>
      </c>
      <c r="D127" s="270">
        <f t="shared" si="96"/>
        <v>0.59603063661249933</v>
      </c>
      <c r="E127" s="270">
        <f t="shared" si="96"/>
        <v>0.58602626497071231</v>
      </c>
      <c r="F127" s="270">
        <f t="shared" si="96"/>
        <v>0.63614116117722952</v>
      </c>
      <c r="G127" s="270">
        <f t="shared" si="96"/>
        <v>0.58196929490379468</v>
      </c>
      <c r="H127" s="270">
        <f t="shared" si="96"/>
        <v>0.68628387943854696</v>
      </c>
      <c r="I127" s="270">
        <f t="shared" si="96"/>
        <v>0.59769919480320721</v>
      </c>
      <c r="J127" s="270">
        <f t="shared" si="96"/>
        <v>0.61217603406221199</v>
      </c>
      <c r="K127" s="270">
        <f t="shared" si="96"/>
        <v>0.62034032917638315</v>
      </c>
      <c r="L127" s="270">
        <f t="shared" si="96"/>
        <v>0.62700601805416245</v>
      </c>
      <c r="M127" s="270">
        <f t="shared" si="96"/>
        <v>0.60903921544580852</v>
      </c>
      <c r="N127" s="270">
        <f t="shared" si="96"/>
        <v>0.70823873883431243</v>
      </c>
      <c r="O127" s="270">
        <f t="shared" si="96"/>
        <v>0.62831894408534106</v>
      </c>
      <c r="P127" s="270">
        <f t="shared" si="96"/>
        <v>0.62073358204309159</v>
      </c>
      <c r="Q127" s="270">
        <f t="shared" si="96"/>
        <v>0.60881449353935124</v>
      </c>
      <c r="R127" s="270">
        <f t="shared" si="96"/>
        <v>0.6467406774836324</v>
      </c>
      <c r="S127" s="270">
        <f t="shared" si="96"/>
        <v>0.62887430282188017</v>
      </c>
      <c r="T127" s="270">
        <f t="shared" si="96"/>
        <v>0.62210864353883033</v>
      </c>
      <c r="U127" s="270">
        <f t="shared" si="96"/>
        <v>0.61308210467660984</v>
      </c>
      <c r="V127" s="270">
        <f t="shared" si="96"/>
        <v>0.64537120292179206</v>
      </c>
      <c r="W127" s="270">
        <f t="shared" si="96"/>
        <v>0.64412876718316325</v>
      </c>
      <c r="X127" s="270">
        <f t="shared" si="96"/>
        <v>0.64068118097149773</v>
      </c>
      <c r="Y127" s="270">
        <f t="shared" si="96"/>
        <v>0.6393345472035179</v>
      </c>
      <c r="Z127" s="270">
        <f t="shared" si="96"/>
        <v>0.65761447457655509</v>
      </c>
      <c r="AA127" s="270">
        <f t="shared" si="96"/>
        <v>0.63261497568778502</v>
      </c>
      <c r="AB127" s="270">
        <f t="shared" si="96"/>
        <v>0.62905693838475785</v>
      </c>
      <c r="AC127" s="270">
        <f t="shared" si="96"/>
        <v>0.66439751709759443</v>
      </c>
      <c r="AD127" s="270">
        <f t="shared" si="96"/>
        <v>0.6861232706758118</v>
      </c>
      <c r="AE127" s="270">
        <f t="shared" si="96"/>
        <v>0.65867043143111614</v>
      </c>
      <c r="AF127" s="270">
        <f t="shared" si="96"/>
        <v>0.65021994960378005</v>
      </c>
      <c r="AG127" s="270">
        <f t="shared" si="96"/>
        <v>0.69595650855129609</v>
      </c>
      <c r="AH127" s="270">
        <f t="shared" si="96"/>
        <v>0.65978262082095362</v>
      </c>
      <c r="AI127" s="270">
        <f t="shared" ref="AI127:AX127" si="97">AI193/AI190</f>
        <v>0.64985173603623037</v>
      </c>
      <c r="AJ127" s="270">
        <f t="shared" si="97"/>
        <v>0.65600765662178162</v>
      </c>
      <c r="AK127" s="270">
        <f t="shared" si="97"/>
        <v>0.6454959262517691</v>
      </c>
      <c r="AL127" s="270">
        <f t="shared" si="97"/>
        <v>0.65635833060803495</v>
      </c>
      <c r="AM127" s="270">
        <f t="shared" si="97"/>
        <v>0.68417344200526709</v>
      </c>
      <c r="AN127" s="270">
        <f t="shared" si="97"/>
        <v>0.63967160512518706</v>
      </c>
      <c r="AO127" s="270">
        <f t="shared" si="97"/>
        <v>0.63284106591546085</v>
      </c>
      <c r="AP127" s="270">
        <f t="shared" si="97"/>
        <v>0.63164993816054538</v>
      </c>
      <c r="AQ127" s="270">
        <f t="shared" si="97"/>
        <v>0.69505115841467713</v>
      </c>
      <c r="AR127" s="270">
        <f t="shared" si="97"/>
        <v>0.62898120780481415</v>
      </c>
      <c r="AS127" s="270">
        <f t="shared" si="97"/>
        <v>0.62734858085752432</v>
      </c>
      <c r="AT127" s="270">
        <f t="shared" si="97"/>
        <v>0.6440849740118183</v>
      </c>
      <c r="AU127" s="494">
        <f t="shared" si="97"/>
        <v>0.63995243460278528</v>
      </c>
      <c r="AV127" s="270">
        <f t="shared" si="97"/>
        <v>0.63</v>
      </c>
      <c r="AW127" s="270">
        <f t="shared" si="97"/>
        <v>0.63000000000000012</v>
      </c>
      <c r="AX127" s="270">
        <f t="shared" si="97"/>
        <v>0.63</v>
      </c>
      <c r="AY127" s="270"/>
      <c r="AZ127" s="741">
        <f t="shared" ref="AZ127:BS127" si="98">AZ193/AZ190</f>
        <v>0.62418521229636248</v>
      </c>
      <c r="BA127" s="741">
        <f t="shared" si="98"/>
        <v>0.57749369261580874</v>
      </c>
      <c r="BB127" s="741">
        <f t="shared" si="98"/>
        <v>0.58784650309895603</v>
      </c>
      <c r="BC127" s="741">
        <f t="shared" si="98"/>
        <v>0.57673060825203593</v>
      </c>
      <c r="BD127" s="741">
        <f t="shared" si="98"/>
        <v>0.5875810520855439</v>
      </c>
      <c r="BE127" s="741">
        <f t="shared" si="98"/>
        <v>0.61901706590049732</v>
      </c>
      <c r="BF127" s="741">
        <f t="shared" si="98"/>
        <v>0.64089406871708565</v>
      </c>
      <c r="BG127" s="741">
        <f t="shared" si="98"/>
        <v>0.62622894465452039</v>
      </c>
      <c r="BH127" s="741">
        <f t="shared" si="98"/>
        <v>0.62724151087371238</v>
      </c>
      <c r="BI127" s="741">
        <f t="shared" si="98"/>
        <v>0.64560646113143894</v>
      </c>
      <c r="BJ127" s="741">
        <f t="shared" si="98"/>
        <v>0.65314860320235657</v>
      </c>
      <c r="BK127" s="741">
        <f t="shared" si="98"/>
        <v>0.66607927822322999</v>
      </c>
      <c r="BL127" s="741">
        <f t="shared" si="98"/>
        <v>0.6519300346182878</v>
      </c>
      <c r="BM127" s="741">
        <f t="shared" si="98"/>
        <v>0.64635855587294699</v>
      </c>
      <c r="BN127" s="742">
        <f t="shared" si="98"/>
        <v>0.64782584558915579</v>
      </c>
      <c r="BO127" s="741">
        <f t="shared" si="98"/>
        <v>0.63239199708323046</v>
      </c>
      <c r="BP127" s="741" t="e">
        <f t="shared" si="98"/>
        <v>#REF!</v>
      </c>
      <c r="BQ127" s="741" t="e">
        <f t="shared" si="98"/>
        <v>#REF!</v>
      </c>
      <c r="BR127" s="741" t="e">
        <f t="shared" si="98"/>
        <v>#REF!</v>
      </c>
      <c r="BS127" s="741" t="e">
        <f t="shared" si="98"/>
        <v>#REF!</v>
      </c>
      <c r="BT127" s="217"/>
    </row>
    <row r="128" spans="1:72" s="107" customFormat="1" x14ac:dyDescent="0.35">
      <c r="A128" s="121" t="s">
        <v>33</v>
      </c>
      <c r="B128" s="106"/>
      <c r="C128" s="78">
        <f t="shared" ref="C128:AU128" si="99">1-C127</f>
        <v>0.46336433042660208</v>
      </c>
      <c r="D128" s="78">
        <f t="shared" si="99"/>
        <v>0.40396936338750067</v>
      </c>
      <c r="E128" s="78">
        <f t="shared" si="99"/>
        <v>0.41397373502928769</v>
      </c>
      <c r="F128" s="78">
        <f t="shared" si="99"/>
        <v>0.36385883882277048</v>
      </c>
      <c r="G128" s="78">
        <f t="shared" si="99"/>
        <v>0.41803070509620532</v>
      </c>
      <c r="H128" s="78">
        <f t="shared" si="99"/>
        <v>0.31371612056145304</v>
      </c>
      <c r="I128" s="78">
        <f t="shared" si="99"/>
        <v>0.40230080519679279</v>
      </c>
      <c r="J128" s="78">
        <f t="shared" si="99"/>
        <v>0.38782396593778801</v>
      </c>
      <c r="K128" s="78">
        <f t="shared" si="99"/>
        <v>0.37965967082361685</v>
      </c>
      <c r="L128" s="78">
        <f t="shared" si="99"/>
        <v>0.37299398194583755</v>
      </c>
      <c r="M128" s="78">
        <f t="shared" si="99"/>
        <v>0.39096078455419148</v>
      </c>
      <c r="N128" s="78">
        <f t="shared" si="99"/>
        <v>0.29176126116568757</v>
      </c>
      <c r="O128" s="78">
        <f t="shared" si="99"/>
        <v>0.37168105591465894</v>
      </c>
      <c r="P128" s="78">
        <f t="shared" si="99"/>
        <v>0.37926641795690841</v>
      </c>
      <c r="Q128" s="78">
        <f t="shared" si="99"/>
        <v>0.39118550646064876</v>
      </c>
      <c r="R128" s="78">
        <f t="shared" si="99"/>
        <v>0.3532593225163676</v>
      </c>
      <c r="S128" s="78">
        <f t="shared" si="99"/>
        <v>0.37112569717811983</v>
      </c>
      <c r="T128" s="78">
        <f t="shared" si="99"/>
        <v>0.37789135646116967</v>
      </c>
      <c r="U128" s="78">
        <f t="shared" si="99"/>
        <v>0.38691789532339016</v>
      </c>
      <c r="V128" s="78">
        <f t="shared" si="99"/>
        <v>0.35462879707820794</v>
      </c>
      <c r="W128" s="78">
        <f t="shared" si="99"/>
        <v>0.35587123281683675</v>
      </c>
      <c r="X128" s="78">
        <f t="shared" si="99"/>
        <v>0.35931881902850227</v>
      </c>
      <c r="Y128" s="78">
        <f t="shared" si="99"/>
        <v>0.3606654527964821</v>
      </c>
      <c r="Z128" s="78">
        <f t="shared" si="99"/>
        <v>0.34238552542344491</v>
      </c>
      <c r="AA128" s="78">
        <f t="shared" si="99"/>
        <v>0.36738502431221498</v>
      </c>
      <c r="AB128" s="78">
        <f t="shared" si="99"/>
        <v>0.37094306161524215</v>
      </c>
      <c r="AC128" s="78">
        <f t="shared" si="99"/>
        <v>0.33560248290240557</v>
      </c>
      <c r="AD128" s="78">
        <f t="shared" si="99"/>
        <v>0.3138767293241882</v>
      </c>
      <c r="AE128" s="78">
        <f t="shared" si="99"/>
        <v>0.34132956856888386</v>
      </c>
      <c r="AF128" s="78">
        <f t="shared" si="99"/>
        <v>0.34978005039621995</v>
      </c>
      <c r="AG128" s="78">
        <f t="shared" si="99"/>
        <v>0.30404349144870391</v>
      </c>
      <c r="AH128" s="78">
        <f t="shared" si="99"/>
        <v>0.34021737917904638</v>
      </c>
      <c r="AI128" s="78">
        <f t="shared" si="99"/>
        <v>0.35014826396376963</v>
      </c>
      <c r="AJ128" s="78">
        <f t="shared" si="99"/>
        <v>0.34399234337821838</v>
      </c>
      <c r="AK128" s="78">
        <f t="shared" si="99"/>
        <v>0.3545040737482309</v>
      </c>
      <c r="AL128" s="78">
        <f t="shared" si="99"/>
        <v>0.34364166939196505</v>
      </c>
      <c r="AM128" s="78">
        <f t="shared" si="99"/>
        <v>0.31582655799473291</v>
      </c>
      <c r="AN128" s="78">
        <f t="shared" si="99"/>
        <v>0.36032839487481294</v>
      </c>
      <c r="AO128" s="78">
        <f t="shared" si="99"/>
        <v>0.36715893408453915</v>
      </c>
      <c r="AP128" s="78">
        <f t="shared" si="99"/>
        <v>0.36835006183945462</v>
      </c>
      <c r="AQ128" s="78">
        <f t="shared" si="99"/>
        <v>0.30494884158532287</v>
      </c>
      <c r="AR128" s="78">
        <f t="shared" si="99"/>
        <v>0.37101879219518585</v>
      </c>
      <c r="AS128" s="78">
        <f t="shared" si="99"/>
        <v>0.37265141914247568</v>
      </c>
      <c r="AT128" s="78">
        <f t="shared" si="99"/>
        <v>0.3559150259881817</v>
      </c>
      <c r="AU128" s="484">
        <f t="shared" si="99"/>
        <v>0.36004756539721472</v>
      </c>
      <c r="AV128" s="641">
        <v>0.37</v>
      </c>
      <c r="AW128" s="641">
        <v>0.37</v>
      </c>
      <c r="AX128" s="641">
        <v>0.37</v>
      </c>
      <c r="AY128" s="31"/>
      <c r="AZ128" s="673">
        <f t="shared" ref="AZ128:BP128" si="100">1-AZ127</f>
        <v>0.37581478770363752</v>
      </c>
      <c r="BA128" s="673">
        <f t="shared" si="100"/>
        <v>0.42250630738419126</v>
      </c>
      <c r="BB128" s="673">
        <f t="shared" si="100"/>
        <v>0.41215349690104397</v>
      </c>
      <c r="BC128" s="673">
        <f t="shared" si="100"/>
        <v>0.42326939174796407</v>
      </c>
      <c r="BD128" s="673">
        <f t="shared" si="100"/>
        <v>0.4124189479144561</v>
      </c>
      <c r="BE128" s="673">
        <f t="shared" si="100"/>
        <v>0.38098293409950268</v>
      </c>
      <c r="BF128" s="673">
        <f t="shared" si="100"/>
        <v>0.35910593128291435</v>
      </c>
      <c r="BG128" s="673">
        <f t="shared" si="100"/>
        <v>0.37377105534547961</v>
      </c>
      <c r="BH128" s="673">
        <f t="shared" si="100"/>
        <v>0.37275848912628762</v>
      </c>
      <c r="BI128" s="673">
        <f t="shared" si="100"/>
        <v>0.35439353886856106</v>
      </c>
      <c r="BJ128" s="673">
        <f t="shared" si="100"/>
        <v>0.34685139679764343</v>
      </c>
      <c r="BK128" s="673">
        <f t="shared" si="100"/>
        <v>0.33392072177677001</v>
      </c>
      <c r="BL128" s="673">
        <f t="shared" si="100"/>
        <v>0.3480699653817122</v>
      </c>
      <c r="BM128" s="673">
        <f t="shared" si="100"/>
        <v>0.35364144412705301</v>
      </c>
      <c r="BN128" s="682">
        <f t="shared" si="100"/>
        <v>0.35217415441084421</v>
      </c>
      <c r="BO128" s="673">
        <f t="shared" si="100"/>
        <v>0.36760800291676954</v>
      </c>
      <c r="BP128" s="673" t="e">
        <f t="shared" si="100"/>
        <v>#REF!</v>
      </c>
      <c r="BQ128" s="743">
        <v>0.375</v>
      </c>
      <c r="BR128" s="743">
        <v>0.37</v>
      </c>
      <c r="BS128" s="743">
        <v>0.37</v>
      </c>
      <c r="BT128" s="217"/>
    </row>
    <row r="129" spans="1:72" s="112" customFormat="1" x14ac:dyDescent="0.35">
      <c r="A129" s="110" t="s">
        <v>34</v>
      </c>
      <c r="B129" s="123"/>
      <c r="C129" s="468"/>
      <c r="D129" s="468"/>
      <c r="E129" s="468"/>
      <c r="F129" s="468"/>
      <c r="G129" s="468"/>
      <c r="H129" s="468"/>
      <c r="I129" s="468"/>
      <c r="J129" s="468"/>
      <c r="K129" s="468"/>
      <c r="L129" s="468"/>
      <c r="M129" s="468"/>
      <c r="N129" s="468"/>
      <c r="O129" s="468"/>
      <c r="P129" s="111"/>
      <c r="Q129" s="111"/>
      <c r="R129" s="468"/>
      <c r="S129" s="468"/>
      <c r="T129" s="111"/>
      <c r="U129" s="111"/>
      <c r="V129" s="468"/>
      <c r="W129" s="468"/>
      <c r="X129" s="111"/>
      <c r="Y129" s="111"/>
      <c r="Z129" s="468"/>
      <c r="AA129" s="468"/>
      <c r="AB129" s="111"/>
      <c r="AC129" s="111"/>
      <c r="AD129" s="468"/>
      <c r="AE129" s="468"/>
      <c r="AF129" s="111"/>
      <c r="AG129" s="111"/>
      <c r="AH129" s="468"/>
      <c r="AI129" s="468"/>
      <c r="AJ129" s="111"/>
      <c r="AK129" s="111"/>
      <c r="AL129" s="468"/>
      <c r="AM129" s="468"/>
      <c r="AN129" s="111"/>
      <c r="AO129" s="111"/>
      <c r="AP129" s="468"/>
      <c r="AQ129" s="468"/>
      <c r="AR129" s="111"/>
      <c r="AS129" s="111"/>
      <c r="AT129" s="468"/>
      <c r="AU129" s="495"/>
      <c r="AV129" s="468" t="str">
        <f t="shared" ref="AV129:AX129" ca="1" si="101">IFERROR(VLOOKUP($A129,tb_ConsensusEstimate,MATCH(AV$5,OFFSET(tb_ConsensusEstimate,0,0,1,COLUMNS(tb_ConsensusEstimate)),0),FALSE),"-")</f>
        <v>N/A</v>
      </c>
      <c r="AW129" s="468" t="str">
        <f t="shared" ca="1" si="101"/>
        <v>N/A</v>
      </c>
      <c r="AX129" s="468" t="str">
        <f t="shared" ca="1" si="101"/>
        <v>N/A</v>
      </c>
      <c r="AY129" s="468"/>
      <c r="AZ129" s="744"/>
      <c r="BA129" s="744"/>
      <c r="BB129" s="744"/>
      <c r="BC129" s="744"/>
      <c r="BD129" s="744"/>
      <c r="BE129" s="744"/>
      <c r="BF129" s="744"/>
      <c r="BG129" s="744"/>
      <c r="BH129" s="744"/>
      <c r="BI129" s="744"/>
      <c r="BJ129" s="744"/>
      <c r="BK129" s="744"/>
      <c r="BL129" s="744"/>
      <c r="BM129" s="744"/>
      <c r="BN129" s="745"/>
      <c r="BO129" s="709" t="str">
        <f ca="1">IFERROR(VLOOKUP($A129,tb_ConsensusEstimate,MATCH(BO$5,OFFSET(tb_ConsensusEstimate,0,0,1,COLUMNS(tb_ConsensusEstimate)),0),FALSE),"-")</f>
        <v>N/A</v>
      </c>
      <c r="BP129" s="709" t="str">
        <f ca="1">IFERROR(VLOOKUP($A129,tb_ConsensusEstimate,MATCH(BP$5,OFFSET(tb_ConsensusEstimate,0,0,1,COLUMNS(tb_ConsensusEstimate)),0),FALSE),"-")</f>
        <v>N/A</v>
      </c>
      <c r="BQ129" s="709" t="str">
        <f ca="1">IFERROR(VLOOKUP($A129,tb_ConsensusEstimate,MATCH(BQ$5,OFFSET(tb_ConsensusEstimate,0,0,1,COLUMNS(tb_ConsensusEstimate)),0),FALSE),"-")</f>
        <v>N/A</v>
      </c>
      <c r="BR129" s="709" t="str">
        <f ca="1">IFERROR(VLOOKUP($A129,tb_ConsensusEstimate,MATCH(BR$5,OFFSET(tb_ConsensusEstimate,0,0,1,COLUMNS(tb_ConsensusEstimate)),0),FALSE),"-")</f>
        <v>N/A</v>
      </c>
      <c r="BS129" s="709" t="str">
        <f ca="1">IFERROR(VLOOKUP($A129,tb_ConsensusEstimate,MATCH(BS$5,OFFSET(tb_ConsensusEstimate,0,0,1,COLUMNS(tb_ConsensusEstimate)),0),FALSE),"-")</f>
        <v>N/A</v>
      </c>
      <c r="BT129" s="468"/>
    </row>
    <row r="130" spans="1:72" s="19" customFormat="1" x14ac:dyDescent="0.35">
      <c r="A130" s="121"/>
      <c r="B130" s="106"/>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484"/>
      <c r="AV130" s="78"/>
      <c r="AW130" s="78"/>
      <c r="AX130" s="78"/>
      <c r="AY130" s="78"/>
      <c r="AZ130" s="673"/>
      <c r="BA130" s="673"/>
      <c r="BB130" s="673"/>
      <c r="BC130" s="673"/>
      <c r="BD130" s="673"/>
      <c r="BE130" s="673"/>
      <c r="BF130" s="673"/>
      <c r="BG130" s="673"/>
      <c r="BH130" s="673"/>
      <c r="BI130" s="673"/>
      <c r="BJ130" s="673"/>
      <c r="BK130" s="673"/>
      <c r="BL130" s="673"/>
      <c r="BM130" s="673"/>
      <c r="BN130" s="682"/>
      <c r="BO130" s="673"/>
      <c r="BP130" s="673"/>
      <c r="BQ130" s="673"/>
      <c r="BR130" s="673"/>
      <c r="BS130" s="673"/>
      <c r="BT130" s="27"/>
    </row>
    <row r="131" spans="1:72" s="19" customFormat="1" x14ac:dyDescent="0.35">
      <c r="A131" s="122" t="s">
        <v>35</v>
      </c>
      <c r="B131" s="106"/>
      <c r="C131" s="26">
        <f t="shared" ref="C131:AU131" si="102">C196/C$190</f>
        <v>0.42419130151608353</v>
      </c>
      <c r="D131" s="26">
        <f t="shared" si="102"/>
        <v>0.32498980721067039</v>
      </c>
      <c r="E131" s="26">
        <f t="shared" si="102"/>
        <v>0.32520675751918499</v>
      </c>
      <c r="F131" s="26">
        <f t="shared" si="102"/>
        <v>0.35686183753760703</v>
      </c>
      <c r="G131" s="26">
        <f t="shared" si="102"/>
        <v>0.45509401574665226</v>
      </c>
      <c r="H131" s="26">
        <f t="shared" si="102"/>
        <v>0.35349836324742429</v>
      </c>
      <c r="I131" s="26">
        <f t="shared" si="102"/>
        <v>0.28587887187422945</v>
      </c>
      <c r="J131" s="26">
        <f t="shared" si="102"/>
        <v>0.33247718124854553</v>
      </c>
      <c r="K131" s="26">
        <f t="shared" si="102"/>
        <v>0.43524620636047184</v>
      </c>
      <c r="L131" s="26">
        <f t="shared" si="102"/>
        <v>0.28448275862068967</v>
      </c>
      <c r="M131" s="26">
        <f t="shared" si="102"/>
        <v>0.27882905532186264</v>
      </c>
      <c r="N131" s="26">
        <f t="shared" si="102"/>
        <v>0.36100655619443667</v>
      </c>
      <c r="O131" s="26">
        <f t="shared" si="102"/>
        <v>0.46414591149482437</v>
      </c>
      <c r="P131" s="26">
        <f t="shared" si="102"/>
        <v>0.30873852431145871</v>
      </c>
      <c r="Q131" s="26">
        <f t="shared" si="102"/>
        <v>0.3047393150808711</v>
      </c>
      <c r="R131" s="26">
        <f t="shared" si="102"/>
        <v>0.35095947478526462</v>
      </c>
      <c r="S131" s="26">
        <f t="shared" si="102"/>
        <v>0.47005734535520077</v>
      </c>
      <c r="T131" s="26">
        <f t="shared" si="102"/>
        <v>0.29501560450495268</v>
      </c>
      <c r="U131" s="26">
        <f t="shared" si="102"/>
        <v>0.32956460390144382</v>
      </c>
      <c r="V131" s="26">
        <f t="shared" si="102"/>
        <v>0.33278951417792169</v>
      </c>
      <c r="W131" s="26">
        <f t="shared" si="102"/>
        <v>0.43350744148436304</v>
      </c>
      <c r="X131" s="26">
        <f t="shared" si="102"/>
        <v>0.29618205339508591</v>
      </c>
      <c r="Y131" s="26">
        <f t="shared" si="102"/>
        <v>0.27599371306857223</v>
      </c>
      <c r="Z131" s="26">
        <f t="shared" si="102"/>
        <v>0.30104155328750737</v>
      </c>
      <c r="AA131" s="26">
        <f t="shared" si="102"/>
        <v>0.42210541394430873</v>
      </c>
      <c r="AB131" s="26">
        <f t="shared" si="102"/>
        <v>0.24032847860887033</v>
      </c>
      <c r="AC131" s="26">
        <f t="shared" si="102"/>
        <v>0.24372956580796992</v>
      </c>
      <c r="AD131" s="26">
        <f t="shared" si="102"/>
        <v>0.3034169027052756</v>
      </c>
      <c r="AE131" s="26">
        <f t="shared" si="102"/>
        <v>0.41673375570256804</v>
      </c>
      <c r="AF131" s="26">
        <f t="shared" si="102"/>
        <v>0.23211768953909587</v>
      </c>
      <c r="AG131" s="26">
        <f t="shared" si="102"/>
        <v>0.24766093469282996</v>
      </c>
      <c r="AH131" s="26">
        <f t="shared" si="102"/>
        <v>0.31403594230490339</v>
      </c>
      <c r="AI131" s="26">
        <f t="shared" si="102"/>
        <v>0.3176272374379987</v>
      </c>
      <c r="AJ131" s="26">
        <f t="shared" si="102"/>
        <v>0.24176580839835704</v>
      </c>
      <c r="AK131" s="26">
        <f t="shared" si="102"/>
        <v>0.25619094977623075</v>
      </c>
      <c r="AL131" s="26">
        <f t="shared" si="102"/>
        <v>0.2898392493270609</v>
      </c>
      <c r="AM131" s="26">
        <f t="shared" si="102"/>
        <v>0.33325920854717084</v>
      </c>
      <c r="AN131" s="26">
        <f t="shared" si="102"/>
        <v>0.22134420168641805</v>
      </c>
      <c r="AO131" s="26">
        <f t="shared" si="102"/>
        <v>0.22347660307026906</v>
      </c>
      <c r="AP131" s="26">
        <f t="shared" si="102"/>
        <v>0.2670871310227565</v>
      </c>
      <c r="AQ131" s="26">
        <f t="shared" si="102"/>
        <v>0.37249911795836765</v>
      </c>
      <c r="AR131" s="26">
        <f t="shared" si="102"/>
        <v>0.22252882087973214</v>
      </c>
      <c r="AS131" s="26">
        <f t="shared" si="102"/>
        <v>0.21912929208733445</v>
      </c>
      <c r="AT131" s="26">
        <f t="shared" si="102"/>
        <v>0.24433854751607589</v>
      </c>
      <c r="AU131" s="480">
        <f t="shared" si="102"/>
        <v>0.35313350590714754</v>
      </c>
      <c r="AV131" s="641">
        <v>0.22</v>
      </c>
      <c r="AW131" s="641">
        <v>0.21199999999999999</v>
      </c>
      <c r="AX131" s="641">
        <v>0.25</v>
      </c>
      <c r="AY131" s="31"/>
      <c r="AZ131" s="674">
        <f t="shared" ref="AZ131:BP131" si="103">AZ196/AZ$190</f>
        <v>0.30502609538838882</v>
      </c>
      <c r="BA131" s="674">
        <f t="shared" si="103"/>
        <v>0.33025723723567502</v>
      </c>
      <c r="BB131" s="674">
        <f t="shared" si="103"/>
        <v>0.36580505862941542</v>
      </c>
      <c r="BC131" s="674">
        <f t="shared" si="103"/>
        <v>0.38236070507490749</v>
      </c>
      <c r="BD131" s="674">
        <f t="shared" si="103"/>
        <v>0.35853434250548205</v>
      </c>
      <c r="BE131" s="674">
        <f t="shared" si="103"/>
        <v>0.35612737928102023</v>
      </c>
      <c r="BF131" s="674">
        <f t="shared" si="103"/>
        <v>0.33967419386814635</v>
      </c>
      <c r="BG131" s="674">
        <f t="shared" si="103"/>
        <v>0.35782743210725332</v>
      </c>
      <c r="BH131" s="674">
        <f t="shared" si="103"/>
        <v>0.35798221534936225</v>
      </c>
      <c r="BI131" s="674">
        <f t="shared" si="103"/>
        <v>0.32655867604338512</v>
      </c>
      <c r="BJ131" s="674">
        <f t="shared" si="103"/>
        <v>0.30207078105679341</v>
      </c>
      <c r="BK131" s="674">
        <f t="shared" si="103"/>
        <v>0.30273500742242482</v>
      </c>
      <c r="BL131" s="674">
        <f t="shared" si="103"/>
        <v>0.2761940706421302</v>
      </c>
      <c r="BM131" s="674">
        <f t="shared" si="103"/>
        <v>0.26077895682962721</v>
      </c>
      <c r="BN131" s="675">
        <f t="shared" si="103"/>
        <v>0.26209971056266662</v>
      </c>
      <c r="BO131" s="673">
        <f t="shared" si="103"/>
        <v>0.25772315408250385</v>
      </c>
      <c r="BP131" s="673" t="e">
        <f t="shared" si="103"/>
        <v>#REF!</v>
      </c>
      <c r="BQ131" s="743">
        <v>0.24</v>
      </c>
      <c r="BR131" s="743">
        <v>0.25</v>
      </c>
      <c r="BS131" s="743">
        <v>0.25</v>
      </c>
      <c r="BT131" s="27"/>
    </row>
    <row r="132" spans="1:72" s="132" customFormat="1" x14ac:dyDescent="0.35">
      <c r="A132" s="43" t="s">
        <v>502</v>
      </c>
      <c r="B132" s="109"/>
      <c r="C132" s="24">
        <f t="shared" ref="C132:AH132" si="104">C197/C190</f>
        <v>3.9173028910518513E-2</v>
      </c>
      <c r="D132" s="24">
        <f t="shared" si="104"/>
        <v>7.8979556176830293E-2</v>
      </c>
      <c r="E132" s="24">
        <f t="shared" si="104"/>
        <v>8.8766977510102749E-2</v>
      </c>
      <c r="F132" s="24">
        <f t="shared" si="104"/>
        <v>6.9970012851634632E-3</v>
      </c>
      <c r="G132" s="24">
        <f t="shared" si="104"/>
        <v>-3.7063310650446955E-2</v>
      </c>
      <c r="H132" s="24">
        <f t="shared" si="104"/>
        <v>-3.9782242685971206E-2</v>
      </c>
      <c r="I132" s="24">
        <f t="shared" si="104"/>
        <v>0.11642193332256333</v>
      </c>
      <c r="J132" s="24">
        <f t="shared" si="104"/>
        <v>5.5346784689242479E-2</v>
      </c>
      <c r="K132" s="24">
        <f t="shared" si="104"/>
        <v>-5.5586535536855039E-2</v>
      </c>
      <c r="L132" s="24">
        <f t="shared" si="104"/>
        <v>8.8511223325147853E-2</v>
      </c>
      <c r="M132" s="24">
        <f t="shared" si="104"/>
        <v>0.11213172923232885</v>
      </c>
      <c r="N132" s="24">
        <f t="shared" si="104"/>
        <v>-6.9245295028749085E-2</v>
      </c>
      <c r="O132" s="24">
        <f t="shared" si="104"/>
        <v>-9.2464855580165387E-2</v>
      </c>
      <c r="P132" s="24">
        <f t="shared" si="104"/>
        <v>7.052789364544966E-2</v>
      </c>
      <c r="Q132" s="24">
        <f t="shared" si="104"/>
        <v>8.6446191379777715E-2</v>
      </c>
      <c r="R132" s="24">
        <f t="shared" si="104"/>
        <v>2.2998477311030061E-3</v>
      </c>
      <c r="S132" s="24">
        <f t="shared" si="104"/>
        <v>-9.8931648177080986E-2</v>
      </c>
      <c r="T132" s="24">
        <f t="shared" si="104"/>
        <v>8.2875751956216964E-2</v>
      </c>
      <c r="U132" s="24">
        <f t="shared" si="104"/>
        <v>5.7353291421946305E-2</v>
      </c>
      <c r="V132" s="24">
        <f t="shared" si="104"/>
        <v>2.1839282900286319E-2</v>
      </c>
      <c r="W132" s="24">
        <f t="shared" si="104"/>
        <v>-7.7636208667526227E-2</v>
      </c>
      <c r="X132" s="24">
        <f t="shared" si="104"/>
        <v>6.3136765633416345E-2</v>
      </c>
      <c r="Y132" s="24">
        <f t="shared" si="104"/>
        <v>8.4671739727909909E-2</v>
      </c>
      <c r="Z132" s="24">
        <f t="shared" si="104"/>
        <v>4.1343972135937559E-2</v>
      </c>
      <c r="AA132" s="24">
        <f t="shared" si="104"/>
        <v>-5.4720389632093809E-2</v>
      </c>
      <c r="AB132" s="24">
        <f t="shared" si="104"/>
        <v>0.13061458300637185</v>
      </c>
      <c r="AC132" s="24">
        <f t="shared" si="104"/>
        <v>9.1872917094435652E-2</v>
      </c>
      <c r="AD132" s="24">
        <f t="shared" si="104"/>
        <v>1.0459826618912621E-2</v>
      </c>
      <c r="AE132" s="24">
        <f t="shared" si="104"/>
        <v>-7.5404187133684228E-2</v>
      </c>
      <c r="AF132" s="24">
        <f t="shared" si="104"/>
        <v>0.1176623608571241</v>
      </c>
      <c r="AG132" s="24">
        <f t="shared" si="104"/>
        <v>5.6382556755873947E-2</v>
      </c>
      <c r="AH132" s="24">
        <f t="shared" si="104"/>
        <v>2.6181436874142993E-2</v>
      </c>
      <c r="AI132" s="24">
        <f t="shared" ref="AI132:AX132" si="105">AI197/AI190</f>
        <v>3.2521026525770956E-2</v>
      </c>
      <c r="AJ132" s="24">
        <f t="shared" si="105"/>
        <v>0.10222653497986138</v>
      </c>
      <c r="AK132" s="24">
        <f t="shared" si="105"/>
        <v>9.8313123972000149E-2</v>
      </c>
      <c r="AL132" s="24">
        <f t="shared" si="105"/>
        <v>5.3802420064904162E-2</v>
      </c>
      <c r="AM132" s="24">
        <f t="shared" si="105"/>
        <v>-1.7432650552437881E-2</v>
      </c>
      <c r="AN132" s="24">
        <f t="shared" si="105"/>
        <v>0.13898419318839486</v>
      </c>
      <c r="AO132" s="24">
        <f t="shared" si="105"/>
        <v>0.14368233101427005</v>
      </c>
      <c r="AP132" s="24">
        <f t="shared" si="105"/>
        <v>0.10126293081669815</v>
      </c>
      <c r="AQ132" s="24">
        <f t="shared" si="105"/>
        <v>-6.7550276373044796E-2</v>
      </c>
      <c r="AR132" s="24">
        <f t="shared" si="105"/>
        <v>0.14848997131545372</v>
      </c>
      <c r="AS132" s="24">
        <f t="shared" si="105"/>
        <v>0.15352212705514118</v>
      </c>
      <c r="AT132" s="24">
        <f t="shared" si="105"/>
        <v>0.11157647847210578</v>
      </c>
      <c r="AU132" s="483">
        <f t="shared" si="105"/>
        <v>6.9140594900672135E-3</v>
      </c>
      <c r="AV132" s="77">
        <f t="shared" si="105"/>
        <v>0.14999999999999997</v>
      </c>
      <c r="AW132" s="77">
        <f t="shared" si="105"/>
        <v>0.158</v>
      </c>
      <c r="AX132" s="77">
        <f t="shared" si="105"/>
        <v>0.11999999999999997</v>
      </c>
      <c r="AY132" s="77"/>
      <c r="AZ132" s="680">
        <f t="shared" ref="AZ132:BS132" si="106">AZ197/AZ190</f>
        <v>7.0788692315248675E-2</v>
      </c>
      <c r="BA132" s="680">
        <f t="shared" si="106"/>
        <v>9.2249070148516243E-2</v>
      </c>
      <c r="BB132" s="680">
        <f t="shared" si="106"/>
        <v>4.6348438271628517E-2</v>
      </c>
      <c r="BC132" s="680">
        <f t="shared" si="106"/>
        <v>4.0908686673056617E-2</v>
      </c>
      <c r="BD132" s="680">
        <f t="shared" si="106"/>
        <v>5.3884605408974107E-2</v>
      </c>
      <c r="BE132" s="680">
        <f t="shared" si="106"/>
        <v>2.4855554818482391E-2</v>
      </c>
      <c r="BF132" s="680">
        <f t="shared" si="106"/>
        <v>1.9431737414768016E-2</v>
      </c>
      <c r="BG132" s="680">
        <f t="shared" si="106"/>
        <v>1.5943623238226245E-2</v>
      </c>
      <c r="BH132" s="680">
        <f t="shared" si="106"/>
        <v>1.4776273776925381E-2</v>
      </c>
      <c r="BI132" s="680">
        <f t="shared" si="106"/>
        <v>2.783486282517594E-2</v>
      </c>
      <c r="BJ132" s="680">
        <f t="shared" si="106"/>
        <v>4.4780615740850065E-2</v>
      </c>
      <c r="BK132" s="680">
        <f t="shared" si="106"/>
        <v>3.118571435434522E-2</v>
      </c>
      <c r="BL132" s="680">
        <f t="shared" si="106"/>
        <v>7.1875894739581947E-2</v>
      </c>
      <c r="BM132" s="680">
        <f t="shared" si="106"/>
        <v>9.2862487297425772E-2</v>
      </c>
      <c r="BN132" s="681">
        <f t="shared" si="106"/>
        <v>9.0074443848177616E-2</v>
      </c>
      <c r="BO132" s="679">
        <f t="shared" si="106"/>
        <v>0.10988484883426572</v>
      </c>
      <c r="BP132" s="679" t="e">
        <f t="shared" si="106"/>
        <v>#REF!</v>
      </c>
      <c r="BQ132" s="679" t="e">
        <f t="shared" si="106"/>
        <v>#REF!</v>
      </c>
      <c r="BR132" s="679" t="e">
        <f t="shared" si="106"/>
        <v>#REF!</v>
      </c>
      <c r="BS132" s="679" t="e">
        <f t="shared" si="106"/>
        <v>#REF!</v>
      </c>
      <c r="BT132" s="27"/>
    </row>
    <row r="133" spans="1:72" s="132" customFormat="1" x14ac:dyDescent="0.35">
      <c r="A133" s="44" t="s">
        <v>610</v>
      </c>
      <c r="B133" s="106"/>
      <c r="C133" s="78">
        <f t="shared" ref="C133:AH133" si="107">C198/C190</f>
        <v>5.2162861381481351E-2</v>
      </c>
      <c r="D133" s="78">
        <f t="shared" si="107"/>
        <v>9.3094142543731884E-2</v>
      </c>
      <c r="E133" s="78">
        <f t="shared" si="107"/>
        <v>0.10735795311202743</v>
      </c>
      <c r="F133" s="78">
        <f t="shared" si="107"/>
        <v>2.9356876609531842E-2</v>
      </c>
      <c r="G133" s="78">
        <f t="shared" si="107"/>
        <v>-2.0948827758948223E-2</v>
      </c>
      <c r="H133" s="78">
        <f t="shared" si="107"/>
        <v>-1.6881104327903657E-3</v>
      </c>
      <c r="I133" s="78">
        <f t="shared" si="107"/>
        <v>0.13338038108680306</v>
      </c>
      <c r="J133" s="78">
        <f t="shared" si="107"/>
        <v>8.3914396283495327E-2</v>
      </c>
      <c r="K133" s="78">
        <f t="shared" si="107"/>
        <v>-3.7957517996552899E-2</v>
      </c>
      <c r="L133" s="78">
        <f t="shared" si="107"/>
        <v>0.10924584097118942</v>
      </c>
      <c r="M133" s="78">
        <f t="shared" si="107"/>
        <v>0.13053555879864109</v>
      </c>
      <c r="N133" s="78">
        <f t="shared" si="107"/>
        <v>-3.6027243215717333E-2</v>
      </c>
      <c r="O133" s="78">
        <f t="shared" si="107"/>
        <v>-7.1730777923428066E-2</v>
      </c>
      <c r="P133" s="78">
        <f t="shared" si="107"/>
        <v>9.4252697415366002E-2</v>
      </c>
      <c r="Q133" s="78">
        <f t="shared" si="107"/>
        <v>0.10550284629981024</v>
      </c>
      <c r="R133" s="78">
        <f t="shared" si="107"/>
        <v>2.4245546021805564E-2</v>
      </c>
      <c r="S133" s="78">
        <f t="shared" si="107"/>
        <v>-7.8446176539901644E-2</v>
      </c>
      <c r="T133" s="78">
        <f t="shared" si="107"/>
        <v>0.10367271247003486</v>
      </c>
      <c r="U133" s="78">
        <f t="shared" si="107"/>
        <v>8.1012703733828142E-2</v>
      </c>
      <c r="V133" s="78">
        <f t="shared" si="107"/>
        <v>5.9107889394599392E-2</v>
      </c>
      <c r="W133" s="78">
        <f t="shared" si="107"/>
        <v>-6.4178158533120547E-2</v>
      </c>
      <c r="X133" s="78">
        <f t="shared" si="107"/>
        <v>9.6362523076639742E-2</v>
      </c>
      <c r="Y133" s="78">
        <f t="shared" si="107"/>
        <v>0.10424110210251483</v>
      </c>
      <c r="Z133" s="78">
        <f t="shared" si="107"/>
        <v>6.6311109622646039E-2</v>
      </c>
      <c r="AA133" s="78">
        <f t="shared" si="107"/>
        <v>-3.8708547872382849E-2</v>
      </c>
      <c r="AB133" s="78">
        <f t="shared" si="107"/>
        <v>0.14685803069776204</v>
      </c>
      <c r="AC133" s="78">
        <f t="shared" si="107"/>
        <v>0.1074700298516893</v>
      </c>
      <c r="AD133" s="78">
        <f t="shared" si="107"/>
        <v>2.8258308168886474E-2</v>
      </c>
      <c r="AE133" s="26">
        <f t="shared" si="107"/>
        <v>-5.103822713819571E-2</v>
      </c>
      <c r="AF133" s="26">
        <f t="shared" si="107"/>
        <v>0.14452610858094658</v>
      </c>
      <c r="AG133" s="26">
        <f t="shared" si="107"/>
        <v>8.691290044098092E-2</v>
      </c>
      <c r="AH133" s="78">
        <f t="shared" si="107"/>
        <v>5.8111560214330608E-2</v>
      </c>
      <c r="AI133" s="26">
        <f t="shared" ref="AI133:AX133" si="108">AI198/AI190</f>
        <v>6.2025555315937016E-2</v>
      </c>
      <c r="AJ133" s="26">
        <f t="shared" si="108"/>
        <v>0.1330603889457522</v>
      </c>
      <c r="AK133" s="26">
        <f t="shared" si="108"/>
        <v>0.14001453543969705</v>
      </c>
      <c r="AL133" s="78">
        <f t="shared" si="108"/>
        <v>8.4189077004352214E-2</v>
      </c>
      <c r="AM133" s="26">
        <f t="shared" si="108"/>
        <v>1.1298616281800773E-2</v>
      </c>
      <c r="AN133" s="26">
        <f t="shared" si="108"/>
        <v>0.14830271521610136</v>
      </c>
      <c r="AO133" s="26">
        <f t="shared" si="108"/>
        <v>0.16465823457158979</v>
      </c>
      <c r="AP133" s="78">
        <f t="shared" si="108"/>
        <v>0.1174686024722601</v>
      </c>
      <c r="AQ133" s="26">
        <f t="shared" si="108"/>
        <v>-4.6854051511231322E-2</v>
      </c>
      <c r="AR133" s="26">
        <f t="shared" si="108"/>
        <v>0.16642053944397794</v>
      </c>
      <c r="AS133" s="26">
        <f t="shared" si="108"/>
        <v>0.17058628403262713</v>
      </c>
      <c r="AT133" s="78">
        <f t="shared" si="108"/>
        <v>0.13324398280002223</v>
      </c>
      <c r="AU133" s="480">
        <f t="shared" si="108"/>
        <v>3.0740491606290055E-2</v>
      </c>
      <c r="AV133" s="78">
        <f t="shared" si="108"/>
        <v>0.1706288277470836</v>
      </c>
      <c r="AW133" s="78">
        <f t="shared" si="108"/>
        <v>0.1792727827770865</v>
      </c>
      <c r="AX133" s="78">
        <f t="shared" si="108"/>
        <v>0.14056546581295362</v>
      </c>
      <c r="AY133" s="78"/>
      <c r="AZ133" s="673">
        <f t="shared" ref="AZ133:BS133" si="109">AZ198/AZ190</f>
        <v>7.9629752862253655E-2</v>
      </c>
      <c r="BA133" s="673">
        <f t="shared" si="109"/>
        <v>0.10768330428902133</v>
      </c>
      <c r="BB133" s="673">
        <f t="shared" si="109"/>
        <v>6.4467473403338929E-2</v>
      </c>
      <c r="BC133" s="673">
        <f t="shared" si="109"/>
        <v>5.5119444048407226E-2</v>
      </c>
      <c r="BD133" s="673">
        <f t="shared" si="109"/>
        <v>7.0830680719624645E-2</v>
      </c>
      <c r="BE133" s="673">
        <f t="shared" si="109"/>
        <v>4.9680660059833355E-2</v>
      </c>
      <c r="BF133" s="673">
        <f t="shared" si="109"/>
        <v>4.1892071446197089E-2</v>
      </c>
      <c r="BG133" s="673">
        <f t="shared" si="109"/>
        <v>3.7275123180932783E-2</v>
      </c>
      <c r="BH133" s="673">
        <f t="shared" si="109"/>
        <v>4.0209607222805546E-2</v>
      </c>
      <c r="BI133" s="673">
        <f t="shared" si="109"/>
        <v>5.0517906059925878E-2</v>
      </c>
      <c r="BJ133" s="673">
        <f t="shared" si="109"/>
        <v>6.1198008962817636E-2</v>
      </c>
      <c r="BK133" s="673">
        <f t="shared" si="109"/>
        <v>5.9647470850768519E-2</v>
      </c>
      <c r="BL133" s="673">
        <f t="shared" si="109"/>
        <v>0.10504633124235402</v>
      </c>
      <c r="BM133" s="673">
        <f t="shared" si="109"/>
        <v>0.11156091366044014</v>
      </c>
      <c r="BN133" s="682">
        <f t="shared" si="109"/>
        <v>0.10940655005720164</v>
      </c>
      <c r="BO133" s="673">
        <f t="shared" si="109"/>
        <v>0.13142797349487659</v>
      </c>
      <c r="BP133" s="673" t="e">
        <f t="shared" si="109"/>
        <v>#REF!</v>
      </c>
      <c r="BQ133" s="673" t="e">
        <f t="shared" si="109"/>
        <v>#REF!</v>
      </c>
      <c r="BR133" s="673" t="e">
        <f t="shared" si="109"/>
        <v>#REF!</v>
      </c>
      <c r="BS133" s="673" t="e">
        <f t="shared" si="109"/>
        <v>#REF!</v>
      </c>
      <c r="BT133" s="27"/>
    </row>
    <row r="134" spans="1:72" s="132" customFormat="1" x14ac:dyDescent="0.35">
      <c r="A134" s="103" t="s">
        <v>503</v>
      </c>
      <c r="B134" s="325"/>
      <c r="C134" s="326"/>
      <c r="D134" s="326"/>
      <c r="E134" s="326"/>
      <c r="F134" s="326"/>
      <c r="G134" s="326"/>
      <c r="H134" s="326"/>
      <c r="I134" s="326"/>
      <c r="J134" s="326"/>
      <c r="K134" s="326"/>
      <c r="L134" s="326"/>
      <c r="M134" s="326"/>
      <c r="N134" s="326"/>
      <c r="O134" s="326"/>
      <c r="P134" s="326"/>
      <c r="Q134" s="326"/>
      <c r="R134" s="326"/>
      <c r="S134" s="326"/>
      <c r="T134" s="326"/>
      <c r="U134" s="326"/>
      <c r="V134" s="326"/>
      <c r="W134" s="326"/>
      <c r="X134" s="326"/>
      <c r="Y134" s="326"/>
      <c r="Z134" s="326"/>
      <c r="AA134" s="326"/>
      <c r="AB134" s="326"/>
      <c r="AC134" s="326"/>
      <c r="AD134" s="326"/>
      <c r="AE134" s="326"/>
      <c r="AF134" s="326"/>
      <c r="AG134" s="326"/>
      <c r="AH134" s="326"/>
      <c r="AI134" s="326"/>
      <c r="AJ134" s="326"/>
      <c r="AK134" s="326"/>
      <c r="AL134" s="326"/>
      <c r="AM134" s="326"/>
      <c r="AN134" s="326"/>
      <c r="AO134" s="326"/>
      <c r="AP134" s="326"/>
      <c r="AQ134" s="326"/>
      <c r="AR134" s="326"/>
      <c r="AS134" s="326"/>
      <c r="AT134" s="326"/>
      <c r="AU134" s="489"/>
      <c r="AV134" s="326">
        <f t="shared" ref="AV134:AX134" ca="1" si="110">IFERROR(AV199/AV191,0)</f>
        <v>0</v>
      </c>
      <c r="AW134" s="326">
        <f t="shared" ca="1" si="110"/>
        <v>0</v>
      </c>
      <c r="AX134" s="326">
        <f t="shared" ca="1" si="110"/>
        <v>0</v>
      </c>
      <c r="AY134" s="326"/>
      <c r="AZ134" s="709"/>
      <c r="BA134" s="709"/>
      <c r="BB134" s="709"/>
      <c r="BC134" s="709"/>
      <c r="BD134" s="709"/>
      <c r="BE134" s="709"/>
      <c r="BF134" s="709"/>
      <c r="BG134" s="709"/>
      <c r="BH134" s="709"/>
      <c r="BI134" s="709"/>
      <c r="BJ134" s="709"/>
      <c r="BK134" s="709"/>
      <c r="BL134" s="709"/>
      <c r="BM134" s="709"/>
      <c r="BN134" s="710"/>
      <c r="BO134" s="709">
        <f ca="1">IFERROR(BO199/BO191,0)</f>
        <v>0</v>
      </c>
      <c r="BP134" s="709">
        <f ca="1">IFERROR(BP199/BP191,0)</f>
        <v>0</v>
      </c>
      <c r="BQ134" s="709">
        <f ca="1">IFERROR(BQ199/BQ191,0)</f>
        <v>0</v>
      </c>
      <c r="BR134" s="709">
        <f ca="1">IFERROR(BR199/BR191,0)</f>
        <v>0</v>
      </c>
      <c r="BS134" s="709">
        <f ca="1">IFERROR(BS199/BS191,0)</f>
        <v>0</v>
      </c>
      <c r="BT134" s="27"/>
    </row>
    <row r="135" spans="1:72" s="132" customFormat="1" x14ac:dyDescent="0.35">
      <c r="A135" s="173"/>
      <c r="B135" s="106"/>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484"/>
      <c r="AV135" s="78"/>
      <c r="AW135" s="78"/>
      <c r="AX135" s="78"/>
      <c r="AY135" s="78"/>
      <c r="AZ135" s="673"/>
      <c r="BA135" s="673"/>
      <c r="BB135" s="673"/>
      <c r="BC135" s="673"/>
      <c r="BD135" s="673"/>
      <c r="BE135" s="673"/>
      <c r="BF135" s="673"/>
      <c r="BG135" s="673"/>
      <c r="BH135" s="673"/>
      <c r="BI135" s="673"/>
      <c r="BJ135" s="673"/>
      <c r="BK135" s="673"/>
      <c r="BL135" s="673"/>
      <c r="BM135" s="673"/>
      <c r="BN135" s="682"/>
      <c r="BO135" s="673"/>
      <c r="BP135" s="673"/>
      <c r="BQ135" s="673"/>
      <c r="BR135" s="673"/>
      <c r="BS135" s="673"/>
      <c r="BT135" s="27"/>
    </row>
    <row r="136" spans="1:72" s="132" customFormat="1" x14ac:dyDescent="0.35">
      <c r="A136" s="399" t="s">
        <v>505</v>
      </c>
      <c r="B136" s="105"/>
      <c r="C136" s="25">
        <f t="shared" ref="C136:AH136" si="111">C201/C190</f>
        <v>3.510239895791873E-2</v>
      </c>
      <c r="D136" s="25">
        <f t="shared" si="111"/>
        <v>3.9475216960801432E-2</v>
      </c>
      <c r="E136" s="25">
        <f t="shared" si="111"/>
        <v>3.6613167346302232E-2</v>
      </c>
      <c r="F136" s="25">
        <f t="shared" si="111"/>
        <v>3.3783550891982227E-2</v>
      </c>
      <c r="G136" s="25">
        <f t="shared" si="111"/>
        <v>3.74398991093245E-2</v>
      </c>
      <c r="H136" s="25">
        <f t="shared" si="111"/>
        <v>6.3969560421402366E-2</v>
      </c>
      <c r="I136" s="25">
        <f t="shared" si="111"/>
        <v>3.8759129673244866E-2</v>
      </c>
      <c r="J136" s="25">
        <f t="shared" si="111"/>
        <v>2.3598769209553287E-2</v>
      </c>
      <c r="K136" s="25">
        <f t="shared" si="111"/>
        <v>3.1599580925343873E-2</v>
      </c>
      <c r="L136" s="25">
        <f t="shared" si="111"/>
        <v>3.1253242486078928E-2</v>
      </c>
      <c r="M136" s="25">
        <f t="shared" si="111"/>
        <v>2.887708841768764E-2</v>
      </c>
      <c r="N136" s="25">
        <f t="shared" si="111"/>
        <v>4.9343319683435513E-2</v>
      </c>
      <c r="O136" s="25">
        <f t="shared" si="111"/>
        <v>2.37987614699634E-2</v>
      </c>
      <c r="P136" s="25">
        <f t="shared" si="111"/>
        <v>2.428033005924015E-2</v>
      </c>
      <c r="Q136" s="25">
        <f t="shared" si="111"/>
        <v>2.1175567000993958E-2</v>
      </c>
      <c r="R136" s="25">
        <f t="shared" si="111"/>
        <v>1.8538851160542005E-2</v>
      </c>
      <c r="S136" s="25">
        <f t="shared" si="111"/>
        <v>1.9115118400265346E-2</v>
      </c>
      <c r="T136" s="25">
        <f t="shared" si="111"/>
        <v>1.8974173413541996E-2</v>
      </c>
      <c r="U136" s="25">
        <f t="shared" si="111"/>
        <v>2.4940121240445243E-2</v>
      </c>
      <c r="V136" s="25">
        <f t="shared" si="111"/>
        <v>1.7403757913959175E-2</v>
      </c>
      <c r="W136" s="25">
        <f t="shared" si="111"/>
        <v>1.9389383045217125E-2</v>
      </c>
      <c r="X136" s="25">
        <f t="shared" si="111"/>
        <v>2.0486991911091053E-2</v>
      </c>
      <c r="Y136" s="25">
        <f t="shared" si="111"/>
        <v>2.0724543080939965E-2</v>
      </c>
      <c r="Z136" s="25">
        <f t="shared" si="111"/>
        <v>1.569028023141911E-2</v>
      </c>
      <c r="AA136" s="25">
        <f t="shared" si="111"/>
        <v>2.2326651121704327E-2</v>
      </c>
      <c r="AB136" s="25">
        <f t="shared" si="111"/>
        <v>1.8479864402523607E-2</v>
      </c>
      <c r="AC136" s="25">
        <f t="shared" si="111"/>
        <v>1.9103501650529923E-2</v>
      </c>
      <c r="AD136" s="25">
        <f t="shared" si="111"/>
        <v>1.9667283098075021E-2</v>
      </c>
      <c r="AE136" s="25">
        <f t="shared" si="111"/>
        <v>1.9846686968392313E-2</v>
      </c>
      <c r="AF136" s="25">
        <f t="shared" si="111"/>
        <v>2.0919478643728211E-2</v>
      </c>
      <c r="AG136" s="25">
        <f t="shared" si="111"/>
        <v>2.2356253451239344E-2</v>
      </c>
      <c r="AH136" s="25">
        <f t="shared" si="111"/>
        <v>2.2451855680453318E-2</v>
      </c>
      <c r="AI136" s="25">
        <f t="shared" ref="AI136:AX136" si="112">AI201/AI190</f>
        <v>1.7319926676730647E-2</v>
      </c>
      <c r="AJ136" s="25">
        <f t="shared" si="112"/>
        <v>2.7215568464289044E-2</v>
      </c>
      <c r="AK136" s="25">
        <f t="shared" si="112"/>
        <v>2.4993306047507921E-2</v>
      </c>
      <c r="AL136" s="25">
        <f t="shared" si="112"/>
        <v>2.9362783326205642E-2</v>
      </c>
      <c r="AM136" s="25">
        <f t="shared" si="112"/>
        <v>2.3071964340147813E-2</v>
      </c>
      <c r="AN136" s="25">
        <f t="shared" si="112"/>
        <v>2.6778541026160722E-2</v>
      </c>
      <c r="AO136" s="25">
        <f t="shared" si="112"/>
        <v>2.4582544899246425E-2</v>
      </c>
      <c r="AP136" s="25">
        <f t="shared" si="112"/>
        <v>2.4118485713218726E-2</v>
      </c>
      <c r="AQ136" s="25">
        <f t="shared" si="112"/>
        <v>2.8135952016935206E-2</v>
      </c>
      <c r="AR136" s="25">
        <f t="shared" si="112"/>
        <v>2.4832309923980493E-2</v>
      </c>
      <c r="AS136" s="25">
        <f t="shared" si="112"/>
        <v>2.3734594415289498E-2</v>
      </c>
      <c r="AT136" s="25">
        <f t="shared" si="112"/>
        <v>2.3475197987958357E-2</v>
      </c>
      <c r="AU136" s="481">
        <f t="shared" si="112"/>
        <v>2.1662664703518051E-2</v>
      </c>
      <c r="AV136" s="61">
        <f t="shared" si="112"/>
        <v>2.4294375301659576E-2</v>
      </c>
      <c r="AW136" s="61">
        <f t="shared" si="112"/>
        <v>1.9761482898097118E-2</v>
      </c>
      <c r="AX136" s="61">
        <f t="shared" si="112"/>
        <v>1.619412441331864E-2</v>
      </c>
      <c r="AY136" s="61"/>
      <c r="AZ136" s="683">
        <f t="shared" ref="AZ136:BS136" si="113">AZ201/AZ190</f>
        <v>4.669284127602806E-2</v>
      </c>
      <c r="BA136" s="683">
        <f t="shared" si="113"/>
        <v>4.1514292402528151E-2</v>
      </c>
      <c r="BB136" s="683">
        <f t="shared" si="113"/>
        <v>3.6050486760050071E-2</v>
      </c>
      <c r="BC136" s="683">
        <f t="shared" si="113"/>
        <v>3.8442590205912702E-2</v>
      </c>
      <c r="BD136" s="683">
        <f t="shared" si="113"/>
        <v>3.6237061139798632E-2</v>
      </c>
      <c r="BE136" s="683">
        <f t="shared" si="113"/>
        <v>4.0744796656636433E-2</v>
      </c>
      <c r="BF136" s="683">
        <f t="shared" si="113"/>
        <v>3.5222199022665969E-2</v>
      </c>
      <c r="BG136" s="683">
        <f t="shared" si="113"/>
        <v>2.1914747335854235E-2</v>
      </c>
      <c r="BH136" s="683">
        <f t="shared" si="113"/>
        <v>2.0123373838938731E-2</v>
      </c>
      <c r="BI136" s="683">
        <f t="shared" si="113"/>
        <v>1.90251205687051E-2</v>
      </c>
      <c r="BJ136" s="683">
        <f t="shared" si="113"/>
        <v>1.9886744008380003E-2</v>
      </c>
      <c r="BK136" s="683">
        <f t="shared" si="113"/>
        <v>2.1405408521616306E-2</v>
      </c>
      <c r="BL136" s="683">
        <f t="shared" si="113"/>
        <v>2.4815195606340615E-2</v>
      </c>
      <c r="BM136" s="683">
        <f t="shared" si="113"/>
        <v>2.4632025546255161E-2</v>
      </c>
      <c r="BN136" s="746">
        <f t="shared" si="113"/>
        <v>2.4958663472224796E-2</v>
      </c>
      <c r="BO136" s="676">
        <f t="shared" si="113"/>
        <v>2.0430924359056163E-2</v>
      </c>
      <c r="BP136" s="676" t="e">
        <f t="shared" si="113"/>
        <v>#REF!</v>
      </c>
      <c r="BQ136" s="676" t="e">
        <f t="shared" si="113"/>
        <v>#REF!</v>
      </c>
      <c r="BR136" s="676" t="e">
        <f t="shared" si="113"/>
        <v>#REF!</v>
      </c>
      <c r="BS136" s="676" t="e">
        <f t="shared" si="113"/>
        <v>#REF!</v>
      </c>
      <c r="BT136" s="27"/>
    </row>
    <row r="137" spans="1:72" s="132" customFormat="1" x14ac:dyDescent="0.35">
      <c r="A137" s="399" t="s">
        <v>506</v>
      </c>
      <c r="B137" s="105"/>
      <c r="C137" s="25">
        <f t="shared" ref="C137:AH137" si="114">C202/C190</f>
        <v>3.5731085139486918E-2</v>
      </c>
      <c r="D137" s="25">
        <f t="shared" si="114"/>
        <v>3.9315044557050496E-2</v>
      </c>
      <c r="E137" s="25">
        <f t="shared" si="114"/>
        <v>3.8071822722915115E-2</v>
      </c>
      <c r="F137" s="25">
        <f t="shared" si="114"/>
        <v>5.2686779557529533E-2</v>
      </c>
      <c r="G137" s="25">
        <f t="shared" si="114"/>
        <v>3.6783058774073195E-2</v>
      </c>
      <c r="H137" s="25">
        <f t="shared" si="114"/>
        <v>9.0211192440123447E-2</v>
      </c>
      <c r="I137" s="25">
        <f t="shared" si="114"/>
        <v>3.783659691695504E-2</v>
      </c>
      <c r="J137" s="25">
        <f t="shared" si="114"/>
        <v>4.8697241064271708E-2</v>
      </c>
      <c r="K137" s="25">
        <f t="shared" si="114"/>
        <v>3.9710703301902739E-2</v>
      </c>
      <c r="L137" s="25">
        <f t="shared" si="114"/>
        <v>4.4962473627779893E-2</v>
      </c>
      <c r="M137" s="25">
        <f t="shared" si="114"/>
        <v>4.3740776623620838E-2</v>
      </c>
      <c r="N137" s="25">
        <f t="shared" si="114"/>
        <v>8.4445481742377593E-2</v>
      </c>
      <c r="O137" s="25">
        <f t="shared" si="114"/>
        <v>5.1078063553767566E-2</v>
      </c>
      <c r="P137" s="25">
        <f t="shared" si="114"/>
        <v>5.4594824985273765E-2</v>
      </c>
      <c r="Q137" s="25">
        <f t="shared" si="114"/>
        <v>5.8281377066955818E-2</v>
      </c>
      <c r="R137" s="25">
        <f t="shared" si="114"/>
        <v>6.0997926070513596E-2</v>
      </c>
      <c r="S137" s="25">
        <f t="shared" si="114"/>
        <v>5.8043624366102518E-2</v>
      </c>
      <c r="T137" s="25">
        <f t="shared" si="114"/>
        <v>6.5584151250621919E-2</v>
      </c>
      <c r="U137" s="25">
        <f t="shared" si="114"/>
        <v>6.4709503758993064E-2</v>
      </c>
      <c r="V137" s="25">
        <f t="shared" si="114"/>
        <v>6.5814477331083893E-2</v>
      </c>
      <c r="W137" s="25">
        <f t="shared" si="114"/>
        <v>7.0808837992001217E-2</v>
      </c>
      <c r="X137" s="25">
        <f t="shared" si="114"/>
        <v>6.4913839538513249E-2</v>
      </c>
      <c r="Y137" s="25">
        <f t="shared" si="114"/>
        <v>5.840318812697539E-2</v>
      </c>
      <c r="Z137" s="25">
        <f t="shared" si="114"/>
        <v>5.8189673216842333E-2</v>
      </c>
      <c r="AA137" s="25">
        <f t="shared" si="114"/>
        <v>5.1330208424520712E-2</v>
      </c>
      <c r="AB137" s="25">
        <f t="shared" si="114"/>
        <v>5.1005995166201072E-2</v>
      </c>
      <c r="AC137" s="25">
        <f t="shared" si="114"/>
        <v>4.8173360921137831E-2</v>
      </c>
      <c r="AD137" s="25">
        <f t="shared" si="114"/>
        <v>5.1109186388570295E-2</v>
      </c>
      <c r="AE137" s="25">
        <f t="shared" si="114"/>
        <v>4.6837870107848061E-2</v>
      </c>
      <c r="AF137" s="25">
        <f t="shared" si="114"/>
        <v>4.5977814791950587E-2</v>
      </c>
      <c r="AG137" s="25">
        <f t="shared" si="114"/>
        <v>4.9250643583222502E-2</v>
      </c>
      <c r="AH137" s="25">
        <f t="shared" si="114"/>
        <v>4.9317482923128951E-2</v>
      </c>
      <c r="AI137" s="25">
        <f t="shared" ref="AI137:AX137" si="115">AI202/AI190</f>
        <v>3.1949536338149669E-2</v>
      </c>
      <c r="AJ137" s="25">
        <f t="shared" si="115"/>
        <v>3.4359090244453605E-2</v>
      </c>
      <c r="AK137" s="25">
        <f t="shared" si="115"/>
        <v>3.5188514452562193E-2</v>
      </c>
      <c r="AL137" s="25">
        <f t="shared" si="115"/>
        <v>3.3626826998062929E-2</v>
      </c>
      <c r="AM137" s="25">
        <f t="shared" si="115"/>
        <v>3.7261447282285511E-2</v>
      </c>
      <c r="AN137" s="25">
        <f t="shared" si="115"/>
        <v>3.4710029376787209E-2</v>
      </c>
      <c r="AO137" s="25">
        <f t="shared" si="115"/>
        <v>3.2651841734602415E-2</v>
      </c>
      <c r="AP137" s="25">
        <f t="shared" si="115"/>
        <v>2.9592870119570923E-2</v>
      </c>
      <c r="AQ137" s="25">
        <f t="shared" si="115"/>
        <v>3.3609314359637779E-2</v>
      </c>
      <c r="AR137" s="25">
        <f t="shared" si="115"/>
        <v>3.5073674566732473E-2</v>
      </c>
      <c r="AS137" s="25">
        <f t="shared" si="115"/>
        <v>3.3554192785635914E-2</v>
      </c>
      <c r="AT137" s="25">
        <f t="shared" si="115"/>
        <v>3.7957430262115566E-2</v>
      </c>
      <c r="AU137" s="481">
        <f t="shared" si="115"/>
        <v>3.6684083710100984E-2</v>
      </c>
      <c r="AV137" s="61">
        <f t="shared" si="115"/>
        <v>3.4390464952420541E-2</v>
      </c>
      <c r="AW137" s="61">
        <f t="shared" si="115"/>
        <v>3.3382803531671314E-2</v>
      </c>
      <c r="AX137" s="61">
        <f t="shared" si="115"/>
        <v>3.2525381887519245E-2</v>
      </c>
      <c r="AY137" s="61"/>
      <c r="AZ137" s="683">
        <f t="shared" ref="AZ137:BS137" si="116">AZ202/AZ190</f>
        <v>1.9329917324992948E-2</v>
      </c>
      <c r="BA137" s="683">
        <f t="shared" si="116"/>
        <v>2.5489635082061018E-2</v>
      </c>
      <c r="BB137" s="683">
        <f t="shared" si="116"/>
        <v>4.6130228890156465E-2</v>
      </c>
      <c r="BC137" s="683">
        <f t="shared" si="116"/>
        <v>4.3477831246726807E-2</v>
      </c>
      <c r="BD137" s="683">
        <f t="shared" si="116"/>
        <v>4.1262879913230056E-2</v>
      </c>
      <c r="BE137" s="683">
        <f t="shared" si="116"/>
        <v>5.3069263000610073E-2</v>
      </c>
      <c r="BF137" s="683">
        <f t="shared" si="116"/>
        <v>5.3148074331378241E-2</v>
      </c>
      <c r="BG137" s="683">
        <f t="shared" si="116"/>
        <v>5.6262174859631031E-2</v>
      </c>
      <c r="BH137" s="683">
        <f t="shared" si="116"/>
        <v>6.3476414122826855E-2</v>
      </c>
      <c r="BI137" s="683">
        <f t="shared" si="116"/>
        <v>6.2981212421028304E-2</v>
      </c>
      <c r="BJ137" s="683">
        <f t="shared" si="116"/>
        <v>5.0406004615299801E-2</v>
      </c>
      <c r="BK137" s="683">
        <f t="shared" si="116"/>
        <v>4.7861909268662947E-2</v>
      </c>
      <c r="BL137" s="683">
        <f t="shared" si="116"/>
        <v>3.3799682448788358E-2</v>
      </c>
      <c r="BM137" s="683">
        <f t="shared" si="116"/>
        <v>3.3419776055247451E-2</v>
      </c>
      <c r="BN137" s="746">
        <f t="shared" si="116"/>
        <v>3.5104753673481162E-2</v>
      </c>
      <c r="BO137" s="676">
        <f t="shared" si="116"/>
        <v>3.4206869083858643E-2</v>
      </c>
      <c r="BP137" s="676" t="e">
        <f t="shared" si="116"/>
        <v>#REF!</v>
      </c>
      <c r="BQ137" s="676" t="e">
        <f t="shared" si="116"/>
        <v>#REF!</v>
      </c>
      <c r="BR137" s="676" t="e">
        <f t="shared" si="116"/>
        <v>#REF!</v>
      </c>
      <c r="BS137" s="676" t="e">
        <f t="shared" si="116"/>
        <v>#REF!</v>
      </c>
      <c r="BT137" s="27"/>
    </row>
    <row r="138" spans="1:72" s="132" customFormat="1" x14ac:dyDescent="0.35">
      <c r="A138" s="399" t="s">
        <v>507</v>
      </c>
      <c r="B138" s="105"/>
      <c r="C138" s="25">
        <f t="shared" ref="C138:AH138" si="117">C203/C190</f>
        <v>1.298983247096284E-2</v>
      </c>
      <c r="D138" s="25">
        <f t="shared" si="117"/>
        <v>1.4114586366901589E-2</v>
      </c>
      <c r="E138" s="25">
        <f t="shared" si="117"/>
        <v>1.8590975601924693E-2</v>
      </c>
      <c r="F138" s="25">
        <f t="shared" si="117"/>
        <v>2.2359875324368377E-2</v>
      </c>
      <c r="G138" s="25">
        <f t="shared" si="117"/>
        <v>1.6114482891498735E-2</v>
      </c>
      <c r="H138" s="25">
        <f t="shared" si="117"/>
        <v>3.809413225318084E-2</v>
      </c>
      <c r="I138" s="25">
        <f t="shared" si="117"/>
        <v>1.6958447764239742E-2</v>
      </c>
      <c r="J138" s="25">
        <f t="shared" si="117"/>
        <v>2.8567611594252851E-2</v>
      </c>
      <c r="K138" s="25">
        <f t="shared" si="117"/>
        <v>1.762901754030214E-2</v>
      </c>
      <c r="L138" s="25">
        <f t="shared" si="117"/>
        <v>2.0734617646041571E-2</v>
      </c>
      <c r="M138" s="25">
        <f t="shared" si="117"/>
        <v>1.8403829566312247E-2</v>
      </c>
      <c r="N138" s="25">
        <f t="shared" si="117"/>
        <v>3.3218051813031745E-2</v>
      </c>
      <c r="O138" s="25">
        <f t="shared" si="117"/>
        <v>2.0734077656737331E-2</v>
      </c>
      <c r="P138" s="25">
        <f t="shared" si="117"/>
        <v>2.3724803769916338E-2</v>
      </c>
      <c r="Q138" s="25">
        <f t="shared" si="117"/>
        <v>1.9056654920032529E-2</v>
      </c>
      <c r="R138" s="25">
        <f t="shared" si="117"/>
        <v>2.1945698290702559E-2</v>
      </c>
      <c r="S138" s="25">
        <f t="shared" si="117"/>
        <v>2.0485471637179342E-2</v>
      </c>
      <c r="T138" s="25">
        <f t="shared" si="117"/>
        <v>2.0796960513817901E-2</v>
      </c>
      <c r="U138" s="25">
        <f t="shared" si="117"/>
        <v>2.3659412311881838E-2</v>
      </c>
      <c r="V138" s="25">
        <f t="shared" si="117"/>
        <v>3.7268606494313072E-2</v>
      </c>
      <c r="W138" s="25">
        <f t="shared" si="117"/>
        <v>1.3458050134405666E-2</v>
      </c>
      <c r="X138" s="25">
        <f t="shared" si="117"/>
        <v>3.3225757443223404E-2</v>
      </c>
      <c r="Y138" s="25">
        <f t="shared" si="117"/>
        <v>1.956936237460492E-2</v>
      </c>
      <c r="Z138" s="25">
        <f t="shared" si="117"/>
        <v>2.4967137486708476E-2</v>
      </c>
      <c r="AA138" s="25">
        <f t="shared" si="117"/>
        <v>1.601184175971096E-2</v>
      </c>
      <c r="AB138" s="25">
        <f t="shared" si="117"/>
        <v>1.6243447691390186E-2</v>
      </c>
      <c r="AC138" s="25">
        <f t="shared" si="117"/>
        <v>1.5597112757253648E-2</v>
      </c>
      <c r="AD138" s="25">
        <f t="shared" si="117"/>
        <v>1.7798481549973853E-2</v>
      </c>
      <c r="AE138" s="25">
        <f t="shared" si="117"/>
        <v>2.1476269927388277E-2</v>
      </c>
      <c r="AF138" s="25">
        <f t="shared" si="117"/>
        <v>2.3982854413940102E-2</v>
      </c>
      <c r="AG138" s="25">
        <f t="shared" si="117"/>
        <v>2.3666752218514976E-2</v>
      </c>
      <c r="AH138" s="25">
        <f t="shared" si="117"/>
        <v>2.1656112534441913E-2</v>
      </c>
      <c r="AI138" s="25">
        <f t="shared" ref="AI138:AX138" si="118">AI203/AI190</f>
        <v>2.3972935087340955E-2</v>
      </c>
      <c r="AJ138" s="25">
        <f t="shared" si="118"/>
        <v>2.4123675710164959E-2</v>
      </c>
      <c r="AK138" s="25">
        <f t="shared" si="118"/>
        <v>3.2778691555419563E-2</v>
      </c>
      <c r="AL138" s="25">
        <f t="shared" si="118"/>
        <v>2.1413297778672225E-2</v>
      </c>
      <c r="AM138" s="25">
        <f t="shared" si="118"/>
        <v>2.0703302634011784E-2</v>
      </c>
      <c r="AN138" s="25">
        <f t="shared" si="118"/>
        <v>1.4700603408488752E-3</v>
      </c>
      <c r="AO138" s="25">
        <f t="shared" si="118"/>
        <v>1.3221980356727893E-2</v>
      </c>
      <c r="AP138" s="25">
        <f t="shared" si="118"/>
        <v>9.0199929263572298E-3</v>
      </c>
      <c r="AQ138" s="25">
        <f t="shared" si="118"/>
        <v>1.29601317182171E-2</v>
      </c>
      <c r="AR138" s="25">
        <f t="shared" si="118"/>
        <v>1.0777972886014377E-2</v>
      </c>
      <c r="AS138" s="25">
        <f t="shared" si="118"/>
        <v>1.008964795740446E-2</v>
      </c>
      <c r="AT138" s="25">
        <f t="shared" si="118"/>
        <v>1.0597966034387543E-2</v>
      </c>
      <c r="AU138" s="481">
        <f t="shared" si="118"/>
        <v>1.7547549778104507E-2</v>
      </c>
      <c r="AV138" s="61">
        <f t="shared" si="118"/>
        <v>1.4019591672775285E-2</v>
      </c>
      <c r="AW138" s="61">
        <f t="shared" si="118"/>
        <v>1.5109640103351163E-2</v>
      </c>
      <c r="AX138" s="61">
        <f t="shared" si="118"/>
        <v>1.4551037131806841E-2</v>
      </c>
      <c r="AY138" s="61"/>
      <c r="AZ138" s="683">
        <f t="shared" ref="AZ138:BS138" si="119">AZ203/AZ190</f>
        <v>8.8410605470049721E-3</v>
      </c>
      <c r="BA138" s="683">
        <f t="shared" si="119"/>
        <v>1.5434234140505111E-2</v>
      </c>
      <c r="BB138" s="683">
        <f t="shared" si="119"/>
        <v>1.8119035131710415E-2</v>
      </c>
      <c r="BC138" s="683">
        <f t="shared" si="119"/>
        <v>1.4210757375350611E-2</v>
      </c>
      <c r="BD138" s="683">
        <f t="shared" si="119"/>
        <v>1.6946075310650538E-2</v>
      </c>
      <c r="BE138" s="683">
        <f t="shared" si="119"/>
        <v>2.482510524135096E-2</v>
      </c>
      <c r="BF138" s="683">
        <f t="shared" si="119"/>
        <v>2.2460334031429073E-2</v>
      </c>
      <c r="BG138" s="683">
        <f t="shared" si="119"/>
        <v>2.1331499942706542E-2</v>
      </c>
      <c r="BH138" s="683">
        <f t="shared" si="119"/>
        <v>2.5433333445880165E-2</v>
      </c>
      <c r="BI138" s="683">
        <f t="shared" si="119"/>
        <v>2.2683043234749938E-2</v>
      </c>
      <c r="BJ138" s="683">
        <f t="shared" si="119"/>
        <v>1.6417393221967565E-2</v>
      </c>
      <c r="BK138" s="683">
        <f t="shared" si="119"/>
        <v>2.2684275508880487E-2</v>
      </c>
      <c r="BL138" s="683">
        <f t="shared" si="119"/>
        <v>2.5594757802129154E-2</v>
      </c>
      <c r="BM138" s="683">
        <f t="shared" si="119"/>
        <v>1.1009885774658409E-2</v>
      </c>
      <c r="BN138" s="746">
        <f t="shared" si="119"/>
        <v>1.1059358056513756E-2</v>
      </c>
      <c r="BO138" s="676">
        <f t="shared" si="119"/>
        <v>1.5279046104639945E-2</v>
      </c>
      <c r="BP138" s="676" t="e">
        <f t="shared" si="119"/>
        <v>#REF!</v>
      </c>
      <c r="BQ138" s="676" t="e">
        <f t="shared" si="119"/>
        <v>#REF!</v>
      </c>
      <c r="BR138" s="676" t="e">
        <f t="shared" si="119"/>
        <v>#REF!</v>
      </c>
      <c r="BS138" s="676" t="e">
        <f t="shared" si="119"/>
        <v>#REF!</v>
      </c>
      <c r="BT138" s="27"/>
    </row>
    <row r="139" spans="1:72" s="19" customFormat="1" x14ac:dyDescent="0.35">
      <c r="A139" s="43" t="s">
        <v>36</v>
      </c>
      <c r="B139" s="109"/>
      <c r="C139" s="24">
        <f t="shared" ref="C139:AH139" si="120">C204/C190</f>
        <v>0.11000651300792418</v>
      </c>
      <c r="D139" s="24">
        <f t="shared" si="120"/>
        <v>0.15776981769468224</v>
      </c>
      <c r="E139" s="24">
        <f t="shared" si="120"/>
        <v>0.1634519675793201</v>
      </c>
      <c r="F139" s="24">
        <f t="shared" si="120"/>
        <v>9.3467331734675224E-2</v>
      </c>
      <c r="G139" s="24">
        <f t="shared" si="120"/>
        <v>3.7159647232950739E-2</v>
      </c>
      <c r="H139" s="24">
        <f t="shared" si="120"/>
        <v>0.11439851017555461</v>
      </c>
      <c r="I139" s="24">
        <f t="shared" si="120"/>
        <v>0.19301765991276323</v>
      </c>
      <c r="J139" s="24">
        <f t="shared" si="120"/>
        <v>0.15524077122639454</v>
      </c>
      <c r="K139" s="24">
        <f t="shared" si="120"/>
        <v>1.5723748690391569E-2</v>
      </c>
      <c r="L139" s="24">
        <f t="shared" si="120"/>
        <v>0.16472693943900668</v>
      </c>
      <c r="M139" s="24">
        <f t="shared" si="120"/>
        <v>0.18474959427363732</v>
      </c>
      <c r="N139" s="24">
        <f t="shared" si="120"/>
        <v>6.4543506397064021E-2</v>
      </c>
      <c r="O139" s="24">
        <f t="shared" si="120"/>
        <v>-1.7588030556434424E-2</v>
      </c>
      <c r="P139" s="24">
        <f t="shared" si="120"/>
        <v>0.14940304868996357</v>
      </c>
      <c r="Q139" s="24">
        <f t="shared" si="120"/>
        <v>0.1659031354477275</v>
      </c>
      <c r="R139" s="24">
        <f t="shared" si="120"/>
        <v>8.1836624962158613E-2</v>
      </c>
      <c r="S139" s="24">
        <f t="shared" si="120"/>
        <v>-2.1772905410713118E-2</v>
      </c>
      <c r="T139" s="24">
        <f t="shared" si="120"/>
        <v>0.16743407662038087</v>
      </c>
      <c r="U139" s="24">
        <f t="shared" si="120"/>
        <v>0.14700291642138461</v>
      </c>
      <c r="V139" s="24">
        <f t="shared" si="120"/>
        <v>0.10505751814532939</v>
      </c>
      <c r="W139" s="24">
        <f t="shared" si="120"/>
        <v>1.2562012369692127E-2</v>
      </c>
      <c r="X139" s="24">
        <f t="shared" si="120"/>
        <v>0.14853759708302064</v>
      </c>
      <c r="Y139" s="24">
        <f t="shared" si="120"/>
        <v>0.16379947093582525</v>
      </c>
      <c r="Z139" s="24">
        <f t="shared" si="120"/>
        <v>0.115223925584199</v>
      </c>
      <c r="AA139" s="24">
        <f t="shared" si="120"/>
        <v>1.893646991413123E-2</v>
      </c>
      <c r="AB139" s="24">
        <f t="shared" si="120"/>
        <v>0.20010044257509652</v>
      </c>
      <c r="AC139" s="24">
        <f t="shared" si="120"/>
        <v>0.15914977966610341</v>
      </c>
      <c r="AD139" s="24">
        <f t="shared" si="120"/>
        <v>8.1236296105557937E-2</v>
      </c>
      <c r="AE139" s="24">
        <f t="shared" si="120"/>
        <v>-8.7196300574438456E-3</v>
      </c>
      <c r="AF139" s="24">
        <f t="shared" si="120"/>
        <v>0.18455965429280288</v>
      </c>
      <c r="AG139" s="24">
        <f t="shared" si="120"/>
        <v>0.1279894537903358</v>
      </c>
      <c r="AH139" s="24">
        <f t="shared" si="120"/>
        <v>9.7950775477725266E-2</v>
      </c>
      <c r="AI139" s="24">
        <f t="shared" ref="AI139:AX139" si="121">AI204/AI190</f>
        <v>8.1790489540651268E-2</v>
      </c>
      <c r="AJ139" s="24">
        <f t="shared" si="121"/>
        <v>0.16380119368860402</v>
      </c>
      <c r="AK139" s="24">
        <f t="shared" si="121"/>
        <v>0.15849494447207027</v>
      </c>
      <c r="AL139" s="24">
        <f t="shared" si="121"/>
        <v>0.11679203038917273</v>
      </c>
      <c r="AM139" s="24">
        <f t="shared" si="121"/>
        <v>4.2900761069995443E-2</v>
      </c>
      <c r="AN139" s="24">
        <f t="shared" si="121"/>
        <v>0.20047276359134283</v>
      </c>
      <c r="AO139" s="24">
        <f t="shared" si="121"/>
        <v>0.20091671764811889</v>
      </c>
      <c r="AP139" s="24">
        <f t="shared" si="121"/>
        <v>0.15497428664948781</v>
      </c>
      <c r="AQ139" s="24">
        <f t="shared" si="121"/>
        <v>-5.8050099964718173E-3</v>
      </c>
      <c r="AR139" s="24">
        <f t="shared" si="121"/>
        <v>0.20839595580616666</v>
      </c>
      <c r="AS139" s="24">
        <f t="shared" si="121"/>
        <v>0.2108109142560666</v>
      </c>
      <c r="AT139" s="24">
        <f t="shared" si="121"/>
        <v>0.1730091067221797</v>
      </c>
      <c r="AU139" s="483">
        <f t="shared" si="121"/>
        <v>6.5260807903686241E-2</v>
      </c>
      <c r="AV139" s="77">
        <f t="shared" si="121"/>
        <v>0.2086848402540801</v>
      </c>
      <c r="AW139" s="77">
        <f t="shared" si="121"/>
        <v>0.21114428642976846</v>
      </c>
      <c r="AX139" s="77">
        <f t="shared" si="121"/>
        <v>0.16871950630083785</v>
      </c>
      <c r="AY139" s="77"/>
      <c r="AZ139" s="680">
        <f t="shared" ref="AZ139:BS139" si="122">AZ204/AZ190</f>
        <v>0.1368114509162697</v>
      </c>
      <c r="BA139" s="680">
        <f t="shared" si="122"/>
        <v>0.15925299763310541</v>
      </c>
      <c r="BB139" s="680">
        <f t="shared" si="122"/>
        <v>0.12852915392183506</v>
      </c>
      <c r="BC139" s="680">
        <f t="shared" si="122"/>
        <v>0.12282910812569613</v>
      </c>
      <c r="BD139" s="680">
        <f t="shared" si="122"/>
        <v>0.13138454646200279</v>
      </c>
      <c r="BE139" s="680">
        <f t="shared" si="122"/>
        <v>0.1256338677596614</v>
      </c>
      <c r="BF139" s="680">
        <f t="shared" si="122"/>
        <v>0.10780201076881223</v>
      </c>
      <c r="BG139" s="680">
        <f t="shared" si="122"/>
        <v>9.4120545433711511E-2</v>
      </c>
      <c r="BH139" s="680">
        <f t="shared" si="122"/>
        <v>9.837606173869097E-2</v>
      </c>
      <c r="BI139" s="680">
        <f t="shared" si="122"/>
        <v>0.10984119581490935</v>
      </c>
      <c r="BJ139" s="680">
        <f t="shared" si="122"/>
        <v>0.11507336436452988</v>
      </c>
      <c r="BK139" s="680">
        <f t="shared" si="122"/>
        <v>0.10045303214462448</v>
      </c>
      <c r="BL139" s="680">
        <f t="shared" si="122"/>
        <v>0.13049077279471091</v>
      </c>
      <c r="BM139" s="680">
        <f t="shared" si="122"/>
        <v>0.15091428889892838</v>
      </c>
      <c r="BN139" s="681">
        <f t="shared" si="122"/>
        <v>0.15013786099388357</v>
      </c>
      <c r="BO139" s="679">
        <f t="shared" si="122"/>
        <v>0.16452264227718053</v>
      </c>
      <c r="BP139" s="679" t="e">
        <f t="shared" si="122"/>
        <v>#REF!</v>
      </c>
      <c r="BQ139" s="679" t="e">
        <f t="shared" si="122"/>
        <v>#REF!</v>
      </c>
      <c r="BR139" s="679" t="e">
        <f t="shared" si="122"/>
        <v>#REF!</v>
      </c>
      <c r="BS139" s="679" t="e">
        <f t="shared" si="122"/>
        <v>#REF!</v>
      </c>
      <c r="BT139" s="27"/>
    </row>
    <row r="140" spans="1:72" s="19" customFormat="1" x14ac:dyDescent="0.35">
      <c r="A140" s="44" t="s">
        <v>611</v>
      </c>
      <c r="B140" s="106"/>
      <c r="C140" s="26">
        <f t="shared" ref="C140:AH140" si="123">C205/C190</f>
        <v>0.12299634547888701</v>
      </c>
      <c r="D140" s="26">
        <f t="shared" si="123"/>
        <v>0.17188440406158381</v>
      </c>
      <c r="E140" s="26">
        <f t="shared" si="123"/>
        <v>0.18204294318124478</v>
      </c>
      <c r="F140" s="26">
        <f t="shared" si="123"/>
        <v>0.11582720705904359</v>
      </c>
      <c r="G140" s="26">
        <f t="shared" si="123"/>
        <v>5.3274130124449474E-2</v>
      </c>
      <c r="H140" s="26">
        <f t="shared" si="123"/>
        <v>0.15249264242873545</v>
      </c>
      <c r="I140" s="26">
        <f t="shared" si="123"/>
        <v>0.20997610767700295</v>
      </c>
      <c r="J140" s="26">
        <f t="shared" si="123"/>
        <v>0.15621040655732032</v>
      </c>
      <c r="K140" s="26">
        <f t="shared" si="123"/>
        <v>3.3352766230693713E-2</v>
      </c>
      <c r="L140" s="26">
        <f t="shared" si="123"/>
        <v>0.18546155708504822</v>
      </c>
      <c r="M140" s="26">
        <f t="shared" si="123"/>
        <v>0.20315342383994958</v>
      </c>
      <c r="N140" s="26">
        <f t="shared" si="123"/>
        <v>9.7761558210095773E-2</v>
      </c>
      <c r="O140" s="26">
        <f t="shared" si="123"/>
        <v>3.1460471003029074E-3</v>
      </c>
      <c r="P140" s="26">
        <f t="shared" si="123"/>
        <v>0.17312785245987988</v>
      </c>
      <c r="Q140" s="26">
        <f t="shared" si="123"/>
        <v>0.18495979036776003</v>
      </c>
      <c r="R140" s="26">
        <f t="shared" si="123"/>
        <v>0.10378232325286117</v>
      </c>
      <c r="S140" s="26">
        <f t="shared" si="123"/>
        <v>-1.2874337735337828E-3</v>
      </c>
      <c r="T140" s="26">
        <f t="shared" si="123"/>
        <v>0.18823103713419878</v>
      </c>
      <c r="U140" s="26">
        <f t="shared" si="123"/>
        <v>0.17066232873326645</v>
      </c>
      <c r="V140" s="26">
        <f t="shared" si="123"/>
        <v>0.14232612463964245</v>
      </c>
      <c r="W140" s="26">
        <f t="shared" si="123"/>
        <v>2.6020062504097795E-2</v>
      </c>
      <c r="X140" s="26">
        <f t="shared" si="123"/>
        <v>0.18176335452624404</v>
      </c>
      <c r="Y140" s="26">
        <f t="shared" si="123"/>
        <v>0.18336883331043019</v>
      </c>
      <c r="Z140" s="26">
        <f t="shared" si="123"/>
        <v>0.14019106307090748</v>
      </c>
      <c r="AA140" s="26">
        <f t="shared" si="123"/>
        <v>3.4948311673842193E-2</v>
      </c>
      <c r="AB140" s="26">
        <f t="shared" si="123"/>
        <v>0.2163438902664867</v>
      </c>
      <c r="AC140" s="26">
        <f t="shared" si="123"/>
        <v>0.17474689242335706</v>
      </c>
      <c r="AD140" s="26">
        <f t="shared" si="123"/>
        <v>9.9034777655531786E-2</v>
      </c>
      <c r="AE140" s="26">
        <f t="shared" si="123"/>
        <v>1.2756639869944438E-2</v>
      </c>
      <c r="AF140" s="26">
        <f t="shared" si="123"/>
        <v>0.20854250870674296</v>
      </c>
      <c r="AG140" s="26">
        <f t="shared" si="123"/>
        <v>0.15165620600885077</v>
      </c>
      <c r="AH140" s="26">
        <f t="shared" si="123"/>
        <v>0.11960688801216719</v>
      </c>
      <c r="AI140" s="26">
        <f t="shared" ref="AI140:AX140" si="124">AI205/AI190</f>
        <v>0.10576342462799222</v>
      </c>
      <c r="AJ140" s="26">
        <f t="shared" si="124"/>
        <v>0.18792486939876898</v>
      </c>
      <c r="AK140" s="26">
        <f t="shared" si="124"/>
        <v>0.19127363602748981</v>
      </c>
      <c r="AL140" s="26">
        <f t="shared" si="124"/>
        <v>0.13820532816784495</v>
      </c>
      <c r="AM140" s="26">
        <f t="shared" si="124"/>
        <v>6.3604063704007216E-2</v>
      </c>
      <c r="AN140" s="26">
        <f t="shared" si="124"/>
        <v>0.20194282393219171</v>
      </c>
      <c r="AO140" s="26">
        <f t="shared" si="124"/>
        <v>0.21413869800484678</v>
      </c>
      <c r="AP140" s="26">
        <f t="shared" si="124"/>
        <v>0.16399427957584506</v>
      </c>
      <c r="AQ140" s="26">
        <f t="shared" si="124"/>
        <v>7.1551217217452785E-3</v>
      </c>
      <c r="AR140" s="26">
        <f t="shared" si="124"/>
        <v>0.21917392869218108</v>
      </c>
      <c r="AS140" s="26">
        <f t="shared" si="124"/>
        <v>0.22090056221347107</v>
      </c>
      <c r="AT140" s="26">
        <f t="shared" si="124"/>
        <v>0.18360707275656724</v>
      </c>
      <c r="AU140" s="480">
        <f t="shared" si="124"/>
        <v>8.2808357681790748E-2</v>
      </c>
      <c r="AV140" s="78">
        <f t="shared" si="124"/>
        <v>0.22270443192685535</v>
      </c>
      <c r="AW140" s="78">
        <f t="shared" si="124"/>
        <v>0.22625392653311957</v>
      </c>
      <c r="AX140" s="78">
        <f t="shared" si="124"/>
        <v>0.18327054343264468</v>
      </c>
      <c r="AY140" s="78"/>
      <c r="AZ140" s="674">
        <f t="shared" ref="AZ140:BS140" si="125">AZ205/AZ190</f>
        <v>0.14565251146327465</v>
      </c>
      <c r="BA140" s="674">
        <f t="shared" si="125"/>
        <v>0.17468723177361051</v>
      </c>
      <c r="BB140" s="674">
        <f t="shared" si="125"/>
        <v>0.14664818905354549</v>
      </c>
      <c r="BC140" s="674">
        <f t="shared" si="125"/>
        <v>0.13703986550104671</v>
      </c>
      <c r="BD140" s="674">
        <f t="shared" si="125"/>
        <v>0.14833062177265333</v>
      </c>
      <c r="BE140" s="674">
        <f t="shared" si="125"/>
        <v>0.14349471971707986</v>
      </c>
      <c r="BF140" s="674">
        <f t="shared" si="125"/>
        <v>0.13026234480024129</v>
      </c>
      <c r="BG140" s="674">
        <f t="shared" si="125"/>
        <v>0.11545204537641805</v>
      </c>
      <c r="BH140" s="674">
        <f t="shared" si="125"/>
        <v>0.12380939518457114</v>
      </c>
      <c r="BI140" s="674">
        <f t="shared" si="125"/>
        <v>0.13252423904965929</v>
      </c>
      <c r="BJ140" s="674">
        <f t="shared" si="125"/>
        <v>0.13149075758649745</v>
      </c>
      <c r="BK140" s="674">
        <f t="shared" si="125"/>
        <v>0.12313730765350496</v>
      </c>
      <c r="BL140" s="674">
        <f t="shared" si="125"/>
        <v>0.15608553059684008</v>
      </c>
      <c r="BM140" s="674">
        <f t="shared" si="125"/>
        <v>0.1619241746735868</v>
      </c>
      <c r="BN140" s="675">
        <f t="shared" si="125"/>
        <v>0.16119721905039733</v>
      </c>
      <c r="BO140" s="673">
        <f t="shared" si="125"/>
        <v>0.17980168838182045</v>
      </c>
      <c r="BP140" s="673" t="e">
        <f t="shared" si="125"/>
        <v>#REF!</v>
      </c>
      <c r="BQ140" s="673" t="e">
        <f t="shared" si="125"/>
        <v>#REF!</v>
      </c>
      <c r="BR140" s="673" t="e">
        <f t="shared" si="125"/>
        <v>#REF!</v>
      </c>
      <c r="BS140" s="673" t="e">
        <f t="shared" si="125"/>
        <v>#REF!</v>
      </c>
      <c r="BT140" s="27"/>
    </row>
    <row r="141" spans="1:72" s="104" customFormat="1" x14ac:dyDescent="0.35">
      <c r="A141" s="103" t="s">
        <v>37</v>
      </c>
      <c r="B141" s="323"/>
      <c r="C141" s="322"/>
      <c r="D141" s="322"/>
      <c r="E141" s="322"/>
      <c r="F141" s="322"/>
      <c r="G141" s="322"/>
      <c r="H141" s="322"/>
      <c r="I141" s="322"/>
      <c r="J141" s="322"/>
      <c r="K141" s="322"/>
      <c r="L141" s="322"/>
      <c r="M141" s="322"/>
      <c r="N141" s="322"/>
      <c r="O141" s="322"/>
      <c r="P141" s="322"/>
      <c r="Q141" s="322"/>
      <c r="R141" s="322"/>
      <c r="S141" s="322"/>
      <c r="T141" s="322"/>
      <c r="U141" s="322"/>
      <c r="V141" s="322"/>
      <c r="W141" s="322"/>
      <c r="X141" s="322"/>
      <c r="Y141" s="322"/>
      <c r="Z141" s="322"/>
      <c r="AA141" s="322"/>
      <c r="AB141" s="322"/>
      <c r="AC141" s="322"/>
      <c r="AD141" s="322"/>
      <c r="AE141" s="322"/>
      <c r="AF141" s="322"/>
      <c r="AG141" s="322"/>
      <c r="AH141" s="322"/>
      <c r="AI141" s="322"/>
      <c r="AJ141" s="322"/>
      <c r="AK141" s="322"/>
      <c r="AL141" s="322"/>
      <c r="AM141" s="322"/>
      <c r="AN141" s="322"/>
      <c r="AO141" s="322"/>
      <c r="AP141" s="322"/>
      <c r="AQ141" s="322"/>
      <c r="AR141" s="322"/>
      <c r="AS141" s="322"/>
      <c r="AT141" s="322"/>
      <c r="AU141" s="488"/>
      <c r="AV141" s="322">
        <f t="shared" ref="AV141:AX141" ca="1" si="126">IFERROR(AV206/AV191,0)</f>
        <v>0</v>
      </c>
      <c r="AW141" s="322">
        <f t="shared" ca="1" si="126"/>
        <v>0</v>
      </c>
      <c r="AX141" s="322">
        <f t="shared" ca="1" si="126"/>
        <v>0</v>
      </c>
      <c r="AY141" s="322"/>
      <c r="AZ141" s="706"/>
      <c r="BA141" s="706"/>
      <c r="BB141" s="706"/>
      <c r="BC141" s="706"/>
      <c r="BD141" s="706"/>
      <c r="BE141" s="706"/>
      <c r="BF141" s="706"/>
      <c r="BG141" s="706"/>
      <c r="BH141" s="706"/>
      <c r="BI141" s="706"/>
      <c r="BJ141" s="706"/>
      <c r="BK141" s="706"/>
      <c r="BL141" s="706"/>
      <c r="BM141" s="706"/>
      <c r="BN141" s="707"/>
      <c r="BO141" s="706">
        <f ca="1">IFERROR(BO206/BO191,0)</f>
        <v>0</v>
      </c>
      <c r="BP141" s="706">
        <f ca="1">IFERROR(BP206/BP191,0)</f>
        <v>0</v>
      </c>
      <c r="BQ141" s="706">
        <f ca="1">IFERROR(BQ206/BQ191,0)</f>
        <v>0</v>
      </c>
      <c r="BR141" s="706">
        <f ca="1">IFERROR(BR206/BR191,0)</f>
        <v>0</v>
      </c>
      <c r="BS141" s="706">
        <f ca="1">IFERROR(BS206/BS191,0)</f>
        <v>0</v>
      </c>
      <c r="BT141" s="103"/>
    </row>
    <row r="142" spans="1:72" s="104" customFormat="1" x14ac:dyDescent="0.35">
      <c r="A142" s="322"/>
      <c r="B142" s="323"/>
      <c r="C142" s="322"/>
      <c r="D142" s="322"/>
      <c r="E142" s="322"/>
      <c r="F142" s="322"/>
      <c r="G142" s="322"/>
      <c r="H142" s="322"/>
      <c r="I142" s="322"/>
      <c r="J142" s="322"/>
      <c r="K142" s="322"/>
      <c r="L142" s="322"/>
      <c r="M142" s="322"/>
      <c r="N142" s="322"/>
      <c r="O142" s="322"/>
      <c r="P142" s="322"/>
      <c r="Q142" s="322"/>
      <c r="R142" s="322"/>
      <c r="S142" s="322"/>
      <c r="T142" s="322"/>
      <c r="U142" s="322"/>
      <c r="V142" s="322"/>
      <c r="W142" s="322"/>
      <c r="X142" s="322"/>
      <c r="Y142" s="322"/>
      <c r="Z142" s="322"/>
      <c r="AA142" s="322"/>
      <c r="AB142" s="322"/>
      <c r="AC142" s="322"/>
      <c r="AD142" s="322"/>
      <c r="AE142" s="322"/>
      <c r="AF142" s="322"/>
      <c r="AG142" s="322"/>
      <c r="AH142" s="322"/>
      <c r="AI142" s="322"/>
      <c r="AJ142" s="322"/>
      <c r="AK142" s="322"/>
      <c r="AL142" s="322"/>
      <c r="AM142" s="322"/>
      <c r="AN142" s="322"/>
      <c r="AO142" s="322"/>
      <c r="AP142" s="322"/>
      <c r="AQ142" s="322"/>
      <c r="AR142" s="322"/>
      <c r="AS142" s="322"/>
      <c r="AT142" s="322"/>
      <c r="AU142" s="488"/>
      <c r="AV142" s="322"/>
      <c r="AW142" s="322"/>
      <c r="AX142" s="322"/>
      <c r="AY142" s="322"/>
      <c r="AZ142" s="706"/>
      <c r="BA142" s="706"/>
      <c r="BB142" s="706"/>
      <c r="BC142" s="706"/>
      <c r="BD142" s="706"/>
      <c r="BE142" s="706"/>
      <c r="BF142" s="706"/>
      <c r="BG142" s="706"/>
      <c r="BH142" s="706"/>
      <c r="BI142" s="706"/>
      <c r="BJ142" s="706"/>
      <c r="BK142" s="706"/>
      <c r="BL142" s="706"/>
      <c r="BM142" s="706"/>
      <c r="BN142" s="707"/>
      <c r="BO142" s="706"/>
      <c r="BP142" s="706"/>
      <c r="BQ142" s="706"/>
      <c r="BR142" s="706"/>
      <c r="BS142" s="706"/>
      <c r="BT142" s="103"/>
    </row>
    <row r="143" spans="1:72" s="1" customFormat="1" x14ac:dyDescent="0.35">
      <c r="A143" s="527" t="s">
        <v>38</v>
      </c>
      <c r="B143" s="527"/>
      <c r="C143" s="527"/>
      <c r="D143" s="527"/>
      <c r="E143" s="527"/>
      <c r="F143" s="527"/>
      <c r="G143" s="527"/>
      <c r="H143" s="527"/>
      <c r="I143" s="527"/>
      <c r="J143" s="527"/>
      <c r="K143" s="527"/>
      <c r="L143" s="527"/>
      <c r="M143" s="527"/>
      <c r="N143" s="527"/>
      <c r="O143" s="527"/>
      <c r="P143" s="527"/>
      <c r="Q143" s="527"/>
      <c r="R143" s="527"/>
      <c r="S143" s="527"/>
      <c r="T143" s="527"/>
      <c r="U143" s="527"/>
      <c r="V143" s="527"/>
      <c r="W143" s="527"/>
      <c r="X143" s="527"/>
      <c r="Y143" s="527"/>
      <c r="Z143" s="527"/>
      <c r="AA143" s="527"/>
      <c r="AB143" s="527"/>
      <c r="AC143" s="527"/>
      <c r="AD143" s="527"/>
      <c r="AE143" s="527"/>
      <c r="AF143" s="527"/>
      <c r="AG143" s="527"/>
      <c r="AH143" s="527"/>
      <c r="AI143" s="527"/>
      <c r="AJ143" s="527"/>
      <c r="AK143" s="527"/>
      <c r="AL143" s="527"/>
      <c r="AM143" s="527"/>
      <c r="AN143" s="527"/>
      <c r="AO143" s="527"/>
      <c r="AP143" s="527"/>
      <c r="AQ143" s="527"/>
      <c r="AR143" s="527"/>
      <c r="AS143" s="527"/>
      <c r="AT143" s="527"/>
      <c r="AU143" s="547"/>
      <c r="AV143" s="527"/>
      <c r="AW143" s="527"/>
      <c r="AX143" s="527"/>
      <c r="AY143" s="527"/>
      <c r="AZ143" s="527"/>
      <c r="BA143" s="527"/>
      <c r="BB143" s="527"/>
      <c r="BC143" s="527"/>
      <c r="BD143" s="527"/>
      <c r="BE143" s="527"/>
      <c r="BF143" s="527"/>
      <c r="BG143" s="527"/>
      <c r="BH143" s="527"/>
      <c r="BI143" s="527"/>
      <c r="BJ143" s="527"/>
      <c r="BK143" s="527"/>
      <c r="BL143" s="527"/>
      <c r="BM143" s="527"/>
      <c r="BN143" s="547"/>
      <c r="BO143" s="527"/>
      <c r="BP143" s="527"/>
      <c r="BQ143" s="527"/>
      <c r="BR143" s="527"/>
      <c r="BS143" s="527"/>
      <c r="BT143" s="530"/>
    </row>
    <row r="144" spans="1:72" s="1" customFormat="1" outlineLevel="1" x14ac:dyDescent="0.35">
      <c r="A144" s="51" t="s">
        <v>39</v>
      </c>
      <c r="B144" s="307"/>
      <c r="C144" s="637">
        <v>221.096</v>
      </c>
      <c r="D144" s="637">
        <v>206.02799999999999</v>
      </c>
      <c r="E144" s="637">
        <v>218.00899999999999</v>
      </c>
      <c r="F144" s="530">
        <f>BD144-E144-D144-C144</f>
        <v>203.08699999999999</v>
      </c>
      <c r="G144" s="637">
        <v>228.36600000000001</v>
      </c>
      <c r="H144" s="637">
        <v>223.91900000000001</v>
      </c>
      <c r="I144" s="637">
        <v>235.22200000000001</v>
      </c>
      <c r="J144" s="530">
        <f>BE144-I144-H144-G144</f>
        <v>232.04600000000002</v>
      </c>
      <c r="K144" s="637">
        <v>236.71199999999999</v>
      </c>
      <c r="L144" s="637">
        <v>231.304</v>
      </c>
      <c r="M144" s="637">
        <v>244.62299999999999</v>
      </c>
      <c r="N144" s="530">
        <f>BF144-M144-L144-K144</f>
        <v>235.65500000000009</v>
      </c>
      <c r="O144" s="637">
        <v>221.23</v>
      </c>
      <c r="P144" s="637">
        <v>208.81100000000001</v>
      </c>
      <c r="Q144" s="637">
        <v>221.34</v>
      </c>
      <c r="R144" s="530">
        <f>BG144-Q144-P144-O144</f>
        <v>221.31899999999999</v>
      </c>
      <c r="S144" s="637">
        <v>229.13800000000001</v>
      </c>
      <c r="T144" s="637">
        <v>221.09</v>
      </c>
      <c r="U144" s="637">
        <v>222.53299999999999</v>
      </c>
      <c r="V144" s="530">
        <f>BH144-U144-T144-S144</f>
        <v>215.75799999999995</v>
      </c>
      <c r="W144" s="637">
        <v>228.785</v>
      </c>
      <c r="X144" s="637">
        <v>217.21100000000001</v>
      </c>
      <c r="Y144" s="637">
        <v>232.864</v>
      </c>
      <c r="Z144" s="530">
        <f>BI144-Y144-X144-W144</f>
        <v>238.874</v>
      </c>
      <c r="AA144" s="637">
        <v>251.31399999999999</v>
      </c>
      <c r="AB144" s="637">
        <v>254.87200000000001</v>
      </c>
      <c r="AC144" s="637">
        <v>253.25200000000001</v>
      </c>
      <c r="AD144" s="530">
        <f>BJ144-AC144-AB144-AA144</f>
        <v>256.31399999999996</v>
      </c>
      <c r="AE144" s="637">
        <v>257.12099999999998</v>
      </c>
      <c r="AF144" s="637">
        <v>257.55900000000003</v>
      </c>
      <c r="AG144" s="637">
        <v>257.154</v>
      </c>
      <c r="AH144" s="530">
        <f>BK144-AG144-AF144-AE144</f>
        <v>268.93100000000015</v>
      </c>
      <c r="AI144" s="637">
        <v>370.96</v>
      </c>
      <c r="AJ144" s="637">
        <v>376.14499999999998</v>
      </c>
      <c r="AK144" s="637">
        <v>392.14499999999998</v>
      </c>
      <c r="AL144" s="530">
        <f>BL144-AK144-AJ144-AI144</f>
        <v>397.51000000000005</v>
      </c>
      <c r="AM144" s="637">
        <v>400.226</v>
      </c>
      <c r="AN144" s="637">
        <v>409.50700000000001</v>
      </c>
      <c r="AO144" s="637">
        <v>421.72199999999998</v>
      </c>
      <c r="AP144" s="530">
        <f>BM144-AO144-AN144-AM144</f>
        <v>455.2109999999999</v>
      </c>
      <c r="AQ144" s="637">
        <v>425.15</v>
      </c>
      <c r="AR144" s="637">
        <v>458.435</v>
      </c>
      <c r="AS144" s="637">
        <v>470.28399999999999</v>
      </c>
      <c r="AT144" s="530">
        <f>BN144-AS144-AR144-AQ144</f>
        <v>483.48900000000015</v>
      </c>
      <c r="AU144" s="642">
        <v>480.18099999999998</v>
      </c>
      <c r="AV144" s="529"/>
      <c r="AW144" s="529"/>
      <c r="AX144" s="529"/>
      <c r="AY144" s="529"/>
      <c r="AZ144" s="727">
        <v>315.57299999999998</v>
      </c>
      <c r="BA144" s="727">
        <v>384.47</v>
      </c>
      <c r="BB144" s="727">
        <v>522.43399999999997</v>
      </c>
      <c r="BC144" s="727">
        <v>708.40700000000004</v>
      </c>
      <c r="BD144" s="727">
        <v>848.22</v>
      </c>
      <c r="BE144" s="727">
        <v>919.553</v>
      </c>
      <c r="BF144" s="727">
        <v>948.29399999999998</v>
      </c>
      <c r="BG144" s="727">
        <v>872.7</v>
      </c>
      <c r="BH144" s="727">
        <v>888.51900000000001</v>
      </c>
      <c r="BI144" s="727">
        <v>917.73400000000004</v>
      </c>
      <c r="BJ144" s="727">
        <v>1015.752</v>
      </c>
      <c r="BK144" s="727">
        <v>1040.7650000000001</v>
      </c>
      <c r="BL144" s="727">
        <v>1536.76</v>
      </c>
      <c r="BM144" s="727">
        <v>1686.6659999999999</v>
      </c>
      <c r="BN144" s="747">
        <v>1837.3579999999999</v>
      </c>
      <c r="BO144" s="726"/>
      <c r="BP144" s="726"/>
      <c r="BQ144" s="726"/>
      <c r="BR144" s="726"/>
      <c r="BS144" s="726"/>
      <c r="BT144" s="530"/>
    </row>
    <row r="145" spans="1:72" s="17" customFormat="1" outlineLevel="1" x14ac:dyDescent="0.35">
      <c r="A145" s="208" t="s">
        <v>40</v>
      </c>
      <c r="B145" s="308"/>
      <c r="C145" s="638">
        <v>118.648</v>
      </c>
      <c r="D145" s="638">
        <v>122.79900000000001</v>
      </c>
      <c r="E145" s="638">
        <v>127.759</v>
      </c>
      <c r="F145" s="533">
        <f>BD145-E145-D145-C145</f>
        <v>129.19200000000001</v>
      </c>
      <c r="G145" s="638">
        <v>132.90199999999999</v>
      </c>
      <c r="H145" s="638">
        <v>153.672</v>
      </c>
      <c r="I145" s="638">
        <v>140.59200000000001</v>
      </c>
      <c r="J145" s="533">
        <f>BE145-I145-H145-G145</f>
        <v>142.05300000000005</v>
      </c>
      <c r="K145" s="638">
        <v>146.84200000000001</v>
      </c>
      <c r="L145" s="638">
        <v>145.029</v>
      </c>
      <c r="M145" s="638">
        <v>148.98500000000001</v>
      </c>
      <c r="N145" s="533">
        <f>BF145-M145-L145-K145</f>
        <v>166.89999999999995</v>
      </c>
      <c r="O145" s="638">
        <v>139.00299999999999</v>
      </c>
      <c r="P145" s="638">
        <v>129.61600000000001</v>
      </c>
      <c r="Q145" s="638">
        <v>134.755</v>
      </c>
      <c r="R145" s="533">
        <f>BG145-Q145-P145-O145</f>
        <v>143.13600000000002</v>
      </c>
      <c r="S145" s="638">
        <v>144.09899999999999</v>
      </c>
      <c r="T145" s="638">
        <v>137.542</v>
      </c>
      <c r="U145" s="638">
        <v>136.43100000000001</v>
      </c>
      <c r="V145" s="533">
        <f>BH145-U145-T145-S145</f>
        <v>139.24399999999997</v>
      </c>
      <c r="W145" s="638">
        <v>147.36699999999999</v>
      </c>
      <c r="X145" s="638">
        <v>139.16300000000001</v>
      </c>
      <c r="Y145" s="638">
        <v>148.87799999999999</v>
      </c>
      <c r="Z145" s="533">
        <f>BI145-Y145-X145-W145</f>
        <v>157.08700000000002</v>
      </c>
      <c r="AA145" s="638">
        <v>158.98500000000001</v>
      </c>
      <c r="AB145" s="638">
        <v>160.32900000000001</v>
      </c>
      <c r="AC145" s="638">
        <v>168.26</v>
      </c>
      <c r="AD145" s="533">
        <f>BJ145-AC145-AB145-AA145</f>
        <v>175.863</v>
      </c>
      <c r="AE145" s="638">
        <v>169.358</v>
      </c>
      <c r="AF145" s="638">
        <v>167.47</v>
      </c>
      <c r="AG145" s="638">
        <v>178.96799999999999</v>
      </c>
      <c r="AH145" s="533">
        <f>BK145-AG145-AF145-AE145</f>
        <v>177.43599999999998</v>
      </c>
      <c r="AI145" s="638">
        <v>241.06899999999999</v>
      </c>
      <c r="AJ145" s="638">
        <v>246.75400000000002</v>
      </c>
      <c r="AK145" s="638">
        <v>253.12799999999999</v>
      </c>
      <c r="AL145" s="533">
        <f>BL145-AK145-AJ145-AI145</f>
        <v>260.90899999999999</v>
      </c>
      <c r="AM145" s="638">
        <v>273.82400000000001</v>
      </c>
      <c r="AN145" s="638">
        <v>261.95</v>
      </c>
      <c r="AO145" s="638">
        <v>266.88299999999998</v>
      </c>
      <c r="AP145" s="533">
        <f>BM145-AO145-AN145-AM145</f>
        <v>287.53399999999993</v>
      </c>
      <c r="AQ145" s="638">
        <v>295.50099999999998</v>
      </c>
      <c r="AR145" s="638">
        <v>288.34699999999998</v>
      </c>
      <c r="AS145" s="638">
        <v>295.03199999999998</v>
      </c>
      <c r="AT145" s="533">
        <f>BN145-AS145-AR145-AQ145</f>
        <v>311.40800000000013</v>
      </c>
      <c r="AU145" s="643">
        <v>307.29300000000001</v>
      </c>
      <c r="AV145" s="532"/>
      <c r="AW145" s="532"/>
      <c r="AX145" s="532"/>
      <c r="AY145" s="532"/>
      <c r="AZ145" s="729">
        <v>196.976</v>
      </c>
      <c r="BA145" s="729">
        <v>222.029</v>
      </c>
      <c r="BB145" s="729">
        <v>307.11099999999999</v>
      </c>
      <c r="BC145" s="729">
        <v>408.56</v>
      </c>
      <c r="BD145" s="729">
        <v>498.39800000000002</v>
      </c>
      <c r="BE145" s="729">
        <v>569.21900000000005</v>
      </c>
      <c r="BF145" s="729">
        <v>607.75599999999997</v>
      </c>
      <c r="BG145" s="729">
        <v>546.51</v>
      </c>
      <c r="BH145" s="729">
        <v>557.31600000000003</v>
      </c>
      <c r="BI145" s="729">
        <v>592.495</v>
      </c>
      <c r="BJ145" s="729">
        <v>663.43700000000001</v>
      </c>
      <c r="BK145" s="729">
        <v>693.23199999999997</v>
      </c>
      <c r="BL145" s="729">
        <v>1001.86</v>
      </c>
      <c r="BM145" s="729">
        <v>1090.191</v>
      </c>
      <c r="BN145" s="748">
        <v>1190.288</v>
      </c>
      <c r="BO145" s="156"/>
      <c r="BP145" s="156"/>
      <c r="BQ145" s="156"/>
      <c r="BR145" s="156"/>
      <c r="BS145" s="156"/>
      <c r="BT145" s="533"/>
    </row>
    <row r="146" spans="1:72" s="1" customFormat="1" outlineLevel="1" x14ac:dyDescent="0.35">
      <c r="A146" s="47" t="s">
        <v>41</v>
      </c>
      <c r="B146" s="360"/>
      <c r="C146" s="573">
        <f t="shared" ref="C146:AU146" si="127">C144-C145</f>
        <v>102.44800000000001</v>
      </c>
      <c r="D146" s="573">
        <f t="shared" si="127"/>
        <v>83.228999999999985</v>
      </c>
      <c r="E146" s="573">
        <f t="shared" si="127"/>
        <v>90.249999999999986</v>
      </c>
      <c r="F146" s="573">
        <f t="shared" si="127"/>
        <v>73.894999999999982</v>
      </c>
      <c r="G146" s="573">
        <f t="shared" si="127"/>
        <v>95.464000000000027</v>
      </c>
      <c r="H146" s="573">
        <f t="shared" si="127"/>
        <v>70.247000000000014</v>
      </c>
      <c r="I146" s="573">
        <f t="shared" si="127"/>
        <v>94.63</v>
      </c>
      <c r="J146" s="573">
        <f t="shared" si="127"/>
        <v>89.992999999999967</v>
      </c>
      <c r="K146" s="573">
        <f t="shared" si="127"/>
        <v>89.869999999999976</v>
      </c>
      <c r="L146" s="573">
        <f t="shared" si="127"/>
        <v>86.275000000000006</v>
      </c>
      <c r="M146" s="573">
        <f t="shared" si="127"/>
        <v>95.637999999999977</v>
      </c>
      <c r="N146" s="573">
        <f t="shared" si="127"/>
        <v>68.755000000000138</v>
      </c>
      <c r="O146" s="573">
        <f t="shared" si="127"/>
        <v>82.227000000000004</v>
      </c>
      <c r="P146" s="573">
        <f t="shared" si="127"/>
        <v>79.194999999999993</v>
      </c>
      <c r="Q146" s="573">
        <f t="shared" si="127"/>
        <v>86.585000000000008</v>
      </c>
      <c r="R146" s="573">
        <f t="shared" si="127"/>
        <v>78.182999999999964</v>
      </c>
      <c r="S146" s="573">
        <f t="shared" si="127"/>
        <v>85.039000000000016</v>
      </c>
      <c r="T146" s="573">
        <f t="shared" si="127"/>
        <v>83.548000000000002</v>
      </c>
      <c r="U146" s="573">
        <f t="shared" si="127"/>
        <v>86.101999999999975</v>
      </c>
      <c r="V146" s="573">
        <f t="shared" si="127"/>
        <v>76.513999999999982</v>
      </c>
      <c r="W146" s="573">
        <f t="shared" si="127"/>
        <v>81.418000000000006</v>
      </c>
      <c r="X146" s="573">
        <f t="shared" si="127"/>
        <v>78.048000000000002</v>
      </c>
      <c r="Y146" s="573">
        <f t="shared" si="127"/>
        <v>83.986000000000018</v>
      </c>
      <c r="Z146" s="573">
        <f t="shared" si="127"/>
        <v>81.786999999999978</v>
      </c>
      <c r="AA146" s="573">
        <f t="shared" si="127"/>
        <v>92.328999999999979</v>
      </c>
      <c r="AB146" s="573">
        <f t="shared" si="127"/>
        <v>94.543000000000006</v>
      </c>
      <c r="AC146" s="573">
        <f t="shared" si="127"/>
        <v>84.992000000000019</v>
      </c>
      <c r="AD146" s="573">
        <f t="shared" si="127"/>
        <v>80.450999999999965</v>
      </c>
      <c r="AE146" s="573">
        <f t="shared" si="127"/>
        <v>87.762999999999977</v>
      </c>
      <c r="AF146" s="573">
        <f t="shared" si="127"/>
        <v>90.089000000000027</v>
      </c>
      <c r="AG146" s="573">
        <f t="shared" si="127"/>
        <v>78.186000000000007</v>
      </c>
      <c r="AH146" s="573">
        <f t="shared" si="127"/>
        <v>91.495000000000175</v>
      </c>
      <c r="AI146" s="573">
        <f t="shared" si="127"/>
        <v>129.89099999999999</v>
      </c>
      <c r="AJ146" s="573">
        <f t="shared" si="127"/>
        <v>129.39099999999996</v>
      </c>
      <c r="AK146" s="573">
        <f t="shared" si="127"/>
        <v>139.017</v>
      </c>
      <c r="AL146" s="573">
        <f t="shared" si="127"/>
        <v>136.60100000000006</v>
      </c>
      <c r="AM146" s="573">
        <f t="shared" si="127"/>
        <v>126.40199999999999</v>
      </c>
      <c r="AN146" s="573">
        <f t="shared" si="127"/>
        <v>147.55700000000002</v>
      </c>
      <c r="AO146" s="573">
        <f t="shared" si="127"/>
        <v>154.839</v>
      </c>
      <c r="AP146" s="573">
        <f t="shared" si="127"/>
        <v>167.67699999999996</v>
      </c>
      <c r="AQ146" s="573">
        <f t="shared" si="127"/>
        <v>129.649</v>
      </c>
      <c r="AR146" s="573">
        <f t="shared" si="127"/>
        <v>170.08800000000002</v>
      </c>
      <c r="AS146" s="573">
        <f t="shared" si="127"/>
        <v>175.25200000000001</v>
      </c>
      <c r="AT146" s="573">
        <f t="shared" si="127"/>
        <v>172.08100000000002</v>
      </c>
      <c r="AU146" s="577">
        <f t="shared" si="127"/>
        <v>172.88799999999998</v>
      </c>
      <c r="AV146" s="572"/>
      <c r="AW146" s="572"/>
      <c r="AX146" s="572"/>
      <c r="AY146" s="572"/>
      <c r="AZ146" s="735">
        <f t="shared" ref="AZ146:BN146" si="128">AZ144-AZ145</f>
        <v>118.59699999999998</v>
      </c>
      <c r="BA146" s="735">
        <f t="shared" si="128"/>
        <v>162.44100000000003</v>
      </c>
      <c r="BB146" s="735">
        <f t="shared" si="128"/>
        <v>215.32299999999998</v>
      </c>
      <c r="BC146" s="735">
        <f t="shared" si="128"/>
        <v>299.84700000000004</v>
      </c>
      <c r="BD146" s="735">
        <f t="shared" si="128"/>
        <v>349.822</v>
      </c>
      <c r="BE146" s="735">
        <f t="shared" si="128"/>
        <v>350.33399999999995</v>
      </c>
      <c r="BF146" s="735">
        <f t="shared" si="128"/>
        <v>340.53800000000001</v>
      </c>
      <c r="BG146" s="735">
        <f t="shared" si="128"/>
        <v>326.19000000000005</v>
      </c>
      <c r="BH146" s="735">
        <f t="shared" si="128"/>
        <v>331.20299999999997</v>
      </c>
      <c r="BI146" s="735">
        <f t="shared" si="128"/>
        <v>325.23900000000003</v>
      </c>
      <c r="BJ146" s="735">
        <f t="shared" si="128"/>
        <v>352.31499999999994</v>
      </c>
      <c r="BK146" s="735">
        <f t="shared" si="128"/>
        <v>347.53300000000013</v>
      </c>
      <c r="BL146" s="735">
        <f t="shared" si="128"/>
        <v>534.9</v>
      </c>
      <c r="BM146" s="735">
        <f t="shared" si="128"/>
        <v>596.47499999999991</v>
      </c>
      <c r="BN146" s="749">
        <f t="shared" si="128"/>
        <v>647.06999999999994</v>
      </c>
      <c r="BO146" s="734"/>
      <c r="BP146" s="734"/>
      <c r="BQ146" s="734"/>
      <c r="BR146" s="734"/>
      <c r="BS146" s="734"/>
      <c r="BT146" s="530"/>
    </row>
    <row r="147" spans="1:72" s="17" customFormat="1" outlineLevel="1" x14ac:dyDescent="0.35">
      <c r="A147" s="208" t="s">
        <v>42</v>
      </c>
      <c r="B147" s="308"/>
      <c r="C147" s="638">
        <v>89.619</v>
      </c>
      <c r="D147" s="638">
        <v>61.378999999999998</v>
      </c>
      <c r="E147" s="638">
        <v>65.828000000000003</v>
      </c>
      <c r="F147" s="533">
        <f>BD147-E147-D147-C147</f>
        <v>66.205999999999989</v>
      </c>
      <c r="G147" s="638">
        <v>98.244</v>
      </c>
      <c r="H147" s="638">
        <v>75.753</v>
      </c>
      <c r="I147" s="638">
        <v>64.414000000000001</v>
      </c>
      <c r="J147" s="533">
        <f>BE147-I147-H147-G147</f>
        <v>74.847000000000008</v>
      </c>
      <c r="K147" s="638">
        <v>99.546000000000006</v>
      </c>
      <c r="L147" s="638">
        <v>62.557000000000002</v>
      </c>
      <c r="M147" s="638">
        <v>64.870999999999995</v>
      </c>
      <c r="N147" s="533">
        <f>BF147-M147-L147-K147</f>
        <v>80.756000000000014</v>
      </c>
      <c r="O147" s="638">
        <v>99.27</v>
      </c>
      <c r="P147" s="638">
        <v>61.44</v>
      </c>
      <c r="Q147" s="638">
        <v>64.888000000000005</v>
      </c>
      <c r="R147" s="533">
        <f>BG147-Q147-P147-O147</f>
        <v>76.606999999999985</v>
      </c>
      <c r="S147" s="638">
        <v>104.646</v>
      </c>
      <c r="T147" s="638">
        <v>62.351999999999997</v>
      </c>
      <c r="U147" s="638">
        <v>69.828000000000003</v>
      </c>
      <c r="V147" s="533">
        <f>BH147-U147-T147-S147</f>
        <v>68.791000000000011</v>
      </c>
      <c r="W147" s="638">
        <v>96.281999999999996</v>
      </c>
      <c r="X147" s="638">
        <v>61.957999999999998</v>
      </c>
      <c r="Y147" s="638">
        <v>62.267000000000003</v>
      </c>
      <c r="Z147" s="533">
        <f>BI147-Y147-X147-W147</f>
        <v>69.939000000000036</v>
      </c>
      <c r="AA147" s="638">
        <v>106.081</v>
      </c>
      <c r="AB147" s="638">
        <v>61.253</v>
      </c>
      <c r="AC147" s="638">
        <v>61.725000000000001</v>
      </c>
      <c r="AD147" s="533">
        <f>BJ147-AC147-AB147-AA147</f>
        <v>77.77</v>
      </c>
      <c r="AE147" s="638">
        <v>107.151</v>
      </c>
      <c r="AF147" s="638">
        <v>59.783999999999999</v>
      </c>
      <c r="AG147" s="638">
        <v>63.686999999999998</v>
      </c>
      <c r="AH147" s="533">
        <f>BK147-AG147-AF147-AE147</f>
        <v>84.454000000000022</v>
      </c>
      <c r="AI147" s="638">
        <v>117.827</v>
      </c>
      <c r="AJ147" s="638">
        <v>90.939000000000007</v>
      </c>
      <c r="AK147" s="638">
        <v>100.464</v>
      </c>
      <c r="AL147" s="533">
        <f>BL147-AK147-AJ147-AI147</f>
        <v>115.214</v>
      </c>
      <c r="AM147" s="638">
        <v>133.37899999999999</v>
      </c>
      <c r="AN147" s="638">
        <v>90.641999999999996</v>
      </c>
      <c r="AO147" s="638">
        <v>94.245000000000005</v>
      </c>
      <c r="AP147" s="533">
        <f>BM147-AO147-AN147-AM147</f>
        <v>121.58099999999999</v>
      </c>
      <c r="AQ147" s="638">
        <v>158.36799999999999</v>
      </c>
      <c r="AR147" s="638">
        <v>102.015</v>
      </c>
      <c r="AS147" s="638">
        <v>103.053</v>
      </c>
      <c r="AT147" s="533">
        <f>BN147-AS147-AR147-AQ147</f>
        <v>118.13500000000005</v>
      </c>
      <c r="AU147" s="643">
        <v>169.56800000000001</v>
      </c>
      <c r="AV147" s="532"/>
      <c r="AW147" s="532"/>
      <c r="AX147" s="532"/>
      <c r="AY147" s="532"/>
      <c r="AZ147" s="729">
        <v>86.683000000000007</v>
      </c>
      <c r="BA147" s="729">
        <v>117.398</v>
      </c>
      <c r="BB147" s="729">
        <v>174.762</v>
      </c>
      <c r="BC147" s="729">
        <v>245.274</v>
      </c>
      <c r="BD147" s="729">
        <v>283.03199999999998</v>
      </c>
      <c r="BE147" s="729">
        <v>313.25799999999998</v>
      </c>
      <c r="BF147" s="729">
        <v>307.73</v>
      </c>
      <c r="BG147" s="729">
        <v>302.20499999999998</v>
      </c>
      <c r="BH147" s="729">
        <v>305.61700000000002</v>
      </c>
      <c r="BI147" s="729">
        <v>290.44600000000003</v>
      </c>
      <c r="BJ147" s="729">
        <v>306.82900000000001</v>
      </c>
      <c r="BK147" s="729">
        <v>315.07600000000002</v>
      </c>
      <c r="BL147" s="729">
        <v>424.44400000000002</v>
      </c>
      <c r="BM147" s="729">
        <v>439.84699999999998</v>
      </c>
      <c r="BN147" s="748">
        <v>481.57100000000003</v>
      </c>
      <c r="BO147" s="156"/>
      <c r="BP147" s="156"/>
      <c r="BQ147" s="156"/>
      <c r="BR147" s="156"/>
      <c r="BS147" s="156"/>
      <c r="BT147" s="533"/>
    </row>
    <row r="148" spans="1:72" s="17" customFormat="1" outlineLevel="1" x14ac:dyDescent="0.35">
      <c r="A148" s="208" t="s">
        <v>43</v>
      </c>
      <c r="B148" s="308"/>
      <c r="C148" s="638">
        <v>4.1680000000000001</v>
      </c>
      <c r="D148" s="638">
        <v>5.5780000000000003</v>
      </c>
      <c r="E148" s="638">
        <v>5.07</v>
      </c>
      <c r="F148" s="533">
        <f>BD148-E148-D148-C148</f>
        <v>6.2679999999999998</v>
      </c>
      <c r="G148" s="638">
        <v>5.6840000000000002</v>
      </c>
      <c r="H148" s="638">
        <v>3.4020000000000001</v>
      </c>
      <c r="I148" s="638">
        <v>2.831</v>
      </c>
      <c r="J148" s="533">
        <f>BE148-I148-H148-G148</f>
        <v>2.3030000000000008</v>
      </c>
      <c r="K148" s="638">
        <v>3.4820000000000002</v>
      </c>
      <c r="L148" s="638">
        <v>3.2450000000000001</v>
      </c>
      <c r="M148" s="638">
        <v>3.3370000000000002</v>
      </c>
      <c r="N148" s="533">
        <f>BF148-M148-L148-K148</f>
        <v>4.3170000000000002</v>
      </c>
      <c r="O148" s="638">
        <v>3.4129999999999998</v>
      </c>
      <c r="P148" s="638">
        <v>3.028</v>
      </c>
      <c r="Q148" s="638">
        <v>2.5630000000000002</v>
      </c>
      <c r="R148" s="533">
        <f>BG148-Q148-P148-O148</f>
        <v>1.0669999999999988</v>
      </c>
      <c r="S148" s="638">
        <v>3.0619999999999998</v>
      </c>
      <c r="T148" s="638">
        <v>2.8730000000000002</v>
      </c>
      <c r="U148" s="638">
        <v>3.5110000000000001</v>
      </c>
      <c r="V148" s="533">
        <f>BH148-U148-T148-S148</f>
        <v>3.0110000000000015</v>
      </c>
      <c r="W148" s="638">
        <v>2.8980000000000001</v>
      </c>
      <c r="X148" s="638">
        <v>2.3759999999999999</v>
      </c>
      <c r="Y148" s="638">
        <v>2.0019999999999998</v>
      </c>
      <c r="Z148" s="533">
        <f>BI148-Y148-X148-W148</f>
        <v>1.9719999999999991</v>
      </c>
      <c r="AA148" s="532"/>
      <c r="AB148" s="532"/>
      <c r="AC148" s="532"/>
      <c r="AD148" s="533">
        <f>BJ148-AC148-AB148-AA148</f>
        <v>0</v>
      </c>
      <c r="AE148" s="532"/>
      <c r="AF148" s="532"/>
      <c r="AG148" s="532"/>
      <c r="AH148" s="533">
        <f>BK148-AG148-AF148-AE148</f>
        <v>0</v>
      </c>
      <c r="AI148" s="532"/>
      <c r="AJ148" s="532"/>
      <c r="AK148" s="532"/>
      <c r="AL148" s="533">
        <f>BL148-AK148-AJ148-AI148</f>
        <v>0</v>
      </c>
      <c r="AM148" s="532"/>
      <c r="AN148" s="532"/>
      <c r="AO148" s="532"/>
      <c r="AP148" s="533">
        <f>BM148-AO148-AN148-AM148</f>
        <v>0</v>
      </c>
      <c r="AQ148" s="532"/>
      <c r="AR148" s="532"/>
      <c r="AS148" s="532"/>
      <c r="AT148" s="533">
        <f>BN148-AS148-AR148-AQ148</f>
        <v>0</v>
      </c>
      <c r="AU148" s="534"/>
      <c r="AV148" s="532"/>
      <c r="AW148" s="532"/>
      <c r="AX148" s="532"/>
      <c r="AY148" s="532"/>
      <c r="AZ148" s="729">
        <v>9.5749999999999993</v>
      </c>
      <c r="BA148" s="729">
        <v>9.5760000000000005</v>
      </c>
      <c r="BB148" s="729">
        <v>16.347000000000001</v>
      </c>
      <c r="BC148" s="729">
        <v>25.593</v>
      </c>
      <c r="BD148" s="729">
        <v>21.084</v>
      </c>
      <c r="BE148" s="729">
        <v>14.22</v>
      </c>
      <c r="BF148" s="729">
        <v>14.381</v>
      </c>
      <c r="BG148" s="729">
        <v>10.071</v>
      </c>
      <c r="BH148" s="729">
        <v>12.457000000000001</v>
      </c>
      <c r="BI148" s="729">
        <v>9.2479999999999993</v>
      </c>
      <c r="BJ148" s="156"/>
      <c r="BK148" s="156"/>
      <c r="BL148" s="156"/>
      <c r="BM148" s="156"/>
      <c r="BN148" s="730"/>
      <c r="BO148" s="156"/>
      <c r="BP148" s="156"/>
      <c r="BQ148" s="156"/>
      <c r="BR148" s="156"/>
      <c r="BS148" s="156"/>
      <c r="BT148" s="533"/>
    </row>
    <row r="149" spans="1:72" s="1" customFormat="1" outlineLevel="1" x14ac:dyDescent="0.35">
      <c r="A149" s="47" t="s">
        <v>550</v>
      </c>
      <c r="B149" s="360"/>
      <c r="C149" s="573">
        <f t="shared" ref="C149:AU149" si="129">SUM(C147:C148)</f>
        <v>93.787000000000006</v>
      </c>
      <c r="D149" s="573">
        <f t="shared" si="129"/>
        <v>66.956999999999994</v>
      </c>
      <c r="E149" s="573">
        <f t="shared" si="129"/>
        <v>70.897999999999996</v>
      </c>
      <c r="F149" s="573">
        <f t="shared" si="129"/>
        <v>72.47399999999999</v>
      </c>
      <c r="G149" s="573">
        <f t="shared" si="129"/>
        <v>103.928</v>
      </c>
      <c r="H149" s="573">
        <f t="shared" si="129"/>
        <v>79.155000000000001</v>
      </c>
      <c r="I149" s="573">
        <f t="shared" si="129"/>
        <v>67.245000000000005</v>
      </c>
      <c r="J149" s="573">
        <f t="shared" si="129"/>
        <v>77.150000000000006</v>
      </c>
      <c r="K149" s="573">
        <f t="shared" si="129"/>
        <v>103.02800000000001</v>
      </c>
      <c r="L149" s="573">
        <f t="shared" si="129"/>
        <v>65.802000000000007</v>
      </c>
      <c r="M149" s="573">
        <f t="shared" si="129"/>
        <v>68.207999999999998</v>
      </c>
      <c r="N149" s="573">
        <f t="shared" si="129"/>
        <v>85.073000000000008</v>
      </c>
      <c r="O149" s="573">
        <f t="shared" si="129"/>
        <v>102.68299999999999</v>
      </c>
      <c r="P149" s="573">
        <f t="shared" si="129"/>
        <v>64.468000000000004</v>
      </c>
      <c r="Q149" s="573">
        <f t="shared" si="129"/>
        <v>67.451000000000008</v>
      </c>
      <c r="R149" s="573">
        <f t="shared" si="129"/>
        <v>77.673999999999978</v>
      </c>
      <c r="S149" s="573">
        <f t="shared" si="129"/>
        <v>107.708</v>
      </c>
      <c r="T149" s="573">
        <f t="shared" si="129"/>
        <v>65.224999999999994</v>
      </c>
      <c r="U149" s="573">
        <f t="shared" si="129"/>
        <v>73.338999999999999</v>
      </c>
      <c r="V149" s="573">
        <f t="shared" si="129"/>
        <v>71.802000000000007</v>
      </c>
      <c r="W149" s="573">
        <f t="shared" si="129"/>
        <v>99.179999999999993</v>
      </c>
      <c r="X149" s="573">
        <f t="shared" si="129"/>
        <v>64.334000000000003</v>
      </c>
      <c r="Y149" s="573">
        <f t="shared" si="129"/>
        <v>64.269000000000005</v>
      </c>
      <c r="Z149" s="573">
        <f t="shared" si="129"/>
        <v>71.91100000000003</v>
      </c>
      <c r="AA149" s="573">
        <f t="shared" si="129"/>
        <v>106.081</v>
      </c>
      <c r="AB149" s="573">
        <f t="shared" si="129"/>
        <v>61.253</v>
      </c>
      <c r="AC149" s="573">
        <f t="shared" si="129"/>
        <v>61.725000000000001</v>
      </c>
      <c r="AD149" s="573">
        <f t="shared" si="129"/>
        <v>77.77</v>
      </c>
      <c r="AE149" s="573">
        <f t="shared" si="129"/>
        <v>107.151</v>
      </c>
      <c r="AF149" s="573">
        <f t="shared" si="129"/>
        <v>59.783999999999999</v>
      </c>
      <c r="AG149" s="573">
        <f t="shared" si="129"/>
        <v>63.686999999999998</v>
      </c>
      <c r="AH149" s="573">
        <f t="shared" si="129"/>
        <v>84.454000000000022</v>
      </c>
      <c r="AI149" s="573">
        <f t="shared" si="129"/>
        <v>117.827</v>
      </c>
      <c r="AJ149" s="573">
        <f t="shared" si="129"/>
        <v>90.939000000000007</v>
      </c>
      <c r="AK149" s="573">
        <f t="shared" si="129"/>
        <v>100.464</v>
      </c>
      <c r="AL149" s="573">
        <f t="shared" si="129"/>
        <v>115.214</v>
      </c>
      <c r="AM149" s="573">
        <f t="shared" si="129"/>
        <v>133.37899999999999</v>
      </c>
      <c r="AN149" s="573">
        <f t="shared" si="129"/>
        <v>90.641999999999996</v>
      </c>
      <c r="AO149" s="573">
        <f t="shared" si="129"/>
        <v>94.245000000000005</v>
      </c>
      <c r="AP149" s="573">
        <f t="shared" si="129"/>
        <v>121.58099999999999</v>
      </c>
      <c r="AQ149" s="573">
        <f t="shared" si="129"/>
        <v>158.36799999999999</v>
      </c>
      <c r="AR149" s="573">
        <f t="shared" si="129"/>
        <v>102.015</v>
      </c>
      <c r="AS149" s="573">
        <f t="shared" si="129"/>
        <v>103.053</v>
      </c>
      <c r="AT149" s="573">
        <f t="shared" si="129"/>
        <v>118.13500000000005</v>
      </c>
      <c r="AU149" s="577">
        <f t="shared" si="129"/>
        <v>169.56800000000001</v>
      </c>
      <c r="AV149" s="572"/>
      <c r="AW149" s="572"/>
      <c r="AX149" s="572"/>
      <c r="AY149" s="572"/>
      <c r="AZ149" s="735">
        <f t="shared" ref="AZ149:BN149" si="130">SUM(AZ147:AZ148)</f>
        <v>96.25800000000001</v>
      </c>
      <c r="BA149" s="735">
        <f t="shared" si="130"/>
        <v>126.97399999999999</v>
      </c>
      <c r="BB149" s="735">
        <f t="shared" si="130"/>
        <v>191.10900000000001</v>
      </c>
      <c r="BC149" s="735">
        <f t="shared" si="130"/>
        <v>270.86700000000002</v>
      </c>
      <c r="BD149" s="735">
        <f t="shared" si="130"/>
        <v>304.11599999999999</v>
      </c>
      <c r="BE149" s="735">
        <f t="shared" si="130"/>
        <v>327.47800000000001</v>
      </c>
      <c r="BF149" s="735">
        <f t="shared" si="130"/>
        <v>322.11099999999999</v>
      </c>
      <c r="BG149" s="735">
        <f t="shared" si="130"/>
        <v>312.27600000000001</v>
      </c>
      <c r="BH149" s="735">
        <f t="shared" si="130"/>
        <v>318.07400000000001</v>
      </c>
      <c r="BI149" s="735">
        <f t="shared" si="130"/>
        <v>299.69400000000002</v>
      </c>
      <c r="BJ149" s="735">
        <f t="shared" si="130"/>
        <v>306.82900000000001</v>
      </c>
      <c r="BK149" s="735">
        <f t="shared" si="130"/>
        <v>315.07600000000002</v>
      </c>
      <c r="BL149" s="735">
        <f t="shared" si="130"/>
        <v>424.44400000000002</v>
      </c>
      <c r="BM149" s="735">
        <f t="shared" si="130"/>
        <v>439.84699999999998</v>
      </c>
      <c r="BN149" s="749">
        <f t="shared" si="130"/>
        <v>481.57100000000003</v>
      </c>
      <c r="BO149" s="734"/>
      <c r="BP149" s="734"/>
      <c r="BQ149" s="734"/>
      <c r="BR149" s="734"/>
      <c r="BS149" s="734"/>
      <c r="BT149" s="530"/>
    </row>
    <row r="150" spans="1:72" s="1" customFormat="1" outlineLevel="1" x14ac:dyDescent="0.35">
      <c r="A150" s="51" t="s">
        <v>545</v>
      </c>
      <c r="B150" s="307"/>
      <c r="C150" s="530">
        <f t="shared" ref="C150:AU150" si="131">C146-C149</f>
        <v>8.6610000000000014</v>
      </c>
      <c r="D150" s="530">
        <f t="shared" si="131"/>
        <v>16.271999999999991</v>
      </c>
      <c r="E150" s="530">
        <f t="shared" si="131"/>
        <v>19.35199999999999</v>
      </c>
      <c r="F150" s="530">
        <f t="shared" si="131"/>
        <v>1.4209999999999923</v>
      </c>
      <c r="G150" s="530">
        <f t="shared" si="131"/>
        <v>-8.4639999999999702</v>
      </c>
      <c r="H150" s="530">
        <f t="shared" si="131"/>
        <v>-8.907999999999987</v>
      </c>
      <c r="I150" s="530">
        <f t="shared" si="131"/>
        <v>27.384999999999991</v>
      </c>
      <c r="J150" s="530">
        <f t="shared" si="131"/>
        <v>12.842999999999961</v>
      </c>
      <c r="K150" s="530">
        <f t="shared" si="131"/>
        <v>-13.15800000000003</v>
      </c>
      <c r="L150" s="530">
        <f t="shared" si="131"/>
        <v>20.472999999999999</v>
      </c>
      <c r="M150" s="530">
        <f t="shared" si="131"/>
        <v>27.429999999999978</v>
      </c>
      <c r="N150" s="530">
        <f t="shared" si="131"/>
        <v>-16.31799999999987</v>
      </c>
      <c r="O150" s="530">
        <f t="shared" si="131"/>
        <v>-20.455999999999989</v>
      </c>
      <c r="P150" s="530">
        <f t="shared" si="131"/>
        <v>14.72699999999999</v>
      </c>
      <c r="Q150" s="530">
        <f t="shared" si="131"/>
        <v>19.134</v>
      </c>
      <c r="R150" s="530">
        <f t="shared" si="131"/>
        <v>0.50899999999998613</v>
      </c>
      <c r="S150" s="530">
        <f t="shared" si="131"/>
        <v>-22.668999999999983</v>
      </c>
      <c r="T150" s="530">
        <f t="shared" si="131"/>
        <v>18.323000000000008</v>
      </c>
      <c r="U150" s="530">
        <f t="shared" si="131"/>
        <v>12.762999999999977</v>
      </c>
      <c r="V150" s="530">
        <f t="shared" si="131"/>
        <v>4.7119999999999749</v>
      </c>
      <c r="W150" s="530">
        <f t="shared" si="131"/>
        <v>-17.761999999999986</v>
      </c>
      <c r="X150" s="530">
        <f t="shared" si="131"/>
        <v>13.713999999999999</v>
      </c>
      <c r="Y150" s="530">
        <f t="shared" si="131"/>
        <v>19.717000000000013</v>
      </c>
      <c r="Z150" s="530">
        <f t="shared" si="131"/>
        <v>9.8759999999999479</v>
      </c>
      <c r="AA150" s="530">
        <f t="shared" si="131"/>
        <v>-13.752000000000024</v>
      </c>
      <c r="AB150" s="530">
        <f t="shared" si="131"/>
        <v>33.290000000000006</v>
      </c>
      <c r="AC150" s="530">
        <f t="shared" si="131"/>
        <v>23.267000000000017</v>
      </c>
      <c r="AD150" s="530">
        <f t="shared" si="131"/>
        <v>2.680999999999969</v>
      </c>
      <c r="AE150" s="530">
        <f t="shared" si="131"/>
        <v>-19.388000000000019</v>
      </c>
      <c r="AF150" s="530">
        <f t="shared" si="131"/>
        <v>30.305000000000028</v>
      </c>
      <c r="AG150" s="530">
        <f t="shared" si="131"/>
        <v>14.499000000000009</v>
      </c>
      <c r="AH150" s="530">
        <f t="shared" si="131"/>
        <v>7.0410000000001531</v>
      </c>
      <c r="AI150" s="530">
        <f t="shared" si="131"/>
        <v>12.063999999999993</v>
      </c>
      <c r="AJ150" s="530">
        <f t="shared" si="131"/>
        <v>38.451999999999956</v>
      </c>
      <c r="AK150" s="530">
        <f t="shared" si="131"/>
        <v>38.552999999999997</v>
      </c>
      <c r="AL150" s="530">
        <f t="shared" si="131"/>
        <v>21.387000000000057</v>
      </c>
      <c r="AM150" s="530">
        <f t="shared" si="131"/>
        <v>-6.9770000000000039</v>
      </c>
      <c r="AN150" s="530">
        <f t="shared" si="131"/>
        <v>56.91500000000002</v>
      </c>
      <c r="AO150" s="530">
        <f t="shared" si="131"/>
        <v>60.593999999999994</v>
      </c>
      <c r="AP150" s="530">
        <f t="shared" si="131"/>
        <v>46.095999999999975</v>
      </c>
      <c r="AQ150" s="530">
        <f t="shared" si="131"/>
        <v>-28.718999999999994</v>
      </c>
      <c r="AR150" s="530">
        <f t="shared" si="131"/>
        <v>68.073000000000022</v>
      </c>
      <c r="AS150" s="530">
        <f t="shared" si="131"/>
        <v>72.199000000000012</v>
      </c>
      <c r="AT150" s="530">
        <f t="shared" si="131"/>
        <v>53.94599999999997</v>
      </c>
      <c r="AU150" s="575">
        <f t="shared" si="131"/>
        <v>3.3199999999999648</v>
      </c>
      <c r="AV150" s="529"/>
      <c r="AW150" s="529"/>
      <c r="AX150" s="529"/>
      <c r="AY150" s="529"/>
      <c r="AZ150" s="750">
        <f t="shared" ref="AZ150:BN150" si="132">AZ146-AZ149</f>
        <v>22.33899999999997</v>
      </c>
      <c r="BA150" s="750">
        <f t="shared" si="132"/>
        <v>35.467000000000041</v>
      </c>
      <c r="BB150" s="750">
        <f t="shared" si="132"/>
        <v>24.21399999999997</v>
      </c>
      <c r="BC150" s="750">
        <f t="shared" si="132"/>
        <v>28.980000000000018</v>
      </c>
      <c r="BD150" s="750">
        <f t="shared" si="132"/>
        <v>45.706000000000017</v>
      </c>
      <c r="BE150" s="750">
        <f t="shared" si="132"/>
        <v>22.855999999999938</v>
      </c>
      <c r="BF150" s="750">
        <f t="shared" si="132"/>
        <v>18.427000000000021</v>
      </c>
      <c r="BG150" s="750">
        <f t="shared" si="132"/>
        <v>13.914000000000044</v>
      </c>
      <c r="BH150" s="750">
        <f t="shared" si="132"/>
        <v>13.128999999999962</v>
      </c>
      <c r="BI150" s="750">
        <f t="shared" si="132"/>
        <v>25.545000000000016</v>
      </c>
      <c r="BJ150" s="750">
        <f t="shared" si="132"/>
        <v>45.485999999999933</v>
      </c>
      <c r="BK150" s="750">
        <f t="shared" si="132"/>
        <v>32.457000000000107</v>
      </c>
      <c r="BL150" s="750">
        <f t="shared" si="132"/>
        <v>110.45599999999996</v>
      </c>
      <c r="BM150" s="750">
        <f t="shared" si="132"/>
        <v>156.62799999999993</v>
      </c>
      <c r="BN150" s="751">
        <f t="shared" si="132"/>
        <v>165.49899999999991</v>
      </c>
      <c r="BO150" s="726"/>
      <c r="BP150" s="726"/>
      <c r="BQ150" s="726"/>
      <c r="BR150" s="726"/>
      <c r="BS150" s="726"/>
      <c r="BT150" s="530"/>
    </row>
    <row r="151" spans="1:72" s="17" customFormat="1" outlineLevel="1" x14ac:dyDescent="0.35">
      <c r="A151" s="208" t="s">
        <v>45</v>
      </c>
      <c r="B151" s="308"/>
      <c r="C151" s="532"/>
      <c r="D151" s="532"/>
      <c r="E151" s="532"/>
      <c r="F151" s="533">
        <f>BD151-E151-D151-C151</f>
        <v>0</v>
      </c>
      <c r="G151" s="532"/>
      <c r="H151" s="532"/>
      <c r="I151" s="532"/>
      <c r="J151" s="533">
        <f>BE151-I151-H151-G151</f>
        <v>6.4039999999999999</v>
      </c>
      <c r="K151" s="532"/>
      <c r="L151" s="532"/>
      <c r="M151" s="532"/>
      <c r="N151" s="533">
        <f>BF151-M151-L151-K151</f>
        <v>0</v>
      </c>
      <c r="O151" s="532"/>
      <c r="P151" s="532"/>
      <c r="Q151" s="532"/>
      <c r="R151" s="533">
        <f>BG151-Q151-P151-O151</f>
        <v>0</v>
      </c>
      <c r="S151" s="532"/>
      <c r="T151" s="532"/>
      <c r="U151" s="532"/>
      <c r="V151" s="533">
        <f>BH151-U151-T151-S151</f>
        <v>0</v>
      </c>
      <c r="W151" s="532"/>
      <c r="X151" s="532"/>
      <c r="Y151" s="532"/>
      <c r="Z151" s="533">
        <f>BI151-Y151-X151-W151</f>
        <v>0</v>
      </c>
      <c r="AA151" s="532"/>
      <c r="AB151" s="532"/>
      <c r="AC151" s="532"/>
      <c r="AD151" s="533">
        <f>BJ151-AC151-AB151-AA151</f>
        <v>0</v>
      </c>
      <c r="AE151" s="532"/>
      <c r="AF151" s="532"/>
      <c r="AG151" s="532"/>
      <c r="AH151" s="533">
        <f>BK151-AG151-AF151-AE151</f>
        <v>0</v>
      </c>
      <c r="AI151" s="532"/>
      <c r="AJ151" s="532"/>
      <c r="AK151" s="532"/>
      <c r="AL151" s="533">
        <f>BL151-AK151-AJ151-AI151</f>
        <v>0</v>
      </c>
      <c r="AM151" s="532"/>
      <c r="AN151" s="532"/>
      <c r="AO151" s="532"/>
      <c r="AP151" s="533">
        <f>BM151-AO151-AN151-AM151</f>
        <v>0</v>
      </c>
      <c r="AQ151" s="532"/>
      <c r="AR151" s="532"/>
      <c r="AS151" s="532"/>
      <c r="AT151" s="533">
        <f>BN151-AS151-AR151-AQ151</f>
        <v>0</v>
      </c>
      <c r="AU151" s="534"/>
      <c r="AV151" s="532"/>
      <c r="AW151" s="532"/>
      <c r="AX151" s="532"/>
      <c r="AY151" s="532"/>
      <c r="AZ151" s="156"/>
      <c r="BA151" s="156"/>
      <c r="BB151" s="156"/>
      <c r="BC151" s="156"/>
      <c r="BD151" s="156"/>
      <c r="BE151" s="729">
        <v>6.4039999999999999</v>
      </c>
      <c r="BF151" s="156"/>
      <c r="BG151" s="156"/>
      <c r="BH151" s="156"/>
      <c r="BI151" s="156"/>
      <c r="BJ151" s="156"/>
      <c r="BK151" s="156"/>
      <c r="BL151" s="156"/>
      <c r="BM151" s="156"/>
      <c r="BN151" s="730"/>
      <c r="BO151" s="156"/>
      <c r="BP151" s="156"/>
      <c r="BQ151" s="156"/>
      <c r="BR151" s="156"/>
      <c r="BS151" s="156"/>
      <c r="BT151" s="533"/>
    </row>
    <row r="152" spans="1:72" s="17" customFormat="1" outlineLevel="1" x14ac:dyDescent="0.35">
      <c r="A152" s="208" t="s">
        <v>46</v>
      </c>
      <c r="B152" s="308"/>
      <c r="C152" s="532"/>
      <c r="D152" s="532"/>
      <c r="E152" s="532"/>
      <c r="F152" s="532"/>
      <c r="G152" s="532"/>
      <c r="H152" s="532"/>
      <c r="I152" s="532"/>
      <c r="J152" s="532"/>
      <c r="K152" s="532"/>
      <c r="L152" s="532"/>
      <c r="M152" s="532"/>
      <c r="N152" s="532"/>
      <c r="O152" s="532"/>
      <c r="P152" s="532"/>
      <c r="Q152" s="532"/>
      <c r="R152" s="532"/>
      <c r="S152" s="532"/>
      <c r="T152" s="532"/>
      <c r="U152" s="532"/>
      <c r="V152" s="533">
        <f>BH152-SUM(S152,T152,U152)</f>
        <v>-10</v>
      </c>
      <c r="W152" s="532"/>
      <c r="X152" s="532"/>
      <c r="Y152" s="532"/>
      <c r="Z152" s="533">
        <f>BI152-SUM(W152,X152,Y152)</f>
        <v>0</v>
      </c>
      <c r="AA152" s="532"/>
      <c r="AB152" s="532"/>
      <c r="AC152" s="532"/>
      <c r="AD152" s="533">
        <f>BJ152-SUM(AA152,AB152,AC152)</f>
        <v>0</v>
      </c>
      <c r="AE152" s="532"/>
      <c r="AF152" s="532"/>
      <c r="AG152" s="532"/>
      <c r="AH152" s="533">
        <f>BK152-SUM(AE152,AF152,AG152)</f>
        <v>0</v>
      </c>
      <c r="AI152" s="532"/>
      <c r="AJ152" s="532"/>
      <c r="AK152" s="532"/>
      <c r="AL152" s="533">
        <f>BL152-SUM(AI152,AJ152,AK152)</f>
        <v>0</v>
      </c>
      <c r="AM152" s="532"/>
      <c r="AN152" s="532"/>
      <c r="AO152" s="532"/>
      <c r="AP152" s="533">
        <f>BM152-SUM(AM152,AN152,AO152)</f>
        <v>0</v>
      </c>
      <c r="AQ152" s="532"/>
      <c r="AR152" s="532"/>
      <c r="AS152" s="532"/>
      <c r="AT152" s="533">
        <f>BN152-SUM(AQ152,AR152,AS152)</f>
        <v>0</v>
      </c>
      <c r="AU152" s="534"/>
      <c r="AV152" s="532"/>
      <c r="AW152" s="532"/>
      <c r="AX152" s="532"/>
      <c r="AY152" s="532"/>
      <c r="AZ152" s="156"/>
      <c r="BA152" s="156"/>
      <c r="BB152" s="156"/>
      <c r="BC152" s="156"/>
      <c r="BD152" s="156"/>
      <c r="BE152" s="156"/>
      <c r="BF152" s="156"/>
      <c r="BG152" s="156"/>
      <c r="BH152" s="729">
        <v>-10</v>
      </c>
      <c r="BI152" s="156"/>
      <c r="BJ152" s="156"/>
      <c r="BK152" s="156"/>
      <c r="BL152" s="156"/>
      <c r="BM152" s="156"/>
      <c r="BN152" s="730"/>
      <c r="BO152" s="156"/>
      <c r="BP152" s="156"/>
      <c r="BQ152" s="156"/>
      <c r="BR152" s="156"/>
      <c r="BS152" s="156"/>
      <c r="BT152" s="533"/>
    </row>
    <row r="153" spans="1:72" s="17" customFormat="1" outlineLevel="1" x14ac:dyDescent="0.35">
      <c r="A153" s="208" t="s">
        <v>393</v>
      </c>
      <c r="B153" s="308"/>
      <c r="C153" s="638">
        <v>-0.22800000000000001</v>
      </c>
      <c r="D153" s="638">
        <v>-0.27200000000000002</v>
      </c>
      <c r="E153" s="638">
        <v>-0.30599999999999999</v>
      </c>
      <c r="F153" s="533">
        <f>BD153-E153-D153-C153</f>
        <v>1.657</v>
      </c>
      <c r="G153" s="638">
        <v>-8.4000000000000005E-2</v>
      </c>
      <c r="H153" s="638">
        <v>-2.8000000000000001E-2</v>
      </c>
      <c r="I153" s="638">
        <v>-1.2E-2</v>
      </c>
      <c r="J153" s="533">
        <f>BE153-I153-H153-G153</f>
        <v>5.4999999999999993E-2</v>
      </c>
      <c r="K153" s="638">
        <v>3.1E-2</v>
      </c>
      <c r="L153" s="638">
        <v>0.151</v>
      </c>
      <c r="M153" s="638">
        <v>-0.315</v>
      </c>
      <c r="N153" s="533">
        <f>BF153-M153-L153-K153</f>
        <v>-3.1579999999999999</v>
      </c>
      <c r="O153" s="638">
        <v>-0.30499999999999999</v>
      </c>
      <c r="P153" s="638">
        <v>-0.19</v>
      </c>
      <c r="Q153" s="638">
        <v>-0.10100000000000001</v>
      </c>
      <c r="R153" s="533">
        <f>BG153-Q153-P153-O153</f>
        <v>-2.1000000000000019E-2</v>
      </c>
      <c r="S153" s="638">
        <v>0.34200000000000003</v>
      </c>
      <c r="T153" s="638">
        <v>0.26400000000000001</v>
      </c>
      <c r="U153" s="638">
        <v>0.64100000000000001</v>
      </c>
      <c r="V153" s="533">
        <f>BH153-U153-T153-S153</f>
        <v>0.56099999999999994</v>
      </c>
      <c r="W153" s="638">
        <v>0.23499999999999999</v>
      </c>
      <c r="X153" s="638">
        <v>3.9E-2</v>
      </c>
      <c r="Y153" s="638">
        <v>0.26100000000000001</v>
      </c>
      <c r="Z153" s="533">
        <f>BI153-Y153-X153-W153</f>
        <v>0.42999999999999994</v>
      </c>
      <c r="AA153" s="638">
        <v>0.316</v>
      </c>
      <c r="AB153" s="638">
        <v>0.47699999999999998</v>
      </c>
      <c r="AC153" s="638">
        <v>0.754</v>
      </c>
      <c r="AD153" s="533">
        <f>BJ153-AC153-AB153-AA153</f>
        <v>1.2140000000000002</v>
      </c>
      <c r="AE153" s="638">
        <v>0.91</v>
      </c>
      <c r="AF153" s="638">
        <v>0.441</v>
      </c>
      <c r="AG153" s="638">
        <v>-7.5999999999999998E-2</v>
      </c>
      <c r="AH153" s="533">
        <f>BK153-AG153-AF153-AE153</f>
        <v>-0.57700000000000018</v>
      </c>
      <c r="AI153" s="638">
        <v>-2.1070000000000002</v>
      </c>
      <c r="AJ153" s="638">
        <v>-5.024</v>
      </c>
      <c r="AK153" s="638">
        <v>-5.3710000000000004</v>
      </c>
      <c r="AL153" s="533">
        <f>BL153-AK153-AJ153-AI153</f>
        <v>-5.4769999999999985</v>
      </c>
      <c r="AM153" s="638">
        <v>-1.9930000000000001</v>
      </c>
      <c r="AN153" s="638">
        <v>-1.875</v>
      </c>
      <c r="AO153" s="638">
        <v>-2.3730000000000002</v>
      </c>
      <c r="AP153" s="533">
        <f>BM153-AO153-AN153-AM153</f>
        <v>-2.0359999999999987</v>
      </c>
      <c r="AQ153" s="638">
        <v>-2.0459999999999998</v>
      </c>
      <c r="AR153" s="638">
        <v>-2.0819999999999999</v>
      </c>
      <c r="AS153" s="638">
        <v>-2.206</v>
      </c>
      <c r="AT153" s="533">
        <f>BN153-AS153-AR153-AQ153</f>
        <v>-2.0700000000000007</v>
      </c>
      <c r="AU153" s="643">
        <v>-2.0680000000000001</v>
      </c>
      <c r="AV153" s="532"/>
      <c r="AW153" s="532"/>
      <c r="AX153" s="532"/>
      <c r="AY153" s="532"/>
      <c r="AZ153" s="729">
        <v>-0.98199999999999998</v>
      </c>
      <c r="BA153" s="729">
        <v>-1.331</v>
      </c>
      <c r="BB153" s="729">
        <v>-1.2070000000000001</v>
      </c>
      <c r="BC153" s="729">
        <v>-0.98899999999999999</v>
      </c>
      <c r="BD153" s="729">
        <v>0.85099999999999998</v>
      </c>
      <c r="BE153" s="729">
        <v>-6.9000000000000006E-2</v>
      </c>
      <c r="BF153" s="729">
        <v>-3.2909999999999999</v>
      </c>
      <c r="BG153" s="729">
        <v>-0.61699999999999999</v>
      </c>
      <c r="BH153" s="729">
        <v>1.8080000000000001</v>
      </c>
      <c r="BI153" s="729">
        <v>0.96499999999999997</v>
      </c>
      <c r="BJ153" s="729">
        <v>2.7610000000000001</v>
      </c>
      <c r="BK153" s="729">
        <v>0.69799999999999995</v>
      </c>
      <c r="BL153" s="729">
        <v>-17.978999999999999</v>
      </c>
      <c r="BM153" s="729">
        <v>-8.2769999999999992</v>
      </c>
      <c r="BN153" s="748">
        <v>-8.4039999999999999</v>
      </c>
      <c r="BO153" s="156"/>
      <c r="BP153" s="156"/>
      <c r="BQ153" s="156"/>
      <c r="BR153" s="156"/>
      <c r="BS153" s="156"/>
      <c r="BT153" s="533"/>
    </row>
    <row r="154" spans="1:72" s="17" customFormat="1" outlineLevel="1" x14ac:dyDescent="0.35">
      <c r="A154" s="208" t="s">
        <v>49</v>
      </c>
      <c r="B154" s="308"/>
      <c r="C154" s="532"/>
      <c r="D154" s="532"/>
      <c r="E154" s="532"/>
      <c r="F154" s="532"/>
      <c r="G154" s="532"/>
      <c r="H154" s="532"/>
      <c r="I154" s="532"/>
      <c r="J154" s="532"/>
      <c r="K154" s="532"/>
      <c r="L154" s="532"/>
      <c r="M154" s="532"/>
      <c r="N154" s="532"/>
      <c r="O154" s="532"/>
      <c r="P154" s="532"/>
      <c r="Q154" s="532"/>
      <c r="R154" s="532"/>
      <c r="S154" s="532"/>
      <c r="T154" s="532"/>
      <c r="U154" s="532"/>
      <c r="V154" s="532"/>
      <c r="W154" s="532"/>
      <c r="X154" s="532"/>
      <c r="Y154" s="532"/>
      <c r="Z154" s="532"/>
      <c r="AA154" s="638">
        <v>0.193</v>
      </c>
      <c r="AB154" s="638">
        <v>-0.78900000000000003</v>
      </c>
      <c r="AC154" s="638">
        <v>0.55600000000000005</v>
      </c>
      <c r="AD154" s="533">
        <f>BJ154-AC154-AB154-AA154</f>
        <v>0.15399999999999997</v>
      </c>
      <c r="AE154" s="638">
        <v>-8.0000000000000002E-3</v>
      </c>
      <c r="AF154" s="638">
        <v>0.36499999999999999</v>
      </c>
      <c r="AG154" s="638">
        <v>-1.093</v>
      </c>
      <c r="AH154" s="533">
        <f>BK154-AG154-AF154-AE154</f>
        <v>1.008</v>
      </c>
      <c r="AI154" s="638">
        <v>0.42899999999999999</v>
      </c>
      <c r="AJ154" s="638">
        <v>1.361</v>
      </c>
      <c r="AK154" s="638">
        <v>0.48599999999999999</v>
      </c>
      <c r="AL154" s="533">
        <f>BL154-AK154-AJ154-AI154</f>
        <v>0.55299999999999994</v>
      </c>
      <c r="AM154" s="638">
        <v>-8.8999999999999996E-2</v>
      </c>
      <c r="AN154" s="638">
        <v>3.8839999999999999</v>
      </c>
      <c r="AO154" s="638">
        <v>0.496</v>
      </c>
      <c r="AP154" s="533">
        <f>BM154-AO154-AN154-AM154</f>
        <v>-5.5679999999999996</v>
      </c>
      <c r="AQ154" s="638">
        <v>1.0369999999999999</v>
      </c>
      <c r="AR154" s="638">
        <v>3.9699999999999998</v>
      </c>
      <c r="AS154" s="638">
        <v>4.5869999999999997</v>
      </c>
      <c r="AT154" s="533">
        <f>BN154-AS154-AR154-AQ154</f>
        <v>5.8580000000000005</v>
      </c>
      <c r="AU154" s="643">
        <v>5.165</v>
      </c>
      <c r="AV154" s="532"/>
      <c r="AW154" s="532"/>
      <c r="AX154" s="532"/>
      <c r="AY154" s="532"/>
      <c r="AZ154" s="156"/>
      <c r="BA154" s="156"/>
      <c r="BB154" s="156"/>
      <c r="BC154" s="156"/>
      <c r="BD154" s="156"/>
      <c r="BE154" s="156"/>
      <c r="BF154" s="156"/>
      <c r="BG154" s="156"/>
      <c r="BH154" s="156"/>
      <c r="BI154" s="156"/>
      <c r="BJ154" s="729">
        <v>0.114</v>
      </c>
      <c r="BK154" s="729">
        <v>0.27200000000000002</v>
      </c>
      <c r="BL154" s="729">
        <v>2.8290000000000002</v>
      </c>
      <c r="BM154" s="729">
        <v>-1.2769999999999999</v>
      </c>
      <c r="BN154" s="748">
        <v>15.452</v>
      </c>
      <c r="BO154" s="156"/>
      <c r="BP154" s="156"/>
      <c r="BQ154" s="156"/>
      <c r="BR154" s="156"/>
      <c r="BS154" s="156"/>
      <c r="BT154" s="533"/>
    </row>
    <row r="155" spans="1:72" s="1" customFormat="1" outlineLevel="1" x14ac:dyDescent="0.35">
      <c r="A155" s="47" t="s">
        <v>625</v>
      </c>
      <c r="B155" s="360"/>
      <c r="C155" s="573">
        <f t="shared" ref="C155:AU155" si="133">SUM(C150:C154)</f>
        <v>8.4330000000000016</v>
      </c>
      <c r="D155" s="573">
        <f t="shared" si="133"/>
        <v>15.999999999999991</v>
      </c>
      <c r="E155" s="573">
        <f t="shared" si="133"/>
        <v>19.045999999999989</v>
      </c>
      <c r="F155" s="573">
        <f t="shared" si="133"/>
        <v>3.0779999999999923</v>
      </c>
      <c r="G155" s="573">
        <f t="shared" si="133"/>
        <v>-8.5479999999999698</v>
      </c>
      <c r="H155" s="573">
        <f t="shared" si="133"/>
        <v>-8.9359999999999875</v>
      </c>
      <c r="I155" s="573">
        <f t="shared" si="133"/>
        <v>27.37299999999999</v>
      </c>
      <c r="J155" s="573">
        <f t="shared" si="133"/>
        <v>19.301999999999961</v>
      </c>
      <c r="K155" s="573">
        <f t="shared" si="133"/>
        <v>-13.127000000000029</v>
      </c>
      <c r="L155" s="573">
        <f t="shared" si="133"/>
        <v>20.623999999999999</v>
      </c>
      <c r="M155" s="573">
        <f t="shared" si="133"/>
        <v>27.114999999999977</v>
      </c>
      <c r="N155" s="573">
        <f t="shared" si="133"/>
        <v>-19.475999999999871</v>
      </c>
      <c r="O155" s="573">
        <f t="shared" si="133"/>
        <v>-20.760999999999989</v>
      </c>
      <c r="P155" s="573">
        <f t="shared" si="133"/>
        <v>14.53699999999999</v>
      </c>
      <c r="Q155" s="573">
        <f t="shared" si="133"/>
        <v>19.033000000000001</v>
      </c>
      <c r="R155" s="573">
        <f t="shared" si="133"/>
        <v>0.48799999999998611</v>
      </c>
      <c r="S155" s="573">
        <f t="shared" si="133"/>
        <v>-22.326999999999984</v>
      </c>
      <c r="T155" s="573">
        <f t="shared" si="133"/>
        <v>18.587000000000007</v>
      </c>
      <c r="U155" s="573">
        <f t="shared" si="133"/>
        <v>13.403999999999977</v>
      </c>
      <c r="V155" s="573">
        <f t="shared" si="133"/>
        <v>-4.7270000000000252</v>
      </c>
      <c r="W155" s="573">
        <f t="shared" si="133"/>
        <v>-17.526999999999987</v>
      </c>
      <c r="X155" s="573">
        <f t="shared" si="133"/>
        <v>13.752999999999998</v>
      </c>
      <c r="Y155" s="573">
        <f t="shared" si="133"/>
        <v>19.978000000000012</v>
      </c>
      <c r="Z155" s="573">
        <f t="shared" si="133"/>
        <v>10.305999999999948</v>
      </c>
      <c r="AA155" s="573">
        <f t="shared" si="133"/>
        <v>-13.243000000000023</v>
      </c>
      <c r="AB155" s="573">
        <f t="shared" si="133"/>
        <v>32.978000000000002</v>
      </c>
      <c r="AC155" s="573">
        <f t="shared" si="133"/>
        <v>24.577000000000019</v>
      </c>
      <c r="AD155" s="573">
        <f t="shared" si="133"/>
        <v>4.0489999999999693</v>
      </c>
      <c r="AE155" s="573">
        <f t="shared" si="133"/>
        <v>-18.486000000000018</v>
      </c>
      <c r="AF155" s="573">
        <f t="shared" si="133"/>
        <v>31.111000000000026</v>
      </c>
      <c r="AG155" s="573">
        <f t="shared" si="133"/>
        <v>13.330000000000009</v>
      </c>
      <c r="AH155" s="573">
        <f t="shared" si="133"/>
        <v>7.4720000000001532</v>
      </c>
      <c r="AI155" s="573">
        <f t="shared" si="133"/>
        <v>10.385999999999994</v>
      </c>
      <c r="AJ155" s="573">
        <f t="shared" si="133"/>
        <v>34.788999999999952</v>
      </c>
      <c r="AK155" s="573">
        <f t="shared" si="133"/>
        <v>33.667999999999992</v>
      </c>
      <c r="AL155" s="573">
        <f t="shared" si="133"/>
        <v>16.463000000000058</v>
      </c>
      <c r="AM155" s="573">
        <f t="shared" si="133"/>
        <v>-9.0590000000000046</v>
      </c>
      <c r="AN155" s="573">
        <f t="shared" si="133"/>
        <v>58.924000000000021</v>
      </c>
      <c r="AO155" s="573">
        <f t="shared" si="133"/>
        <v>58.716999999999999</v>
      </c>
      <c r="AP155" s="573">
        <f t="shared" si="133"/>
        <v>38.491999999999976</v>
      </c>
      <c r="AQ155" s="573">
        <f t="shared" si="133"/>
        <v>-29.727999999999994</v>
      </c>
      <c r="AR155" s="573">
        <f t="shared" si="133"/>
        <v>69.961000000000027</v>
      </c>
      <c r="AS155" s="573">
        <f t="shared" si="133"/>
        <v>74.580000000000013</v>
      </c>
      <c r="AT155" s="573">
        <f t="shared" si="133"/>
        <v>57.733999999999966</v>
      </c>
      <c r="AU155" s="577">
        <f t="shared" si="133"/>
        <v>6.4169999999999643</v>
      </c>
      <c r="AV155" s="572"/>
      <c r="AW155" s="572"/>
      <c r="AX155" s="572"/>
      <c r="AY155" s="572"/>
      <c r="AZ155" s="735">
        <f t="shared" ref="AZ155:BN155" si="134">SUM(AZ150:AZ154)</f>
        <v>21.356999999999971</v>
      </c>
      <c r="BA155" s="735">
        <f t="shared" si="134"/>
        <v>34.136000000000038</v>
      </c>
      <c r="BB155" s="735">
        <f t="shared" si="134"/>
        <v>23.006999999999969</v>
      </c>
      <c r="BC155" s="735">
        <f t="shared" si="134"/>
        <v>27.991000000000017</v>
      </c>
      <c r="BD155" s="735">
        <f t="shared" si="134"/>
        <v>46.557000000000016</v>
      </c>
      <c r="BE155" s="735">
        <f t="shared" si="134"/>
        <v>29.190999999999939</v>
      </c>
      <c r="BF155" s="735">
        <f t="shared" si="134"/>
        <v>15.136000000000021</v>
      </c>
      <c r="BG155" s="735">
        <f t="shared" si="134"/>
        <v>13.297000000000043</v>
      </c>
      <c r="BH155" s="735">
        <f t="shared" si="134"/>
        <v>4.9369999999999621</v>
      </c>
      <c r="BI155" s="735">
        <f t="shared" si="134"/>
        <v>26.510000000000016</v>
      </c>
      <c r="BJ155" s="735">
        <f t="shared" si="134"/>
        <v>48.360999999999933</v>
      </c>
      <c r="BK155" s="735">
        <f t="shared" si="134"/>
        <v>33.427000000000106</v>
      </c>
      <c r="BL155" s="735">
        <f t="shared" si="134"/>
        <v>95.305999999999955</v>
      </c>
      <c r="BM155" s="735">
        <f t="shared" si="134"/>
        <v>147.07399999999996</v>
      </c>
      <c r="BN155" s="749">
        <f t="shared" si="134"/>
        <v>172.54699999999991</v>
      </c>
      <c r="BO155" s="734"/>
      <c r="BP155" s="734"/>
      <c r="BQ155" s="734"/>
      <c r="BR155" s="734"/>
      <c r="BS155" s="734"/>
      <c r="BT155" s="530"/>
    </row>
    <row r="156" spans="1:72" s="17" customFormat="1" outlineLevel="1" x14ac:dyDescent="0.35">
      <c r="A156" s="208" t="s">
        <v>50</v>
      </c>
      <c r="B156" s="308"/>
      <c r="C156" s="638">
        <v>-3.8889999999999998</v>
      </c>
      <c r="D156" s="638">
        <v>-6.68</v>
      </c>
      <c r="E156" s="638">
        <v>-7.6260000000000003</v>
      </c>
      <c r="F156" s="533">
        <f>BD156-E156-D156-C156</f>
        <v>-1.827999999999999</v>
      </c>
      <c r="G156" s="638">
        <v>3.45</v>
      </c>
      <c r="H156" s="638">
        <v>4.6849999999999996</v>
      </c>
      <c r="I156" s="638">
        <v>-11.861000000000001</v>
      </c>
      <c r="J156" s="533">
        <f>BE156-I156-H156-G156</f>
        <v>-7.3489999999999984</v>
      </c>
      <c r="K156" s="638">
        <v>6.5380000000000003</v>
      </c>
      <c r="L156" s="638">
        <v>-8.6630000000000003</v>
      </c>
      <c r="M156" s="638">
        <v>-10.586</v>
      </c>
      <c r="N156" s="533">
        <f>BF156-M156-L156-K156</f>
        <v>6.9009999999999998</v>
      </c>
      <c r="O156" s="638">
        <v>8.0969999999999995</v>
      </c>
      <c r="P156" s="638">
        <v>-6.6529999999999996</v>
      </c>
      <c r="Q156" s="638">
        <v>-5.3680000000000003</v>
      </c>
      <c r="R156" s="533">
        <f>BG156-Q156-P156-O156</f>
        <v>-0.82200000000000006</v>
      </c>
      <c r="S156" s="638">
        <v>8.69</v>
      </c>
      <c r="T156" s="638">
        <v>-7.6879999999999997</v>
      </c>
      <c r="U156" s="638">
        <v>-4.5220000000000002</v>
      </c>
      <c r="V156" s="533">
        <f>BH156-U156-T156-S156</f>
        <v>-1.8759999999999994</v>
      </c>
      <c r="W156" s="638">
        <v>9.3680000000000003</v>
      </c>
      <c r="X156" s="638">
        <v>-0.56399999999999995</v>
      </c>
      <c r="Y156" s="638">
        <v>-6.9349999999999996</v>
      </c>
      <c r="Z156" s="533">
        <f>BI156-Y156-X156-W156</f>
        <v>-0.95900000000000141</v>
      </c>
      <c r="AA156" s="638">
        <v>5.0579999999999998</v>
      </c>
      <c r="AB156" s="638">
        <v>-9.0739999999999998</v>
      </c>
      <c r="AC156" s="638">
        <v>-5.8419999999999996</v>
      </c>
      <c r="AD156" s="533">
        <f>BJ156-AC156-AB156-AA156</f>
        <v>-0.66199999999999992</v>
      </c>
      <c r="AE156" s="638">
        <v>8.8179999999999996</v>
      </c>
      <c r="AF156" s="638">
        <v>-10.391999999999999</v>
      </c>
      <c r="AG156" s="638">
        <v>-4.4189999999999996</v>
      </c>
      <c r="AH156" s="533">
        <f>BK156-AG156-AF156-AE156</f>
        <v>-2.5480000000000009</v>
      </c>
      <c r="AI156" s="638">
        <v>2.3759999999999999</v>
      </c>
      <c r="AJ156" s="638">
        <v>-10.641999999999999</v>
      </c>
      <c r="AK156" s="638">
        <v>-10.275</v>
      </c>
      <c r="AL156" s="533">
        <f>BL156-AK156-AJ156-AI156</f>
        <v>-5.9980000000000011</v>
      </c>
      <c r="AM156" s="638">
        <v>2.8929999999999998</v>
      </c>
      <c r="AN156" s="638">
        <v>-15.928000000000001</v>
      </c>
      <c r="AO156" s="638">
        <v>-16.716000000000001</v>
      </c>
      <c r="AP156" s="533">
        <f>BM156-AO156-AN156-AM156</f>
        <v>-10.337</v>
      </c>
      <c r="AQ156" s="638">
        <v>7.5069999999999997</v>
      </c>
      <c r="AR156" s="638">
        <v>-18.86</v>
      </c>
      <c r="AS156" s="638">
        <v>-19.524999999999999</v>
      </c>
      <c r="AT156" s="533">
        <f>BN156-AS156-AR156-AQ156</f>
        <v>-14.467999999999998</v>
      </c>
      <c r="AU156" s="643">
        <v>-1.536</v>
      </c>
      <c r="AV156" s="532"/>
      <c r="AW156" s="532"/>
      <c r="AX156" s="532"/>
      <c r="AY156" s="532"/>
      <c r="AZ156" s="729">
        <v>-9.6280000000000001</v>
      </c>
      <c r="BA156" s="729">
        <v>-13.249000000000001</v>
      </c>
      <c r="BB156" s="729">
        <v>-11.342000000000001</v>
      </c>
      <c r="BC156" s="729">
        <v>-11.882</v>
      </c>
      <c r="BD156" s="729">
        <v>-20.023</v>
      </c>
      <c r="BE156" s="729">
        <v>-11.074999999999999</v>
      </c>
      <c r="BF156" s="729">
        <v>-5.8100000000000005</v>
      </c>
      <c r="BG156" s="729">
        <v>-4.7460000000000004</v>
      </c>
      <c r="BH156" s="729">
        <v>-5.3959999999999999</v>
      </c>
      <c r="BI156" s="729">
        <v>0.91</v>
      </c>
      <c r="BJ156" s="729">
        <v>-10.52</v>
      </c>
      <c r="BK156" s="729">
        <v>-8.5410000000000004</v>
      </c>
      <c r="BL156" s="729">
        <v>-24.539000000000001</v>
      </c>
      <c r="BM156" s="729">
        <v>-40.088000000000001</v>
      </c>
      <c r="BN156" s="748">
        <v>-45.345999999999997</v>
      </c>
      <c r="BO156" s="156"/>
      <c r="BP156" s="156"/>
      <c r="BQ156" s="156"/>
      <c r="BR156" s="156"/>
      <c r="BS156" s="156"/>
      <c r="BT156" s="533"/>
    </row>
    <row r="157" spans="1:72" s="17" customFormat="1" outlineLevel="1" x14ac:dyDescent="0.35">
      <c r="A157" s="208" t="s">
        <v>47</v>
      </c>
      <c r="B157" s="308"/>
      <c r="C157" s="532"/>
      <c r="D157" s="532"/>
      <c r="E157" s="532"/>
      <c r="F157" s="532"/>
      <c r="G157" s="532"/>
      <c r="H157" s="532"/>
      <c r="I157" s="532"/>
      <c r="J157" s="532"/>
      <c r="K157" s="532"/>
      <c r="L157" s="532"/>
      <c r="M157" s="532"/>
      <c r="N157" s="532"/>
      <c r="O157" s="532"/>
      <c r="P157" s="532"/>
      <c r="Q157" s="532"/>
      <c r="R157" s="532"/>
      <c r="S157" s="532"/>
      <c r="T157" s="532"/>
      <c r="U157" s="532"/>
      <c r="V157" s="532"/>
      <c r="W157" s="532"/>
      <c r="X157" s="532"/>
      <c r="Y157" s="532"/>
      <c r="Z157" s="533">
        <f>BI157-SUM(W157,X157,Y157)</f>
        <v>0</v>
      </c>
      <c r="AA157" s="638">
        <v>-9.7000000000000003E-2</v>
      </c>
      <c r="AB157" s="638">
        <v>-0.192</v>
      </c>
      <c r="AC157" s="638">
        <v>-0.27300000000000002</v>
      </c>
      <c r="AD157" s="533">
        <f>BJ157-SUM(AA157,AB157,AC157)</f>
        <v>-6.9999999999999951E-2</v>
      </c>
      <c r="AE157" s="638">
        <v>-6.2E-2</v>
      </c>
      <c r="AF157" s="638">
        <v>-0.125</v>
      </c>
      <c r="AG157" s="638">
        <v>-0.157</v>
      </c>
      <c r="AH157" s="533">
        <f>BK157-SUM(AE157,AF157,AG157)</f>
        <v>-3.6000000000000032E-2</v>
      </c>
      <c r="AI157" s="638">
        <v>-9.6000000000000002E-2</v>
      </c>
      <c r="AJ157" s="638">
        <v>0.35399999999999998</v>
      </c>
      <c r="AK157" s="638">
        <v>0.39600000000000002</v>
      </c>
      <c r="AL157" s="533">
        <f>BL157-SUM(AI157,AJ157,AK157)</f>
        <v>3.0000000000000027E-2</v>
      </c>
      <c r="AM157" s="638">
        <v>0.28299999999999997</v>
      </c>
      <c r="AN157" s="638">
        <v>-0.99199999999999999</v>
      </c>
      <c r="AO157" s="638">
        <v>0.91800000000000004</v>
      </c>
      <c r="AP157" s="533">
        <f>BM157-SUM(AM157,AN157,AO157)</f>
        <v>-6.4999999999999974E-2</v>
      </c>
      <c r="AQ157" s="638">
        <v>-0.45100000000000001</v>
      </c>
      <c r="AR157" s="638">
        <v>-0.39600000000000002</v>
      </c>
      <c r="AS157" s="638">
        <v>0.40699999999999997</v>
      </c>
      <c r="AT157" s="533">
        <f>BN157-SUM(AQ157,AR157,AS157)</f>
        <v>0.10599999999999998</v>
      </c>
      <c r="AU157" s="643">
        <v>-3.0000000000000001E-3</v>
      </c>
      <c r="AV157" s="532"/>
      <c r="AW157" s="532"/>
      <c r="AX157" s="532"/>
      <c r="AY157" s="532"/>
      <c r="AZ157" s="156"/>
      <c r="BA157" s="156"/>
      <c r="BB157" s="156"/>
      <c r="BC157" s="156"/>
      <c r="BD157" s="156"/>
      <c r="BE157" s="156"/>
      <c r="BF157" s="156"/>
      <c r="BG157" s="156"/>
      <c r="BH157" s="156"/>
      <c r="BI157" s="156"/>
      <c r="BJ157" s="729">
        <v>-0.63200000000000001</v>
      </c>
      <c r="BK157" s="729">
        <v>-0.38</v>
      </c>
      <c r="BL157" s="729">
        <v>0.68400000000000005</v>
      </c>
      <c r="BM157" s="729">
        <v>0.14399999999999999</v>
      </c>
      <c r="BN157" s="748">
        <v>-0.33400000000000002</v>
      </c>
      <c r="BO157" s="156"/>
      <c r="BP157" s="156"/>
      <c r="BQ157" s="156"/>
      <c r="BR157" s="156"/>
      <c r="BS157" s="156"/>
      <c r="BT157" s="533"/>
    </row>
    <row r="158" spans="1:72" s="1" customFormat="1" outlineLevel="1" x14ac:dyDescent="0.35">
      <c r="A158" s="50" t="s">
        <v>55</v>
      </c>
      <c r="B158" s="361"/>
      <c r="C158" s="578">
        <f t="shared" ref="C158:AU158" si="135">C155+C156+C157</f>
        <v>4.5440000000000023</v>
      </c>
      <c r="D158" s="578">
        <f t="shared" si="135"/>
        <v>9.3199999999999914</v>
      </c>
      <c r="E158" s="578">
        <f t="shared" si="135"/>
        <v>11.419999999999987</v>
      </c>
      <c r="F158" s="578">
        <f t="shared" si="135"/>
        <v>1.2499999999999933</v>
      </c>
      <c r="G158" s="578">
        <f t="shared" si="135"/>
        <v>-5.0979999999999697</v>
      </c>
      <c r="H158" s="578">
        <f t="shared" si="135"/>
        <v>-4.2509999999999879</v>
      </c>
      <c r="I158" s="578">
        <f t="shared" si="135"/>
        <v>15.51199999999999</v>
      </c>
      <c r="J158" s="578">
        <f t="shared" si="135"/>
        <v>11.952999999999962</v>
      </c>
      <c r="K158" s="578">
        <f t="shared" si="135"/>
        <v>-6.5890000000000288</v>
      </c>
      <c r="L158" s="578">
        <f t="shared" si="135"/>
        <v>11.960999999999999</v>
      </c>
      <c r="M158" s="578">
        <f t="shared" si="135"/>
        <v>16.528999999999975</v>
      </c>
      <c r="N158" s="578">
        <f t="shared" si="135"/>
        <v>-12.574999999999871</v>
      </c>
      <c r="O158" s="578">
        <f t="shared" si="135"/>
        <v>-12.663999999999989</v>
      </c>
      <c r="P158" s="578">
        <f t="shared" si="135"/>
        <v>7.8839999999999906</v>
      </c>
      <c r="Q158" s="578">
        <f t="shared" si="135"/>
        <v>13.665000000000001</v>
      </c>
      <c r="R158" s="578">
        <f t="shared" si="135"/>
        <v>-0.33400000000001395</v>
      </c>
      <c r="S158" s="578">
        <f t="shared" si="135"/>
        <v>-13.636999999999984</v>
      </c>
      <c r="T158" s="578">
        <f t="shared" si="135"/>
        <v>10.899000000000008</v>
      </c>
      <c r="U158" s="578">
        <f t="shared" si="135"/>
        <v>8.8819999999999766</v>
      </c>
      <c r="V158" s="578">
        <f t="shared" si="135"/>
        <v>-6.6030000000000246</v>
      </c>
      <c r="W158" s="578">
        <f t="shared" si="135"/>
        <v>-8.1589999999999865</v>
      </c>
      <c r="X158" s="578">
        <f t="shared" si="135"/>
        <v>13.188999999999998</v>
      </c>
      <c r="Y158" s="578">
        <f t="shared" si="135"/>
        <v>13.043000000000013</v>
      </c>
      <c r="Z158" s="578">
        <f t="shared" si="135"/>
        <v>9.3469999999999462</v>
      </c>
      <c r="AA158" s="578">
        <f t="shared" si="135"/>
        <v>-8.2820000000000231</v>
      </c>
      <c r="AB158" s="578">
        <f t="shared" si="135"/>
        <v>23.712000000000003</v>
      </c>
      <c r="AC158" s="578">
        <f t="shared" si="135"/>
        <v>18.462000000000021</v>
      </c>
      <c r="AD158" s="578">
        <f t="shared" si="135"/>
        <v>3.3169999999999695</v>
      </c>
      <c r="AE158" s="578">
        <f t="shared" si="135"/>
        <v>-9.7300000000000182</v>
      </c>
      <c r="AF158" s="578">
        <f t="shared" si="135"/>
        <v>20.594000000000026</v>
      </c>
      <c r="AG158" s="578">
        <f t="shared" si="135"/>
        <v>8.7540000000000084</v>
      </c>
      <c r="AH158" s="578">
        <f t="shared" si="135"/>
        <v>4.8880000000001527</v>
      </c>
      <c r="AI158" s="578">
        <f t="shared" si="135"/>
        <v>12.665999999999993</v>
      </c>
      <c r="AJ158" s="578">
        <f t="shared" si="135"/>
        <v>24.500999999999951</v>
      </c>
      <c r="AK158" s="578">
        <f t="shared" si="135"/>
        <v>23.788999999999994</v>
      </c>
      <c r="AL158" s="578">
        <f t="shared" si="135"/>
        <v>10.495000000000056</v>
      </c>
      <c r="AM158" s="578">
        <f t="shared" si="135"/>
        <v>-5.8830000000000044</v>
      </c>
      <c r="AN158" s="578">
        <f t="shared" si="135"/>
        <v>42.004000000000026</v>
      </c>
      <c r="AO158" s="578">
        <f t="shared" si="135"/>
        <v>42.918999999999997</v>
      </c>
      <c r="AP158" s="578">
        <f t="shared" si="135"/>
        <v>28.089999999999975</v>
      </c>
      <c r="AQ158" s="578">
        <f t="shared" si="135"/>
        <v>-22.671999999999997</v>
      </c>
      <c r="AR158" s="578">
        <f t="shared" si="135"/>
        <v>50.705000000000027</v>
      </c>
      <c r="AS158" s="578">
        <f t="shared" si="135"/>
        <v>55.46200000000001</v>
      </c>
      <c r="AT158" s="578">
        <f t="shared" si="135"/>
        <v>43.371999999999971</v>
      </c>
      <c r="AU158" s="579">
        <f t="shared" si="135"/>
        <v>4.8779999999999646</v>
      </c>
      <c r="AV158" s="580"/>
      <c r="AW158" s="580"/>
      <c r="AX158" s="580"/>
      <c r="AY158" s="580"/>
      <c r="AZ158" s="752">
        <f t="shared" ref="AZ158:BN158" si="136">AZ155+AZ156+AZ157</f>
        <v>11.728999999999971</v>
      </c>
      <c r="BA158" s="752">
        <f t="shared" si="136"/>
        <v>20.887000000000036</v>
      </c>
      <c r="BB158" s="752">
        <f t="shared" si="136"/>
        <v>11.664999999999969</v>
      </c>
      <c r="BC158" s="752">
        <f t="shared" si="136"/>
        <v>16.109000000000016</v>
      </c>
      <c r="BD158" s="752">
        <f t="shared" si="136"/>
        <v>26.534000000000017</v>
      </c>
      <c r="BE158" s="752">
        <f t="shared" si="136"/>
        <v>18.115999999999939</v>
      </c>
      <c r="BF158" s="752">
        <f t="shared" si="136"/>
        <v>9.3260000000000201</v>
      </c>
      <c r="BG158" s="752">
        <f t="shared" si="136"/>
        <v>8.5510000000000428</v>
      </c>
      <c r="BH158" s="752">
        <f t="shared" si="136"/>
        <v>-0.45900000000003782</v>
      </c>
      <c r="BI158" s="752">
        <f t="shared" si="136"/>
        <v>27.420000000000016</v>
      </c>
      <c r="BJ158" s="752">
        <f t="shared" si="136"/>
        <v>37.208999999999939</v>
      </c>
      <c r="BK158" s="752">
        <f t="shared" si="136"/>
        <v>24.506000000000107</v>
      </c>
      <c r="BL158" s="752">
        <f t="shared" si="136"/>
        <v>71.450999999999951</v>
      </c>
      <c r="BM158" s="752">
        <f t="shared" si="136"/>
        <v>107.12999999999997</v>
      </c>
      <c r="BN158" s="753">
        <f t="shared" si="136"/>
        <v>126.8669999999999</v>
      </c>
      <c r="BO158" s="754"/>
      <c r="BP158" s="754"/>
      <c r="BQ158" s="754"/>
      <c r="BR158" s="754"/>
      <c r="BS158" s="754"/>
      <c r="BT158" s="530"/>
    </row>
    <row r="159" spans="1:72" s="17" customFormat="1" outlineLevel="1" x14ac:dyDescent="0.35">
      <c r="A159" s="208" t="s">
        <v>52</v>
      </c>
      <c r="B159" s="308"/>
      <c r="C159" s="638">
        <v>-0.187</v>
      </c>
      <c r="D159" s="638">
        <v>0.191</v>
      </c>
      <c r="E159" s="638">
        <v>0.55500000000000005</v>
      </c>
      <c r="F159" s="533">
        <f>BD159-E159-D159-C159</f>
        <v>1.0179999999999998</v>
      </c>
      <c r="G159" s="638">
        <v>5.8000000000000003E-2</v>
      </c>
      <c r="H159" s="638">
        <v>0.58599999999999997</v>
      </c>
      <c r="I159" s="638">
        <v>0.437</v>
      </c>
      <c r="J159" s="533">
        <f>BE159-I159-H159-G159</f>
        <v>0.40299999999999997</v>
      </c>
      <c r="K159" s="638">
        <v>-0.187</v>
      </c>
      <c r="L159" s="638">
        <v>0.37</v>
      </c>
      <c r="M159" s="638">
        <v>0.48399999999999999</v>
      </c>
      <c r="N159" s="533">
        <f>BF159-M159-L159-K159</f>
        <v>0.99499999999999988</v>
      </c>
      <c r="O159" s="638">
        <v>-0.129</v>
      </c>
      <c r="P159" s="638">
        <v>0.65400000000000003</v>
      </c>
      <c r="Q159" s="638">
        <v>0.60799999999999998</v>
      </c>
      <c r="R159" s="533">
        <f>BG159-Q159-P159-O159</f>
        <v>-0.64900000000000002</v>
      </c>
      <c r="S159" s="638">
        <v>-0.19600000000000001</v>
      </c>
      <c r="T159" s="638">
        <v>0.753</v>
      </c>
      <c r="U159" s="638">
        <v>0.23300000000000001</v>
      </c>
      <c r="V159" s="533">
        <f>BH159-U159-T159-S159</f>
        <v>0.12000000000000005</v>
      </c>
      <c r="W159" s="638">
        <v>0.10299999999999999</v>
      </c>
      <c r="X159" s="638">
        <v>7.0000000000000007E-2</v>
      </c>
      <c r="Y159" s="638">
        <v>2.7E-2</v>
      </c>
      <c r="Z159" s="533">
        <f>BI159-Y159-X159-W159</f>
        <v>0</v>
      </c>
      <c r="AA159" s="532"/>
      <c r="AB159" s="532"/>
      <c r="AC159" s="532"/>
      <c r="AD159" s="533">
        <f>BJ159-AC159-AB159-AA159</f>
        <v>0</v>
      </c>
      <c r="AE159" s="532"/>
      <c r="AF159" s="532"/>
      <c r="AG159" s="532"/>
      <c r="AH159" s="533">
        <f>BK159-AG159-AF159-AE159</f>
        <v>0</v>
      </c>
      <c r="AI159" s="532"/>
      <c r="AJ159" s="532"/>
      <c r="AK159" s="532"/>
      <c r="AL159" s="533">
        <f>BL159-AK159-AJ159-AI159</f>
        <v>0</v>
      </c>
      <c r="AM159" s="532"/>
      <c r="AN159" s="532"/>
      <c r="AO159" s="532"/>
      <c r="AP159" s="533">
        <f>BM159-AO159-AN159-AM159</f>
        <v>0</v>
      </c>
      <c r="AQ159" s="532"/>
      <c r="AR159" s="532"/>
      <c r="AS159" s="532"/>
      <c r="AT159" s="533">
        <f>BN159-AS159-AR159-AQ159</f>
        <v>0</v>
      </c>
      <c r="AU159" s="534"/>
      <c r="AV159" s="532"/>
      <c r="AW159" s="532"/>
      <c r="AX159" s="532"/>
      <c r="AY159" s="532"/>
      <c r="AZ159" s="729">
        <v>0.58599999999999997</v>
      </c>
      <c r="BA159" s="729">
        <v>0.63800000000000001</v>
      </c>
      <c r="BB159" s="729">
        <v>1.127</v>
      </c>
      <c r="BC159" s="729">
        <v>1.4339999999999999</v>
      </c>
      <c r="BD159" s="729">
        <v>1.577</v>
      </c>
      <c r="BE159" s="729">
        <v>1.484</v>
      </c>
      <c r="BF159" s="729">
        <v>1.6619999999999999</v>
      </c>
      <c r="BG159" s="729">
        <v>0.48399999999999999</v>
      </c>
      <c r="BH159" s="729">
        <v>0.91</v>
      </c>
      <c r="BI159" s="729">
        <v>0.2</v>
      </c>
      <c r="BJ159" s="156"/>
      <c r="BK159" s="156"/>
      <c r="BL159" s="156"/>
      <c r="BM159" s="156"/>
      <c r="BN159" s="730"/>
      <c r="BO159" s="156"/>
      <c r="BP159" s="156"/>
      <c r="BQ159" s="156"/>
      <c r="BR159" s="156"/>
      <c r="BS159" s="156"/>
      <c r="BT159" s="533"/>
    </row>
    <row r="160" spans="1:72" s="1" customFormat="1" outlineLevel="1" x14ac:dyDescent="0.35">
      <c r="A160" s="50" t="s">
        <v>551</v>
      </c>
      <c r="B160" s="361"/>
      <c r="C160" s="578">
        <f t="shared" ref="C160:AU160" si="137">C158+C159</f>
        <v>4.357000000000002</v>
      </c>
      <c r="D160" s="578">
        <f t="shared" si="137"/>
        <v>9.5109999999999921</v>
      </c>
      <c r="E160" s="578">
        <f t="shared" si="137"/>
        <v>11.974999999999987</v>
      </c>
      <c r="F160" s="578">
        <f t="shared" si="137"/>
        <v>2.2679999999999931</v>
      </c>
      <c r="G160" s="578">
        <f t="shared" si="137"/>
        <v>-5.0399999999999698</v>
      </c>
      <c r="H160" s="578">
        <f t="shared" si="137"/>
        <v>-3.664999999999988</v>
      </c>
      <c r="I160" s="578">
        <f t="shared" si="137"/>
        <v>15.948999999999989</v>
      </c>
      <c r="J160" s="578">
        <f t="shared" si="137"/>
        <v>12.355999999999963</v>
      </c>
      <c r="K160" s="578">
        <f t="shared" si="137"/>
        <v>-6.7760000000000291</v>
      </c>
      <c r="L160" s="578">
        <f t="shared" si="137"/>
        <v>12.330999999999998</v>
      </c>
      <c r="M160" s="578">
        <f t="shared" si="137"/>
        <v>17.012999999999977</v>
      </c>
      <c r="N160" s="578">
        <f t="shared" si="137"/>
        <v>-11.579999999999872</v>
      </c>
      <c r="O160" s="578">
        <f t="shared" si="137"/>
        <v>-12.792999999999989</v>
      </c>
      <c r="P160" s="578">
        <f t="shared" si="137"/>
        <v>8.5379999999999914</v>
      </c>
      <c r="Q160" s="578">
        <f t="shared" si="137"/>
        <v>14.273000000000001</v>
      </c>
      <c r="R160" s="578">
        <f t="shared" si="137"/>
        <v>-0.98300000000001397</v>
      </c>
      <c r="S160" s="578">
        <f t="shared" si="137"/>
        <v>-13.832999999999984</v>
      </c>
      <c r="T160" s="578">
        <f t="shared" si="137"/>
        <v>11.652000000000008</v>
      </c>
      <c r="U160" s="578">
        <f t="shared" si="137"/>
        <v>9.1149999999999771</v>
      </c>
      <c r="V160" s="578">
        <f t="shared" si="137"/>
        <v>-6.4830000000000245</v>
      </c>
      <c r="W160" s="578">
        <f t="shared" si="137"/>
        <v>-8.0559999999999867</v>
      </c>
      <c r="X160" s="578">
        <f t="shared" si="137"/>
        <v>13.258999999999999</v>
      </c>
      <c r="Y160" s="578">
        <f t="shared" si="137"/>
        <v>13.070000000000013</v>
      </c>
      <c r="Z160" s="578">
        <f t="shared" si="137"/>
        <v>9.3469999999999462</v>
      </c>
      <c r="AA160" s="578">
        <f t="shared" si="137"/>
        <v>-8.2820000000000231</v>
      </c>
      <c r="AB160" s="578">
        <f t="shared" si="137"/>
        <v>23.712000000000003</v>
      </c>
      <c r="AC160" s="578">
        <f t="shared" si="137"/>
        <v>18.462000000000021</v>
      </c>
      <c r="AD160" s="578">
        <f t="shared" si="137"/>
        <v>3.3169999999999695</v>
      </c>
      <c r="AE160" s="578">
        <f t="shared" si="137"/>
        <v>-9.7300000000000182</v>
      </c>
      <c r="AF160" s="578">
        <f t="shared" si="137"/>
        <v>20.594000000000026</v>
      </c>
      <c r="AG160" s="578">
        <f t="shared" si="137"/>
        <v>8.7540000000000084</v>
      </c>
      <c r="AH160" s="578">
        <f t="shared" si="137"/>
        <v>4.8880000000001527</v>
      </c>
      <c r="AI160" s="578">
        <f t="shared" si="137"/>
        <v>12.665999999999993</v>
      </c>
      <c r="AJ160" s="578">
        <f t="shared" si="137"/>
        <v>24.500999999999951</v>
      </c>
      <c r="AK160" s="578">
        <f t="shared" si="137"/>
        <v>23.788999999999994</v>
      </c>
      <c r="AL160" s="578">
        <f t="shared" si="137"/>
        <v>10.495000000000056</v>
      </c>
      <c r="AM160" s="578">
        <f t="shared" si="137"/>
        <v>-5.8830000000000044</v>
      </c>
      <c r="AN160" s="578">
        <f t="shared" si="137"/>
        <v>42.004000000000026</v>
      </c>
      <c r="AO160" s="578">
        <f t="shared" si="137"/>
        <v>42.918999999999997</v>
      </c>
      <c r="AP160" s="578">
        <f t="shared" si="137"/>
        <v>28.089999999999975</v>
      </c>
      <c r="AQ160" s="578">
        <f t="shared" si="137"/>
        <v>-22.671999999999997</v>
      </c>
      <c r="AR160" s="578">
        <f t="shared" si="137"/>
        <v>50.705000000000027</v>
      </c>
      <c r="AS160" s="578">
        <f t="shared" si="137"/>
        <v>55.46200000000001</v>
      </c>
      <c r="AT160" s="578">
        <f t="shared" si="137"/>
        <v>43.371999999999971</v>
      </c>
      <c r="AU160" s="579">
        <f t="shared" si="137"/>
        <v>4.8779999999999646</v>
      </c>
      <c r="AV160" s="580"/>
      <c r="AW160" s="580"/>
      <c r="AX160" s="580"/>
      <c r="AY160" s="580"/>
      <c r="AZ160" s="752">
        <f t="shared" ref="AZ160:BN160" si="138">AZ158+AZ159</f>
        <v>12.314999999999971</v>
      </c>
      <c r="BA160" s="752">
        <f t="shared" si="138"/>
        <v>21.525000000000038</v>
      </c>
      <c r="BB160" s="752">
        <f t="shared" si="138"/>
        <v>12.79199999999997</v>
      </c>
      <c r="BC160" s="752">
        <f t="shared" si="138"/>
        <v>17.543000000000017</v>
      </c>
      <c r="BD160" s="752">
        <f t="shared" si="138"/>
        <v>28.111000000000018</v>
      </c>
      <c r="BE160" s="752">
        <f t="shared" si="138"/>
        <v>19.599999999999937</v>
      </c>
      <c r="BF160" s="752">
        <f t="shared" si="138"/>
        <v>10.988000000000021</v>
      </c>
      <c r="BG160" s="752">
        <f t="shared" si="138"/>
        <v>9.0350000000000428</v>
      </c>
      <c r="BH160" s="752">
        <f t="shared" si="138"/>
        <v>0.45099999999996221</v>
      </c>
      <c r="BI160" s="752">
        <f t="shared" si="138"/>
        <v>27.620000000000015</v>
      </c>
      <c r="BJ160" s="752">
        <f t="shared" si="138"/>
        <v>37.208999999999939</v>
      </c>
      <c r="BK160" s="752">
        <f t="shared" si="138"/>
        <v>24.506000000000107</v>
      </c>
      <c r="BL160" s="752">
        <f t="shared" si="138"/>
        <v>71.450999999999951</v>
      </c>
      <c r="BM160" s="752">
        <f t="shared" si="138"/>
        <v>107.12999999999997</v>
      </c>
      <c r="BN160" s="753">
        <f t="shared" si="138"/>
        <v>126.8669999999999</v>
      </c>
      <c r="BO160" s="754"/>
      <c r="BP160" s="754"/>
      <c r="BQ160" s="754"/>
      <c r="BR160" s="754"/>
      <c r="BS160" s="754"/>
      <c r="BT160" s="530"/>
    </row>
    <row r="161" spans="1:72" s="17" customFormat="1" outlineLevel="1" x14ac:dyDescent="0.35">
      <c r="A161" s="178"/>
      <c r="B161" s="308"/>
      <c r="C161" s="532"/>
      <c r="D161" s="532"/>
      <c r="E161" s="532"/>
      <c r="F161" s="532"/>
      <c r="G161" s="532"/>
      <c r="H161" s="532"/>
      <c r="I161" s="532"/>
      <c r="J161" s="532"/>
      <c r="K161" s="532"/>
      <c r="L161" s="532"/>
      <c r="M161" s="532"/>
      <c r="N161" s="532"/>
      <c r="O161" s="532"/>
      <c r="P161" s="532"/>
      <c r="Q161" s="532"/>
      <c r="R161" s="532"/>
      <c r="S161" s="532"/>
      <c r="T161" s="532"/>
      <c r="U161" s="532"/>
      <c r="V161" s="532"/>
      <c r="W161" s="532"/>
      <c r="X161" s="532"/>
      <c r="Y161" s="532"/>
      <c r="Z161" s="532"/>
      <c r="AA161" s="532"/>
      <c r="AB161" s="532"/>
      <c r="AC161" s="532"/>
      <c r="AD161" s="532"/>
      <c r="AE161" s="532"/>
      <c r="AF161" s="532"/>
      <c r="AG161" s="532"/>
      <c r="AH161" s="532"/>
      <c r="AI161" s="532"/>
      <c r="AJ161" s="532"/>
      <c r="AK161" s="532"/>
      <c r="AL161" s="532"/>
      <c r="AM161" s="532"/>
      <c r="AN161" s="532"/>
      <c r="AO161" s="532"/>
      <c r="AP161" s="532"/>
      <c r="AQ161" s="532"/>
      <c r="AR161" s="532"/>
      <c r="AS161" s="532"/>
      <c r="AT161" s="532"/>
      <c r="AU161" s="534"/>
      <c r="AV161" s="532"/>
      <c r="AW161" s="532"/>
      <c r="AX161" s="532"/>
      <c r="AY161" s="532"/>
      <c r="AZ161" s="156"/>
      <c r="BA161" s="156"/>
      <c r="BB161" s="156"/>
      <c r="BC161" s="156"/>
      <c r="BD161" s="156"/>
      <c r="BE161" s="156"/>
      <c r="BF161" s="156"/>
      <c r="BG161" s="156"/>
      <c r="BH161" s="156"/>
      <c r="BI161" s="156"/>
      <c r="BJ161" s="156"/>
      <c r="BK161" s="156"/>
      <c r="BL161" s="156"/>
      <c r="BM161" s="156"/>
      <c r="BN161" s="730"/>
      <c r="BO161" s="156"/>
      <c r="BP161" s="156"/>
      <c r="BQ161" s="156"/>
      <c r="BR161" s="156"/>
      <c r="BS161" s="156"/>
      <c r="BT161" s="533"/>
    </row>
    <row r="162" spans="1:72" s="17" customFormat="1" outlineLevel="1" x14ac:dyDescent="0.35">
      <c r="A162" s="32" t="s">
        <v>53</v>
      </c>
      <c r="B162" s="32"/>
      <c r="C162" s="604">
        <f>IF(ISBLANK(INDEX(MO_IS_FirstRow,0,COLUMN())),0,ROUND(C158-C420,6))</f>
        <v>0</v>
      </c>
      <c r="D162" s="604">
        <f>IF(ISBLANK(INDEX(MO_IS_FirstRow,0,COLUMN())),0,ROUND(D158-D420,6))</f>
        <v>0</v>
      </c>
      <c r="E162" s="604">
        <f>IF(ISBLANK(INDEX(MO_IS_FirstRow,0,COLUMN())),0,ROUND(E158-E420,2))</f>
        <v>0</v>
      </c>
      <c r="F162" s="604">
        <f>IF(ISBLANK(INDEX(MO_IS_FirstRow,0,COLUMN())),0,ROUND(F158-F420,2))</f>
        <v>0</v>
      </c>
      <c r="G162" s="604">
        <f>IF(ISBLANK(INDEX(MO_IS_FirstRow,0,COLUMN())),0,ROUND(G158-G420,6))</f>
        <v>0</v>
      </c>
      <c r="H162" s="604">
        <f>IF(ISBLANK(INDEX(MO_IS_FirstRow,0,COLUMN())),0,ROUND(H158-H420,2))</f>
        <v>0</v>
      </c>
      <c r="I162" s="604">
        <f>IF(ISBLANK(INDEX(MO_IS_FirstRow,0,COLUMN())),0,ROUND(I158-I420,6))</f>
        <v>0</v>
      </c>
      <c r="J162" s="604">
        <f>IF(ISBLANK(INDEX(MO_IS_FirstRow,0,COLUMN())),0,ROUND(J158-J420,2))</f>
        <v>0</v>
      </c>
      <c r="K162" s="604">
        <f>IF(ISBLANK(INDEX(MO_IS_FirstRow,0,COLUMN())),0,ROUND(K158-K420,6))</f>
        <v>0</v>
      </c>
      <c r="L162" s="604">
        <f>IF(ISBLANK(INDEX(MO_IS_FirstRow,0,COLUMN())),0,ROUND(L158-L420,2))</f>
        <v>0</v>
      </c>
      <c r="M162" s="604">
        <f>IF(ISBLANK(INDEX(MO_IS_FirstRow,0,COLUMN())),0,ROUND(M158-M420,2))</f>
        <v>0</v>
      </c>
      <c r="N162" s="604">
        <f t="shared" ref="N162:AU162" si="139">IF(ISBLANK(INDEX(MO_IS_FirstRow,0,COLUMN())),0,ROUND(N158-N420,6))</f>
        <v>0</v>
      </c>
      <c r="O162" s="604">
        <f t="shared" si="139"/>
        <v>0</v>
      </c>
      <c r="P162" s="604">
        <f t="shared" si="139"/>
        <v>0</v>
      </c>
      <c r="Q162" s="604">
        <f t="shared" si="139"/>
        <v>0</v>
      </c>
      <c r="R162" s="604">
        <f t="shared" si="139"/>
        <v>0</v>
      </c>
      <c r="S162" s="604">
        <f t="shared" si="139"/>
        <v>0</v>
      </c>
      <c r="T162" s="604">
        <f t="shared" si="139"/>
        <v>0</v>
      </c>
      <c r="U162" s="604">
        <f t="shared" si="139"/>
        <v>0</v>
      </c>
      <c r="V162" s="604">
        <f t="shared" si="139"/>
        <v>0</v>
      </c>
      <c r="W162" s="604">
        <f t="shared" si="139"/>
        <v>0</v>
      </c>
      <c r="X162" s="604">
        <f t="shared" si="139"/>
        <v>0</v>
      </c>
      <c r="Y162" s="604">
        <f t="shared" si="139"/>
        <v>0</v>
      </c>
      <c r="Z162" s="604">
        <f t="shared" si="139"/>
        <v>0</v>
      </c>
      <c r="AA162" s="604">
        <f t="shared" si="139"/>
        <v>0</v>
      </c>
      <c r="AB162" s="604">
        <f t="shared" si="139"/>
        <v>0</v>
      </c>
      <c r="AC162" s="604">
        <f t="shared" si="139"/>
        <v>0</v>
      </c>
      <c r="AD162" s="604">
        <f t="shared" si="139"/>
        <v>0</v>
      </c>
      <c r="AE162" s="604">
        <f t="shared" si="139"/>
        <v>0</v>
      </c>
      <c r="AF162" s="604">
        <f t="shared" si="139"/>
        <v>0</v>
      </c>
      <c r="AG162" s="604">
        <f t="shared" si="139"/>
        <v>0</v>
      </c>
      <c r="AH162" s="604">
        <f t="shared" si="139"/>
        <v>0</v>
      </c>
      <c r="AI162" s="604">
        <f t="shared" si="139"/>
        <v>0</v>
      </c>
      <c r="AJ162" s="604">
        <f t="shared" si="139"/>
        <v>0</v>
      </c>
      <c r="AK162" s="604">
        <f t="shared" si="139"/>
        <v>0</v>
      </c>
      <c r="AL162" s="604">
        <f t="shared" si="139"/>
        <v>0</v>
      </c>
      <c r="AM162" s="604">
        <f t="shared" si="139"/>
        <v>0</v>
      </c>
      <c r="AN162" s="604">
        <f t="shared" si="139"/>
        <v>0</v>
      </c>
      <c r="AO162" s="604">
        <f t="shared" si="139"/>
        <v>0</v>
      </c>
      <c r="AP162" s="604">
        <f t="shared" si="139"/>
        <v>0</v>
      </c>
      <c r="AQ162" s="604">
        <f t="shared" si="139"/>
        <v>0</v>
      </c>
      <c r="AR162" s="604">
        <f t="shared" si="139"/>
        <v>0</v>
      </c>
      <c r="AS162" s="604">
        <f t="shared" si="139"/>
        <v>0</v>
      </c>
      <c r="AT162" s="604">
        <f t="shared" si="139"/>
        <v>0</v>
      </c>
      <c r="AU162" s="605">
        <f t="shared" si="139"/>
        <v>0</v>
      </c>
      <c r="AV162" s="604"/>
      <c r="AW162" s="604"/>
      <c r="AX162" s="604"/>
      <c r="AY162" s="604"/>
      <c r="AZ162" s="604">
        <f t="shared" ref="AZ162:BN162" si="140">IF(ISBLANK(INDEX(MO_IS_FirstRow,0,COLUMN())),0,ROUND(AZ158-AZ420,6))</f>
        <v>0</v>
      </c>
      <c r="BA162" s="604">
        <f t="shared" si="140"/>
        <v>0</v>
      </c>
      <c r="BB162" s="604">
        <f t="shared" si="140"/>
        <v>0</v>
      </c>
      <c r="BC162" s="604">
        <f t="shared" si="140"/>
        <v>0</v>
      </c>
      <c r="BD162" s="604">
        <f t="shared" si="140"/>
        <v>0</v>
      </c>
      <c r="BE162" s="604">
        <f t="shared" si="140"/>
        <v>0</v>
      </c>
      <c r="BF162" s="604">
        <f t="shared" si="140"/>
        <v>0</v>
      </c>
      <c r="BG162" s="604">
        <f t="shared" si="140"/>
        <v>0</v>
      </c>
      <c r="BH162" s="604">
        <f t="shared" si="140"/>
        <v>0</v>
      </c>
      <c r="BI162" s="604">
        <f t="shared" si="140"/>
        <v>0</v>
      </c>
      <c r="BJ162" s="604">
        <f t="shared" si="140"/>
        <v>0</v>
      </c>
      <c r="BK162" s="604">
        <f t="shared" si="140"/>
        <v>0</v>
      </c>
      <c r="BL162" s="604">
        <f t="shared" si="140"/>
        <v>0</v>
      </c>
      <c r="BM162" s="604">
        <f t="shared" si="140"/>
        <v>0</v>
      </c>
      <c r="BN162" s="605">
        <f t="shared" si="140"/>
        <v>0</v>
      </c>
      <c r="BO162" s="604"/>
      <c r="BP162" s="604"/>
      <c r="BQ162" s="604"/>
      <c r="BR162" s="604"/>
      <c r="BS162" s="604"/>
      <c r="BT162" s="533"/>
    </row>
    <row r="163" spans="1:72" s="17" customFormat="1" x14ac:dyDescent="0.35">
      <c r="A163" s="178"/>
      <c r="B163" s="308"/>
      <c r="C163" s="532"/>
      <c r="D163" s="532"/>
      <c r="E163" s="532"/>
      <c r="F163" s="532"/>
      <c r="G163" s="532"/>
      <c r="H163" s="532"/>
      <c r="I163" s="532"/>
      <c r="J163" s="532"/>
      <c r="K163" s="532"/>
      <c r="L163" s="532"/>
      <c r="M163" s="532"/>
      <c r="N163" s="532"/>
      <c r="O163" s="532"/>
      <c r="P163" s="532"/>
      <c r="Q163" s="532"/>
      <c r="R163" s="532"/>
      <c r="S163" s="532"/>
      <c r="T163" s="532"/>
      <c r="U163" s="532"/>
      <c r="V163" s="532"/>
      <c r="W163" s="532"/>
      <c r="X163" s="532"/>
      <c r="Y163" s="532"/>
      <c r="Z163" s="532"/>
      <c r="AA163" s="532"/>
      <c r="AB163" s="532"/>
      <c r="AC163" s="532"/>
      <c r="AD163" s="532"/>
      <c r="AE163" s="532"/>
      <c r="AF163" s="532"/>
      <c r="AG163" s="532"/>
      <c r="AH163" s="532"/>
      <c r="AI163" s="532"/>
      <c r="AJ163" s="532"/>
      <c r="AK163" s="532"/>
      <c r="AL163" s="532"/>
      <c r="AM163" s="532"/>
      <c r="AN163" s="532"/>
      <c r="AO163" s="532"/>
      <c r="AP163" s="532"/>
      <c r="AQ163" s="532"/>
      <c r="AR163" s="532"/>
      <c r="AS163" s="532"/>
      <c r="AT163" s="532"/>
      <c r="AU163" s="534"/>
      <c r="AV163" s="532"/>
      <c r="AW163" s="532"/>
      <c r="AX163" s="532"/>
      <c r="AY163" s="532"/>
      <c r="AZ163" s="156"/>
      <c r="BA163" s="156"/>
      <c r="BB163" s="156"/>
      <c r="BC163" s="156"/>
      <c r="BD163" s="156"/>
      <c r="BE163" s="156"/>
      <c r="BF163" s="156"/>
      <c r="BG163" s="156"/>
      <c r="BH163" s="156"/>
      <c r="BI163" s="156"/>
      <c r="BJ163" s="156"/>
      <c r="BK163" s="156"/>
      <c r="BL163" s="156"/>
      <c r="BM163" s="156"/>
      <c r="BN163" s="730"/>
      <c r="BO163" s="156"/>
      <c r="BP163" s="156"/>
      <c r="BQ163" s="156"/>
      <c r="BR163" s="156"/>
      <c r="BS163" s="156"/>
      <c r="BT163" s="533"/>
    </row>
    <row r="164" spans="1:72" s="1" customFormat="1" x14ac:dyDescent="0.35">
      <c r="A164" s="527" t="s">
        <v>54</v>
      </c>
      <c r="B164" s="527"/>
      <c r="C164" s="527"/>
      <c r="D164" s="527"/>
      <c r="E164" s="527"/>
      <c r="F164" s="527"/>
      <c r="G164" s="527"/>
      <c r="H164" s="527"/>
      <c r="I164" s="527"/>
      <c r="J164" s="527"/>
      <c r="K164" s="527"/>
      <c r="L164" s="527"/>
      <c r="M164" s="527"/>
      <c r="N164" s="527"/>
      <c r="O164" s="527"/>
      <c r="P164" s="527"/>
      <c r="Q164" s="527"/>
      <c r="R164" s="527"/>
      <c r="S164" s="527"/>
      <c r="T164" s="527"/>
      <c r="U164" s="527"/>
      <c r="V164" s="527"/>
      <c r="W164" s="527"/>
      <c r="X164" s="527"/>
      <c r="Y164" s="527"/>
      <c r="Z164" s="527"/>
      <c r="AA164" s="527"/>
      <c r="AB164" s="527"/>
      <c r="AC164" s="527"/>
      <c r="AD164" s="527"/>
      <c r="AE164" s="563" t="s">
        <v>386</v>
      </c>
      <c r="AF164" s="563" t="s">
        <v>386</v>
      </c>
      <c r="AG164" s="563" t="s">
        <v>386</v>
      </c>
      <c r="AH164" s="563" t="s">
        <v>386</v>
      </c>
      <c r="AI164" s="527"/>
      <c r="AJ164" s="527"/>
      <c r="AK164" s="527"/>
      <c r="AL164" s="527"/>
      <c r="AM164" s="527"/>
      <c r="AN164" s="527"/>
      <c r="AO164" s="527"/>
      <c r="AP164" s="527"/>
      <c r="AQ164" s="527"/>
      <c r="AR164" s="527"/>
      <c r="AS164" s="527"/>
      <c r="AT164" s="527"/>
      <c r="AU164" s="547"/>
      <c r="AV164" s="527"/>
      <c r="AW164" s="527"/>
      <c r="AX164" s="527"/>
      <c r="AY164" s="527"/>
      <c r="AZ164" s="527"/>
      <c r="BA164" s="527"/>
      <c r="BB164" s="527"/>
      <c r="BC164" s="527"/>
      <c r="BD164" s="527"/>
      <c r="BE164" s="527"/>
      <c r="BF164" s="527"/>
      <c r="BG164" s="527"/>
      <c r="BH164" s="527"/>
      <c r="BI164" s="527"/>
      <c r="BJ164" s="527"/>
      <c r="BK164" s="563" t="s">
        <v>386</v>
      </c>
      <c r="BL164" s="527"/>
      <c r="BM164" s="527"/>
      <c r="BN164" s="547"/>
      <c r="BO164" s="527"/>
      <c r="BP164" s="527"/>
      <c r="BQ164" s="527"/>
      <c r="BR164" s="527"/>
      <c r="BS164" s="527"/>
      <c r="BT164" s="530"/>
    </row>
    <row r="165" spans="1:72" s="1" customFormat="1" outlineLevel="1" x14ac:dyDescent="0.35">
      <c r="A165" s="51" t="s">
        <v>55</v>
      </c>
      <c r="B165" s="307"/>
      <c r="C165" s="530">
        <f t="shared" ref="C165:AU165" si="141">C160</f>
        <v>4.357000000000002</v>
      </c>
      <c r="D165" s="530">
        <f t="shared" si="141"/>
        <v>9.5109999999999921</v>
      </c>
      <c r="E165" s="530">
        <f t="shared" si="141"/>
        <v>11.974999999999987</v>
      </c>
      <c r="F165" s="530">
        <f t="shared" si="141"/>
        <v>2.2679999999999931</v>
      </c>
      <c r="G165" s="530">
        <f t="shared" si="141"/>
        <v>-5.0399999999999698</v>
      </c>
      <c r="H165" s="530">
        <f t="shared" si="141"/>
        <v>-3.664999999999988</v>
      </c>
      <c r="I165" s="530">
        <f t="shared" si="141"/>
        <v>15.948999999999989</v>
      </c>
      <c r="J165" s="530">
        <f t="shared" si="141"/>
        <v>12.355999999999963</v>
      </c>
      <c r="K165" s="530">
        <f t="shared" si="141"/>
        <v>-6.7760000000000291</v>
      </c>
      <c r="L165" s="530">
        <f t="shared" si="141"/>
        <v>12.330999999999998</v>
      </c>
      <c r="M165" s="530">
        <f t="shared" si="141"/>
        <v>17.012999999999977</v>
      </c>
      <c r="N165" s="530">
        <f t="shared" si="141"/>
        <v>-11.579999999999872</v>
      </c>
      <c r="O165" s="530">
        <f t="shared" si="141"/>
        <v>-12.792999999999989</v>
      </c>
      <c r="P165" s="530">
        <f t="shared" si="141"/>
        <v>8.5379999999999914</v>
      </c>
      <c r="Q165" s="530">
        <f t="shared" si="141"/>
        <v>14.273000000000001</v>
      </c>
      <c r="R165" s="530">
        <f t="shared" si="141"/>
        <v>-0.98300000000001397</v>
      </c>
      <c r="S165" s="530">
        <f t="shared" si="141"/>
        <v>-13.832999999999984</v>
      </c>
      <c r="T165" s="530">
        <f t="shared" si="141"/>
        <v>11.652000000000008</v>
      </c>
      <c r="U165" s="530">
        <f t="shared" si="141"/>
        <v>9.1149999999999771</v>
      </c>
      <c r="V165" s="530">
        <f t="shared" si="141"/>
        <v>-6.4830000000000245</v>
      </c>
      <c r="W165" s="530">
        <f t="shared" si="141"/>
        <v>-8.0559999999999867</v>
      </c>
      <c r="X165" s="530">
        <f t="shared" si="141"/>
        <v>13.258999999999999</v>
      </c>
      <c r="Y165" s="530">
        <f t="shared" si="141"/>
        <v>13.070000000000013</v>
      </c>
      <c r="Z165" s="530">
        <f t="shared" si="141"/>
        <v>9.3469999999999462</v>
      </c>
      <c r="AA165" s="530">
        <f t="shared" si="141"/>
        <v>-8.2820000000000231</v>
      </c>
      <c r="AB165" s="529">
        <f t="shared" si="141"/>
        <v>23.712000000000003</v>
      </c>
      <c r="AC165" s="529">
        <f t="shared" si="141"/>
        <v>18.462000000000021</v>
      </c>
      <c r="AD165" s="529">
        <f t="shared" si="141"/>
        <v>3.3169999999999695</v>
      </c>
      <c r="AE165" s="529">
        <f t="shared" si="141"/>
        <v>-9.7300000000000182</v>
      </c>
      <c r="AF165" s="529">
        <f t="shared" si="141"/>
        <v>20.594000000000026</v>
      </c>
      <c r="AG165" s="529">
        <f t="shared" si="141"/>
        <v>8.7540000000000084</v>
      </c>
      <c r="AH165" s="529">
        <f t="shared" si="141"/>
        <v>4.8880000000001527</v>
      </c>
      <c r="AI165" s="529">
        <f t="shared" si="141"/>
        <v>12.665999999999993</v>
      </c>
      <c r="AJ165" s="529">
        <f t="shared" si="141"/>
        <v>24.500999999999951</v>
      </c>
      <c r="AK165" s="529">
        <f t="shared" si="141"/>
        <v>23.788999999999994</v>
      </c>
      <c r="AL165" s="529">
        <f t="shared" si="141"/>
        <v>10.495000000000056</v>
      </c>
      <c r="AM165" s="529">
        <f t="shared" si="141"/>
        <v>-5.8830000000000044</v>
      </c>
      <c r="AN165" s="529">
        <f t="shared" si="141"/>
        <v>42.004000000000026</v>
      </c>
      <c r="AO165" s="529">
        <f t="shared" si="141"/>
        <v>42.918999999999997</v>
      </c>
      <c r="AP165" s="529">
        <f t="shared" si="141"/>
        <v>28.089999999999975</v>
      </c>
      <c r="AQ165" s="529">
        <f t="shared" si="141"/>
        <v>-22.671999999999997</v>
      </c>
      <c r="AR165" s="529">
        <f t="shared" si="141"/>
        <v>50.705000000000027</v>
      </c>
      <c r="AS165" s="529">
        <f t="shared" si="141"/>
        <v>55.46200000000001</v>
      </c>
      <c r="AT165" s="529">
        <f t="shared" si="141"/>
        <v>43.371999999999971</v>
      </c>
      <c r="AU165" s="531">
        <f t="shared" si="141"/>
        <v>4.8779999999999646</v>
      </c>
      <c r="AV165" s="529"/>
      <c r="AW165" s="529"/>
      <c r="AX165" s="529"/>
      <c r="AY165" s="529"/>
      <c r="AZ165" s="750">
        <f t="shared" ref="AZ165:BN165" si="142">AZ160</f>
        <v>12.314999999999971</v>
      </c>
      <c r="BA165" s="750">
        <f t="shared" si="142"/>
        <v>21.525000000000038</v>
      </c>
      <c r="BB165" s="750">
        <f t="shared" si="142"/>
        <v>12.79199999999997</v>
      </c>
      <c r="BC165" s="750">
        <f t="shared" si="142"/>
        <v>17.543000000000017</v>
      </c>
      <c r="BD165" s="750">
        <f t="shared" si="142"/>
        <v>28.111000000000018</v>
      </c>
      <c r="BE165" s="750">
        <f t="shared" si="142"/>
        <v>19.599999999999937</v>
      </c>
      <c r="BF165" s="750">
        <f t="shared" si="142"/>
        <v>10.988000000000021</v>
      </c>
      <c r="BG165" s="750">
        <f t="shared" si="142"/>
        <v>9.0350000000000428</v>
      </c>
      <c r="BH165" s="750">
        <f t="shared" si="142"/>
        <v>0.45099999999996221</v>
      </c>
      <c r="BI165" s="750">
        <f t="shared" si="142"/>
        <v>27.620000000000015</v>
      </c>
      <c r="BJ165" s="726">
        <f t="shared" si="142"/>
        <v>37.208999999999939</v>
      </c>
      <c r="BK165" s="726">
        <f t="shared" si="142"/>
        <v>24.506000000000107</v>
      </c>
      <c r="BL165" s="726">
        <f t="shared" si="142"/>
        <v>71.450999999999951</v>
      </c>
      <c r="BM165" s="726">
        <f t="shared" si="142"/>
        <v>107.12999999999997</v>
      </c>
      <c r="BN165" s="728">
        <f t="shared" si="142"/>
        <v>126.8669999999999</v>
      </c>
      <c r="BO165" s="726"/>
      <c r="BP165" s="726"/>
      <c r="BQ165" s="726"/>
      <c r="BR165" s="726"/>
      <c r="BS165" s="726"/>
      <c r="BT165" s="530"/>
    </row>
    <row r="166" spans="1:72" s="17" customFormat="1" outlineLevel="1" x14ac:dyDescent="0.35">
      <c r="A166" s="208" t="s">
        <v>48</v>
      </c>
      <c r="B166" s="308"/>
      <c r="C166" s="533">
        <f t="shared" ref="C166:AU166" si="143">-C153</f>
        <v>0.22800000000000001</v>
      </c>
      <c r="D166" s="533">
        <f t="shared" si="143"/>
        <v>0.27200000000000002</v>
      </c>
      <c r="E166" s="533">
        <f t="shared" si="143"/>
        <v>0.30599999999999999</v>
      </c>
      <c r="F166" s="533">
        <f t="shared" si="143"/>
        <v>-1.657</v>
      </c>
      <c r="G166" s="533">
        <f t="shared" si="143"/>
        <v>8.4000000000000005E-2</v>
      </c>
      <c r="H166" s="533">
        <f t="shared" si="143"/>
        <v>2.8000000000000001E-2</v>
      </c>
      <c r="I166" s="533">
        <f t="shared" si="143"/>
        <v>1.2E-2</v>
      </c>
      <c r="J166" s="533">
        <f t="shared" si="143"/>
        <v>-5.4999999999999993E-2</v>
      </c>
      <c r="K166" s="533">
        <f t="shared" si="143"/>
        <v>-3.1E-2</v>
      </c>
      <c r="L166" s="533">
        <f t="shared" si="143"/>
        <v>-0.151</v>
      </c>
      <c r="M166" s="533">
        <f t="shared" si="143"/>
        <v>0.315</v>
      </c>
      <c r="N166" s="533">
        <f t="shared" si="143"/>
        <v>3.1579999999999999</v>
      </c>
      <c r="O166" s="533">
        <f t="shared" si="143"/>
        <v>0.30499999999999999</v>
      </c>
      <c r="P166" s="533">
        <f t="shared" si="143"/>
        <v>0.19</v>
      </c>
      <c r="Q166" s="533">
        <f t="shared" si="143"/>
        <v>0.10100000000000001</v>
      </c>
      <c r="R166" s="533">
        <f t="shared" si="143"/>
        <v>2.1000000000000019E-2</v>
      </c>
      <c r="S166" s="533">
        <f t="shared" si="143"/>
        <v>-0.34200000000000003</v>
      </c>
      <c r="T166" s="533">
        <f t="shared" si="143"/>
        <v>-0.26400000000000001</v>
      </c>
      <c r="U166" s="533">
        <f t="shared" si="143"/>
        <v>-0.64100000000000001</v>
      </c>
      <c r="V166" s="533">
        <f t="shared" si="143"/>
        <v>-0.56099999999999994</v>
      </c>
      <c r="W166" s="533">
        <f t="shared" si="143"/>
        <v>-0.23499999999999999</v>
      </c>
      <c r="X166" s="533">
        <f t="shared" si="143"/>
        <v>-3.9E-2</v>
      </c>
      <c r="Y166" s="533">
        <f t="shared" si="143"/>
        <v>-0.26100000000000001</v>
      </c>
      <c r="Z166" s="533">
        <f t="shared" si="143"/>
        <v>-0.42999999999999994</v>
      </c>
      <c r="AA166" s="533">
        <f t="shared" si="143"/>
        <v>-0.316</v>
      </c>
      <c r="AB166" s="532">
        <f t="shared" si="143"/>
        <v>-0.47699999999999998</v>
      </c>
      <c r="AC166" s="532">
        <f t="shared" si="143"/>
        <v>-0.754</v>
      </c>
      <c r="AD166" s="532">
        <f t="shared" si="143"/>
        <v>-1.2140000000000002</v>
      </c>
      <c r="AE166" s="532">
        <f t="shared" si="143"/>
        <v>-0.91</v>
      </c>
      <c r="AF166" s="532">
        <f t="shared" si="143"/>
        <v>-0.441</v>
      </c>
      <c r="AG166" s="532">
        <f t="shared" si="143"/>
        <v>7.5999999999999998E-2</v>
      </c>
      <c r="AH166" s="532">
        <f t="shared" si="143"/>
        <v>0.57700000000000018</v>
      </c>
      <c r="AI166" s="532">
        <f t="shared" si="143"/>
        <v>2.1070000000000002</v>
      </c>
      <c r="AJ166" s="532">
        <f t="shared" si="143"/>
        <v>5.024</v>
      </c>
      <c r="AK166" s="532">
        <f t="shared" si="143"/>
        <v>5.3710000000000004</v>
      </c>
      <c r="AL166" s="532">
        <f t="shared" si="143"/>
        <v>5.4769999999999985</v>
      </c>
      <c r="AM166" s="532">
        <f t="shared" si="143"/>
        <v>1.9930000000000001</v>
      </c>
      <c r="AN166" s="532">
        <f t="shared" si="143"/>
        <v>1.875</v>
      </c>
      <c r="AO166" s="532">
        <f t="shared" si="143"/>
        <v>2.3730000000000002</v>
      </c>
      <c r="AP166" s="532">
        <f t="shared" si="143"/>
        <v>2.0359999999999987</v>
      </c>
      <c r="AQ166" s="532">
        <f t="shared" si="143"/>
        <v>2.0459999999999998</v>
      </c>
      <c r="AR166" s="532">
        <f t="shared" si="143"/>
        <v>2.0819999999999999</v>
      </c>
      <c r="AS166" s="532">
        <f t="shared" si="143"/>
        <v>2.206</v>
      </c>
      <c r="AT166" s="532">
        <f t="shared" si="143"/>
        <v>2.0700000000000007</v>
      </c>
      <c r="AU166" s="534">
        <f t="shared" si="143"/>
        <v>2.0680000000000001</v>
      </c>
      <c r="AV166" s="532"/>
      <c r="AW166" s="532"/>
      <c r="AX166" s="532"/>
      <c r="AY166" s="532"/>
      <c r="AZ166" s="755">
        <f t="shared" ref="AZ166:BN166" si="144">-AZ153</f>
        <v>0.98199999999999998</v>
      </c>
      <c r="BA166" s="755">
        <f t="shared" si="144"/>
        <v>1.331</v>
      </c>
      <c r="BB166" s="755">
        <f t="shared" si="144"/>
        <v>1.2070000000000001</v>
      </c>
      <c r="BC166" s="755">
        <f t="shared" si="144"/>
        <v>0.98899999999999999</v>
      </c>
      <c r="BD166" s="755">
        <f t="shared" si="144"/>
        <v>-0.85099999999999998</v>
      </c>
      <c r="BE166" s="755">
        <f t="shared" si="144"/>
        <v>6.9000000000000006E-2</v>
      </c>
      <c r="BF166" s="755">
        <f t="shared" si="144"/>
        <v>3.2909999999999999</v>
      </c>
      <c r="BG166" s="755">
        <f t="shared" si="144"/>
        <v>0.61699999999999999</v>
      </c>
      <c r="BH166" s="755">
        <f t="shared" si="144"/>
        <v>-1.8080000000000001</v>
      </c>
      <c r="BI166" s="755">
        <f t="shared" si="144"/>
        <v>-0.96499999999999997</v>
      </c>
      <c r="BJ166" s="156">
        <f t="shared" si="144"/>
        <v>-2.7610000000000001</v>
      </c>
      <c r="BK166" s="156">
        <f t="shared" si="144"/>
        <v>-0.69799999999999995</v>
      </c>
      <c r="BL166" s="156">
        <f t="shared" si="144"/>
        <v>17.978999999999999</v>
      </c>
      <c r="BM166" s="156">
        <f t="shared" si="144"/>
        <v>8.2769999999999992</v>
      </c>
      <c r="BN166" s="730">
        <f t="shared" si="144"/>
        <v>8.4039999999999999</v>
      </c>
      <c r="BO166" s="156"/>
      <c r="BP166" s="156"/>
      <c r="BQ166" s="156"/>
      <c r="BR166" s="156"/>
      <c r="BS166" s="156"/>
      <c r="BT166" s="533"/>
    </row>
    <row r="167" spans="1:72" s="17" customFormat="1" outlineLevel="1" x14ac:dyDescent="0.35">
      <c r="A167" s="208" t="s">
        <v>561</v>
      </c>
      <c r="B167" s="308"/>
      <c r="C167" s="533">
        <f t="shared" ref="C167:AU167" si="145">-C154</f>
        <v>0</v>
      </c>
      <c r="D167" s="533">
        <f t="shared" si="145"/>
        <v>0</v>
      </c>
      <c r="E167" s="533">
        <f t="shared" si="145"/>
        <v>0</v>
      </c>
      <c r="F167" s="533">
        <f t="shared" si="145"/>
        <v>0</v>
      </c>
      <c r="G167" s="533">
        <f t="shared" si="145"/>
        <v>0</v>
      </c>
      <c r="H167" s="533">
        <f t="shared" si="145"/>
        <v>0</v>
      </c>
      <c r="I167" s="533">
        <f t="shared" si="145"/>
        <v>0</v>
      </c>
      <c r="J167" s="533">
        <f t="shared" si="145"/>
        <v>0</v>
      </c>
      <c r="K167" s="533">
        <f t="shared" si="145"/>
        <v>0</v>
      </c>
      <c r="L167" s="533">
        <f t="shared" si="145"/>
        <v>0</v>
      </c>
      <c r="M167" s="533">
        <f t="shared" si="145"/>
        <v>0</v>
      </c>
      <c r="N167" s="533">
        <f t="shared" si="145"/>
        <v>0</v>
      </c>
      <c r="O167" s="533">
        <f t="shared" si="145"/>
        <v>0</v>
      </c>
      <c r="P167" s="533">
        <f t="shared" si="145"/>
        <v>0</v>
      </c>
      <c r="Q167" s="533">
        <f t="shared" si="145"/>
        <v>0</v>
      </c>
      <c r="R167" s="533">
        <f t="shared" si="145"/>
        <v>0</v>
      </c>
      <c r="S167" s="533">
        <f t="shared" si="145"/>
        <v>0</v>
      </c>
      <c r="T167" s="533">
        <f t="shared" si="145"/>
        <v>0</v>
      </c>
      <c r="U167" s="533">
        <f t="shared" si="145"/>
        <v>0</v>
      </c>
      <c r="V167" s="533">
        <f t="shared" si="145"/>
        <v>0</v>
      </c>
      <c r="W167" s="533">
        <f t="shared" si="145"/>
        <v>0</v>
      </c>
      <c r="X167" s="533">
        <f t="shared" si="145"/>
        <v>0</v>
      </c>
      <c r="Y167" s="533">
        <f t="shared" si="145"/>
        <v>0</v>
      </c>
      <c r="Z167" s="533">
        <f t="shared" si="145"/>
        <v>0</v>
      </c>
      <c r="AA167" s="533">
        <f t="shared" si="145"/>
        <v>-0.193</v>
      </c>
      <c r="AB167" s="532">
        <f t="shared" si="145"/>
        <v>0.78900000000000003</v>
      </c>
      <c r="AC167" s="532">
        <f t="shared" si="145"/>
        <v>-0.55600000000000005</v>
      </c>
      <c r="AD167" s="532">
        <f t="shared" si="145"/>
        <v>-0.15399999999999997</v>
      </c>
      <c r="AE167" s="532">
        <f t="shared" si="145"/>
        <v>8.0000000000000002E-3</v>
      </c>
      <c r="AF167" s="532">
        <f t="shared" si="145"/>
        <v>-0.36499999999999999</v>
      </c>
      <c r="AG167" s="532">
        <f t="shared" si="145"/>
        <v>1.093</v>
      </c>
      <c r="AH167" s="532">
        <f t="shared" si="145"/>
        <v>-1.008</v>
      </c>
      <c r="AI167" s="532">
        <f t="shared" si="145"/>
        <v>-0.42899999999999999</v>
      </c>
      <c r="AJ167" s="532">
        <f t="shared" si="145"/>
        <v>-1.361</v>
      </c>
      <c r="AK167" s="532">
        <f t="shared" si="145"/>
        <v>-0.48599999999999999</v>
      </c>
      <c r="AL167" s="532">
        <f t="shared" si="145"/>
        <v>-0.55299999999999994</v>
      </c>
      <c r="AM167" s="532">
        <f t="shared" si="145"/>
        <v>8.8999999999999996E-2</v>
      </c>
      <c r="AN167" s="532">
        <f t="shared" si="145"/>
        <v>-3.8839999999999999</v>
      </c>
      <c r="AO167" s="532">
        <f t="shared" si="145"/>
        <v>-0.496</v>
      </c>
      <c r="AP167" s="532">
        <f t="shared" si="145"/>
        <v>5.5679999999999996</v>
      </c>
      <c r="AQ167" s="532">
        <f t="shared" si="145"/>
        <v>-1.0369999999999999</v>
      </c>
      <c r="AR167" s="532">
        <f t="shared" si="145"/>
        <v>-3.9699999999999998</v>
      </c>
      <c r="AS167" s="532">
        <f t="shared" si="145"/>
        <v>-4.5869999999999997</v>
      </c>
      <c r="AT167" s="532">
        <f t="shared" si="145"/>
        <v>-5.8580000000000005</v>
      </c>
      <c r="AU167" s="534">
        <f t="shared" si="145"/>
        <v>-5.165</v>
      </c>
      <c r="AV167" s="532"/>
      <c r="AW167" s="532"/>
      <c r="AX167" s="532"/>
      <c r="AY167" s="532"/>
      <c r="AZ167" s="755">
        <f t="shared" ref="AZ167:BN167" si="146">-AZ154</f>
        <v>0</v>
      </c>
      <c r="BA167" s="755">
        <f t="shared" si="146"/>
        <v>0</v>
      </c>
      <c r="BB167" s="755">
        <f t="shared" si="146"/>
        <v>0</v>
      </c>
      <c r="BC167" s="755">
        <f t="shared" si="146"/>
        <v>0</v>
      </c>
      <c r="BD167" s="755">
        <f t="shared" si="146"/>
        <v>0</v>
      </c>
      <c r="BE167" s="755">
        <f t="shared" si="146"/>
        <v>0</v>
      </c>
      <c r="BF167" s="755">
        <f t="shared" si="146"/>
        <v>0</v>
      </c>
      <c r="BG167" s="755">
        <f t="shared" si="146"/>
        <v>0</v>
      </c>
      <c r="BH167" s="755">
        <f t="shared" si="146"/>
        <v>0</v>
      </c>
      <c r="BI167" s="755">
        <f t="shared" si="146"/>
        <v>0</v>
      </c>
      <c r="BJ167" s="156">
        <f t="shared" si="146"/>
        <v>-0.114</v>
      </c>
      <c r="BK167" s="156">
        <f t="shared" si="146"/>
        <v>-0.27200000000000002</v>
      </c>
      <c r="BL167" s="156">
        <f t="shared" si="146"/>
        <v>-2.8290000000000002</v>
      </c>
      <c r="BM167" s="156">
        <f t="shared" si="146"/>
        <v>1.2769999999999999</v>
      </c>
      <c r="BN167" s="730">
        <f t="shared" si="146"/>
        <v>-15.452</v>
      </c>
      <c r="BO167" s="156"/>
      <c r="BP167" s="156"/>
      <c r="BQ167" s="156"/>
      <c r="BR167" s="156"/>
      <c r="BS167" s="156"/>
      <c r="BT167" s="533"/>
    </row>
    <row r="168" spans="1:72" s="17" customFormat="1" outlineLevel="1" x14ac:dyDescent="0.35">
      <c r="A168" s="208" t="s">
        <v>57</v>
      </c>
      <c r="B168" s="308"/>
      <c r="C168" s="533">
        <f t="shared" ref="C168:AU168" si="147">-C159</f>
        <v>0.187</v>
      </c>
      <c r="D168" s="533">
        <f t="shared" si="147"/>
        <v>-0.191</v>
      </c>
      <c r="E168" s="533">
        <f t="shared" si="147"/>
        <v>-0.55500000000000005</v>
      </c>
      <c r="F168" s="533">
        <f t="shared" si="147"/>
        <v>-1.0179999999999998</v>
      </c>
      <c r="G168" s="533">
        <f t="shared" si="147"/>
        <v>-5.8000000000000003E-2</v>
      </c>
      <c r="H168" s="533">
        <f t="shared" si="147"/>
        <v>-0.58599999999999997</v>
      </c>
      <c r="I168" s="533">
        <f t="shared" si="147"/>
        <v>-0.437</v>
      </c>
      <c r="J168" s="533">
        <f t="shared" si="147"/>
        <v>-0.40299999999999997</v>
      </c>
      <c r="K168" s="533">
        <f t="shared" si="147"/>
        <v>0.187</v>
      </c>
      <c r="L168" s="533">
        <f t="shared" si="147"/>
        <v>-0.37</v>
      </c>
      <c r="M168" s="533">
        <f t="shared" si="147"/>
        <v>-0.48399999999999999</v>
      </c>
      <c r="N168" s="533">
        <f t="shared" si="147"/>
        <v>-0.99499999999999988</v>
      </c>
      <c r="O168" s="533">
        <f t="shared" si="147"/>
        <v>0.129</v>
      </c>
      <c r="P168" s="533">
        <f t="shared" si="147"/>
        <v>-0.65400000000000003</v>
      </c>
      <c r="Q168" s="533">
        <f t="shared" si="147"/>
        <v>-0.60799999999999998</v>
      </c>
      <c r="R168" s="533">
        <f t="shared" si="147"/>
        <v>0.64900000000000002</v>
      </c>
      <c r="S168" s="533">
        <f t="shared" si="147"/>
        <v>0.19600000000000001</v>
      </c>
      <c r="T168" s="533">
        <f t="shared" si="147"/>
        <v>-0.753</v>
      </c>
      <c r="U168" s="533">
        <f t="shared" si="147"/>
        <v>-0.23300000000000001</v>
      </c>
      <c r="V168" s="533">
        <f t="shared" si="147"/>
        <v>-0.12000000000000005</v>
      </c>
      <c r="W168" s="533">
        <f t="shared" si="147"/>
        <v>-0.10299999999999999</v>
      </c>
      <c r="X168" s="533">
        <f t="shared" si="147"/>
        <v>-7.0000000000000007E-2</v>
      </c>
      <c r="Y168" s="533">
        <f t="shared" si="147"/>
        <v>-2.7E-2</v>
      </c>
      <c r="Z168" s="532">
        <f t="shared" si="147"/>
        <v>0</v>
      </c>
      <c r="AA168" s="532">
        <f t="shared" si="147"/>
        <v>0</v>
      </c>
      <c r="AB168" s="532">
        <f t="shared" si="147"/>
        <v>0</v>
      </c>
      <c r="AC168" s="532">
        <f t="shared" si="147"/>
        <v>0</v>
      </c>
      <c r="AD168" s="532">
        <f t="shared" si="147"/>
        <v>0</v>
      </c>
      <c r="AE168" s="532">
        <f t="shared" si="147"/>
        <v>0</v>
      </c>
      <c r="AF168" s="532">
        <f t="shared" si="147"/>
        <v>0</v>
      </c>
      <c r="AG168" s="532">
        <f t="shared" si="147"/>
        <v>0</v>
      </c>
      <c r="AH168" s="532">
        <f t="shared" si="147"/>
        <v>0</v>
      </c>
      <c r="AI168" s="532">
        <f t="shared" si="147"/>
        <v>0</v>
      </c>
      <c r="AJ168" s="532">
        <f t="shared" si="147"/>
        <v>0</v>
      </c>
      <c r="AK168" s="532">
        <f t="shared" si="147"/>
        <v>0</v>
      </c>
      <c r="AL168" s="532">
        <f t="shared" si="147"/>
        <v>0</v>
      </c>
      <c r="AM168" s="532">
        <f t="shared" si="147"/>
        <v>0</v>
      </c>
      <c r="AN168" s="532">
        <f t="shared" si="147"/>
        <v>0</v>
      </c>
      <c r="AO168" s="532">
        <f t="shared" si="147"/>
        <v>0</v>
      </c>
      <c r="AP168" s="532">
        <f t="shared" si="147"/>
        <v>0</v>
      </c>
      <c r="AQ168" s="532">
        <f t="shared" si="147"/>
        <v>0</v>
      </c>
      <c r="AR168" s="532">
        <f t="shared" si="147"/>
        <v>0</v>
      </c>
      <c r="AS168" s="532">
        <f t="shared" si="147"/>
        <v>0</v>
      </c>
      <c r="AT168" s="532">
        <f t="shared" si="147"/>
        <v>0</v>
      </c>
      <c r="AU168" s="534">
        <f t="shared" si="147"/>
        <v>0</v>
      </c>
      <c r="AV168" s="532"/>
      <c r="AW168" s="532"/>
      <c r="AX168" s="532"/>
      <c r="AY168" s="532"/>
      <c r="AZ168" s="755">
        <f t="shared" ref="AZ168:BN168" si="148">-AZ159</f>
        <v>-0.58599999999999997</v>
      </c>
      <c r="BA168" s="755">
        <f t="shared" si="148"/>
        <v>-0.63800000000000001</v>
      </c>
      <c r="BB168" s="755">
        <f t="shared" si="148"/>
        <v>-1.127</v>
      </c>
      <c r="BC168" s="755">
        <f t="shared" si="148"/>
        <v>-1.4339999999999999</v>
      </c>
      <c r="BD168" s="755">
        <f t="shared" si="148"/>
        <v>-1.577</v>
      </c>
      <c r="BE168" s="755">
        <f t="shared" si="148"/>
        <v>-1.484</v>
      </c>
      <c r="BF168" s="755">
        <f t="shared" si="148"/>
        <v>-1.6619999999999999</v>
      </c>
      <c r="BG168" s="755">
        <f t="shared" si="148"/>
        <v>-0.48399999999999999</v>
      </c>
      <c r="BH168" s="755">
        <f t="shared" si="148"/>
        <v>-0.91</v>
      </c>
      <c r="BI168" s="755">
        <f t="shared" si="148"/>
        <v>-0.2</v>
      </c>
      <c r="BJ168" s="156">
        <f t="shared" si="148"/>
        <v>0</v>
      </c>
      <c r="BK168" s="156">
        <f t="shared" si="148"/>
        <v>0</v>
      </c>
      <c r="BL168" s="156">
        <f t="shared" si="148"/>
        <v>0</v>
      </c>
      <c r="BM168" s="156">
        <f t="shared" si="148"/>
        <v>0</v>
      </c>
      <c r="BN168" s="730">
        <f t="shared" si="148"/>
        <v>0</v>
      </c>
      <c r="BO168" s="156"/>
      <c r="BP168" s="156"/>
      <c r="BQ168" s="156"/>
      <c r="BR168" s="156"/>
      <c r="BS168" s="156"/>
      <c r="BT168" s="533"/>
    </row>
    <row r="169" spans="1:72" s="17" customFormat="1" outlineLevel="1" x14ac:dyDescent="0.35">
      <c r="A169" s="208" t="s">
        <v>45</v>
      </c>
      <c r="B169" s="308"/>
      <c r="C169" s="533">
        <f t="shared" ref="C169:AU169" si="149">-C151</f>
        <v>0</v>
      </c>
      <c r="D169" s="533">
        <f t="shared" si="149"/>
        <v>0</v>
      </c>
      <c r="E169" s="533">
        <f t="shared" si="149"/>
        <v>0</v>
      </c>
      <c r="F169" s="533">
        <f t="shared" si="149"/>
        <v>0</v>
      </c>
      <c r="G169" s="533">
        <f t="shared" si="149"/>
        <v>0</v>
      </c>
      <c r="H169" s="533">
        <f t="shared" si="149"/>
        <v>0</v>
      </c>
      <c r="I169" s="533">
        <f t="shared" si="149"/>
        <v>0</v>
      </c>
      <c r="J169" s="533">
        <f t="shared" si="149"/>
        <v>-6.4039999999999999</v>
      </c>
      <c r="K169" s="533">
        <f t="shared" si="149"/>
        <v>0</v>
      </c>
      <c r="L169" s="533">
        <f t="shared" si="149"/>
        <v>0</v>
      </c>
      <c r="M169" s="533">
        <f t="shared" si="149"/>
        <v>0</v>
      </c>
      <c r="N169" s="533">
        <f t="shared" si="149"/>
        <v>0</v>
      </c>
      <c r="O169" s="533">
        <f t="shared" si="149"/>
        <v>0</v>
      </c>
      <c r="P169" s="533">
        <f t="shared" si="149"/>
        <v>0</v>
      </c>
      <c r="Q169" s="533">
        <f t="shared" si="149"/>
        <v>0</v>
      </c>
      <c r="R169" s="533">
        <f t="shared" si="149"/>
        <v>0</v>
      </c>
      <c r="S169" s="533">
        <f t="shared" si="149"/>
        <v>0</v>
      </c>
      <c r="T169" s="533">
        <f t="shared" si="149"/>
        <v>0</v>
      </c>
      <c r="U169" s="533">
        <f t="shared" si="149"/>
        <v>0</v>
      </c>
      <c r="V169" s="533">
        <f t="shared" si="149"/>
        <v>0</v>
      </c>
      <c r="W169" s="533">
        <f t="shared" si="149"/>
        <v>0</v>
      </c>
      <c r="X169" s="533">
        <f t="shared" si="149"/>
        <v>0</v>
      </c>
      <c r="Y169" s="533">
        <f t="shared" si="149"/>
        <v>0</v>
      </c>
      <c r="Z169" s="532">
        <f t="shared" si="149"/>
        <v>0</v>
      </c>
      <c r="AA169" s="532">
        <f t="shared" si="149"/>
        <v>0</v>
      </c>
      <c r="AB169" s="532">
        <f t="shared" si="149"/>
        <v>0</v>
      </c>
      <c r="AC169" s="532">
        <f t="shared" si="149"/>
        <v>0</v>
      </c>
      <c r="AD169" s="532">
        <f t="shared" si="149"/>
        <v>0</v>
      </c>
      <c r="AE169" s="532">
        <f t="shared" si="149"/>
        <v>0</v>
      </c>
      <c r="AF169" s="532">
        <f t="shared" si="149"/>
        <v>0</v>
      </c>
      <c r="AG169" s="532">
        <f t="shared" si="149"/>
        <v>0</v>
      </c>
      <c r="AH169" s="532">
        <f t="shared" si="149"/>
        <v>0</v>
      </c>
      <c r="AI169" s="532">
        <f t="shared" si="149"/>
        <v>0</v>
      </c>
      <c r="AJ169" s="532">
        <f t="shared" si="149"/>
        <v>0</v>
      </c>
      <c r="AK169" s="532">
        <f t="shared" si="149"/>
        <v>0</v>
      </c>
      <c r="AL169" s="532">
        <f t="shared" si="149"/>
        <v>0</v>
      </c>
      <c r="AM169" s="532">
        <f t="shared" si="149"/>
        <v>0</v>
      </c>
      <c r="AN169" s="532">
        <f t="shared" si="149"/>
        <v>0</v>
      </c>
      <c r="AO169" s="532">
        <f t="shared" si="149"/>
        <v>0</v>
      </c>
      <c r="AP169" s="532">
        <f t="shared" si="149"/>
        <v>0</v>
      </c>
      <c r="AQ169" s="532">
        <f t="shared" si="149"/>
        <v>0</v>
      </c>
      <c r="AR169" s="532">
        <f t="shared" si="149"/>
        <v>0</v>
      </c>
      <c r="AS169" s="532">
        <f t="shared" si="149"/>
        <v>0</v>
      </c>
      <c r="AT169" s="532">
        <f t="shared" si="149"/>
        <v>0</v>
      </c>
      <c r="AU169" s="534">
        <f t="shared" si="149"/>
        <v>0</v>
      </c>
      <c r="AV169" s="532"/>
      <c r="AW169" s="532"/>
      <c r="AX169" s="532"/>
      <c r="AY169" s="532"/>
      <c r="AZ169" s="755">
        <f t="shared" ref="AZ169:BN169" si="150">-AZ151</f>
        <v>0</v>
      </c>
      <c r="BA169" s="755">
        <f t="shared" si="150"/>
        <v>0</v>
      </c>
      <c r="BB169" s="755">
        <f t="shared" si="150"/>
        <v>0</v>
      </c>
      <c r="BC169" s="755">
        <f t="shared" si="150"/>
        <v>0</v>
      </c>
      <c r="BD169" s="755">
        <f t="shared" si="150"/>
        <v>0</v>
      </c>
      <c r="BE169" s="755">
        <f t="shared" si="150"/>
        <v>-6.4039999999999999</v>
      </c>
      <c r="BF169" s="755">
        <f t="shared" si="150"/>
        <v>0</v>
      </c>
      <c r="BG169" s="755">
        <f t="shared" si="150"/>
        <v>0</v>
      </c>
      <c r="BH169" s="755">
        <f t="shared" si="150"/>
        <v>0</v>
      </c>
      <c r="BI169" s="755">
        <f t="shared" si="150"/>
        <v>0</v>
      </c>
      <c r="BJ169" s="156">
        <f t="shared" si="150"/>
        <v>0</v>
      </c>
      <c r="BK169" s="156">
        <f t="shared" si="150"/>
        <v>0</v>
      </c>
      <c r="BL169" s="156">
        <f t="shared" si="150"/>
        <v>0</v>
      </c>
      <c r="BM169" s="156">
        <f t="shared" si="150"/>
        <v>0</v>
      </c>
      <c r="BN169" s="730">
        <f t="shared" si="150"/>
        <v>0</v>
      </c>
      <c r="BO169" s="156"/>
      <c r="BP169" s="156"/>
      <c r="BQ169" s="156"/>
      <c r="BR169" s="156"/>
      <c r="BS169" s="156"/>
      <c r="BT169" s="533"/>
    </row>
    <row r="170" spans="1:72" s="17" customFormat="1" outlineLevel="1" x14ac:dyDescent="0.35">
      <c r="A170" s="208" t="s">
        <v>47</v>
      </c>
      <c r="B170" s="308"/>
      <c r="C170" s="532">
        <f t="shared" ref="C170:AU170" si="151">-C157</f>
        <v>0</v>
      </c>
      <c r="D170" s="532">
        <f t="shared" si="151"/>
        <v>0</v>
      </c>
      <c r="E170" s="532">
        <f t="shared" si="151"/>
        <v>0</v>
      </c>
      <c r="F170" s="532">
        <f t="shared" si="151"/>
        <v>0</v>
      </c>
      <c r="G170" s="532">
        <f t="shared" si="151"/>
        <v>0</v>
      </c>
      <c r="H170" s="532">
        <f t="shared" si="151"/>
        <v>0</v>
      </c>
      <c r="I170" s="532">
        <f t="shared" si="151"/>
        <v>0</v>
      </c>
      <c r="J170" s="532">
        <f t="shared" si="151"/>
        <v>0</v>
      </c>
      <c r="K170" s="532">
        <f t="shared" si="151"/>
        <v>0</v>
      </c>
      <c r="L170" s="532">
        <f t="shared" si="151"/>
        <v>0</v>
      </c>
      <c r="M170" s="532">
        <f t="shared" si="151"/>
        <v>0</v>
      </c>
      <c r="N170" s="532">
        <f t="shared" si="151"/>
        <v>0</v>
      </c>
      <c r="O170" s="532">
        <f t="shared" si="151"/>
        <v>0</v>
      </c>
      <c r="P170" s="532">
        <f t="shared" si="151"/>
        <v>0</v>
      </c>
      <c r="Q170" s="532">
        <f t="shared" si="151"/>
        <v>0</v>
      </c>
      <c r="R170" s="532">
        <f t="shared" si="151"/>
        <v>0</v>
      </c>
      <c r="S170" s="532">
        <f t="shared" si="151"/>
        <v>0</v>
      </c>
      <c r="T170" s="532">
        <f t="shared" si="151"/>
        <v>0</v>
      </c>
      <c r="U170" s="532">
        <f t="shared" si="151"/>
        <v>0</v>
      </c>
      <c r="V170" s="532">
        <f t="shared" si="151"/>
        <v>0</v>
      </c>
      <c r="W170" s="532">
        <f t="shared" si="151"/>
        <v>0</v>
      </c>
      <c r="X170" s="532">
        <f t="shared" si="151"/>
        <v>0</v>
      </c>
      <c r="Y170" s="532">
        <f t="shared" si="151"/>
        <v>0</v>
      </c>
      <c r="Z170" s="532">
        <f t="shared" si="151"/>
        <v>0</v>
      </c>
      <c r="AA170" s="533">
        <f t="shared" si="151"/>
        <v>9.7000000000000003E-2</v>
      </c>
      <c r="AB170" s="532">
        <f t="shared" si="151"/>
        <v>0.192</v>
      </c>
      <c r="AC170" s="532">
        <f t="shared" si="151"/>
        <v>0.27300000000000002</v>
      </c>
      <c r="AD170" s="532">
        <f t="shared" si="151"/>
        <v>6.9999999999999951E-2</v>
      </c>
      <c r="AE170" s="532">
        <f t="shared" si="151"/>
        <v>6.2E-2</v>
      </c>
      <c r="AF170" s="532">
        <f t="shared" si="151"/>
        <v>0.125</v>
      </c>
      <c r="AG170" s="532">
        <f t="shared" si="151"/>
        <v>0.157</v>
      </c>
      <c r="AH170" s="532">
        <f t="shared" si="151"/>
        <v>3.6000000000000032E-2</v>
      </c>
      <c r="AI170" s="532">
        <f t="shared" si="151"/>
        <v>9.6000000000000002E-2</v>
      </c>
      <c r="AJ170" s="532">
        <f t="shared" si="151"/>
        <v>-0.35399999999999998</v>
      </c>
      <c r="AK170" s="532">
        <f t="shared" si="151"/>
        <v>-0.39600000000000002</v>
      </c>
      <c r="AL170" s="532">
        <f t="shared" si="151"/>
        <v>-3.0000000000000027E-2</v>
      </c>
      <c r="AM170" s="532">
        <f t="shared" si="151"/>
        <v>-0.28299999999999997</v>
      </c>
      <c r="AN170" s="532">
        <f t="shared" si="151"/>
        <v>0.99199999999999999</v>
      </c>
      <c r="AO170" s="532">
        <f t="shared" si="151"/>
        <v>-0.91800000000000004</v>
      </c>
      <c r="AP170" s="532">
        <f t="shared" si="151"/>
        <v>6.4999999999999974E-2</v>
      </c>
      <c r="AQ170" s="532">
        <f t="shared" si="151"/>
        <v>0.45100000000000001</v>
      </c>
      <c r="AR170" s="532">
        <f t="shared" si="151"/>
        <v>0.39600000000000002</v>
      </c>
      <c r="AS170" s="532">
        <f t="shared" si="151"/>
        <v>-0.40699999999999997</v>
      </c>
      <c r="AT170" s="532">
        <f t="shared" si="151"/>
        <v>-0.10599999999999998</v>
      </c>
      <c r="AU170" s="534">
        <f t="shared" si="151"/>
        <v>3.0000000000000001E-3</v>
      </c>
      <c r="AV170" s="532"/>
      <c r="AW170" s="532"/>
      <c r="AX170" s="532"/>
      <c r="AY170" s="532"/>
      <c r="AZ170" s="156">
        <f t="shared" ref="AZ170:BN170" si="152">-AZ157</f>
        <v>0</v>
      </c>
      <c r="BA170" s="156">
        <f t="shared" si="152"/>
        <v>0</v>
      </c>
      <c r="BB170" s="156">
        <f t="shared" si="152"/>
        <v>0</v>
      </c>
      <c r="BC170" s="156">
        <f t="shared" si="152"/>
        <v>0</v>
      </c>
      <c r="BD170" s="156">
        <f t="shared" si="152"/>
        <v>0</v>
      </c>
      <c r="BE170" s="156">
        <f t="shared" si="152"/>
        <v>0</v>
      </c>
      <c r="BF170" s="156">
        <f t="shared" si="152"/>
        <v>0</v>
      </c>
      <c r="BG170" s="156">
        <f t="shared" si="152"/>
        <v>0</v>
      </c>
      <c r="BH170" s="156">
        <f t="shared" si="152"/>
        <v>0</v>
      </c>
      <c r="BI170" s="156">
        <f t="shared" si="152"/>
        <v>0</v>
      </c>
      <c r="BJ170" s="156">
        <f t="shared" si="152"/>
        <v>0.63200000000000001</v>
      </c>
      <c r="BK170" s="156">
        <f t="shared" si="152"/>
        <v>0.38</v>
      </c>
      <c r="BL170" s="156">
        <f t="shared" si="152"/>
        <v>-0.68400000000000005</v>
      </c>
      <c r="BM170" s="156">
        <f t="shared" si="152"/>
        <v>-0.14399999999999999</v>
      </c>
      <c r="BN170" s="730">
        <f t="shared" si="152"/>
        <v>0.33400000000000002</v>
      </c>
      <c r="BO170" s="156"/>
      <c r="BP170" s="156"/>
      <c r="BQ170" s="156"/>
      <c r="BR170" s="156"/>
      <c r="BS170" s="156"/>
      <c r="BT170" s="533"/>
    </row>
    <row r="171" spans="1:72" s="17" customFormat="1" outlineLevel="1" x14ac:dyDescent="0.35">
      <c r="A171" s="208" t="s">
        <v>46</v>
      </c>
      <c r="B171" s="308"/>
      <c r="C171" s="532">
        <f t="shared" ref="C171:AU171" si="153">-C152</f>
        <v>0</v>
      </c>
      <c r="D171" s="532">
        <f t="shared" si="153"/>
        <v>0</v>
      </c>
      <c r="E171" s="532">
        <f t="shared" si="153"/>
        <v>0</v>
      </c>
      <c r="F171" s="532">
        <f t="shared" si="153"/>
        <v>0</v>
      </c>
      <c r="G171" s="532">
        <f t="shared" si="153"/>
        <v>0</v>
      </c>
      <c r="H171" s="532">
        <f t="shared" si="153"/>
        <v>0</v>
      </c>
      <c r="I171" s="532">
        <f t="shared" si="153"/>
        <v>0</v>
      </c>
      <c r="J171" s="532">
        <f t="shared" si="153"/>
        <v>0</v>
      </c>
      <c r="K171" s="532">
        <f t="shared" si="153"/>
        <v>0</v>
      </c>
      <c r="L171" s="532">
        <f t="shared" si="153"/>
        <v>0</v>
      </c>
      <c r="M171" s="532">
        <f t="shared" si="153"/>
        <v>0</v>
      </c>
      <c r="N171" s="532">
        <f t="shared" si="153"/>
        <v>0</v>
      </c>
      <c r="O171" s="532">
        <f t="shared" si="153"/>
        <v>0</v>
      </c>
      <c r="P171" s="532">
        <f t="shared" si="153"/>
        <v>0</v>
      </c>
      <c r="Q171" s="532">
        <f t="shared" si="153"/>
        <v>0</v>
      </c>
      <c r="R171" s="532">
        <f t="shared" si="153"/>
        <v>0</v>
      </c>
      <c r="S171" s="532">
        <f t="shared" si="153"/>
        <v>0</v>
      </c>
      <c r="T171" s="532">
        <f t="shared" si="153"/>
        <v>0</v>
      </c>
      <c r="U171" s="532">
        <f t="shared" si="153"/>
        <v>0</v>
      </c>
      <c r="V171" s="533">
        <f t="shared" si="153"/>
        <v>10</v>
      </c>
      <c r="W171" s="532">
        <f t="shared" si="153"/>
        <v>0</v>
      </c>
      <c r="X171" s="532">
        <f t="shared" si="153"/>
        <v>0</v>
      </c>
      <c r="Y171" s="532">
        <f t="shared" si="153"/>
        <v>0</v>
      </c>
      <c r="Z171" s="532">
        <f t="shared" si="153"/>
        <v>0</v>
      </c>
      <c r="AA171" s="532">
        <f t="shared" si="153"/>
        <v>0</v>
      </c>
      <c r="AB171" s="532">
        <f t="shared" si="153"/>
        <v>0</v>
      </c>
      <c r="AC171" s="532">
        <f t="shared" si="153"/>
        <v>0</v>
      </c>
      <c r="AD171" s="532">
        <f t="shared" si="153"/>
        <v>0</v>
      </c>
      <c r="AE171" s="532">
        <f t="shared" si="153"/>
        <v>0</v>
      </c>
      <c r="AF171" s="532">
        <f t="shared" si="153"/>
        <v>0</v>
      </c>
      <c r="AG171" s="532">
        <f t="shared" si="153"/>
        <v>0</v>
      </c>
      <c r="AH171" s="532">
        <f t="shared" si="153"/>
        <v>0</v>
      </c>
      <c r="AI171" s="532">
        <f t="shared" si="153"/>
        <v>0</v>
      </c>
      <c r="AJ171" s="532">
        <f t="shared" si="153"/>
        <v>0</v>
      </c>
      <c r="AK171" s="532">
        <f t="shared" si="153"/>
        <v>0</v>
      </c>
      <c r="AL171" s="532">
        <f t="shared" si="153"/>
        <v>0</v>
      </c>
      <c r="AM171" s="532">
        <f t="shared" si="153"/>
        <v>0</v>
      </c>
      <c r="AN171" s="532">
        <f t="shared" si="153"/>
        <v>0</v>
      </c>
      <c r="AO171" s="532">
        <f t="shared" si="153"/>
        <v>0</v>
      </c>
      <c r="AP171" s="532">
        <f t="shared" si="153"/>
        <v>0</v>
      </c>
      <c r="AQ171" s="532">
        <f t="shared" si="153"/>
        <v>0</v>
      </c>
      <c r="AR171" s="532">
        <f t="shared" si="153"/>
        <v>0</v>
      </c>
      <c r="AS171" s="532">
        <f t="shared" si="153"/>
        <v>0</v>
      </c>
      <c r="AT171" s="532">
        <f t="shared" si="153"/>
        <v>0</v>
      </c>
      <c r="AU171" s="534">
        <f t="shared" si="153"/>
        <v>0</v>
      </c>
      <c r="AV171" s="532"/>
      <c r="AW171" s="532"/>
      <c r="AX171" s="532"/>
      <c r="AY171" s="532"/>
      <c r="AZ171" s="156">
        <f t="shared" ref="AZ171:BN171" si="154">-AZ152</f>
        <v>0</v>
      </c>
      <c r="BA171" s="156">
        <f t="shared" si="154"/>
        <v>0</v>
      </c>
      <c r="BB171" s="156">
        <f t="shared" si="154"/>
        <v>0</v>
      </c>
      <c r="BC171" s="156">
        <f t="shared" si="154"/>
        <v>0</v>
      </c>
      <c r="BD171" s="156">
        <f t="shared" si="154"/>
        <v>0</v>
      </c>
      <c r="BE171" s="156">
        <f t="shared" si="154"/>
        <v>0</v>
      </c>
      <c r="BF171" s="156">
        <f t="shared" si="154"/>
        <v>0</v>
      </c>
      <c r="BG171" s="156">
        <f t="shared" si="154"/>
        <v>0</v>
      </c>
      <c r="BH171" s="755">
        <f t="shared" si="154"/>
        <v>10</v>
      </c>
      <c r="BI171" s="156">
        <f t="shared" si="154"/>
        <v>0</v>
      </c>
      <c r="BJ171" s="156">
        <f t="shared" si="154"/>
        <v>0</v>
      </c>
      <c r="BK171" s="156">
        <f t="shared" si="154"/>
        <v>0</v>
      </c>
      <c r="BL171" s="156">
        <f t="shared" si="154"/>
        <v>0</v>
      </c>
      <c r="BM171" s="156">
        <f t="shared" si="154"/>
        <v>0</v>
      </c>
      <c r="BN171" s="730">
        <f t="shared" si="154"/>
        <v>0</v>
      </c>
      <c r="BO171" s="156"/>
      <c r="BP171" s="156"/>
      <c r="BQ171" s="156"/>
      <c r="BR171" s="156"/>
      <c r="BS171" s="156"/>
      <c r="BT171" s="533"/>
    </row>
    <row r="172" spans="1:72" s="17" customFormat="1" outlineLevel="1" x14ac:dyDescent="0.35">
      <c r="A172" s="208" t="s">
        <v>50</v>
      </c>
      <c r="B172" s="308"/>
      <c r="C172" s="533">
        <f t="shared" ref="C172:AU172" si="155">-C156</f>
        <v>3.8889999999999998</v>
      </c>
      <c r="D172" s="533">
        <f t="shared" si="155"/>
        <v>6.68</v>
      </c>
      <c r="E172" s="533">
        <f t="shared" si="155"/>
        <v>7.6260000000000003</v>
      </c>
      <c r="F172" s="533">
        <f t="shared" si="155"/>
        <v>1.827999999999999</v>
      </c>
      <c r="G172" s="533">
        <f t="shared" si="155"/>
        <v>-3.45</v>
      </c>
      <c r="H172" s="533">
        <f t="shared" si="155"/>
        <v>-4.6849999999999996</v>
      </c>
      <c r="I172" s="533">
        <f t="shared" si="155"/>
        <v>11.861000000000001</v>
      </c>
      <c r="J172" s="533">
        <f t="shared" si="155"/>
        <v>7.3489999999999984</v>
      </c>
      <c r="K172" s="533">
        <f t="shared" si="155"/>
        <v>-6.5380000000000003</v>
      </c>
      <c r="L172" s="533">
        <f t="shared" si="155"/>
        <v>8.6630000000000003</v>
      </c>
      <c r="M172" s="533">
        <f t="shared" si="155"/>
        <v>10.586</v>
      </c>
      <c r="N172" s="533">
        <f t="shared" si="155"/>
        <v>-6.9009999999999998</v>
      </c>
      <c r="O172" s="533">
        <f t="shared" si="155"/>
        <v>-8.0969999999999995</v>
      </c>
      <c r="P172" s="533">
        <f t="shared" si="155"/>
        <v>6.6529999999999996</v>
      </c>
      <c r="Q172" s="533">
        <f t="shared" si="155"/>
        <v>5.3680000000000003</v>
      </c>
      <c r="R172" s="533">
        <f t="shared" si="155"/>
        <v>0.82200000000000006</v>
      </c>
      <c r="S172" s="533">
        <f t="shared" si="155"/>
        <v>-8.69</v>
      </c>
      <c r="T172" s="533">
        <f t="shared" si="155"/>
        <v>7.6879999999999997</v>
      </c>
      <c r="U172" s="533">
        <f t="shared" si="155"/>
        <v>4.5220000000000002</v>
      </c>
      <c r="V172" s="533">
        <f t="shared" si="155"/>
        <v>1.8759999999999994</v>
      </c>
      <c r="W172" s="533">
        <f t="shared" si="155"/>
        <v>-9.3680000000000003</v>
      </c>
      <c r="X172" s="533">
        <f t="shared" si="155"/>
        <v>0.56399999999999995</v>
      </c>
      <c r="Y172" s="533">
        <f t="shared" si="155"/>
        <v>6.9349999999999996</v>
      </c>
      <c r="Z172" s="533">
        <f t="shared" si="155"/>
        <v>0.95900000000000141</v>
      </c>
      <c r="AA172" s="533">
        <f t="shared" si="155"/>
        <v>-5.0579999999999998</v>
      </c>
      <c r="AB172" s="532">
        <f t="shared" si="155"/>
        <v>9.0739999999999998</v>
      </c>
      <c r="AC172" s="532">
        <f t="shared" si="155"/>
        <v>5.8419999999999996</v>
      </c>
      <c r="AD172" s="532">
        <f t="shared" si="155"/>
        <v>0.66199999999999992</v>
      </c>
      <c r="AE172" s="532">
        <f t="shared" si="155"/>
        <v>-8.8179999999999996</v>
      </c>
      <c r="AF172" s="532">
        <f t="shared" si="155"/>
        <v>10.391999999999999</v>
      </c>
      <c r="AG172" s="532">
        <f t="shared" si="155"/>
        <v>4.4189999999999996</v>
      </c>
      <c r="AH172" s="532">
        <f t="shared" si="155"/>
        <v>2.5480000000000009</v>
      </c>
      <c r="AI172" s="532">
        <f t="shared" si="155"/>
        <v>-2.3759999999999999</v>
      </c>
      <c r="AJ172" s="532">
        <f t="shared" si="155"/>
        <v>10.641999999999999</v>
      </c>
      <c r="AK172" s="532">
        <f t="shared" si="155"/>
        <v>10.275</v>
      </c>
      <c r="AL172" s="532">
        <f t="shared" si="155"/>
        <v>5.9980000000000011</v>
      </c>
      <c r="AM172" s="532">
        <f t="shared" si="155"/>
        <v>-2.8929999999999998</v>
      </c>
      <c r="AN172" s="532">
        <f t="shared" si="155"/>
        <v>15.928000000000001</v>
      </c>
      <c r="AO172" s="532">
        <f t="shared" si="155"/>
        <v>16.716000000000001</v>
      </c>
      <c r="AP172" s="532">
        <f t="shared" si="155"/>
        <v>10.337</v>
      </c>
      <c r="AQ172" s="532">
        <f t="shared" si="155"/>
        <v>-7.5069999999999997</v>
      </c>
      <c r="AR172" s="532">
        <f t="shared" si="155"/>
        <v>18.86</v>
      </c>
      <c r="AS172" s="532">
        <f t="shared" si="155"/>
        <v>19.524999999999999</v>
      </c>
      <c r="AT172" s="532">
        <f t="shared" si="155"/>
        <v>14.467999999999998</v>
      </c>
      <c r="AU172" s="534">
        <f t="shared" si="155"/>
        <v>1.536</v>
      </c>
      <c r="AV172" s="532"/>
      <c r="AW172" s="532"/>
      <c r="AX172" s="532"/>
      <c r="AY172" s="532"/>
      <c r="AZ172" s="755">
        <f t="shared" ref="AZ172:BN172" si="156">-AZ156</f>
        <v>9.6280000000000001</v>
      </c>
      <c r="BA172" s="755">
        <f t="shared" si="156"/>
        <v>13.249000000000001</v>
      </c>
      <c r="BB172" s="755">
        <f t="shared" si="156"/>
        <v>11.342000000000001</v>
      </c>
      <c r="BC172" s="755">
        <f t="shared" si="156"/>
        <v>11.882</v>
      </c>
      <c r="BD172" s="755">
        <f t="shared" si="156"/>
        <v>20.023</v>
      </c>
      <c r="BE172" s="755">
        <f t="shared" si="156"/>
        <v>11.074999999999999</v>
      </c>
      <c r="BF172" s="755">
        <f t="shared" si="156"/>
        <v>5.8100000000000005</v>
      </c>
      <c r="BG172" s="755">
        <f t="shared" si="156"/>
        <v>4.7460000000000004</v>
      </c>
      <c r="BH172" s="755">
        <f t="shared" si="156"/>
        <v>5.3959999999999999</v>
      </c>
      <c r="BI172" s="755">
        <f t="shared" si="156"/>
        <v>-0.91</v>
      </c>
      <c r="BJ172" s="156">
        <f t="shared" si="156"/>
        <v>10.52</v>
      </c>
      <c r="BK172" s="156">
        <f t="shared" si="156"/>
        <v>8.5410000000000004</v>
      </c>
      <c r="BL172" s="156">
        <f t="shared" si="156"/>
        <v>24.539000000000001</v>
      </c>
      <c r="BM172" s="156">
        <f t="shared" si="156"/>
        <v>40.088000000000001</v>
      </c>
      <c r="BN172" s="730">
        <f t="shared" si="156"/>
        <v>45.345999999999997</v>
      </c>
      <c r="BO172" s="156"/>
      <c r="BP172" s="156"/>
      <c r="BQ172" s="156"/>
      <c r="BR172" s="156"/>
      <c r="BS172" s="156"/>
      <c r="BT172" s="533"/>
    </row>
    <row r="173" spans="1:72" s="1" customFormat="1" outlineLevel="1" x14ac:dyDescent="0.35">
      <c r="A173" s="47" t="s">
        <v>545</v>
      </c>
      <c r="B173" s="360"/>
      <c r="C173" s="572">
        <f t="shared" ref="C173:AU173" si="157">SUM(C165:C172)</f>
        <v>8.6610000000000014</v>
      </c>
      <c r="D173" s="572">
        <f t="shared" si="157"/>
        <v>16.271999999999991</v>
      </c>
      <c r="E173" s="572">
        <f t="shared" si="157"/>
        <v>19.351999999999986</v>
      </c>
      <c r="F173" s="572">
        <f t="shared" si="157"/>
        <v>1.4209999999999923</v>
      </c>
      <c r="G173" s="572">
        <f t="shared" si="157"/>
        <v>-8.4639999999999702</v>
      </c>
      <c r="H173" s="572">
        <f t="shared" si="157"/>
        <v>-8.907999999999987</v>
      </c>
      <c r="I173" s="572">
        <f t="shared" si="157"/>
        <v>27.384999999999991</v>
      </c>
      <c r="J173" s="572">
        <f t="shared" si="157"/>
        <v>12.842999999999961</v>
      </c>
      <c r="K173" s="572">
        <f t="shared" si="157"/>
        <v>-13.15800000000003</v>
      </c>
      <c r="L173" s="572">
        <f t="shared" si="157"/>
        <v>20.472999999999999</v>
      </c>
      <c r="M173" s="572">
        <f t="shared" si="157"/>
        <v>27.429999999999978</v>
      </c>
      <c r="N173" s="572">
        <f t="shared" si="157"/>
        <v>-16.31799999999987</v>
      </c>
      <c r="O173" s="572">
        <f t="shared" si="157"/>
        <v>-20.455999999999989</v>
      </c>
      <c r="P173" s="572">
        <f t="shared" si="157"/>
        <v>14.72699999999999</v>
      </c>
      <c r="Q173" s="572">
        <f t="shared" si="157"/>
        <v>19.134</v>
      </c>
      <c r="R173" s="572">
        <f t="shared" si="157"/>
        <v>0.50899999999998613</v>
      </c>
      <c r="S173" s="572">
        <f t="shared" si="157"/>
        <v>-22.668999999999983</v>
      </c>
      <c r="T173" s="572">
        <f t="shared" si="157"/>
        <v>18.323000000000008</v>
      </c>
      <c r="U173" s="572">
        <f t="shared" si="157"/>
        <v>12.762999999999977</v>
      </c>
      <c r="V173" s="572">
        <f t="shared" si="157"/>
        <v>4.7119999999999749</v>
      </c>
      <c r="W173" s="572">
        <f t="shared" si="157"/>
        <v>-17.761999999999986</v>
      </c>
      <c r="X173" s="572">
        <f t="shared" si="157"/>
        <v>13.713999999999999</v>
      </c>
      <c r="Y173" s="572">
        <f t="shared" si="157"/>
        <v>19.717000000000013</v>
      </c>
      <c r="Z173" s="572">
        <f t="shared" si="157"/>
        <v>9.8759999999999479</v>
      </c>
      <c r="AA173" s="573">
        <f t="shared" si="157"/>
        <v>-13.752000000000024</v>
      </c>
      <c r="AB173" s="573">
        <f t="shared" si="157"/>
        <v>33.290000000000006</v>
      </c>
      <c r="AC173" s="573">
        <f t="shared" si="157"/>
        <v>23.267000000000017</v>
      </c>
      <c r="AD173" s="573">
        <f t="shared" si="157"/>
        <v>2.6809999999999694</v>
      </c>
      <c r="AE173" s="573">
        <f t="shared" si="157"/>
        <v>-19.388000000000019</v>
      </c>
      <c r="AF173" s="573">
        <f t="shared" si="157"/>
        <v>30.305000000000028</v>
      </c>
      <c r="AG173" s="573">
        <f t="shared" si="157"/>
        <v>14.499000000000009</v>
      </c>
      <c r="AH173" s="573">
        <f t="shared" si="157"/>
        <v>7.041000000000154</v>
      </c>
      <c r="AI173" s="573">
        <f t="shared" si="157"/>
        <v>12.063999999999993</v>
      </c>
      <c r="AJ173" s="573">
        <f t="shared" si="157"/>
        <v>38.451999999999956</v>
      </c>
      <c r="AK173" s="573">
        <f t="shared" si="157"/>
        <v>38.552999999999997</v>
      </c>
      <c r="AL173" s="573">
        <f t="shared" si="157"/>
        <v>21.387000000000057</v>
      </c>
      <c r="AM173" s="573">
        <f t="shared" si="157"/>
        <v>-6.9770000000000039</v>
      </c>
      <c r="AN173" s="573">
        <f t="shared" si="157"/>
        <v>56.91500000000002</v>
      </c>
      <c r="AO173" s="573">
        <f t="shared" si="157"/>
        <v>60.593999999999994</v>
      </c>
      <c r="AP173" s="573">
        <f t="shared" si="157"/>
        <v>46.095999999999975</v>
      </c>
      <c r="AQ173" s="573">
        <f t="shared" si="157"/>
        <v>-28.718999999999994</v>
      </c>
      <c r="AR173" s="573">
        <f t="shared" si="157"/>
        <v>68.073000000000036</v>
      </c>
      <c r="AS173" s="573">
        <f t="shared" si="157"/>
        <v>72.199000000000012</v>
      </c>
      <c r="AT173" s="573">
        <f t="shared" si="157"/>
        <v>53.94599999999997</v>
      </c>
      <c r="AU173" s="577">
        <f t="shared" si="157"/>
        <v>3.3199999999999639</v>
      </c>
      <c r="AV173" s="572">
        <f t="shared" ref="AV173:AX173" si="158">AV197</f>
        <v>74.895191279999977</v>
      </c>
      <c r="AW173" s="572">
        <f t="shared" si="158"/>
        <v>79.472442214799997</v>
      </c>
      <c r="AX173" s="572">
        <f t="shared" si="158"/>
        <v>61.851261311999991</v>
      </c>
      <c r="AY173" s="572"/>
      <c r="AZ173" s="734">
        <f t="shared" ref="AZ173:BN173" si="159">SUM(AZ165:AZ172)</f>
        <v>22.33899999999997</v>
      </c>
      <c r="BA173" s="734">
        <f t="shared" si="159"/>
        <v>35.467000000000034</v>
      </c>
      <c r="BB173" s="734">
        <f t="shared" si="159"/>
        <v>24.21399999999997</v>
      </c>
      <c r="BC173" s="734">
        <f t="shared" si="159"/>
        <v>28.980000000000018</v>
      </c>
      <c r="BD173" s="734">
        <f t="shared" si="159"/>
        <v>45.706000000000017</v>
      </c>
      <c r="BE173" s="734">
        <f t="shared" si="159"/>
        <v>22.855999999999938</v>
      </c>
      <c r="BF173" s="734">
        <f t="shared" si="159"/>
        <v>18.427000000000021</v>
      </c>
      <c r="BG173" s="734">
        <f t="shared" si="159"/>
        <v>13.914000000000044</v>
      </c>
      <c r="BH173" s="734">
        <f t="shared" si="159"/>
        <v>13.128999999999962</v>
      </c>
      <c r="BI173" s="734">
        <f t="shared" si="159"/>
        <v>25.545000000000016</v>
      </c>
      <c r="BJ173" s="735">
        <f t="shared" si="159"/>
        <v>45.485999999999933</v>
      </c>
      <c r="BK173" s="735">
        <f t="shared" si="159"/>
        <v>32.457000000000107</v>
      </c>
      <c r="BL173" s="735">
        <f t="shared" si="159"/>
        <v>110.45599999999996</v>
      </c>
      <c r="BM173" s="735">
        <f t="shared" si="159"/>
        <v>156.62799999999996</v>
      </c>
      <c r="BN173" s="749">
        <f t="shared" si="159"/>
        <v>165.49899999999991</v>
      </c>
      <c r="BO173" s="734">
        <f>SUM(AU173,AV173,AW173,AX173)</f>
        <v>219.53889480679993</v>
      </c>
      <c r="BP173" s="734" t="e">
        <f>SUM(#REF!,#REF!,#REF!,#REF!)</f>
        <v>#REF!</v>
      </c>
      <c r="BQ173" s="734" t="e">
        <f>BQ197</f>
        <v>#REF!</v>
      </c>
      <c r="BR173" s="734" t="e">
        <f>BR197</f>
        <v>#REF!</v>
      </c>
      <c r="BS173" s="734" t="e">
        <f>BS197</f>
        <v>#REF!</v>
      </c>
      <c r="BT173" s="530"/>
    </row>
    <row r="174" spans="1:72" s="17" customFormat="1" outlineLevel="1" x14ac:dyDescent="0.35">
      <c r="A174" s="208" t="s">
        <v>56</v>
      </c>
      <c r="B174" s="308"/>
      <c r="C174" s="532">
        <f t="shared" ref="C174:AH174" si="160">C203</f>
        <v>2.8719999999999999</v>
      </c>
      <c r="D174" s="532">
        <f t="shared" si="160"/>
        <v>2.9080000000000004</v>
      </c>
      <c r="E174" s="532">
        <f t="shared" si="160"/>
        <v>4.0529999999999999</v>
      </c>
      <c r="F174" s="532">
        <f t="shared" si="160"/>
        <v>4.5410000000000004</v>
      </c>
      <c r="G174" s="532">
        <f t="shared" si="160"/>
        <v>3.68</v>
      </c>
      <c r="H174" s="532">
        <f t="shared" si="160"/>
        <v>8.5300000000000011</v>
      </c>
      <c r="I174" s="532">
        <f t="shared" si="160"/>
        <v>3.9890000000000008</v>
      </c>
      <c r="J174" s="532">
        <f t="shared" si="160"/>
        <v>6.6289999999999978</v>
      </c>
      <c r="K174" s="532">
        <f t="shared" si="160"/>
        <v>4.173</v>
      </c>
      <c r="L174" s="532">
        <f t="shared" si="160"/>
        <v>4.7959999999999994</v>
      </c>
      <c r="M174" s="532">
        <f t="shared" si="160"/>
        <v>4.5020000000000007</v>
      </c>
      <c r="N174" s="532">
        <f t="shared" si="160"/>
        <v>7.8279999999999994</v>
      </c>
      <c r="O174" s="532">
        <f t="shared" si="160"/>
        <v>4.5869999999999997</v>
      </c>
      <c r="P174" s="532">
        <f t="shared" si="160"/>
        <v>4.9540000000000006</v>
      </c>
      <c r="Q174" s="532">
        <f t="shared" si="160"/>
        <v>4.218</v>
      </c>
      <c r="R174" s="532">
        <f t="shared" si="160"/>
        <v>4.8569999999999993</v>
      </c>
      <c r="S174" s="533">
        <f t="shared" si="160"/>
        <v>4.694</v>
      </c>
      <c r="T174" s="533">
        <f t="shared" si="160"/>
        <v>4.5979999999999999</v>
      </c>
      <c r="U174" s="533">
        <f t="shared" si="160"/>
        <v>5.2650000000000006</v>
      </c>
      <c r="V174" s="533">
        <f t="shared" si="160"/>
        <v>8.0409999999999986</v>
      </c>
      <c r="W174" s="533">
        <f t="shared" si="160"/>
        <v>3.0790000000000002</v>
      </c>
      <c r="X174" s="533">
        <f t="shared" si="160"/>
        <v>7.2169999999999987</v>
      </c>
      <c r="Y174" s="533">
        <f t="shared" si="160"/>
        <v>4.5570000000000004</v>
      </c>
      <c r="Z174" s="533">
        <f t="shared" si="160"/>
        <v>5.9640000000000004</v>
      </c>
      <c r="AA174" s="533">
        <f t="shared" si="160"/>
        <v>4.024</v>
      </c>
      <c r="AB174" s="533">
        <f t="shared" si="160"/>
        <v>4.1399999999999997</v>
      </c>
      <c r="AC174" s="533">
        <f t="shared" si="160"/>
        <v>3.9500000000000011</v>
      </c>
      <c r="AD174" s="533">
        <f t="shared" si="160"/>
        <v>4.5619999999999976</v>
      </c>
      <c r="AE174" s="533">
        <f t="shared" si="160"/>
        <v>5.5220000000000002</v>
      </c>
      <c r="AF174" s="533">
        <f t="shared" si="160"/>
        <v>6.1769999999999996</v>
      </c>
      <c r="AG174" s="533">
        <f t="shared" si="160"/>
        <v>6.0860000000000003</v>
      </c>
      <c r="AH174" s="533">
        <f t="shared" si="160"/>
        <v>5.8240000000000016</v>
      </c>
      <c r="AI174" s="533">
        <f t="shared" ref="AI174:AX174" si="161">AI203</f>
        <v>8.8930000000000007</v>
      </c>
      <c r="AJ174" s="533">
        <f t="shared" si="161"/>
        <v>9.0739999999999981</v>
      </c>
      <c r="AK174" s="533">
        <f t="shared" si="161"/>
        <v>12.854000000000003</v>
      </c>
      <c r="AL174" s="533">
        <f t="shared" si="161"/>
        <v>8.5119999999999969</v>
      </c>
      <c r="AM174" s="533">
        <f t="shared" si="161"/>
        <v>8.2859999999999996</v>
      </c>
      <c r="AN174" s="533">
        <f t="shared" si="161"/>
        <v>0.60200000000000031</v>
      </c>
      <c r="AO174" s="533">
        <f t="shared" si="161"/>
        <v>5.5760000000000005</v>
      </c>
      <c r="AP174" s="533">
        <f t="shared" si="161"/>
        <v>4.1059999999999999</v>
      </c>
      <c r="AQ174" s="533">
        <f t="shared" si="161"/>
        <v>5.51</v>
      </c>
      <c r="AR174" s="533">
        <f t="shared" si="161"/>
        <v>4.9410000000000007</v>
      </c>
      <c r="AS174" s="533">
        <f t="shared" si="161"/>
        <v>4.7449999999999992</v>
      </c>
      <c r="AT174" s="533">
        <f t="shared" si="161"/>
        <v>5.1240000000000006</v>
      </c>
      <c r="AU174" s="576">
        <f t="shared" si="161"/>
        <v>8.4260000000000002</v>
      </c>
      <c r="AV174" s="532">
        <f t="shared" si="161"/>
        <v>7</v>
      </c>
      <c r="AW174" s="532">
        <f t="shared" si="161"/>
        <v>7.6</v>
      </c>
      <c r="AX174" s="532">
        <f t="shared" si="161"/>
        <v>7.5</v>
      </c>
      <c r="AY174" s="532"/>
      <c r="AZ174" s="156">
        <f t="shared" ref="AZ174:BN174" si="162">AZ203</f>
        <v>2.79</v>
      </c>
      <c r="BA174" s="156">
        <f t="shared" si="162"/>
        <v>5.9340000000000002</v>
      </c>
      <c r="BB174" s="156">
        <f t="shared" si="162"/>
        <v>9.4659999999999993</v>
      </c>
      <c r="BC174" s="156">
        <f t="shared" si="162"/>
        <v>10.067</v>
      </c>
      <c r="BD174" s="156">
        <f t="shared" si="162"/>
        <v>14.374000000000001</v>
      </c>
      <c r="BE174" s="156">
        <f t="shared" si="162"/>
        <v>22.827999999999999</v>
      </c>
      <c r="BF174" s="156">
        <f t="shared" si="162"/>
        <v>21.298999999999999</v>
      </c>
      <c r="BG174" s="156">
        <f t="shared" si="162"/>
        <v>18.616</v>
      </c>
      <c r="BH174" s="755">
        <f t="shared" si="162"/>
        <v>22.597999999999999</v>
      </c>
      <c r="BI174" s="755">
        <f t="shared" si="162"/>
        <v>20.817</v>
      </c>
      <c r="BJ174" s="755">
        <f t="shared" si="162"/>
        <v>16.675999999999998</v>
      </c>
      <c r="BK174" s="755">
        <f t="shared" si="162"/>
        <v>23.609000000000002</v>
      </c>
      <c r="BL174" s="755">
        <f t="shared" si="162"/>
        <v>39.332999999999998</v>
      </c>
      <c r="BM174" s="755">
        <f t="shared" si="162"/>
        <v>18.57</v>
      </c>
      <c r="BN174" s="756">
        <f t="shared" si="162"/>
        <v>20.32</v>
      </c>
      <c r="BO174" s="156">
        <f>SUM(AU174,AV174,AW174,AX174)</f>
        <v>30.526</v>
      </c>
      <c r="BP174" s="156" t="e">
        <f>SUM(#REF!,#REF!,#REF!,#REF!)</f>
        <v>#REF!</v>
      </c>
      <c r="BQ174" s="156">
        <f>BQ203</f>
        <v>26</v>
      </c>
      <c r="BR174" s="156">
        <f>BR203</f>
        <v>26</v>
      </c>
      <c r="BS174" s="156">
        <f>BS203</f>
        <v>26</v>
      </c>
      <c r="BT174" s="533"/>
    </row>
    <row r="175" spans="1:72" s="17" customFormat="1" outlineLevel="1" x14ac:dyDescent="0.35">
      <c r="A175" s="208" t="s">
        <v>447</v>
      </c>
      <c r="B175" s="308"/>
      <c r="C175" s="532"/>
      <c r="D175" s="532"/>
      <c r="E175" s="532"/>
      <c r="F175" s="532"/>
      <c r="G175" s="532"/>
      <c r="H175" s="532"/>
      <c r="I175" s="532"/>
      <c r="J175" s="532"/>
      <c r="K175" s="532"/>
      <c r="L175" s="532"/>
      <c r="M175" s="532"/>
      <c r="N175" s="532"/>
      <c r="O175" s="532"/>
      <c r="P175" s="532"/>
      <c r="Q175" s="532"/>
      <c r="R175" s="532"/>
      <c r="S175" s="532"/>
      <c r="T175" s="532"/>
      <c r="U175" s="532"/>
      <c r="V175" s="532"/>
      <c r="W175" s="532"/>
      <c r="X175" s="532"/>
      <c r="Y175" s="532"/>
      <c r="Z175" s="532"/>
      <c r="AA175" s="532"/>
      <c r="AB175" s="532"/>
      <c r="AC175" s="532"/>
      <c r="AD175" s="532"/>
      <c r="AE175" s="533">
        <f t="shared" ref="AE175:AX175" si="163">AE85</f>
        <v>0.74299999999999999</v>
      </c>
      <c r="AF175" s="533">
        <f t="shared" si="163"/>
        <v>0.74199999999999999</v>
      </c>
      <c r="AG175" s="533">
        <f t="shared" si="163"/>
        <v>1.7649999999999999</v>
      </c>
      <c r="AH175" s="532">
        <f t="shared" si="163"/>
        <v>2.7629999999999999</v>
      </c>
      <c r="AI175" s="533">
        <f t="shared" si="163"/>
        <v>2.052</v>
      </c>
      <c r="AJ175" s="533">
        <f t="shared" si="163"/>
        <v>2.524</v>
      </c>
      <c r="AK175" s="533">
        <f t="shared" si="163"/>
        <v>3.4990000000000001</v>
      </c>
      <c r="AL175" s="532">
        <f t="shared" si="163"/>
        <v>3.5669999999999984</v>
      </c>
      <c r="AM175" s="533">
        <f t="shared" si="163"/>
        <v>3.2130000000000001</v>
      </c>
      <c r="AN175" s="533">
        <f t="shared" si="163"/>
        <v>3.214</v>
      </c>
      <c r="AO175" s="533">
        <f t="shared" si="163"/>
        <v>3.27</v>
      </c>
      <c r="AP175" s="532">
        <f t="shared" si="163"/>
        <v>3.2710000000000008</v>
      </c>
      <c r="AQ175" s="533">
        <f t="shared" si="163"/>
        <v>3.2890000000000001</v>
      </c>
      <c r="AR175" s="533">
        <f t="shared" si="163"/>
        <v>3.2789999999999999</v>
      </c>
      <c r="AS175" s="533">
        <f t="shared" si="163"/>
        <v>3.2800000000000002</v>
      </c>
      <c r="AT175" s="532">
        <f t="shared" si="163"/>
        <v>5.3520000000000003</v>
      </c>
      <c r="AU175" s="576">
        <f t="shared" si="163"/>
        <v>3.0150000000000001</v>
      </c>
      <c r="AV175" s="532">
        <f t="shared" si="163"/>
        <v>3.3</v>
      </c>
      <c r="AW175" s="532">
        <f t="shared" si="163"/>
        <v>3.1</v>
      </c>
      <c r="AX175" s="532">
        <f t="shared" si="163"/>
        <v>3.1</v>
      </c>
      <c r="AY175" s="532"/>
      <c r="AZ175" s="156"/>
      <c r="BA175" s="156"/>
      <c r="BB175" s="156"/>
      <c r="BC175" s="156"/>
      <c r="BD175" s="156"/>
      <c r="BE175" s="156"/>
      <c r="BF175" s="156"/>
      <c r="BG175" s="156"/>
      <c r="BH175" s="156"/>
      <c r="BI175" s="156"/>
      <c r="BJ175" s="156"/>
      <c r="BK175" s="156">
        <f t="shared" ref="BK175:BS175" si="164">BK85</f>
        <v>6.0129999999999999</v>
      </c>
      <c r="BL175" s="156">
        <f t="shared" si="164"/>
        <v>11.641999999999999</v>
      </c>
      <c r="BM175" s="156">
        <f t="shared" si="164"/>
        <v>12.968</v>
      </c>
      <c r="BN175" s="730">
        <f t="shared" si="164"/>
        <v>15.2</v>
      </c>
      <c r="BO175" s="156">
        <f t="shared" si="164"/>
        <v>12.514999999999999</v>
      </c>
      <c r="BP175" s="156" t="e">
        <f t="shared" si="164"/>
        <v>#REF!</v>
      </c>
      <c r="BQ175" s="156">
        <f t="shared" si="164"/>
        <v>14</v>
      </c>
      <c r="BR175" s="156">
        <f t="shared" si="164"/>
        <v>14</v>
      </c>
      <c r="BS175" s="156">
        <f t="shared" si="164"/>
        <v>14</v>
      </c>
      <c r="BT175" s="533"/>
    </row>
    <row r="176" spans="1:72" s="1" customFormat="1" outlineLevel="1" x14ac:dyDescent="0.35">
      <c r="A176" s="47" t="s">
        <v>546</v>
      </c>
      <c r="B176" s="360"/>
      <c r="C176" s="572">
        <f t="shared" ref="C176:AH176" si="165">C173+C174+C175</f>
        <v>11.533000000000001</v>
      </c>
      <c r="D176" s="572">
        <f t="shared" si="165"/>
        <v>19.179999999999993</v>
      </c>
      <c r="E176" s="572">
        <f t="shared" si="165"/>
        <v>23.404999999999987</v>
      </c>
      <c r="F176" s="572">
        <f t="shared" si="165"/>
        <v>5.9619999999999926</v>
      </c>
      <c r="G176" s="572">
        <f t="shared" si="165"/>
        <v>-4.7839999999999705</v>
      </c>
      <c r="H176" s="572">
        <f t="shared" si="165"/>
        <v>-0.3779999999999859</v>
      </c>
      <c r="I176" s="572">
        <f t="shared" si="165"/>
        <v>31.373999999999992</v>
      </c>
      <c r="J176" s="572">
        <f t="shared" si="165"/>
        <v>19.471999999999959</v>
      </c>
      <c r="K176" s="572">
        <f t="shared" si="165"/>
        <v>-8.9850000000000296</v>
      </c>
      <c r="L176" s="572">
        <f t="shared" si="165"/>
        <v>25.268999999999998</v>
      </c>
      <c r="M176" s="572">
        <f t="shared" si="165"/>
        <v>31.931999999999981</v>
      </c>
      <c r="N176" s="572">
        <f t="shared" si="165"/>
        <v>-8.4899999999998705</v>
      </c>
      <c r="O176" s="572">
        <f t="shared" si="165"/>
        <v>-15.868999999999989</v>
      </c>
      <c r="P176" s="572">
        <f t="shared" si="165"/>
        <v>19.68099999999999</v>
      </c>
      <c r="Q176" s="572">
        <f t="shared" si="165"/>
        <v>23.352</v>
      </c>
      <c r="R176" s="572">
        <f t="shared" si="165"/>
        <v>5.3659999999999854</v>
      </c>
      <c r="S176" s="572">
        <f t="shared" si="165"/>
        <v>-17.974999999999984</v>
      </c>
      <c r="T176" s="572">
        <f t="shared" si="165"/>
        <v>22.921000000000006</v>
      </c>
      <c r="U176" s="572">
        <f t="shared" si="165"/>
        <v>18.027999999999977</v>
      </c>
      <c r="V176" s="572">
        <f t="shared" si="165"/>
        <v>12.752999999999973</v>
      </c>
      <c r="W176" s="572">
        <f t="shared" si="165"/>
        <v>-14.682999999999986</v>
      </c>
      <c r="X176" s="572">
        <f t="shared" si="165"/>
        <v>20.930999999999997</v>
      </c>
      <c r="Y176" s="572">
        <f t="shared" si="165"/>
        <v>24.274000000000015</v>
      </c>
      <c r="Z176" s="572">
        <f t="shared" si="165"/>
        <v>15.839999999999948</v>
      </c>
      <c r="AA176" s="572">
        <f t="shared" si="165"/>
        <v>-9.7280000000000229</v>
      </c>
      <c r="AB176" s="572">
        <f t="shared" si="165"/>
        <v>37.430000000000007</v>
      </c>
      <c r="AC176" s="572">
        <f t="shared" si="165"/>
        <v>27.21700000000002</v>
      </c>
      <c r="AD176" s="572">
        <f t="shared" si="165"/>
        <v>7.2429999999999666</v>
      </c>
      <c r="AE176" s="573">
        <f t="shared" si="165"/>
        <v>-13.123000000000019</v>
      </c>
      <c r="AF176" s="573">
        <f t="shared" si="165"/>
        <v>37.224000000000025</v>
      </c>
      <c r="AG176" s="573">
        <f t="shared" si="165"/>
        <v>22.350000000000009</v>
      </c>
      <c r="AH176" s="572">
        <f t="shared" si="165"/>
        <v>15.628000000000155</v>
      </c>
      <c r="AI176" s="573">
        <f t="shared" ref="AI176:AX176" si="166">AI173+AI174+AI175</f>
        <v>23.008999999999993</v>
      </c>
      <c r="AJ176" s="573">
        <f t="shared" si="166"/>
        <v>50.049999999999955</v>
      </c>
      <c r="AK176" s="573">
        <f t="shared" si="166"/>
        <v>54.905999999999999</v>
      </c>
      <c r="AL176" s="572">
        <f t="shared" si="166"/>
        <v>33.466000000000051</v>
      </c>
      <c r="AM176" s="573">
        <f t="shared" si="166"/>
        <v>4.5219999999999958</v>
      </c>
      <c r="AN176" s="573">
        <f t="shared" si="166"/>
        <v>60.731000000000023</v>
      </c>
      <c r="AO176" s="573">
        <f t="shared" si="166"/>
        <v>69.439999999999984</v>
      </c>
      <c r="AP176" s="572">
        <f t="shared" si="166"/>
        <v>53.472999999999978</v>
      </c>
      <c r="AQ176" s="573">
        <f t="shared" si="166"/>
        <v>-19.919999999999995</v>
      </c>
      <c r="AR176" s="573">
        <f t="shared" si="166"/>
        <v>76.293000000000035</v>
      </c>
      <c r="AS176" s="573">
        <f t="shared" si="166"/>
        <v>80.224000000000018</v>
      </c>
      <c r="AT176" s="572">
        <f t="shared" si="166"/>
        <v>64.421999999999969</v>
      </c>
      <c r="AU176" s="577">
        <f t="shared" si="166"/>
        <v>14.760999999999964</v>
      </c>
      <c r="AV176" s="572">
        <f t="shared" si="166"/>
        <v>85.195191279999975</v>
      </c>
      <c r="AW176" s="572">
        <f t="shared" si="166"/>
        <v>90.172442214799986</v>
      </c>
      <c r="AX176" s="572">
        <f t="shared" si="166"/>
        <v>72.451261311999986</v>
      </c>
      <c r="AY176" s="572"/>
      <c r="AZ176" s="734">
        <f t="shared" ref="AZ176:BS176" si="167">AZ173+AZ174+AZ175</f>
        <v>25.128999999999969</v>
      </c>
      <c r="BA176" s="734">
        <f t="shared" si="167"/>
        <v>41.401000000000032</v>
      </c>
      <c r="BB176" s="734">
        <f t="shared" si="167"/>
        <v>33.679999999999971</v>
      </c>
      <c r="BC176" s="734">
        <f t="shared" si="167"/>
        <v>39.047000000000018</v>
      </c>
      <c r="BD176" s="734">
        <f t="shared" si="167"/>
        <v>60.08000000000002</v>
      </c>
      <c r="BE176" s="734">
        <f t="shared" si="167"/>
        <v>45.683999999999941</v>
      </c>
      <c r="BF176" s="734">
        <f t="shared" si="167"/>
        <v>39.72600000000002</v>
      </c>
      <c r="BG176" s="734">
        <f t="shared" si="167"/>
        <v>32.530000000000044</v>
      </c>
      <c r="BH176" s="734">
        <f t="shared" si="167"/>
        <v>35.726999999999961</v>
      </c>
      <c r="BI176" s="734">
        <f t="shared" si="167"/>
        <v>46.362000000000016</v>
      </c>
      <c r="BJ176" s="734">
        <f t="shared" si="167"/>
        <v>62.161999999999935</v>
      </c>
      <c r="BK176" s="734">
        <f t="shared" si="167"/>
        <v>62.079000000000107</v>
      </c>
      <c r="BL176" s="734">
        <f t="shared" si="167"/>
        <v>161.43099999999995</v>
      </c>
      <c r="BM176" s="734">
        <f t="shared" si="167"/>
        <v>188.16599999999994</v>
      </c>
      <c r="BN176" s="736">
        <f t="shared" si="167"/>
        <v>201.01899999999989</v>
      </c>
      <c r="BO176" s="734">
        <f t="shared" si="167"/>
        <v>262.57989480679993</v>
      </c>
      <c r="BP176" s="734" t="e">
        <f t="shared" si="167"/>
        <v>#REF!</v>
      </c>
      <c r="BQ176" s="734" t="e">
        <f t="shared" si="167"/>
        <v>#REF!</v>
      </c>
      <c r="BR176" s="734" t="e">
        <f t="shared" si="167"/>
        <v>#REF!</v>
      </c>
      <c r="BS176" s="734" t="e">
        <f t="shared" si="167"/>
        <v>#REF!</v>
      </c>
      <c r="BT176" s="530"/>
    </row>
    <row r="177" spans="1:72" s="17" customFormat="1" outlineLevel="1" x14ac:dyDescent="0.35">
      <c r="A177" s="208" t="s">
        <v>448</v>
      </c>
      <c r="B177" s="308"/>
      <c r="C177" s="532">
        <f t="shared" ref="C177:AD177" si="168">C88</f>
        <v>15.661</v>
      </c>
      <c r="D177" s="532">
        <f t="shared" si="168"/>
        <v>16.232999999999997</v>
      </c>
      <c r="E177" s="532">
        <f t="shared" si="168"/>
        <v>16.282000000000004</v>
      </c>
      <c r="F177" s="532">
        <f t="shared" si="168"/>
        <v>17.560999999999993</v>
      </c>
      <c r="G177" s="532">
        <f t="shared" si="168"/>
        <v>16.95</v>
      </c>
      <c r="H177" s="532">
        <f t="shared" si="168"/>
        <v>34.524000000000001</v>
      </c>
      <c r="I177" s="532">
        <f t="shared" si="168"/>
        <v>18.017000000000003</v>
      </c>
      <c r="J177" s="532">
        <f t="shared" si="168"/>
        <v>16.775999999999996</v>
      </c>
      <c r="K177" s="532">
        <f t="shared" si="168"/>
        <v>16.88</v>
      </c>
      <c r="L177" s="532">
        <f t="shared" si="168"/>
        <v>17.629000000000001</v>
      </c>
      <c r="M177" s="532">
        <f t="shared" si="168"/>
        <v>17.764000000000003</v>
      </c>
      <c r="N177" s="532">
        <f t="shared" si="168"/>
        <v>31.527999999999999</v>
      </c>
      <c r="O177" s="532">
        <f t="shared" si="168"/>
        <v>16.565000000000001</v>
      </c>
      <c r="P177" s="532">
        <f t="shared" si="168"/>
        <v>16.469999999999995</v>
      </c>
      <c r="Q177" s="532">
        <f t="shared" si="168"/>
        <v>17.587000000000003</v>
      </c>
      <c r="R177" s="532">
        <f t="shared" si="168"/>
        <v>17.602999999999994</v>
      </c>
      <c r="S177" s="532">
        <f t="shared" si="168"/>
        <v>17.68</v>
      </c>
      <c r="T177" s="532">
        <f t="shared" si="168"/>
        <v>18.695</v>
      </c>
      <c r="U177" s="532">
        <f t="shared" si="168"/>
        <v>19.950000000000003</v>
      </c>
      <c r="V177" s="532">
        <f t="shared" si="168"/>
        <v>17.954999999999998</v>
      </c>
      <c r="W177" s="532">
        <f t="shared" si="168"/>
        <v>20.635999999999999</v>
      </c>
      <c r="X177" s="532">
        <f t="shared" si="168"/>
        <v>18.55</v>
      </c>
      <c r="Y177" s="532">
        <f t="shared" si="168"/>
        <v>18.426000000000002</v>
      </c>
      <c r="Z177" s="532">
        <f t="shared" si="168"/>
        <v>17.648000000000003</v>
      </c>
      <c r="AA177" s="532">
        <f t="shared" si="168"/>
        <v>18.510999999999999</v>
      </c>
      <c r="AB177" s="532">
        <f t="shared" si="168"/>
        <v>17.709999999999997</v>
      </c>
      <c r="AC177" s="532">
        <f t="shared" si="168"/>
        <v>17.038000000000004</v>
      </c>
      <c r="AD177" s="532">
        <f t="shared" si="168"/>
        <v>18.141000000000005</v>
      </c>
      <c r="AE177" s="533">
        <f t="shared" ref="AE177:AX177" si="169">AE88-AE175</f>
        <v>16.403000000000002</v>
      </c>
      <c r="AF177" s="533">
        <f t="shared" si="169"/>
        <v>16.487999999999996</v>
      </c>
      <c r="AG177" s="533">
        <f t="shared" si="169"/>
        <v>16.649000000000001</v>
      </c>
      <c r="AH177" s="532">
        <f t="shared" si="169"/>
        <v>16.537999999999997</v>
      </c>
      <c r="AI177" s="533">
        <f t="shared" si="169"/>
        <v>16.225000000000001</v>
      </c>
      <c r="AJ177" s="533">
        <f t="shared" si="169"/>
        <v>20.637</v>
      </c>
      <c r="AK177" s="533">
        <f t="shared" si="169"/>
        <v>20.100999999999996</v>
      </c>
      <c r="AL177" s="532">
        <f t="shared" si="169"/>
        <v>21.472000000000001</v>
      </c>
      <c r="AM177" s="533">
        <f t="shared" si="169"/>
        <v>20.933999999999997</v>
      </c>
      <c r="AN177" s="533">
        <f t="shared" si="169"/>
        <v>21.966000000000001</v>
      </c>
      <c r="AO177" s="533">
        <f t="shared" si="169"/>
        <v>20.867000000000001</v>
      </c>
      <c r="AP177" s="532">
        <f t="shared" si="169"/>
        <v>21.179000000000002</v>
      </c>
      <c r="AQ177" s="533">
        <f t="shared" si="169"/>
        <v>22.962</v>
      </c>
      <c r="AR177" s="533">
        <f t="shared" si="169"/>
        <v>24.183999999999997</v>
      </c>
      <c r="AS177" s="533">
        <f t="shared" si="169"/>
        <v>23.662000000000006</v>
      </c>
      <c r="AT177" s="532">
        <f t="shared" si="169"/>
        <v>24.349999999999998</v>
      </c>
      <c r="AU177" s="576">
        <f t="shared" si="169"/>
        <v>25.001999999999999</v>
      </c>
      <c r="AV177" s="532">
        <f t="shared" si="169"/>
        <v>26.00141557377049</v>
      </c>
      <c r="AW177" s="532">
        <f t="shared" si="169"/>
        <v>23.631052103395891</v>
      </c>
      <c r="AX177" s="532">
        <f t="shared" si="169"/>
        <v>22.011357626706285</v>
      </c>
      <c r="AY177" s="532"/>
      <c r="AZ177" s="156">
        <f t="shared" ref="AZ177:BJ177" si="170">AZ88</f>
        <v>20.835000000000001</v>
      </c>
      <c r="BA177" s="156">
        <f t="shared" si="170"/>
        <v>25.760999999999999</v>
      </c>
      <c r="BB177" s="156">
        <f t="shared" si="170"/>
        <v>42.933999999999997</v>
      </c>
      <c r="BC177" s="156">
        <f t="shared" si="170"/>
        <v>58.033000000000001</v>
      </c>
      <c r="BD177" s="156">
        <f t="shared" si="170"/>
        <v>65.736999999999995</v>
      </c>
      <c r="BE177" s="156">
        <f t="shared" si="170"/>
        <v>86.266999999999996</v>
      </c>
      <c r="BF177" s="156">
        <f t="shared" si="170"/>
        <v>83.801000000000002</v>
      </c>
      <c r="BG177" s="156">
        <f t="shared" si="170"/>
        <v>68.224999999999994</v>
      </c>
      <c r="BH177" s="156">
        <f t="shared" si="170"/>
        <v>74.28</v>
      </c>
      <c r="BI177" s="156">
        <f t="shared" si="170"/>
        <v>75.260000000000005</v>
      </c>
      <c r="BJ177" s="156">
        <f t="shared" si="170"/>
        <v>71.400000000000006</v>
      </c>
      <c r="BK177" s="156">
        <f t="shared" ref="BK177:BS177" si="171">BK88-BK175</f>
        <v>66.077999999999989</v>
      </c>
      <c r="BL177" s="156">
        <f t="shared" si="171"/>
        <v>78.435000000000002</v>
      </c>
      <c r="BM177" s="156">
        <f t="shared" si="171"/>
        <v>84.945999999999998</v>
      </c>
      <c r="BN177" s="730">
        <f t="shared" si="171"/>
        <v>95.158000000000001</v>
      </c>
      <c r="BO177" s="156">
        <f t="shared" si="171"/>
        <v>96.645825303872684</v>
      </c>
      <c r="BP177" s="156" t="e">
        <f t="shared" si="171"/>
        <v>#REF!</v>
      </c>
      <c r="BQ177" s="156" t="e">
        <f t="shared" si="171"/>
        <v>#REF!</v>
      </c>
      <c r="BR177" s="156" t="e">
        <f t="shared" si="171"/>
        <v>#REF!</v>
      </c>
      <c r="BS177" s="156" t="e">
        <f t="shared" si="171"/>
        <v>#REF!</v>
      </c>
      <c r="BT177" s="533"/>
    </row>
    <row r="178" spans="1:72" s="1" customFormat="1" outlineLevel="1" x14ac:dyDescent="0.35">
      <c r="A178" s="47" t="s">
        <v>58</v>
      </c>
      <c r="B178" s="360"/>
      <c r="C178" s="573">
        <f t="shared" ref="C178:AH178" si="172">C176+C177</f>
        <v>27.194000000000003</v>
      </c>
      <c r="D178" s="573">
        <f t="shared" si="172"/>
        <v>35.41299999999999</v>
      </c>
      <c r="E178" s="573">
        <f t="shared" si="172"/>
        <v>39.686999999999991</v>
      </c>
      <c r="F178" s="573">
        <f t="shared" si="172"/>
        <v>23.522999999999985</v>
      </c>
      <c r="G178" s="573">
        <f t="shared" si="172"/>
        <v>12.166000000000029</v>
      </c>
      <c r="H178" s="573">
        <f t="shared" si="172"/>
        <v>34.146000000000015</v>
      </c>
      <c r="I178" s="573">
        <f t="shared" si="172"/>
        <v>49.390999999999991</v>
      </c>
      <c r="J178" s="573">
        <f t="shared" si="172"/>
        <v>36.247999999999955</v>
      </c>
      <c r="K178" s="573">
        <f t="shared" si="172"/>
        <v>7.8949999999999694</v>
      </c>
      <c r="L178" s="573">
        <f t="shared" si="172"/>
        <v>42.897999999999996</v>
      </c>
      <c r="M178" s="573">
        <f t="shared" si="172"/>
        <v>49.695999999999984</v>
      </c>
      <c r="N178" s="573">
        <f t="shared" si="172"/>
        <v>23.038000000000128</v>
      </c>
      <c r="O178" s="573">
        <f t="shared" si="172"/>
        <v>0.69600000000001216</v>
      </c>
      <c r="P178" s="573">
        <f t="shared" si="172"/>
        <v>36.150999999999982</v>
      </c>
      <c r="Q178" s="573">
        <f t="shared" si="172"/>
        <v>40.939000000000007</v>
      </c>
      <c r="R178" s="573">
        <f t="shared" si="172"/>
        <v>22.96899999999998</v>
      </c>
      <c r="S178" s="573">
        <f t="shared" si="172"/>
        <v>-0.29499999999998394</v>
      </c>
      <c r="T178" s="573">
        <f t="shared" si="172"/>
        <v>41.616000000000007</v>
      </c>
      <c r="U178" s="573">
        <f t="shared" si="172"/>
        <v>37.97799999999998</v>
      </c>
      <c r="V178" s="573">
        <f t="shared" si="172"/>
        <v>30.70799999999997</v>
      </c>
      <c r="W178" s="573">
        <f t="shared" si="172"/>
        <v>5.9530000000000136</v>
      </c>
      <c r="X178" s="573">
        <f t="shared" si="172"/>
        <v>39.480999999999995</v>
      </c>
      <c r="Y178" s="573">
        <f t="shared" si="172"/>
        <v>42.700000000000017</v>
      </c>
      <c r="Z178" s="573">
        <f t="shared" si="172"/>
        <v>33.48799999999995</v>
      </c>
      <c r="AA178" s="573">
        <f t="shared" si="172"/>
        <v>8.7829999999999764</v>
      </c>
      <c r="AB178" s="572">
        <f t="shared" si="172"/>
        <v>55.14</v>
      </c>
      <c r="AC178" s="572">
        <f t="shared" si="172"/>
        <v>44.255000000000024</v>
      </c>
      <c r="AD178" s="572">
        <f t="shared" si="172"/>
        <v>25.383999999999972</v>
      </c>
      <c r="AE178" s="572">
        <f t="shared" si="172"/>
        <v>3.2799999999999834</v>
      </c>
      <c r="AF178" s="572">
        <f t="shared" si="172"/>
        <v>53.712000000000018</v>
      </c>
      <c r="AG178" s="572">
        <f t="shared" si="172"/>
        <v>38.999000000000009</v>
      </c>
      <c r="AH178" s="572">
        <f t="shared" si="172"/>
        <v>32.166000000000153</v>
      </c>
      <c r="AI178" s="572">
        <f t="shared" ref="AI178:AX178" si="173">AI176+AI177</f>
        <v>39.233999999999995</v>
      </c>
      <c r="AJ178" s="572">
        <f t="shared" si="173"/>
        <v>70.686999999999955</v>
      </c>
      <c r="AK178" s="572">
        <f t="shared" si="173"/>
        <v>75.006999999999991</v>
      </c>
      <c r="AL178" s="572">
        <f t="shared" si="173"/>
        <v>54.938000000000052</v>
      </c>
      <c r="AM178" s="572">
        <f t="shared" si="173"/>
        <v>25.455999999999992</v>
      </c>
      <c r="AN178" s="572">
        <f t="shared" si="173"/>
        <v>82.697000000000031</v>
      </c>
      <c r="AO178" s="572">
        <f t="shared" si="173"/>
        <v>90.306999999999988</v>
      </c>
      <c r="AP178" s="572">
        <f t="shared" si="173"/>
        <v>74.651999999999987</v>
      </c>
      <c r="AQ178" s="572">
        <f t="shared" si="173"/>
        <v>3.0420000000000051</v>
      </c>
      <c r="AR178" s="572">
        <f t="shared" si="173"/>
        <v>100.47700000000003</v>
      </c>
      <c r="AS178" s="572">
        <f t="shared" si="173"/>
        <v>103.88600000000002</v>
      </c>
      <c r="AT178" s="572">
        <f t="shared" si="173"/>
        <v>88.771999999999963</v>
      </c>
      <c r="AU178" s="574">
        <f t="shared" si="173"/>
        <v>39.762999999999963</v>
      </c>
      <c r="AV178" s="572">
        <f t="shared" si="173"/>
        <v>111.19660685377046</v>
      </c>
      <c r="AW178" s="572">
        <f t="shared" si="173"/>
        <v>113.80349431819587</v>
      </c>
      <c r="AX178" s="572">
        <f t="shared" si="173"/>
        <v>94.462618938706271</v>
      </c>
      <c r="AY178" s="572"/>
      <c r="AZ178" s="735">
        <f t="shared" ref="AZ178:BS178" si="174">AZ176+AZ177</f>
        <v>45.96399999999997</v>
      </c>
      <c r="BA178" s="735">
        <f t="shared" si="174"/>
        <v>67.162000000000035</v>
      </c>
      <c r="BB178" s="735">
        <f t="shared" si="174"/>
        <v>76.613999999999976</v>
      </c>
      <c r="BC178" s="735">
        <f t="shared" si="174"/>
        <v>97.080000000000013</v>
      </c>
      <c r="BD178" s="735">
        <f t="shared" si="174"/>
        <v>125.81700000000001</v>
      </c>
      <c r="BE178" s="735">
        <f t="shared" si="174"/>
        <v>131.95099999999994</v>
      </c>
      <c r="BF178" s="735">
        <f t="shared" si="174"/>
        <v>123.52700000000002</v>
      </c>
      <c r="BG178" s="735">
        <f t="shared" si="174"/>
        <v>100.75500000000004</v>
      </c>
      <c r="BH178" s="735">
        <f t="shared" si="174"/>
        <v>110.00699999999996</v>
      </c>
      <c r="BI178" s="735">
        <f t="shared" si="174"/>
        <v>121.62200000000001</v>
      </c>
      <c r="BJ178" s="734">
        <f t="shared" si="174"/>
        <v>133.56199999999995</v>
      </c>
      <c r="BK178" s="734">
        <f t="shared" si="174"/>
        <v>128.1570000000001</v>
      </c>
      <c r="BL178" s="734">
        <f t="shared" si="174"/>
        <v>239.86599999999996</v>
      </c>
      <c r="BM178" s="734">
        <f t="shared" si="174"/>
        <v>273.11199999999997</v>
      </c>
      <c r="BN178" s="736">
        <f t="shared" si="174"/>
        <v>296.17699999999991</v>
      </c>
      <c r="BO178" s="734">
        <f t="shared" si="174"/>
        <v>359.22572011067263</v>
      </c>
      <c r="BP178" s="734" t="e">
        <f t="shared" si="174"/>
        <v>#REF!</v>
      </c>
      <c r="BQ178" s="734" t="e">
        <f t="shared" si="174"/>
        <v>#REF!</v>
      </c>
      <c r="BR178" s="734" t="e">
        <f t="shared" si="174"/>
        <v>#REF!</v>
      </c>
      <c r="BS178" s="734" t="e">
        <f t="shared" si="174"/>
        <v>#REF!</v>
      </c>
      <c r="BT178" s="530"/>
    </row>
    <row r="179" spans="1:72" s="17" customFormat="1" outlineLevel="1" x14ac:dyDescent="0.35">
      <c r="A179" s="208" t="s">
        <v>56</v>
      </c>
      <c r="B179" s="308"/>
      <c r="C179" s="532">
        <f t="shared" ref="C179:AH179" si="175">-C174</f>
        <v>-2.8719999999999999</v>
      </c>
      <c r="D179" s="532">
        <f t="shared" si="175"/>
        <v>-2.9080000000000004</v>
      </c>
      <c r="E179" s="532">
        <f t="shared" si="175"/>
        <v>-4.0529999999999999</v>
      </c>
      <c r="F179" s="532">
        <f t="shared" si="175"/>
        <v>-4.5410000000000004</v>
      </c>
      <c r="G179" s="532">
        <f t="shared" si="175"/>
        <v>-3.68</v>
      </c>
      <c r="H179" s="532">
        <f t="shared" si="175"/>
        <v>-8.5300000000000011</v>
      </c>
      <c r="I179" s="532">
        <f t="shared" si="175"/>
        <v>-3.9890000000000008</v>
      </c>
      <c r="J179" s="532">
        <f t="shared" si="175"/>
        <v>-6.6289999999999978</v>
      </c>
      <c r="K179" s="532">
        <f t="shared" si="175"/>
        <v>-4.173</v>
      </c>
      <c r="L179" s="532">
        <f t="shared" si="175"/>
        <v>-4.7959999999999994</v>
      </c>
      <c r="M179" s="532">
        <f t="shared" si="175"/>
        <v>-4.5020000000000007</v>
      </c>
      <c r="N179" s="532">
        <f t="shared" si="175"/>
        <v>-7.8279999999999994</v>
      </c>
      <c r="O179" s="532">
        <f t="shared" si="175"/>
        <v>-4.5869999999999997</v>
      </c>
      <c r="P179" s="532">
        <f t="shared" si="175"/>
        <v>-4.9540000000000006</v>
      </c>
      <c r="Q179" s="532">
        <f t="shared" si="175"/>
        <v>-4.218</v>
      </c>
      <c r="R179" s="532">
        <f t="shared" si="175"/>
        <v>-4.8569999999999993</v>
      </c>
      <c r="S179" s="532">
        <f t="shared" si="175"/>
        <v>-4.694</v>
      </c>
      <c r="T179" s="532">
        <f t="shared" si="175"/>
        <v>-4.5979999999999999</v>
      </c>
      <c r="U179" s="532">
        <f t="shared" si="175"/>
        <v>-5.2650000000000006</v>
      </c>
      <c r="V179" s="532">
        <f t="shared" si="175"/>
        <v>-8.0409999999999986</v>
      </c>
      <c r="W179" s="532">
        <f t="shared" si="175"/>
        <v>-3.0790000000000002</v>
      </c>
      <c r="X179" s="532">
        <f t="shared" si="175"/>
        <v>-7.2169999999999987</v>
      </c>
      <c r="Y179" s="532">
        <f t="shared" si="175"/>
        <v>-4.5570000000000004</v>
      </c>
      <c r="Z179" s="532">
        <f t="shared" si="175"/>
        <v>-5.9640000000000004</v>
      </c>
      <c r="AA179" s="532">
        <f t="shared" si="175"/>
        <v>-4.024</v>
      </c>
      <c r="AB179" s="532">
        <f t="shared" si="175"/>
        <v>-4.1399999999999997</v>
      </c>
      <c r="AC179" s="532">
        <f t="shared" si="175"/>
        <v>-3.9500000000000011</v>
      </c>
      <c r="AD179" s="532">
        <f t="shared" si="175"/>
        <v>-4.5619999999999976</v>
      </c>
      <c r="AE179" s="533">
        <f t="shared" si="175"/>
        <v>-5.5220000000000002</v>
      </c>
      <c r="AF179" s="533">
        <f t="shared" si="175"/>
        <v>-6.1769999999999996</v>
      </c>
      <c r="AG179" s="533">
        <f t="shared" si="175"/>
        <v>-6.0860000000000003</v>
      </c>
      <c r="AH179" s="532">
        <f t="shared" si="175"/>
        <v>-5.8240000000000016</v>
      </c>
      <c r="AI179" s="533">
        <f t="shared" ref="AI179:AX179" si="176">-AI174</f>
        <v>-8.8930000000000007</v>
      </c>
      <c r="AJ179" s="533">
        <f t="shared" si="176"/>
        <v>-9.0739999999999981</v>
      </c>
      <c r="AK179" s="533">
        <f t="shared" si="176"/>
        <v>-12.854000000000003</v>
      </c>
      <c r="AL179" s="532">
        <f t="shared" si="176"/>
        <v>-8.5119999999999969</v>
      </c>
      <c r="AM179" s="533">
        <f t="shared" si="176"/>
        <v>-8.2859999999999996</v>
      </c>
      <c r="AN179" s="533">
        <f t="shared" si="176"/>
        <v>-0.60200000000000031</v>
      </c>
      <c r="AO179" s="533">
        <f t="shared" si="176"/>
        <v>-5.5760000000000005</v>
      </c>
      <c r="AP179" s="532">
        <f t="shared" si="176"/>
        <v>-4.1059999999999999</v>
      </c>
      <c r="AQ179" s="533">
        <f t="shared" si="176"/>
        <v>-5.51</v>
      </c>
      <c r="AR179" s="533">
        <f t="shared" si="176"/>
        <v>-4.9410000000000007</v>
      </c>
      <c r="AS179" s="533">
        <f t="shared" si="176"/>
        <v>-4.7449999999999992</v>
      </c>
      <c r="AT179" s="532">
        <f t="shared" si="176"/>
        <v>-5.1240000000000006</v>
      </c>
      <c r="AU179" s="576">
        <f t="shared" si="176"/>
        <v>-8.4260000000000002</v>
      </c>
      <c r="AV179" s="532">
        <f t="shared" si="176"/>
        <v>-7</v>
      </c>
      <c r="AW179" s="532">
        <f t="shared" si="176"/>
        <v>-7.6</v>
      </c>
      <c r="AX179" s="532">
        <f t="shared" si="176"/>
        <v>-7.5</v>
      </c>
      <c r="AY179" s="532"/>
      <c r="AZ179" s="156">
        <f t="shared" ref="AZ179:BN179" si="177">-AZ174</f>
        <v>-2.79</v>
      </c>
      <c r="BA179" s="156">
        <f t="shared" si="177"/>
        <v>-5.9340000000000002</v>
      </c>
      <c r="BB179" s="156">
        <f t="shared" si="177"/>
        <v>-9.4659999999999993</v>
      </c>
      <c r="BC179" s="156">
        <f t="shared" si="177"/>
        <v>-10.067</v>
      </c>
      <c r="BD179" s="156">
        <f t="shared" si="177"/>
        <v>-14.374000000000001</v>
      </c>
      <c r="BE179" s="156">
        <f t="shared" si="177"/>
        <v>-22.827999999999999</v>
      </c>
      <c r="BF179" s="156">
        <f t="shared" si="177"/>
        <v>-21.298999999999999</v>
      </c>
      <c r="BG179" s="156">
        <f t="shared" si="177"/>
        <v>-18.616</v>
      </c>
      <c r="BH179" s="156">
        <f t="shared" si="177"/>
        <v>-22.597999999999999</v>
      </c>
      <c r="BI179" s="156">
        <f t="shared" si="177"/>
        <v>-20.817</v>
      </c>
      <c r="BJ179" s="156">
        <f t="shared" si="177"/>
        <v>-16.675999999999998</v>
      </c>
      <c r="BK179" s="156">
        <f t="shared" si="177"/>
        <v>-23.609000000000002</v>
      </c>
      <c r="BL179" s="156">
        <f t="shared" si="177"/>
        <v>-39.332999999999998</v>
      </c>
      <c r="BM179" s="156">
        <f t="shared" si="177"/>
        <v>-18.57</v>
      </c>
      <c r="BN179" s="730">
        <f t="shared" si="177"/>
        <v>-20.32</v>
      </c>
      <c r="BO179" s="156">
        <f>SUM(AU179,AV179,AW179,AX179)</f>
        <v>-30.526</v>
      </c>
      <c r="BP179" s="156" t="e">
        <f>SUM(#REF!,#REF!,#REF!,#REF!)</f>
        <v>#REF!</v>
      </c>
      <c r="BQ179" s="156">
        <f>-BQ174</f>
        <v>-26</v>
      </c>
      <c r="BR179" s="156">
        <f>-BR174</f>
        <v>-26</v>
      </c>
      <c r="BS179" s="156">
        <f>-BS174</f>
        <v>-26</v>
      </c>
      <c r="BT179" s="533"/>
    </row>
    <row r="180" spans="1:72" s="17" customFormat="1" outlineLevel="1" x14ac:dyDescent="0.35">
      <c r="A180" s="208" t="str">
        <f>A169</f>
        <v>Realized gain on sale of assets</v>
      </c>
      <c r="B180" s="308"/>
      <c r="C180" s="532">
        <f t="shared" ref="C180:AU180" si="178">-C169</f>
        <v>0</v>
      </c>
      <c r="D180" s="532">
        <f t="shared" si="178"/>
        <v>0</v>
      </c>
      <c r="E180" s="532">
        <f t="shared" si="178"/>
        <v>0</v>
      </c>
      <c r="F180" s="532">
        <f t="shared" si="178"/>
        <v>0</v>
      </c>
      <c r="G180" s="532">
        <f t="shared" si="178"/>
        <v>0</v>
      </c>
      <c r="H180" s="532">
        <f t="shared" si="178"/>
        <v>0</v>
      </c>
      <c r="I180" s="532">
        <f t="shared" si="178"/>
        <v>0</v>
      </c>
      <c r="J180" s="532">
        <f t="shared" si="178"/>
        <v>6.4039999999999999</v>
      </c>
      <c r="K180" s="532">
        <f t="shared" si="178"/>
        <v>0</v>
      </c>
      <c r="L180" s="532">
        <f t="shared" si="178"/>
        <v>0</v>
      </c>
      <c r="M180" s="532">
        <f t="shared" si="178"/>
        <v>0</v>
      </c>
      <c r="N180" s="532">
        <f t="shared" si="178"/>
        <v>0</v>
      </c>
      <c r="O180" s="532">
        <f t="shared" si="178"/>
        <v>0</v>
      </c>
      <c r="P180" s="532">
        <f t="shared" si="178"/>
        <v>0</v>
      </c>
      <c r="Q180" s="532">
        <f t="shared" si="178"/>
        <v>0</v>
      </c>
      <c r="R180" s="532">
        <f t="shared" si="178"/>
        <v>0</v>
      </c>
      <c r="S180" s="532">
        <f t="shared" si="178"/>
        <v>0</v>
      </c>
      <c r="T180" s="532">
        <f t="shared" si="178"/>
        <v>0</v>
      </c>
      <c r="U180" s="532">
        <f t="shared" si="178"/>
        <v>0</v>
      </c>
      <c r="V180" s="532">
        <f t="shared" si="178"/>
        <v>0</v>
      </c>
      <c r="W180" s="532">
        <f t="shared" si="178"/>
        <v>0</v>
      </c>
      <c r="X180" s="532">
        <f t="shared" si="178"/>
        <v>0</v>
      </c>
      <c r="Y180" s="532">
        <f t="shared" si="178"/>
        <v>0</v>
      </c>
      <c r="Z180" s="532">
        <f t="shared" si="178"/>
        <v>0</v>
      </c>
      <c r="AA180" s="532">
        <f t="shared" si="178"/>
        <v>0</v>
      </c>
      <c r="AB180" s="532">
        <f t="shared" si="178"/>
        <v>0</v>
      </c>
      <c r="AC180" s="532">
        <f t="shared" si="178"/>
        <v>0</v>
      </c>
      <c r="AD180" s="532">
        <f t="shared" si="178"/>
        <v>0</v>
      </c>
      <c r="AE180" s="533">
        <f t="shared" si="178"/>
        <v>0</v>
      </c>
      <c r="AF180" s="533">
        <f t="shared" si="178"/>
        <v>0</v>
      </c>
      <c r="AG180" s="533">
        <f t="shared" si="178"/>
        <v>0</v>
      </c>
      <c r="AH180" s="532">
        <f t="shared" si="178"/>
        <v>0</v>
      </c>
      <c r="AI180" s="533">
        <f t="shared" si="178"/>
        <v>0</v>
      </c>
      <c r="AJ180" s="533">
        <f t="shared" si="178"/>
        <v>0</v>
      </c>
      <c r="AK180" s="533">
        <f t="shared" si="178"/>
        <v>0</v>
      </c>
      <c r="AL180" s="532">
        <f t="shared" si="178"/>
        <v>0</v>
      </c>
      <c r="AM180" s="533">
        <f t="shared" si="178"/>
        <v>0</v>
      </c>
      <c r="AN180" s="533">
        <f t="shared" si="178"/>
        <v>0</v>
      </c>
      <c r="AO180" s="533">
        <f t="shared" si="178"/>
        <v>0</v>
      </c>
      <c r="AP180" s="532">
        <f t="shared" si="178"/>
        <v>0</v>
      </c>
      <c r="AQ180" s="533">
        <f t="shared" si="178"/>
        <v>0</v>
      </c>
      <c r="AR180" s="533">
        <f t="shared" si="178"/>
        <v>0</v>
      </c>
      <c r="AS180" s="533">
        <f t="shared" si="178"/>
        <v>0</v>
      </c>
      <c r="AT180" s="532">
        <f t="shared" si="178"/>
        <v>0</v>
      </c>
      <c r="AU180" s="576">
        <f t="shared" si="178"/>
        <v>0</v>
      </c>
      <c r="AV180" s="532"/>
      <c r="AW180" s="532"/>
      <c r="AX180" s="532"/>
      <c r="AY180" s="532"/>
      <c r="AZ180" s="156">
        <f t="shared" ref="AZ180:BN180" si="179">-AZ169</f>
        <v>0</v>
      </c>
      <c r="BA180" s="156">
        <f t="shared" si="179"/>
        <v>0</v>
      </c>
      <c r="BB180" s="156">
        <f t="shared" si="179"/>
        <v>0</v>
      </c>
      <c r="BC180" s="156">
        <f t="shared" si="179"/>
        <v>0</v>
      </c>
      <c r="BD180" s="156">
        <f t="shared" si="179"/>
        <v>0</v>
      </c>
      <c r="BE180" s="156">
        <f t="shared" si="179"/>
        <v>6.4039999999999999</v>
      </c>
      <c r="BF180" s="156">
        <f t="shared" si="179"/>
        <v>0</v>
      </c>
      <c r="BG180" s="156">
        <f t="shared" si="179"/>
        <v>0</v>
      </c>
      <c r="BH180" s="156">
        <f t="shared" si="179"/>
        <v>0</v>
      </c>
      <c r="BI180" s="156">
        <f t="shared" si="179"/>
        <v>0</v>
      </c>
      <c r="BJ180" s="156">
        <f t="shared" si="179"/>
        <v>0</v>
      </c>
      <c r="BK180" s="156">
        <f t="shared" si="179"/>
        <v>0</v>
      </c>
      <c r="BL180" s="156">
        <f t="shared" si="179"/>
        <v>0</v>
      </c>
      <c r="BM180" s="156">
        <f t="shared" si="179"/>
        <v>0</v>
      </c>
      <c r="BN180" s="730">
        <f t="shared" si="179"/>
        <v>0</v>
      </c>
      <c r="BO180" s="156">
        <f>SUM(AU180,AV180,AW180,AX180)</f>
        <v>0</v>
      </c>
      <c r="BP180" s="156" t="e">
        <f>SUM(#REF!,#REF!,#REF!,#REF!)</f>
        <v>#REF!</v>
      </c>
      <c r="BQ180" s="156"/>
      <c r="BR180" s="156"/>
      <c r="BS180" s="156"/>
      <c r="BT180" s="533"/>
    </row>
    <row r="181" spans="1:72" s="1" customFormat="1" outlineLevel="1" x14ac:dyDescent="0.35">
      <c r="A181" s="47" t="s">
        <v>64</v>
      </c>
      <c r="B181" s="360"/>
      <c r="C181" s="573">
        <f t="shared" ref="C181:AH181" si="180">C178+C179+C180</f>
        <v>24.322000000000003</v>
      </c>
      <c r="D181" s="573">
        <f t="shared" si="180"/>
        <v>32.504999999999988</v>
      </c>
      <c r="E181" s="573">
        <f t="shared" si="180"/>
        <v>35.633999999999993</v>
      </c>
      <c r="F181" s="573">
        <f t="shared" si="180"/>
        <v>18.981999999999985</v>
      </c>
      <c r="G181" s="573">
        <f t="shared" si="180"/>
        <v>8.4860000000000291</v>
      </c>
      <c r="H181" s="573">
        <f t="shared" si="180"/>
        <v>25.616000000000014</v>
      </c>
      <c r="I181" s="573">
        <f t="shared" si="180"/>
        <v>45.401999999999987</v>
      </c>
      <c r="J181" s="573">
        <f t="shared" si="180"/>
        <v>36.022999999999954</v>
      </c>
      <c r="K181" s="573">
        <f t="shared" si="180"/>
        <v>3.7219999999999693</v>
      </c>
      <c r="L181" s="573">
        <f t="shared" si="180"/>
        <v>38.101999999999997</v>
      </c>
      <c r="M181" s="573">
        <f t="shared" si="180"/>
        <v>45.193999999999981</v>
      </c>
      <c r="N181" s="573">
        <f t="shared" si="180"/>
        <v>15.210000000000129</v>
      </c>
      <c r="O181" s="573">
        <f t="shared" si="180"/>
        <v>-3.8909999999999876</v>
      </c>
      <c r="P181" s="573">
        <f t="shared" si="180"/>
        <v>31.196999999999981</v>
      </c>
      <c r="Q181" s="573">
        <f t="shared" si="180"/>
        <v>36.721000000000004</v>
      </c>
      <c r="R181" s="573">
        <f t="shared" si="180"/>
        <v>18.111999999999981</v>
      </c>
      <c r="S181" s="573">
        <f t="shared" si="180"/>
        <v>-4.9889999999999839</v>
      </c>
      <c r="T181" s="573">
        <f t="shared" si="180"/>
        <v>37.018000000000008</v>
      </c>
      <c r="U181" s="573">
        <f t="shared" si="180"/>
        <v>32.71299999999998</v>
      </c>
      <c r="V181" s="573">
        <f t="shared" si="180"/>
        <v>22.666999999999973</v>
      </c>
      <c r="W181" s="573">
        <f t="shared" si="180"/>
        <v>2.8740000000000134</v>
      </c>
      <c r="X181" s="573">
        <f t="shared" si="180"/>
        <v>32.263999999999996</v>
      </c>
      <c r="Y181" s="573">
        <f t="shared" si="180"/>
        <v>38.143000000000015</v>
      </c>
      <c r="Z181" s="573">
        <f t="shared" si="180"/>
        <v>27.523999999999951</v>
      </c>
      <c r="AA181" s="573">
        <f t="shared" si="180"/>
        <v>4.7589999999999764</v>
      </c>
      <c r="AB181" s="572">
        <f t="shared" si="180"/>
        <v>51</v>
      </c>
      <c r="AC181" s="572">
        <f t="shared" si="180"/>
        <v>40.305000000000021</v>
      </c>
      <c r="AD181" s="572">
        <f t="shared" si="180"/>
        <v>20.821999999999974</v>
      </c>
      <c r="AE181" s="572">
        <f t="shared" si="180"/>
        <v>-2.2420000000000169</v>
      </c>
      <c r="AF181" s="572">
        <f t="shared" si="180"/>
        <v>47.535000000000018</v>
      </c>
      <c r="AG181" s="572">
        <f t="shared" si="180"/>
        <v>32.913000000000011</v>
      </c>
      <c r="AH181" s="572">
        <f t="shared" si="180"/>
        <v>26.342000000000152</v>
      </c>
      <c r="AI181" s="572">
        <f t="shared" ref="AI181:AX181" si="181">AI178+AI179+AI180</f>
        <v>30.340999999999994</v>
      </c>
      <c r="AJ181" s="572">
        <f t="shared" si="181"/>
        <v>61.612999999999957</v>
      </c>
      <c r="AK181" s="572">
        <f t="shared" si="181"/>
        <v>62.152999999999992</v>
      </c>
      <c r="AL181" s="572">
        <f t="shared" si="181"/>
        <v>46.426000000000059</v>
      </c>
      <c r="AM181" s="572">
        <f t="shared" si="181"/>
        <v>17.169999999999995</v>
      </c>
      <c r="AN181" s="572">
        <f t="shared" si="181"/>
        <v>82.095000000000027</v>
      </c>
      <c r="AO181" s="572">
        <f t="shared" si="181"/>
        <v>84.730999999999995</v>
      </c>
      <c r="AP181" s="572">
        <f t="shared" si="181"/>
        <v>70.545999999999992</v>
      </c>
      <c r="AQ181" s="572">
        <f t="shared" si="181"/>
        <v>-2.4679999999999946</v>
      </c>
      <c r="AR181" s="572">
        <f t="shared" si="181"/>
        <v>95.53600000000003</v>
      </c>
      <c r="AS181" s="572">
        <f t="shared" si="181"/>
        <v>99.14100000000002</v>
      </c>
      <c r="AT181" s="572">
        <f t="shared" si="181"/>
        <v>83.647999999999968</v>
      </c>
      <c r="AU181" s="574">
        <f t="shared" si="181"/>
        <v>31.336999999999961</v>
      </c>
      <c r="AV181" s="572">
        <f t="shared" si="181"/>
        <v>104.19660685377046</v>
      </c>
      <c r="AW181" s="572">
        <f t="shared" si="181"/>
        <v>106.20349431819588</v>
      </c>
      <c r="AX181" s="572">
        <f t="shared" si="181"/>
        <v>86.962618938706271</v>
      </c>
      <c r="AY181" s="572"/>
      <c r="AZ181" s="735">
        <f t="shared" ref="AZ181:BS181" si="182">AZ178+AZ179+AZ180</f>
        <v>43.173999999999971</v>
      </c>
      <c r="BA181" s="735">
        <f t="shared" si="182"/>
        <v>61.228000000000037</v>
      </c>
      <c r="BB181" s="735">
        <f t="shared" si="182"/>
        <v>67.147999999999982</v>
      </c>
      <c r="BC181" s="735">
        <f t="shared" si="182"/>
        <v>87.013000000000005</v>
      </c>
      <c r="BD181" s="735">
        <f t="shared" si="182"/>
        <v>111.44300000000001</v>
      </c>
      <c r="BE181" s="735">
        <f t="shared" si="182"/>
        <v>115.52699999999993</v>
      </c>
      <c r="BF181" s="735">
        <f t="shared" si="182"/>
        <v>102.22800000000001</v>
      </c>
      <c r="BG181" s="735">
        <f t="shared" si="182"/>
        <v>82.139000000000038</v>
      </c>
      <c r="BH181" s="735">
        <f t="shared" si="182"/>
        <v>87.408999999999963</v>
      </c>
      <c r="BI181" s="735">
        <f t="shared" si="182"/>
        <v>100.80500000000001</v>
      </c>
      <c r="BJ181" s="734">
        <f t="shared" si="182"/>
        <v>116.88599999999995</v>
      </c>
      <c r="BK181" s="734">
        <f t="shared" si="182"/>
        <v>104.54800000000009</v>
      </c>
      <c r="BL181" s="734">
        <f t="shared" si="182"/>
        <v>200.53299999999996</v>
      </c>
      <c r="BM181" s="734">
        <f t="shared" si="182"/>
        <v>254.54199999999997</v>
      </c>
      <c r="BN181" s="736">
        <f t="shared" si="182"/>
        <v>275.85699999999991</v>
      </c>
      <c r="BO181" s="734">
        <f t="shared" si="182"/>
        <v>328.69972011067262</v>
      </c>
      <c r="BP181" s="734" t="e">
        <f t="shared" si="182"/>
        <v>#REF!</v>
      </c>
      <c r="BQ181" s="734" t="e">
        <f t="shared" si="182"/>
        <v>#REF!</v>
      </c>
      <c r="BR181" s="734" t="e">
        <f t="shared" si="182"/>
        <v>#REF!</v>
      </c>
      <c r="BS181" s="734" t="e">
        <f t="shared" si="182"/>
        <v>#REF!</v>
      </c>
      <c r="BT181" s="530"/>
    </row>
    <row r="182" spans="1:72" s="1" customFormat="1" outlineLevel="1" x14ac:dyDescent="0.35">
      <c r="A182" s="354"/>
      <c r="B182" s="307"/>
      <c r="C182" s="529"/>
      <c r="D182" s="529"/>
      <c r="E182" s="529"/>
      <c r="F182" s="529"/>
      <c r="G182" s="529"/>
      <c r="H182" s="529"/>
      <c r="I182" s="529"/>
      <c r="J182" s="529"/>
      <c r="K182" s="529"/>
      <c r="L182" s="529"/>
      <c r="M182" s="529"/>
      <c r="N182" s="529"/>
      <c r="O182" s="529"/>
      <c r="P182" s="529"/>
      <c r="Q182" s="529"/>
      <c r="R182" s="529"/>
      <c r="S182" s="529"/>
      <c r="T182" s="529"/>
      <c r="U182" s="529"/>
      <c r="V182" s="529"/>
      <c r="W182" s="529"/>
      <c r="X182" s="529"/>
      <c r="Y182" s="529"/>
      <c r="Z182" s="529"/>
      <c r="AA182" s="529"/>
      <c r="AB182" s="529"/>
      <c r="AC182" s="529"/>
      <c r="AD182" s="529"/>
      <c r="AE182" s="529"/>
      <c r="AF182" s="529"/>
      <c r="AG182" s="529"/>
      <c r="AH182" s="529"/>
      <c r="AI182" s="529"/>
      <c r="AJ182" s="529"/>
      <c r="AK182" s="529"/>
      <c r="AL182" s="529"/>
      <c r="AM182" s="529"/>
      <c r="AN182" s="529"/>
      <c r="AO182" s="529"/>
      <c r="AP182" s="529"/>
      <c r="AQ182" s="529"/>
      <c r="AR182" s="529"/>
      <c r="AS182" s="529"/>
      <c r="AT182" s="529"/>
      <c r="AU182" s="531"/>
      <c r="AV182" s="529"/>
      <c r="AW182" s="529"/>
      <c r="AX182" s="529"/>
      <c r="AY182" s="529"/>
      <c r="AZ182" s="726"/>
      <c r="BA182" s="726"/>
      <c r="BB182" s="726"/>
      <c r="BC182" s="726"/>
      <c r="BD182" s="726"/>
      <c r="BE182" s="726"/>
      <c r="BF182" s="726"/>
      <c r="BG182" s="726"/>
      <c r="BH182" s="726"/>
      <c r="BI182" s="726"/>
      <c r="BJ182" s="726"/>
      <c r="BK182" s="726"/>
      <c r="BL182" s="726"/>
      <c r="BM182" s="726"/>
      <c r="BN182" s="728"/>
      <c r="BO182" s="726"/>
      <c r="BP182" s="726"/>
      <c r="BQ182" s="726"/>
      <c r="BR182" s="726"/>
      <c r="BS182" s="726"/>
      <c r="BT182" s="530"/>
    </row>
    <row r="183" spans="1:72" s="1" customFormat="1" outlineLevel="1" x14ac:dyDescent="0.35">
      <c r="A183" s="51" t="s">
        <v>547</v>
      </c>
      <c r="B183" s="307"/>
      <c r="C183" s="530">
        <f>C160</f>
        <v>4.357000000000002</v>
      </c>
      <c r="D183" s="530">
        <f>D160</f>
        <v>9.5109999999999921</v>
      </c>
      <c r="E183" s="530">
        <f>E160</f>
        <v>11.974999999999987</v>
      </c>
      <c r="F183" s="530">
        <f>F160</f>
        <v>2.2679999999999931</v>
      </c>
      <c r="G183" s="529"/>
      <c r="H183" s="529"/>
      <c r="I183" s="529"/>
      <c r="J183" s="529"/>
      <c r="K183" s="529"/>
      <c r="L183" s="529"/>
      <c r="M183" s="529"/>
      <c r="N183" s="529"/>
      <c r="O183" s="529"/>
      <c r="P183" s="529"/>
      <c r="Q183" s="529"/>
      <c r="R183" s="529"/>
      <c r="S183" s="529"/>
      <c r="T183" s="529"/>
      <c r="U183" s="529"/>
      <c r="V183" s="529"/>
      <c r="W183" s="529"/>
      <c r="X183" s="529"/>
      <c r="Y183" s="529"/>
      <c r="Z183" s="529"/>
      <c r="AA183" s="529"/>
      <c r="AB183" s="529"/>
      <c r="AC183" s="529"/>
      <c r="AD183" s="529"/>
      <c r="AE183" s="529"/>
      <c r="AF183" s="529"/>
      <c r="AG183" s="529"/>
      <c r="AH183" s="529"/>
      <c r="AI183" s="529"/>
      <c r="AJ183" s="529"/>
      <c r="AK183" s="529"/>
      <c r="AL183" s="529"/>
      <c r="AM183" s="529"/>
      <c r="AN183" s="529"/>
      <c r="AO183" s="529"/>
      <c r="AP183" s="529"/>
      <c r="AQ183" s="529"/>
      <c r="AR183" s="529"/>
      <c r="AS183" s="529"/>
      <c r="AT183" s="529"/>
      <c r="AU183" s="531"/>
      <c r="AV183" s="529"/>
      <c r="AW183" s="529"/>
      <c r="AX183" s="529"/>
      <c r="AY183" s="529"/>
      <c r="AZ183" s="726"/>
      <c r="BA183" s="726"/>
      <c r="BB183" s="750">
        <f>BB160</f>
        <v>12.79199999999997</v>
      </c>
      <c r="BC183" s="750">
        <f>BC160</f>
        <v>17.543000000000017</v>
      </c>
      <c r="BD183" s="750">
        <f>BD160</f>
        <v>28.111000000000018</v>
      </c>
      <c r="BE183" s="726"/>
      <c r="BF183" s="726"/>
      <c r="BG183" s="726"/>
      <c r="BH183" s="726"/>
      <c r="BI183" s="726"/>
      <c r="BJ183" s="726"/>
      <c r="BK183" s="726"/>
      <c r="BL183" s="726"/>
      <c r="BM183" s="726"/>
      <c r="BN183" s="728"/>
      <c r="BO183" s="726"/>
      <c r="BP183" s="726"/>
      <c r="BQ183" s="726"/>
      <c r="BR183" s="726"/>
      <c r="BS183" s="726"/>
      <c r="BT183" s="530"/>
    </row>
    <row r="184" spans="1:72" s="17" customFormat="1" outlineLevel="1" x14ac:dyDescent="0.35">
      <c r="A184" s="208" t="s">
        <v>59</v>
      </c>
      <c r="B184" s="308"/>
      <c r="C184" s="638">
        <v>-0.309</v>
      </c>
      <c r="D184" s="638">
        <v>-0.67500000000000004</v>
      </c>
      <c r="E184" s="638">
        <v>-0.84399999999999997</v>
      </c>
      <c r="F184" s="532">
        <f>BD184-SUM(C184,D184,E184)</f>
        <v>-0.15700000000000025</v>
      </c>
      <c r="G184" s="532"/>
      <c r="H184" s="532"/>
      <c r="I184" s="532"/>
      <c r="J184" s="532"/>
      <c r="K184" s="532"/>
      <c r="L184" s="532"/>
      <c r="M184" s="532"/>
      <c r="N184" s="532"/>
      <c r="O184" s="532"/>
      <c r="P184" s="532"/>
      <c r="Q184" s="532"/>
      <c r="R184" s="532"/>
      <c r="S184" s="532"/>
      <c r="T184" s="532"/>
      <c r="U184" s="532"/>
      <c r="V184" s="532"/>
      <c r="W184" s="532"/>
      <c r="X184" s="532"/>
      <c r="Y184" s="532"/>
      <c r="Z184" s="532"/>
      <c r="AA184" s="532"/>
      <c r="AB184" s="532"/>
      <c r="AC184" s="532"/>
      <c r="AD184" s="532"/>
      <c r="AE184" s="532"/>
      <c r="AF184" s="532"/>
      <c r="AG184" s="532"/>
      <c r="AH184" s="532"/>
      <c r="AI184" s="532"/>
      <c r="AJ184" s="532"/>
      <c r="AK184" s="532"/>
      <c r="AL184" s="532"/>
      <c r="AM184" s="532"/>
      <c r="AN184" s="532"/>
      <c r="AO184" s="532"/>
      <c r="AP184" s="532"/>
      <c r="AQ184" s="532"/>
      <c r="AR184" s="532"/>
      <c r="AS184" s="532"/>
      <c r="AT184" s="532"/>
      <c r="AU184" s="534"/>
      <c r="AV184" s="532"/>
      <c r="AW184" s="532"/>
      <c r="AX184" s="532"/>
      <c r="AY184" s="532"/>
      <c r="AZ184" s="156"/>
      <c r="BA184" s="156"/>
      <c r="BB184" s="729">
        <v>-1.0309999999999999</v>
      </c>
      <c r="BC184" s="729">
        <v>-1.252</v>
      </c>
      <c r="BD184" s="729">
        <v>-1.9850000000000001</v>
      </c>
      <c r="BE184" s="156"/>
      <c r="BF184" s="156"/>
      <c r="BG184" s="156"/>
      <c r="BH184" s="156"/>
      <c r="BI184" s="156"/>
      <c r="BJ184" s="156"/>
      <c r="BK184" s="156"/>
      <c r="BL184" s="156"/>
      <c r="BM184" s="156"/>
      <c r="BN184" s="730"/>
      <c r="BO184" s="156"/>
      <c r="BP184" s="156"/>
      <c r="BQ184" s="156"/>
      <c r="BR184" s="156"/>
      <c r="BS184" s="156"/>
      <c r="BT184" s="533"/>
    </row>
    <row r="185" spans="1:72" s="1" customFormat="1" outlineLevel="1" x14ac:dyDescent="0.35">
      <c r="A185" s="47" t="s">
        <v>548</v>
      </c>
      <c r="B185" s="360"/>
      <c r="C185" s="573">
        <f>SUM(C183:C184)</f>
        <v>4.0480000000000018</v>
      </c>
      <c r="D185" s="573">
        <f>SUM(D183:D184)</f>
        <v>8.8359999999999914</v>
      </c>
      <c r="E185" s="573">
        <f>SUM(E183:E184)</f>
        <v>11.130999999999988</v>
      </c>
      <c r="F185" s="573">
        <f>SUM(F183:F184)</f>
        <v>2.1109999999999927</v>
      </c>
      <c r="G185" s="572"/>
      <c r="H185" s="572"/>
      <c r="I185" s="572"/>
      <c r="J185" s="572"/>
      <c r="K185" s="572"/>
      <c r="L185" s="572"/>
      <c r="M185" s="572"/>
      <c r="N185" s="572"/>
      <c r="O185" s="572"/>
      <c r="P185" s="572"/>
      <c r="Q185" s="572"/>
      <c r="R185" s="572"/>
      <c r="S185" s="572"/>
      <c r="T185" s="572"/>
      <c r="U185" s="572"/>
      <c r="V185" s="572"/>
      <c r="W185" s="572"/>
      <c r="X185" s="572"/>
      <c r="Y185" s="572"/>
      <c r="Z185" s="572"/>
      <c r="AA185" s="572"/>
      <c r="AB185" s="572"/>
      <c r="AC185" s="572"/>
      <c r="AD185" s="572"/>
      <c r="AE185" s="572"/>
      <c r="AF185" s="572"/>
      <c r="AG185" s="572"/>
      <c r="AH185" s="572"/>
      <c r="AI185" s="572"/>
      <c r="AJ185" s="572"/>
      <c r="AK185" s="572"/>
      <c r="AL185" s="572"/>
      <c r="AM185" s="572"/>
      <c r="AN185" s="572"/>
      <c r="AO185" s="572"/>
      <c r="AP185" s="572"/>
      <c r="AQ185" s="572"/>
      <c r="AR185" s="572"/>
      <c r="AS185" s="572"/>
      <c r="AT185" s="572"/>
      <c r="AU185" s="574"/>
      <c r="AV185" s="572"/>
      <c r="AW185" s="572"/>
      <c r="AX185" s="572"/>
      <c r="AY185" s="572"/>
      <c r="AZ185" s="734"/>
      <c r="BA185" s="734"/>
      <c r="BB185" s="735">
        <f>SUM(BB183:BB184)</f>
        <v>11.760999999999969</v>
      </c>
      <c r="BC185" s="735">
        <f>SUM(BC183:BC184)</f>
        <v>16.291000000000018</v>
      </c>
      <c r="BD185" s="735">
        <f>SUM(BD183:BD184)</f>
        <v>26.126000000000019</v>
      </c>
      <c r="BE185" s="734"/>
      <c r="BF185" s="734"/>
      <c r="BG185" s="734"/>
      <c r="BH185" s="734"/>
      <c r="BI185" s="734"/>
      <c r="BJ185" s="734"/>
      <c r="BK185" s="734"/>
      <c r="BL185" s="734"/>
      <c r="BM185" s="734"/>
      <c r="BN185" s="736"/>
      <c r="BO185" s="734"/>
      <c r="BP185" s="734"/>
      <c r="BQ185" s="734"/>
      <c r="BR185" s="734"/>
      <c r="BS185" s="734"/>
      <c r="BT185" s="530"/>
    </row>
    <row r="186" spans="1:72" s="17" customFormat="1" outlineLevel="1" x14ac:dyDescent="0.35">
      <c r="A186" s="208" t="s">
        <v>59</v>
      </c>
      <c r="B186" s="308"/>
      <c r="C186" s="638">
        <v>0.309</v>
      </c>
      <c r="D186" s="638">
        <v>0.67500000000000004</v>
      </c>
      <c r="E186" s="638">
        <v>0.84399999999999997</v>
      </c>
      <c r="F186" s="532">
        <f>BD186-SUM(C186,D186,E186)</f>
        <v>0.15700000000000025</v>
      </c>
      <c r="G186" s="532"/>
      <c r="H186" s="532"/>
      <c r="I186" s="532"/>
      <c r="J186" s="532"/>
      <c r="K186" s="532"/>
      <c r="L186" s="532"/>
      <c r="M186" s="532"/>
      <c r="N186" s="532"/>
      <c r="O186" s="532"/>
      <c r="P186" s="532"/>
      <c r="Q186" s="532"/>
      <c r="R186" s="532"/>
      <c r="S186" s="532"/>
      <c r="T186" s="532"/>
      <c r="U186" s="532"/>
      <c r="V186" s="532"/>
      <c r="W186" s="532"/>
      <c r="X186" s="532"/>
      <c r="Y186" s="532"/>
      <c r="Z186" s="532"/>
      <c r="AA186" s="532"/>
      <c r="AB186" s="532"/>
      <c r="AC186" s="532"/>
      <c r="AD186" s="532"/>
      <c r="AE186" s="532"/>
      <c r="AF186" s="532"/>
      <c r="AG186" s="532"/>
      <c r="AH186" s="532"/>
      <c r="AI186" s="532"/>
      <c r="AJ186" s="532"/>
      <c r="AK186" s="532"/>
      <c r="AL186" s="532"/>
      <c r="AM186" s="532"/>
      <c r="AN186" s="532"/>
      <c r="AO186" s="532"/>
      <c r="AP186" s="532"/>
      <c r="AQ186" s="532"/>
      <c r="AR186" s="532"/>
      <c r="AS186" s="532"/>
      <c r="AT186" s="532"/>
      <c r="AU186" s="534"/>
      <c r="AV186" s="532"/>
      <c r="AW186" s="532"/>
      <c r="AX186" s="532"/>
      <c r="AY186" s="532"/>
      <c r="AZ186" s="156"/>
      <c r="BA186" s="156"/>
      <c r="BB186" s="729">
        <v>1.0309999999999999</v>
      </c>
      <c r="BC186" s="729">
        <v>1.252</v>
      </c>
      <c r="BD186" s="729">
        <v>1.9850000000000001</v>
      </c>
      <c r="BE186" s="156"/>
      <c r="BF186" s="156"/>
      <c r="BG186" s="156"/>
      <c r="BH186" s="156"/>
      <c r="BI186" s="156"/>
      <c r="BJ186" s="156"/>
      <c r="BK186" s="156"/>
      <c r="BL186" s="156"/>
      <c r="BM186" s="156"/>
      <c r="BN186" s="730"/>
      <c r="BO186" s="156"/>
      <c r="BP186" s="156"/>
      <c r="BQ186" s="156"/>
      <c r="BR186" s="156"/>
      <c r="BS186" s="156"/>
      <c r="BT186" s="533"/>
    </row>
    <row r="187" spans="1:72" s="1" customFormat="1" outlineLevel="1" x14ac:dyDescent="0.35">
      <c r="A187" s="47" t="s">
        <v>549</v>
      </c>
      <c r="B187" s="360"/>
      <c r="C187" s="573">
        <f>SUM(C185:C186)</f>
        <v>4.357000000000002</v>
      </c>
      <c r="D187" s="573">
        <f>SUM(D185:D186)</f>
        <v>9.5109999999999921</v>
      </c>
      <c r="E187" s="573">
        <f>SUM(E185:E186)</f>
        <v>11.974999999999987</v>
      </c>
      <c r="F187" s="573">
        <f>SUM(F185:F186)</f>
        <v>2.2679999999999927</v>
      </c>
      <c r="G187" s="572"/>
      <c r="H187" s="572"/>
      <c r="I187" s="572"/>
      <c r="J187" s="572"/>
      <c r="K187" s="572"/>
      <c r="L187" s="572"/>
      <c r="M187" s="572"/>
      <c r="N187" s="572"/>
      <c r="O187" s="572"/>
      <c r="P187" s="572"/>
      <c r="Q187" s="572"/>
      <c r="R187" s="572"/>
      <c r="S187" s="572"/>
      <c r="T187" s="572"/>
      <c r="U187" s="572"/>
      <c r="V187" s="572"/>
      <c r="W187" s="572"/>
      <c r="X187" s="572"/>
      <c r="Y187" s="572"/>
      <c r="Z187" s="572"/>
      <c r="AA187" s="572"/>
      <c r="AB187" s="572"/>
      <c r="AC187" s="572"/>
      <c r="AD187" s="572"/>
      <c r="AE187" s="572"/>
      <c r="AF187" s="572"/>
      <c r="AG187" s="572"/>
      <c r="AH187" s="572"/>
      <c r="AI187" s="572"/>
      <c r="AJ187" s="572"/>
      <c r="AK187" s="572"/>
      <c r="AL187" s="572"/>
      <c r="AM187" s="572"/>
      <c r="AN187" s="572"/>
      <c r="AO187" s="572"/>
      <c r="AP187" s="572"/>
      <c r="AQ187" s="572"/>
      <c r="AR187" s="572"/>
      <c r="AS187" s="572"/>
      <c r="AT187" s="572"/>
      <c r="AU187" s="574"/>
      <c r="AV187" s="572"/>
      <c r="AW187" s="572"/>
      <c r="AX187" s="572"/>
      <c r="AY187" s="572"/>
      <c r="AZ187" s="734"/>
      <c r="BA187" s="734"/>
      <c r="BB187" s="735">
        <f>SUM(BB185:BB186)</f>
        <v>12.79199999999997</v>
      </c>
      <c r="BC187" s="735">
        <f>SUM(BC185:BC186)</f>
        <v>17.543000000000017</v>
      </c>
      <c r="BD187" s="735">
        <f>SUM(BD185:BD186)</f>
        <v>28.111000000000018</v>
      </c>
      <c r="BE187" s="734"/>
      <c r="BF187" s="734"/>
      <c r="BG187" s="734"/>
      <c r="BH187" s="734"/>
      <c r="BI187" s="734"/>
      <c r="BJ187" s="734"/>
      <c r="BK187" s="734"/>
      <c r="BL187" s="734"/>
      <c r="BM187" s="734"/>
      <c r="BN187" s="736"/>
      <c r="BO187" s="734"/>
      <c r="BP187" s="734"/>
      <c r="BQ187" s="734"/>
      <c r="BR187" s="734"/>
      <c r="BS187" s="734"/>
      <c r="BT187" s="530"/>
    </row>
    <row r="188" spans="1:72" s="1" customFormat="1" x14ac:dyDescent="0.35">
      <c r="A188" s="354"/>
      <c r="B188" s="307"/>
      <c r="C188" s="529"/>
      <c r="D188" s="529"/>
      <c r="E188" s="529"/>
      <c r="F188" s="529"/>
      <c r="G188" s="529"/>
      <c r="H188" s="529"/>
      <c r="I188" s="529"/>
      <c r="J188" s="529"/>
      <c r="K188" s="529"/>
      <c r="L188" s="529"/>
      <c r="M188" s="529"/>
      <c r="N188" s="529"/>
      <c r="O188" s="529"/>
      <c r="P188" s="529"/>
      <c r="Q188" s="529"/>
      <c r="R188" s="529"/>
      <c r="S188" s="529"/>
      <c r="T188" s="529"/>
      <c r="U188" s="529"/>
      <c r="V188" s="529"/>
      <c r="W188" s="529"/>
      <c r="X188" s="529"/>
      <c r="Y188" s="529"/>
      <c r="Z188" s="529"/>
      <c r="AA188" s="529"/>
      <c r="AB188" s="529"/>
      <c r="AC188" s="529"/>
      <c r="AD188" s="529"/>
      <c r="AE188" s="529"/>
      <c r="AF188" s="529"/>
      <c r="AG188" s="529"/>
      <c r="AH188" s="529"/>
      <c r="AI188" s="529"/>
      <c r="AJ188" s="529"/>
      <c r="AK188" s="529"/>
      <c r="AL188" s="529"/>
      <c r="AM188" s="529"/>
      <c r="AN188" s="529"/>
      <c r="AO188" s="529"/>
      <c r="AP188" s="529"/>
      <c r="AQ188" s="529"/>
      <c r="AR188" s="529"/>
      <c r="AS188" s="529"/>
      <c r="AT188" s="529"/>
      <c r="AU188" s="531"/>
      <c r="AV188" s="529"/>
      <c r="AW188" s="529"/>
      <c r="AX188" s="529"/>
      <c r="AY188" s="529"/>
      <c r="AZ188" s="726"/>
      <c r="BA188" s="726"/>
      <c r="BB188" s="726"/>
      <c r="BC188" s="726"/>
      <c r="BD188" s="726"/>
      <c r="BE188" s="726"/>
      <c r="BF188" s="726"/>
      <c r="BG188" s="726"/>
      <c r="BH188" s="726"/>
      <c r="BI188" s="726"/>
      <c r="BJ188" s="726"/>
      <c r="BK188" s="726"/>
      <c r="BL188" s="726"/>
      <c r="BM188" s="726"/>
      <c r="BN188" s="728"/>
      <c r="BO188" s="726"/>
      <c r="BP188" s="726"/>
      <c r="BQ188" s="726"/>
      <c r="BR188" s="726"/>
      <c r="BS188" s="726"/>
      <c r="BT188" s="530"/>
    </row>
    <row r="189" spans="1:72" s="1" customFormat="1" x14ac:dyDescent="0.35">
      <c r="A189" s="527" t="s">
        <v>60</v>
      </c>
      <c r="B189" s="527"/>
      <c r="C189" s="527"/>
      <c r="D189" s="527"/>
      <c r="E189" s="527"/>
      <c r="F189" s="527"/>
      <c r="G189" s="527"/>
      <c r="H189" s="527"/>
      <c r="I189" s="527"/>
      <c r="J189" s="527"/>
      <c r="K189" s="527"/>
      <c r="L189" s="527"/>
      <c r="M189" s="527"/>
      <c r="N189" s="527"/>
      <c r="O189" s="527"/>
      <c r="P189" s="527"/>
      <c r="Q189" s="527"/>
      <c r="R189" s="527"/>
      <c r="S189" s="527"/>
      <c r="T189" s="527"/>
      <c r="U189" s="527"/>
      <c r="V189" s="527"/>
      <c r="W189" s="527"/>
      <c r="X189" s="527"/>
      <c r="Y189" s="527"/>
      <c r="Z189" s="527"/>
      <c r="AA189" s="527"/>
      <c r="AB189" s="527"/>
      <c r="AC189" s="527"/>
      <c r="AD189" s="527"/>
      <c r="AE189" s="527"/>
      <c r="AF189" s="527"/>
      <c r="AG189" s="527"/>
      <c r="AH189" s="527"/>
      <c r="AI189" s="527"/>
      <c r="AJ189" s="527"/>
      <c r="AK189" s="527"/>
      <c r="AL189" s="527"/>
      <c r="AM189" s="527"/>
      <c r="AN189" s="527"/>
      <c r="AO189" s="527"/>
      <c r="AP189" s="527"/>
      <c r="AQ189" s="527"/>
      <c r="AR189" s="527"/>
      <c r="AS189" s="527"/>
      <c r="AT189" s="527"/>
      <c r="AU189" s="547"/>
      <c r="AV189" s="527"/>
      <c r="AW189" s="527"/>
      <c r="AX189" s="527"/>
      <c r="AY189" s="527"/>
      <c r="AZ189" s="527"/>
      <c r="BA189" s="527"/>
      <c r="BB189" s="527"/>
      <c r="BC189" s="527"/>
      <c r="BD189" s="527"/>
      <c r="BE189" s="527"/>
      <c r="BF189" s="527"/>
      <c r="BG189" s="527"/>
      <c r="BH189" s="527"/>
      <c r="BI189" s="527"/>
      <c r="BJ189" s="527"/>
      <c r="BK189" s="527"/>
      <c r="BL189" s="527"/>
      <c r="BM189" s="527"/>
      <c r="BN189" s="547"/>
      <c r="BO189" s="527"/>
      <c r="BP189" s="527"/>
      <c r="BQ189" s="527"/>
      <c r="BR189" s="527"/>
      <c r="BS189" s="527"/>
      <c r="BT189" s="530"/>
    </row>
    <row r="190" spans="1:72" s="1" customFormat="1" x14ac:dyDescent="0.35">
      <c r="A190" s="51" t="s">
        <v>61</v>
      </c>
      <c r="B190" s="307"/>
      <c r="C190" s="530">
        <f t="shared" ref="C190:AU190" si="183">C144</f>
        <v>221.096</v>
      </c>
      <c r="D190" s="530">
        <f t="shared" si="183"/>
        <v>206.02799999999999</v>
      </c>
      <c r="E190" s="530">
        <f t="shared" si="183"/>
        <v>218.00899999999999</v>
      </c>
      <c r="F190" s="530">
        <f t="shared" si="183"/>
        <v>203.08699999999999</v>
      </c>
      <c r="G190" s="530">
        <f t="shared" si="183"/>
        <v>228.36600000000001</v>
      </c>
      <c r="H190" s="530">
        <f t="shared" si="183"/>
        <v>223.91900000000001</v>
      </c>
      <c r="I190" s="530">
        <f t="shared" si="183"/>
        <v>235.22200000000001</v>
      </c>
      <c r="J190" s="530">
        <f t="shared" si="183"/>
        <v>232.04600000000002</v>
      </c>
      <c r="K190" s="530">
        <f t="shared" si="183"/>
        <v>236.71199999999999</v>
      </c>
      <c r="L190" s="530">
        <f t="shared" si="183"/>
        <v>231.304</v>
      </c>
      <c r="M190" s="530">
        <f t="shared" si="183"/>
        <v>244.62299999999999</v>
      </c>
      <c r="N190" s="530">
        <f t="shared" si="183"/>
        <v>235.65500000000009</v>
      </c>
      <c r="O190" s="530">
        <f t="shared" si="183"/>
        <v>221.23</v>
      </c>
      <c r="P190" s="530">
        <f t="shared" si="183"/>
        <v>208.81100000000001</v>
      </c>
      <c r="Q190" s="530">
        <f t="shared" si="183"/>
        <v>221.34</v>
      </c>
      <c r="R190" s="530">
        <f t="shared" si="183"/>
        <v>221.31899999999999</v>
      </c>
      <c r="S190" s="530">
        <f t="shared" si="183"/>
        <v>229.13800000000001</v>
      </c>
      <c r="T190" s="530">
        <f t="shared" si="183"/>
        <v>221.09</v>
      </c>
      <c r="U190" s="530">
        <f t="shared" si="183"/>
        <v>222.53299999999999</v>
      </c>
      <c r="V190" s="530">
        <f t="shared" si="183"/>
        <v>215.75799999999995</v>
      </c>
      <c r="W190" s="530">
        <f t="shared" si="183"/>
        <v>228.785</v>
      </c>
      <c r="X190" s="530">
        <f t="shared" si="183"/>
        <v>217.21100000000001</v>
      </c>
      <c r="Y190" s="530">
        <f t="shared" si="183"/>
        <v>232.864</v>
      </c>
      <c r="Z190" s="530">
        <f t="shared" si="183"/>
        <v>238.874</v>
      </c>
      <c r="AA190" s="530">
        <f t="shared" si="183"/>
        <v>251.31399999999999</v>
      </c>
      <c r="AB190" s="530">
        <f t="shared" si="183"/>
        <v>254.87200000000001</v>
      </c>
      <c r="AC190" s="530">
        <f t="shared" si="183"/>
        <v>253.25200000000001</v>
      </c>
      <c r="AD190" s="530">
        <f t="shared" si="183"/>
        <v>256.31399999999996</v>
      </c>
      <c r="AE190" s="530">
        <f t="shared" si="183"/>
        <v>257.12099999999998</v>
      </c>
      <c r="AF190" s="530">
        <f t="shared" si="183"/>
        <v>257.55900000000003</v>
      </c>
      <c r="AG190" s="530">
        <f t="shared" si="183"/>
        <v>257.154</v>
      </c>
      <c r="AH190" s="530">
        <f t="shared" si="183"/>
        <v>268.93100000000015</v>
      </c>
      <c r="AI190" s="530">
        <f t="shared" si="183"/>
        <v>370.96</v>
      </c>
      <c r="AJ190" s="530">
        <f t="shared" si="183"/>
        <v>376.14499999999998</v>
      </c>
      <c r="AK190" s="530">
        <f t="shared" si="183"/>
        <v>392.14499999999998</v>
      </c>
      <c r="AL190" s="530">
        <f t="shared" si="183"/>
        <v>397.51000000000005</v>
      </c>
      <c r="AM190" s="530">
        <f t="shared" si="183"/>
        <v>400.226</v>
      </c>
      <c r="AN190" s="530">
        <f t="shared" si="183"/>
        <v>409.50700000000001</v>
      </c>
      <c r="AO190" s="530">
        <f t="shared" si="183"/>
        <v>421.72199999999998</v>
      </c>
      <c r="AP190" s="530">
        <f t="shared" si="183"/>
        <v>455.2109999999999</v>
      </c>
      <c r="AQ190" s="530">
        <f t="shared" si="183"/>
        <v>425.15</v>
      </c>
      <c r="AR190" s="530">
        <f t="shared" si="183"/>
        <v>458.435</v>
      </c>
      <c r="AS190" s="530">
        <f t="shared" si="183"/>
        <v>470.28399999999999</v>
      </c>
      <c r="AT190" s="530">
        <f t="shared" si="183"/>
        <v>483.48900000000015</v>
      </c>
      <c r="AU190" s="575">
        <f t="shared" si="183"/>
        <v>480.18099999999998</v>
      </c>
      <c r="AV190" s="529">
        <f t="shared" ref="AV190:AX190" si="184">AV32</f>
        <v>499.30127519999996</v>
      </c>
      <c r="AW190" s="529">
        <f t="shared" si="184"/>
        <v>502.99014059999996</v>
      </c>
      <c r="AX190" s="529">
        <f t="shared" si="184"/>
        <v>515.42717760000005</v>
      </c>
      <c r="AY190" s="529"/>
      <c r="AZ190" s="750">
        <f t="shared" ref="AZ190:BN190" si="185">AZ144</f>
        <v>315.57299999999998</v>
      </c>
      <c r="BA190" s="750">
        <f t="shared" si="185"/>
        <v>384.47</v>
      </c>
      <c r="BB190" s="750">
        <f t="shared" si="185"/>
        <v>522.43399999999997</v>
      </c>
      <c r="BC190" s="750">
        <f t="shared" si="185"/>
        <v>708.40700000000004</v>
      </c>
      <c r="BD190" s="750">
        <f t="shared" si="185"/>
        <v>848.22</v>
      </c>
      <c r="BE190" s="750">
        <f t="shared" si="185"/>
        <v>919.553</v>
      </c>
      <c r="BF190" s="750">
        <f t="shared" si="185"/>
        <v>948.29399999999998</v>
      </c>
      <c r="BG190" s="750">
        <f t="shared" si="185"/>
        <v>872.7</v>
      </c>
      <c r="BH190" s="750">
        <f t="shared" si="185"/>
        <v>888.51900000000001</v>
      </c>
      <c r="BI190" s="750">
        <f t="shared" si="185"/>
        <v>917.73400000000004</v>
      </c>
      <c r="BJ190" s="750">
        <f t="shared" si="185"/>
        <v>1015.752</v>
      </c>
      <c r="BK190" s="750">
        <f t="shared" si="185"/>
        <v>1040.7650000000001</v>
      </c>
      <c r="BL190" s="750">
        <f t="shared" si="185"/>
        <v>1536.76</v>
      </c>
      <c r="BM190" s="750">
        <f t="shared" si="185"/>
        <v>1686.6659999999999</v>
      </c>
      <c r="BN190" s="751">
        <f t="shared" si="185"/>
        <v>1837.3579999999999</v>
      </c>
      <c r="BO190" s="726">
        <f>SUM(AU190,AV190,AW190,AX190)</f>
        <v>1997.8995934</v>
      </c>
      <c r="BP190" s="726" t="e">
        <f>SUM(#REF!,#REF!,#REF!,#REF!)</f>
        <v>#REF!</v>
      </c>
      <c r="BQ190" s="726" t="e">
        <f>BQ32</f>
        <v>#REF!</v>
      </c>
      <c r="BR190" s="726" t="e">
        <f>BR32</f>
        <v>#REF!</v>
      </c>
      <c r="BS190" s="726" t="e">
        <f>BS32</f>
        <v>#REF!</v>
      </c>
      <c r="BT190" s="530"/>
    </row>
    <row r="191" spans="1:72" s="97" customFormat="1" x14ac:dyDescent="0.35">
      <c r="A191" s="541" t="str">
        <f>CONCATENATE("Consensus Estimates - ",IFERROR(LEFT(A190,FIND("(",A190)-1),A190))</f>
        <v>Consensus Estimates - Net Revenue</v>
      </c>
      <c r="B191" s="542"/>
      <c r="C191" s="537"/>
      <c r="D191" s="537"/>
      <c r="E191" s="537"/>
      <c r="F191" s="537"/>
      <c r="G191" s="537"/>
      <c r="H191" s="537"/>
      <c r="I191" s="537"/>
      <c r="J191" s="537"/>
      <c r="K191" s="537"/>
      <c r="L191" s="537"/>
      <c r="M191" s="537"/>
      <c r="N191" s="537"/>
      <c r="O191" s="537"/>
      <c r="P191" s="581"/>
      <c r="Q191" s="581"/>
      <c r="R191" s="537"/>
      <c r="S191" s="537"/>
      <c r="T191" s="581"/>
      <c r="U191" s="581"/>
      <c r="V191" s="537"/>
      <c r="W191" s="537"/>
      <c r="X191" s="581"/>
      <c r="Y191" s="581"/>
      <c r="Z191" s="537"/>
      <c r="AA191" s="537"/>
      <c r="AB191" s="581"/>
      <c r="AC191" s="581"/>
      <c r="AD191" s="537"/>
      <c r="AE191" s="537"/>
      <c r="AF191" s="581"/>
      <c r="AG191" s="581"/>
      <c r="AH191" s="537"/>
      <c r="AI191" s="537"/>
      <c r="AJ191" s="581"/>
      <c r="AK191" s="581"/>
      <c r="AL191" s="537"/>
      <c r="AM191" s="537"/>
      <c r="AN191" s="581"/>
      <c r="AO191" s="581"/>
      <c r="AP191" s="537"/>
      <c r="AQ191" s="537"/>
      <c r="AR191" s="581"/>
      <c r="AS191" s="581"/>
      <c r="AT191" s="537"/>
      <c r="AU191" s="582"/>
      <c r="AV191" s="537" t="str">
        <f t="shared" ref="AV191:AX191" ca="1" si="186">IFERROR(VLOOKUP($A191,tb_ConsensusEstimate,MATCH(AV$5,OFFSET(tb_ConsensusEstimate,0,0,1,COLUMNS(tb_ConsensusEstimate)),0),FALSE),"-")</f>
        <v>N/A</v>
      </c>
      <c r="AW191" s="537" t="str">
        <f t="shared" ca="1" si="186"/>
        <v>N/A</v>
      </c>
      <c r="AX191" s="537" t="str">
        <f t="shared" ca="1" si="186"/>
        <v>N/A</v>
      </c>
      <c r="AY191" s="537"/>
      <c r="AZ191" s="757"/>
      <c r="BA191" s="757"/>
      <c r="BB191" s="757"/>
      <c r="BC191" s="757"/>
      <c r="BD191" s="757"/>
      <c r="BE191" s="757"/>
      <c r="BF191" s="757"/>
      <c r="BG191" s="757"/>
      <c r="BH191" s="757"/>
      <c r="BI191" s="757"/>
      <c r="BJ191" s="757"/>
      <c r="BK191" s="757"/>
      <c r="BL191" s="757"/>
      <c r="BM191" s="757"/>
      <c r="BN191" s="758"/>
      <c r="BO191" s="759" t="str">
        <f ca="1">IFERROR(VLOOKUP($A191,tb_ConsensusEstimate,MATCH(BO$5,OFFSET(tb_ConsensusEstimate,0,0,1,COLUMNS(tb_ConsensusEstimate)),0),FALSE),"-")</f>
        <v>N/A</v>
      </c>
      <c r="BP191" s="759" t="str">
        <f ca="1">IFERROR(VLOOKUP($A191,tb_ConsensusEstimate,MATCH(BP$5,OFFSET(tb_ConsensusEstimate,0,0,1,COLUMNS(tb_ConsensusEstimate)),0),FALSE),"-")</f>
        <v>N/A</v>
      </c>
      <c r="BQ191" s="759" t="str">
        <f ca="1">IFERROR(VLOOKUP($A191,tb_ConsensusEstimate,MATCH(BQ$5,OFFSET(tb_ConsensusEstimate,0,0,1,COLUMNS(tb_ConsensusEstimate)),0),FALSE),"-")</f>
        <v>N/A</v>
      </c>
      <c r="BR191" s="759" t="str">
        <f ca="1">IFERROR(VLOOKUP($A191,tb_ConsensusEstimate,MATCH(BR$5,OFFSET(tb_ConsensusEstimate,0,0,1,COLUMNS(tb_ConsensusEstimate)),0),FALSE),"-")</f>
        <v>N/A</v>
      </c>
      <c r="BS191" s="759" t="str">
        <f ca="1">IFERROR(VLOOKUP($A191,tb_ConsensusEstimate,MATCH(BS$5,OFFSET(tb_ConsensusEstimate,0,0,1,COLUMNS(tb_ConsensusEstimate)),0),FALSE),"-")</f>
        <v>N/A</v>
      </c>
      <c r="BT191" s="537"/>
    </row>
    <row r="192" spans="1:72" s="1" customFormat="1" x14ac:dyDescent="0.35">
      <c r="A192" s="354"/>
      <c r="B192" s="307"/>
      <c r="C192" s="529"/>
      <c r="D192" s="529"/>
      <c r="E192" s="529"/>
      <c r="F192" s="529"/>
      <c r="G192" s="529"/>
      <c r="H192" s="529"/>
      <c r="I192" s="529"/>
      <c r="J192" s="529"/>
      <c r="K192" s="529"/>
      <c r="L192" s="529"/>
      <c r="M192" s="529"/>
      <c r="N192" s="529"/>
      <c r="O192" s="529"/>
      <c r="P192" s="529"/>
      <c r="Q192" s="529"/>
      <c r="R192" s="529"/>
      <c r="S192" s="529"/>
      <c r="T192" s="529"/>
      <c r="U192" s="529"/>
      <c r="V192" s="529"/>
      <c r="W192" s="529"/>
      <c r="X192" s="529"/>
      <c r="Y192" s="529"/>
      <c r="Z192" s="529"/>
      <c r="AA192" s="529"/>
      <c r="AB192" s="529"/>
      <c r="AC192" s="529"/>
      <c r="AD192" s="529"/>
      <c r="AE192" s="529"/>
      <c r="AF192" s="529"/>
      <c r="AG192" s="529"/>
      <c r="AH192" s="529"/>
      <c r="AI192" s="529"/>
      <c r="AJ192" s="529"/>
      <c r="AK192" s="529"/>
      <c r="AL192" s="529"/>
      <c r="AM192" s="529"/>
      <c r="AN192" s="529"/>
      <c r="AO192" s="529"/>
      <c r="AP192" s="529"/>
      <c r="AQ192" s="529"/>
      <c r="AR192" s="529"/>
      <c r="AS192" s="529"/>
      <c r="AT192" s="529"/>
      <c r="AU192" s="531"/>
      <c r="AV192" s="529"/>
      <c r="AW192" s="529"/>
      <c r="AX192" s="529"/>
      <c r="AY192" s="529"/>
      <c r="AZ192" s="726"/>
      <c r="BA192" s="726"/>
      <c r="BB192" s="726"/>
      <c r="BC192" s="726"/>
      <c r="BD192" s="726"/>
      <c r="BE192" s="726"/>
      <c r="BF192" s="726"/>
      <c r="BG192" s="726"/>
      <c r="BH192" s="726"/>
      <c r="BI192" s="726"/>
      <c r="BJ192" s="726"/>
      <c r="BK192" s="726"/>
      <c r="BL192" s="726"/>
      <c r="BM192" s="726"/>
      <c r="BN192" s="728"/>
      <c r="BO192" s="726"/>
      <c r="BP192" s="726"/>
      <c r="BQ192" s="726"/>
      <c r="BR192" s="726"/>
      <c r="BS192" s="726"/>
      <c r="BT192" s="530"/>
    </row>
    <row r="193" spans="1:72" s="17" customFormat="1" x14ac:dyDescent="0.35">
      <c r="A193" s="267" t="s">
        <v>62</v>
      </c>
      <c r="B193" s="362"/>
      <c r="C193" s="571">
        <f t="shared" ref="C193:AU193" si="187">C145</f>
        <v>118.648</v>
      </c>
      <c r="D193" s="571">
        <f t="shared" si="187"/>
        <v>122.79900000000001</v>
      </c>
      <c r="E193" s="571">
        <f t="shared" si="187"/>
        <v>127.759</v>
      </c>
      <c r="F193" s="571">
        <f t="shared" si="187"/>
        <v>129.19200000000001</v>
      </c>
      <c r="G193" s="571">
        <f t="shared" si="187"/>
        <v>132.90199999999999</v>
      </c>
      <c r="H193" s="571">
        <f t="shared" si="187"/>
        <v>153.672</v>
      </c>
      <c r="I193" s="571">
        <f t="shared" si="187"/>
        <v>140.59200000000001</v>
      </c>
      <c r="J193" s="571">
        <f t="shared" si="187"/>
        <v>142.05300000000005</v>
      </c>
      <c r="K193" s="571">
        <f t="shared" si="187"/>
        <v>146.84200000000001</v>
      </c>
      <c r="L193" s="571">
        <f t="shared" si="187"/>
        <v>145.029</v>
      </c>
      <c r="M193" s="571">
        <f t="shared" si="187"/>
        <v>148.98500000000001</v>
      </c>
      <c r="N193" s="571">
        <f t="shared" si="187"/>
        <v>166.89999999999995</v>
      </c>
      <c r="O193" s="571">
        <f t="shared" si="187"/>
        <v>139.00299999999999</v>
      </c>
      <c r="P193" s="571">
        <f t="shared" si="187"/>
        <v>129.61600000000001</v>
      </c>
      <c r="Q193" s="571">
        <f t="shared" si="187"/>
        <v>134.755</v>
      </c>
      <c r="R193" s="571">
        <f t="shared" si="187"/>
        <v>143.13600000000002</v>
      </c>
      <c r="S193" s="571">
        <f t="shared" si="187"/>
        <v>144.09899999999999</v>
      </c>
      <c r="T193" s="571">
        <f t="shared" si="187"/>
        <v>137.542</v>
      </c>
      <c r="U193" s="571">
        <f t="shared" si="187"/>
        <v>136.43100000000001</v>
      </c>
      <c r="V193" s="571">
        <f t="shared" si="187"/>
        <v>139.24399999999997</v>
      </c>
      <c r="W193" s="571">
        <f t="shared" si="187"/>
        <v>147.36699999999999</v>
      </c>
      <c r="X193" s="571">
        <f t="shared" si="187"/>
        <v>139.16300000000001</v>
      </c>
      <c r="Y193" s="571">
        <f t="shared" si="187"/>
        <v>148.87799999999999</v>
      </c>
      <c r="Z193" s="571">
        <f t="shared" si="187"/>
        <v>157.08700000000002</v>
      </c>
      <c r="AA193" s="571">
        <f t="shared" si="187"/>
        <v>158.98500000000001</v>
      </c>
      <c r="AB193" s="571">
        <f t="shared" si="187"/>
        <v>160.32900000000001</v>
      </c>
      <c r="AC193" s="571">
        <f t="shared" si="187"/>
        <v>168.26</v>
      </c>
      <c r="AD193" s="571">
        <f t="shared" si="187"/>
        <v>175.863</v>
      </c>
      <c r="AE193" s="571">
        <f t="shared" si="187"/>
        <v>169.358</v>
      </c>
      <c r="AF193" s="571">
        <f t="shared" si="187"/>
        <v>167.47</v>
      </c>
      <c r="AG193" s="571">
        <f t="shared" si="187"/>
        <v>178.96799999999999</v>
      </c>
      <c r="AH193" s="571">
        <f t="shared" si="187"/>
        <v>177.43599999999998</v>
      </c>
      <c r="AI193" s="571">
        <f t="shared" si="187"/>
        <v>241.06899999999999</v>
      </c>
      <c r="AJ193" s="571">
        <f t="shared" si="187"/>
        <v>246.75400000000002</v>
      </c>
      <c r="AK193" s="571">
        <f t="shared" si="187"/>
        <v>253.12799999999999</v>
      </c>
      <c r="AL193" s="571">
        <f t="shared" si="187"/>
        <v>260.90899999999999</v>
      </c>
      <c r="AM193" s="571">
        <f t="shared" si="187"/>
        <v>273.82400000000001</v>
      </c>
      <c r="AN193" s="571">
        <f t="shared" si="187"/>
        <v>261.95</v>
      </c>
      <c r="AO193" s="571">
        <f t="shared" si="187"/>
        <v>266.88299999999998</v>
      </c>
      <c r="AP193" s="571">
        <f t="shared" si="187"/>
        <v>287.53399999999993</v>
      </c>
      <c r="AQ193" s="571">
        <f t="shared" si="187"/>
        <v>295.50099999999998</v>
      </c>
      <c r="AR193" s="571">
        <f t="shared" si="187"/>
        <v>288.34699999999998</v>
      </c>
      <c r="AS193" s="571">
        <f t="shared" si="187"/>
        <v>295.03199999999998</v>
      </c>
      <c r="AT193" s="571">
        <f t="shared" si="187"/>
        <v>311.40800000000013</v>
      </c>
      <c r="AU193" s="583">
        <f t="shared" si="187"/>
        <v>307.29300000000001</v>
      </c>
      <c r="AV193" s="535">
        <f t="shared" ref="AV193:AX193" si="188">AV190-AV194</f>
        <v>314.55980337599999</v>
      </c>
      <c r="AW193" s="535">
        <f t="shared" si="188"/>
        <v>316.88378857800001</v>
      </c>
      <c r="AX193" s="535">
        <f t="shared" si="188"/>
        <v>324.71912188800002</v>
      </c>
      <c r="AY193" s="535"/>
      <c r="AZ193" s="760">
        <f t="shared" ref="AZ193:BN193" si="189">AZ145</f>
        <v>196.976</v>
      </c>
      <c r="BA193" s="760">
        <f t="shared" si="189"/>
        <v>222.029</v>
      </c>
      <c r="BB193" s="760">
        <f t="shared" si="189"/>
        <v>307.11099999999999</v>
      </c>
      <c r="BC193" s="760">
        <f t="shared" si="189"/>
        <v>408.56</v>
      </c>
      <c r="BD193" s="760">
        <f t="shared" si="189"/>
        <v>498.39800000000002</v>
      </c>
      <c r="BE193" s="760">
        <f t="shared" si="189"/>
        <v>569.21900000000005</v>
      </c>
      <c r="BF193" s="760">
        <f t="shared" si="189"/>
        <v>607.75599999999997</v>
      </c>
      <c r="BG193" s="760">
        <f t="shared" si="189"/>
        <v>546.51</v>
      </c>
      <c r="BH193" s="760">
        <f t="shared" si="189"/>
        <v>557.31600000000003</v>
      </c>
      <c r="BI193" s="760">
        <f t="shared" si="189"/>
        <v>592.495</v>
      </c>
      <c r="BJ193" s="760">
        <f t="shared" si="189"/>
        <v>663.43700000000001</v>
      </c>
      <c r="BK193" s="760">
        <f t="shared" si="189"/>
        <v>693.23199999999997</v>
      </c>
      <c r="BL193" s="760">
        <f t="shared" si="189"/>
        <v>1001.86</v>
      </c>
      <c r="BM193" s="760">
        <f t="shared" si="189"/>
        <v>1090.191</v>
      </c>
      <c r="BN193" s="761">
        <f t="shared" si="189"/>
        <v>1190.288</v>
      </c>
      <c r="BO193" s="731">
        <f>SUM(AU193,AV193,AW193,AX193)</f>
        <v>1263.455713842</v>
      </c>
      <c r="BP193" s="731" t="e">
        <f>SUM(#REF!,#REF!,#REF!,#REF!)</f>
        <v>#REF!</v>
      </c>
      <c r="BQ193" s="731" t="e">
        <f>BQ190-BQ194</f>
        <v>#REF!</v>
      </c>
      <c r="BR193" s="731" t="e">
        <f>BR190-BR194</f>
        <v>#REF!</v>
      </c>
      <c r="BS193" s="731" t="e">
        <f>BS190-BS194</f>
        <v>#REF!</v>
      </c>
      <c r="BT193" s="533"/>
    </row>
    <row r="194" spans="1:72" s="1" customFormat="1" x14ac:dyDescent="0.35">
      <c r="A194" s="47" t="s">
        <v>41</v>
      </c>
      <c r="B194" s="360"/>
      <c r="C194" s="573">
        <f t="shared" ref="C194:AU194" si="190">C190-C193</f>
        <v>102.44800000000001</v>
      </c>
      <c r="D194" s="573">
        <f t="shared" si="190"/>
        <v>83.228999999999985</v>
      </c>
      <c r="E194" s="573">
        <f t="shared" si="190"/>
        <v>90.249999999999986</v>
      </c>
      <c r="F194" s="573">
        <f t="shared" si="190"/>
        <v>73.894999999999982</v>
      </c>
      <c r="G194" s="573">
        <f t="shared" si="190"/>
        <v>95.464000000000027</v>
      </c>
      <c r="H194" s="573">
        <f t="shared" si="190"/>
        <v>70.247000000000014</v>
      </c>
      <c r="I194" s="573">
        <f t="shared" si="190"/>
        <v>94.63</v>
      </c>
      <c r="J194" s="573">
        <f t="shared" si="190"/>
        <v>89.992999999999967</v>
      </c>
      <c r="K194" s="573">
        <f t="shared" si="190"/>
        <v>89.869999999999976</v>
      </c>
      <c r="L194" s="573">
        <f t="shared" si="190"/>
        <v>86.275000000000006</v>
      </c>
      <c r="M194" s="573">
        <f t="shared" si="190"/>
        <v>95.637999999999977</v>
      </c>
      <c r="N194" s="573">
        <f t="shared" si="190"/>
        <v>68.755000000000138</v>
      </c>
      <c r="O194" s="573">
        <f t="shared" si="190"/>
        <v>82.227000000000004</v>
      </c>
      <c r="P194" s="573">
        <f t="shared" si="190"/>
        <v>79.194999999999993</v>
      </c>
      <c r="Q194" s="573">
        <f t="shared" si="190"/>
        <v>86.585000000000008</v>
      </c>
      <c r="R194" s="573">
        <f t="shared" si="190"/>
        <v>78.182999999999964</v>
      </c>
      <c r="S194" s="573">
        <f t="shared" si="190"/>
        <v>85.039000000000016</v>
      </c>
      <c r="T194" s="573">
        <f t="shared" si="190"/>
        <v>83.548000000000002</v>
      </c>
      <c r="U194" s="573">
        <f t="shared" si="190"/>
        <v>86.101999999999975</v>
      </c>
      <c r="V194" s="573">
        <f t="shared" si="190"/>
        <v>76.513999999999982</v>
      </c>
      <c r="W194" s="573">
        <f t="shared" si="190"/>
        <v>81.418000000000006</v>
      </c>
      <c r="X194" s="573">
        <f t="shared" si="190"/>
        <v>78.048000000000002</v>
      </c>
      <c r="Y194" s="573">
        <f t="shared" si="190"/>
        <v>83.986000000000018</v>
      </c>
      <c r="Z194" s="573">
        <f t="shared" si="190"/>
        <v>81.786999999999978</v>
      </c>
      <c r="AA194" s="573">
        <f t="shared" si="190"/>
        <v>92.328999999999979</v>
      </c>
      <c r="AB194" s="573">
        <f t="shared" si="190"/>
        <v>94.543000000000006</v>
      </c>
      <c r="AC194" s="573">
        <f t="shared" si="190"/>
        <v>84.992000000000019</v>
      </c>
      <c r="AD194" s="573">
        <f t="shared" si="190"/>
        <v>80.450999999999965</v>
      </c>
      <c r="AE194" s="573">
        <f t="shared" si="190"/>
        <v>87.762999999999977</v>
      </c>
      <c r="AF194" s="573">
        <f t="shared" si="190"/>
        <v>90.089000000000027</v>
      </c>
      <c r="AG194" s="573">
        <f t="shared" si="190"/>
        <v>78.186000000000007</v>
      </c>
      <c r="AH194" s="573">
        <f t="shared" si="190"/>
        <v>91.495000000000175</v>
      </c>
      <c r="AI194" s="573">
        <f t="shared" si="190"/>
        <v>129.89099999999999</v>
      </c>
      <c r="AJ194" s="573">
        <f t="shared" si="190"/>
        <v>129.39099999999996</v>
      </c>
      <c r="AK194" s="573">
        <f t="shared" si="190"/>
        <v>139.017</v>
      </c>
      <c r="AL194" s="573">
        <f t="shared" si="190"/>
        <v>136.60100000000006</v>
      </c>
      <c r="AM194" s="573">
        <f t="shared" si="190"/>
        <v>126.40199999999999</v>
      </c>
      <c r="AN194" s="573">
        <f t="shared" si="190"/>
        <v>147.55700000000002</v>
      </c>
      <c r="AO194" s="573">
        <f t="shared" si="190"/>
        <v>154.839</v>
      </c>
      <c r="AP194" s="573">
        <f t="shared" si="190"/>
        <v>167.67699999999996</v>
      </c>
      <c r="AQ194" s="573">
        <f t="shared" si="190"/>
        <v>129.649</v>
      </c>
      <c r="AR194" s="573">
        <f t="shared" si="190"/>
        <v>170.08800000000002</v>
      </c>
      <c r="AS194" s="573">
        <f t="shared" si="190"/>
        <v>175.25200000000001</v>
      </c>
      <c r="AT194" s="573">
        <f t="shared" si="190"/>
        <v>172.08100000000002</v>
      </c>
      <c r="AU194" s="577">
        <f t="shared" si="190"/>
        <v>172.88799999999998</v>
      </c>
      <c r="AV194" s="572">
        <f t="shared" ref="AV194:AX194" si="191">AV128*AV190</f>
        <v>184.74147182399997</v>
      </c>
      <c r="AW194" s="572">
        <f t="shared" si="191"/>
        <v>186.10635202199998</v>
      </c>
      <c r="AX194" s="572">
        <f t="shared" si="191"/>
        <v>190.708055712</v>
      </c>
      <c r="AY194" s="572"/>
      <c r="AZ194" s="735">
        <f t="shared" ref="AZ194:BP194" si="192">AZ190-AZ193</f>
        <v>118.59699999999998</v>
      </c>
      <c r="BA194" s="735">
        <f t="shared" si="192"/>
        <v>162.44100000000003</v>
      </c>
      <c r="BB194" s="735">
        <f t="shared" si="192"/>
        <v>215.32299999999998</v>
      </c>
      <c r="BC194" s="735">
        <f t="shared" si="192"/>
        <v>299.84700000000004</v>
      </c>
      <c r="BD194" s="735">
        <f t="shared" si="192"/>
        <v>349.822</v>
      </c>
      <c r="BE194" s="735">
        <f t="shared" si="192"/>
        <v>350.33399999999995</v>
      </c>
      <c r="BF194" s="735">
        <f t="shared" si="192"/>
        <v>340.53800000000001</v>
      </c>
      <c r="BG194" s="735">
        <f t="shared" si="192"/>
        <v>326.19000000000005</v>
      </c>
      <c r="BH194" s="735">
        <f t="shared" si="192"/>
        <v>331.20299999999997</v>
      </c>
      <c r="BI194" s="735">
        <f t="shared" si="192"/>
        <v>325.23900000000003</v>
      </c>
      <c r="BJ194" s="735">
        <f t="shared" si="192"/>
        <v>352.31499999999994</v>
      </c>
      <c r="BK194" s="735">
        <f t="shared" si="192"/>
        <v>347.53300000000013</v>
      </c>
      <c r="BL194" s="735">
        <f t="shared" si="192"/>
        <v>534.9</v>
      </c>
      <c r="BM194" s="735">
        <f t="shared" si="192"/>
        <v>596.47499999999991</v>
      </c>
      <c r="BN194" s="749">
        <f t="shared" si="192"/>
        <v>647.06999999999994</v>
      </c>
      <c r="BO194" s="734">
        <f t="shared" si="192"/>
        <v>734.44387955799994</v>
      </c>
      <c r="BP194" s="734" t="e">
        <f t="shared" si="192"/>
        <v>#REF!</v>
      </c>
      <c r="BQ194" s="734" t="e">
        <f>BQ128*BQ190</f>
        <v>#REF!</v>
      </c>
      <c r="BR194" s="734" t="e">
        <f>BR128*BR190</f>
        <v>#REF!</v>
      </c>
      <c r="BS194" s="734" t="e">
        <f>BS128*BS190</f>
        <v>#REF!</v>
      </c>
      <c r="BT194" s="530"/>
    </row>
    <row r="195" spans="1:72" s="1" customFormat="1" x14ac:dyDescent="0.35">
      <c r="A195" s="354"/>
      <c r="B195" s="307"/>
      <c r="C195" s="529"/>
      <c r="D195" s="529"/>
      <c r="E195" s="529"/>
      <c r="F195" s="529"/>
      <c r="G195" s="529"/>
      <c r="H195" s="529"/>
      <c r="I195" s="529"/>
      <c r="J195" s="529"/>
      <c r="K195" s="529"/>
      <c r="L195" s="529"/>
      <c r="M195" s="529"/>
      <c r="N195" s="529"/>
      <c r="O195" s="529"/>
      <c r="P195" s="529"/>
      <c r="Q195" s="529"/>
      <c r="R195" s="529"/>
      <c r="S195" s="529"/>
      <c r="T195" s="529"/>
      <c r="U195" s="529"/>
      <c r="V195" s="529"/>
      <c r="W195" s="529"/>
      <c r="X195" s="529"/>
      <c r="Y195" s="529"/>
      <c r="Z195" s="529"/>
      <c r="AA195" s="529"/>
      <c r="AB195" s="529"/>
      <c r="AC195" s="529"/>
      <c r="AD195" s="529"/>
      <c r="AE195" s="529"/>
      <c r="AF195" s="529"/>
      <c r="AG195" s="529"/>
      <c r="AH195" s="529"/>
      <c r="AI195" s="529"/>
      <c r="AJ195" s="529"/>
      <c r="AK195" s="529"/>
      <c r="AL195" s="529"/>
      <c r="AM195" s="529"/>
      <c r="AN195" s="529"/>
      <c r="AO195" s="529"/>
      <c r="AP195" s="529"/>
      <c r="AQ195" s="529"/>
      <c r="AR195" s="529"/>
      <c r="AS195" s="529"/>
      <c r="AT195" s="529"/>
      <c r="AU195" s="531"/>
      <c r="AV195" s="529"/>
      <c r="AW195" s="529"/>
      <c r="AX195" s="529"/>
      <c r="AY195" s="529"/>
      <c r="AZ195" s="726"/>
      <c r="BA195" s="726"/>
      <c r="BB195" s="726"/>
      <c r="BC195" s="726"/>
      <c r="BD195" s="726"/>
      <c r="BE195" s="726"/>
      <c r="BF195" s="726"/>
      <c r="BG195" s="726"/>
      <c r="BH195" s="726"/>
      <c r="BI195" s="726"/>
      <c r="BJ195" s="726"/>
      <c r="BK195" s="726"/>
      <c r="BL195" s="726"/>
      <c r="BM195" s="726"/>
      <c r="BN195" s="728"/>
      <c r="BO195" s="726"/>
      <c r="BP195" s="726"/>
      <c r="BQ195" s="726"/>
      <c r="BR195" s="726"/>
      <c r="BS195" s="726"/>
      <c r="BT195" s="530"/>
    </row>
    <row r="196" spans="1:72" s="17" customFormat="1" x14ac:dyDescent="0.35">
      <c r="A196" s="267" t="s">
        <v>63</v>
      </c>
      <c r="B196" s="362"/>
      <c r="C196" s="571">
        <f t="shared" ref="C196:AU196" si="193">C147+C148</f>
        <v>93.787000000000006</v>
      </c>
      <c r="D196" s="571">
        <f t="shared" si="193"/>
        <v>66.956999999999994</v>
      </c>
      <c r="E196" s="571">
        <f t="shared" si="193"/>
        <v>70.897999999999996</v>
      </c>
      <c r="F196" s="571">
        <f t="shared" si="193"/>
        <v>72.47399999999999</v>
      </c>
      <c r="G196" s="571">
        <f t="shared" si="193"/>
        <v>103.928</v>
      </c>
      <c r="H196" s="571">
        <f t="shared" si="193"/>
        <v>79.155000000000001</v>
      </c>
      <c r="I196" s="571">
        <f t="shared" si="193"/>
        <v>67.245000000000005</v>
      </c>
      <c r="J196" s="571">
        <f t="shared" si="193"/>
        <v>77.150000000000006</v>
      </c>
      <c r="K196" s="571">
        <f t="shared" si="193"/>
        <v>103.02800000000001</v>
      </c>
      <c r="L196" s="571">
        <f t="shared" si="193"/>
        <v>65.802000000000007</v>
      </c>
      <c r="M196" s="571">
        <f t="shared" si="193"/>
        <v>68.207999999999998</v>
      </c>
      <c r="N196" s="571">
        <f t="shared" si="193"/>
        <v>85.073000000000008</v>
      </c>
      <c r="O196" s="571">
        <f t="shared" si="193"/>
        <v>102.68299999999999</v>
      </c>
      <c r="P196" s="571">
        <f t="shared" si="193"/>
        <v>64.468000000000004</v>
      </c>
      <c r="Q196" s="571">
        <f t="shared" si="193"/>
        <v>67.451000000000008</v>
      </c>
      <c r="R196" s="571">
        <f t="shared" si="193"/>
        <v>77.673999999999978</v>
      </c>
      <c r="S196" s="571">
        <f t="shared" si="193"/>
        <v>107.708</v>
      </c>
      <c r="T196" s="571">
        <f t="shared" si="193"/>
        <v>65.224999999999994</v>
      </c>
      <c r="U196" s="571">
        <f t="shared" si="193"/>
        <v>73.338999999999999</v>
      </c>
      <c r="V196" s="571">
        <f t="shared" si="193"/>
        <v>71.802000000000007</v>
      </c>
      <c r="W196" s="571">
        <f t="shared" si="193"/>
        <v>99.179999999999993</v>
      </c>
      <c r="X196" s="571">
        <f t="shared" si="193"/>
        <v>64.334000000000003</v>
      </c>
      <c r="Y196" s="571">
        <f t="shared" si="193"/>
        <v>64.269000000000005</v>
      </c>
      <c r="Z196" s="571">
        <f t="shared" si="193"/>
        <v>71.91100000000003</v>
      </c>
      <c r="AA196" s="571">
        <f t="shared" si="193"/>
        <v>106.081</v>
      </c>
      <c r="AB196" s="571">
        <f t="shared" si="193"/>
        <v>61.253</v>
      </c>
      <c r="AC196" s="571">
        <f t="shared" si="193"/>
        <v>61.725000000000001</v>
      </c>
      <c r="AD196" s="571">
        <f t="shared" si="193"/>
        <v>77.77</v>
      </c>
      <c r="AE196" s="571">
        <f t="shared" si="193"/>
        <v>107.151</v>
      </c>
      <c r="AF196" s="571">
        <f t="shared" si="193"/>
        <v>59.783999999999999</v>
      </c>
      <c r="AG196" s="571">
        <f t="shared" si="193"/>
        <v>63.686999999999998</v>
      </c>
      <c r="AH196" s="571">
        <f t="shared" si="193"/>
        <v>84.454000000000022</v>
      </c>
      <c r="AI196" s="571">
        <f t="shared" si="193"/>
        <v>117.827</v>
      </c>
      <c r="AJ196" s="571">
        <f t="shared" si="193"/>
        <v>90.939000000000007</v>
      </c>
      <c r="AK196" s="571">
        <f t="shared" si="193"/>
        <v>100.464</v>
      </c>
      <c r="AL196" s="571">
        <f t="shared" si="193"/>
        <v>115.214</v>
      </c>
      <c r="AM196" s="571">
        <f t="shared" si="193"/>
        <v>133.37899999999999</v>
      </c>
      <c r="AN196" s="571">
        <f t="shared" si="193"/>
        <v>90.641999999999996</v>
      </c>
      <c r="AO196" s="571">
        <f t="shared" si="193"/>
        <v>94.245000000000005</v>
      </c>
      <c r="AP196" s="571">
        <f t="shared" si="193"/>
        <v>121.58099999999999</v>
      </c>
      <c r="AQ196" s="571">
        <f t="shared" si="193"/>
        <v>158.36799999999999</v>
      </c>
      <c r="AR196" s="571">
        <f t="shared" si="193"/>
        <v>102.015</v>
      </c>
      <c r="AS196" s="571">
        <f t="shared" si="193"/>
        <v>103.053</v>
      </c>
      <c r="AT196" s="571">
        <f t="shared" si="193"/>
        <v>118.13500000000005</v>
      </c>
      <c r="AU196" s="583">
        <f t="shared" si="193"/>
        <v>169.56800000000001</v>
      </c>
      <c r="AV196" s="535">
        <f t="shared" ref="AV196:AX196" si="194">AV$190*AV131</f>
        <v>109.846280544</v>
      </c>
      <c r="AW196" s="535">
        <f t="shared" si="194"/>
        <v>106.63390980719998</v>
      </c>
      <c r="AX196" s="535">
        <f t="shared" si="194"/>
        <v>128.85679440000001</v>
      </c>
      <c r="AY196" s="535"/>
      <c r="AZ196" s="760">
        <f t="shared" ref="AZ196:BN196" si="195">AZ147+AZ148</f>
        <v>96.25800000000001</v>
      </c>
      <c r="BA196" s="760">
        <f t="shared" si="195"/>
        <v>126.97399999999999</v>
      </c>
      <c r="BB196" s="760">
        <f t="shared" si="195"/>
        <v>191.10900000000001</v>
      </c>
      <c r="BC196" s="760">
        <f t="shared" si="195"/>
        <v>270.86700000000002</v>
      </c>
      <c r="BD196" s="760">
        <f t="shared" si="195"/>
        <v>304.11599999999999</v>
      </c>
      <c r="BE196" s="760">
        <f t="shared" si="195"/>
        <v>327.47800000000001</v>
      </c>
      <c r="BF196" s="760">
        <f t="shared" si="195"/>
        <v>322.11099999999999</v>
      </c>
      <c r="BG196" s="760">
        <f t="shared" si="195"/>
        <v>312.27600000000001</v>
      </c>
      <c r="BH196" s="760">
        <f t="shared" si="195"/>
        <v>318.07400000000001</v>
      </c>
      <c r="BI196" s="760">
        <f t="shared" si="195"/>
        <v>299.69400000000002</v>
      </c>
      <c r="BJ196" s="760">
        <f t="shared" si="195"/>
        <v>306.82900000000001</v>
      </c>
      <c r="BK196" s="760">
        <f t="shared" si="195"/>
        <v>315.07600000000002</v>
      </c>
      <c r="BL196" s="760">
        <f t="shared" si="195"/>
        <v>424.44400000000002</v>
      </c>
      <c r="BM196" s="760">
        <f t="shared" si="195"/>
        <v>439.84699999999998</v>
      </c>
      <c r="BN196" s="761">
        <f t="shared" si="195"/>
        <v>481.57100000000003</v>
      </c>
      <c r="BO196" s="731">
        <f>SUM(AU196,AV196,AW196,AX196)</f>
        <v>514.9049847512</v>
      </c>
      <c r="BP196" s="731" t="e">
        <f>SUM(#REF!,#REF!,#REF!,#REF!)</f>
        <v>#REF!</v>
      </c>
      <c r="BQ196" s="731" t="e">
        <f>BQ$190*BQ131</f>
        <v>#REF!</v>
      </c>
      <c r="BR196" s="731" t="e">
        <f>BR$190*BR131</f>
        <v>#REF!</v>
      </c>
      <c r="BS196" s="731" t="e">
        <f>BS$190*BS131</f>
        <v>#REF!</v>
      </c>
      <c r="BT196" s="533"/>
    </row>
    <row r="197" spans="1:72" s="1" customFormat="1" x14ac:dyDescent="0.35">
      <c r="A197" s="47" t="s">
        <v>67</v>
      </c>
      <c r="B197" s="360"/>
      <c r="C197" s="573">
        <f t="shared" ref="C197:AH197" si="196">C194-SUM(C196:C196)</f>
        <v>8.6610000000000014</v>
      </c>
      <c r="D197" s="573">
        <f t="shared" si="196"/>
        <v>16.271999999999991</v>
      </c>
      <c r="E197" s="573">
        <f t="shared" si="196"/>
        <v>19.35199999999999</v>
      </c>
      <c r="F197" s="573">
        <f t="shared" si="196"/>
        <v>1.4209999999999923</v>
      </c>
      <c r="G197" s="573">
        <f t="shared" si="196"/>
        <v>-8.4639999999999702</v>
      </c>
      <c r="H197" s="573">
        <f t="shared" si="196"/>
        <v>-8.907999999999987</v>
      </c>
      <c r="I197" s="573">
        <f t="shared" si="196"/>
        <v>27.384999999999991</v>
      </c>
      <c r="J197" s="573">
        <f t="shared" si="196"/>
        <v>12.842999999999961</v>
      </c>
      <c r="K197" s="573">
        <f t="shared" si="196"/>
        <v>-13.15800000000003</v>
      </c>
      <c r="L197" s="573">
        <f t="shared" si="196"/>
        <v>20.472999999999999</v>
      </c>
      <c r="M197" s="573">
        <f t="shared" si="196"/>
        <v>27.429999999999978</v>
      </c>
      <c r="N197" s="573">
        <f t="shared" si="196"/>
        <v>-16.31799999999987</v>
      </c>
      <c r="O197" s="573">
        <f t="shared" si="196"/>
        <v>-20.455999999999989</v>
      </c>
      <c r="P197" s="573">
        <f t="shared" si="196"/>
        <v>14.72699999999999</v>
      </c>
      <c r="Q197" s="573">
        <f t="shared" si="196"/>
        <v>19.134</v>
      </c>
      <c r="R197" s="573">
        <f t="shared" si="196"/>
        <v>0.50899999999998613</v>
      </c>
      <c r="S197" s="573">
        <f t="shared" si="196"/>
        <v>-22.668999999999983</v>
      </c>
      <c r="T197" s="573">
        <f t="shared" si="196"/>
        <v>18.323000000000008</v>
      </c>
      <c r="U197" s="573">
        <f t="shared" si="196"/>
        <v>12.762999999999977</v>
      </c>
      <c r="V197" s="573">
        <f t="shared" si="196"/>
        <v>4.7119999999999749</v>
      </c>
      <c r="W197" s="573">
        <f t="shared" si="196"/>
        <v>-17.761999999999986</v>
      </c>
      <c r="X197" s="573">
        <f t="shared" si="196"/>
        <v>13.713999999999999</v>
      </c>
      <c r="Y197" s="573">
        <f t="shared" si="196"/>
        <v>19.717000000000013</v>
      </c>
      <c r="Z197" s="573">
        <f t="shared" si="196"/>
        <v>9.8759999999999479</v>
      </c>
      <c r="AA197" s="573">
        <f t="shared" si="196"/>
        <v>-13.752000000000024</v>
      </c>
      <c r="AB197" s="573">
        <f t="shared" si="196"/>
        <v>33.290000000000006</v>
      </c>
      <c r="AC197" s="573">
        <f t="shared" si="196"/>
        <v>23.267000000000017</v>
      </c>
      <c r="AD197" s="573">
        <f t="shared" si="196"/>
        <v>2.680999999999969</v>
      </c>
      <c r="AE197" s="573">
        <f t="shared" si="196"/>
        <v>-19.388000000000019</v>
      </c>
      <c r="AF197" s="573">
        <f t="shared" si="196"/>
        <v>30.305000000000028</v>
      </c>
      <c r="AG197" s="573">
        <f t="shared" si="196"/>
        <v>14.499000000000009</v>
      </c>
      <c r="AH197" s="573">
        <f t="shared" si="196"/>
        <v>7.0410000000001531</v>
      </c>
      <c r="AI197" s="573">
        <f t="shared" ref="AI197:AX197" si="197">AI194-SUM(AI196:AI196)</f>
        <v>12.063999999999993</v>
      </c>
      <c r="AJ197" s="573">
        <f t="shared" si="197"/>
        <v>38.451999999999956</v>
      </c>
      <c r="AK197" s="573">
        <f t="shared" si="197"/>
        <v>38.552999999999997</v>
      </c>
      <c r="AL197" s="573">
        <f t="shared" si="197"/>
        <v>21.387000000000057</v>
      </c>
      <c r="AM197" s="573">
        <f t="shared" si="197"/>
        <v>-6.9770000000000039</v>
      </c>
      <c r="AN197" s="573">
        <f t="shared" si="197"/>
        <v>56.91500000000002</v>
      </c>
      <c r="AO197" s="573">
        <f t="shared" si="197"/>
        <v>60.593999999999994</v>
      </c>
      <c r="AP197" s="573">
        <f t="shared" si="197"/>
        <v>46.095999999999975</v>
      </c>
      <c r="AQ197" s="573">
        <f t="shared" si="197"/>
        <v>-28.718999999999994</v>
      </c>
      <c r="AR197" s="573">
        <f t="shared" si="197"/>
        <v>68.073000000000022</v>
      </c>
      <c r="AS197" s="573">
        <f t="shared" si="197"/>
        <v>72.199000000000012</v>
      </c>
      <c r="AT197" s="573">
        <f t="shared" si="197"/>
        <v>53.94599999999997</v>
      </c>
      <c r="AU197" s="577">
        <f t="shared" si="197"/>
        <v>3.3199999999999648</v>
      </c>
      <c r="AV197" s="572">
        <f t="shared" si="197"/>
        <v>74.895191279999977</v>
      </c>
      <c r="AW197" s="572">
        <f t="shared" si="197"/>
        <v>79.472442214799997</v>
      </c>
      <c r="AX197" s="572">
        <f t="shared" si="197"/>
        <v>61.851261311999991</v>
      </c>
      <c r="AY197" s="572"/>
      <c r="AZ197" s="735">
        <f t="shared" ref="AZ197:BS197" si="198">AZ194-SUM(AZ196:AZ196)</f>
        <v>22.33899999999997</v>
      </c>
      <c r="BA197" s="735">
        <f t="shared" si="198"/>
        <v>35.467000000000041</v>
      </c>
      <c r="BB197" s="735">
        <f t="shared" si="198"/>
        <v>24.21399999999997</v>
      </c>
      <c r="BC197" s="735">
        <f t="shared" si="198"/>
        <v>28.980000000000018</v>
      </c>
      <c r="BD197" s="735">
        <f t="shared" si="198"/>
        <v>45.706000000000017</v>
      </c>
      <c r="BE197" s="735">
        <f t="shared" si="198"/>
        <v>22.855999999999938</v>
      </c>
      <c r="BF197" s="735">
        <f t="shared" si="198"/>
        <v>18.427000000000021</v>
      </c>
      <c r="BG197" s="735">
        <f t="shared" si="198"/>
        <v>13.914000000000044</v>
      </c>
      <c r="BH197" s="735">
        <f t="shared" si="198"/>
        <v>13.128999999999962</v>
      </c>
      <c r="BI197" s="735">
        <f t="shared" si="198"/>
        <v>25.545000000000016</v>
      </c>
      <c r="BJ197" s="735">
        <f t="shared" si="198"/>
        <v>45.485999999999933</v>
      </c>
      <c r="BK197" s="735">
        <f t="shared" si="198"/>
        <v>32.457000000000107</v>
      </c>
      <c r="BL197" s="735">
        <f t="shared" si="198"/>
        <v>110.45599999999996</v>
      </c>
      <c r="BM197" s="735">
        <f t="shared" si="198"/>
        <v>156.62799999999993</v>
      </c>
      <c r="BN197" s="749">
        <f t="shared" si="198"/>
        <v>165.49899999999991</v>
      </c>
      <c r="BO197" s="734">
        <f t="shared" si="198"/>
        <v>219.53889480679993</v>
      </c>
      <c r="BP197" s="734" t="e">
        <f t="shared" si="198"/>
        <v>#REF!</v>
      </c>
      <c r="BQ197" s="734" t="e">
        <f t="shared" si="198"/>
        <v>#REF!</v>
      </c>
      <c r="BR197" s="734" t="e">
        <f t="shared" si="198"/>
        <v>#REF!</v>
      </c>
      <c r="BS197" s="734" t="e">
        <f t="shared" si="198"/>
        <v>#REF!</v>
      </c>
      <c r="BT197" s="530"/>
    </row>
    <row r="198" spans="1:72" s="1" customFormat="1" x14ac:dyDescent="0.35">
      <c r="A198" s="51" t="e">
        <f>CONCATENATE("Adjusted ",A197,IF(AND(ROUND(SUM(AZ197:BT197)-SUM(AZ198:BT198),6)=0)," (No Adjustments)",""))</f>
        <v>#REF!</v>
      </c>
      <c r="B198" s="307"/>
      <c r="C198" s="529">
        <f t="shared" ref="C198:AH198" si="199">C176</f>
        <v>11.533000000000001</v>
      </c>
      <c r="D198" s="529">
        <f t="shared" si="199"/>
        <v>19.179999999999993</v>
      </c>
      <c r="E198" s="529">
        <f t="shared" si="199"/>
        <v>23.404999999999987</v>
      </c>
      <c r="F198" s="529">
        <f t="shared" si="199"/>
        <v>5.9619999999999926</v>
      </c>
      <c r="G198" s="529">
        <f t="shared" si="199"/>
        <v>-4.7839999999999705</v>
      </c>
      <c r="H198" s="529">
        <f t="shared" si="199"/>
        <v>-0.3779999999999859</v>
      </c>
      <c r="I198" s="529">
        <f t="shared" si="199"/>
        <v>31.373999999999992</v>
      </c>
      <c r="J198" s="529">
        <f t="shared" si="199"/>
        <v>19.471999999999959</v>
      </c>
      <c r="K198" s="529">
        <f t="shared" si="199"/>
        <v>-8.9850000000000296</v>
      </c>
      <c r="L198" s="529">
        <f t="shared" si="199"/>
        <v>25.268999999999998</v>
      </c>
      <c r="M198" s="529">
        <f t="shared" si="199"/>
        <v>31.931999999999981</v>
      </c>
      <c r="N198" s="529">
        <f t="shared" si="199"/>
        <v>-8.4899999999998705</v>
      </c>
      <c r="O198" s="529">
        <f t="shared" si="199"/>
        <v>-15.868999999999989</v>
      </c>
      <c r="P198" s="529">
        <f t="shared" si="199"/>
        <v>19.68099999999999</v>
      </c>
      <c r="Q198" s="529">
        <f t="shared" si="199"/>
        <v>23.352</v>
      </c>
      <c r="R198" s="529">
        <f t="shared" si="199"/>
        <v>5.3659999999999854</v>
      </c>
      <c r="S198" s="529">
        <f t="shared" si="199"/>
        <v>-17.974999999999984</v>
      </c>
      <c r="T198" s="529">
        <f t="shared" si="199"/>
        <v>22.921000000000006</v>
      </c>
      <c r="U198" s="529">
        <f t="shared" si="199"/>
        <v>18.027999999999977</v>
      </c>
      <c r="V198" s="529">
        <f t="shared" si="199"/>
        <v>12.752999999999973</v>
      </c>
      <c r="W198" s="529">
        <f t="shared" si="199"/>
        <v>-14.682999999999986</v>
      </c>
      <c r="X198" s="529">
        <f t="shared" si="199"/>
        <v>20.930999999999997</v>
      </c>
      <c r="Y198" s="529">
        <f t="shared" si="199"/>
        <v>24.274000000000015</v>
      </c>
      <c r="Z198" s="529">
        <f t="shared" si="199"/>
        <v>15.839999999999948</v>
      </c>
      <c r="AA198" s="529">
        <f t="shared" si="199"/>
        <v>-9.7280000000000229</v>
      </c>
      <c r="AB198" s="529">
        <f t="shared" si="199"/>
        <v>37.430000000000007</v>
      </c>
      <c r="AC198" s="529">
        <f t="shared" si="199"/>
        <v>27.21700000000002</v>
      </c>
      <c r="AD198" s="529">
        <f t="shared" si="199"/>
        <v>7.2429999999999666</v>
      </c>
      <c r="AE198" s="530">
        <f t="shared" si="199"/>
        <v>-13.123000000000019</v>
      </c>
      <c r="AF198" s="530">
        <f t="shared" si="199"/>
        <v>37.224000000000025</v>
      </c>
      <c r="AG198" s="530">
        <f t="shared" si="199"/>
        <v>22.350000000000009</v>
      </c>
      <c r="AH198" s="529">
        <f t="shared" si="199"/>
        <v>15.628000000000155</v>
      </c>
      <c r="AI198" s="530">
        <f t="shared" ref="AI198:AX198" si="200">AI176</f>
        <v>23.008999999999993</v>
      </c>
      <c r="AJ198" s="530">
        <f t="shared" si="200"/>
        <v>50.049999999999955</v>
      </c>
      <c r="AK198" s="530">
        <f t="shared" si="200"/>
        <v>54.905999999999999</v>
      </c>
      <c r="AL198" s="529">
        <f t="shared" si="200"/>
        <v>33.466000000000051</v>
      </c>
      <c r="AM198" s="530">
        <f t="shared" si="200"/>
        <v>4.5219999999999958</v>
      </c>
      <c r="AN198" s="530">
        <f t="shared" si="200"/>
        <v>60.731000000000023</v>
      </c>
      <c r="AO198" s="530">
        <f t="shared" si="200"/>
        <v>69.439999999999984</v>
      </c>
      <c r="AP198" s="529">
        <f t="shared" si="200"/>
        <v>53.472999999999978</v>
      </c>
      <c r="AQ198" s="530">
        <f t="shared" si="200"/>
        <v>-19.919999999999995</v>
      </c>
      <c r="AR198" s="530">
        <f t="shared" si="200"/>
        <v>76.293000000000035</v>
      </c>
      <c r="AS198" s="530">
        <f t="shared" si="200"/>
        <v>80.224000000000018</v>
      </c>
      <c r="AT198" s="529">
        <f t="shared" si="200"/>
        <v>64.421999999999969</v>
      </c>
      <c r="AU198" s="575">
        <f t="shared" si="200"/>
        <v>14.760999999999964</v>
      </c>
      <c r="AV198" s="529">
        <f t="shared" si="200"/>
        <v>85.195191279999975</v>
      </c>
      <c r="AW198" s="529">
        <f t="shared" si="200"/>
        <v>90.172442214799986</v>
      </c>
      <c r="AX198" s="529">
        <f t="shared" si="200"/>
        <v>72.451261311999986</v>
      </c>
      <c r="AY198" s="529"/>
      <c r="AZ198" s="726">
        <f t="shared" ref="AZ198:BN198" si="201">AZ176</f>
        <v>25.128999999999969</v>
      </c>
      <c r="BA198" s="726">
        <f t="shared" si="201"/>
        <v>41.401000000000032</v>
      </c>
      <c r="BB198" s="726">
        <f t="shared" si="201"/>
        <v>33.679999999999971</v>
      </c>
      <c r="BC198" s="726">
        <f t="shared" si="201"/>
        <v>39.047000000000018</v>
      </c>
      <c r="BD198" s="726">
        <f t="shared" si="201"/>
        <v>60.08000000000002</v>
      </c>
      <c r="BE198" s="726">
        <f t="shared" si="201"/>
        <v>45.683999999999941</v>
      </c>
      <c r="BF198" s="726">
        <f t="shared" si="201"/>
        <v>39.72600000000002</v>
      </c>
      <c r="BG198" s="726">
        <f t="shared" si="201"/>
        <v>32.530000000000044</v>
      </c>
      <c r="BH198" s="726">
        <f t="shared" si="201"/>
        <v>35.726999999999961</v>
      </c>
      <c r="BI198" s="726">
        <f t="shared" si="201"/>
        <v>46.362000000000016</v>
      </c>
      <c r="BJ198" s="726">
        <f t="shared" si="201"/>
        <v>62.161999999999935</v>
      </c>
      <c r="BK198" s="726">
        <f t="shared" si="201"/>
        <v>62.079000000000107</v>
      </c>
      <c r="BL198" s="726">
        <f t="shared" si="201"/>
        <v>161.43099999999995</v>
      </c>
      <c r="BM198" s="726">
        <f t="shared" si="201"/>
        <v>188.16599999999994</v>
      </c>
      <c r="BN198" s="728">
        <f t="shared" si="201"/>
        <v>201.01899999999989</v>
      </c>
      <c r="BO198" s="726">
        <f>SUM(AU198,AV198,AW198,AX198)</f>
        <v>262.57989480679993</v>
      </c>
      <c r="BP198" s="726" t="e">
        <f>SUM(#REF!,#REF!,#REF!,#REF!)</f>
        <v>#REF!</v>
      </c>
      <c r="BQ198" s="726" t="e">
        <f>BQ176</f>
        <v>#REF!</v>
      </c>
      <c r="BR198" s="726" t="e">
        <f>BR176</f>
        <v>#REF!</v>
      </c>
      <c r="BS198" s="726" t="e">
        <f>BS176</f>
        <v>#REF!</v>
      </c>
      <c r="BT198" s="530"/>
    </row>
    <row r="199" spans="1:72" s="20" customFormat="1" x14ac:dyDescent="0.35">
      <c r="A199" s="541" t="e">
        <f>CONCATENATE("Consensus Estimates - ",IFERROR(LEFT(A198,FIND("(",A198)-1),A198))</f>
        <v>#REF!</v>
      </c>
      <c r="B199" s="542"/>
      <c r="C199" s="537"/>
      <c r="D199" s="537"/>
      <c r="E199" s="537"/>
      <c r="F199" s="537"/>
      <c r="G199" s="537"/>
      <c r="H199" s="537"/>
      <c r="I199" s="537"/>
      <c r="J199" s="537"/>
      <c r="K199" s="537"/>
      <c r="L199" s="537"/>
      <c r="M199" s="537"/>
      <c r="N199" s="537"/>
      <c r="O199" s="537"/>
      <c r="P199" s="537"/>
      <c r="Q199" s="537"/>
      <c r="R199" s="537"/>
      <c r="S199" s="537"/>
      <c r="T199" s="537"/>
      <c r="U199" s="537"/>
      <c r="V199" s="537"/>
      <c r="W199" s="537"/>
      <c r="X199" s="537"/>
      <c r="Y199" s="537"/>
      <c r="Z199" s="537"/>
      <c r="AA199" s="537"/>
      <c r="AB199" s="537"/>
      <c r="AC199" s="537"/>
      <c r="AD199" s="537"/>
      <c r="AE199" s="537"/>
      <c r="AF199" s="537"/>
      <c r="AG199" s="537"/>
      <c r="AH199" s="537"/>
      <c r="AI199" s="537"/>
      <c r="AJ199" s="537"/>
      <c r="AK199" s="537"/>
      <c r="AL199" s="537"/>
      <c r="AM199" s="537"/>
      <c r="AN199" s="537"/>
      <c r="AO199" s="537"/>
      <c r="AP199" s="537"/>
      <c r="AQ199" s="537"/>
      <c r="AR199" s="537"/>
      <c r="AS199" s="537"/>
      <c r="AT199" s="537"/>
      <c r="AU199" s="582"/>
      <c r="AV199" s="537" t="str">
        <f t="shared" ref="AV199:AX199" ca="1" si="202">IFERROR(VLOOKUP($A199,tb_ConsensusEstimate,MATCH(AV$5,OFFSET(tb_ConsensusEstimate,0,0,1,COLUMNS(tb_ConsensusEstimate)),0),FALSE),"-")</f>
        <v>-</v>
      </c>
      <c r="AW199" s="537" t="str">
        <f t="shared" ca="1" si="202"/>
        <v>-</v>
      </c>
      <c r="AX199" s="537" t="str">
        <f t="shared" ca="1" si="202"/>
        <v>-</v>
      </c>
      <c r="AY199" s="537"/>
      <c r="AZ199" s="757"/>
      <c r="BA199" s="757"/>
      <c r="BB199" s="757"/>
      <c r="BC199" s="757"/>
      <c r="BD199" s="757"/>
      <c r="BE199" s="757"/>
      <c r="BF199" s="757"/>
      <c r="BG199" s="757"/>
      <c r="BH199" s="757"/>
      <c r="BI199" s="757"/>
      <c r="BJ199" s="757"/>
      <c r="BK199" s="757"/>
      <c r="BL199" s="757"/>
      <c r="BM199" s="757"/>
      <c r="BN199" s="758"/>
      <c r="BO199" s="757" t="str">
        <f ca="1">IFERROR(VLOOKUP($A199,tb_ConsensusEstimate,MATCH(BO$5,OFFSET(tb_ConsensusEstimate,0,0,1,COLUMNS(tb_ConsensusEstimate)),0),FALSE),"-")</f>
        <v>-</v>
      </c>
      <c r="BP199" s="757" t="str">
        <f ca="1">IFERROR(VLOOKUP($A199,tb_ConsensusEstimate,MATCH(BP$5,OFFSET(tb_ConsensusEstimate,0,0,1,COLUMNS(tb_ConsensusEstimate)),0),FALSE),"-")</f>
        <v>-</v>
      </c>
      <c r="BQ199" s="757" t="str">
        <f ca="1">IFERROR(VLOOKUP($A199,tb_ConsensusEstimate,MATCH(BQ$5,OFFSET(tb_ConsensusEstimate,0,0,1,COLUMNS(tb_ConsensusEstimate)),0),FALSE),"-")</f>
        <v>-</v>
      </c>
      <c r="BR199" s="757" t="str">
        <f ca="1">IFERROR(VLOOKUP($A199,tb_ConsensusEstimate,MATCH(BR$5,OFFSET(tb_ConsensusEstimate,0,0,1,COLUMNS(tb_ConsensusEstimate)),0),FALSE),"-")</f>
        <v>-</v>
      </c>
      <c r="BS199" s="757" t="str">
        <f ca="1">IFERROR(VLOOKUP($A199,tb_ConsensusEstimate,MATCH(BS$5,OFFSET(tb_ConsensusEstimate,0,0,1,COLUMNS(tb_ConsensusEstimate)),0),FALSE),"-")</f>
        <v>-</v>
      </c>
      <c r="BT199" s="427"/>
    </row>
    <row r="200" spans="1:72" s="17" customFormat="1" x14ac:dyDescent="0.35">
      <c r="A200" s="178"/>
      <c r="B200" s="308"/>
      <c r="C200" s="532"/>
      <c r="D200" s="532"/>
      <c r="E200" s="532"/>
      <c r="F200" s="532"/>
      <c r="G200" s="532"/>
      <c r="H200" s="532"/>
      <c r="I200" s="532"/>
      <c r="J200" s="532"/>
      <c r="K200" s="532"/>
      <c r="L200" s="532"/>
      <c r="M200" s="532"/>
      <c r="N200" s="532"/>
      <c r="O200" s="532"/>
      <c r="P200" s="532"/>
      <c r="Q200" s="532"/>
      <c r="R200" s="532"/>
      <c r="S200" s="532"/>
      <c r="T200" s="532"/>
      <c r="U200" s="532"/>
      <c r="V200" s="532"/>
      <c r="W200" s="532"/>
      <c r="X200" s="532"/>
      <c r="Y200" s="532"/>
      <c r="Z200" s="532"/>
      <c r="AA200" s="532"/>
      <c r="AB200" s="532"/>
      <c r="AC200" s="532"/>
      <c r="AD200" s="532"/>
      <c r="AE200" s="532"/>
      <c r="AF200" s="532"/>
      <c r="AG200" s="532"/>
      <c r="AH200" s="532"/>
      <c r="AI200" s="532"/>
      <c r="AJ200" s="532"/>
      <c r="AK200" s="532"/>
      <c r="AL200" s="532"/>
      <c r="AM200" s="532"/>
      <c r="AN200" s="532"/>
      <c r="AO200" s="532"/>
      <c r="AP200" s="532"/>
      <c r="AQ200" s="532"/>
      <c r="AR200" s="532"/>
      <c r="AS200" s="532"/>
      <c r="AT200" s="532"/>
      <c r="AU200" s="534"/>
      <c r="AV200" s="532"/>
      <c r="AW200" s="532"/>
      <c r="AX200" s="532"/>
      <c r="AY200" s="532"/>
      <c r="AZ200" s="156"/>
      <c r="BA200" s="156"/>
      <c r="BB200" s="156"/>
      <c r="BC200" s="156"/>
      <c r="BD200" s="156"/>
      <c r="BE200" s="156"/>
      <c r="BF200" s="156"/>
      <c r="BG200" s="156"/>
      <c r="BH200" s="156"/>
      <c r="BI200" s="156"/>
      <c r="BJ200" s="156"/>
      <c r="BK200" s="156"/>
      <c r="BL200" s="156"/>
      <c r="BM200" s="156"/>
      <c r="BN200" s="730"/>
      <c r="BO200" s="156"/>
      <c r="BP200" s="156"/>
      <c r="BQ200" s="156"/>
      <c r="BR200" s="156"/>
      <c r="BS200" s="156"/>
      <c r="BT200" s="533"/>
    </row>
    <row r="201" spans="1:72" s="17" customFormat="1" x14ac:dyDescent="0.35">
      <c r="A201" s="178" t="s">
        <v>65</v>
      </c>
      <c r="B201" s="308"/>
      <c r="C201" s="532">
        <f t="shared" ref="C201:AU201" si="203">C421-C202</f>
        <v>7.7609999999999992</v>
      </c>
      <c r="D201" s="532">
        <f t="shared" si="203"/>
        <v>8.1329999999999973</v>
      </c>
      <c r="E201" s="532">
        <f t="shared" si="203"/>
        <v>7.9820000000000029</v>
      </c>
      <c r="F201" s="532">
        <f t="shared" si="203"/>
        <v>6.8609999999999935</v>
      </c>
      <c r="G201" s="532">
        <f t="shared" si="203"/>
        <v>8.5499999999999989</v>
      </c>
      <c r="H201" s="532">
        <f t="shared" si="203"/>
        <v>14.323999999999998</v>
      </c>
      <c r="I201" s="532">
        <f t="shared" si="203"/>
        <v>9.1170000000000044</v>
      </c>
      <c r="J201" s="532">
        <f t="shared" si="203"/>
        <v>5.4760000000000026</v>
      </c>
      <c r="K201" s="532">
        <f t="shared" si="203"/>
        <v>7.4799999999999986</v>
      </c>
      <c r="L201" s="532">
        <f t="shared" si="203"/>
        <v>7.229000000000001</v>
      </c>
      <c r="M201" s="532">
        <f t="shared" si="203"/>
        <v>7.0640000000000036</v>
      </c>
      <c r="N201" s="532">
        <f t="shared" si="203"/>
        <v>11.628</v>
      </c>
      <c r="O201" s="532">
        <f t="shared" si="203"/>
        <v>5.2650000000000023</v>
      </c>
      <c r="P201" s="532">
        <f t="shared" si="203"/>
        <v>5.069999999999995</v>
      </c>
      <c r="Q201" s="532">
        <f t="shared" si="203"/>
        <v>4.6870000000000029</v>
      </c>
      <c r="R201" s="532">
        <f t="shared" si="203"/>
        <v>4.1029999999999962</v>
      </c>
      <c r="S201" s="532">
        <f t="shared" si="203"/>
        <v>4.3800000000000008</v>
      </c>
      <c r="T201" s="532">
        <f t="shared" si="203"/>
        <v>4.1950000000000003</v>
      </c>
      <c r="U201" s="532">
        <f t="shared" si="203"/>
        <v>5.5500000000000007</v>
      </c>
      <c r="V201" s="532">
        <f t="shared" si="203"/>
        <v>3.7550000000000026</v>
      </c>
      <c r="W201" s="532">
        <f t="shared" si="203"/>
        <v>4.4359999999999999</v>
      </c>
      <c r="X201" s="532">
        <f t="shared" si="203"/>
        <v>4.4499999999999993</v>
      </c>
      <c r="Y201" s="532">
        <f t="shared" si="203"/>
        <v>4.8260000000000041</v>
      </c>
      <c r="Z201" s="532">
        <f t="shared" si="203"/>
        <v>3.7480000000000082</v>
      </c>
      <c r="AA201" s="532">
        <f t="shared" si="203"/>
        <v>5.6110000000000007</v>
      </c>
      <c r="AB201" s="532">
        <f t="shared" si="203"/>
        <v>4.7099999999999973</v>
      </c>
      <c r="AC201" s="532">
        <f t="shared" si="203"/>
        <v>4.8380000000000045</v>
      </c>
      <c r="AD201" s="532">
        <f t="shared" si="203"/>
        <v>5.0410000000000004</v>
      </c>
      <c r="AE201" s="532">
        <f t="shared" si="203"/>
        <v>5.1029999999999998</v>
      </c>
      <c r="AF201" s="532">
        <f t="shared" si="203"/>
        <v>5.3879999999999946</v>
      </c>
      <c r="AG201" s="532">
        <f t="shared" si="203"/>
        <v>5.7490000000000023</v>
      </c>
      <c r="AH201" s="532">
        <f t="shared" si="203"/>
        <v>6.0379999999999949</v>
      </c>
      <c r="AI201" s="532">
        <f t="shared" si="203"/>
        <v>6.4250000000000007</v>
      </c>
      <c r="AJ201" s="532">
        <f t="shared" si="203"/>
        <v>10.237000000000002</v>
      </c>
      <c r="AK201" s="532">
        <f t="shared" si="203"/>
        <v>9.8009999999999931</v>
      </c>
      <c r="AL201" s="532">
        <f t="shared" si="203"/>
        <v>11.672000000000006</v>
      </c>
      <c r="AM201" s="532">
        <f t="shared" si="203"/>
        <v>9.2339999999999982</v>
      </c>
      <c r="AN201" s="532">
        <f t="shared" si="203"/>
        <v>10.965999999999999</v>
      </c>
      <c r="AO201" s="532">
        <f t="shared" si="203"/>
        <v>10.367000000000001</v>
      </c>
      <c r="AP201" s="532">
        <f t="shared" si="203"/>
        <v>10.979000000000006</v>
      </c>
      <c r="AQ201" s="532">
        <f t="shared" si="203"/>
        <v>11.962000000000002</v>
      </c>
      <c r="AR201" s="532">
        <f t="shared" si="203"/>
        <v>11.383999999999997</v>
      </c>
      <c r="AS201" s="532">
        <f t="shared" si="203"/>
        <v>11.162000000000006</v>
      </c>
      <c r="AT201" s="532">
        <f t="shared" si="203"/>
        <v>11.350000000000001</v>
      </c>
      <c r="AU201" s="534">
        <f t="shared" si="203"/>
        <v>10.402000000000001</v>
      </c>
      <c r="AV201" s="532">
        <f t="shared" ref="AV201:AX201" si="204">-AV529</f>
        <v>12.13021256830601</v>
      </c>
      <c r="AW201" s="532">
        <f t="shared" si="204"/>
        <v>9.9398310613783636</v>
      </c>
      <c r="AX201" s="532">
        <f t="shared" si="204"/>
        <v>8.3468918400600831</v>
      </c>
      <c r="AY201" s="532"/>
      <c r="AZ201" s="156">
        <f t="shared" ref="AZ201:BN201" si="205">AZ421-AZ202</f>
        <v>14.735000000000001</v>
      </c>
      <c r="BA201" s="156">
        <f t="shared" si="205"/>
        <v>15.960999999999999</v>
      </c>
      <c r="BB201" s="156">
        <f t="shared" si="205"/>
        <v>18.833999999999996</v>
      </c>
      <c r="BC201" s="156">
        <f t="shared" si="205"/>
        <v>27.233000000000001</v>
      </c>
      <c r="BD201" s="156">
        <f t="shared" si="205"/>
        <v>30.736999999999995</v>
      </c>
      <c r="BE201" s="156">
        <f t="shared" si="205"/>
        <v>37.466999999999999</v>
      </c>
      <c r="BF201" s="156">
        <f t="shared" si="205"/>
        <v>33.401000000000003</v>
      </c>
      <c r="BG201" s="156">
        <f t="shared" si="205"/>
        <v>19.124999999999993</v>
      </c>
      <c r="BH201" s="156">
        <f t="shared" si="205"/>
        <v>17.880000000000003</v>
      </c>
      <c r="BI201" s="156">
        <f t="shared" si="205"/>
        <v>17.460000000000008</v>
      </c>
      <c r="BJ201" s="156">
        <f t="shared" si="205"/>
        <v>20.200000000000003</v>
      </c>
      <c r="BK201" s="156">
        <f t="shared" si="205"/>
        <v>22.277999999999999</v>
      </c>
      <c r="BL201" s="156">
        <f t="shared" si="205"/>
        <v>38.135000000000005</v>
      </c>
      <c r="BM201" s="156">
        <f t="shared" si="205"/>
        <v>41.546000000000006</v>
      </c>
      <c r="BN201" s="730">
        <f t="shared" si="205"/>
        <v>45.858000000000004</v>
      </c>
      <c r="BO201" s="156">
        <f>SUM(AU201,AV201,AW201,AX201)</f>
        <v>40.81893546974446</v>
      </c>
      <c r="BP201" s="156" t="e">
        <f>SUM(#REF!,#REF!,#REF!,#REF!)</f>
        <v>#REF!</v>
      </c>
      <c r="BQ201" s="156" t="e">
        <f>-BQ529</f>
        <v>#REF!</v>
      </c>
      <c r="BR201" s="156" t="e">
        <f>-BR529</f>
        <v>#REF!</v>
      </c>
      <c r="BS201" s="156" t="e">
        <f>-BS529</f>
        <v>#REF!</v>
      </c>
      <c r="BT201" s="533"/>
    </row>
    <row r="202" spans="1:72" s="17" customFormat="1" x14ac:dyDescent="0.35">
      <c r="A202" s="178" t="s">
        <v>482</v>
      </c>
      <c r="B202" s="308"/>
      <c r="C202" s="532">
        <f t="shared" ref="C202:AU202" si="206">C86</f>
        <v>7.9</v>
      </c>
      <c r="D202" s="532">
        <f t="shared" si="206"/>
        <v>8.1</v>
      </c>
      <c r="E202" s="532">
        <f t="shared" si="206"/>
        <v>8.3000000000000007</v>
      </c>
      <c r="F202" s="532">
        <f t="shared" si="206"/>
        <v>10.7</v>
      </c>
      <c r="G202" s="532">
        <f t="shared" si="206"/>
        <v>8.4</v>
      </c>
      <c r="H202" s="532">
        <f t="shared" si="206"/>
        <v>20.200000000000003</v>
      </c>
      <c r="I202" s="532">
        <f t="shared" si="206"/>
        <v>8.8999999999999986</v>
      </c>
      <c r="J202" s="532">
        <f t="shared" si="206"/>
        <v>11.299999999999994</v>
      </c>
      <c r="K202" s="532">
        <f t="shared" si="206"/>
        <v>9.4</v>
      </c>
      <c r="L202" s="532">
        <f t="shared" si="206"/>
        <v>10.4</v>
      </c>
      <c r="M202" s="532">
        <f t="shared" si="206"/>
        <v>10.7</v>
      </c>
      <c r="N202" s="532">
        <f t="shared" si="206"/>
        <v>19.899999999999999</v>
      </c>
      <c r="O202" s="532">
        <f t="shared" si="206"/>
        <v>11.299999999999999</v>
      </c>
      <c r="P202" s="532">
        <f t="shared" si="206"/>
        <v>11.4</v>
      </c>
      <c r="Q202" s="532">
        <f t="shared" si="206"/>
        <v>12.9</v>
      </c>
      <c r="R202" s="532">
        <f t="shared" si="206"/>
        <v>13.499999999999998</v>
      </c>
      <c r="S202" s="532">
        <f t="shared" si="206"/>
        <v>13.299999999999999</v>
      </c>
      <c r="T202" s="532">
        <f t="shared" si="206"/>
        <v>14.5</v>
      </c>
      <c r="U202" s="532">
        <f t="shared" si="206"/>
        <v>14.400000000000002</v>
      </c>
      <c r="V202" s="532">
        <f t="shared" si="206"/>
        <v>14.199999999999996</v>
      </c>
      <c r="W202" s="532">
        <f t="shared" si="206"/>
        <v>16.2</v>
      </c>
      <c r="X202" s="532">
        <f t="shared" si="206"/>
        <v>14.100000000000001</v>
      </c>
      <c r="Y202" s="532">
        <f t="shared" si="206"/>
        <v>13.599999999999998</v>
      </c>
      <c r="Z202" s="532">
        <f t="shared" si="206"/>
        <v>13.899999999999995</v>
      </c>
      <c r="AA202" s="532">
        <f t="shared" si="206"/>
        <v>12.899999999999999</v>
      </c>
      <c r="AB202" s="532">
        <f t="shared" si="206"/>
        <v>13</v>
      </c>
      <c r="AC202" s="532">
        <f t="shared" si="206"/>
        <v>12.2</v>
      </c>
      <c r="AD202" s="532">
        <f t="shared" si="206"/>
        <v>13.100000000000005</v>
      </c>
      <c r="AE202" s="532">
        <f t="shared" si="206"/>
        <v>12.043000000000001</v>
      </c>
      <c r="AF202" s="532">
        <f t="shared" si="206"/>
        <v>11.842000000000002</v>
      </c>
      <c r="AG202" s="532">
        <f t="shared" si="206"/>
        <v>12.664999999999999</v>
      </c>
      <c r="AH202" s="532">
        <f t="shared" si="206"/>
        <v>13.263</v>
      </c>
      <c r="AI202" s="532">
        <f t="shared" si="206"/>
        <v>11.852</v>
      </c>
      <c r="AJ202" s="532">
        <f t="shared" si="206"/>
        <v>12.923999999999999</v>
      </c>
      <c r="AK202" s="532">
        <f t="shared" si="206"/>
        <v>13.799000000000001</v>
      </c>
      <c r="AL202" s="532">
        <f t="shared" si="206"/>
        <v>13.366999999999996</v>
      </c>
      <c r="AM202" s="532">
        <f t="shared" si="206"/>
        <v>14.913</v>
      </c>
      <c r="AN202" s="532">
        <f t="shared" si="206"/>
        <v>14.214</v>
      </c>
      <c r="AO202" s="532">
        <f t="shared" si="206"/>
        <v>13.77</v>
      </c>
      <c r="AP202" s="532">
        <f t="shared" si="206"/>
        <v>13.470999999999997</v>
      </c>
      <c r="AQ202" s="532">
        <f t="shared" si="206"/>
        <v>14.289</v>
      </c>
      <c r="AR202" s="532">
        <f t="shared" si="206"/>
        <v>16.079000000000001</v>
      </c>
      <c r="AS202" s="532">
        <f t="shared" si="206"/>
        <v>15.780000000000001</v>
      </c>
      <c r="AT202" s="532">
        <f t="shared" si="206"/>
        <v>18.351999999999997</v>
      </c>
      <c r="AU202" s="534">
        <f t="shared" si="206"/>
        <v>17.614999999999998</v>
      </c>
      <c r="AV202" s="532">
        <f t="shared" ref="AV202:AX202" si="207">-AV535</f>
        <v>17.171203005464481</v>
      </c>
      <c r="AW202" s="532">
        <f t="shared" si="207"/>
        <v>16.791221042017529</v>
      </c>
      <c r="AX202" s="532">
        <f t="shared" si="207"/>
        <v>16.764465786646205</v>
      </c>
      <c r="AY202" s="532"/>
      <c r="AZ202" s="156">
        <f t="shared" ref="AZ202:BN202" si="208">AZ86</f>
        <v>6.1</v>
      </c>
      <c r="BA202" s="156">
        <f t="shared" si="208"/>
        <v>9.8000000000000007</v>
      </c>
      <c r="BB202" s="156">
        <f t="shared" si="208"/>
        <v>24.1</v>
      </c>
      <c r="BC202" s="156">
        <f t="shared" si="208"/>
        <v>30.8</v>
      </c>
      <c r="BD202" s="156">
        <f t="shared" si="208"/>
        <v>35</v>
      </c>
      <c r="BE202" s="156">
        <f t="shared" si="208"/>
        <v>48.8</v>
      </c>
      <c r="BF202" s="156">
        <f t="shared" si="208"/>
        <v>50.4</v>
      </c>
      <c r="BG202" s="156">
        <f t="shared" si="208"/>
        <v>49.1</v>
      </c>
      <c r="BH202" s="156">
        <f t="shared" si="208"/>
        <v>56.4</v>
      </c>
      <c r="BI202" s="156">
        <f t="shared" si="208"/>
        <v>57.8</v>
      </c>
      <c r="BJ202" s="156">
        <f t="shared" si="208"/>
        <v>51.2</v>
      </c>
      <c r="BK202" s="156">
        <f t="shared" si="208"/>
        <v>49.812999999999995</v>
      </c>
      <c r="BL202" s="156">
        <f t="shared" si="208"/>
        <v>51.941999999999993</v>
      </c>
      <c r="BM202" s="156">
        <f t="shared" si="208"/>
        <v>56.367999999999995</v>
      </c>
      <c r="BN202" s="730">
        <f t="shared" si="208"/>
        <v>64.5</v>
      </c>
      <c r="BO202" s="156">
        <f>SUM(AU202,AV202,AW202,AX202)</f>
        <v>68.34188983412821</v>
      </c>
      <c r="BP202" s="156" t="e">
        <f>SUM(#REF!,#REF!,#REF!,#REF!)</f>
        <v>#REF!</v>
      </c>
      <c r="BQ202" s="156" t="e">
        <f>-BQ535</f>
        <v>#REF!</v>
      </c>
      <c r="BR202" s="156" t="e">
        <f>-BR535</f>
        <v>#REF!</v>
      </c>
      <c r="BS202" s="156" t="e">
        <f>-BS535</f>
        <v>#REF!</v>
      </c>
      <c r="BT202" s="533"/>
    </row>
    <row r="203" spans="1:72" s="17" customFormat="1" x14ac:dyDescent="0.35">
      <c r="A203" s="267" t="s">
        <v>66</v>
      </c>
      <c r="B203" s="362"/>
      <c r="C203" s="571">
        <f t="shared" ref="C203:AU203" si="209">C422</f>
        <v>2.8719999999999999</v>
      </c>
      <c r="D203" s="571">
        <f t="shared" si="209"/>
        <v>2.9080000000000004</v>
      </c>
      <c r="E203" s="571">
        <f t="shared" si="209"/>
        <v>4.0529999999999999</v>
      </c>
      <c r="F203" s="571">
        <f t="shared" si="209"/>
        <v>4.5410000000000004</v>
      </c>
      <c r="G203" s="571">
        <f t="shared" si="209"/>
        <v>3.68</v>
      </c>
      <c r="H203" s="571">
        <f t="shared" si="209"/>
        <v>8.5300000000000011</v>
      </c>
      <c r="I203" s="571">
        <f t="shared" si="209"/>
        <v>3.9890000000000008</v>
      </c>
      <c r="J203" s="571">
        <f t="shared" si="209"/>
        <v>6.6289999999999978</v>
      </c>
      <c r="K203" s="571">
        <f t="shared" si="209"/>
        <v>4.173</v>
      </c>
      <c r="L203" s="571">
        <f t="shared" si="209"/>
        <v>4.7959999999999994</v>
      </c>
      <c r="M203" s="571">
        <f t="shared" si="209"/>
        <v>4.5020000000000007</v>
      </c>
      <c r="N203" s="571">
        <f t="shared" si="209"/>
        <v>7.8279999999999994</v>
      </c>
      <c r="O203" s="571">
        <f t="shared" si="209"/>
        <v>4.5869999999999997</v>
      </c>
      <c r="P203" s="571">
        <f t="shared" si="209"/>
        <v>4.9540000000000006</v>
      </c>
      <c r="Q203" s="571">
        <f t="shared" si="209"/>
        <v>4.218</v>
      </c>
      <c r="R203" s="571">
        <f t="shared" si="209"/>
        <v>4.8569999999999993</v>
      </c>
      <c r="S203" s="571">
        <f t="shared" si="209"/>
        <v>4.694</v>
      </c>
      <c r="T203" s="571">
        <f t="shared" si="209"/>
        <v>4.5979999999999999</v>
      </c>
      <c r="U203" s="571">
        <f t="shared" si="209"/>
        <v>5.2650000000000006</v>
      </c>
      <c r="V203" s="571">
        <f t="shared" si="209"/>
        <v>8.0409999999999986</v>
      </c>
      <c r="W203" s="571">
        <f t="shared" si="209"/>
        <v>3.0790000000000002</v>
      </c>
      <c r="X203" s="571">
        <f t="shared" si="209"/>
        <v>7.2169999999999987</v>
      </c>
      <c r="Y203" s="571">
        <f t="shared" si="209"/>
        <v>4.5570000000000004</v>
      </c>
      <c r="Z203" s="571">
        <f t="shared" si="209"/>
        <v>5.9640000000000004</v>
      </c>
      <c r="AA203" s="571">
        <f t="shared" si="209"/>
        <v>4.024</v>
      </c>
      <c r="AB203" s="571">
        <f t="shared" si="209"/>
        <v>4.1399999999999997</v>
      </c>
      <c r="AC203" s="571">
        <f t="shared" si="209"/>
        <v>3.9500000000000011</v>
      </c>
      <c r="AD203" s="571">
        <f t="shared" si="209"/>
        <v>4.5619999999999976</v>
      </c>
      <c r="AE203" s="571">
        <f t="shared" si="209"/>
        <v>5.5220000000000002</v>
      </c>
      <c r="AF203" s="571">
        <f t="shared" si="209"/>
        <v>6.1769999999999996</v>
      </c>
      <c r="AG203" s="571">
        <f t="shared" si="209"/>
        <v>6.0860000000000003</v>
      </c>
      <c r="AH203" s="571">
        <f t="shared" si="209"/>
        <v>5.8240000000000016</v>
      </c>
      <c r="AI203" s="571">
        <f t="shared" si="209"/>
        <v>8.8930000000000007</v>
      </c>
      <c r="AJ203" s="571">
        <f t="shared" si="209"/>
        <v>9.0739999999999981</v>
      </c>
      <c r="AK203" s="571">
        <f t="shared" si="209"/>
        <v>12.854000000000003</v>
      </c>
      <c r="AL203" s="571">
        <f t="shared" si="209"/>
        <v>8.5119999999999969</v>
      </c>
      <c r="AM203" s="571">
        <f t="shared" si="209"/>
        <v>8.2859999999999996</v>
      </c>
      <c r="AN203" s="571">
        <f t="shared" si="209"/>
        <v>0.60200000000000031</v>
      </c>
      <c r="AO203" s="571">
        <f t="shared" si="209"/>
        <v>5.5760000000000005</v>
      </c>
      <c r="AP203" s="571">
        <f t="shared" si="209"/>
        <v>4.1059999999999999</v>
      </c>
      <c r="AQ203" s="571">
        <f t="shared" si="209"/>
        <v>5.51</v>
      </c>
      <c r="AR203" s="571">
        <f t="shared" si="209"/>
        <v>4.9410000000000007</v>
      </c>
      <c r="AS203" s="571">
        <f t="shared" si="209"/>
        <v>4.7449999999999992</v>
      </c>
      <c r="AT203" s="571">
        <f t="shared" si="209"/>
        <v>5.1240000000000006</v>
      </c>
      <c r="AU203" s="583">
        <f t="shared" si="209"/>
        <v>8.4260000000000002</v>
      </c>
      <c r="AV203" s="639">
        <v>7</v>
      </c>
      <c r="AW203" s="639">
        <v>7.6</v>
      </c>
      <c r="AX203" s="639">
        <v>7.5</v>
      </c>
      <c r="AY203" s="584"/>
      <c r="AZ203" s="760">
        <f t="shared" ref="AZ203:BN203" si="210">AZ422</f>
        <v>2.79</v>
      </c>
      <c r="BA203" s="760">
        <f t="shared" si="210"/>
        <v>5.9340000000000002</v>
      </c>
      <c r="BB203" s="760">
        <f t="shared" si="210"/>
        <v>9.4659999999999993</v>
      </c>
      <c r="BC203" s="760">
        <f t="shared" si="210"/>
        <v>10.067</v>
      </c>
      <c r="BD203" s="760">
        <f t="shared" si="210"/>
        <v>14.374000000000001</v>
      </c>
      <c r="BE203" s="760">
        <f t="shared" si="210"/>
        <v>22.827999999999999</v>
      </c>
      <c r="BF203" s="760">
        <f t="shared" si="210"/>
        <v>21.298999999999999</v>
      </c>
      <c r="BG203" s="760">
        <f t="shared" si="210"/>
        <v>18.616</v>
      </c>
      <c r="BH203" s="760">
        <f t="shared" si="210"/>
        <v>22.597999999999999</v>
      </c>
      <c r="BI203" s="760">
        <f t="shared" si="210"/>
        <v>20.817</v>
      </c>
      <c r="BJ203" s="760">
        <f t="shared" si="210"/>
        <v>16.675999999999998</v>
      </c>
      <c r="BK203" s="760">
        <f t="shared" si="210"/>
        <v>23.609000000000002</v>
      </c>
      <c r="BL203" s="760">
        <f t="shared" si="210"/>
        <v>39.332999999999998</v>
      </c>
      <c r="BM203" s="760">
        <f t="shared" si="210"/>
        <v>18.57</v>
      </c>
      <c r="BN203" s="761">
        <f t="shared" si="210"/>
        <v>20.32</v>
      </c>
      <c r="BO203" s="731">
        <f>SUM(AU203,AV203,AW203,AX203)</f>
        <v>30.526</v>
      </c>
      <c r="BP203" s="731" t="e">
        <f>SUM(#REF!,#REF!,#REF!,#REF!)</f>
        <v>#REF!</v>
      </c>
      <c r="BQ203" s="732">
        <v>26</v>
      </c>
      <c r="BR203" s="732">
        <v>26</v>
      </c>
      <c r="BS203" s="732">
        <v>26</v>
      </c>
      <c r="BT203" s="533"/>
    </row>
    <row r="204" spans="1:72" s="1" customFormat="1" x14ac:dyDescent="0.35">
      <c r="A204" s="47" t="s">
        <v>64</v>
      </c>
      <c r="B204" s="360"/>
      <c r="C204" s="573">
        <f t="shared" ref="C204:I204" si="211">C197+SUM(C201,C202)</f>
        <v>24.322000000000003</v>
      </c>
      <c r="D204" s="573">
        <f t="shared" si="211"/>
        <v>32.504999999999988</v>
      </c>
      <c r="E204" s="573">
        <f t="shared" si="211"/>
        <v>35.633999999999993</v>
      </c>
      <c r="F204" s="573">
        <f t="shared" si="211"/>
        <v>18.981999999999985</v>
      </c>
      <c r="G204" s="573">
        <f t="shared" si="211"/>
        <v>8.4860000000000291</v>
      </c>
      <c r="H204" s="573">
        <f t="shared" si="211"/>
        <v>25.616000000000014</v>
      </c>
      <c r="I204" s="573">
        <f t="shared" si="211"/>
        <v>45.401999999999994</v>
      </c>
      <c r="J204" s="573">
        <f>J197+SUM(J201,J202,J180)</f>
        <v>36.022999999999954</v>
      </c>
      <c r="K204" s="573">
        <f t="shared" ref="K204:AX204" si="212">K197+SUM(K201,K202)</f>
        <v>3.7219999999999693</v>
      </c>
      <c r="L204" s="573">
        <f t="shared" si="212"/>
        <v>38.102000000000004</v>
      </c>
      <c r="M204" s="573">
        <f t="shared" si="212"/>
        <v>45.193999999999981</v>
      </c>
      <c r="N204" s="573">
        <f t="shared" si="212"/>
        <v>15.210000000000129</v>
      </c>
      <c r="O204" s="573">
        <f t="shared" si="212"/>
        <v>-3.8909999999999876</v>
      </c>
      <c r="P204" s="573">
        <f t="shared" si="212"/>
        <v>31.196999999999985</v>
      </c>
      <c r="Q204" s="573">
        <f t="shared" si="212"/>
        <v>36.721000000000004</v>
      </c>
      <c r="R204" s="573">
        <f t="shared" si="212"/>
        <v>18.111999999999981</v>
      </c>
      <c r="S204" s="573">
        <f t="shared" si="212"/>
        <v>-4.988999999999983</v>
      </c>
      <c r="T204" s="573">
        <f t="shared" si="212"/>
        <v>37.018000000000008</v>
      </c>
      <c r="U204" s="573">
        <f t="shared" si="212"/>
        <v>32.71299999999998</v>
      </c>
      <c r="V204" s="573">
        <f t="shared" si="212"/>
        <v>22.666999999999973</v>
      </c>
      <c r="W204" s="573">
        <f t="shared" si="212"/>
        <v>2.874000000000013</v>
      </c>
      <c r="X204" s="573">
        <f t="shared" si="212"/>
        <v>32.263999999999996</v>
      </c>
      <c r="Y204" s="573">
        <f t="shared" si="212"/>
        <v>38.143000000000015</v>
      </c>
      <c r="Z204" s="573">
        <f t="shared" si="212"/>
        <v>27.523999999999951</v>
      </c>
      <c r="AA204" s="573">
        <f t="shared" si="212"/>
        <v>4.7589999999999755</v>
      </c>
      <c r="AB204" s="573">
        <f t="shared" si="212"/>
        <v>51</v>
      </c>
      <c r="AC204" s="573">
        <f t="shared" si="212"/>
        <v>40.305000000000021</v>
      </c>
      <c r="AD204" s="573">
        <f t="shared" si="212"/>
        <v>20.821999999999974</v>
      </c>
      <c r="AE204" s="573">
        <f t="shared" si="212"/>
        <v>-2.2420000000000186</v>
      </c>
      <c r="AF204" s="573">
        <f t="shared" si="212"/>
        <v>47.535000000000025</v>
      </c>
      <c r="AG204" s="573">
        <f t="shared" si="212"/>
        <v>32.913000000000011</v>
      </c>
      <c r="AH204" s="573">
        <f t="shared" si="212"/>
        <v>26.342000000000148</v>
      </c>
      <c r="AI204" s="573">
        <f t="shared" si="212"/>
        <v>30.340999999999994</v>
      </c>
      <c r="AJ204" s="573">
        <f t="shared" si="212"/>
        <v>61.612999999999957</v>
      </c>
      <c r="AK204" s="573">
        <f t="shared" si="212"/>
        <v>62.152999999999992</v>
      </c>
      <c r="AL204" s="573">
        <f t="shared" si="212"/>
        <v>46.426000000000059</v>
      </c>
      <c r="AM204" s="573">
        <f t="shared" si="212"/>
        <v>17.169999999999995</v>
      </c>
      <c r="AN204" s="573">
        <f t="shared" si="212"/>
        <v>82.095000000000027</v>
      </c>
      <c r="AO204" s="573">
        <f t="shared" si="212"/>
        <v>84.730999999999995</v>
      </c>
      <c r="AP204" s="573">
        <f t="shared" si="212"/>
        <v>70.545999999999978</v>
      </c>
      <c r="AQ204" s="573">
        <f t="shared" si="212"/>
        <v>-2.4679999999999929</v>
      </c>
      <c r="AR204" s="573">
        <f t="shared" si="212"/>
        <v>95.536000000000016</v>
      </c>
      <c r="AS204" s="573">
        <f t="shared" si="212"/>
        <v>99.14100000000002</v>
      </c>
      <c r="AT204" s="573">
        <f t="shared" si="212"/>
        <v>83.647999999999968</v>
      </c>
      <c r="AU204" s="577">
        <f t="shared" si="212"/>
        <v>31.336999999999964</v>
      </c>
      <c r="AV204" s="572">
        <f t="shared" si="212"/>
        <v>104.19660685377048</v>
      </c>
      <c r="AW204" s="572">
        <f t="shared" si="212"/>
        <v>106.20349431819589</v>
      </c>
      <c r="AX204" s="572">
        <f t="shared" si="212"/>
        <v>86.962618938706271</v>
      </c>
      <c r="AY204" s="572"/>
      <c r="AZ204" s="735">
        <f>AZ197+SUM(AZ201,AZ202)</f>
        <v>43.173999999999971</v>
      </c>
      <c r="BA204" s="735">
        <f>BA197+SUM(BA201,BA202)</f>
        <v>61.228000000000037</v>
      </c>
      <c r="BB204" s="735">
        <f>BB197+SUM(BB201,BB202)</f>
        <v>67.147999999999968</v>
      </c>
      <c r="BC204" s="735">
        <f>BC197+SUM(BC201,BC202)</f>
        <v>87.013000000000019</v>
      </c>
      <c r="BD204" s="735">
        <f>BD197+SUM(BD201,BD202)</f>
        <v>111.44300000000001</v>
      </c>
      <c r="BE204" s="735">
        <f>BE197+SUM(BE201,BE202,BE180)</f>
        <v>115.52699999999993</v>
      </c>
      <c r="BF204" s="735">
        <f t="shared" ref="BF204:BS204" si="213">BF197+SUM(BF201,BF202)</f>
        <v>102.22800000000002</v>
      </c>
      <c r="BG204" s="735">
        <f t="shared" si="213"/>
        <v>82.139000000000038</v>
      </c>
      <c r="BH204" s="735">
        <f t="shared" si="213"/>
        <v>87.408999999999963</v>
      </c>
      <c r="BI204" s="735">
        <f t="shared" si="213"/>
        <v>100.80500000000002</v>
      </c>
      <c r="BJ204" s="735">
        <f t="shared" si="213"/>
        <v>116.88599999999994</v>
      </c>
      <c r="BK204" s="735">
        <f t="shared" si="213"/>
        <v>104.5480000000001</v>
      </c>
      <c r="BL204" s="735">
        <f t="shared" si="213"/>
        <v>200.53299999999996</v>
      </c>
      <c r="BM204" s="735">
        <f t="shared" si="213"/>
        <v>254.54199999999992</v>
      </c>
      <c r="BN204" s="749">
        <f t="shared" si="213"/>
        <v>275.85699999999991</v>
      </c>
      <c r="BO204" s="734">
        <f t="shared" si="213"/>
        <v>328.69972011067262</v>
      </c>
      <c r="BP204" s="734" t="e">
        <f t="shared" si="213"/>
        <v>#REF!</v>
      </c>
      <c r="BQ204" s="734" t="e">
        <f t="shared" si="213"/>
        <v>#REF!</v>
      </c>
      <c r="BR204" s="734" t="e">
        <f t="shared" si="213"/>
        <v>#REF!</v>
      </c>
      <c r="BS204" s="734" t="e">
        <f t="shared" si="213"/>
        <v>#REF!</v>
      </c>
      <c r="BT204" s="530"/>
    </row>
    <row r="205" spans="1:72" s="1" customFormat="1" x14ac:dyDescent="0.35">
      <c r="A205" s="51" t="e">
        <f>CONCATENATE("Adjusted ",A204,IF(AND(ROUND(SUM(AZ204:BT204)-SUM(AZ205:BT205),6)=0)," (No Adjustments)",""))</f>
        <v>#REF!</v>
      </c>
      <c r="B205" s="307"/>
      <c r="C205" s="530">
        <f t="shared" ref="C205:AH205" si="214">C178</f>
        <v>27.194000000000003</v>
      </c>
      <c r="D205" s="530">
        <f t="shared" si="214"/>
        <v>35.41299999999999</v>
      </c>
      <c r="E205" s="530">
        <f t="shared" si="214"/>
        <v>39.686999999999991</v>
      </c>
      <c r="F205" s="530">
        <f t="shared" si="214"/>
        <v>23.522999999999985</v>
      </c>
      <c r="G205" s="530">
        <f t="shared" si="214"/>
        <v>12.166000000000029</v>
      </c>
      <c r="H205" s="530">
        <f t="shared" si="214"/>
        <v>34.146000000000015</v>
      </c>
      <c r="I205" s="530">
        <f t="shared" si="214"/>
        <v>49.390999999999991</v>
      </c>
      <c r="J205" s="530">
        <f t="shared" si="214"/>
        <v>36.247999999999955</v>
      </c>
      <c r="K205" s="530">
        <f t="shared" si="214"/>
        <v>7.8949999999999694</v>
      </c>
      <c r="L205" s="530">
        <f t="shared" si="214"/>
        <v>42.897999999999996</v>
      </c>
      <c r="M205" s="530">
        <f t="shared" si="214"/>
        <v>49.695999999999984</v>
      </c>
      <c r="N205" s="530">
        <f t="shared" si="214"/>
        <v>23.038000000000128</v>
      </c>
      <c r="O205" s="530">
        <f t="shared" si="214"/>
        <v>0.69600000000001216</v>
      </c>
      <c r="P205" s="530">
        <f t="shared" si="214"/>
        <v>36.150999999999982</v>
      </c>
      <c r="Q205" s="530">
        <f t="shared" si="214"/>
        <v>40.939000000000007</v>
      </c>
      <c r="R205" s="530">
        <f t="shared" si="214"/>
        <v>22.96899999999998</v>
      </c>
      <c r="S205" s="530">
        <f t="shared" si="214"/>
        <v>-0.29499999999998394</v>
      </c>
      <c r="T205" s="530">
        <f t="shared" si="214"/>
        <v>41.616000000000007</v>
      </c>
      <c r="U205" s="530">
        <f t="shared" si="214"/>
        <v>37.97799999999998</v>
      </c>
      <c r="V205" s="530">
        <f t="shared" si="214"/>
        <v>30.70799999999997</v>
      </c>
      <c r="W205" s="530">
        <f t="shared" si="214"/>
        <v>5.9530000000000136</v>
      </c>
      <c r="X205" s="530">
        <f t="shared" si="214"/>
        <v>39.480999999999995</v>
      </c>
      <c r="Y205" s="530">
        <f t="shared" si="214"/>
        <v>42.700000000000017</v>
      </c>
      <c r="Z205" s="530">
        <f t="shared" si="214"/>
        <v>33.48799999999995</v>
      </c>
      <c r="AA205" s="530">
        <f t="shared" si="214"/>
        <v>8.7829999999999764</v>
      </c>
      <c r="AB205" s="530">
        <f t="shared" si="214"/>
        <v>55.14</v>
      </c>
      <c r="AC205" s="530">
        <f t="shared" si="214"/>
        <v>44.255000000000024</v>
      </c>
      <c r="AD205" s="530">
        <f t="shared" si="214"/>
        <v>25.383999999999972</v>
      </c>
      <c r="AE205" s="530">
        <f t="shared" si="214"/>
        <v>3.2799999999999834</v>
      </c>
      <c r="AF205" s="530">
        <f t="shared" si="214"/>
        <v>53.712000000000018</v>
      </c>
      <c r="AG205" s="530">
        <f t="shared" si="214"/>
        <v>38.999000000000009</v>
      </c>
      <c r="AH205" s="530">
        <f t="shared" si="214"/>
        <v>32.166000000000153</v>
      </c>
      <c r="AI205" s="530">
        <f t="shared" ref="AI205:AX205" si="215">AI178</f>
        <v>39.233999999999995</v>
      </c>
      <c r="AJ205" s="530">
        <f t="shared" si="215"/>
        <v>70.686999999999955</v>
      </c>
      <c r="AK205" s="530">
        <f t="shared" si="215"/>
        <v>75.006999999999991</v>
      </c>
      <c r="AL205" s="530">
        <f t="shared" si="215"/>
        <v>54.938000000000052</v>
      </c>
      <c r="AM205" s="530">
        <f t="shared" si="215"/>
        <v>25.455999999999992</v>
      </c>
      <c r="AN205" s="530">
        <f t="shared" si="215"/>
        <v>82.697000000000031</v>
      </c>
      <c r="AO205" s="530">
        <f t="shared" si="215"/>
        <v>90.306999999999988</v>
      </c>
      <c r="AP205" s="530">
        <f t="shared" si="215"/>
        <v>74.651999999999987</v>
      </c>
      <c r="AQ205" s="530">
        <f t="shared" si="215"/>
        <v>3.0420000000000051</v>
      </c>
      <c r="AR205" s="530">
        <f t="shared" si="215"/>
        <v>100.47700000000003</v>
      </c>
      <c r="AS205" s="530">
        <f t="shared" si="215"/>
        <v>103.88600000000002</v>
      </c>
      <c r="AT205" s="530">
        <f t="shared" si="215"/>
        <v>88.771999999999963</v>
      </c>
      <c r="AU205" s="575">
        <f t="shared" si="215"/>
        <v>39.762999999999963</v>
      </c>
      <c r="AV205" s="529">
        <f t="shared" si="215"/>
        <v>111.19660685377046</v>
      </c>
      <c r="AW205" s="529">
        <f t="shared" si="215"/>
        <v>113.80349431819587</v>
      </c>
      <c r="AX205" s="529">
        <f t="shared" si="215"/>
        <v>94.462618938706271</v>
      </c>
      <c r="AY205" s="529"/>
      <c r="AZ205" s="750">
        <f t="shared" ref="AZ205:BN205" si="216">AZ178</f>
        <v>45.96399999999997</v>
      </c>
      <c r="BA205" s="750">
        <f t="shared" si="216"/>
        <v>67.162000000000035</v>
      </c>
      <c r="BB205" s="750">
        <f t="shared" si="216"/>
        <v>76.613999999999976</v>
      </c>
      <c r="BC205" s="750">
        <f t="shared" si="216"/>
        <v>97.080000000000013</v>
      </c>
      <c r="BD205" s="750">
        <f t="shared" si="216"/>
        <v>125.81700000000001</v>
      </c>
      <c r="BE205" s="750">
        <f t="shared" si="216"/>
        <v>131.95099999999994</v>
      </c>
      <c r="BF205" s="750">
        <f t="shared" si="216"/>
        <v>123.52700000000002</v>
      </c>
      <c r="BG205" s="750">
        <f t="shared" si="216"/>
        <v>100.75500000000004</v>
      </c>
      <c r="BH205" s="750">
        <f t="shared" si="216"/>
        <v>110.00699999999996</v>
      </c>
      <c r="BI205" s="750">
        <f t="shared" si="216"/>
        <v>121.62200000000001</v>
      </c>
      <c r="BJ205" s="750">
        <f t="shared" si="216"/>
        <v>133.56199999999995</v>
      </c>
      <c r="BK205" s="750">
        <f t="shared" si="216"/>
        <v>128.1570000000001</v>
      </c>
      <c r="BL205" s="750">
        <f t="shared" si="216"/>
        <v>239.86599999999996</v>
      </c>
      <c r="BM205" s="750">
        <f t="shared" si="216"/>
        <v>273.11199999999997</v>
      </c>
      <c r="BN205" s="751">
        <f t="shared" si="216"/>
        <v>296.17699999999991</v>
      </c>
      <c r="BO205" s="726">
        <f>SUM(AU205,AV205,AW205,AX205)</f>
        <v>359.22572011067257</v>
      </c>
      <c r="BP205" s="726" t="e">
        <f>SUM(#REF!,#REF!,#REF!,#REF!)</f>
        <v>#REF!</v>
      </c>
      <c r="BQ205" s="726" t="e">
        <f>BQ178</f>
        <v>#REF!</v>
      </c>
      <c r="BR205" s="726" t="e">
        <f>BR178</f>
        <v>#REF!</v>
      </c>
      <c r="BS205" s="726" t="e">
        <f>BS178</f>
        <v>#REF!</v>
      </c>
      <c r="BT205" s="530"/>
    </row>
    <row r="206" spans="1:72" s="97" customFormat="1" x14ac:dyDescent="0.35">
      <c r="A206" s="541" t="e">
        <f>CONCATENATE("Consensus Estimates - ",IFERROR(LEFT(A205,FIND("(",A205)-1),A205))</f>
        <v>#REF!</v>
      </c>
      <c r="B206" s="542"/>
      <c r="C206" s="537"/>
      <c r="D206" s="537"/>
      <c r="E206" s="537"/>
      <c r="F206" s="537"/>
      <c r="G206" s="537"/>
      <c r="H206" s="537"/>
      <c r="I206" s="537"/>
      <c r="J206" s="537"/>
      <c r="K206" s="537"/>
      <c r="L206" s="537"/>
      <c r="M206" s="537"/>
      <c r="N206" s="537"/>
      <c r="O206" s="537"/>
      <c r="P206" s="581"/>
      <c r="Q206" s="581"/>
      <c r="R206" s="537"/>
      <c r="S206" s="537"/>
      <c r="T206" s="581"/>
      <c r="U206" s="581"/>
      <c r="V206" s="537"/>
      <c r="W206" s="537"/>
      <c r="X206" s="581"/>
      <c r="Y206" s="581"/>
      <c r="Z206" s="537"/>
      <c r="AA206" s="537"/>
      <c r="AB206" s="581"/>
      <c r="AC206" s="581"/>
      <c r="AD206" s="537"/>
      <c r="AE206" s="537"/>
      <c r="AF206" s="581"/>
      <c r="AG206" s="581"/>
      <c r="AH206" s="537"/>
      <c r="AI206" s="537"/>
      <c r="AJ206" s="581"/>
      <c r="AK206" s="581"/>
      <c r="AL206" s="537"/>
      <c r="AM206" s="537"/>
      <c r="AN206" s="581"/>
      <c r="AO206" s="581"/>
      <c r="AP206" s="537"/>
      <c r="AQ206" s="537"/>
      <c r="AR206" s="581"/>
      <c r="AS206" s="581"/>
      <c r="AT206" s="537"/>
      <c r="AU206" s="582"/>
      <c r="AV206" s="537" t="str">
        <f t="shared" ref="AV206:AX206" ca="1" si="217">IFERROR(VLOOKUP($A206,tb_ConsensusEstimate,MATCH(AV$5,OFFSET(tb_ConsensusEstimate,0,0,1,COLUMNS(tb_ConsensusEstimate)),0),FALSE),"-")</f>
        <v>-</v>
      </c>
      <c r="AW206" s="537" t="str">
        <f t="shared" ca="1" si="217"/>
        <v>-</v>
      </c>
      <c r="AX206" s="537" t="str">
        <f t="shared" ca="1" si="217"/>
        <v>-</v>
      </c>
      <c r="AY206" s="537"/>
      <c r="AZ206" s="757"/>
      <c r="BA206" s="757"/>
      <c r="BB206" s="757"/>
      <c r="BC206" s="757"/>
      <c r="BD206" s="757"/>
      <c r="BE206" s="757"/>
      <c r="BF206" s="757"/>
      <c r="BG206" s="757"/>
      <c r="BH206" s="757"/>
      <c r="BI206" s="757"/>
      <c r="BJ206" s="757"/>
      <c r="BK206" s="757"/>
      <c r="BL206" s="757"/>
      <c r="BM206" s="757"/>
      <c r="BN206" s="758"/>
      <c r="BO206" s="759" t="str">
        <f ca="1">IFERROR(VLOOKUP($A206,tb_ConsensusEstimate,MATCH(BO$5,OFFSET(tb_ConsensusEstimate,0,0,1,COLUMNS(tb_ConsensusEstimate)),0),FALSE),"-")</f>
        <v>-</v>
      </c>
      <c r="BP206" s="759" t="str">
        <f ca="1">IFERROR(VLOOKUP($A206,tb_ConsensusEstimate,MATCH(BP$5,OFFSET(tb_ConsensusEstimate,0,0,1,COLUMNS(tb_ConsensusEstimate)),0),FALSE),"-")</f>
        <v>-</v>
      </c>
      <c r="BQ206" s="759" t="str">
        <f ca="1">IFERROR(VLOOKUP($A206,tb_ConsensusEstimate,MATCH(BQ$5,OFFSET(tb_ConsensusEstimate,0,0,1,COLUMNS(tb_ConsensusEstimate)),0),FALSE),"-")</f>
        <v>-</v>
      </c>
      <c r="BR206" s="759" t="str">
        <f ca="1">IFERROR(VLOOKUP($A206,tb_ConsensusEstimate,MATCH(BR$5,OFFSET(tb_ConsensusEstimate,0,0,1,COLUMNS(tb_ConsensusEstimate)),0),FALSE),"-")</f>
        <v>-</v>
      </c>
      <c r="BS206" s="759" t="str">
        <f ca="1">IFERROR(VLOOKUP($A206,tb_ConsensusEstimate,MATCH(BS$5,OFFSET(tb_ConsensusEstimate,0,0,1,COLUMNS(tb_ConsensusEstimate)),0),FALSE),"-")</f>
        <v>-</v>
      </c>
      <c r="BT206" s="537"/>
    </row>
    <row r="207" spans="1:72" s="20" customFormat="1" x14ac:dyDescent="0.35">
      <c r="A207" s="541"/>
      <c r="B207" s="542"/>
      <c r="C207" s="537"/>
      <c r="D207" s="537"/>
      <c r="E207" s="537"/>
      <c r="F207" s="537"/>
      <c r="G207" s="537"/>
      <c r="H207" s="537"/>
      <c r="I207" s="537"/>
      <c r="J207" s="537"/>
      <c r="K207" s="537"/>
      <c r="L207" s="537"/>
      <c r="M207" s="537"/>
      <c r="N207" s="537"/>
      <c r="O207" s="537"/>
      <c r="P207" s="581"/>
      <c r="Q207" s="581"/>
      <c r="R207" s="537"/>
      <c r="S207" s="537"/>
      <c r="T207" s="581"/>
      <c r="U207" s="581"/>
      <c r="V207" s="537"/>
      <c r="W207" s="537"/>
      <c r="X207" s="581"/>
      <c r="Y207" s="581"/>
      <c r="Z207" s="537"/>
      <c r="AA207" s="537"/>
      <c r="AB207" s="581"/>
      <c r="AC207" s="581"/>
      <c r="AD207" s="537"/>
      <c r="AE207" s="537"/>
      <c r="AF207" s="581"/>
      <c r="AG207" s="581"/>
      <c r="AH207" s="537"/>
      <c r="AI207" s="537"/>
      <c r="AJ207" s="581"/>
      <c r="AK207" s="581"/>
      <c r="AL207" s="537"/>
      <c r="AM207" s="537"/>
      <c r="AN207" s="581"/>
      <c r="AO207" s="581"/>
      <c r="AP207" s="537"/>
      <c r="AQ207" s="537"/>
      <c r="AR207" s="581"/>
      <c r="AS207" s="581"/>
      <c r="AT207" s="537"/>
      <c r="AU207" s="582"/>
      <c r="AV207" s="537"/>
      <c r="AW207" s="537"/>
      <c r="AX207" s="537"/>
      <c r="AY207" s="537"/>
      <c r="AZ207" s="757"/>
      <c r="BA207" s="757"/>
      <c r="BB207" s="757"/>
      <c r="BC207" s="757"/>
      <c r="BD207" s="757"/>
      <c r="BE207" s="757"/>
      <c r="BF207" s="757"/>
      <c r="BG207" s="757"/>
      <c r="BH207" s="757"/>
      <c r="BI207" s="757"/>
      <c r="BJ207" s="757"/>
      <c r="BK207" s="757"/>
      <c r="BL207" s="757"/>
      <c r="BM207" s="757"/>
      <c r="BN207" s="758"/>
      <c r="BO207" s="762"/>
      <c r="BP207" s="762"/>
      <c r="BQ207" s="762"/>
      <c r="BR207" s="762"/>
      <c r="BS207" s="762"/>
      <c r="BT207" s="427"/>
    </row>
    <row r="208" spans="1:72" s="17" customFormat="1" x14ac:dyDescent="0.35">
      <c r="A208" s="178" t="s">
        <v>48</v>
      </c>
      <c r="B208" s="308"/>
      <c r="C208" s="532">
        <f t="shared" ref="C208:AU208" si="218">-C153</f>
        <v>0.22800000000000001</v>
      </c>
      <c r="D208" s="532">
        <f t="shared" si="218"/>
        <v>0.27200000000000002</v>
      </c>
      <c r="E208" s="532">
        <f t="shared" si="218"/>
        <v>0.30599999999999999</v>
      </c>
      <c r="F208" s="532">
        <f t="shared" si="218"/>
        <v>-1.657</v>
      </c>
      <c r="G208" s="532">
        <f t="shared" si="218"/>
        <v>8.4000000000000005E-2</v>
      </c>
      <c r="H208" s="532">
        <f t="shared" si="218"/>
        <v>2.8000000000000001E-2</v>
      </c>
      <c r="I208" s="532">
        <f t="shared" si="218"/>
        <v>1.2E-2</v>
      </c>
      <c r="J208" s="532">
        <f t="shared" si="218"/>
        <v>-5.4999999999999993E-2</v>
      </c>
      <c r="K208" s="532">
        <f t="shared" si="218"/>
        <v>-3.1E-2</v>
      </c>
      <c r="L208" s="532">
        <f t="shared" si="218"/>
        <v>-0.151</v>
      </c>
      <c r="M208" s="532">
        <f t="shared" si="218"/>
        <v>0.315</v>
      </c>
      <c r="N208" s="532">
        <f t="shared" si="218"/>
        <v>3.1579999999999999</v>
      </c>
      <c r="O208" s="532">
        <f t="shared" si="218"/>
        <v>0.30499999999999999</v>
      </c>
      <c r="P208" s="532">
        <f t="shared" si="218"/>
        <v>0.19</v>
      </c>
      <c r="Q208" s="532">
        <f t="shared" si="218"/>
        <v>0.10100000000000001</v>
      </c>
      <c r="R208" s="532">
        <f t="shared" si="218"/>
        <v>2.1000000000000019E-2</v>
      </c>
      <c r="S208" s="532">
        <f t="shared" si="218"/>
        <v>-0.34200000000000003</v>
      </c>
      <c r="T208" s="532">
        <f t="shared" si="218"/>
        <v>-0.26400000000000001</v>
      </c>
      <c r="U208" s="532">
        <f t="shared" si="218"/>
        <v>-0.64100000000000001</v>
      </c>
      <c r="V208" s="532">
        <f t="shared" si="218"/>
        <v>-0.56099999999999994</v>
      </c>
      <c r="W208" s="532">
        <f t="shared" si="218"/>
        <v>-0.23499999999999999</v>
      </c>
      <c r="X208" s="532">
        <f t="shared" si="218"/>
        <v>-3.9E-2</v>
      </c>
      <c r="Y208" s="532">
        <f t="shared" si="218"/>
        <v>-0.26100000000000001</v>
      </c>
      <c r="Z208" s="532">
        <f t="shared" si="218"/>
        <v>-0.42999999999999994</v>
      </c>
      <c r="AA208" s="532">
        <f t="shared" si="218"/>
        <v>-0.316</v>
      </c>
      <c r="AB208" s="532">
        <f t="shared" si="218"/>
        <v>-0.47699999999999998</v>
      </c>
      <c r="AC208" s="532">
        <f t="shared" si="218"/>
        <v>-0.754</v>
      </c>
      <c r="AD208" s="532">
        <f t="shared" si="218"/>
        <v>-1.2140000000000002</v>
      </c>
      <c r="AE208" s="532">
        <f t="shared" si="218"/>
        <v>-0.91</v>
      </c>
      <c r="AF208" s="532">
        <f t="shared" si="218"/>
        <v>-0.441</v>
      </c>
      <c r="AG208" s="532">
        <f t="shared" si="218"/>
        <v>7.5999999999999998E-2</v>
      </c>
      <c r="AH208" s="532">
        <f t="shared" si="218"/>
        <v>0.57700000000000018</v>
      </c>
      <c r="AI208" s="532">
        <f t="shared" si="218"/>
        <v>2.1070000000000002</v>
      </c>
      <c r="AJ208" s="532">
        <f t="shared" si="218"/>
        <v>5.024</v>
      </c>
      <c r="AK208" s="532">
        <f t="shared" si="218"/>
        <v>5.3710000000000004</v>
      </c>
      <c r="AL208" s="532">
        <f t="shared" si="218"/>
        <v>5.4769999999999985</v>
      </c>
      <c r="AM208" s="532">
        <f t="shared" si="218"/>
        <v>1.9930000000000001</v>
      </c>
      <c r="AN208" s="532">
        <f t="shared" si="218"/>
        <v>1.875</v>
      </c>
      <c r="AO208" s="532">
        <f t="shared" si="218"/>
        <v>2.3730000000000002</v>
      </c>
      <c r="AP208" s="532">
        <f t="shared" si="218"/>
        <v>2.0359999999999987</v>
      </c>
      <c r="AQ208" s="532">
        <f t="shared" si="218"/>
        <v>2.0459999999999998</v>
      </c>
      <c r="AR208" s="532">
        <f t="shared" si="218"/>
        <v>2.0819999999999999</v>
      </c>
      <c r="AS208" s="532">
        <f t="shared" si="218"/>
        <v>2.206</v>
      </c>
      <c r="AT208" s="532">
        <f t="shared" si="218"/>
        <v>2.0700000000000007</v>
      </c>
      <c r="AU208" s="534">
        <f t="shared" si="218"/>
        <v>2.0680000000000001</v>
      </c>
      <c r="AV208" s="532">
        <f t="shared" ref="AV208:AX208" si="219">AV295</f>
        <v>3.4103821857923498</v>
      </c>
      <c r="AW208" s="532">
        <f t="shared" ca="1" si="219"/>
        <v>1.8049225428782298</v>
      </c>
      <c r="AX208" s="532">
        <f t="shared" ca="1" si="219"/>
        <v>0.7609046530956558</v>
      </c>
      <c r="AY208" s="532"/>
      <c r="AZ208" s="156">
        <f t="shared" ref="AZ208:BN208" si="220">-AZ153</f>
        <v>0.98199999999999998</v>
      </c>
      <c r="BA208" s="156">
        <f t="shared" si="220"/>
        <v>1.331</v>
      </c>
      <c r="BB208" s="156">
        <f t="shared" si="220"/>
        <v>1.2070000000000001</v>
      </c>
      <c r="BC208" s="156">
        <f t="shared" si="220"/>
        <v>0.98899999999999999</v>
      </c>
      <c r="BD208" s="156">
        <f t="shared" si="220"/>
        <v>-0.85099999999999998</v>
      </c>
      <c r="BE208" s="156">
        <f t="shared" si="220"/>
        <v>6.9000000000000006E-2</v>
      </c>
      <c r="BF208" s="156">
        <f t="shared" si="220"/>
        <v>3.2909999999999999</v>
      </c>
      <c r="BG208" s="156">
        <f t="shared" si="220"/>
        <v>0.61699999999999999</v>
      </c>
      <c r="BH208" s="156">
        <f t="shared" si="220"/>
        <v>-1.8080000000000001</v>
      </c>
      <c r="BI208" s="156">
        <f t="shared" si="220"/>
        <v>-0.96499999999999997</v>
      </c>
      <c r="BJ208" s="156">
        <f t="shared" si="220"/>
        <v>-2.7610000000000001</v>
      </c>
      <c r="BK208" s="156">
        <f t="shared" si="220"/>
        <v>-0.69799999999999995</v>
      </c>
      <c r="BL208" s="156">
        <f t="shared" si="220"/>
        <v>17.978999999999999</v>
      </c>
      <c r="BM208" s="156">
        <f t="shared" si="220"/>
        <v>8.2769999999999992</v>
      </c>
      <c r="BN208" s="730">
        <f t="shared" si="220"/>
        <v>8.4039999999999999</v>
      </c>
      <c r="BO208" s="156">
        <f ca="1">SUM(AU208,AV208,AW208,AX208)</f>
        <v>8.0442093817662368</v>
      </c>
      <c r="BP208" s="156" t="e">
        <f>SUM(#REF!,#REF!,#REF!,#REF!)</f>
        <v>#REF!</v>
      </c>
      <c r="BQ208" s="156" t="str">
        <f>BQ295</f>
        <v>n/a</v>
      </c>
      <c r="BR208" s="156" t="str">
        <f>BR295</f>
        <v>n/a</v>
      </c>
      <c r="BS208" s="156" t="str">
        <f ca="1">BS295</f>
        <v>n/a</v>
      </c>
      <c r="BT208" s="533"/>
    </row>
    <row r="209" spans="1:72" s="17" customFormat="1" x14ac:dyDescent="0.35">
      <c r="A209" s="208" t="s">
        <v>68</v>
      </c>
      <c r="B209" s="308"/>
      <c r="C209" s="533">
        <f t="shared" ref="C209:AU209" si="221">-C154</f>
        <v>0</v>
      </c>
      <c r="D209" s="533">
        <f t="shared" si="221"/>
        <v>0</v>
      </c>
      <c r="E209" s="533">
        <f t="shared" si="221"/>
        <v>0</v>
      </c>
      <c r="F209" s="533">
        <f t="shared" si="221"/>
        <v>0</v>
      </c>
      <c r="G209" s="533">
        <f t="shared" si="221"/>
        <v>0</v>
      </c>
      <c r="H209" s="533">
        <f t="shared" si="221"/>
        <v>0</v>
      </c>
      <c r="I209" s="533">
        <f t="shared" si="221"/>
        <v>0</v>
      </c>
      <c r="J209" s="533">
        <f t="shared" si="221"/>
        <v>0</v>
      </c>
      <c r="K209" s="533">
        <f t="shared" si="221"/>
        <v>0</v>
      </c>
      <c r="L209" s="533">
        <f t="shared" si="221"/>
        <v>0</v>
      </c>
      <c r="M209" s="533">
        <f t="shared" si="221"/>
        <v>0</v>
      </c>
      <c r="N209" s="533">
        <f t="shared" si="221"/>
        <v>0</v>
      </c>
      <c r="O209" s="533">
        <f t="shared" si="221"/>
        <v>0</v>
      </c>
      <c r="P209" s="533">
        <f t="shared" si="221"/>
        <v>0</v>
      </c>
      <c r="Q209" s="533">
        <f t="shared" si="221"/>
        <v>0</v>
      </c>
      <c r="R209" s="533">
        <f t="shared" si="221"/>
        <v>0</v>
      </c>
      <c r="S209" s="533">
        <f t="shared" si="221"/>
        <v>0</v>
      </c>
      <c r="T209" s="533">
        <f t="shared" si="221"/>
        <v>0</v>
      </c>
      <c r="U209" s="533">
        <f t="shared" si="221"/>
        <v>0</v>
      </c>
      <c r="V209" s="533">
        <f t="shared" si="221"/>
        <v>0</v>
      </c>
      <c r="W209" s="533">
        <f t="shared" si="221"/>
        <v>0</v>
      </c>
      <c r="X209" s="533">
        <f t="shared" si="221"/>
        <v>0</v>
      </c>
      <c r="Y209" s="533">
        <f t="shared" si="221"/>
        <v>0</v>
      </c>
      <c r="Z209" s="533">
        <f t="shared" si="221"/>
        <v>0</v>
      </c>
      <c r="AA209" s="533">
        <f t="shared" si="221"/>
        <v>-0.193</v>
      </c>
      <c r="AB209" s="533">
        <f t="shared" si="221"/>
        <v>0.78900000000000003</v>
      </c>
      <c r="AC209" s="533">
        <f t="shared" si="221"/>
        <v>-0.55600000000000005</v>
      </c>
      <c r="AD209" s="533">
        <f t="shared" si="221"/>
        <v>-0.15399999999999997</v>
      </c>
      <c r="AE209" s="533">
        <f t="shared" si="221"/>
        <v>8.0000000000000002E-3</v>
      </c>
      <c r="AF209" s="533">
        <f t="shared" si="221"/>
        <v>-0.36499999999999999</v>
      </c>
      <c r="AG209" s="533">
        <f t="shared" si="221"/>
        <v>1.093</v>
      </c>
      <c r="AH209" s="533">
        <f t="shared" si="221"/>
        <v>-1.008</v>
      </c>
      <c r="AI209" s="533">
        <f t="shared" si="221"/>
        <v>-0.42899999999999999</v>
      </c>
      <c r="AJ209" s="533">
        <f t="shared" si="221"/>
        <v>-1.361</v>
      </c>
      <c r="AK209" s="533">
        <f t="shared" si="221"/>
        <v>-0.48599999999999999</v>
      </c>
      <c r="AL209" s="533">
        <f t="shared" si="221"/>
        <v>-0.55299999999999994</v>
      </c>
      <c r="AM209" s="533">
        <f t="shared" si="221"/>
        <v>8.8999999999999996E-2</v>
      </c>
      <c r="AN209" s="533">
        <f t="shared" si="221"/>
        <v>-3.8839999999999999</v>
      </c>
      <c r="AO209" s="533">
        <f t="shared" si="221"/>
        <v>-0.496</v>
      </c>
      <c r="AP209" s="533">
        <f t="shared" si="221"/>
        <v>5.5679999999999996</v>
      </c>
      <c r="AQ209" s="533">
        <f t="shared" si="221"/>
        <v>-1.0369999999999999</v>
      </c>
      <c r="AR209" s="533">
        <f t="shared" si="221"/>
        <v>-3.9699999999999998</v>
      </c>
      <c r="AS209" s="533">
        <f t="shared" si="221"/>
        <v>-4.5869999999999997</v>
      </c>
      <c r="AT209" s="533">
        <f t="shared" si="221"/>
        <v>-5.8580000000000005</v>
      </c>
      <c r="AU209" s="576">
        <f t="shared" si="221"/>
        <v>-5.165</v>
      </c>
      <c r="AV209" s="638">
        <v>-1</v>
      </c>
      <c r="AW209" s="638">
        <v>-1</v>
      </c>
      <c r="AX209" s="638">
        <v>-1</v>
      </c>
      <c r="AY209" s="585"/>
      <c r="AZ209" s="755">
        <f t="shared" ref="AZ209:BN209" si="222">-AZ154</f>
        <v>0</v>
      </c>
      <c r="BA209" s="755">
        <f t="shared" si="222"/>
        <v>0</v>
      </c>
      <c r="BB209" s="755">
        <f t="shared" si="222"/>
        <v>0</v>
      </c>
      <c r="BC209" s="755">
        <f t="shared" si="222"/>
        <v>0</v>
      </c>
      <c r="BD209" s="755">
        <f t="shared" si="222"/>
        <v>0</v>
      </c>
      <c r="BE209" s="755">
        <f t="shared" si="222"/>
        <v>0</v>
      </c>
      <c r="BF209" s="755">
        <f t="shared" si="222"/>
        <v>0</v>
      </c>
      <c r="BG209" s="755">
        <f t="shared" si="222"/>
        <v>0</v>
      </c>
      <c r="BH209" s="755">
        <f t="shared" si="222"/>
        <v>0</v>
      </c>
      <c r="BI209" s="755">
        <f t="shared" si="222"/>
        <v>0</v>
      </c>
      <c r="BJ209" s="755">
        <f t="shared" si="222"/>
        <v>-0.114</v>
      </c>
      <c r="BK209" s="755">
        <f t="shared" si="222"/>
        <v>-0.27200000000000002</v>
      </c>
      <c r="BL209" s="755">
        <f t="shared" si="222"/>
        <v>-2.8290000000000002</v>
      </c>
      <c r="BM209" s="755">
        <f t="shared" si="222"/>
        <v>1.2769999999999999</v>
      </c>
      <c r="BN209" s="756">
        <f t="shared" si="222"/>
        <v>-15.452</v>
      </c>
      <c r="BO209" s="156">
        <f>SUM(AU209,AV209,AW209,AX209)</f>
        <v>-8.1649999999999991</v>
      </c>
      <c r="BP209" s="156" t="e">
        <f>SUM(#REF!,#REF!,#REF!,#REF!)</f>
        <v>#REF!</v>
      </c>
      <c r="BQ209" s="729">
        <v>-4</v>
      </c>
      <c r="BR209" s="729">
        <v>-4</v>
      </c>
      <c r="BS209" s="729">
        <v>-4</v>
      </c>
      <c r="BT209" s="533"/>
    </row>
    <row r="210" spans="1:72" s="17" customFormat="1" x14ac:dyDescent="0.35">
      <c r="A210" s="267" t="s">
        <v>69</v>
      </c>
      <c r="B210" s="362"/>
      <c r="C210" s="571">
        <f t="shared" ref="C210:AU210" si="223">-C151-C152</f>
        <v>0</v>
      </c>
      <c r="D210" s="571">
        <f t="shared" si="223"/>
        <v>0</v>
      </c>
      <c r="E210" s="571">
        <f t="shared" si="223"/>
        <v>0</v>
      </c>
      <c r="F210" s="571">
        <f t="shared" si="223"/>
        <v>0</v>
      </c>
      <c r="G210" s="571">
        <f t="shared" si="223"/>
        <v>0</v>
      </c>
      <c r="H210" s="571">
        <f t="shared" si="223"/>
        <v>0</v>
      </c>
      <c r="I210" s="571">
        <f t="shared" si="223"/>
        <v>0</v>
      </c>
      <c r="J210" s="571">
        <f t="shared" si="223"/>
        <v>-6.4039999999999999</v>
      </c>
      <c r="K210" s="571">
        <f t="shared" si="223"/>
        <v>0</v>
      </c>
      <c r="L210" s="571">
        <f t="shared" si="223"/>
        <v>0</v>
      </c>
      <c r="M210" s="571">
        <f t="shared" si="223"/>
        <v>0</v>
      </c>
      <c r="N210" s="571">
        <f t="shared" si="223"/>
        <v>0</v>
      </c>
      <c r="O210" s="571">
        <f t="shared" si="223"/>
        <v>0</v>
      </c>
      <c r="P210" s="571">
        <f t="shared" si="223"/>
        <v>0</v>
      </c>
      <c r="Q210" s="571">
        <f t="shared" si="223"/>
        <v>0</v>
      </c>
      <c r="R210" s="571">
        <f t="shared" si="223"/>
        <v>0</v>
      </c>
      <c r="S210" s="571">
        <f t="shared" si="223"/>
        <v>0</v>
      </c>
      <c r="T210" s="571">
        <f t="shared" si="223"/>
        <v>0</v>
      </c>
      <c r="U210" s="571">
        <f t="shared" si="223"/>
        <v>0</v>
      </c>
      <c r="V210" s="571">
        <f t="shared" si="223"/>
        <v>10</v>
      </c>
      <c r="W210" s="571">
        <f t="shared" si="223"/>
        <v>0</v>
      </c>
      <c r="X210" s="571">
        <f t="shared" si="223"/>
        <v>0</v>
      </c>
      <c r="Y210" s="571">
        <f t="shared" si="223"/>
        <v>0</v>
      </c>
      <c r="Z210" s="571">
        <f t="shared" si="223"/>
        <v>0</v>
      </c>
      <c r="AA210" s="571">
        <f t="shared" si="223"/>
        <v>0</v>
      </c>
      <c r="AB210" s="571">
        <f t="shared" si="223"/>
        <v>0</v>
      </c>
      <c r="AC210" s="571">
        <f t="shared" si="223"/>
        <v>0</v>
      </c>
      <c r="AD210" s="571">
        <f t="shared" si="223"/>
        <v>0</v>
      </c>
      <c r="AE210" s="571">
        <f t="shared" si="223"/>
        <v>0</v>
      </c>
      <c r="AF210" s="571">
        <f t="shared" si="223"/>
        <v>0</v>
      </c>
      <c r="AG210" s="571">
        <f t="shared" si="223"/>
        <v>0</v>
      </c>
      <c r="AH210" s="571">
        <f t="shared" si="223"/>
        <v>0</v>
      </c>
      <c r="AI210" s="571">
        <f t="shared" si="223"/>
        <v>0</v>
      </c>
      <c r="AJ210" s="571">
        <f t="shared" si="223"/>
        <v>0</v>
      </c>
      <c r="AK210" s="571">
        <f t="shared" si="223"/>
        <v>0</v>
      </c>
      <c r="AL210" s="571">
        <f t="shared" si="223"/>
        <v>0</v>
      </c>
      <c r="AM210" s="571">
        <f t="shared" si="223"/>
        <v>0</v>
      </c>
      <c r="AN210" s="571">
        <f t="shared" si="223"/>
        <v>0</v>
      </c>
      <c r="AO210" s="571">
        <f t="shared" si="223"/>
        <v>0</v>
      </c>
      <c r="AP210" s="571">
        <f t="shared" si="223"/>
        <v>0</v>
      </c>
      <c r="AQ210" s="571">
        <f t="shared" si="223"/>
        <v>0</v>
      </c>
      <c r="AR210" s="571">
        <f t="shared" si="223"/>
        <v>0</v>
      </c>
      <c r="AS210" s="571">
        <f t="shared" si="223"/>
        <v>0</v>
      </c>
      <c r="AT210" s="571">
        <f t="shared" si="223"/>
        <v>0</v>
      </c>
      <c r="AU210" s="583">
        <f t="shared" si="223"/>
        <v>0</v>
      </c>
      <c r="AV210" s="639">
        <v>0</v>
      </c>
      <c r="AW210" s="639">
        <v>0</v>
      </c>
      <c r="AX210" s="639">
        <v>0</v>
      </c>
      <c r="AY210" s="584"/>
      <c r="AZ210" s="760">
        <f t="shared" ref="AZ210:BN210" si="224">-AZ151-AZ152</f>
        <v>0</v>
      </c>
      <c r="BA210" s="760">
        <f t="shared" si="224"/>
        <v>0</v>
      </c>
      <c r="BB210" s="760">
        <f t="shared" si="224"/>
        <v>0</v>
      </c>
      <c r="BC210" s="760">
        <f t="shared" si="224"/>
        <v>0</v>
      </c>
      <c r="BD210" s="760">
        <f t="shared" si="224"/>
        <v>0</v>
      </c>
      <c r="BE210" s="760">
        <f t="shared" si="224"/>
        <v>-6.4039999999999999</v>
      </c>
      <c r="BF210" s="760">
        <f t="shared" si="224"/>
        <v>0</v>
      </c>
      <c r="BG210" s="760">
        <f t="shared" si="224"/>
        <v>0</v>
      </c>
      <c r="BH210" s="760">
        <f t="shared" si="224"/>
        <v>10</v>
      </c>
      <c r="BI210" s="760">
        <f t="shared" si="224"/>
        <v>0</v>
      </c>
      <c r="BJ210" s="760">
        <f t="shared" si="224"/>
        <v>0</v>
      </c>
      <c r="BK210" s="760">
        <f t="shared" si="224"/>
        <v>0</v>
      </c>
      <c r="BL210" s="760">
        <f t="shared" si="224"/>
        <v>0</v>
      </c>
      <c r="BM210" s="760">
        <f t="shared" si="224"/>
        <v>0</v>
      </c>
      <c r="BN210" s="761">
        <f t="shared" si="224"/>
        <v>0</v>
      </c>
      <c r="BO210" s="731">
        <f>SUM(AU210,AV210,AW210,AX210)</f>
        <v>0</v>
      </c>
      <c r="BP210" s="731" t="e">
        <f>SUM(#REF!,#REF!,#REF!,#REF!)</f>
        <v>#REF!</v>
      </c>
      <c r="BQ210" s="732">
        <v>0</v>
      </c>
      <c r="BR210" s="732">
        <v>0</v>
      </c>
      <c r="BS210" s="732">
        <v>0</v>
      </c>
      <c r="BT210" s="533"/>
    </row>
    <row r="211" spans="1:72" s="1" customFormat="1" x14ac:dyDescent="0.35">
      <c r="A211" s="47" t="s">
        <v>70</v>
      </c>
      <c r="B211" s="360"/>
      <c r="C211" s="573">
        <f t="shared" ref="C211:AH211" si="225">C197-SUM(C208:C210)</f>
        <v>8.4330000000000016</v>
      </c>
      <c r="D211" s="573">
        <f t="shared" si="225"/>
        <v>15.999999999999991</v>
      </c>
      <c r="E211" s="573">
        <f t="shared" si="225"/>
        <v>19.045999999999989</v>
      </c>
      <c r="F211" s="573">
        <f t="shared" si="225"/>
        <v>3.0779999999999923</v>
      </c>
      <c r="G211" s="573">
        <f t="shared" si="225"/>
        <v>-8.5479999999999698</v>
      </c>
      <c r="H211" s="573">
        <f t="shared" si="225"/>
        <v>-8.9359999999999875</v>
      </c>
      <c r="I211" s="573">
        <f t="shared" si="225"/>
        <v>27.37299999999999</v>
      </c>
      <c r="J211" s="573">
        <f t="shared" si="225"/>
        <v>19.301999999999961</v>
      </c>
      <c r="K211" s="573">
        <f t="shared" si="225"/>
        <v>-13.127000000000029</v>
      </c>
      <c r="L211" s="573">
        <f t="shared" si="225"/>
        <v>20.623999999999999</v>
      </c>
      <c r="M211" s="573">
        <f t="shared" si="225"/>
        <v>27.114999999999977</v>
      </c>
      <c r="N211" s="573">
        <f t="shared" si="225"/>
        <v>-19.475999999999871</v>
      </c>
      <c r="O211" s="573">
        <f t="shared" si="225"/>
        <v>-20.760999999999989</v>
      </c>
      <c r="P211" s="573">
        <f t="shared" si="225"/>
        <v>14.53699999999999</v>
      </c>
      <c r="Q211" s="573">
        <f t="shared" si="225"/>
        <v>19.033000000000001</v>
      </c>
      <c r="R211" s="573">
        <f t="shared" si="225"/>
        <v>0.48799999999998611</v>
      </c>
      <c r="S211" s="573">
        <f t="shared" si="225"/>
        <v>-22.326999999999984</v>
      </c>
      <c r="T211" s="573">
        <f t="shared" si="225"/>
        <v>18.587000000000007</v>
      </c>
      <c r="U211" s="573">
        <f t="shared" si="225"/>
        <v>13.403999999999977</v>
      </c>
      <c r="V211" s="573">
        <f t="shared" si="225"/>
        <v>-4.7270000000000252</v>
      </c>
      <c r="W211" s="573">
        <f t="shared" si="225"/>
        <v>-17.526999999999987</v>
      </c>
      <c r="X211" s="573">
        <f t="shared" si="225"/>
        <v>13.752999999999998</v>
      </c>
      <c r="Y211" s="573">
        <f t="shared" si="225"/>
        <v>19.978000000000012</v>
      </c>
      <c r="Z211" s="573">
        <f t="shared" si="225"/>
        <v>10.305999999999948</v>
      </c>
      <c r="AA211" s="573">
        <f t="shared" si="225"/>
        <v>-13.243000000000023</v>
      </c>
      <c r="AB211" s="573">
        <f t="shared" si="225"/>
        <v>32.978000000000009</v>
      </c>
      <c r="AC211" s="573">
        <f t="shared" si="225"/>
        <v>24.577000000000016</v>
      </c>
      <c r="AD211" s="573">
        <f t="shared" si="225"/>
        <v>4.0489999999999693</v>
      </c>
      <c r="AE211" s="573">
        <f t="shared" si="225"/>
        <v>-18.486000000000018</v>
      </c>
      <c r="AF211" s="573">
        <f t="shared" si="225"/>
        <v>31.111000000000029</v>
      </c>
      <c r="AG211" s="573">
        <f t="shared" si="225"/>
        <v>13.330000000000009</v>
      </c>
      <c r="AH211" s="573">
        <f t="shared" si="225"/>
        <v>7.4720000000001532</v>
      </c>
      <c r="AI211" s="573">
        <f t="shared" ref="AI211:AX211" si="226">AI197-SUM(AI208:AI210)</f>
        <v>10.385999999999992</v>
      </c>
      <c r="AJ211" s="573">
        <f t="shared" si="226"/>
        <v>34.788999999999959</v>
      </c>
      <c r="AK211" s="573">
        <f t="shared" si="226"/>
        <v>33.667999999999999</v>
      </c>
      <c r="AL211" s="573">
        <f t="shared" si="226"/>
        <v>16.463000000000058</v>
      </c>
      <c r="AM211" s="573">
        <f t="shared" si="226"/>
        <v>-9.0590000000000046</v>
      </c>
      <c r="AN211" s="573">
        <f t="shared" si="226"/>
        <v>58.924000000000021</v>
      </c>
      <c r="AO211" s="573">
        <f t="shared" si="226"/>
        <v>58.716999999999992</v>
      </c>
      <c r="AP211" s="573">
        <f t="shared" si="226"/>
        <v>38.491999999999976</v>
      </c>
      <c r="AQ211" s="573">
        <f t="shared" si="226"/>
        <v>-29.727999999999994</v>
      </c>
      <c r="AR211" s="573">
        <f t="shared" si="226"/>
        <v>69.961000000000027</v>
      </c>
      <c r="AS211" s="573">
        <f t="shared" si="226"/>
        <v>74.580000000000013</v>
      </c>
      <c r="AT211" s="573">
        <f t="shared" si="226"/>
        <v>57.733999999999966</v>
      </c>
      <c r="AU211" s="577">
        <f t="shared" si="226"/>
        <v>6.4169999999999643</v>
      </c>
      <c r="AV211" s="572">
        <f t="shared" si="226"/>
        <v>72.484809094207634</v>
      </c>
      <c r="AW211" s="572">
        <f t="shared" ca="1" si="226"/>
        <v>78.667519671921767</v>
      </c>
      <c r="AX211" s="572">
        <f t="shared" ca="1" si="226"/>
        <v>62.090356658904334</v>
      </c>
      <c r="AY211" s="572"/>
      <c r="AZ211" s="735">
        <f t="shared" ref="AZ211:BS211" si="227">AZ197-SUM(AZ208:AZ210)</f>
        <v>21.356999999999971</v>
      </c>
      <c r="BA211" s="735">
        <f t="shared" si="227"/>
        <v>34.136000000000038</v>
      </c>
      <c r="BB211" s="735">
        <f t="shared" si="227"/>
        <v>23.006999999999969</v>
      </c>
      <c r="BC211" s="735">
        <f t="shared" si="227"/>
        <v>27.991000000000017</v>
      </c>
      <c r="BD211" s="735">
        <f t="shared" si="227"/>
        <v>46.557000000000016</v>
      </c>
      <c r="BE211" s="735">
        <f t="shared" si="227"/>
        <v>29.190999999999939</v>
      </c>
      <c r="BF211" s="735">
        <f t="shared" si="227"/>
        <v>15.136000000000021</v>
      </c>
      <c r="BG211" s="735">
        <f t="shared" si="227"/>
        <v>13.297000000000043</v>
      </c>
      <c r="BH211" s="735">
        <f t="shared" si="227"/>
        <v>4.9369999999999621</v>
      </c>
      <c r="BI211" s="735">
        <f t="shared" si="227"/>
        <v>26.510000000000016</v>
      </c>
      <c r="BJ211" s="735">
        <f t="shared" si="227"/>
        <v>48.360999999999933</v>
      </c>
      <c r="BK211" s="735">
        <f t="shared" si="227"/>
        <v>33.427000000000106</v>
      </c>
      <c r="BL211" s="735">
        <f t="shared" si="227"/>
        <v>95.305999999999955</v>
      </c>
      <c r="BM211" s="735">
        <f t="shared" si="227"/>
        <v>147.07399999999993</v>
      </c>
      <c r="BN211" s="749">
        <f t="shared" si="227"/>
        <v>172.54699999999991</v>
      </c>
      <c r="BO211" s="734">
        <f t="shared" ca="1" si="227"/>
        <v>219.6596854250337</v>
      </c>
      <c r="BP211" s="734" t="e">
        <f t="shared" si="227"/>
        <v>#REF!</v>
      </c>
      <c r="BQ211" s="734" t="e">
        <f t="shared" si="227"/>
        <v>#REF!</v>
      </c>
      <c r="BR211" s="734" t="e">
        <f t="shared" si="227"/>
        <v>#REF!</v>
      </c>
      <c r="BS211" s="734" t="e">
        <f t="shared" ca="1" si="227"/>
        <v>#REF!</v>
      </c>
      <c r="BT211" s="530"/>
    </row>
    <row r="212" spans="1:72" s="20" customFormat="1" x14ac:dyDescent="0.35">
      <c r="A212" s="541"/>
      <c r="B212" s="542"/>
      <c r="C212" s="537"/>
      <c r="D212" s="537"/>
      <c r="E212" s="537"/>
      <c r="F212" s="537"/>
      <c r="G212" s="537"/>
      <c r="H212" s="537"/>
      <c r="I212" s="537"/>
      <c r="J212" s="537"/>
      <c r="K212" s="537"/>
      <c r="L212" s="537"/>
      <c r="M212" s="537"/>
      <c r="N212" s="537"/>
      <c r="O212" s="537"/>
      <c r="P212" s="537"/>
      <c r="Q212" s="537"/>
      <c r="R212" s="537"/>
      <c r="S212" s="537"/>
      <c r="T212" s="537"/>
      <c r="U212" s="537"/>
      <c r="V212" s="537"/>
      <c r="W212" s="537"/>
      <c r="X212" s="537"/>
      <c r="Y212" s="537"/>
      <c r="Z212" s="537"/>
      <c r="AA212" s="537"/>
      <c r="AB212" s="537"/>
      <c r="AC212" s="537"/>
      <c r="AD212" s="537"/>
      <c r="AE212" s="537"/>
      <c r="AF212" s="537"/>
      <c r="AG212" s="537"/>
      <c r="AH212" s="537"/>
      <c r="AI212" s="537"/>
      <c r="AJ212" s="537"/>
      <c r="AK212" s="537"/>
      <c r="AL212" s="537"/>
      <c r="AM212" s="537"/>
      <c r="AN212" s="537"/>
      <c r="AO212" s="537"/>
      <c r="AP212" s="537"/>
      <c r="AQ212" s="537"/>
      <c r="AR212" s="537"/>
      <c r="AS212" s="537"/>
      <c r="AT212" s="537"/>
      <c r="AU212" s="582"/>
      <c r="AV212" s="537"/>
      <c r="AW212" s="537"/>
      <c r="AX212" s="537"/>
      <c r="AY212" s="537"/>
      <c r="AZ212" s="757"/>
      <c r="BA212" s="757"/>
      <c r="BB212" s="757"/>
      <c r="BC212" s="757"/>
      <c r="BD212" s="757"/>
      <c r="BE212" s="757"/>
      <c r="BF212" s="757"/>
      <c r="BG212" s="757"/>
      <c r="BH212" s="757"/>
      <c r="BI212" s="757"/>
      <c r="BJ212" s="757"/>
      <c r="BK212" s="757"/>
      <c r="BL212" s="757"/>
      <c r="BM212" s="757"/>
      <c r="BN212" s="758"/>
      <c r="BO212" s="757"/>
      <c r="BP212" s="757"/>
      <c r="BQ212" s="757"/>
      <c r="BR212" s="757"/>
      <c r="BS212" s="757"/>
      <c r="BT212" s="427"/>
    </row>
    <row r="213" spans="1:72" s="17" customFormat="1" x14ac:dyDescent="0.35">
      <c r="A213" s="208" t="s">
        <v>71</v>
      </c>
      <c r="B213" s="308"/>
      <c r="C213" s="533">
        <f t="shared" ref="C213:AU213" si="228">-C156-C214</f>
        <v>0.4009999999999998</v>
      </c>
      <c r="D213" s="533">
        <f t="shared" si="228"/>
        <v>0.68599999999999994</v>
      </c>
      <c r="E213" s="533">
        <f t="shared" si="228"/>
        <v>0.76000000000000068</v>
      </c>
      <c r="F213" s="533">
        <f t="shared" si="228"/>
        <v>2.4059999999999984</v>
      </c>
      <c r="G213" s="533">
        <f t="shared" si="228"/>
        <v>0</v>
      </c>
      <c r="H213" s="533">
        <f t="shared" si="228"/>
        <v>-9.9999999999944578E-4</v>
      </c>
      <c r="I213" s="533">
        <f t="shared" si="228"/>
        <v>3.6050000000000004</v>
      </c>
      <c r="J213" s="533">
        <f t="shared" si="228"/>
        <v>13.224999999999998</v>
      </c>
      <c r="K213" s="533">
        <f t="shared" si="228"/>
        <v>-13.795999999999999</v>
      </c>
      <c r="L213" s="533">
        <f t="shared" si="228"/>
        <v>10.718</v>
      </c>
      <c r="M213" s="533">
        <f t="shared" si="228"/>
        <v>11.661000000000001</v>
      </c>
      <c r="N213" s="533">
        <f t="shared" si="228"/>
        <v>0.32099999999999973</v>
      </c>
      <c r="O213" s="533">
        <f t="shared" si="228"/>
        <v>-15.286</v>
      </c>
      <c r="P213" s="533">
        <f t="shared" si="228"/>
        <v>8.0969999999999995</v>
      </c>
      <c r="Q213" s="533">
        <f t="shared" si="228"/>
        <v>11.665000000000001</v>
      </c>
      <c r="R213" s="533">
        <f t="shared" si="228"/>
        <v>4.0880000000000001</v>
      </c>
      <c r="S213" s="533">
        <f t="shared" si="228"/>
        <v>-16.981000000000002</v>
      </c>
      <c r="T213" s="533">
        <f t="shared" si="228"/>
        <v>11.856</v>
      </c>
      <c r="U213" s="533">
        <f t="shared" si="228"/>
        <v>8.9039999999999999</v>
      </c>
      <c r="V213" s="533">
        <f t="shared" si="228"/>
        <v>8.6819999999999986</v>
      </c>
      <c r="W213" s="533">
        <f t="shared" si="228"/>
        <v>-17.132999999999999</v>
      </c>
      <c r="X213" s="533">
        <f t="shared" si="228"/>
        <v>8.379999999999999</v>
      </c>
      <c r="Y213" s="533">
        <f t="shared" si="228"/>
        <v>11.861999999999998</v>
      </c>
      <c r="Z213" s="533">
        <f t="shared" si="228"/>
        <v>-3.9999999999986713E-3</v>
      </c>
      <c r="AA213" s="533">
        <f t="shared" si="228"/>
        <v>-10.923</v>
      </c>
      <c r="AB213" s="533">
        <f t="shared" si="228"/>
        <v>8.6050000000000004</v>
      </c>
      <c r="AC213" s="533">
        <f t="shared" si="228"/>
        <v>6.8489999999999993</v>
      </c>
      <c r="AD213" s="533">
        <f t="shared" si="228"/>
        <v>2.2959999999999998</v>
      </c>
      <c r="AE213" s="533">
        <f t="shared" si="228"/>
        <v>-12.593999999999999</v>
      </c>
      <c r="AF213" s="533">
        <f t="shared" si="228"/>
        <v>13.821999999999999</v>
      </c>
      <c r="AG213" s="533">
        <f t="shared" si="228"/>
        <v>3.6139999999999994</v>
      </c>
      <c r="AH213" s="533">
        <f t="shared" si="228"/>
        <v>5.0040000000000013</v>
      </c>
      <c r="AI213" s="533">
        <f t="shared" si="228"/>
        <v>-10.440999999999999</v>
      </c>
      <c r="AJ213" s="533">
        <f t="shared" si="228"/>
        <v>13.331999999999999</v>
      </c>
      <c r="AK213" s="533">
        <f t="shared" si="228"/>
        <v>13.394</v>
      </c>
      <c r="AL213" s="533">
        <f t="shared" si="228"/>
        <v>5.705000000000001</v>
      </c>
      <c r="AM213" s="533">
        <f t="shared" si="228"/>
        <v>-8.3769999999999989</v>
      </c>
      <c r="AN213" s="533">
        <f t="shared" si="228"/>
        <v>15.404</v>
      </c>
      <c r="AO213" s="533">
        <f t="shared" si="228"/>
        <v>16.152000000000001</v>
      </c>
      <c r="AP213" s="533">
        <f t="shared" si="228"/>
        <v>15.718999999999999</v>
      </c>
      <c r="AQ213" s="533">
        <f t="shared" si="228"/>
        <v>-24.729999999999997</v>
      </c>
      <c r="AR213" s="533">
        <f t="shared" si="228"/>
        <v>28.087999999999997</v>
      </c>
      <c r="AS213" s="533">
        <f t="shared" si="228"/>
        <v>24.537999999999997</v>
      </c>
      <c r="AT213" s="533">
        <f t="shared" si="228"/>
        <v>27.823</v>
      </c>
      <c r="AU213" s="576">
        <f t="shared" si="228"/>
        <v>-6.3650000000000002</v>
      </c>
      <c r="AV213" s="532">
        <f t="shared" ref="AV213:AX214" si="229">AV227*AV$211</f>
        <v>18.846050364493987</v>
      </c>
      <c r="AW213" s="532">
        <f t="shared" ca="1" si="229"/>
        <v>20.453555114699661</v>
      </c>
      <c r="AX213" s="532">
        <f t="shared" ca="1" si="229"/>
        <v>16.143492731315128</v>
      </c>
      <c r="AY213" s="532"/>
      <c r="AZ213" s="755">
        <f t="shared" ref="AZ213:BN213" si="230">-AZ156-AZ214</f>
        <v>4.4000000000000483E-2</v>
      </c>
      <c r="BA213" s="755">
        <f t="shared" si="230"/>
        <v>1.391</v>
      </c>
      <c r="BB213" s="755">
        <f t="shared" si="230"/>
        <v>0.36400000000000077</v>
      </c>
      <c r="BC213" s="755">
        <f t="shared" si="230"/>
        <v>1.5849999999999991</v>
      </c>
      <c r="BD213" s="755">
        <f t="shared" si="230"/>
        <v>4.2530000000000001</v>
      </c>
      <c r="BE213" s="755">
        <f t="shared" si="230"/>
        <v>16.829000000000001</v>
      </c>
      <c r="BF213" s="755">
        <f t="shared" si="230"/>
        <v>8.9039999999999999</v>
      </c>
      <c r="BG213" s="755">
        <f t="shared" si="230"/>
        <v>8.5640000000000001</v>
      </c>
      <c r="BH213" s="755">
        <f t="shared" si="230"/>
        <v>12.461</v>
      </c>
      <c r="BI213" s="755">
        <f t="shared" si="230"/>
        <v>3.1049999999999995</v>
      </c>
      <c r="BJ213" s="755">
        <f t="shared" si="230"/>
        <v>6.827</v>
      </c>
      <c r="BK213" s="755">
        <f t="shared" si="230"/>
        <v>9.8460000000000001</v>
      </c>
      <c r="BL213" s="755">
        <f t="shared" si="230"/>
        <v>21.990000000000002</v>
      </c>
      <c r="BM213" s="755">
        <f t="shared" si="230"/>
        <v>38.898000000000003</v>
      </c>
      <c r="BN213" s="756">
        <f t="shared" si="230"/>
        <v>55.718999999999994</v>
      </c>
      <c r="BO213" s="156">
        <f ca="1">SUM(AU213,AV213,AW213,AX213)</f>
        <v>49.078098210508777</v>
      </c>
      <c r="BP213" s="156" t="e">
        <f>SUM(#REF!,#REF!,#REF!,#REF!)</f>
        <v>#REF!</v>
      </c>
      <c r="BQ213" s="156" t="e">
        <f t="shared" ref="BQ213:BS214" si="231">BQ227*BQ$211</f>
        <v>#REF!</v>
      </c>
      <c r="BR213" s="156" t="e">
        <f t="shared" si="231"/>
        <v>#REF!</v>
      </c>
      <c r="BS213" s="156" t="e">
        <f t="shared" ca="1" si="231"/>
        <v>#REF!</v>
      </c>
      <c r="BT213" s="533"/>
    </row>
    <row r="214" spans="1:72" s="17" customFormat="1" x14ac:dyDescent="0.35">
      <c r="A214" s="267" t="s">
        <v>72</v>
      </c>
      <c r="B214" s="362"/>
      <c r="C214" s="571">
        <f t="shared" ref="C214:AU214" si="232">C424</f>
        <v>3.488</v>
      </c>
      <c r="D214" s="571">
        <f t="shared" si="232"/>
        <v>5.9939999999999998</v>
      </c>
      <c r="E214" s="571">
        <f t="shared" si="232"/>
        <v>6.8659999999999997</v>
      </c>
      <c r="F214" s="571">
        <f t="shared" si="232"/>
        <v>-0.5779999999999994</v>
      </c>
      <c r="G214" s="571">
        <f t="shared" si="232"/>
        <v>-3.45</v>
      </c>
      <c r="H214" s="571">
        <f t="shared" si="232"/>
        <v>-4.6840000000000002</v>
      </c>
      <c r="I214" s="571">
        <f t="shared" si="232"/>
        <v>8.2560000000000002</v>
      </c>
      <c r="J214" s="571">
        <f t="shared" si="232"/>
        <v>-5.8759999999999994</v>
      </c>
      <c r="K214" s="571">
        <f t="shared" si="232"/>
        <v>7.258</v>
      </c>
      <c r="L214" s="571">
        <f t="shared" si="232"/>
        <v>-2.0549999999999997</v>
      </c>
      <c r="M214" s="571">
        <f t="shared" si="232"/>
        <v>-1.0750000000000002</v>
      </c>
      <c r="N214" s="571">
        <f t="shared" si="232"/>
        <v>-7.2219999999999995</v>
      </c>
      <c r="O214" s="571">
        <f t="shared" si="232"/>
        <v>7.1890000000000001</v>
      </c>
      <c r="P214" s="571">
        <f t="shared" si="232"/>
        <v>-1.444</v>
      </c>
      <c r="Q214" s="571">
        <f t="shared" si="232"/>
        <v>-6.2970000000000006</v>
      </c>
      <c r="R214" s="571">
        <f t="shared" si="232"/>
        <v>-3.266</v>
      </c>
      <c r="S214" s="571">
        <f t="shared" si="232"/>
        <v>8.2910000000000004</v>
      </c>
      <c r="T214" s="571">
        <f t="shared" si="232"/>
        <v>-4.1680000000000001</v>
      </c>
      <c r="U214" s="571">
        <f t="shared" si="232"/>
        <v>-4.3820000000000006</v>
      </c>
      <c r="V214" s="571">
        <f t="shared" si="232"/>
        <v>-6.806</v>
      </c>
      <c r="W214" s="571">
        <f t="shared" si="232"/>
        <v>7.7649999999999997</v>
      </c>
      <c r="X214" s="571">
        <f t="shared" si="232"/>
        <v>-7.8159999999999998</v>
      </c>
      <c r="Y214" s="571">
        <f t="shared" si="232"/>
        <v>-4.9269999999999996</v>
      </c>
      <c r="Z214" s="571">
        <f t="shared" si="232"/>
        <v>0.96300000000000008</v>
      </c>
      <c r="AA214" s="571">
        <f t="shared" si="232"/>
        <v>5.8650000000000002</v>
      </c>
      <c r="AB214" s="571">
        <f t="shared" si="232"/>
        <v>0.46899999999999942</v>
      </c>
      <c r="AC214" s="571">
        <f t="shared" si="232"/>
        <v>-1.0069999999999997</v>
      </c>
      <c r="AD214" s="571">
        <f t="shared" si="232"/>
        <v>-1.6339999999999999</v>
      </c>
      <c r="AE214" s="571">
        <f t="shared" si="232"/>
        <v>3.7759999999999998</v>
      </c>
      <c r="AF214" s="571">
        <f t="shared" si="232"/>
        <v>-3.4299999999999997</v>
      </c>
      <c r="AG214" s="571">
        <f t="shared" si="232"/>
        <v>0.80500000000000005</v>
      </c>
      <c r="AH214" s="571">
        <f t="shared" si="232"/>
        <v>-2.456</v>
      </c>
      <c r="AI214" s="571">
        <f t="shared" si="232"/>
        <v>8.0649999999999995</v>
      </c>
      <c r="AJ214" s="571">
        <f t="shared" si="232"/>
        <v>-2.6899999999999995</v>
      </c>
      <c r="AK214" s="571">
        <f t="shared" si="232"/>
        <v>-3.1190000000000002</v>
      </c>
      <c r="AL214" s="571">
        <f t="shared" si="232"/>
        <v>0.29300000000000015</v>
      </c>
      <c r="AM214" s="571">
        <f t="shared" si="232"/>
        <v>5.484</v>
      </c>
      <c r="AN214" s="571">
        <f t="shared" si="232"/>
        <v>0.52400000000000002</v>
      </c>
      <c r="AO214" s="571">
        <f t="shared" si="232"/>
        <v>0.56400000000000006</v>
      </c>
      <c r="AP214" s="571">
        <f t="shared" si="232"/>
        <v>-5.3819999999999997</v>
      </c>
      <c r="AQ214" s="571">
        <f t="shared" si="232"/>
        <v>17.222999999999999</v>
      </c>
      <c r="AR214" s="571">
        <f t="shared" si="232"/>
        <v>-9.227999999999998</v>
      </c>
      <c r="AS214" s="571">
        <f t="shared" si="232"/>
        <v>-5.0129999999999999</v>
      </c>
      <c r="AT214" s="571">
        <f t="shared" si="232"/>
        <v>-13.355</v>
      </c>
      <c r="AU214" s="583">
        <f t="shared" si="232"/>
        <v>7.9009999999999998</v>
      </c>
      <c r="AV214" s="535">
        <f t="shared" si="229"/>
        <v>0</v>
      </c>
      <c r="AW214" s="535">
        <f t="shared" ca="1" si="229"/>
        <v>0</v>
      </c>
      <c r="AX214" s="535">
        <f t="shared" ca="1" si="229"/>
        <v>0</v>
      </c>
      <c r="AY214" s="535"/>
      <c r="AZ214" s="760">
        <f t="shared" ref="AZ214:BN214" si="233">AZ424</f>
        <v>9.5839999999999996</v>
      </c>
      <c r="BA214" s="760">
        <f t="shared" si="233"/>
        <v>11.858000000000001</v>
      </c>
      <c r="BB214" s="760">
        <f t="shared" si="233"/>
        <v>10.978</v>
      </c>
      <c r="BC214" s="760">
        <f t="shared" si="233"/>
        <v>10.297000000000001</v>
      </c>
      <c r="BD214" s="760">
        <f t="shared" si="233"/>
        <v>15.77</v>
      </c>
      <c r="BE214" s="760">
        <f t="shared" si="233"/>
        <v>-5.7539999999999996</v>
      </c>
      <c r="BF214" s="760">
        <f t="shared" si="233"/>
        <v>-3.0939999999999999</v>
      </c>
      <c r="BG214" s="760">
        <f t="shared" si="233"/>
        <v>-3.8180000000000001</v>
      </c>
      <c r="BH214" s="760">
        <f t="shared" si="233"/>
        <v>-7.0650000000000004</v>
      </c>
      <c r="BI214" s="760">
        <f t="shared" si="233"/>
        <v>-4.0149999999999997</v>
      </c>
      <c r="BJ214" s="760">
        <f t="shared" si="233"/>
        <v>3.6930000000000001</v>
      </c>
      <c r="BK214" s="760">
        <f t="shared" si="233"/>
        <v>-1.3049999999999999</v>
      </c>
      <c r="BL214" s="760">
        <f t="shared" si="233"/>
        <v>2.5489999999999999</v>
      </c>
      <c r="BM214" s="760">
        <f t="shared" si="233"/>
        <v>1.19</v>
      </c>
      <c r="BN214" s="761">
        <f t="shared" si="233"/>
        <v>-10.372999999999999</v>
      </c>
      <c r="BO214" s="731">
        <f ca="1">SUM(AU214,AV214,AW214,AX214)</f>
        <v>7.9009999999999998</v>
      </c>
      <c r="BP214" s="731" t="e">
        <f>SUM(#REF!,#REF!,#REF!,#REF!)</f>
        <v>#REF!</v>
      </c>
      <c r="BQ214" s="731" t="e">
        <f t="shared" si="231"/>
        <v>#REF!</v>
      </c>
      <c r="BR214" s="731" t="e">
        <f t="shared" si="231"/>
        <v>#REF!</v>
      </c>
      <c r="BS214" s="731" t="e">
        <f t="shared" ca="1" si="231"/>
        <v>#REF!</v>
      </c>
      <c r="BT214" s="533"/>
    </row>
    <row r="215" spans="1:72" s="1" customFormat="1" x14ac:dyDescent="0.35">
      <c r="A215" s="47" t="s">
        <v>73</v>
      </c>
      <c r="B215" s="360"/>
      <c r="C215" s="573">
        <f t="shared" ref="C215:AH215" si="234">C211-SUM(C213:C214)</f>
        <v>4.5440000000000023</v>
      </c>
      <c r="D215" s="573">
        <f t="shared" si="234"/>
        <v>9.3199999999999914</v>
      </c>
      <c r="E215" s="573">
        <f t="shared" si="234"/>
        <v>11.419999999999987</v>
      </c>
      <c r="F215" s="573">
        <f t="shared" si="234"/>
        <v>1.2499999999999933</v>
      </c>
      <c r="G215" s="573">
        <f t="shared" si="234"/>
        <v>-5.0979999999999697</v>
      </c>
      <c r="H215" s="573">
        <f t="shared" si="234"/>
        <v>-4.2509999999999879</v>
      </c>
      <c r="I215" s="573">
        <f t="shared" si="234"/>
        <v>15.51199999999999</v>
      </c>
      <c r="J215" s="573">
        <f t="shared" si="234"/>
        <v>11.952999999999962</v>
      </c>
      <c r="K215" s="573">
        <f t="shared" si="234"/>
        <v>-6.5890000000000297</v>
      </c>
      <c r="L215" s="573">
        <f t="shared" si="234"/>
        <v>11.960999999999999</v>
      </c>
      <c r="M215" s="573">
        <f t="shared" si="234"/>
        <v>16.528999999999975</v>
      </c>
      <c r="N215" s="573">
        <f t="shared" si="234"/>
        <v>-12.574999999999871</v>
      </c>
      <c r="O215" s="573">
        <f t="shared" si="234"/>
        <v>-12.663999999999989</v>
      </c>
      <c r="P215" s="573">
        <f t="shared" si="234"/>
        <v>7.8839999999999906</v>
      </c>
      <c r="Q215" s="573">
        <f t="shared" si="234"/>
        <v>13.665000000000001</v>
      </c>
      <c r="R215" s="573">
        <f t="shared" si="234"/>
        <v>-0.33400000000001395</v>
      </c>
      <c r="S215" s="573">
        <f t="shared" si="234"/>
        <v>-13.636999999999983</v>
      </c>
      <c r="T215" s="573">
        <f t="shared" si="234"/>
        <v>10.899000000000008</v>
      </c>
      <c r="U215" s="573">
        <f t="shared" si="234"/>
        <v>8.8819999999999766</v>
      </c>
      <c r="V215" s="573">
        <f t="shared" si="234"/>
        <v>-6.6030000000000237</v>
      </c>
      <c r="W215" s="573">
        <f t="shared" si="234"/>
        <v>-8.1589999999999883</v>
      </c>
      <c r="X215" s="573">
        <f t="shared" si="234"/>
        <v>13.189</v>
      </c>
      <c r="Y215" s="573">
        <f t="shared" si="234"/>
        <v>13.043000000000013</v>
      </c>
      <c r="Z215" s="573">
        <f t="shared" si="234"/>
        <v>9.3469999999999462</v>
      </c>
      <c r="AA215" s="573">
        <f t="shared" si="234"/>
        <v>-8.1850000000000236</v>
      </c>
      <c r="AB215" s="573">
        <f t="shared" si="234"/>
        <v>23.904000000000011</v>
      </c>
      <c r="AC215" s="573">
        <f t="shared" si="234"/>
        <v>18.735000000000017</v>
      </c>
      <c r="AD215" s="573">
        <f t="shared" si="234"/>
        <v>3.3869999999999694</v>
      </c>
      <c r="AE215" s="573">
        <f t="shared" si="234"/>
        <v>-9.6680000000000188</v>
      </c>
      <c r="AF215" s="573">
        <f t="shared" si="234"/>
        <v>20.71900000000003</v>
      </c>
      <c r="AG215" s="573">
        <f t="shared" si="234"/>
        <v>8.9110000000000085</v>
      </c>
      <c r="AH215" s="573">
        <f t="shared" si="234"/>
        <v>4.9240000000001523</v>
      </c>
      <c r="AI215" s="573">
        <f t="shared" ref="AI215:AX215" si="235">AI211-SUM(AI213:AI214)</f>
        <v>12.761999999999992</v>
      </c>
      <c r="AJ215" s="573">
        <f t="shared" si="235"/>
        <v>24.146999999999959</v>
      </c>
      <c r="AK215" s="573">
        <f t="shared" si="235"/>
        <v>23.393000000000001</v>
      </c>
      <c r="AL215" s="573">
        <f t="shared" si="235"/>
        <v>10.465000000000057</v>
      </c>
      <c r="AM215" s="573">
        <f t="shared" si="235"/>
        <v>-6.1660000000000057</v>
      </c>
      <c r="AN215" s="573">
        <f t="shared" si="235"/>
        <v>42.996000000000024</v>
      </c>
      <c r="AO215" s="573">
        <f t="shared" si="235"/>
        <v>42.000999999999991</v>
      </c>
      <c r="AP215" s="573">
        <f t="shared" si="235"/>
        <v>28.154999999999976</v>
      </c>
      <c r="AQ215" s="573">
        <f t="shared" si="235"/>
        <v>-22.220999999999997</v>
      </c>
      <c r="AR215" s="573">
        <f t="shared" si="235"/>
        <v>51.101000000000028</v>
      </c>
      <c r="AS215" s="573">
        <f t="shared" si="235"/>
        <v>55.055000000000014</v>
      </c>
      <c r="AT215" s="573">
        <f t="shared" si="235"/>
        <v>43.265999999999963</v>
      </c>
      <c r="AU215" s="577">
        <f t="shared" si="235"/>
        <v>4.8809999999999647</v>
      </c>
      <c r="AV215" s="572">
        <f t="shared" si="235"/>
        <v>53.638758729713643</v>
      </c>
      <c r="AW215" s="572">
        <f t="shared" ca="1" si="235"/>
        <v>58.213964557222106</v>
      </c>
      <c r="AX215" s="572">
        <f t="shared" ca="1" si="235"/>
        <v>45.946863927589206</v>
      </c>
      <c r="AY215" s="572"/>
      <c r="AZ215" s="735">
        <f t="shared" ref="AZ215:BS215" si="236">AZ211-SUM(AZ213:AZ214)</f>
        <v>11.728999999999971</v>
      </c>
      <c r="BA215" s="735">
        <f t="shared" si="236"/>
        <v>20.887000000000036</v>
      </c>
      <c r="BB215" s="735">
        <f t="shared" si="236"/>
        <v>11.664999999999969</v>
      </c>
      <c r="BC215" s="735">
        <f t="shared" si="236"/>
        <v>16.109000000000016</v>
      </c>
      <c r="BD215" s="735">
        <f t="shared" si="236"/>
        <v>26.534000000000017</v>
      </c>
      <c r="BE215" s="735">
        <f t="shared" si="236"/>
        <v>18.115999999999936</v>
      </c>
      <c r="BF215" s="735">
        <f t="shared" si="236"/>
        <v>9.3260000000000201</v>
      </c>
      <c r="BG215" s="735">
        <f t="shared" si="236"/>
        <v>8.5510000000000428</v>
      </c>
      <c r="BH215" s="735">
        <f t="shared" si="236"/>
        <v>-0.45900000000003782</v>
      </c>
      <c r="BI215" s="735">
        <f t="shared" si="236"/>
        <v>27.420000000000016</v>
      </c>
      <c r="BJ215" s="735">
        <f t="shared" si="236"/>
        <v>37.840999999999937</v>
      </c>
      <c r="BK215" s="735">
        <f t="shared" si="236"/>
        <v>24.886000000000106</v>
      </c>
      <c r="BL215" s="735">
        <f t="shared" si="236"/>
        <v>70.766999999999953</v>
      </c>
      <c r="BM215" s="735">
        <f t="shared" si="236"/>
        <v>106.98599999999993</v>
      </c>
      <c r="BN215" s="749">
        <f t="shared" si="236"/>
        <v>127.20099999999991</v>
      </c>
      <c r="BO215" s="734">
        <f t="shared" ca="1" si="236"/>
        <v>162.68058721452491</v>
      </c>
      <c r="BP215" s="734" t="e">
        <f t="shared" si="236"/>
        <v>#REF!</v>
      </c>
      <c r="BQ215" s="734" t="e">
        <f t="shared" si="236"/>
        <v>#REF!</v>
      </c>
      <c r="BR215" s="734" t="e">
        <f t="shared" si="236"/>
        <v>#REF!</v>
      </c>
      <c r="BS215" s="734" t="e">
        <f t="shared" ca="1" si="236"/>
        <v>#REF!</v>
      </c>
      <c r="BT215" s="530"/>
    </row>
    <row r="216" spans="1:72" s="17" customFormat="1" x14ac:dyDescent="0.35">
      <c r="A216" s="178" t="s">
        <v>626</v>
      </c>
      <c r="B216" s="308"/>
      <c r="C216" s="532">
        <f t="shared" ref="C216:AU216" si="237">-C157</f>
        <v>0</v>
      </c>
      <c r="D216" s="532">
        <f t="shared" si="237"/>
        <v>0</v>
      </c>
      <c r="E216" s="532">
        <f t="shared" si="237"/>
        <v>0</v>
      </c>
      <c r="F216" s="532">
        <f t="shared" si="237"/>
        <v>0</v>
      </c>
      <c r="G216" s="532">
        <f t="shared" si="237"/>
        <v>0</v>
      </c>
      <c r="H216" s="532">
        <f t="shared" si="237"/>
        <v>0</v>
      </c>
      <c r="I216" s="532">
        <f t="shared" si="237"/>
        <v>0</v>
      </c>
      <c r="J216" s="532">
        <f t="shared" si="237"/>
        <v>0</v>
      </c>
      <c r="K216" s="532">
        <f t="shared" si="237"/>
        <v>0</v>
      </c>
      <c r="L216" s="532">
        <f t="shared" si="237"/>
        <v>0</v>
      </c>
      <c r="M216" s="532">
        <f t="shared" si="237"/>
        <v>0</v>
      </c>
      <c r="N216" s="532">
        <f t="shared" si="237"/>
        <v>0</v>
      </c>
      <c r="O216" s="532">
        <f t="shared" si="237"/>
        <v>0</v>
      </c>
      <c r="P216" s="532">
        <f t="shared" si="237"/>
        <v>0</v>
      </c>
      <c r="Q216" s="532">
        <f t="shared" si="237"/>
        <v>0</v>
      </c>
      <c r="R216" s="532">
        <f t="shared" si="237"/>
        <v>0</v>
      </c>
      <c r="S216" s="532">
        <f t="shared" si="237"/>
        <v>0</v>
      </c>
      <c r="T216" s="532">
        <f t="shared" si="237"/>
        <v>0</v>
      </c>
      <c r="U216" s="532">
        <f t="shared" si="237"/>
        <v>0</v>
      </c>
      <c r="V216" s="532">
        <f t="shared" si="237"/>
        <v>0</v>
      </c>
      <c r="W216" s="532">
        <f t="shared" si="237"/>
        <v>0</v>
      </c>
      <c r="X216" s="532">
        <f t="shared" si="237"/>
        <v>0</v>
      </c>
      <c r="Y216" s="532">
        <f t="shared" si="237"/>
        <v>0</v>
      </c>
      <c r="Z216" s="532">
        <f t="shared" si="237"/>
        <v>0</v>
      </c>
      <c r="AA216" s="532">
        <f t="shared" si="237"/>
        <v>9.7000000000000003E-2</v>
      </c>
      <c r="AB216" s="532">
        <f t="shared" si="237"/>
        <v>0.192</v>
      </c>
      <c r="AC216" s="532">
        <f t="shared" si="237"/>
        <v>0.27300000000000002</v>
      </c>
      <c r="AD216" s="532">
        <f t="shared" si="237"/>
        <v>6.9999999999999951E-2</v>
      </c>
      <c r="AE216" s="532">
        <f t="shared" si="237"/>
        <v>6.2E-2</v>
      </c>
      <c r="AF216" s="532">
        <f t="shared" si="237"/>
        <v>0.125</v>
      </c>
      <c r="AG216" s="532">
        <f t="shared" si="237"/>
        <v>0.157</v>
      </c>
      <c r="AH216" s="532">
        <f t="shared" si="237"/>
        <v>3.6000000000000032E-2</v>
      </c>
      <c r="AI216" s="532">
        <f t="shared" si="237"/>
        <v>9.6000000000000002E-2</v>
      </c>
      <c r="AJ216" s="532">
        <f t="shared" si="237"/>
        <v>-0.35399999999999998</v>
      </c>
      <c r="AK216" s="532">
        <f t="shared" si="237"/>
        <v>-0.39600000000000002</v>
      </c>
      <c r="AL216" s="532">
        <f t="shared" si="237"/>
        <v>-3.0000000000000027E-2</v>
      </c>
      <c r="AM216" s="532">
        <f t="shared" si="237"/>
        <v>-0.28299999999999997</v>
      </c>
      <c r="AN216" s="532">
        <f t="shared" si="237"/>
        <v>0.99199999999999999</v>
      </c>
      <c r="AO216" s="532">
        <f t="shared" si="237"/>
        <v>-0.91800000000000004</v>
      </c>
      <c r="AP216" s="532">
        <f t="shared" si="237"/>
        <v>6.4999999999999974E-2</v>
      </c>
      <c r="AQ216" s="532">
        <f t="shared" si="237"/>
        <v>0.45100000000000001</v>
      </c>
      <c r="AR216" s="532">
        <f t="shared" si="237"/>
        <v>0.39600000000000002</v>
      </c>
      <c r="AS216" s="532">
        <f t="shared" si="237"/>
        <v>-0.40699999999999997</v>
      </c>
      <c r="AT216" s="532">
        <f t="shared" si="237"/>
        <v>-0.10599999999999998</v>
      </c>
      <c r="AU216" s="534">
        <f t="shared" si="237"/>
        <v>3.0000000000000001E-3</v>
      </c>
      <c r="AV216" s="638">
        <v>0</v>
      </c>
      <c r="AW216" s="638">
        <v>0</v>
      </c>
      <c r="AX216" s="638">
        <v>0</v>
      </c>
      <c r="AY216" s="585"/>
      <c r="AZ216" s="156">
        <f t="shared" ref="AZ216:BN216" si="238">-AZ157</f>
        <v>0</v>
      </c>
      <c r="BA216" s="156">
        <f t="shared" si="238"/>
        <v>0</v>
      </c>
      <c r="BB216" s="156">
        <f t="shared" si="238"/>
        <v>0</v>
      </c>
      <c r="BC216" s="156">
        <f t="shared" si="238"/>
        <v>0</v>
      </c>
      <c r="BD216" s="156">
        <f t="shared" si="238"/>
        <v>0</v>
      </c>
      <c r="BE216" s="156">
        <f t="shared" si="238"/>
        <v>0</v>
      </c>
      <c r="BF216" s="156">
        <f t="shared" si="238"/>
        <v>0</v>
      </c>
      <c r="BG216" s="156">
        <f t="shared" si="238"/>
        <v>0</v>
      </c>
      <c r="BH216" s="156">
        <f t="shared" si="238"/>
        <v>0</v>
      </c>
      <c r="BI216" s="156">
        <f t="shared" si="238"/>
        <v>0</v>
      </c>
      <c r="BJ216" s="156">
        <f t="shared" si="238"/>
        <v>0.63200000000000001</v>
      </c>
      <c r="BK216" s="156">
        <f t="shared" si="238"/>
        <v>0.38</v>
      </c>
      <c r="BL216" s="156">
        <f t="shared" si="238"/>
        <v>-0.68400000000000005</v>
      </c>
      <c r="BM216" s="156">
        <f t="shared" si="238"/>
        <v>-0.14399999999999999</v>
      </c>
      <c r="BN216" s="730">
        <f t="shared" si="238"/>
        <v>0.33400000000000002</v>
      </c>
      <c r="BO216" s="156">
        <f>SUM(AU216,AV216,AW216,AX216)</f>
        <v>3.0000000000000001E-3</v>
      </c>
      <c r="BP216" s="156" t="e">
        <f>SUM(#REF!,#REF!,#REF!,#REF!)</f>
        <v>#REF!</v>
      </c>
      <c r="BQ216" s="729">
        <v>0</v>
      </c>
      <c r="BR216" s="729">
        <v>0</v>
      </c>
      <c r="BS216" s="729">
        <v>0</v>
      </c>
      <c r="BT216" s="533"/>
    </row>
    <row r="217" spans="1:72" s="17" customFormat="1" x14ac:dyDescent="0.35">
      <c r="A217" s="208" t="s">
        <v>74</v>
      </c>
      <c r="B217" s="308"/>
      <c r="C217" s="532"/>
      <c r="D217" s="532"/>
      <c r="E217" s="532"/>
      <c r="F217" s="532"/>
      <c r="G217" s="532"/>
      <c r="H217" s="532"/>
      <c r="I217" s="532"/>
      <c r="J217" s="532"/>
      <c r="K217" s="532"/>
      <c r="L217" s="532"/>
      <c r="M217" s="532"/>
      <c r="N217" s="532"/>
      <c r="O217" s="532"/>
      <c r="P217" s="532"/>
      <c r="Q217" s="532"/>
      <c r="R217" s="532"/>
      <c r="S217" s="532"/>
      <c r="T217" s="532"/>
      <c r="U217" s="532"/>
      <c r="V217" s="532"/>
      <c r="W217" s="532"/>
      <c r="X217" s="532"/>
      <c r="Y217" s="532"/>
      <c r="Z217" s="532"/>
      <c r="AA217" s="532"/>
      <c r="AB217" s="532"/>
      <c r="AC217" s="532"/>
      <c r="AD217" s="532"/>
      <c r="AE217" s="532"/>
      <c r="AF217" s="532"/>
      <c r="AG217" s="532"/>
      <c r="AH217" s="532"/>
      <c r="AI217" s="532"/>
      <c r="AJ217" s="532"/>
      <c r="AK217" s="532"/>
      <c r="AL217" s="532"/>
      <c r="AM217" s="532"/>
      <c r="AN217" s="532"/>
      <c r="AO217" s="532"/>
      <c r="AP217" s="532"/>
      <c r="AQ217" s="532"/>
      <c r="AR217" s="532"/>
      <c r="AS217" s="532"/>
      <c r="AT217" s="532"/>
      <c r="AU217" s="534"/>
      <c r="AV217" s="532"/>
      <c r="AW217" s="532"/>
      <c r="AX217" s="532"/>
      <c r="AY217" s="532"/>
      <c r="AZ217" s="156"/>
      <c r="BA217" s="156"/>
      <c r="BB217" s="156"/>
      <c r="BC217" s="156"/>
      <c r="BD217" s="156"/>
      <c r="BE217" s="156"/>
      <c r="BF217" s="156"/>
      <c r="BG217" s="156"/>
      <c r="BH217" s="156"/>
      <c r="BI217" s="156"/>
      <c r="BJ217" s="156"/>
      <c r="BK217" s="156"/>
      <c r="BL217" s="156"/>
      <c r="BM217" s="156"/>
      <c r="BN217" s="730"/>
      <c r="BO217" s="156">
        <f>SUM(AU217,AV217,AW217,AX217)</f>
        <v>0</v>
      </c>
      <c r="BP217" s="156" t="e">
        <f>SUM(#REF!,#REF!,#REF!,#REF!)</f>
        <v>#REF!</v>
      </c>
      <c r="BQ217" s="156"/>
      <c r="BR217" s="156"/>
      <c r="BS217" s="156"/>
      <c r="BT217" s="533"/>
    </row>
    <row r="218" spans="1:72" s="17" customFormat="1" x14ac:dyDescent="0.35">
      <c r="A218" s="208" t="s">
        <v>75</v>
      </c>
      <c r="B218" s="308"/>
      <c r="C218" s="533">
        <f t="shared" ref="C218:AU218" si="239">-C159</f>
        <v>0.187</v>
      </c>
      <c r="D218" s="533">
        <f t="shared" si="239"/>
        <v>-0.191</v>
      </c>
      <c r="E218" s="533">
        <f t="shared" si="239"/>
        <v>-0.55500000000000005</v>
      </c>
      <c r="F218" s="533">
        <f t="shared" si="239"/>
        <v>-1.0179999999999998</v>
      </c>
      <c r="G218" s="533">
        <f t="shared" si="239"/>
        <v>-5.8000000000000003E-2</v>
      </c>
      <c r="H218" s="533">
        <f t="shared" si="239"/>
        <v>-0.58599999999999997</v>
      </c>
      <c r="I218" s="533">
        <f t="shared" si="239"/>
        <v>-0.437</v>
      </c>
      <c r="J218" s="533">
        <f t="shared" si="239"/>
        <v>-0.40299999999999997</v>
      </c>
      <c r="K218" s="533">
        <f t="shared" si="239"/>
        <v>0.187</v>
      </c>
      <c r="L218" s="533">
        <f t="shared" si="239"/>
        <v>-0.37</v>
      </c>
      <c r="M218" s="533">
        <f t="shared" si="239"/>
        <v>-0.48399999999999999</v>
      </c>
      <c r="N218" s="533">
        <f t="shared" si="239"/>
        <v>-0.99499999999999988</v>
      </c>
      <c r="O218" s="533">
        <f t="shared" si="239"/>
        <v>0.129</v>
      </c>
      <c r="P218" s="533">
        <f t="shared" si="239"/>
        <v>-0.65400000000000003</v>
      </c>
      <c r="Q218" s="533">
        <f t="shared" si="239"/>
        <v>-0.60799999999999998</v>
      </c>
      <c r="R218" s="533">
        <f t="shared" si="239"/>
        <v>0.64900000000000002</v>
      </c>
      <c r="S218" s="533">
        <f t="shared" si="239"/>
        <v>0.19600000000000001</v>
      </c>
      <c r="T218" s="533">
        <f t="shared" si="239"/>
        <v>-0.753</v>
      </c>
      <c r="U218" s="533">
        <f t="shared" si="239"/>
        <v>-0.23300000000000001</v>
      </c>
      <c r="V218" s="533">
        <f t="shared" si="239"/>
        <v>-0.12000000000000005</v>
      </c>
      <c r="W218" s="533">
        <f t="shared" si="239"/>
        <v>-0.10299999999999999</v>
      </c>
      <c r="X218" s="533">
        <f t="shared" si="239"/>
        <v>-7.0000000000000007E-2</v>
      </c>
      <c r="Y218" s="533">
        <f t="shared" si="239"/>
        <v>-2.7E-2</v>
      </c>
      <c r="Z218" s="533">
        <f t="shared" si="239"/>
        <v>0</v>
      </c>
      <c r="AA218" s="533">
        <f t="shared" si="239"/>
        <v>0</v>
      </c>
      <c r="AB218" s="533">
        <f t="shared" si="239"/>
        <v>0</v>
      </c>
      <c r="AC218" s="533">
        <f t="shared" si="239"/>
        <v>0</v>
      </c>
      <c r="AD218" s="533">
        <f t="shared" si="239"/>
        <v>0</v>
      </c>
      <c r="AE218" s="533">
        <f t="shared" si="239"/>
        <v>0</v>
      </c>
      <c r="AF218" s="533">
        <f t="shared" si="239"/>
        <v>0</v>
      </c>
      <c r="AG218" s="533">
        <f t="shared" si="239"/>
        <v>0</v>
      </c>
      <c r="AH218" s="533">
        <f t="shared" si="239"/>
        <v>0</v>
      </c>
      <c r="AI218" s="533">
        <f t="shared" si="239"/>
        <v>0</v>
      </c>
      <c r="AJ218" s="533">
        <f t="shared" si="239"/>
        <v>0</v>
      </c>
      <c r="AK218" s="533">
        <f t="shared" si="239"/>
        <v>0</v>
      </c>
      <c r="AL218" s="533">
        <f t="shared" si="239"/>
        <v>0</v>
      </c>
      <c r="AM218" s="533">
        <f t="shared" si="239"/>
        <v>0</v>
      </c>
      <c r="AN218" s="533">
        <f t="shared" si="239"/>
        <v>0</v>
      </c>
      <c r="AO218" s="533">
        <f t="shared" si="239"/>
        <v>0</v>
      </c>
      <c r="AP218" s="533">
        <f t="shared" si="239"/>
        <v>0</v>
      </c>
      <c r="AQ218" s="533">
        <f t="shared" si="239"/>
        <v>0</v>
      </c>
      <c r="AR218" s="533">
        <f t="shared" si="239"/>
        <v>0</v>
      </c>
      <c r="AS218" s="533">
        <f t="shared" si="239"/>
        <v>0</v>
      </c>
      <c r="AT218" s="533">
        <f t="shared" si="239"/>
        <v>0</v>
      </c>
      <c r="AU218" s="576">
        <f t="shared" si="239"/>
        <v>0</v>
      </c>
      <c r="AV218" s="532"/>
      <c r="AW218" s="532"/>
      <c r="AX218" s="532"/>
      <c r="AY218" s="532"/>
      <c r="AZ218" s="755">
        <f t="shared" ref="AZ218:BN218" si="240">-AZ159</f>
        <v>-0.58599999999999997</v>
      </c>
      <c r="BA218" s="755">
        <f t="shared" si="240"/>
        <v>-0.63800000000000001</v>
      </c>
      <c r="BB218" s="755">
        <f t="shared" si="240"/>
        <v>-1.127</v>
      </c>
      <c r="BC218" s="755">
        <f t="shared" si="240"/>
        <v>-1.4339999999999999</v>
      </c>
      <c r="BD218" s="755">
        <f t="shared" si="240"/>
        <v>-1.577</v>
      </c>
      <c r="BE218" s="755">
        <f t="shared" si="240"/>
        <v>-1.484</v>
      </c>
      <c r="BF218" s="755">
        <f t="shared" si="240"/>
        <v>-1.6619999999999999</v>
      </c>
      <c r="BG218" s="755">
        <f t="shared" si="240"/>
        <v>-0.48399999999999999</v>
      </c>
      <c r="BH218" s="755">
        <f t="shared" si="240"/>
        <v>-0.91</v>
      </c>
      <c r="BI218" s="755">
        <f t="shared" si="240"/>
        <v>-0.2</v>
      </c>
      <c r="BJ218" s="755">
        <f t="shared" si="240"/>
        <v>0</v>
      </c>
      <c r="BK218" s="755">
        <f t="shared" si="240"/>
        <v>0</v>
      </c>
      <c r="BL218" s="755">
        <f t="shared" si="240"/>
        <v>0</v>
      </c>
      <c r="BM218" s="755">
        <f t="shared" si="240"/>
        <v>0</v>
      </c>
      <c r="BN218" s="756">
        <f t="shared" si="240"/>
        <v>0</v>
      </c>
      <c r="BO218" s="156">
        <f>SUM(AU218,AV218,AW218,AX218)</f>
        <v>0</v>
      </c>
      <c r="BP218" s="156" t="e">
        <f>SUM(#REF!,#REF!,#REF!,#REF!)</f>
        <v>#REF!</v>
      </c>
      <c r="BQ218" s="156"/>
      <c r="BR218" s="156"/>
      <c r="BS218" s="156"/>
      <c r="BT218" s="533"/>
    </row>
    <row r="219" spans="1:72" s="17" customFormat="1" x14ac:dyDescent="0.35">
      <c r="A219" s="267" t="s">
        <v>76</v>
      </c>
      <c r="B219" s="362"/>
      <c r="C219" s="571">
        <f t="shared" ref="C219:AU219" si="241">-C184</f>
        <v>0.309</v>
      </c>
      <c r="D219" s="571">
        <f t="shared" si="241"/>
        <v>0.67500000000000004</v>
      </c>
      <c r="E219" s="571">
        <f t="shared" si="241"/>
        <v>0.84399999999999997</v>
      </c>
      <c r="F219" s="571">
        <f t="shared" si="241"/>
        <v>0.15700000000000025</v>
      </c>
      <c r="G219" s="571">
        <f t="shared" si="241"/>
        <v>0</v>
      </c>
      <c r="H219" s="571">
        <f t="shared" si="241"/>
        <v>0</v>
      </c>
      <c r="I219" s="571">
        <f t="shared" si="241"/>
        <v>0</v>
      </c>
      <c r="J219" s="571">
        <f t="shared" si="241"/>
        <v>0</v>
      </c>
      <c r="K219" s="571">
        <f t="shared" si="241"/>
        <v>0</v>
      </c>
      <c r="L219" s="571">
        <f t="shared" si="241"/>
        <v>0</v>
      </c>
      <c r="M219" s="571">
        <f t="shared" si="241"/>
        <v>0</v>
      </c>
      <c r="N219" s="571">
        <f t="shared" si="241"/>
        <v>0</v>
      </c>
      <c r="O219" s="571">
        <f t="shared" si="241"/>
        <v>0</v>
      </c>
      <c r="P219" s="571">
        <f t="shared" si="241"/>
        <v>0</v>
      </c>
      <c r="Q219" s="571">
        <f t="shared" si="241"/>
        <v>0</v>
      </c>
      <c r="R219" s="571">
        <f t="shared" si="241"/>
        <v>0</v>
      </c>
      <c r="S219" s="571">
        <f t="shared" si="241"/>
        <v>0</v>
      </c>
      <c r="T219" s="571">
        <f t="shared" si="241"/>
        <v>0</v>
      </c>
      <c r="U219" s="571">
        <f t="shared" si="241"/>
        <v>0</v>
      </c>
      <c r="V219" s="571">
        <f t="shared" si="241"/>
        <v>0</v>
      </c>
      <c r="W219" s="571">
        <f t="shared" si="241"/>
        <v>0</v>
      </c>
      <c r="X219" s="571">
        <f t="shared" si="241"/>
        <v>0</v>
      </c>
      <c r="Y219" s="571">
        <f t="shared" si="241"/>
        <v>0</v>
      </c>
      <c r="Z219" s="571">
        <f t="shared" si="241"/>
        <v>0</v>
      </c>
      <c r="AA219" s="571">
        <f t="shared" si="241"/>
        <v>0</v>
      </c>
      <c r="AB219" s="571">
        <f t="shared" si="241"/>
        <v>0</v>
      </c>
      <c r="AC219" s="571">
        <f t="shared" si="241"/>
        <v>0</v>
      </c>
      <c r="AD219" s="571">
        <f t="shared" si="241"/>
        <v>0</v>
      </c>
      <c r="AE219" s="571">
        <f t="shared" si="241"/>
        <v>0</v>
      </c>
      <c r="AF219" s="571">
        <f t="shared" si="241"/>
        <v>0</v>
      </c>
      <c r="AG219" s="571">
        <f t="shared" si="241"/>
        <v>0</v>
      </c>
      <c r="AH219" s="571">
        <f t="shared" si="241"/>
        <v>0</v>
      </c>
      <c r="AI219" s="571">
        <f t="shared" si="241"/>
        <v>0</v>
      </c>
      <c r="AJ219" s="571">
        <f t="shared" si="241"/>
        <v>0</v>
      </c>
      <c r="AK219" s="571">
        <f t="shared" si="241"/>
        <v>0</v>
      </c>
      <c r="AL219" s="571">
        <f t="shared" si="241"/>
        <v>0</v>
      </c>
      <c r="AM219" s="571">
        <f t="shared" si="241"/>
        <v>0</v>
      </c>
      <c r="AN219" s="571">
        <f t="shared" si="241"/>
        <v>0</v>
      </c>
      <c r="AO219" s="571">
        <f t="shared" si="241"/>
        <v>0</v>
      </c>
      <c r="AP219" s="571">
        <f t="shared" si="241"/>
        <v>0</v>
      </c>
      <c r="AQ219" s="571">
        <f t="shared" si="241"/>
        <v>0</v>
      </c>
      <c r="AR219" s="571">
        <f t="shared" si="241"/>
        <v>0</v>
      </c>
      <c r="AS219" s="571">
        <f t="shared" si="241"/>
        <v>0</v>
      </c>
      <c r="AT219" s="571">
        <f t="shared" si="241"/>
        <v>0</v>
      </c>
      <c r="AU219" s="583">
        <f t="shared" si="241"/>
        <v>0</v>
      </c>
      <c r="AV219" s="535"/>
      <c r="AW219" s="535"/>
      <c r="AX219" s="535"/>
      <c r="AY219" s="535"/>
      <c r="AZ219" s="760">
        <f t="shared" ref="AZ219:BN219" si="242">-AZ184</f>
        <v>0</v>
      </c>
      <c r="BA219" s="760">
        <f t="shared" si="242"/>
        <v>0</v>
      </c>
      <c r="BB219" s="760">
        <f t="shared" si="242"/>
        <v>1.0309999999999999</v>
      </c>
      <c r="BC219" s="760">
        <f t="shared" si="242"/>
        <v>1.252</v>
      </c>
      <c r="BD219" s="760">
        <f t="shared" si="242"/>
        <v>1.9850000000000001</v>
      </c>
      <c r="BE219" s="760">
        <f t="shared" si="242"/>
        <v>0</v>
      </c>
      <c r="BF219" s="760">
        <f t="shared" si="242"/>
        <v>0</v>
      </c>
      <c r="BG219" s="760">
        <f t="shared" si="242"/>
        <v>0</v>
      </c>
      <c r="BH219" s="760">
        <f t="shared" si="242"/>
        <v>0</v>
      </c>
      <c r="BI219" s="760">
        <f t="shared" si="242"/>
        <v>0</v>
      </c>
      <c r="BJ219" s="760">
        <f t="shared" si="242"/>
        <v>0</v>
      </c>
      <c r="BK219" s="760">
        <f t="shared" si="242"/>
        <v>0</v>
      </c>
      <c r="BL219" s="760">
        <f t="shared" si="242"/>
        <v>0</v>
      </c>
      <c r="BM219" s="760">
        <f t="shared" si="242"/>
        <v>0</v>
      </c>
      <c r="BN219" s="761">
        <f t="shared" si="242"/>
        <v>0</v>
      </c>
      <c r="BO219" s="731">
        <f>SUM(AU219,AV219,AW219,AX219)</f>
        <v>0</v>
      </c>
      <c r="BP219" s="731" t="e">
        <f>SUM(#REF!,#REF!,#REF!,#REF!)</f>
        <v>#REF!</v>
      </c>
      <c r="BQ219" s="731"/>
      <c r="BR219" s="731"/>
      <c r="BS219" s="731"/>
      <c r="BT219" s="533"/>
    </row>
    <row r="220" spans="1:72" s="1" customFormat="1" x14ac:dyDescent="0.35">
      <c r="A220" s="47" t="s">
        <v>77</v>
      </c>
      <c r="B220" s="360"/>
      <c r="C220" s="573">
        <f t="shared" ref="C220:AH220" si="243">C215-SUM(C216:C219)</f>
        <v>4.0480000000000018</v>
      </c>
      <c r="D220" s="573">
        <f t="shared" si="243"/>
        <v>8.8359999999999914</v>
      </c>
      <c r="E220" s="573">
        <f t="shared" si="243"/>
        <v>11.130999999999988</v>
      </c>
      <c r="F220" s="573">
        <f t="shared" si="243"/>
        <v>2.1109999999999927</v>
      </c>
      <c r="G220" s="573">
        <f t="shared" si="243"/>
        <v>-5.0399999999999698</v>
      </c>
      <c r="H220" s="573">
        <f t="shared" si="243"/>
        <v>-3.664999999999988</v>
      </c>
      <c r="I220" s="573">
        <f t="shared" si="243"/>
        <v>15.948999999999989</v>
      </c>
      <c r="J220" s="573">
        <f t="shared" si="243"/>
        <v>12.355999999999963</v>
      </c>
      <c r="K220" s="573">
        <f t="shared" si="243"/>
        <v>-6.77600000000003</v>
      </c>
      <c r="L220" s="573">
        <f t="shared" si="243"/>
        <v>12.330999999999998</v>
      </c>
      <c r="M220" s="573">
        <f t="shared" si="243"/>
        <v>17.012999999999977</v>
      </c>
      <c r="N220" s="573">
        <f t="shared" si="243"/>
        <v>-11.579999999999872</v>
      </c>
      <c r="O220" s="573">
        <f t="shared" si="243"/>
        <v>-12.792999999999989</v>
      </c>
      <c r="P220" s="573">
        <f t="shared" si="243"/>
        <v>8.5379999999999914</v>
      </c>
      <c r="Q220" s="573">
        <f t="shared" si="243"/>
        <v>14.273000000000001</v>
      </c>
      <c r="R220" s="573">
        <f t="shared" si="243"/>
        <v>-0.98300000000001397</v>
      </c>
      <c r="S220" s="573">
        <f t="shared" si="243"/>
        <v>-13.832999999999982</v>
      </c>
      <c r="T220" s="573">
        <f t="shared" si="243"/>
        <v>11.652000000000008</v>
      </c>
      <c r="U220" s="573">
        <f t="shared" si="243"/>
        <v>9.1149999999999771</v>
      </c>
      <c r="V220" s="573">
        <f t="shared" si="243"/>
        <v>-6.4830000000000236</v>
      </c>
      <c r="W220" s="573">
        <f t="shared" si="243"/>
        <v>-8.0559999999999885</v>
      </c>
      <c r="X220" s="573">
        <f t="shared" si="243"/>
        <v>13.259</v>
      </c>
      <c r="Y220" s="573">
        <f t="shared" si="243"/>
        <v>13.070000000000013</v>
      </c>
      <c r="Z220" s="573">
        <f t="shared" si="243"/>
        <v>9.3469999999999462</v>
      </c>
      <c r="AA220" s="573">
        <f t="shared" si="243"/>
        <v>-8.2820000000000231</v>
      </c>
      <c r="AB220" s="573">
        <f t="shared" si="243"/>
        <v>23.71200000000001</v>
      </c>
      <c r="AC220" s="573">
        <f t="shared" si="243"/>
        <v>18.462000000000018</v>
      </c>
      <c r="AD220" s="573">
        <f t="shared" si="243"/>
        <v>3.3169999999999695</v>
      </c>
      <c r="AE220" s="573">
        <f t="shared" si="243"/>
        <v>-9.7300000000000182</v>
      </c>
      <c r="AF220" s="573">
        <f t="shared" si="243"/>
        <v>20.59400000000003</v>
      </c>
      <c r="AG220" s="573">
        <f t="shared" si="243"/>
        <v>8.7540000000000084</v>
      </c>
      <c r="AH220" s="573">
        <f t="shared" si="243"/>
        <v>4.8880000000001527</v>
      </c>
      <c r="AI220" s="573">
        <f t="shared" ref="AI220:AX220" si="244">AI215-SUM(AI216:AI219)</f>
        <v>12.665999999999991</v>
      </c>
      <c r="AJ220" s="573">
        <f t="shared" si="244"/>
        <v>24.500999999999959</v>
      </c>
      <c r="AK220" s="573">
        <f t="shared" si="244"/>
        <v>23.789000000000001</v>
      </c>
      <c r="AL220" s="573">
        <f t="shared" si="244"/>
        <v>10.495000000000056</v>
      </c>
      <c r="AM220" s="573">
        <f t="shared" si="244"/>
        <v>-5.8830000000000053</v>
      </c>
      <c r="AN220" s="573">
        <f t="shared" si="244"/>
        <v>42.004000000000026</v>
      </c>
      <c r="AO220" s="573">
        <f t="shared" si="244"/>
        <v>42.91899999999999</v>
      </c>
      <c r="AP220" s="573">
        <f t="shared" si="244"/>
        <v>28.089999999999975</v>
      </c>
      <c r="AQ220" s="573">
        <f t="shared" si="244"/>
        <v>-22.671999999999997</v>
      </c>
      <c r="AR220" s="573">
        <f t="shared" si="244"/>
        <v>50.705000000000027</v>
      </c>
      <c r="AS220" s="573">
        <f t="shared" si="244"/>
        <v>55.46200000000001</v>
      </c>
      <c r="AT220" s="573">
        <f t="shared" si="244"/>
        <v>43.371999999999964</v>
      </c>
      <c r="AU220" s="577">
        <f t="shared" si="244"/>
        <v>4.8779999999999646</v>
      </c>
      <c r="AV220" s="572">
        <f t="shared" si="244"/>
        <v>53.638758729713643</v>
      </c>
      <c r="AW220" s="572">
        <f t="shared" ca="1" si="244"/>
        <v>58.213964557222106</v>
      </c>
      <c r="AX220" s="572">
        <f t="shared" ca="1" si="244"/>
        <v>45.946863927589206</v>
      </c>
      <c r="AY220" s="572"/>
      <c r="AZ220" s="735">
        <f t="shared" ref="AZ220:BS220" si="245">AZ215-SUM(AZ216:AZ219)</f>
        <v>12.314999999999971</v>
      </c>
      <c r="BA220" s="735">
        <f t="shared" si="245"/>
        <v>21.525000000000038</v>
      </c>
      <c r="BB220" s="735">
        <f t="shared" si="245"/>
        <v>11.760999999999969</v>
      </c>
      <c r="BC220" s="735">
        <f t="shared" si="245"/>
        <v>16.291000000000015</v>
      </c>
      <c r="BD220" s="735">
        <f t="shared" si="245"/>
        <v>26.126000000000015</v>
      </c>
      <c r="BE220" s="735">
        <f t="shared" si="245"/>
        <v>19.599999999999937</v>
      </c>
      <c r="BF220" s="735">
        <f t="shared" si="245"/>
        <v>10.988000000000021</v>
      </c>
      <c r="BG220" s="735">
        <f t="shared" si="245"/>
        <v>9.0350000000000428</v>
      </c>
      <c r="BH220" s="735">
        <f t="shared" si="245"/>
        <v>0.45099999999996221</v>
      </c>
      <c r="BI220" s="735">
        <f t="shared" si="245"/>
        <v>27.620000000000015</v>
      </c>
      <c r="BJ220" s="735">
        <f t="shared" si="245"/>
        <v>37.208999999999939</v>
      </c>
      <c r="BK220" s="735">
        <f t="shared" si="245"/>
        <v>24.506000000000107</v>
      </c>
      <c r="BL220" s="735">
        <f t="shared" si="245"/>
        <v>71.450999999999951</v>
      </c>
      <c r="BM220" s="735">
        <f t="shared" si="245"/>
        <v>107.12999999999994</v>
      </c>
      <c r="BN220" s="749">
        <f t="shared" si="245"/>
        <v>126.8669999999999</v>
      </c>
      <c r="BO220" s="734">
        <f t="shared" ca="1" si="245"/>
        <v>162.67758721452492</v>
      </c>
      <c r="BP220" s="734" t="e">
        <f t="shared" si="245"/>
        <v>#REF!</v>
      </c>
      <c r="BQ220" s="734" t="e">
        <f t="shared" si="245"/>
        <v>#REF!</v>
      </c>
      <c r="BR220" s="734" t="e">
        <f t="shared" si="245"/>
        <v>#REF!</v>
      </c>
      <c r="BS220" s="734" t="e">
        <f t="shared" ca="1" si="245"/>
        <v>#REF!</v>
      </c>
      <c r="BT220" s="530"/>
    </row>
    <row r="221" spans="1:72" s="17" customFormat="1" x14ac:dyDescent="0.35">
      <c r="A221" s="271" t="s">
        <v>78</v>
      </c>
      <c r="B221" s="363"/>
      <c r="C221" s="586">
        <f t="shared" ref="C221:AU221" si="246">-C186</f>
        <v>-0.309</v>
      </c>
      <c r="D221" s="586">
        <f t="shared" si="246"/>
        <v>-0.67500000000000004</v>
      </c>
      <c r="E221" s="586">
        <f t="shared" si="246"/>
        <v>-0.84399999999999997</v>
      </c>
      <c r="F221" s="586">
        <f t="shared" si="246"/>
        <v>-0.15700000000000025</v>
      </c>
      <c r="G221" s="586">
        <f t="shared" si="246"/>
        <v>0</v>
      </c>
      <c r="H221" s="586">
        <f t="shared" si="246"/>
        <v>0</v>
      </c>
      <c r="I221" s="586">
        <f t="shared" si="246"/>
        <v>0</v>
      </c>
      <c r="J221" s="586">
        <f t="shared" si="246"/>
        <v>0</v>
      </c>
      <c r="K221" s="586">
        <f t="shared" si="246"/>
        <v>0</v>
      </c>
      <c r="L221" s="586">
        <f t="shared" si="246"/>
        <v>0</v>
      </c>
      <c r="M221" s="586">
        <f t="shared" si="246"/>
        <v>0</v>
      </c>
      <c r="N221" s="586">
        <f t="shared" si="246"/>
        <v>0</v>
      </c>
      <c r="O221" s="586">
        <f t="shared" si="246"/>
        <v>0</v>
      </c>
      <c r="P221" s="586">
        <f t="shared" si="246"/>
        <v>0</v>
      </c>
      <c r="Q221" s="586">
        <f t="shared" si="246"/>
        <v>0</v>
      </c>
      <c r="R221" s="586">
        <f t="shared" si="246"/>
        <v>0</v>
      </c>
      <c r="S221" s="586">
        <f t="shared" si="246"/>
        <v>0</v>
      </c>
      <c r="T221" s="586">
        <f t="shared" si="246"/>
        <v>0</v>
      </c>
      <c r="U221" s="586">
        <f t="shared" si="246"/>
        <v>0</v>
      </c>
      <c r="V221" s="586">
        <f t="shared" si="246"/>
        <v>0</v>
      </c>
      <c r="W221" s="586">
        <f t="shared" si="246"/>
        <v>0</v>
      </c>
      <c r="X221" s="586">
        <f t="shared" si="246"/>
        <v>0</v>
      </c>
      <c r="Y221" s="586">
        <f t="shared" si="246"/>
        <v>0</v>
      </c>
      <c r="Z221" s="586">
        <f t="shared" si="246"/>
        <v>0</v>
      </c>
      <c r="AA221" s="586">
        <f t="shared" si="246"/>
        <v>0</v>
      </c>
      <c r="AB221" s="586">
        <f t="shared" si="246"/>
        <v>0</v>
      </c>
      <c r="AC221" s="586">
        <f t="shared" si="246"/>
        <v>0</v>
      </c>
      <c r="AD221" s="586">
        <f t="shared" si="246"/>
        <v>0</v>
      </c>
      <c r="AE221" s="586">
        <f t="shared" si="246"/>
        <v>0</v>
      </c>
      <c r="AF221" s="586">
        <f t="shared" si="246"/>
        <v>0</v>
      </c>
      <c r="AG221" s="586">
        <f t="shared" si="246"/>
        <v>0</v>
      </c>
      <c r="AH221" s="586">
        <f t="shared" si="246"/>
        <v>0</v>
      </c>
      <c r="AI221" s="586">
        <f t="shared" si="246"/>
        <v>0</v>
      </c>
      <c r="AJ221" s="586">
        <f t="shared" si="246"/>
        <v>0</v>
      </c>
      <c r="AK221" s="586">
        <f t="shared" si="246"/>
        <v>0</v>
      </c>
      <c r="AL221" s="586">
        <f t="shared" si="246"/>
        <v>0</v>
      </c>
      <c r="AM221" s="586">
        <f t="shared" si="246"/>
        <v>0</v>
      </c>
      <c r="AN221" s="586">
        <f t="shared" si="246"/>
        <v>0</v>
      </c>
      <c r="AO221" s="586">
        <f t="shared" si="246"/>
        <v>0</v>
      </c>
      <c r="AP221" s="586">
        <f t="shared" si="246"/>
        <v>0</v>
      </c>
      <c r="AQ221" s="586">
        <f t="shared" si="246"/>
        <v>0</v>
      </c>
      <c r="AR221" s="586">
        <f t="shared" si="246"/>
        <v>0</v>
      </c>
      <c r="AS221" s="586">
        <f t="shared" si="246"/>
        <v>0</v>
      </c>
      <c r="AT221" s="586">
        <f t="shared" si="246"/>
        <v>0</v>
      </c>
      <c r="AU221" s="587">
        <f t="shared" si="246"/>
        <v>0</v>
      </c>
      <c r="AV221" s="588"/>
      <c r="AW221" s="588"/>
      <c r="AX221" s="588"/>
      <c r="AY221" s="588"/>
      <c r="AZ221" s="763">
        <f t="shared" ref="AZ221:BN221" si="247">-AZ186</f>
        <v>0</v>
      </c>
      <c r="BA221" s="763">
        <f t="shared" si="247"/>
        <v>0</v>
      </c>
      <c r="BB221" s="763">
        <f t="shared" si="247"/>
        <v>-1.0309999999999999</v>
      </c>
      <c r="BC221" s="763">
        <f t="shared" si="247"/>
        <v>-1.252</v>
      </c>
      <c r="BD221" s="763">
        <f t="shared" si="247"/>
        <v>-1.9850000000000001</v>
      </c>
      <c r="BE221" s="763">
        <f t="shared" si="247"/>
        <v>0</v>
      </c>
      <c r="BF221" s="763">
        <f t="shared" si="247"/>
        <v>0</v>
      </c>
      <c r="BG221" s="763">
        <f t="shared" si="247"/>
        <v>0</v>
      </c>
      <c r="BH221" s="763">
        <f t="shared" si="247"/>
        <v>0</v>
      </c>
      <c r="BI221" s="763">
        <f t="shared" si="247"/>
        <v>0</v>
      </c>
      <c r="BJ221" s="763">
        <f t="shared" si="247"/>
        <v>0</v>
      </c>
      <c r="BK221" s="763">
        <f t="shared" si="247"/>
        <v>0</v>
      </c>
      <c r="BL221" s="763">
        <f t="shared" si="247"/>
        <v>0</v>
      </c>
      <c r="BM221" s="763">
        <f t="shared" si="247"/>
        <v>0</v>
      </c>
      <c r="BN221" s="764">
        <f t="shared" si="247"/>
        <v>0</v>
      </c>
      <c r="BO221" s="765">
        <f>SUM(AU221,AV221,AW221,AX221)</f>
        <v>0</v>
      </c>
      <c r="BP221" s="765" t="e">
        <f>SUM(#REF!,#REF!,#REF!,#REF!)</f>
        <v>#REF!</v>
      </c>
      <c r="BQ221" s="765"/>
      <c r="BR221" s="765"/>
      <c r="BS221" s="765"/>
      <c r="BT221" s="533"/>
    </row>
    <row r="222" spans="1:72" s="1" customFormat="1" x14ac:dyDescent="0.35">
      <c r="A222" s="47" t="s">
        <v>79</v>
      </c>
      <c r="B222" s="360"/>
      <c r="C222" s="573">
        <f t="shared" ref="C222:AH222" si="248">C220-C221</f>
        <v>4.357000000000002</v>
      </c>
      <c r="D222" s="573">
        <f t="shared" si="248"/>
        <v>9.5109999999999921</v>
      </c>
      <c r="E222" s="573">
        <f t="shared" si="248"/>
        <v>11.974999999999987</v>
      </c>
      <c r="F222" s="573">
        <f t="shared" si="248"/>
        <v>2.2679999999999927</v>
      </c>
      <c r="G222" s="573">
        <f t="shared" si="248"/>
        <v>-5.0399999999999698</v>
      </c>
      <c r="H222" s="573">
        <f t="shared" si="248"/>
        <v>-3.664999999999988</v>
      </c>
      <c r="I222" s="573">
        <f t="shared" si="248"/>
        <v>15.948999999999989</v>
      </c>
      <c r="J222" s="573">
        <f t="shared" si="248"/>
        <v>12.355999999999963</v>
      </c>
      <c r="K222" s="573">
        <f t="shared" si="248"/>
        <v>-6.77600000000003</v>
      </c>
      <c r="L222" s="573">
        <f t="shared" si="248"/>
        <v>12.330999999999998</v>
      </c>
      <c r="M222" s="573">
        <f t="shared" si="248"/>
        <v>17.012999999999977</v>
      </c>
      <c r="N222" s="573">
        <f t="shared" si="248"/>
        <v>-11.579999999999872</v>
      </c>
      <c r="O222" s="573">
        <f t="shared" si="248"/>
        <v>-12.792999999999989</v>
      </c>
      <c r="P222" s="573">
        <f t="shared" si="248"/>
        <v>8.5379999999999914</v>
      </c>
      <c r="Q222" s="573">
        <f t="shared" si="248"/>
        <v>14.273000000000001</v>
      </c>
      <c r="R222" s="573">
        <f t="shared" si="248"/>
        <v>-0.98300000000001397</v>
      </c>
      <c r="S222" s="573">
        <f t="shared" si="248"/>
        <v>-13.832999999999982</v>
      </c>
      <c r="T222" s="573">
        <f t="shared" si="248"/>
        <v>11.652000000000008</v>
      </c>
      <c r="U222" s="573">
        <f t="shared" si="248"/>
        <v>9.1149999999999771</v>
      </c>
      <c r="V222" s="573">
        <f t="shared" si="248"/>
        <v>-6.4830000000000236</v>
      </c>
      <c r="W222" s="573">
        <f t="shared" si="248"/>
        <v>-8.0559999999999885</v>
      </c>
      <c r="X222" s="573">
        <f t="shared" si="248"/>
        <v>13.259</v>
      </c>
      <c r="Y222" s="573">
        <f t="shared" si="248"/>
        <v>13.070000000000013</v>
      </c>
      <c r="Z222" s="573">
        <f t="shared" si="248"/>
        <v>9.3469999999999462</v>
      </c>
      <c r="AA222" s="573">
        <f t="shared" si="248"/>
        <v>-8.2820000000000231</v>
      </c>
      <c r="AB222" s="573">
        <f t="shared" si="248"/>
        <v>23.71200000000001</v>
      </c>
      <c r="AC222" s="573">
        <f t="shared" si="248"/>
        <v>18.462000000000018</v>
      </c>
      <c r="AD222" s="573">
        <f t="shared" si="248"/>
        <v>3.3169999999999695</v>
      </c>
      <c r="AE222" s="573">
        <f t="shared" si="248"/>
        <v>-9.7300000000000182</v>
      </c>
      <c r="AF222" s="573">
        <f t="shared" si="248"/>
        <v>20.59400000000003</v>
      </c>
      <c r="AG222" s="573">
        <f t="shared" si="248"/>
        <v>8.7540000000000084</v>
      </c>
      <c r="AH222" s="573">
        <f t="shared" si="248"/>
        <v>4.8880000000001527</v>
      </c>
      <c r="AI222" s="573">
        <f t="shared" ref="AI222:AX222" si="249">AI220-AI221</f>
        <v>12.665999999999991</v>
      </c>
      <c r="AJ222" s="573">
        <f t="shared" si="249"/>
        <v>24.500999999999959</v>
      </c>
      <c r="AK222" s="573">
        <f t="shared" si="249"/>
        <v>23.789000000000001</v>
      </c>
      <c r="AL222" s="573">
        <f t="shared" si="249"/>
        <v>10.495000000000056</v>
      </c>
      <c r="AM222" s="573">
        <f t="shared" si="249"/>
        <v>-5.8830000000000053</v>
      </c>
      <c r="AN222" s="573">
        <f t="shared" si="249"/>
        <v>42.004000000000026</v>
      </c>
      <c r="AO222" s="573">
        <f t="shared" si="249"/>
        <v>42.91899999999999</v>
      </c>
      <c r="AP222" s="573">
        <f t="shared" si="249"/>
        <v>28.089999999999975</v>
      </c>
      <c r="AQ222" s="573">
        <f t="shared" si="249"/>
        <v>-22.671999999999997</v>
      </c>
      <c r="AR222" s="573">
        <f t="shared" si="249"/>
        <v>50.705000000000027</v>
      </c>
      <c r="AS222" s="573">
        <f t="shared" si="249"/>
        <v>55.46200000000001</v>
      </c>
      <c r="AT222" s="573">
        <f t="shared" si="249"/>
        <v>43.371999999999964</v>
      </c>
      <c r="AU222" s="577">
        <f t="shared" si="249"/>
        <v>4.8779999999999646</v>
      </c>
      <c r="AV222" s="572">
        <f t="shared" si="249"/>
        <v>53.638758729713643</v>
      </c>
      <c r="AW222" s="572">
        <f t="shared" ca="1" si="249"/>
        <v>58.213964557222106</v>
      </c>
      <c r="AX222" s="572">
        <f t="shared" ca="1" si="249"/>
        <v>45.946863927589206</v>
      </c>
      <c r="AY222" s="572"/>
      <c r="AZ222" s="735">
        <f t="shared" ref="AZ222:BS222" si="250">AZ220-AZ221</f>
        <v>12.314999999999971</v>
      </c>
      <c r="BA222" s="735">
        <f t="shared" si="250"/>
        <v>21.525000000000038</v>
      </c>
      <c r="BB222" s="735">
        <f t="shared" si="250"/>
        <v>12.79199999999997</v>
      </c>
      <c r="BC222" s="735">
        <f t="shared" si="250"/>
        <v>17.543000000000013</v>
      </c>
      <c r="BD222" s="735">
        <f t="shared" si="250"/>
        <v>28.111000000000015</v>
      </c>
      <c r="BE222" s="735">
        <f t="shared" si="250"/>
        <v>19.599999999999937</v>
      </c>
      <c r="BF222" s="735">
        <f t="shared" si="250"/>
        <v>10.988000000000021</v>
      </c>
      <c r="BG222" s="735">
        <f t="shared" si="250"/>
        <v>9.0350000000000428</v>
      </c>
      <c r="BH222" s="735">
        <f t="shared" si="250"/>
        <v>0.45099999999996221</v>
      </c>
      <c r="BI222" s="735">
        <f t="shared" si="250"/>
        <v>27.620000000000015</v>
      </c>
      <c r="BJ222" s="735">
        <f t="shared" si="250"/>
        <v>37.208999999999939</v>
      </c>
      <c r="BK222" s="735">
        <f t="shared" si="250"/>
        <v>24.506000000000107</v>
      </c>
      <c r="BL222" s="735">
        <f t="shared" si="250"/>
        <v>71.450999999999951</v>
      </c>
      <c r="BM222" s="735">
        <f t="shared" si="250"/>
        <v>107.12999999999994</v>
      </c>
      <c r="BN222" s="749">
        <f t="shared" si="250"/>
        <v>126.8669999999999</v>
      </c>
      <c r="BO222" s="734">
        <f t="shared" ca="1" si="250"/>
        <v>162.67758721452492</v>
      </c>
      <c r="BP222" s="734" t="e">
        <f t="shared" si="250"/>
        <v>#REF!</v>
      </c>
      <c r="BQ222" s="734" t="e">
        <f t="shared" si="250"/>
        <v>#REF!</v>
      </c>
      <c r="BR222" s="734" t="e">
        <f t="shared" si="250"/>
        <v>#REF!</v>
      </c>
      <c r="BS222" s="734" t="e">
        <f t="shared" ca="1" si="250"/>
        <v>#REF!</v>
      </c>
      <c r="BT222" s="530"/>
    </row>
    <row r="223" spans="1:72" s="17" customFormat="1" x14ac:dyDescent="0.35">
      <c r="A223" s="272" t="s">
        <v>80</v>
      </c>
      <c r="B223" s="364"/>
      <c r="C223" s="589"/>
      <c r="D223" s="589"/>
      <c r="E223" s="589"/>
      <c r="F223" s="589"/>
      <c r="G223" s="589"/>
      <c r="H223" s="589"/>
      <c r="I223" s="589"/>
      <c r="J223" s="589"/>
      <c r="K223" s="589"/>
      <c r="L223" s="589"/>
      <c r="M223" s="589"/>
      <c r="N223" s="589"/>
      <c r="O223" s="589"/>
      <c r="P223" s="589"/>
      <c r="Q223" s="589"/>
      <c r="R223" s="589"/>
      <c r="S223" s="589"/>
      <c r="T223" s="589"/>
      <c r="U223" s="589"/>
      <c r="V223" s="589"/>
      <c r="W223" s="589"/>
      <c r="X223" s="589"/>
      <c r="Y223" s="589"/>
      <c r="Z223" s="589"/>
      <c r="AA223" s="589"/>
      <c r="AB223" s="589"/>
      <c r="AC223" s="589"/>
      <c r="AD223" s="589"/>
      <c r="AE223" s="589"/>
      <c r="AF223" s="589"/>
      <c r="AG223" s="589"/>
      <c r="AH223" s="589"/>
      <c r="AI223" s="589"/>
      <c r="AJ223" s="589"/>
      <c r="AK223" s="589"/>
      <c r="AL223" s="589"/>
      <c r="AM223" s="589"/>
      <c r="AN223" s="589"/>
      <c r="AO223" s="589"/>
      <c r="AP223" s="589"/>
      <c r="AQ223" s="589"/>
      <c r="AR223" s="589"/>
      <c r="AS223" s="589"/>
      <c r="AT223" s="589"/>
      <c r="AU223" s="590"/>
      <c r="AV223" s="589"/>
      <c r="AW223" s="589"/>
      <c r="AX223" s="589"/>
      <c r="AY223" s="589"/>
      <c r="AZ223" s="766"/>
      <c r="BA223" s="766"/>
      <c r="BB223" s="766"/>
      <c r="BC223" s="766"/>
      <c r="BD223" s="766"/>
      <c r="BE223" s="766"/>
      <c r="BF223" s="766"/>
      <c r="BG223" s="766"/>
      <c r="BH223" s="766"/>
      <c r="BI223" s="766"/>
      <c r="BJ223" s="766"/>
      <c r="BK223" s="766"/>
      <c r="BL223" s="766"/>
      <c r="BM223" s="766"/>
      <c r="BN223" s="767"/>
      <c r="BO223" s="766">
        <f>SUM(AU223,AV223,AW223,AX223)</f>
        <v>0</v>
      </c>
      <c r="BP223" s="766" t="e">
        <f>SUM(#REF!,#REF!,#REF!,#REF!)</f>
        <v>#REF!</v>
      </c>
      <c r="BQ223" s="766"/>
      <c r="BR223" s="766"/>
      <c r="BS223" s="766"/>
      <c r="BT223" s="533"/>
    </row>
    <row r="224" spans="1:72" s="17" customFormat="1" x14ac:dyDescent="0.35">
      <c r="A224" s="267" t="s">
        <v>81</v>
      </c>
      <c r="B224" s="362"/>
      <c r="C224" s="535"/>
      <c r="D224" s="535"/>
      <c r="E224" s="535"/>
      <c r="F224" s="535"/>
      <c r="G224" s="535"/>
      <c r="H224" s="535"/>
      <c r="I224" s="535"/>
      <c r="J224" s="535"/>
      <c r="K224" s="535"/>
      <c r="L224" s="535"/>
      <c r="M224" s="535"/>
      <c r="N224" s="535"/>
      <c r="O224" s="535"/>
      <c r="P224" s="535"/>
      <c r="Q224" s="535"/>
      <c r="R224" s="535"/>
      <c r="S224" s="535"/>
      <c r="T224" s="535"/>
      <c r="U224" s="535"/>
      <c r="V224" s="535"/>
      <c r="W224" s="535"/>
      <c r="X224" s="535"/>
      <c r="Y224" s="535"/>
      <c r="Z224" s="535"/>
      <c r="AA224" s="535"/>
      <c r="AB224" s="535"/>
      <c r="AC224" s="535"/>
      <c r="AD224" s="535"/>
      <c r="AE224" s="535"/>
      <c r="AF224" s="535"/>
      <c r="AG224" s="535"/>
      <c r="AH224" s="535"/>
      <c r="AI224" s="535"/>
      <c r="AJ224" s="535"/>
      <c r="AK224" s="535"/>
      <c r="AL224" s="535"/>
      <c r="AM224" s="535"/>
      <c r="AN224" s="535"/>
      <c r="AO224" s="535"/>
      <c r="AP224" s="535"/>
      <c r="AQ224" s="535"/>
      <c r="AR224" s="535"/>
      <c r="AS224" s="535"/>
      <c r="AT224" s="535"/>
      <c r="AU224" s="536"/>
      <c r="AV224" s="535"/>
      <c r="AW224" s="535"/>
      <c r="AX224" s="535"/>
      <c r="AY224" s="535"/>
      <c r="AZ224" s="731"/>
      <c r="BA224" s="731"/>
      <c r="BB224" s="731"/>
      <c r="BC224" s="731"/>
      <c r="BD224" s="731"/>
      <c r="BE224" s="731"/>
      <c r="BF224" s="731"/>
      <c r="BG224" s="731"/>
      <c r="BH224" s="731"/>
      <c r="BI224" s="731"/>
      <c r="BJ224" s="731"/>
      <c r="BK224" s="731"/>
      <c r="BL224" s="731"/>
      <c r="BM224" s="731"/>
      <c r="BN224" s="733"/>
      <c r="BO224" s="731"/>
      <c r="BP224" s="731"/>
      <c r="BQ224" s="731"/>
      <c r="BR224" s="731"/>
      <c r="BS224" s="731"/>
      <c r="BT224" s="533"/>
    </row>
    <row r="225" spans="1:72" s="1" customFormat="1" x14ac:dyDescent="0.35">
      <c r="A225" s="47" t="s">
        <v>82</v>
      </c>
      <c r="B225" s="360"/>
      <c r="C225" s="573">
        <f t="shared" ref="C225:AH225" si="251">C220-SUM(C223:C224)</f>
        <v>4.0480000000000018</v>
      </c>
      <c r="D225" s="573">
        <f t="shared" si="251"/>
        <v>8.8359999999999914</v>
      </c>
      <c r="E225" s="573">
        <f t="shared" si="251"/>
        <v>11.130999999999988</v>
      </c>
      <c r="F225" s="573">
        <f t="shared" si="251"/>
        <v>2.1109999999999927</v>
      </c>
      <c r="G225" s="573">
        <f t="shared" si="251"/>
        <v>-5.0399999999999698</v>
      </c>
      <c r="H225" s="573">
        <f t="shared" si="251"/>
        <v>-3.664999999999988</v>
      </c>
      <c r="I225" s="573">
        <f t="shared" si="251"/>
        <v>15.948999999999989</v>
      </c>
      <c r="J225" s="573">
        <f t="shared" si="251"/>
        <v>12.355999999999963</v>
      </c>
      <c r="K225" s="573">
        <f t="shared" si="251"/>
        <v>-6.77600000000003</v>
      </c>
      <c r="L225" s="573">
        <f t="shared" si="251"/>
        <v>12.330999999999998</v>
      </c>
      <c r="M225" s="573">
        <f t="shared" si="251"/>
        <v>17.012999999999977</v>
      </c>
      <c r="N225" s="573">
        <f t="shared" si="251"/>
        <v>-11.579999999999872</v>
      </c>
      <c r="O225" s="573">
        <f t="shared" si="251"/>
        <v>-12.792999999999989</v>
      </c>
      <c r="P225" s="573">
        <f t="shared" si="251"/>
        <v>8.5379999999999914</v>
      </c>
      <c r="Q225" s="573">
        <f t="shared" si="251"/>
        <v>14.273000000000001</v>
      </c>
      <c r="R225" s="573">
        <f t="shared" si="251"/>
        <v>-0.98300000000001397</v>
      </c>
      <c r="S225" s="573">
        <f t="shared" si="251"/>
        <v>-13.832999999999982</v>
      </c>
      <c r="T225" s="573">
        <f t="shared" si="251"/>
        <v>11.652000000000008</v>
      </c>
      <c r="U225" s="573">
        <f t="shared" si="251"/>
        <v>9.1149999999999771</v>
      </c>
      <c r="V225" s="573">
        <f t="shared" si="251"/>
        <v>-6.4830000000000236</v>
      </c>
      <c r="W225" s="573">
        <f t="shared" si="251"/>
        <v>-8.0559999999999885</v>
      </c>
      <c r="X225" s="573">
        <f t="shared" si="251"/>
        <v>13.259</v>
      </c>
      <c r="Y225" s="573">
        <f t="shared" si="251"/>
        <v>13.070000000000013</v>
      </c>
      <c r="Z225" s="573">
        <f t="shared" si="251"/>
        <v>9.3469999999999462</v>
      </c>
      <c r="AA225" s="573">
        <f t="shared" si="251"/>
        <v>-8.2820000000000231</v>
      </c>
      <c r="AB225" s="573">
        <f t="shared" si="251"/>
        <v>23.71200000000001</v>
      </c>
      <c r="AC225" s="573">
        <f t="shared" si="251"/>
        <v>18.462000000000018</v>
      </c>
      <c r="AD225" s="573">
        <f t="shared" si="251"/>
        <v>3.3169999999999695</v>
      </c>
      <c r="AE225" s="573">
        <f t="shared" si="251"/>
        <v>-9.7300000000000182</v>
      </c>
      <c r="AF225" s="573">
        <f t="shared" si="251"/>
        <v>20.59400000000003</v>
      </c>
      <c r="AG225" s="573">
        <f t="shared" si="251"/>
        <v>8.7540000000000084</v>
      </c>
      <c r="AH225" s="573">
        <f t="shared" si="251"/>
        <v>4.8880000000001527</v>
      </c>
      <c r="AI225" s="573">
        <f t="shared" ref="AI225:AX225" si="252">AI220-SUM(AI223:AI224)</f>
        <v>12.665999999999991</v>
      </c>
      <c r="AJ225" s="573">
        <f t="shared" si="252"/>
        <v>24.500999999999959</v>
      </c>
      <c r="AK225" s="573">
        <f t="shared" si="252"/>
        <v>23.789000000000001</v>
      </c>
      <c r="AL225" s="573">
        <f t="shared" si="252"/>
        <v>10.495000000000056</v>
      </c>
      <c r="AM225" s="573">
        <f t="shared" si="252"/>
        <v>-5.8830000000000053</v>
      </c>
      <c r="AN225" s="573">
        <f t="shared" si="252"/>
        <v>42.004000000000026</v>
      </c>
      <c r="AO225" s="573">
        <f t="shared" si="252"/>
        <v>42.91899999999999</v>
      </c>
      <c r="AP225" s="573">
        <f t="shared" si="252"/>
        <v>28.089999999999975</v>
      </c>
      <c r="AQ225" s="573">
        <f t="shared" si="252"/>
        <v>-22.671999999999997</v>
      </c>
      <c r="AR225" s="573">
        <f t="shared" si="252"/>
        <v>50.705000000000027</v>
      </c>
      <c r="AS225" s="573">
        <f t="shared" si="252"/>
        <v>55.46200000000001</v>
      </c>
      <c r="AT225" s="573">
        <f t="shared" si="252"/>
        <v>43.371999999999964</v>
      </c>
      <c r="AU225" s="577">
        <f t="shared" si="252"/>
        <v>4.8779999999999646</v>
      </c>
      <c r="AV225" s="572">
        <f t="shared" si="252"/>
        <v>53.638758729713643</v>
      </c>
      <c r="AW225" s="572">
        <f t="shared" ca="1" si="252"/>
        <v>58.213964557222106</v>
      </c>
      <c r="AX225" s="572">
        <f t="shared" ca="1" si="252"/>
        <v>45.946863927589206</v>
      </c>
      <c r="AY225" s="572"/>
      <c r="AZ225" s="735">
        <f t="shared" ref="AZ225:BS225" si="253">AZ220-SUM(AZ223:AZ224)</f>
        <v>12.314999999999971</v>
      </c>
      <c r="BA225" s="735">
        <f t="shared" si="253"/>
        <v>21.525000000000038</v>
      </c>
      <c r="BB225" s="735">
        <f t="shared" si="253"/>
        <v>11.760999999999969</v>
      </c>
      <c r="BC225" s="735">
        <f t="shared" si="253"/>
        <v>16.291000000000015</v>
      </c>
      <c r="BD225" s="735">
        <f t="shared" si="253"/>
        <v>26.126000000000015</v>
      </c>
      <c r="BE225" s="735">
        <f t="shared" si="253"/>
        <v>19.599999999999937</v>
      </c>
      <c r="BF225" s="735">
        <f t="shared" si="253"/>
        <v>10.988000000000021</v>
      </c>
      <c r="BG225" s="735">
        <f t="shared" si="253"/>
        <v>9.0350000000000428</v>
      </c>
      <c r="BH225" s="735">
        <f t="shared" si="253"/>
        <v>0.45099999999996221</v>
      </c>
      <c r="BI225" s="735">
        <f t="shared" si="253"/>
        <v>27.620000000000015</v>
      </c>
      <c r="BJ225" s="735">
        <f t="shared" si="253"/>
        <v>37.208999999999939</v>
      </c>
      <c r="BK225" s="735">
        <f t="shared" si="253"/>
        <v>24.506000000000107</v>
      </c>
      <c r="BL225" s="735">
        <f t="shared" si="253"/>
        <v>71.450999999999951</v>
      </c>
      <c r="BM225" s="735">
        <f t="shared" si="253"/>
        <v>107.12999999999994</v>
      </c>
      <c r="BN225" s="749">
        <f t="shared" si="253"/>
        <v>126.8669999999999</v>
      </c>
      <c r="BO225" s="734">
        <f t="shared" ca="1" si="253"/>
        <v>162.67758721452492</v>
      </c>
      <c r="BP225" s="734" t="e">
        <f t="shared" si="253"/>
        <v>#REF!</v>
      </c>
      <c r="BQ225" s="734" t="e">
        <f t="shared" si="253"/>
        <v>#REF!</v>
      </c>
      <c r="BR225" s="734" t="e">
        <f t="shared" si="253"/>
        <v>#REF!</v>
      </c>
      <c r="BS225" s="734" t="e">
        <f t="shared" ca="1" si="253"/>
        <v>#REF!</v>
      </c>
      <c r="BT225" s="530"/>
    </row>
    <row r="226" spans="1:72" s="20" customFormat="1" x14ac:dyDescent="0.35">
      <c r="A226" s="365"/>
      <c r="B226" s="366"/>
      <c r="C226" s="591"/>
      <c r="D226" s="591"/>
      <c r="E226" s="591"/>
      <c r="F226" s="591"/>
      <c r="G226" s="591"/>
      <c r="H226" s="591"/>
      <c r="I226" s="591"/>
      <c r="J226" s="591"/>
      <c r="K226" s="591"/>
      <c r="L226" s="591"/>
      <c r="M226" s="591"/>
      <c r="N226" s="591"/>
      <c r="O226" s="591"/>
      <c r="P226" s="591"/>
      <c r="Q226" s="591"/>
      <c r="R226" s="591"/>
      <c r="S226" s="591"/>
      <c r="T226" s="591"/>
      <c r="U226" s="591"/>
      <c r="V226" s="591"/>
      <c r="W226" s="591"/>
      <c r="X226" s="591"/>
      <c r="Y226" s="591"/>
      <c r="Z226" s="591"/>
      <c r="AA226" s="591"/>
      <c r="AB226" s="591"/>
      <c r="AC226" s="591"/>
      <c r="AD226" s="591"/>
      <c r="AE226" s="591"/>
      <c r="AF226" s="591"/>
      <c r="AG226" s="591"/>
      <c r="AH226" s="591"/>
      <c r="AI226" s="591"/>
      <c r="AJ226" s="591"/>
      <c r="AK226" s="591"/>
      <c r="AL226" s="591"/>
      <c r="AM226" s="591"/>
      <c r="AN226" s="591"/>
      <c r="AO226" s="591"/>
      <c r="AP226" s="591"/>
      <c r="AQ226" s="591"/>
      <c r="AR226" s="591"/>
      <c r="AS226" s="591"/>
      <c r="AT226" s="591"/>
      <c r="AU226" s="592"/>
      <c r="AV226" s="591"/>
      <c r="AW226" s="591"/>
      <c r="AX226" s="591"/>
      <c r="AY226" s="591"/>
      <c r="AZ226" s="768"/>
      <c r="BA226" s="768"/>
      <c r="BB226" s="768"/>
      <c r="BC226" s="768"/>
      <c r="BD226" s="768"/>
      <c r="BE226" s="768"/>
      <c r="BF226" s="768"/>
      <c r="BG226" s="768"/>
      <c r="BH226" s="768"/>
      <c r="BI226" s="768"/>
      <c r="BJ226" s="768"/>
      <c r="BK226" s="768"/>
      <c r="BL226" s="768"/>
      <c r="BM226" s="768"/>
      <c r="BN226" s="769"/>
      <c r="BO226" s="768"/>
      <c r="BP226" s="768"/>
      <c r="BQ226" s="768"/>
      <c r="BR226" s="768"/>
      <c r="BS226" s="768"/>
      <c r="BT226" s="427"/>
    </row>
    <row r="227" spans="1:72" s="19" customFormat="1" x14ac:dyDescent="0.35">
      <c r="A227" s="27" t="s">
        <v>83</v>
      </c>
      <c r="B227" s="367"/>
      <c r="C227" s="27">
        <f t="shared" ref="C227:AU227" si="254">C213/C211</f>
        <v>4.755128661211902E-2</v>
      </c>
      <c r="D227" s="27">
        <f t="shared" si="254"/>
        <v>4.2875000000000017E-2</v>
      </c>
      <c r="E227" s="27">
        <f t="shared" si="254"/>
        <v>3.9903391788302066E-2</v>
      </c>
      <c r="F227" s="27">
        <f t="shared" si="254"/>
        <v>0.78167641325536208</v>
      </c>
      <c r="G227" s="27">
        <f t="shared" si="254"/>
        <v>0</v>
      </c>
      <c r="H227" s="27">
        <f t="shared" si="254"/>
        <v>1.1190689346457555E-4</v>
      </c>
      <c r="I227" s="27">
        <f t="shared" si="254"/>
        <v>0.13169911957037964</v>
      </c>
      <c r="J227" s="27">
        <f t="shared" si="254"/>
        <v>0.68516215936172542</v>
      </c>
      <c r="K227" s="27">
        <f t="shared" si="254"/>
        <v>1.0509636626799701</v>
      </c>
      <c r="L227" s="27">
        <f t="shared" si="254"/>
        <v>0.5196858029480218</v>
      </c>
      <c r="M227" s="27">
        <f t="shared" si="254"/>
        <v>0.4300571639314037</v>
      </c>
      <c r="N227" s="27">
        <f t="shared" si="254"/>
        <v>-1.6481823783117779E-2</v>
      </c>
      <c r="O227" s="27">
        <f t="shared" si="254"/>
        <v>0.73628437936515623</v>
      </c>
      <c r="P227" s="27">
        <f t="shared" si="254"/>
        <v>0.55699250189172489</v>
      </c>
      <c r="Q227" s="27">
        <f t="shared" si="254"/>
        <v>0.61288288761624543</v>
      </c>
      <c r="R227" s="27">
        <f t="shared" si="254"/>
        <v>8.3770491803281075</v>
      </c>
      <c r="S227" s="27">
        <f t="shared" si="254"/>
        <v>0.76055896448246585</v>
      </c>
      <c r="T227" s="27">
        <f t="shared" si="254"/>
        <v>0.63786517458438674</v>
      </c>
      <c r="U227" s="27">
        <f t="shared" si="254"/>
        <v>0.66427931960608888</v>
      </c>
      <c r="V227" s="27">
        <f t="shared" si="254"/>
        <v>-1.8366828855510795</v>
      </c>
      <c r="W227" s="27">
        <f t="shared" si="254"/>
        <v>0.97752039710161531</v>
      </c>
      <c r="X227" s="27">
        <f t="shared" si="254"/>
        <v>0.60932160255944157</v>
      </c>
      <c r="Y227" s="27">
        <f t="shared" si="254"/>
        <v>0.59375312844128492</v>
      </c>
      <c r="Z227" s="27">
        <f t="shared" si="254"/>
        <v>-3.881234232484661E-4</v>
      </c>
      <c r="AA227" s="27">
        <f t="shared" si="254"/>
        <v>0.82481310881220127</v>
      </c>
      <c r="AB227" s="27">
        <f t="shared" si="254"/>
        <v>0.26093153011098302</v>
      </c>
      <c r="AC227" s="27">
        <f t="shared" si="254"/>
        <v>0.27867518411522946</v>
      </c>
      <c r="AD227" s="27">
        <f t="shared" si="254"/>
        <v>0.56705359347987583</v>
      </c>
      <c r="AE227" s="27">
        <f t="shared" si="254"/>
        <v>0.68127231418370593</v>
      </c>
      <c r="AF227" s="27">
        <f t="shared" si="254"/>
        <v>0.44428015814342148</v>
      </c>
      <c r="AG227" s="27">
        <f t="shared" si="254"/>
        <v>0.27111777944486098</v>
      </c>
      <c r="AH227" s="27">
        <f t="shared" si="254"/>
        <v>0.66970021413274872</v>
      </c>
      <c r="AI227" s="27">
        <f t="shared" si="254"/>
        <v>-1.0052955902176013</v>
      </c>
      <c r="AJ227" s="27">
        <f t="shared" si="254"/>
        <v>0.3832245824829692</v>
      </c>
      <c r="AK227" s="27">
        <f t="shared" si="254"/>
        <v>0.39782582868005228</v>
      </c>
      <c r="AL227" s="27">
        <f t="shared" si="254"/>
        <v>0.3465346534653454</v>
      </c>
      <c r="AM227" s="27">
        <f t="shared" si="254"/>
        <v>0.92471575229053915</v>
      </c>
      <c r="AN227" s="27">
        <f t="shared" si="254"/>
        <v>0.26142149209150761</v>
      </c>
      <c r="AO227" s="27">
        <f t="shared" si="254"/>
        <v>0.27508217381678224</v>
      </c>
      <c r="AP227" s="27">
        <f t="shared" si="254"/>
        <v>0.40837057050815778</v>
      </c>
      <c r="AQ227" s="27">
        <f t="shared" si="254"/>
        <v>0.8318756727664155</v>
      </c>
      <c r="AR227" s="27">
        <f t="shared" si="254"/>
        <v>0.40148082503108856</v>
      </c>
      <c r="AS227" s="27">
        <f t="shared" si="254"/>
        <v>0.32901582193617585</v>
      </c>
      <c r="AT227" s="27">
        <f t="shared" si="254"/>
        <v>0.48191706793224126</v>
      </c>
      <c r="AU227" s="496">
        <f t="shared" si="254"/>
        <v>-0.99189652485585722</v>
      </c>
      <c r="AV227" s="644">
        <v>0.26</v>
      </c>
      <c r="AW227" s="644">
        <v>0.26</v>
      </c>
      <c r="AX227" s="644">
        <v>0.26</v>
      </c>
      <c r="AY227" s="125"/>
      <c r="AZ227" s="770">
        <f t="shared" ref="AZ227:BP227" si="255">AZ213/AZ211</f>
        <v>2.0602144495950061E-3</v>
      </c>
      <c r="BA227" s="770">
        <f t="shared" si="255"/>
        <v>4.0748769627372818E-2</v>
      </c>
      <c r="BB227" s="770">
        <f t="shared" si="255"/>
        <v>1.5821271786847536E-2</v>
      </c>
      <c r="BC227" s="770">
        <f t="shared" si="255"/>
        <v>5.6625343860526527E-2</v>
      </c>
      <c r="BD227" s="770">
        <f t="shared" si="255"/>
        <v>9.1350387696801746E-2</v>
      </c>
      <c r="BE227" s="770">
        <f t="shared" si="255"/>
        <v>0.57651330889657892</v>
      </c>
      <c r="BF227" s="770">
        <f t="shared" si="255"/>
        <v>0.58826638477801185</v>
      </c>
      <c r="BG227" s="770">
        <f t="shared" si="255"/>
        <v>0.64405505001127861</v>
      </c>
      <c r="BH227" s="770">
        <f t="shared" si="255"/>
        <v>2.5240024306259055</v>
      </c>
      <c r="BI227" s="770">
        <f t="shared" si="255"/>
        <v>0.11712561297623529</v>
      </c>
      <c r="BJ227" s="770">
        <f t="shared" si="255"/>
        <v>0.14116746965530094</v>
      </c>
      <c r="BK227" s="770">
        <f t="shared" si="255"/>
        <v>0.2945523080144784</v>
      </c>
      <c r="BL227" s="770">
        <f t="shared" si="255"/>
        <v>0.23073048916122818</v>
      </c>
      <c r="BM227" s="770">
        <f t="shared" si="255"/>
        <v>0.26447910575628608</v>
      </c>
      <c r="BN227" s="771">
        <f t="shared" si="255"/>
        <v>0.3229207114583274</v>
      </c>
      <c r="BO227" s="772">
        <f t="shared" ca="1" si="255"/>
        <v>0.22342788170503111</v>
      </c>
      <c r="BP227" s="772" t="e">
        <f t="shared" si="255"/>
        <v>#REF!</v>
      </c>
      <c r="BQ227" s="773">
        <v>0.27</v>
      </c>
      <c r="BR227" s="773">
        <v>0.27</v>
      </c>
      <c r="BS227" s="773">
        <v>0.27</v>
      </c>
      <c r="BT227" s="27"/>
    </row>
    <row r="228" spans="1:72" s="19" customFormat="1" x14ac:dyDescent="0.35">
      <c r="A228" s="27" t="s">
        <v>84</v>
      </c>
      <c r="B228" s="367"/>
      <c r="C228" s="27">
        <f t="shared" ref="C228:AU228" si="256">C214/C211</f>
        <v>0.41361318629194821</v>
      </c>
      <c r="D228" s="27">
        <f t="shared" si="256"/>
        <v>0.37462500000000021</v>
      </c>
      <c r="E228" s="27">
        <f t="shared" si="256"/>
        <v>0.36049564212958118</v>
      </c>
      <c r="F228" s="27">
        <f t="shared" si="256"/>
        <v>-0.18778427550357402</v>
      </c>
      <c r="G228" s="27">
        <f t="shared" si="256"/>
        <v>0.40360318203088585</v>
      </c>
      <c r="H228" s="27">
        <f t="shared" si="256"/>
        <v>0.52417188898836242</v>
      </c>
      <c r="I228" s="27">
        <f t="shared" si="256"/>
        <v>0.3016110766083368</v>
      </c>
      <c r="J228" s="27">
        <f t="shared" si="256"/>
        <v>-0.30442441197803394</v>
      </c>
      <c r="K228" s="27">
        <f t="shared" si="256"/>
        <v>-0.55290622381351295</v>
      </c>
      <c r="L228" s="27">
        <f t="shared" si="256"/>
        <v>-9.9641194724592694E-2</v>
      </c>
      <c r="M228" s="27">
        <f t="shared" si="256"/>
        <v>-3.9645952424857127E-2</v>
      </c>
      <c r="N228" s="27">
        <f t="shared" si="256"/>
        <v>0.37081536249743519</v>
      </c>
      <c r="O228" s="27">
        <f t="shared" si="256"/>
        <v>-0.34627426424546043</v>
      </c>
      <c r="P228" s="27">
        <f t="shared" si="256"/>
        <v>-9.9332737153470518E-2</v>
      </c>
      <c r="Q228" s="27">
        <f t="shared" si="256"/>
        <v>-0.33084642463090425</v>
      </c>
      <c r="R228" s="27">
        <f t="shared" si="256"/>
        <v>-6.6926229508198629</v>
      </c>
      <c r="S228" s="27">
        <f t="shared" si="256"/>
        <v>-0.37134411250951793</v>
      </c>
      <c r="T228" s="27">
        <f t="shared" si="256"/>
        <v>-0.22424275030935592</v>
      </c>
      <c r="U228" s="27">
        <f t="shared" si="256"/>
        <v>-0.32691733810802809</v>
      </c>
      <c r="V228" s="27">
        <f t="shared" si="256"/>
        <v>1.4398138354135739</v>
      </c>
      <c r="W228" s="27">
        <f t="shared" si="256"/>
        <v>-0.44303075255320395</v>
      </c>
      <c r="X228" s="27">
        <f t="shared" si="256"/>
        <v>-0.56831236821057229</v>
      </c>
      <c r="Y228" s="27">
        <f t="shared" si="256"/>
        <v>-0.24662128341175277</v>
      </c>
      <c r="Z228" s="27">
        <f t="shared" si="256"/>
        <v>9.3440714147099257E-2</v>
      </c>
      <c r="AA228" s="27">
        <f t="shared" si="256"/>
        <v>-0.44287548138639204</v>
      </c>
      <c r="AB228" s="27">
        <f t="shared" si="256"/>
        <v>1.4221602280308063E-2</v>
      </c>
      <c r="AC228" s="27">
        <f t="shared" si="256"/>
        <v>-4.097326768930297E-2</v>
      </c>
      <c r="AD228" s="27">
        <f t="shared" si="256"/>
        <v>-0.40355643368733324</v>
      </c>
      <c r="AE228" s="27">
        <f t="shared" si="256"/>
        <v>-0.20426268527534328</v>
      </c>
      <c r="AF228" s="27">
        <f t="shared" si="256"/>
        <v>-0.11025039375140615</v>
      </c>
      <c r="AG228" s="27">
        <f t="shared" si="256"/>
        <v>6.0390097524381056E-2</v>
      </c>
      <c r="AH228" s="27">
        <f t="shared" si="256"/>
        <v>-0.3286937901498862</v>
      </c>
      <c r="AI228" s="27">
        <f t="shared" si="256"/>
        <v>0.77652609281725449</v>
      </c>
      <c r="AJ228" s="27">
        <f t="shared" si="256"/>
        <v>-7.7323291845123529E-2</v>
      </c>
      <c r="AK228" s="27">
        <f t="shared" si="256"/>
        <v>-9.2639895449685164E-2</v>
      </c>
      <c r="AL228" s="27">
        <f t="shared" si="256"/>
        <v>1.7797485269999341E-2</v>
      </c>
      <c r="AM228" s="27">
        <f t="shared" si="256"/>
        <v>-0.60536483055524859</v>
      </c>
      <c r="AN228" s="27">
        <f t="shared" si="256"/>
        <v>8.8928110786776152E-3</v>
      </c>
      <c r="AO228" s="27">
        <f t="shared" si="256"/>
        <v>9.6053953710169143E-3</v>
      </c>
      <c r="AP228" s="27">
        <f t="shared" si="256"/>
        <v>-0.1398212615608439</v>
      </c>
      <c r="AQ228" s="27">
        <f t="shared" si="256"/>
        <v>-0.5793527987082886</v>
      </c>
      <c r="AR228" s="27">
        <f t="shared" si="256"/>
        <v>-0.13190205971898622</v>
      </c>
      <c r="AS228" s="27">
        <f t="shared" si="256"/>
        <v>-6.7216411906677376E-2</v>
      </c>
      <c r="AT228" s="27">
        <f t="shared" si="256"/>
        <v>-0.23131949977482955</v>
      </c>
      <c r="AU228" s="496">
        <f t="shared" si="256"/>
        <v>1.2312607137291638</v>
      </c>
      <c r="AV228" s="644">
        <v>0</v>
      </c>
      <c r="AW228" s="644">
        <v>0</v>
      </c>
      <c r="AX228" s="644">
        <v>0</v>
      </c>
      <c r="AY228" s="125"/>
      <c r="AZ228" s="770">
        <f t="shared" ref="AZ228:BP228" si="257">AZ214/AZ211</f>
        <v>0.44875216556632547</v>
      </c>
      <c r="BA228" s="770">
        <f t="shared" si="257"/>
        <v>0.34737520506210418</v>
      </c>
      <c r="BB228" s="770">
        <f t="shared" si="257"/>
        <v>0.47715912548354911</v>
      </c>
      <c r="BC228" s="770">
        <f t="shared" si="257"/>
        <v>0.3678682433639382</v>
      </c>
      <c r="BD228" s="770">
        <f t="shared" si="257"/>
        <v>0.33872457417788931</v>
      </c>
      <c r="BE228" s="770">
        <f t="shared" si="257"/>
        <v>-0.19711554931314487</v>
      </c>
      <c r="BF228" s="770">
        <f t="shared" si="257"/>
        <v>-0.20441331923890035</v>
      </c>
      <c r="BG228" s="770">
        <f t="shared" si="257"/>
        <v>-0.2871324358877933</v>
      </c>
      <c r="BH228" s="770">
        <f t="shared" si="257"/>
        <v>-1.4310309904800598</v>
      </c>
      <c r="BI228" s="770">
        <f t="shared" si="257"/>
        <v>-0.15145228215767625</v>
      </c>
      <c r="BJ228" s="770">
        <f t="shared" si="257"/>
        <v>7.6363185211224024E-2</v>
      </c>
      <c r="BK228" s="770">
        <f t="shared" si="257"/>
        <v>-3.9040296766087168E-2</v>
      </c>
      <c r="BL228" s="770">
        <f t="shared" si="257"/>
        <v>2.6745430508047775E-2</v>
      </c>
      <c r="BM228" s="770">
        <f t="shared" si="257"/>
        <v>8.0911649917728527E-3</v>
      </c>
      <c r="BN228" s="771">
        <f t="shared" si="257"/>
        <v>-6.0116953641616511E-2</v>
      </c>
      <c r="BO228" s="772">
        <f t="shared" ca="1" si="257"/>
        <v>3.5969276677747422E-2</v>
      </c>
      <c r="BP228" s="772" t="e">
        <f t="shared" si="257"/>
        <v>#REF!</v>
      </c>
      <c r="BQ228" s="773">
        <v>0</v>
      </c>
      <c r="BR228" s="773">
        <v>0</v>
      </c>
      <c r="BS228" s="773">
        <v>0</v>
      </c>
      <c r="BT228" s="27"/>
    </row>
    <row r="229" spans="1:72" s="17" customFormat="1" x14ac:dyDescent="0.35">
      <c r="A229" s="532"/>
      <c r="B229" s="308"/>
      <c r="C229" s="532"/>
      <c r="D229" s="532"/>
      <c r="E229" s="532"/>
      <c r="F229" s="532"/>
      <c r="G229" s="532"/>
      <c r="H229" s="532"/>
      <c r="I229" s="532"/>
      <c r="J229" s="532"/>
      <c r="K229" s="532"/>
      <c r="L229" s="532"/>
      <c r="M229" s="532"/>
      <c r="N229" s="532"/>
      <c r="O229" s="532"/>
      <c r="P229" s="532"/>
      <c r="Q229" s="532"/>
      <c r="R229" s="532"/>
      <c r="S229" s="532"/>
      <c r="T229" s="532"/>
      <c r="U229" s="532"/>
      <c r="V229" s="532"/>
      <c r="W229" s="532"/>
      <c r="X229" s="532"/>
      <c r="Y229" s="532"/>
      <c r="Z229" s="532"/>
      <c r="AA229" s="532"/>
      <c r="AB229" s="532"/>
      <c r="AC229" s="532"/>
      <c r="AD229" s="532"/>
      <c r="AE229" s="532"/>
      <c r="AF229" s="532"/>
      <c r="AG229" s="532"/>
      <c r="AH229" s="532"/>
      <c r="AI229" s="532"/>
      <c r="AJ229" s="532"/>
      <c r="AK229" s="532"/>
      <c r="AL229" s="532"/>
      <c r="AM229" s="532"/>
      <c r="AN229" s="532"/>
      <c r="AO229" s="532"/>
      <c r="AP229" s="532"/>
      <c r="AQ229" s="532"/>
      <c r="AR229" s="532"/>
      <c r="AS229" s="532"/>
      <c r="AT229" s="532"/>
      <c r="AU229" s="534"/>
      <c r="AV229" s="532"/>
      <c r="AW229" s="532"/>
      <c r="AX229" s="532"/>
      <c r="AY229" s="532"/>
      <c r="AZ229" s="156"/>
      <c r="BA229" s="156"/>
      <c r="BB229" s="156"/>
      <c r="BC229" s="156"/>
      <c r="BD229" s="156"/>
      <c r="BE229" s="156"/>
      <c r="BF229" s="156"/>
      <c r="BG229" s="156"/>
      <c r="BH229" s="156"/>
      <c r="BI229" s="156"/>
      <c r="BJ229" s="156"/>
      <c r="BK229" s="156"/>
      <c r="BL229" s="156"/>
      <c r="BM229" s="156"/>
      <c r="BN229" s="730"/>
      <c r="BO229" s="156"/>
      <c r="BP229" s="156"/>
      <c r="BQ229" s="156"/>
      <c r="BR229" s="156"/>
      <c r="BS229" s="156"/>
      <c r="BT229" s="533"/>
    </row>
    <row r="230" spans="1:72" s="21" customFormat="1" x14ac:dyDescent="0.35">
      <c r="A230" s="52" t="s">
        <v>85</v>
      </c>
      <c r="B230" s="305"/>
      <c r="C230" s="28">
        <f t="shared" ref="C230:AH230" si="258">C220/C235</f>
        <v>0.11235315126719816</v>
      </c>
      <c r="D230" s="28">
        <f t="shared" si="258"/>
        <v>0.24463904513914292</v>
      </c>
      <c r="E230" s="28">
        <f t="shared" si="258"/>
        <v>0.30677980615518052</v>
      </c>
      <c r="F230" s="28">
        <f t="shared" si="258"/>
        <v>5.7610407097623786E-2</v>
      </c>
      <c r="G230" s="28">
        <f t="shared" si="258"/>
        <v>-0.13309064360100106</v>
      </c>
      <c r="H230" s="28">
        <f t="shared" si="258"/>
        <v>-9.1677191825305857E-2</v>
      </c>
      <c r="I230" s="28">
        <f t="shared" si="258"/>
        <v>0.4027850938856215</v>
      </c>
      <c r="J230" s="28">
        <f t="shared" si="258"/>
        <v>0.3205981121555766</v>
      </c>
      <c r="K230" s="28">
        <f t="shared" si="258"/>
        <v>-0.17975534120208705</v>
      </c>
      <c r="L230" s="28">
        <f t="shared" si="258"/>
        <v>0.33240350566954058</v>
      </c>
      <c r="M230" s="28">
        <f t="shared" si="258"/>
        <v>0.45719572540136177</v>
      </c>
      <c r="N230" s="28">
        <f t="shared" si="258"/>
        <v>-0.31030531175433762</v>
      </c>
      <c r="O230" s="28">
        <f t="shared" si="258"/>
        <v>-0.34175277204293997</v>
      </c>
      <c r="P230" s="28">
        <f t="shared" si="258"/>
        <v>0.22731629998179692</v>
      </c>
      <c r="Q230" s="28">
        <f t="shared" si="258"/>
        <v>0.37866622152448859</v>
      </c>
      <c r="R230" s="28">
        <f t="shared" si="258"/>
        <v>-2.6446903925797089E-2</v>
      </c>
      <c r="S230" s="28">
        <f t="shared" si="258"/>
        <v>-0.36461444849000468</v>
      </c>
      <c r="T230" s="28">
        <f t="shared" si="258"/>
        <v>0.30578737243539955</v>
      </c>
      <c r="U230" s="28">
        <f t="shared" si="258"/>
        <v>0.23751215051187913</v>
      </c>
      <c r="V230" s="28">
        <f t="shared" si="258"/>
        <v>-0.16727166218338424</v>
      </c>
      <c r="W230" s="28">
        <f t="shared" si="258"/>
        <v>-0.20599275261446603</v>
      </c>
      <c r="X230" s="28">
        <f t="shared" si="258"/>
        <v>0.33697404575527573</v>
      </c>
      <c r="Y230" s="28">
        <f t="shared" si="258"/>
        <v>0.3296835738930366</v>
      </c>
      <c r="Z230" s="28">
        <f t="shared" si="258"/>
        <v>0.2394750436490459</v>
      </c>
      <c r="AA230" s="28">
        <f t="shared" si="258"/>
        <v>-0.21548601345645427</v>
      </c>
      <c r="AB230" s="28">
        <f t="shared" si="258"/>
        <v>0.61087158199999103</v>
      </c>
      <c r="AC230" s="28">
        <f t="shared" si="258"/>
        <v>0.47327551930978012</v>
      </c>
      <c r="AD230" s="28">
        <f t="shared" si="258"/>
        <v>8.4756994898711552E-2</v>
      </c>
      <c r="AE230" s="28">
        <f t="shared" si="258"/>
        <v>-0.24765480697089534</v>
      </c>
      <c r="AF230" s="28">
        <f t="shared" si="258"/>
        <v>0.52202765844182086</v>
      </c>
      <c r="AG230" s="28">
        <f t="shared" si="258"/>
        <v>0.22139722488669725</v>
      </c>
      <c r="AH230" s="28">
        <f t="shared" si="258"/>
        <v>0.12331804144208119</v>
      </c>
      <c r="AI230" s="28">
        <f t="shared" ref="AI230:AX230" si="259">AI220/AI235</f>
        <v>0.31676548477661226</v>
      </c>
      <c r="AJ230" s="28">
        <f t="shared" si="259"/>
        <v>0.61007916213504154</v>
      </c>
      <c r="AK230" s="28">
        <f t="shared" si="259"/>
        <v>0.59050130654216315</v>
      </c>
      <c r="AL230" s="28">
        <f t="shared" si="259"/>
        <v>0.2596921528306273</v>
      </c>
      <c r="AM230" s="28">
        <f t="shared" si="259"/>
        <v>-0.14504771880101985</v>
      </c>
      <c r="AN230" s="28">
        <f t="shared" si="259"/>
        <v>1.0115172913491532</v>
      </c>
      <c r="AO230" s="28">
        <f t="shared" si="259"/>
        <v>1.0261918376922634</v>
      </c>
      <c r="AP230" s="28">
        <f t="shared" si="259"/>
        <v>0.6704691104569569</v>
      </c>
      <c r="AQ230" s="28">
        <f t="shared" si="259"/>
        <v>-0.53882644778474165</v>
      </c>
      <c r="AR230" s="28">
        <f t="shared" si="259"/>
        <v>1.1998610191551589</v>
      </c>
      <c r="AS230" s="28">
        <f t="shared" si="259"/>
        <v>1.3088229325071954</v>
      </c>
      <c r="AT230" s="28">
        <f t="shared" si="259"/>
        <v>1.0220953534464026</v>
      </c>
      <c r="AU230" s="546">
        <f t="shared" si="259"/>
        <v>0.11477644088139094</v>
      </c>
      <c r="AV230" s="310">
        <f t="shared" ca="1" si="259"/>
        <v>1.2374404610387595</v>
      </c>
      <c r="AW230" s="310">
        <f t="shared" ca="1" si="259"/>
        <v>1.3429899730449542</v>
      </c>
      <c r="AX230" s="310">
        <f t="shared" ca="1" si="259"/>
        <v>1.0599892657535528</v>
      </c>
      <c r="AY230" s="310"/>
      <c r="AZ230" s="774">
        <f t="shared" ref="AZ230:BS230" si="260">AZ220/AZ235</f>
        <v>0.42840462881547881</v>
      </c>
      <c r="BA230" s="774">
        <f t="shared" si="260"/>
        <v>0.72251005329522955</v>
      </c>
      <c r="BB230" s="774">
        <f t="shared" si="260"/>
        <v>0.37244569421299539</v>
      </c>
      <c r="BC230" s="774">
        <f t="shared" si="260"/>
        <v>0.45502182825541748</v>
      </c>
      <c r="BD230" s="774">
        <f t="shared" si="260"/>
        <v>0.72037255553170532</v>
      </c>
      <c r="BE230" s="774">
        <f t="shared" si="260"/>
        <v>0.50272561928229598</v>
      </c>
      <c r="BF230" s="774">
        <f t="shared" si="260"/>
        <v>0.29434322311026179</v>
      </c>
      <c r="BG230" s="774">
        <f t="shared" si="260"/>
        <v>0.24020450801783352</v>
      </c>
      <c r="BH230" s="774">
        <f t="shared" si="260"/>
        <v>1.1775893211290576E-2</v>
      </c>
      <c r="BI230" s="774">
        <f t="shared" si="260"/>
        <v>0.70310895841764787</v>
      </c>
      <c r="BJ230" s="774">
        <f t="shared" si="260"/>
        <v>0.95779069510033366</v>
      </c>
      <c r="BK230" s="774">
        <f t="shared" si="260"/>
        <v>0.62073620641371274</v>
      </c>
      <c r="BL230" s="774">
        <f t="shared" si="260"/>
        <v>1.7769011357484712</v>
      </c>
      <c r="BM230" s="774">
        <f t="shared" si="260"/>
        <v>2.5844910609250147</v>
      </c>
      <c r="BN230" s="775">
        <f t="shared" si="260"/>
        <v>3.000185024061639</v>
      </c>
      <c r="BO230" s="776">
        <f t="shared" ca="1" si="260"/>
        <v>3.7714687645085512</v>
      </c>
      <c r="BP230" s="776" t="e">
        <f t="shared" si="260"/>
        <v>#REF!</v>
      </c>
      <c r="BQ230" s="776" t="e">
        <f t="shared" si="260"/>
        <v>#REF!</v>
      </c>
      <c r="BR230" s="776" t="e">
        <f t="shared" ca="1" si="260"/>
        <v>#REF!</v>
      </c>
      <c r="BS230" s="776" t="e">
        <f t="shared" ca="1" si="260"/>
        <v>#REF!</v>
      </c>
      <c r="BT230" s="28"/>
    </row>
    <row r="231" spans="1:72" s="21" customFormat="1" x14ac:dyDescent="0.35">
      <c r="A231" s="52" t="s">
        <v>86</v>
      </c>
      <c r="B231" s="305"/>
      <c r="C231" s="28">
        <f t="shared" ref="C231:AH231" si="261">C222/C236</f>
        <v>0.12092951582786127</v>
      </c>
      <c r="D231" s="28">
        <f t="shared" si="261"/>
        <v>0.26332751904916124</v>
      </c>
      <c r="E231" s="28">
        <f t="shared" si="261"/>
        <v>0.33004116240304437</v>
      </c>
      <c r="F231" s="28">
        <f t="shared" si="261"/>
        <v>5.7453528885420095E-2</v>
      </c>
      <c r="G231" s="28">
        <f t="shared" si="261"/>
        <v>-0.13309064360100106</v>
      </c>
      <c r="H231" s="28">
        <f t="shared" si="261"/>
        <v>-9.1677191825305857E-2</v>
      </c>
      <c r="I231" s="28">
        <f t="shared" si="261"/>
        <v>0.4027850938856215</v>
      </c>
      <c r="J231" s="28">
        <f t="shared" si="261"/>
        <v>0.31892723985793342</v>
      </c>
      <c r="K231" s="28">
        <f t="shared" si="261"/>
        <v>-0.17975534120208705</v>
      </c>
      <c r="L231" s="28">
        <f t="shared" si="261"/>
        <v>0.33182790405456236</v>
      </c>
      <c r="M231" s="28">
        <f t="shared" si="261"/>
        <v>0.45478469020389223</v>
      </c>
      <c r="N231" s="28">
        <f t="shared" si="261"/>
        <v>-0.31030531175433762</v>
      </c>
      <c r="O231" s="28">
        <f t="shared" si="261"/>
        <v>-0.34175277204293997</v>
      </c>
      <c r="P231" s="28">
        <f t="shared" si="261"/>
        <v>0.22658707085893595</v>
      </c>
      <c r="Q231" s="28">
        <f t="shared" si="261"/>
        <v>0.36597556950893512</v>
      </c>
      <c r="R231" s="28">
        <f t="shared" si="261"/>
        <v>-2.6446903925797089E-2</v>
      </c>
      <c r="S231" s="28">
        <f t="shared" si="261"/>
        <v>-0.36461444849000468</v>
      </c>
      <c r="T231" s="28">
        <f t="shared" si="261"/>
        <v>0.29871350155289</v>
      </c>
      <c r="U231" s="28">
        <f t="shared" si="261"/>
        <v>0.23176796596491811</v>
      </c>
      <c r="V231" s="28">
        <f t="shared" si="261"/>
        <v>-0.16727166218338424</v>
      </c>
      <c r="W231" s="28">
        <f t="shared" si="261"/>
        <v>-0.20599275261446603</v>
      </c>
      <c r="X231" s="28">
        <f t="shared" si="261"/>
        <v>0.32588872145072612</v>
      </c>
      <c r="Y231" s="28">
        <f t="shared" si="261"/>
        <v>0.32060871599937857</v>
      </c>
      <c r="Z231" s="28">
        <f t="shared" si="261"/>
        <v>0.23381182083225416</v>
      </c>
      <c r="AA231" s="28">
        <f t="shared" si="261"/>
        <v>-0.21548601345645427</v>
      </c>
      <c r="AB231" s="28">
        <f t="shared" si="261"/>
        <v>0.58801852734489524</v>
      </c>
      <c r="AC231" s="28">
        <f t="shared" si="261"/>
        <v>0.44216839938703839</v>
      </c>
      <c r="AD231" s="28">
        <f t="shared" si="261"/>
        <v>7.9607363141094137E-2</v>
      </c>
      <c r="AE231" s="28">
        <f t="shared" si="261"/>
        <v>-0.24765480697089534</v>
      </c>
      <c r="AF231" s="28">
        <f t="shared" si="261"/>
        <v>0.51518573366298559</v>
      </c>
      <c r="AG231" s="28">
        <f t="shared" si="261"/>
        <v>0.21918481576532253</v>
      </c>
      <c r="AH231" s="28">
        <f t="shared" si="261"/>
        <v>0.11873647483940945</v>
      </c>
      <c r="AI231" s="28">
        <f t="shared" ref="AI231:AX231" si="262">AI222/AI236</f>
        <v>0.30021564755906005</v>
      </c>
      <c r="AJ231" s="28">
        <f t="shared" si="262"/>
        <v>0.59609621573422888</v>
      </c>
      <c r="AK231" s="28">
        <f t="shared" si="262"/>
        <v>0.57060948812114531</v>
      </c>
      <c r="AL231" s="28">
        <f t="shared" si="262"/>
        <v>0.24839276626302365</v>
      </c>
      <c r="AM231" s="28">
        <f t="shared" si="262"/>
        <v>-0.14504771880101985</v>
      </c>
      <c r="AN231" s="28">
        <f t="shared" si="262"/>
        <v>1.0009675336356816</v>
      </c>
      <c r="AO231" s="28">
        <f t="shared" si="262"/>
        <v>1.0185816693461618</v>
      </c>
      <c r="AP231" s="28">
        <f t="shared" si="262"/>
        <v>0.65978132746969553</v>
      </c>
      <c r="AQ231" s="28">
        <f t="shared" si="262"/>
        <v>-0.53882644778474165</v>
      </c>
      <c r="AR231" s="28">
        <f t="shared" si="262"/>
        <v>1.1917315430386315</v>
      </c>
      <c r="AS231" s="28">
        <f t="shared" si="262"/>
        <v>1.2984474209798222</v>
      </c>
      <c r="AT231" s="28">
        <f t="shared" si="262"/>
        <v>1.0121972664466001</v>
      </c>
      <c r="AU231" s="546">
        <f t="shared" si="262"/>
        <v>0.11348835110010681</v>
      </c>
      <c r="AV231" s="310">
        <f t="shared" ca="1" si="262"/>
        <v>1.2245046004207425</v>
      </c>
      <c r="AW231" s="310">
        <f t="shared" ca="1" si="262"/>
        <v>1.3296930426187665</v>
      </c>
      <c r="AX231" s="310">
        <f t="shared" ca="1" si="262"/>
        <v>1.04949432252827</v>
      </c>
      <c r="AY231" s="310"/>
      <c r="AZ231" s="774">
        <f t="shared" ref="AZ231:BS231" si="263">AZ222/AZ236</f>
        <v>0.41548619442108725</v>
      </c>
      <c r="BA231" s="774">
        <f t="shared" si="263"/>
        <v>0.71160122905185785</v>
      </c>
      <c r="BB231" s="774">
        <f t="shared" si="263"/>
        <v>0.39832150704780178</v>
      </c>
      <c r="BC231" s="774">
        <f t="shared" si="263"/>
        <v>0.45282935488556397</v>
      </c>
      <c r="BD231" s="774">
        <f t="shared" si="263"/>
        <v>0.72047444540370487</v>
      </c>
      <c r="BE231" s="774">
        <f t="shared" si="263"/>
        <v>0.49961106807771627</v>
      </c>
      <c r="BF231" s="774">
        <f t="shared" si="263"/>
        <v>0.29203656835770014</v>
      </c>
      <c r="BG231" s="774">
        <f t="shared" si="263"/>
        <v>0.23255880996606887</v>
      </c>
      <c r="BH231" s="774">
        <f t="shared" si="263"/>
        <v>1.1417451546840948E-2</v>
      </c>
      <c r="BI231" s="774">
        <f t="shared" si="263"/>
        <v>0.67966371361559874</v>
      </c>
      <c r="BJ231" s="774">
        <f t="shared" si="263"/>
        <v>0.90876008675094122</v>
      </c>
      <c r="BK231" s="774">
        <f t="shared" si="263"/>
        <v>0.60265757579871448</v>
      </c>
      <c r="BL231" s="774">
        <f t="shared" si="263"/>
        <v>1.7065541749923199</v>
      </c>
      <c r="BM231" s="774">
        <f t="shared" si="263"/>
        <v>2.5241789149701583</v>
      </c>
      <c r="BN231" s="775">
        <f t="shared" si="263"/>
        <v>2.9691696154671745</v>
      </c>
      <c r="BO231" s="776">
        <f t="shared" ca="1" si="263"/>
        <v>3.7186034516815645</v>
      </c>
      <c r="BP231" s="776" t="e">
        <f t="shared" si="263"/>
        <v>#REF!</v>
      </c>
      <c r="BQ231" s="776" t="e">
        <f t="shared" si="263"/>
        <v>#REF!</v>
      </c>
      <c r="BR231" s="776" t="e">
        <f t="shared" si="263"/>
        <v>#REF!</v>
      </c>
      <c r="BS231" s="776" t="e">
        <f t="shared" ca="1" si="263"/>
        <v>#REF!</v>
      </c>
      <c r="BT231" s="28"/>
    </row>
    <row r="232" spans="1:72" s="21" customFormat="1" x14ac:dyDescent="0.35">
      <c r="A232" s="52" t="s">
        <v>87</v>
      </c>
      <c r="B232" s="305"/>
      <c r="C232" s="28">
        <f t="shared" ref="C232:AH232" si="264">C225/C237</f>
        <v>0.10438571636193503</v>
      </c>
      <c r="D232" s="28">
        <f t="shared" si="264"/>
        <v>0.22733050363971913</v>
      </c>
      <c r="E232" s="28">
        <f t="shared" si="264"/>
        <v>0.28516638065912475</v>
      </c>
      <c r="F232" s="28">
        <f t="shared" si="264"/>
        <v>5.3476366612487565E-2</v>
      </c>
      <c r="G232" s="28">
        <f t="shared" si="264"/>
        <v>-0.13309064360100106</v>
      </c>
      <c r="H232" s="28">
        <f t="shared" si="264"/>
        <v>-9.1677191825305857E-2</v>
      </c>
      <c r="I232" s="28">
        <f t="shared" si="264"/>
        <v>0.4027850938856215</v>
      </c>
      <c r="J232" s="28">
        <f t="shared" si="264"/>
        <v>0.31892723985793342</v>
      </c>
      <c r="K232" s="28">
        <f t="shared" si="264"/>
        <v>-0.17975534120208705</v>
      </c>
      <c r="L232" s="28">
        <f t="shared" si="264"/>
        <v>0.33182790405456236</v>
      </c>
      <c r="M232" s="28">
        <f t="shared" si="264"/>
        <v>0.45478469020389223</v>
      </c>
      <c r="N232" s="28">
        <f t="shared" si="264"/>
        <v>-0.31030531175433762</v>
      </c>
      <c r="O232" s="28">
        <f t="shared" si="264"/>
        <v>-0.34175277204293997</v>
      </c>
      <c r="P232" s="28">
        <f t="shared" si="264"/>
        <v>0.22658707085893595</v>
      </c>
      <c r="Q232" s="28">
        <f t="shared" si="264"/>
        <v>0.36597556950893512</v>
      </c>
      <c r="R232" s="28">
        <f t="shared" si="264"/>
        <v>-2.6446903925797089E-2</v>
      </c>
      <c r="S232" s="28">
        <f t="shared" si="264"/>
        <v>-0.36461444849000468</v>
      </c>
      <c r="T232" s="28">
        <f t="shared" si="264"/>
        <v>0.29871350155289</v>
      </c>
      <c r="U232" s="28">
        <f t="shared" si="264"/>
        <v>0.23176796596491811</v>
      </c>
      <c r="V232" s="28">
        <f t="shared" si="264"/>
        <v>-0.16727166218338424</v>
      </c>
      <c r="W232" s="28">
        <f t="shared" si="264"/>
        <v>-0.20599275261446603</v>
      </c>
      <c r="X232" s="28">
        <f t="shared" si="264"/>
        <v>0.32588872145072612</v>
      </c>
      <c r="Y232" s="28">
        <f t="shared" si="264"/>
        <v>0.32060871599937857</v>
      </c>
      <c r="Z232" s="28">
        <f t="shared" si="264"/>
        <v>0.23381182083225416</v>
      </c>
      <c r="AA232" s="28">
        <f t="shared" si="264"/>
        <v>-0.21548601345645427</v>
      </c>
      <c r="AB232" s="28">
        <f t="shared" si="264"/>
        <v>0.58801852734489524</v>
      </c>
      <c r="AC232" s="28">
        <f t="shared" si="264"/>
        <v>0.44216839938703839</v>
      </c>
      <c r="AD232" s="28">
        <f t="shared" si="264"/>
        <v>7.9607363141094137E-2</v>
      </c>
      <c r="AE232" s="28">
        <f t="shared" si="264"/>
        <v>-0.24765480697089534</v>
      </c>
      <c r="AF232" s="28">
        <f t="shared" si="264"/>
        <v>0.51518573366298559</v>
      </c>
      <c r="AG232" s="28">
        <f t="shared" si="264"/>
        <v>0.21918481576532253</v>
      </c>
      <c r="AH232" s="28">
        <f t="shared" si="264"/>
        <v>0.11873647483940945</v>
      </c>
      <c r="AI232" s="28">
        <f t="shared" ref="AI232:AX232" si="265">AI225/AI237</f>
        <v>0.30021564755906005</v>
      </c>
      <c r="AJ232" s="28">
        <f t="shared" si="265"/>
        <v>0.59609621573422888</v>
      </c>
      <c r="AK232" s="28">
        <f t="shared" si="265"/>
        <v>0.57060948812114531</v>
      </c>
      <c r="AL232" s="28">
        <f t="shared" si="265"/>
        <v>0.24839276626302365</v>
      </c>
      <c r="AM232" s="28">
        <f t="shared" si="265"/>
        <v>-0.14504771880101985</v>
      </c>
      <c r="AN232" s="28">
        <f t="shared" si="265"/>
        <v>1.0009675336356816</v>
      </c>
      <c r="AO232" s="28">
        <f t="shared" si="265"/>
        <v>1.0185816693461618</v>
      </c>
      <c r="AP232" s="28">
        <f t="shared" si="265"/>
        <v>0.65978132746969553</v>
      </c>
      <c r="AQ232" s="28">
        <f t="shared" si="265"/>
        <v>-0.53882644778474165</v>
      </c>
      <c r="AR232" s="28">
        <f t="shared" si="265"/>
        <v>1.1917315430386315</v>
      </c>
      <c r="AS232" s="28">
        <f t="shared" si="265"/>
        <v>1.2984474209798222</v>
      </c>
      <c r="AT232" s="28">
        <f t="shared" si="265"/>
        <v>1.0121972664466001</v>
      </c>
      <c r="AU232" s="546">
        <f t="shared" si="265"/>
        <v>0.11348835110010681</v>
      </c>
      <c r="AV232" s="310">
        <f t="shared" ca="1" si="265"/>
        <v>1.2245046004207425</v>
      </c>
      <c r="AW232" s="310">
        <f t="shared" ca="1" si="265"/>
        <v>1.3296930426187665</v>
      </c>
      <c r="AX232" s="310">
        <f t="shared" ca="1" si="265"/>
        <v>1.04949432252827</v>
      </c>
      <c r="AY232" s="310"/>
      <c r="AZ232" s="774">
        <f t="shared" ref="AZ232:BS232" si="266">AZ225/AZ237</f>
        <v>0.41548619442108725</v>
      </c>
      <c r="BA232" s="774">
        <f t="shared" si="266"/>
        <v>0.71160122905185785</v>
      </c>
      <c r="BB232" s="774">
        <f t="shared" si="266"/>
        <v>0.33956397571815772</v>
      </c>
      <c r="BC232" s="774">
        <f t="shared" si="266"/>
        <v>0.42051205725592677</v>
      </c>
      <c r="BD232" s="774">
        <f t="shared" si="266"/>
        <v>0.66959963575174108</v>
      </c>
      <c r="BE232" s="774">
        <f t="shared" si="266"/>
        <v>0.49961106807771627</v>
      </c>
      <c r="BF232" s="774">
        <f t="shared" si="266"/>
        <v>0.29203656835770014</v>
      </c>
      <c r="BG232" s="774">
        <f t="shared" si="266"/>
        <v>0.23255880996606887</v>
      </c>
      <c r="BH232" s="774">
        <f t="shared" si="266"/>
        <v>1.1417451546840948E-2</v>
      </c>
      <c r="BI232" s="774">
        <f t="shared" si="266"/>
        <v>0.67966371361559874</v>
      </c>
      <c r="BJ232" s="774">
        <f t="shared" si="266"/>
        <v>0.90876008675094122</v>
      </c>
      <c r="BK232" s="774">
        <f t="shared" si="266"/>
        <v>0.60265757579871448</v>
      </c>
      <c r="BL232" s="774">
        <f t="shared" si="266"/>
        <v>1.7065541749923199</v>
      </c>
      <c r="BM232" s="774">
        <f t="shared" si="266"/>
        <v>2.5241789149701583</v>
      </c>
      <c r="BN232" s="775">
        <f t="shared" si="266"/>
        <v>2.9691696154671745</v>
      </c>
      <c r="BO232" s="776">
        <f t="shared" ca="1" si="266"/>
        <v>3.7186034516815645</v>
      </c>
      <c r="BP232" s="776" t="e">
        <f t="shared" si="266"/>
        <v>#REF!</v>
      </c>
      <c r="BQ232" s="776" t="e">
        <f t="shared" si="266"/>
        <v>#REF!</v>
      </c>
      <c r="BR232" s="776" t="e">
        <f t="shared" si="266"/>
        <v>#REF!</v>
      </c>
      <c r="BS232" s="776" t="e">
        <f t="shared" ca="1" si="266"/>
        <v>#REF!</v>
      </c>
      <c r="BT232" s="28"/>
    </row>
    <row r="233" spans="1:72" s="101" customFormat="1" x14ac:dyDescent="0.35">
      <c r="A233" s="98" t="str">
        <f>CONCATENATE("Consensus Estimates - ",IFERROR(LEFT(A232,FIND("(",A232)-1),A232))</f>
        <v>Consensus Estimates - Adjusted Earnings Per Share - WAD</v>
      </c>
      <c r="B233" s="124"/>
      <c r="C233" s="99"/>
      <c r="D233" s="99"/>
      <c r="E233" s="99"/>
      <c r="F233" s="99"/>
      <c r="G233" s="99"/>
      <c r="H233" s="99"/>
      <c r="I233" s="99"/>
      <c r="J233" s="99"/>
      <c r="K233" s="99"/>
      <c r="L233" s="99"/>
      <c r="M233" s="99"/>
      <c r="N233" s="99"/>
      <c r="O233" s="99"/>
      <c r="P233" s="100"/>
      <c r="Q233" s="100"/>
      <c r="R233" s="99"/>
      <c r="S233" s="99"/>
      <c r="T233" s="99"/>
      <c r="U233" s="100"/>
      <c r="V233" s="99"/>
      <c r="W233" s="99"/>
      <c r="X233" s="99"/>
      <c r="Y233" s="100"/>
      <c r="Z233" s="99"/>
      <c r="AA233" s="99"/>
      <c r="AB233" s="99"/>
      <c r="AC233" s="100"/>
      <c r="AD233" s="99"/>
      <c r="AE233" s="99"/>
      <c r="AF233" s="99"/>
      <c r="AG233" s="100"/>
      <c r="AH233" s="99"/>
      <c r="AI233" s="99"/>
      <c r="AJ233" s="99"/>
      <c r="AK233" s="100"/>
      <c r="AL233" s="99"/>
      <c r="AM233" s="99"/>
      <c r="AN233" s="99"/>
      <c r="AO233" s="100"/>
      <c r="AP233" s="99"/>
      <c r="AQ233" s="99"/>
      <c r="AR233" s="99"/>
      <c r="AS233" s="100"/>
      <c r="AT233" s="99"/>
      <c r="AU233" s="497"/>
      <c r="AV233" s="99" t="str">
        <f t="shared" ref="AV233:AX233" ca="1" si="267">IFERROR(VLOOKUP($A233,tb_ConsensusEstimate,MATCH(AV$5,OFFSET(tb_ConsensusEstimate,0,0,1,COLUMNS(tb_ConsensusEstimate)),0),FALSE),"-")</f>
        <v>N/A</v>
      </c>
      <c r="AW233" s="99" t="str">
        <f t="shared" ca="1" si="267"/>
        <v>N/A</v>
      </c>
      <c r="AX233" s="99" t="str">
        <f t="shared" ca="1" si="267"/>
        <v>N/A</v>
      </c>
      <c r="AY233" s="99"/>
      <c r="AZ233" s="777"/>
      <c r="BA233" s="777"/>
      <c r="BB233" s="777"/>
      <c r="BC233" s="777"/>
      <c r="BD233" s="777"/>
      <c r="BE233" s="777"/>
      <c r="BF233" s="777"/>
      <c r="BG233" s="777"/>
      <c r="BH233" s="777"/>
      <c r="BI233" s="777"/>
      <c r="BJ233" s="777"/>
      <c r="BK233" s="777"/>
      <c r="BL233" s="777"/>
      <c r="BM233" s="777"/>
      <c r="BN233" s="778"/>
      <c r="BO233" s="779" t="str">
        <f ca="1">IFERROR(VLOOKUP($A233,tb_ConsensusEstimate,MATCH(BO$5,OFFSET(tb_ConsensusEstimate,0,0,1,COLUMNS(tb_ConsensusEstimate)),0),FALSE),"-")</f>
        <v>N/A</v>
      </c>
      <c r="BP233" s="779" t="str">
        <f ca="1">IFERROR(VLOOKUP($A233,tb_ConsensusEstimate,MATCH(BP$5,OFFSET(tb_ConsensusEstimate,0,0,1,COLUMNS(tb_ConsensusEstimate)),0),FALSE),"-")</f>
        <v>N/A</v>
      </c>
      <c r="BQ233" s="779" t="str">
        <f ca="1">IFERROR(VLOOKUP($A233,tb_ConsensusEstimate,MATCH(BQ$5,OFFSET(tb_ConsensusEstimate,0,0,1,COLUMNS(tb_ConsensusEstimate)),0),FALSE),"-")</f>
        <v>N/A</v>
      </c>
      <c r="BR233" s="779" t="str">
        <f ca="1">IFERROR(VLOOKUP($A233,tb_ConsensusEstimate,MATCH(BR$5,OFFSET(tb_ConsensusEstimate,0,0,1,COLUMNS(tb_ConsensusEstimate)),0),FALSE),"-")</f>
        <v>N/A</v>
      </c>
      <c r="BS233" s="779" t="str">
        <f ca="1">IFERROR(VLOOKUP($A233,tb_ConsensusEstimate,MATCH(BS$5,OFFSET(tb_ConsensusEstimate,0,0,1,COLUMNS(tb_ConsensusEstimate)),0),FALSE),"-")</f>
        <v>N/A</v>
      </c>
      <c r="BT233" s="99"/>
    </row>
    <row r="234" spans="1:72" s="17" customFormat="1" x14ac:dyDescent="0.35">
      <c r="A234" s="532"/>
      <c r="B234" s="308"/>
      <c r="C234" s="532"/>
      <c r="D234" s="532"/>
      <c r="E234" s="532"/>
      <c r="F234" s="532"/>
      <c r="G234" s="532"/>
      <c r="H234" s="532"/>
      <c r="I234" s="532"/>
      <c r="J234" s="532"/>
      <c r="K234" s="532"/>
      <c r="L234" s="532"/>
      <c r="M234" s="532"/>
      <c r="N234" s="532"/>
      <c r="O234" s="532"/>
      <c r="P234" s="532"/>
      <c r="Q234" s="532"/>
      <c r="R234" s="532"/>
      <c r="S234" s="532"/>
      <c r="T234" s="532"/>
      <c r="U234" s="532"/>
      <c r="V234" s="532"/>
      <c r="W234" s="532"/>
      <c r="X234" s="532"/>
      <c r="Y234" s="532"/>
      <c r="Z234" s="532"/>
      <c r="AA234" s="532"/>
      <c r="AB234" s="532"/>
      <c r="AC234" s="532"/>
      <c r="AD234" s="532"/>
      <c r="AE234" s="532"/>
      <c r="AF234" s="532"/>
      <c r="AG234" s="532"/>
      <c r="AH234" s="532"/>
      <c r="AI234" s="532"/>
      <c r="AJ234" s="532"/>
      <c r="AK234" s="532"/>
      <c r="AL234" s="532"/>
      <c r="AM234" s="532"/>
      <c r="AN234" s="532"/>
      <c r="AO234" s="532"/>
      <c r="AP234" s="532"/>
      <c r="AQ234" s="532"/>
      <c r="AR234" s="532"/>
      <c r="AS234" s="532"/>
      <c r="AT234" s="532"/>
      <c r="AU234" s="534"/>
      <c r="AV234" s="532"/>
      <c r="AW234" s="532"/>
      <c r="AX234" s="532"/>
      <c r="AY234" s="532"/>
      <c r="AZ234" s="156"/>
      <c r="BA234" s="156"/>
      <c r="BB234" s="156"/>
      <c r="BC234" s="156"/>
      <c r="BD234" s="156"/>
      <c r="BE234" s="156"/>
      <c r="BF234" s="156"/>
      <c r="BG234" s="156"/>
      <c r="BH234" s="156"/>
      <c r="BI234" s="156"/>
      <c r="BJ234" s="156"/>
      <c r="BK234" s="156"/>
      <c r="BL234" s="156"/>
      <c r="BM234" s="156"/>
      <c r="BN234" s="730"/>
      <c r="BO234" s="156"/>
      <c r="BP234" s="156"/>
      <c r="BQ234" s="156"/>
      <c r="BR234" s="156"/>
      <c r="BS234" s="156"/>
      <c r="BT234" s="533"/>
    </row>
    <row r="235" spans="1:72" s="17" customFormat="1" x14ac:dyDescent="0.35">
      <c r="A235" s="533" t="s">
        <v>88</v>
      </c>
      <c r="B235" s="308"/>
      <c r="C235" s="638">
        <v>36.029252</v>
      </c>
      <c r="D235" s="638">
        <v>36.118518999999999</v>
      </c>
      <c r="E235" s="638">
        <v>36.283352999999998</v>
      </c>
      <c r="F235" s="638">
        <v>36.642685</v>
      </c>
      <c r="G235" s="638">
        <v>37.868927999999997</v>
      </c>
      <c r="H235" s="638">
        <v>39.977227999999997</v>
      </c>
      <c r="I235" s="638">
        <v>39.596798</v>
      </c>
      <c r="J235" s="638">
        <v>38.540464</v>
      </c>
      <c r="K235" s="638">
        <v>37.695681</v>
      </c>
      <c r="L235" s="638">
        <v>37.09648</v>
      </c>
      <c r="M235" s="638">
        <v>37.211633999999997</v>
      </c>
      <c r="N235" s="638">
        <v>37.318085000000004</v>
      </c>
      <c r="O235" s="638">
        <v>37.433492999999999</v>
      </c>
      <c r="P235" s="638">
        <v>37.559998999999998</v>
      </c>
      <c r="Q235" s="638">
        <v>37.692825999999997</v>
      </c>
      <c r="R235" s="638">
        <v>37.168812000000003</v>
      </c>
      <c r="S235" s="638">
        <v>37.938704999999999</v>
      </c>
      <c r="T235" s="638">
        <v>38.104908999999999</v>
      </c>
      <c r="U235" s="638">
        <v>38.376984</v>
      </c>
      <c r="V235" s="638">
        <v>38.757311999999999</v>
      </c>
      <c r="W235" s="638">
        <v>39.108172000000003</v>
      </c>
      <c r="X235" s="638">
        <v>39.347244000000003</v>
      </c>
      <c r="Y235" s="638">
        <v>39.644074000000003</v>
      </c>
      <c r="Z235" s="638">
        <v>39.031207000000002</v>
      </c>
      <c r="AA235" s="638">
        <v>38.434049000000002</v>
      </c>
      <c r="AB235" s="638">
        <v>38.816668999999997</v>
      </c>
      <c r="AC235" s="638">
        <v>39.008989999999997</v>
      </c>
      <c r="AD235" s="638">
        <v>39.135413</v>
      </c>
      <c r="AE235" s="638">
        <v>39.288556999999997</v>
      </c>
      <c r="AF235" s="638">
        <v>39.450017000000003</v>
      </c>
      <c r="AG235" s="638">
        <v>39.539791000000001</v>
      </c>
      <c r="AH235" s="638">
        <v>39.637346999999998</v>
      </c>
      <c r="AI235" s="638">
        <v>39.985416999999998</v>
      </c>
      <c r="AJ235" s="638">
        <v>40.160361999999999</v>
      </c>
      <c r="AK235" s="638">
        <v>40.286109000000003</v>
      </c>
      <c r="AL235" s="638">
        <v>40.413235</v>
      </c>
      <c r="AM235" s="638">
        <v>40.559066000000001</v>
      </c>
      <c r="AN235" s="638">
        <v>41.525736000000002</v>
      </c>
      <c r="AO235" s="638">
        <v>41.823563999999998</v>
      </c>
      <c r="AP235" s="638">
        <v>41.896039000000002</v>
      </c>
      <c r="AQ235" s="638">
        <v>42.076627999999999</v>
      </c>
      <c r="AR235" s="638">
        <v>42.259061000000003</v>
      </c>
      <c r="AS235" s="638">
        <v>42.375480000000003</v>
      </c>
      <c r="AT235" s="638">
        <v>42.434396999999997</v>
      </c>
      <c r="AU235" s="643">
        <v>42.500011000000001</v>
      </c>
      <c r="AV235" s="532">
        <f ca="1">AVERAGE(AU240,AV240)</f>
        <v>43.346536999999998</v>
      </c>
      <c r="AW235" s="532">
        <f ca="1">AVERAGE(AV240,AW240)</f>
        <v>43.346536999999998</v>
      </c>
      <c r="AX235" s="532">
        <f ca="1">AVERAGE(AW240,AX240)</f>
        <v>43.346536999999998</v>
      </c>
      <c r="AY235" s="532"/>
      <c r="AZ235" s="729">
        <v>28.746188</v>
      </c>
      <c r="BA235" s="729">
        <v>29.791972999999999</v>
      </c>
      <c r="BB235" s="729">
        <v>31.577757999999999</v>
      </c>
      <c r="BC235" s="729">
        <v>35.802678</v>
      </c>
      <c r="BD235" s="729">
        <v>36.267344999999999</v>
      </c>
      <c r="BE235" s="729">
        <v>38.987470000000002</v>
      </c>
      <c r="BF235" s="729">
        <v>37.330568999999997</v>
      </c>
      <c r="BG235" s="729">
        <v>37.613782</v>
      </c>
      <c r="BH235" s="729">
        <v>38.298580999999999</v>
      </c>
      <c r="BI235" s="729">
        <v>39.282674</v>
      </c>
      <c r="BJ235" s="729">
        <v>38.848779999999998</v>
      </c>
      <c r="BK235" s="729">
        <v>39.478928000000003</v>
      </c>
      <c r="BL235" s="729">
        <v>40.211016000000001</v>
      </c>
      <c r="BM235" s="729">
        <v>41.451101000000001</v>
      </c>
      <c r="BN235" s="748">
        <v>42.286391999999999</v>
      </c>
      <c r="BO235" s="156">
        <f ca="1">SUM(AU235*AU3,AV235*AV3,AW235*AW3,AX235*AX3)/BO3</f>
        <v>43.133749043715852</v>
      </c>
      <c r="BP235" s="156" t="e">
        <f>SUM(#REF!*#REF!,#REF!*#REF!,#REF!*#REF!,#REF!*#REF!)/BP3</f>
        <v>#REF!</v>
      </c>
      <c r="BQ235" s="156" t="e">
        <f>AVERAGE(BP240,BQ240)</f>
        <v>#REF!</v>
      </c>
      <c r="BR235" s="156" t="e">
        <f ca="1">AVERAGE(BQ240,BR240)</f>
        <v>#REF!</v>
      </c>
      <c r="BS235" s="156" t="e">
        <f ca="1">AVERAGE(BR240,BS240)</f>
        <v>#REF!</v>
      </c>
      <c r="BT235" s="533"/>
    </row>
    <row r="236" spans="1:72" s="17" customFormat="1" x14ac:dyDescent="0.35">
      <c r="A236" s="533" t="s">
        <v>89</v>
      </c>
      <c r="B236" s="308"/>
      <c r="C236" s="638">
        <v>36.029252</v>
      </c>
      <c r="D236" s="638">
        <v>36.118518999999999</v>
      </c>
      <c r="E236" s="638">
        <v>36.283352999999998</v>
      </c>
      <c r="F236" s="638">
        <v>39.475382000000003</v>
      </c>
      <c r="G236" s="638">
        <v>37.868927999999997</v>
      </c>
      <c r="H236" s="638">
        <v>39.977227999999997</v>
      </c>
      <c r="I236" s="638">
        <v>39.596798</v>
      </c>
      <c r="J236" s="638">
        <v>38.742379</v>
      </c>
      <c r="K236" s="638">
        <v>37.695681</v>
      </c>
      <c r="L236" s="638">
        <v>37.160829</v>
      </c>
      <c r="M236" s="638">
        <v>37.408911000000003</v>
      </c>
      <c r="N236" s="638">
        <v>37.318085000000004</v>
      </c>
      <c r="O236" s="638">
        <v>37.433492999999999</v>
      </c>
      <c r="P236" s="638">
        <v>37.680878999999997</v>
      </c>
      <c r="Q236" s="638">
        <v>38.999870999999999</v>
      </c>
      <c r="R236" s="638">
        <v>37.168812000000003</v>
      </c>
      <c r="S236" s="638">
        <v>37.938704999999999</v>
      </c>
      <c r="T236" s="638">
        <v>39.007275999999997</v>
      </c>
      <c r="U236" s="638">
        <v>39.328127000000002</v>
      </c>
      <c r="V236" s="638">
        <v>38.757311999999999</v>
      </c>
      <c r="W236" s="638">
        <v>39.108172000000003</v>
      </c>
      <c r="X236" s="638">
        <v>40.685667000000002</v>
      </c>
      <c r="Y236" s="638">
        <v>40.766202999999997</v>
      </c>
      <c r="Z236" s="638">
        <v>39.976593000000001</v>
      </c>
      <c r="AA236" s="638">
        <v>38.434049000000002</v>
      </c>
      <c r="AB236" s="638">
        <v>40.32526</v>
      </c>
      <c r="AC236" s="638">
        <v>41.753323000000002</v>
      </c>
      <c r="AD236" s="638">
        <v>41.667000000000002</v>
      </c>
      <c r="AE236" s="638">
        <v>39.288556999999997</v>
      </c>
      <c r="AF236" s="638">
        <v>39.973933000000002</v>
      </c>
      <c r="AG236" s="638">
        <v>39.938898000000002</v>
      </c>
      <c r="AH236" s="638">
        <v>41.166794000000003</v>
      </c>
      <c r="AI236" s="638">
        <v>42.189672999999999</v>
      </c>
      <c r="AJ236" s="638">
        <v>41.102424999999997</v>
      </c>
      <c r="AK236" s="638">
        <v>41.690508999999999</v>
      </c>
      <c r="AL236" s="638">
        <v>42.251632999999998</v>
      </c>
      <c r="AM236" s="638">
        <v>40.559066000000001</v>
      </c>
      <c r="AN236" s="638">
        <v>41.963399000000003</v>
      </c>
      <c r="AO236" s="638">
        <v>42.136042000000003</v>
      </c>
      <c r="AP236" s="638">
        <v>42.574711999999998</v>
      </c>
      <c r="AQ236" s="638">
        <v>42.076627999999999</v>
      </c>
      <c r="AR236" s="638">
        <v>42.547333999999999</v>
      </c>
      <c r="AS236" s="638">
        <v>42.714089999999999</v>
      </c>
      <c r="AT236" s="638">
        <v>42.849355000000003</v>
      </c>
      <c r="AU236" s="643">
        <v>42.982385000000001</v>
      </c>
      <c r="AV236" s="532">
        <f ca="1">IF(AV222&lt;0,AV235,AVERAGE(AU254,AV254))</f>
        <v>43.804456684999998</v>
      </c>
      <c r="AW236" s="532">
        <f ca="1">IF(AW222&lt;0,AW235,AVERAGE(AV254,AW254))</f>
        <v>43.780002369999998</v>
      </c>
      <c r="AX236" s="532">
        <f ca="1">IF(AX222&lt;0,AX235,AVERAGE(AW254,AX254))</f>
        <v>43.780002369999998</v>
      </c>
      <c r="AY236" s="532"/>
      <c r="AZ236" s="729">
        <v>29.639973999999999</v>
      </c>
      <c r="BA236" s="729">
        <v>30.248683</v>
      </c>
      <c r="BB236" s="729">
        <v>32.114761000000001</v>
      </c>
      <c r="BC236" s="729">
        <v>38.740862999999997</v>
      </c>
      <c r="BD236" s="729">
        <v>39.017344999999999</v>
      </c>
      <c r="BE236" s="729">
        <v>39.230516000000001</v>
      </c>
      <c r="BF236" s="729">
        <v>37.625425</v>
      </c>
      <c r="BG236" s="729">
        <v>38.850388000000002</v>
      </c>
      <c r="BH236" s="729">
        <v>39.500934000000001</v>
      </c>
      <c r="BI236" s="729">
        <v>40.637743999999998</v>
      </c>
      <c r="BJ236" s="729">
        <v>40.944800000000001</v>
      </c>
      <c r="BK236" s="729">
        <v>40.663224</v>
      </c>
      <c r="BL236" s="729">
        <v>41.868580000000001</v>
      </c>
      <c r="BM236" s="729">
        <v>42.441524000000001</v>
      </c>
      <c r="BN236" s="748">
        <v>42.728107999999999</v>
      </c>
      <c r="BO236" s="156">
        <f ca="1">IF(BO222&lt;0,BO235,SUM(AVERAGE(BN254,AU254)*AU3,AVERAGE(AU254,AV254)*AV3,AVERAGE(AV254,AW254)*AW3,AVERAGE(AW254,AX254)*AX3)/BO3)</f>
        <v>43.746957514644805</v>
      </c>
      <c r="BP236" s="156" t="e">
        <f>IF(BP222&lt;0,BP235,SUM(AVERAGE(BO254,#REF!)*#REF!,AVERAGE(#REF!,#REF!)*#REF!,AVERAGE(#REF!,#REF!)*#REF!,AVERAGE(#REF!,#REF!)*#REF!)/BP3)</f>
        <v>#REF!</v>
      </c>
      <c r="BQ236" s="156" t="e">
        <f>IF(BQ222&lt;0,BQ235,AVERAGE(BP254,BQ254))</f>
        <v>#REF!</v>
      </c>
      <c r="BR236" s="156" t="e">
        <f>IF(BR222&lt;0,BR235,AVERAGE(BQ254,BR254))</f>
        <v>#REF!</v>
      </c>
      <c r="BS236" s="156" t="e">
        <f ca="1">IF(BS222&lt;0,BS235,AVERAGE(BR254,BS254))</f>
        <v>#REF!</v>
      </c>
      <c r="BT236" s="533"/>
    </row>
    <row r="237" spans="1:72" s="17" customFormat="1" x14ac:dyDescent="0.35">
      <c r="A237" s="533" t="s">
        <v>90</v>
      </c>
      <c r="B237" s="308"/>
      <c r="C237" s="638">
        <v>38.779252</v>
      </c>
      <c r="D237" s="638">
        <v>38.868518999999999</v>
      </c>
      <c r="E237" s="638">
        <v>39.033352999999998</v>
      </c>
      <c r="F237" s="638">
        <v>39.475382000000003</v>
      </c>
      <c r="G237" s="638">
        <v>37.868927999999997</v>
      </c>
      <c r="H237" s="638">
        <v>39.977227999999997</v>
      </c>
      <c r="I237" s="638">
        <v>39.596798</v>
      </c>
      <c r="J237" s="638">
        <v>38.742379</v>
      </c>
      <c r="K237" s="638">
        <v>37.695681</v>
      </c>
      <c r="L237" s="638">
        <v>37.160829</v>
      </c>
      <c r="M237" s="638">
        <v>37.408911000000003</v>
      </c>
      <c r="N237" s="638">
        <v>37.318085000000004</v>
      </c>
      <c r="O237" s="638">
        <v>37.433492999999999</v>
      </c>
      <c r="P237" s="638">
        <v>37.680878999999997</v>
      </c>
      <c r="Q237" s="638">
        <v>38.999870999999999</v>
      </c>
      <c r="R237" s="533">
        <f t="shared" ref="R237:AU237" si="268">R236</f>
        <v>37.168812000000003</v>
      </c>
      <c r="S237" s="533">
        <f t="shared" si="268"/>
        <v>37.938704999999999</v>
      </c>
      <c r="T237" s="533">
        <f t="shared" si="268"/>
        <v>39.007275999999997</v>
      </c>
      <c r="U237" s="533">
        <f t="shared" si="268"/>
        <v>39.328127000000002</v>
      </c>
      <c r="V237" s="533">
        <f t="shared" si="268"/>
        <v>38.757311999999999</v>
      </c>
      <c r="W237" s="533">
        <f t="shared" si="268"/>
        <v>39.108172000000003</v>
      </c>
      <c r="X237" s="533">
        <f t="shared" si="268"/>
        <v>40.685667000000002</v>
      </c>
      <c r="Y237" s="533">
        <f t="shared" si="268"/>
        <v>40.766202999999997</v>
      </c>
      <c r="Z237" s="533">
        <f t="shared" si="268"/>
        <v>39.976593000000001</v>
      </c>
      <c r="AA237" s="533">
        <f t="shared" si="268"/>
        <v>38.434049000000002</v>
      </c>
      <c r="AB237" s="533">
        <f t="shared" si="268"/>
        <v>40.32526</v>
      </c>
      <c r="AC237" s="533">
        <f t="shared" si="268"/>
        <v>41.753323000000002</v>
      </c>
      <c r="AD237" s="533">
        <f t="shared" si="268"/>
        <v>41.667000000000002</v>
      </c>
      <c r="AE237" s="533">
        <f t="shared" si="268"/>
        <v>39.288556999999997</v>
      </c>
      <c r="AF237" s="533">
        <f t="shared" si="268"/>
        <v>39.973933000000002</v>
      </c>
      <c r="AG237" s="533">
        <f t="shared" si="268"/>
        <v>39.938898000000002</v>
      </c>
      <c r="AH237" s="533">
        <f t="shared" si="268"/>
        <v>41.166794000000003</v>
      </c>
      <c r="AI237" s="533">
        <f t="shared" si="268"/>
        <v>42.189672999999999</v>
      </c>
      <c r="AJ237" s="533">
        <f t="shared" si="268"/>
        <v>41.102424999999997</v>
      </c>
      <c r="AK237" s="533">
        <f t="shared" si="268"/>
        <v>41.690508999999999</v>
      </c>
      <c r="AL237" s="533">
        <f t="shared" si="268"/>
        <v>42.251632999999998</v>
      </c>
      <c r="AM237" s="533">
        <f t="shared" si="268"/>
        <v>40.559066000000001</v>
      </c>
      <c r="AN237" s="533">
        <f t="shared" si="268"/>
        <v>41.963399000000003</v>
      </c>
      <c r="AO237" s="533">
        <f t="shared" si="268"/>
        <v>42.136042000000003</v>
      </c>
      <c r="AP237" s="533">
        <f t="shared" si="268"/>
        <v>42.574711999999998</v>
      </c>
      <c r="AQ237" s="533">
        <f t="shared" si="268"/>
        <v>42.076627999999999</v>
      </c>
      <c r="AR237" s="533">
        <f t="shared" si="268"/>
        <v>42.547333999999999</v>
      </c>
      <c r="AS237" s="533">
        <f t="shared" si="268"/>
        <v>42.714089999999999</v>
      </c>
      <c r="AT237" s="533">
        <f t="shared" si="268"/>
        <v>42.849355000000003</v>
      </c>
      <c r="AU237" s="576">
        <f t="shared" si="268"/>
        <v>42.982385000000001</v>
      </c>
      <c r="AV237" s="532">
        <f ca="1">IF(AV225&lt;0,AV235,AVERAGE(AU254,AV254))</f>
        <v>43.804456684999998</v>
      </c>
      <c r="AW237" s="532">
        <f ca="1">IF(AW225&lt;0,AW235,AVERAGE(AV254,AW254))</f>
        <v>43.780002369999998</v>
      </c>
      <c r="AX237" s="532">
        <f ca="1">IF(AX225&lt;0,AX235,AVERAGE(AW254,AX254))</f>
        <v>43.780002369999998</v>
      </c>
      <c r="AY237" s="532"/>
      <c r="AZ237" s="729">
        <v>29.639973999999999</v>
      </c>
      <c r="BA237" s="729">
        <v>30.248683</v>
      </c>
      <c r="BB237" s="729">
        <v>34.635593999999998</v>
      </c>
      <c r="BC237" s="729">
        <v>38.740862999999997</v>
      </c>
      <c r="BD237" s="729">
        <v>39.017344999999999</v>
      </c>
      <c r="BE237" s="729">
        <v>39.230516000000001</v>
      </c>
      <c r="BF237" s="729">
        <v>37.625425</v>
      </c>
      <c r="BG237" s="755">
        <f t="shared" ref="BG237:BN237" si="269">BG236</f>
        <v>38.850388000000002</v>
      </c>
      <c r="BH237" s="755">
        <f t="shared" si="269"/>
        <v>39.500934000000001</v>
      </c>
      <c r="BI237" s="755">
        <f t="shared" si="269"/>
        <v>40.637743999999998</v>
      </c>
      <c r="BJ237" s="755">
        <f t="shared" si="269"/>
        <v>40.944800000000001</v>
      </c>
      <c r="BK237" s="755">
        <f t="shared" si="269"/>
        <v>40.663224</v>
      </c>
      <c r="BL237" s="755">
        <f t="shared" si="269"/>
        <v>41.868580000000001</v>
      </c>
      <c r="BM237" s="755">
        <f t="shared" si="269"/>
        <v>42.441524000000001</v>
      </c>
      <c r="BN237" s="756">
        <f t="shared" si="269"/>
        <v>42.728107999999999</v>
      </c>
      <c r="BO237" s="156">
        <f ca="1">IF(BO225&lt;0,BO235,SUM(AVERAGE(BN254,AU254)*AU3,AVERAGE(AU254,AV254)*AV3,AVERAGE(AV254,AW254)*AW3,AVERAGE(AW254,AX254)*AX3)/BO3)</f>
        <v>43.746957514644805</v>
      </c>
      <c r="BP237" s="156" t="e">
        <f>IF(BP225&lt;0,BP235,SUM(AVERAGE(BO254,#REF!)*#REF!,AVERAGE(#REF!,#REF!)*#REF!,AVERAGE(#REF!,#REF!)*#REF!,AVERAGE(#REF!,#REF!)*#REF!)/BP3)</f>
        <v>#REF!</v>
      </c>
      <c r="BQ237" s="156" t="e">
        <f>IF(BQ225&lt;0,BQ235,AVERAGE(BP254,BQ254))</f>
        <v>#REF!</v>
      </c>
      <c r="BR237" s="156" t="e">
        <f>IF(BR225&lt;0,BR235,AVERAGE(BQ254,BR254))</f>
        <v>#REF!</v>
      </c>
      <c r="BS237" s="156" t="e">
        <f ca="1">IF(BS225&lt;0,BS235,AVERAGE(BR254,BS254))</f>
        <v>#REF!</v>
      </c>
      <c r="BT237" s="533"/>
    </row>
    <row r="238" spans="1:72" s="17" customFormat="1" x14ac:dyDescent="0.35">
      <c r="A238" s="358"/>
      <c r="B238" s="308"/>
      <c r="C238" s="532"/>
      <c r="D238" s="532"/>
      <c r="E238" s="532"/>
      <c r="F238" s="532"/>
      <c r="G238" s="532"/>
      <c r="H238" s="532"/>
      <c r="I238" s="532"/>
      <c r="J238" s="532"/>
      <c r="K238" s="532"/>
      <c r="L238" s="532"/>
      <c r="M238" s="532"/>
      <c r="N238" s="532"/>
      <c r="O238" s="532"/>
      <c r="P238" s="532"/>
      <c r="Q238" s="532"/>
      <c r="R238" s="532"/>
      <c r="S238" s="532"/>
      <c r="T238" s="532"/>
      <c r="U238" s="532"/>
      <c r="V238" s="532"/>
      <c r="W238" s="532"/>
      <c r="X238" s="532"/>
      <c r="Y238" s="532"/>
      <c r="Z238" s="532"/>
      <c r="AA238" s="532"/>
      <c r="AB238" s="532"/>
      <c r="AC238" s="532"/>
      <c r="AD238" s="532"/>
      <c r="AE238" s="532"/>
      <c r="AF238" s="532"/>
      <c r="AG238" s="532"/>
      <c r="AH238" s="532"/>
      <c r="AI238" s="532"/>
      <c r="AJ238" s="532"/>
      <c r="AK238" s="532"/>
      <c r="AL238" s="532"/>
      <c r="AM238" s="532"/>
      <c r="AN238" s="532"/>
      <c r="AO238" s="532"/>
      <c r="AP238" s="532"/>
      <c r="AQ238" s="532"/>
      <c r="AR238" s="532"/>
      <c r="AS238" s="532"/>
      <c r="AT238" s="532"/>
      <c r="AU238" s="534"/>
      <c r="AV238" s="532"/>
      <c r="AW238" s="532"/>
      <c r="AX238" s="532"/>
      <c r="AY238" s="532"/>
      <c r="AZ238" s="156"/>
      <c r="BA238" s="156"/>
      <c r="BB238" s="156"/>
      <c r="BC238" s="156"/>
      <c r="BD238" s="156"/>
      <c r="BE238" s="156"/>
      <c r="BF238" s="156"/>
      <c r="BG238" s="156"/>
      <c r="BH238" s="156"/>
      <c r="BI238" s="156"/>
      <c r="BJ238" s="156"/>
      <c r="BK238" s="156"/>
      <c r="BL238" s="156"/>
      <c r="BM238" s="156"/>
      <c r="BN238" s="730"/>
      <c r="BO238" s="156"/>
      <c r="BP238" s="156"/>
      <c r="BQ238" s="156"/>
      <c r="BR238" s="156"/>
      <c r="BS238" s="156"/>
      <c r="BT238" s="533"/>
    </row>
    <row r="239" spans="1:72" s="17" customFormat="1" x14ac:dyDescent="0.35">
      <c r="A239" s="428" t="s">
        <v>601</v>
      </c>
      <c r="B239" s="429"/>
      <c r="C239" s="315"/>
      <c r="D239" s="315"/>
      <c r="E239" s="315"/>
      <c r="F239" s="315"/>
      <c r="G239" s="315"/>
      <c r="H239" s="315"/>
      <c r="I239" s="315"/>
      <c r="J239" s="315"/>
      <c r="K239" s="315"/>
      <c r="L239" s="315"/>
      <c r="M239" s="315"/>
      <c r="N239" s="315"/>
      <c r="O239" s="315"/>
      <c r="P239" s="315"/>
      <c r="Q239" s="315"/>
      <c r="R239" s="315"/>
      <c r="S239" s="315"/>
      <c r="T239" s="315"/>
      <c r="U239" s="315"/>
      <c r="V239" s="315"/>
      <c r="W239" s="315"/>
      <c r="X239" s="315"/>
      <c r="Y239" s="315"/>
      <c r="Z239" s="315"/>
      <c r="AA239" s="315"/>
      <c r="AB239" s="315"/>
      <c r="AC239" s="315"/>
      <c r="AD239" s="315"/>
      <c r="AE239" s="315"/>
      <c r="AF239" s="315"/>
      <c r="AG239" s="315"/>
      <c r="AH239" s="315"/>
      <c r="AI239" s="315"/>
      <c r="AJ239" s="315"/>
      <c r="AK239" s="315"/>
      <c r="AL239" s="315"/>
      <c r="AM239" s="315"/>
      <c r="AN239" s="315"/>
      <c r="AO239" s="315"/>
      <c r="AP239" s="315"/>
      <c r="AQ239" s="315"/>
      <c r="AR239" s="315"/>
      <c r="AS239" s="315"/>
      <c r="AT239" s="315"/>
      <c r="AU239" s="466"/>
      <c r="AV239" s="315"/>
      <c r="AW239" s="315"/>
      <c r="AX239" s="315"/>
      <c r="AY239" s="315"/>
      <c r="AZ239" s="315"/>
      <c r="BA239" s="315"/>
      <c r="BB239" s="315"/>
      <c r="BC239" s="315"/>
      <c r="BD239" s="315"/>
      <c r="BE239" s="315"/>
      <c r="BF239" s="315"/>
      <c r="BG239" s="315"/>
      <c r="BH239" s="315"/>
      <c r="BI239" s="315"/>
      <c r="BJ239" s="315"/>
      <c r="BK239" s="315"/>
      <c r="BL239" s="315"/>
      <c r="BM239" s="315"/>
      <c r="BN239" s="466"/>
      <c r="BO239" s="315"/>
      <c r="BP239" s="315"/>
      <c r="BQ239" s="315"/>
      <c r="BR239" s="315"/>
      <c r="BS239" s="315"/>
      <c r="BT239" s="533"/>
    </row>
    <row r="240" spans="1:72" s="17" customFormat="1" ht="15" customHeight="1" outlineLevel="1" x14ac:dyDescent="0.35">
      <c r="A240" s="431" t="s">
        <v>604</v>
      </c>
      <c r="B240" s="308"/>
      <c r="C240" s="638">
        <f>36.844093+2.75</f>
        <v>39.594093000000001</v>
      </c>
      <c r="D240" s="638">
        <f>36.8728+2.75</f>
        <v>39.622799999999998</v>
      </c>
      <c r="E240" s="638">
        <f>37.164431+2.75</f>
        <v>39.914431</v>
      </c>
      <c r="F240" s="532">
        <f>BD240</f>
        <v>40.190662000000003</v>
      </c>
      <c r="G240" s="638">
        <v>41.143988</v>
      </c>
      <c r="H240" s="638">
        <v>40.826873999999997</v>
      </c>
      <c r="I240" s="638">
        <v>39.895938000000001</v>
      </c>
      <c r="J240" s="532">
        <f>BE240</f>
        <v>38.948866000000002</v>
      </c>
      <c r="K240" s="638">
        <v>38.309911</v>
      </c>
      <c r="L240" s="638">
        <v>38.338974999999998</v>
      </c>
      <c r="M240" s="638">
        <v>38.369731000000002</v>
      </c>
      <c r="N240" s="532">
        <f>BF240</f>
        <v>38.335296</v>
      </c>
      <c r="O240" s="638">
        <v>38.948515999999998</v>
      </c>
      <c r="P240" s="638">
        <v>38.921365000000002</v>
      </c>
      <c r="Q240" s="638">
        <v>39.090496999999999</v>
      </c>
      <c r="R240" s="532">
        <f>BG240</f>
        <v>39.681469999999997</v>
      </c>
      <c r="S240" s="638">
        <v>40.661385000000003</v>
      </c>
      <c r="T240" s="638">
        <v>40.674483000000002</v>
      </c>
      <c r="U240" s="638">
        <v>40.558677000000003</v>
      </c>
      <c r="V240" s="532">
        <f>BH240</f>
        <v>40.823174000000002</v>
      </c>
      <c r="W240" s="638">
        <v>41.334468000000001</v>
      </c>
      <c r="X240" s="638">
        <v>41.395831999999999</v>
      </c>
      <c r="Y240" s="638">
        <v>41.162199999999999</v>
      </c>
      <c r="Z240" s="532">
        <f>BI240</f>
        <v>39.567824000000002</v>
      </c>
      <c r="AA240" s="638">
        <v>40.238537000000001</v>
      </c>
      <c r="AB240" s="638">
        <v>40.215572999999999</v>
      </c>
      <c r="AC240" s="638">
        <v>40.207282999999997</v>
      </c>
      <c r="AD240" s="532">
        <f>BJ240</f>
        <v>40.240493000000001</v>
      </c>
      <c r="AE240" s="638">
        <v>40.955826999999999</v>
      </c>
      <c r="AF240" s="638">
        <v>40.947429999999997</v>
      </c>
      <c r="AG240" s="638">
        <v>40.939526999999998</v>
      </c>
      <c r="AH240" s="532">
        <f>BK240</f>
        <v>41.006883999999999</v>
      </c>
      <c r="AI240" s="638">
        <v>41.538232000000001</v>
      </c>
      <c r="AJ240" s="638">
        <v>41.559190999999998</v>
      </c>
      <c r="AK240" s="638">
        <v>41.543191</v>
      </c>
      <c r="AL240" s="532">
        <f>BL240</f>
        <v>41.576784000000004</v>
      </c>
      <c r="AM240" s="638">
        <v>41.776860999999997</v>
      </c>
      <c r="AN240" s="638">
        <v>42.749667000000002</v>
      </c>
      <c r="AO240" s="638">
        <v>42.768202000000002</v>
      </c>
      <c r="AP240" s="532">
        <f>BM240</f>
        <v>42.777920999999999</v>
      </c>
      <c r="AQ240" s="638">
        <v>43.051729000000002</v>
      </c>
      <c r="AR240" s="638">
        <v>43.096832999999997</v>
      </c>
      <c r="AS240" s="638">
        <v>43.041665000000002</v>
      </c>
      <c r="AT240" s="532">
        <f>BN240</f>
        <v>43.004305000000002</v>
      </c>
      <c r="AU240" s="643">
        <v>43.346536999999998</v>
      </c>
      <c r="AV240" s="532">
        <f ca="1">AU240*(1+AV241)+AV271/(AV272/AV317)</f>
        <v>43.346536999999998</v>
      </c>
      <c r="AW240" s="532">
        <f ca="1">AV240*(1+AW241)+AW271/(AW272/AW317)</f>
        <v>43.346536999999998</v>
      </c>
      <c r="AX240" s="532">
        <f ca="1">AW240*(1+AX241)+AX271/(AX272/AX317)</f>
        <v>43.346536999999998</v>
      </c>
      <c r="AY240" s="532"/>
      <c r="AZ240" s="729">
        <v>29.290486000000001</v>
      </c>
      <c r="BA240" s="729">
        <v>30.441412</v>
      </c>
      <c r="BB240" s="729">
        <f>35.927452+2.75</f>
        <v>38.677452000000002</v>
      </c>
      <c r="BC240" s="729">
        <f>36.436933+2.75</f>
        <v>39.186933000000003</v>
      </c>
      <c r="BD240" s="729">
        <f>37.440662+2.75</f>
        <v>40.190662000000003</v>
      </c>
      <c r="BE240" s="729">
        <v>38.948866000000002</v>
      </c>
      <c r="BF240" s="729">
        <v>38.335296</v>
      </c>
      <c r="BG240" s="729">
        <v>39.681469999999997</v>
      </c>
      <c r="BH240" s="729">
        <v>40.823174000000002</v>
      </c>
      <c r="BI240" s="729">
        <v>39.567824000000002</v>
      </c>
      <c r="BJ240" s="729">
        <v>40.240493000000001</v>
      </c>
      <c r="BK240" s="729">
        <v>41.006883999999999</v>
      </c>
      <c r="BL240" s="729">
        <v>41.576784000000004</v>
      </c>
      <c r="BM240" s="729">
        <v>42.777920999999999</v>
      </c>
      <c r="BN240" s="748">
        <v>43.004305000000002</v>
      </c>
      <c r="BO240" s="156">
        <f ca="1">AX240</f>
        <v>43.346536999999998</v>
      </c>
      <c r="BP240" s="156" t="e">
        <f>#REF!</f>
        <v>#REF!</v>
      </c>
      <c r="BQ240" s="156" t="e">
        <f ca="1">BP240*(1+BQ242)+BQ271/(BQ272/BQ317)</f>
        <v>#REF!</v>
      </c>
      <c r="BR240" s="156" t="e">
        <f ca="1">BQ240*(1+BR242)+BR271/(BR272/BR317)</f>
        <v>#REF!</v>
      </c>
      <c r="BS240" s="156" t="e">
        <f ca="1">BR240*(1+BS242)+BS271/(BS272/BS317)</f>
        <v>#REF!</v>
      </c>
      <c r="BT240" s="533"/>
    </row>
    <row r="241" spans="1:72" s="17" customFormat="1" ht="15" customHeight="1" outlineLevel="1" x14ac:dyDescent="0.35">
      <c r="A241" s="467" t="s">
        <v>638</v>
      </c>
      <c r="B241" s="542"/>
      <c r="C241" s="468"/>
      <c r="D241" s="468"/>
      <c r="E241" s="468"/>
      <c r="F241" s="468"/>
      <c r="G241" s="468"/>
      <c r="H241" s="468"/>
      <c r="I241" s="468"/>
      <c r="J241" s="468"/>
      <c r="K241" s="468"/>
      <c r="L241" s="468"/>
      <c r="M241" s="468"/>
      <c r="N241" s="468"/>
      <c r="O241" s="468"/>
      <c r="P241" s="468"/>
      <c r="Q241" s="468"/>
      <c r="R241" s="468"/>
      <c r="S241" s="468"/>
      <c r="T241" s="468"/>
      <c r="U241" s="468"/>
      <c r="V241" s="468"/>
      <c r="W241" s="468"/>
      <c r="X241" s="468"/>
      <c r="Y241" s="468"/>
      <c r="Z241" s="468"/>
      <c r="AA241" s="468"/>
      <c r="AB241" s="468"/>
      <c r="AC241" s="468"/>
      <c r="AD241" s="468"/>
      <c r="AE241" s="468"/>
      <c r="AF241" s="468"/>
      <c r="AG241" s="468"/>
      <c r="AH241" s="468"/>
      <c r="AI241" s="468"/>
      <c r="AJ241" s="468"/>
      <c r="AK241" s="468"/>
      <c r="AL241" s="468"/>
      <c r="AM241" s="468"/>
      <c r="AN241" s="468"/>
      <c r="AO241" s="468"/>
      <c r="AP241" s="468"/>
      <c r="AQ241" s="468"/>
      <c r="AR241" s="468"/>
      <c r="AS241" s="468"/>
      <c r="AT241" s="468"/>
      <c r="AU241" s="495"/>
      <c r="AV241" s="645">
        <v>0</v>
      </c>
      <c r="AW241" s="645">
        <v>0</v>
      </c>
      <c r="AX241" s="645">
        <v>0</v>
      </c>
      <c r="AY241" s="469"/>
      <c r="AZ241" s="744"/>
      <c r="BA241" s="744"/>
      <c r="BB241" s="744"/>
      <c r="BC241" s="744"/>
      <c r="BD241" s="744"/>
      <c r="BE241" s="744"/>
      <c r="BF241" s="744"/>
      <c r="BG241" s="744"/>
      <c r="BH241" s="744"/>
      <c r="BI241" s="744"/>
      <c r="BJ241" s="744"/>
      <c r="BK241" s="744"/>
      <c r="BL241" s="744"/>
      <c r="BM241" s="744"/>
      <c r="BN241" s="745"/>
      <c r="BO241" s="744"/>
      <c r="BP241" s="744"/>
      <c r="BQ241" s="744"/>
      <c r="BR241" s="744"/>
      <c r="BS241" s="744"/>
      <c r="BT241" s="533"/>
    </row>
    <row r="242" spans="1:72" s="17" customFormat="1" ht="15" customHeight="1" outlineLevel="1" x14ac:dyDescent="0.35">
      <c r="A242" s="467" t="s">
        <v>639</v>
      </c>
      <c r="B242" s="542"/>
      <c r="C242" s="468"/>
      <c r="D242" s="468"/>
      <c r="E242" s="468"/>
      <c r="F242" s="468"/>
      <c r="G242" s="468"/>
      <c r="H242" s="468"/>
      <c r="I242" s="468"/>
      <c r="J242" s="468"/>
      <c r="K242" s="468"/>
      <c r="L242" s="468"/>
      <c r="M242" s="468"/>
      <c r="N242" s="468"/>
      <c r="O242" s="468"/>
      <c r="P242" s="468"/>
      <c r="Q242" s="468"/>
      <c r="R242" s="468"/>
      <c r="S242" s="468"/>
      <c r="T242" s="468"/>
      <c r="U242" s="468"/>
      <c r="V242" s="468"/>
      <c r="W242" s="468"/>
      <c r="X242" s="468"/>
      <c r="Y242" s="468"/>
      <c r="Z242" s="468"/>
      <c r="AA242" s="468"/>
      <c r="AB242" s="468"/>
      <c r="AC242" s="468"/>
      <c r="AD242" s="468"/>
      <c r="AE242" s="468"/>
      <c r="AF242" s="468"/>
      <c r="AG242" s="468"/>
      <c r="AH242" s="468"/>
      <c r="AI242" s="468"/>
      <c r="AJ242" s="468"/>
      <c r="AK242" s="468"/>
      <c r="AL242" s="468"/>
      <c r="AM242" s="468"/>
      <c r="AN242" s="468"/>
      <c r="AO242" s="468"/>
      <c r="AP242" s="468"/>
      <c r="AQ242" s="468"/>
      <c r="AR242" s="468"/>
      <c r="AS242" s="468"/>
      <c r="AT242" s="468"/>
      <c r="AU242" s="495"/>
      <c r="AV242" s="468"/>
      <c r="AW242" s="468"/>
      <c r="AX242" s="468"/>
      <c r="AY242" s="468"/>
      <c r="AZ242" s="744"/>
      <c r="BA242" s="744"/>
      <c r="BB242" s="744"/>
      <c r="BC242" s="744"/>
      <c r="BD242" s="744"/>
      <c r="BE242" s="744"/>
      <c r="BF242" s="744"/>
      <c r="BG242" s="744"/>
      <c r="BH242" s="744"/>
      <c r="BI242" s="744"/>
      <c r="BJ242" s="744"/>
      <c r="BK242" s="744"/>
      <c r="BL242" s="744"/>
      <c r="BM242" s="744"/>
      <c r="BN242" s="745"/>
      <c r="BO242" s="744"/>
      <c r="BP242" s="744"/>
      <c r="BQ242" s="780">
        <v>0</v>
      </c>
      <c r="BR242" s="780">
        <v>0</v>
      </c>
      <c r="BS242" s="780">
        <v>0</v>
      </c>
      <c r="BT242" s="533"/>
    </row>
    <row r="243" spans="1:72" s="17" customFormat="1" ht="15" hidden="1" customHeight="1" outlineLevel="2" x14ac:dyDescent="0.35">
      <c r="A243" s="467" t="s">
        <v>640</v>
      </c>
      <c r="B243" s="542"/>
      <c r="C243" s="468"/>
      <c r="D243" s="468"/>
      <c r="E243" s="468"/>
      <c r="F243" s="468"/>
      <c r="G243" s="468"/>
      <c r="H243" s="468"/>
      <c r="I243" s="468"/>
      <c r="J243" s="468"/>
      <c r="K243" s="468"/>
      <c r="L243" s="468"/>
      <c r="M243" s="468"/>
      <c r="N243" s="468"/>
      <c r="O243" s="468"/>
      <c r="P243" s="468"/>
      <c r="Q243" s="468"/>
      <c r="R243" s="468"/>
      <c r="S243" s="468"/>
      <c r="T243" s="468"/>
      <c r="U243" s="468"/>
      <c r="V243" s="468"/>
      <c r="W243" s="468"/>
      <c r="X243" s="468"/>
      <c r="Y243" s="468"/>
      <c r="Z243" s="468"/>
      <c r="AA243" s="468"/>
      <c r="AB243" s="468"/>
      <c r="AC243" s="468"/>
      <c r="AD243" s="468"/>
      <c r="AE243" s="468"/>
      <c r="AF243" s="468"/>
      <c r="AG243" s="468"/>
      <c r="AH243" s="468"/>
      <c r="AI243" s="468"/>
      <c r="AJ243" s="468"/>
      <c r="AK243" s="468"/>
      <c r="AL243" s="468"/>
      <c r="AM243" s="468"/>
      <c r="AN243" s="468"/>
      <c r="AO243" s="468"/>
      <c r="AP243" s="468"/>
      <c r="AQ243" s="468"/>
      <c r="AR243" s="468"/>
      <c r="AS243" s="468"/>
      <c r="AT243" s="468"/>
      <c r="AU243" s="495"/>
      <c r="AV243" s="468">
        <f t="shared" ref="AV243:AX243" ca="1" si="270">AV271/(AV272/AV317)/AU240</f>
        <v>0</v>
      </c>
      <c r="AW243" s="468">
        <f t="shared" ca="1" si="270"/>
        <v>0</v>
      </c>
      <c r="AX243" s="468">
        <f t="shared" ca="1" si="270"/>
        <v>0</v>
      </c>
      <c r="AY243" s="468"/>
      <c r="AZ243" s="744"/>
      <c r="BA243" s="744"/>
      <c r="BB243" s="744"/>
      <c r="BC243" s="744"/>
      <c r="BD243" s="744"/>
      <c r="BE243" s="744"/>
      <c r="BF243" s="744"/>
      <c r="BG243" s="744"/>
      <c r="BH243" s="744"/>
      <c r="BI243" s="744"/>
      <c r="BJ243" s="744"/>
      <c r="BK243" s="744"/>
      <c r="BL243" s="744"/>
      <c r="BM243" s="744"/>
      <c r="BN243" s="745"/>
      <c r="BO243" s="744"/>
      <c r="BP243" s="744"/>
      <c r="BQ243" s="744"/>
      <c r="BR243" s="744"/>
      <c r="BS243" s="744"/>
      <c r="BT243" s="533"/>
    </row>
    <row r="244" spans="1:72" s="17" customFormat="1" ht="15" hidden="1" customHeight="1" outlineLevel="2" x14ac:dyDescent="0.35">
      <c r="A244" s="470" t="s">
        <v>641</v>
      </c>
      <c r="B244" s="471"/>
      <c r="C244" s="472"/>
      <c r="D244" s="472"/>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c r="AC244" s="472"/>
      <c r="AD244" s="472"/>
      <c r="AE244" s="472"/>
      <c r="AF244" s="472"/>
      <c r="AG244" s="472"/>
      <c r="AH244" s="472"/>
      <c r="AI244" s="472"/>
      <c r="AJ244" s="472"/>
      <c r="AK244" s="472"/>
      <c r="AL244" s="472"/>
      <c r="AM244" s="472"/>
      <c r="AN244" s="472"/>
      <c r="AO244" s="472"/>
      <c r="AP244" s="472"/>
      <c r="AQ244" s="472"/>
      <c r="AR244" s="472"/>
      <c r="AS244" s="472"/>
      <c r="AT244" s="472"/>
      <c r="AU244" s="498"/>
      <c r="AV244" s="472"/>
      <c r="AW244" s="472"/>
      <c r="AX244" s="472"/>
      <c r="AY244" s="472"/>
      <c r="AZ244" s="781"/>
      <c r="BA244" s="781"/>
      <c r="BB244" s="781"/>
      <c r="BC244" s="781"/>
      <c r="BD244" s="781"/>
      <c r="BE244" s="781"/>
      <c r="BF244" s="781"/>
      <c r="BG244" s="781"/>
      <c r="BH244" s="781"/>
      <c r="BI244" s="781"/>
      <c r="BJ244" s="781"/>
      <c r="BK244" s="781"/>
      <c r="BL244" s="781"/>
      <c r="BM244" s="781"/>
      <c r="BN244" s="782"/>
      <c r="BO244" s="781"/>
      <c r="BP244" s="781"/>
      <c r="BQ244" s="781" t="e">
        <f ca="1">BQ271/(BQ272/BQ317)/BP240</f>
        <v>#REF!</v>
      </c>
      <c r="BR244" s="781" t="e">
        <f ca="1">BR271/(BR272/BR317)/BQ240</f>
        <v>#REF!</v>
      </c>
      <c r="BS244" s="781" t="e">
        <f ca="1">BS271/(BS272/BS317)/BR240</f>
        <v>#REF!</v>
      </c>
      <c r="BT244" s="533"/>
    </row>
    <row r="245" spans="1:72" s="17" customFormat="1" ht="15" customHeight="1" outlineLevel="1" collapsed="1" x14ac:dyDescent="0.35">
      <c r="A245" s="473" t="s">
        <v>642</v>
      </c>
      <c r="B245" s="542"/>
      <c r="C245" s="468"/>
      <c r="D245" s="468">
        <f t="shared" ref="D245:AI245" si="271">D240/C240-1</f>
        <v>7.250323930894087E-4</v>
      </c>
      <c r="E245" s="468">
        <f t="shared" si="271"/>
        <v>7.3601815116550728E-3</v>
      </c>
      <c r="F245" s="468">
        <f t="shared" si="271"/>
        <v>6.9205796770597239E-3</v>
      </c>
      <c r="G245" s="468">
        <f t="shared" si="271"/>
        <v>2.3720087019218461E-2</v>
      </c>
      <c r="H245" s="468">
        <f t="shared" si="271"/>
        <v>-7.7074200974394103E-3</v>
      </c>
      <c r="I245" s="468">
        <f t="shared" si="271"/>
        <v>-2.2802039656526163E-2</v>
      </c>
      <c r="J245" s="468">
        <f t="shared" si="271"/>
        <v>-2.373855704307537E-2</v>
      </c>
      <c r="K245" s="468">
        <f t="shared" si="271"/>
        <v>-1.6404970558064558E-2</v>
      </c>
      <c r="L245" s="468">
        <f t="shared" si="271"/>
        <v>7.5865485565862478E-4</v>
      </c>
      <c r="M245" s="468">
        <f t="shared" si="271"/>
        <v>8.0221237004907131E-4</v>
      </c>
      <c r="N245" s="468">
        <f t="shared" si="271"/>
        <v>-8.9745221304793343E-4</v>
      </c>
      <c r="O245" s="468">
        <f t="shared" si="271"/>
        <v>1.5996224471567899E-2</v>
      </c>
      <c r="P245" s="468">
        <f t="shared" si="271"/>
        <v>-6.9709973032083816E-4</v>
      </c>
      <c r="Q245" s="468">
        <f t="shared" si="271"/>
        <v>4.3454796613633384E-3</v>
      </c>
      <c r="R245" s="468">
        <f t="shared" si="271"/>
        <v>1.5118073326107817E-2</v>
      </c>
      <c r="S245" s="468">
        <f t="shared" si="271"/>
        <v>2.4694523665580004E-2</v>
      </c>
      <c r="T245" s="468">
        <f t="shared" si="271"/>
        <v>3.2212380370211235E-4</v>
      </c>
      <c r="U245" s="468">
        <f t="shared" si="271"/>
        <v>-2.8471412900318294E-3</v>
      </c>
      <c r="V245" s="468">
        <f t="shared" si="271"/>
        <v>6.5213419066898481E-3</v>
      </c>
      <c r="W245" s="468">
        <f t="shared" si="271"/>
        <v>1.2524601835222304E-2</v>
      </c>
      <c r="X245" s="468">
        <f t="shared" si="271"/>
        <v>1.4845721493257358E-3</v>
      </c>
      <c r="Y245" s="468">
        <f t="shared" si="271"/>
        <v>-5.6438532265760122E-3</v>
      </c>
      <c r="Z245" s="468">
        <f t="shared" si="271"/>
        <v>-3.8733984092200968E-2</v>
      </c>
      <c r="AA245" s="468">
        <f t="shared" si="271"/>
        <v>1.6950970060926274E-2</v>
      </c>
      <c r="AB245" s="468">
        <f t="shared" si="271"/>
        <v>-5.706966930731916E-4</v>
      </c>
      <c r="AC245" s="468">
        <f t="shared" si="271"/>
        <v>-2.0613904966626517E-4</v>
      </c>
      <c r="AD245" s="468">
        <f t="shared" si="271"/>
        <v>8.2596976274174061E-4</v>
      </c>
      <c r="AE245" s="468">
        <f t="shared" si="271"/>
        <v>1.7776472072546401E-2</v>
      </c>
      <c r="AF245" s="468">
        <f t="shared" si="271"/>
        <v>-2.0502577081404905E-4</v>
      </c>
      <c r="AG245" s="468">
        <f t="shared" si="271"/>
        <v>-1.9300356579154965E-4</v>
      </c>
      <c r="AH245" s="468">
        <f t="shared" si="271"/>
        <v>1.645280366820101E-3</v>
      </c>
      <c r="AI245" s="468">
        <f t="shared" si="271"/>
        <v>1.295753171589431E-2</v>
      </c>
      <c r="AJ245" s="468">
        <f t="shared" ref="AJ245:AX245" si="272">AJ240/AI240-1</f>
        <v>5.0457130674219641E-4</v>
      </c>
      <c r="AK245" s="468">
        <f t="shared" si="272"/>
        <v>-3.8499305725170352E-4</v>
      </c>
      <c r="AL245" s="468">
        <f t="shared" si="272"/>
        <v>8.0862830204853076E-4</v>
      </c>
      <c r="AM245" s="468">
        <f t="shared" si="272"/>
        <v>4.8122288631076149E-3</v>
      </c>
      <c r="AN245" s="468">
        <f t="shared" si="272"/>
        <v>2.3285760986207382E-2</v>
      </c>
      <c r="AO245" s="468">
        <f t="shared" si="272"/>
        <v>4.3357062874904706E-4</v>
      </c>
      <c r="AP245" s="468">
        <f t="shared" si="272"/>
        <v>2.2724827197539987E-4</v>
      </c>
      <c r="AQ245" s="468">
        <f t="shared" si="272"/>
        <v>6.4006850636804113E-3</v>
      </c>
      <c r="AR245" s="468">
        <f t="shared" si="272"/>
        <v>1.0476698856856093E-3</v>
      </c>
      <c r="AS245" s="468">
        <f t="shared" si="272"/>
        <v>-1.2800940616679579E-3</v>
      </c>
      <c r="AT245" s="468">
        <f t="shared" si="272"/>
        <v>-8.6799616139388025E-4</v>
      </c>
      <c r="AU245" s="495">
        <f t="shared" si="272"/>
        <v>7.9580869868725035E-3</v>
      </c>
      <c r="AV245" s="468">
        <f t="shared" ca="1" si="272"/>
        <v>0</v>
      </c>
      <c r="AW245" s="468">
        <f t="shared" ca="1" si="272"/>
        <v>0</v>
      </c>
      <c r="AX245" s="468">
        <f t="shared" ca="1" si="272"/>
        <v>0</v>
      </c>
      <c r="AY245" s="468"/>
      <c r="AZ245" s="744"/>
      <c r="BA245" s="744"/>
      <c r="BB245" s="744"/>
      <c r="BC245" s="744"/>
      <c r="BD245" s="744"/>
      <c r="BE245" s="744"/>
      <c r="BF245" s="744"/>
      <c r="BG245" s="744"/>
      <c r="BH245" s="744"/>
      <c r="BI245" s="744"/>
      <c r="BJ245" s="744"/>
      <c r="BK245" s="744"/>
      <c r="BL245" s="744"/>
      <c r="BM245" s="744"/>
      <c r="BN245" s="745"/>
      <c r="BO245" s="744"/>
      <c r="BP245" s="744"/>
      <c r="BQ245" s="744"/>
      <c r="BR245" s="744"/>
      <c r="BS245" s="744"/>
      <c r="BT245" s="533"/>
    </row>
    <row r="246" spans="1:72" s="17" customFormat="1" ht="15" customHeight="1" outlineLevel="1" x14ac:dyDescent="0.35">
      <c r="A246" s="473" t="s">
        <v>643</v>
      </c>
      <c r="B246" s="542"/>
      <c r="C246" s="468"/>
      <c r="D246" s="468"/>
      <c r="E246" s="468"/>
      <c r="F246" s="468"/>
      <c r="G246" s="468">
        <f t="shared" ref="G246:AX246" si="273">G240/C240-1</f>
        <v>3.9144601696015524E-2</v>
      </c>
      <c r="H246" s="468">
        <f t="shared" si="273"/>
        <v>3.0388412732063275E-2</v>
      </c>
      <c r="I246" s="468">
        <f t="shared" si="273"/>
        <v>-4.6331613746419809E-4</v>
      </c>
      <c r="J246" s="468">
        <f t="shared" si="273"/>
        <v>-3.0897624925909417E-2</v>
      </c>
      <c r="K246" s="468">
        <f t="shared" si="273"/>
        <v>-6.8881922676041984E-2</v>
      </c>
      <c r="L246" s="468">
        <f t="shared" si="273"/>
        <v>-6.0937778385873997E-2</v>
      </c>
      <c r="M246" s="468">
        <f t="shared" si="273"/>
        <v>-3.8254696505694352E-2</v>
      </c>
      <c r="N246" s="468">
        <f t="shared" si="273"/>
        <v>-1.5753218591781359E-2</v>
      </c>
      <c r="O246" s="468">
        <f t="shared" si="273"/>
        <v>1.6669446191091453E-2</v>
      </c>
      <c r="P246" s="468">
        <f t="shared" si="273"/>
        <v>1.5190546956458828E-2</v>
      </c>
      <c r="Q246" s="468">
        <f t="shared" si="273"/>
        <v>1.8784755097709604E-2</v>
      </c>
      <c r="R246" s="468">
        <f t="shared" si="273"/>
        <v>3.5115784680519901E-2</v>
      </c>
      <c r="S246" s="468">
        <f t="shared" si="273"/>
        <v>4.3977773119777019E-2</v>
      </c>
      <c r="T246" s="468">
        <f t="shared" si="273"/>
        <v>4.5042562099248062E-2</v>
      </c>
      <c r="U246" s="468">
        <f t="shared" si="273"/>
        <v>3.7558488959605896E-2</v>
      </c>
      <c r="V246" s="468">
        <f t="shared" si="273"/>
        <v>2.8771716370386669E-2</v>
      </c>
      <c r="W246" s="468">
        <f t="shared" si="273"/>
        <v>1.6553371214482748E-2</v>
      </c>
      <c r="X246" s="468">
        <f t="shared" si="273"/>
        <v>1.773468147093582E-2</v>
      </c>
      <c r="Y246" s="468">
        <f t="shared" si="273"/>
        <v>1.4880243751540512E-2</v>
      </c>
      <c r="Z246" s="468">
        <f t="shared" si="273"/>
        <v>-3.0750916134056561E-2</v>
      </c>
      <c r="AA246" s="468">
        <f t="shared" si="273"/>
        <v>-2.6513731832716436E-2</v>
      </c>
      <c r="AB246" s="468">
        <f t="shared" si="273"/>
        <v>-2.8511541934946538E-2</v>
      </c>
      <c r="AC246" s="468">
        <f t="shared" si="273"/>
        <v>-2.3198881498073476E-2</v>
      </c>
      <c r="AD246" s="468">
        <f t="shared" si="273"/>
        <v>1.7000404166779504E-2</v>
      </c>
      <c r="AE246" s="468">
        <f t="shared" si="273"/>
        <v>1.7825946306149199E-2</v>
      </c>
      <c r="AF246" s="468">
        <f t="shared" si="273"/>
        <v>1.8198348187156155E-2</v>
      </c>
      <c r="AG246" s="468">
        <f t="shared" si="273"/>
        <v>1.8211725472720985E-2</v>
      </c>
      <c r="AH246" s="468">
        <f t="shared" si="273"/>
        <v>1.9045268655133007E-2</v>
      </c>
      <c r="AI246" s="468">
        <f t="shared" si="273"/>
        <v>1.4220320834932743E-2</v>
      </c>
      <c r="AJ246" s="468">
        <f t="shared" si="273"/>
        <v>1.4940156195395016E-2</v>
      </c>
      <c r="AK246" s="468">
        <f t="shared" si="273"/>
        <v>1.4745260735425703E-2</v>
      </c>
      <c r="AL246" s="468">
        <f t="shared" si="273"/>
        <v>1.3897666547890042E-2</v>
      </c>
      <c r="AM246" s="468">
        <f t="shared" si="273"/>
        <v>5.7448039675833673E-3</v>
      </c>
      <c r="AN246" s="468">
        <f t="shared" si="273"/>
        <v>2.8645312176553306E-2</v>
      </c>
      <c r="AO246" s="468">
        <f t="shared" si="273"/>
        <v>2.9487648168384561E-2</v>
      </c>
      <c r="AP246" s="468">
        <f t="shared" si="273"/>
        <v>2.8889608200576511E-2</v>
      </c>
      <c r="AQ246" s="468">
        <f t="shared" si="273"/>
        <v>3.0516127097246715E-2</v>
      </c>
      <c r="AR246" s="468">
        <f t="shared" si="273"/>
        <v>8.1209053628417127E-3</v>
      </c>
      <c r="AS246" s="468">
        <f t="shared" si="273"/>
        <v>6.3940728675009328E-3</v>
      </c>
      <c r="AT246" s="468">
        <f t="shared" si="273"/>
        <v>5.2920757883490044E-3</v>
      </c>
      <c r="AU246" s="495">
        <f t="shared" si="273"/>
        <v>6.8477621421429991E-3</v>
      </c>
      <c r="AV246" s="468">
        <f t="shared" ca="1" si="273"/>
        <v>5.7940220340553239E-3</v>
      </c>
      <c r="AW246" s="468">
        <f t="shared" ca="1" si="273"/>
        <v>7.0831832365219061E-3</v>
      </c>
      <c r="AX246" s="468">
        <f t="shared" ca="1" si="273"/>
        <v>7.9580869868725035E-3</v>
      </c>
      <c r="AY246" s="468"/>
      <c r="AZ246" s="744"/>
      <c r="BA246" s="744">
        <f t="shared" ref="BA246:BS246" si="274">BA240/AZ240-1</f>
        <v>3.9293509844800845E-2</v>
      </c>
      <c r="BB246" s="744">
        <f t="shared" si="274"/>
        <v>0.27055381005322632</v>
      </c>
      <c r="BC246" s="744">
        <f t="shared" si="274"/>
        <v>1.3172558523244948E-2</v>
      </c>
      <c r="BD246" s="744">
        <f t="shared" si="274"/>
        <v>2.5613869807060485E-2</v>
      </c>
      <c r="BE246" s="744">
        <f t="shared" si="274"/>
        <v>-3.0897624925909417E-2</v>
      </c>
      <c r="BF246" s="744">
        <f t="shared" si="274"/>
        <v>-1.5753218591781359E-2</v>
      </c>
      <c r="BG246" s="744">
        <f t="shared" si="274"/>
        <v>3.5115784680519901E-2</v>
      </c>
      <c r="BH246" s="744">
        <f t="shared" si="274"/>
        <v>2.8771716370386669E-2</v>
      </c>
      <c r="BI246" s="744">
        <f t="shared" si="274"/>
        <v>-3.0750916134056561E-2</v>
      </c>
      <c r="BJ246" s="744">
        <f t="shared" si="274"/>
        <v>1.7000404166779504E-2</v>
      </c>
      <c r="BK246" s="744">
        <f t="shared" si="274"/>
        <v>1.9045268655133007E-2</v>
      </c>
      <c r="BL246" s="744">
        <f t="shared" si="274"/>
        <v>1.3897666547890042E-2</v>
      </c>
      <c r="BM246" s="744">
        <f t="shared" si="274"/>
        <v>2.8889608200576511E-2</v>
      </c>
      <c r="BN246" s="745">
        <f t="shared" si="274"/>
        <v>5.2920757883490044E-3</v>
      </c>
      <c r="BO246" s="744">
        <f t="shared" ca="1" si="274"/>
        <v>7.9580869868725035E-3</v>
      </c>
      <c r="BP246" s="744" t="e">
        <f t="shared" ca="1" si="274"/>
        <v>#REF!</v>
      </c>
      <c r="BQ246" s="744" t="e">
        <f t="shared" ca="1" si="274"/>
        <v>#REF!</v>
      </c>
      <c r="BR246" s="744" t="e">
        <f t="shared" ca="1" si="274"/>
        <v>#REF!</v>
      </c>
      <c r="BS246" s="744" t="e">
        <f t="shared" ca="1" si="274"/>
        <v>#REF!</v>
      </c>
      <c r="BT246" s="533"/>
    </row>
    <row r="247" spans="1:72" s="17" customFormat="1" ht="15" customHeight="1" outlineLevel="1" x14ac:dyDescent="0.35">
      <c r="A247" s="431"/>
      <c r="B247" s="308"/>
      <c r="C247" s="532"/>
      <c r="D247" s="532"/>
      <c r="E247" s="532"/>
      <c r="F247" s="532"/>
      <c r="G247" s="532"/>
      <c r="H247" s="532"/>
      <c r="I247" s="532"/>
      <c r="J247" s="532"/>
      <c r="K247" s="532"/>
      <c r="L247" s="532"/>
      <c r="M247" s="532"/>
      <c r="N247" s="532"/>
      <c r="O247" s="532"/>
      <c r="P247" s="532"/>
      <c r="Q247" s="532"/>
      <c r="R247" s="532"/>
      <c r="S247" s="532"/>
      <c r="T247" s="532"/>
      <c r="U247" s="532"/>
      <c r="V247" s="532"/>
      <c r="W247" s="532"/>
      <c r="X247" s="532"/>
      <c r="Y247" s="532"/>
      <c r="Z247" s="532"/>
      <c r="AA247" s="532"/>
      <c r="AB247" s="532"/>
      <c r="AC247" s="532"/>
      <c r="AD247" s="532"/>
      <c r="AE247" s="532"/>
      <c r="AF247" s="532"/>
      <c r="AG247" s="532"/>
      <c r="AH247" s="532"/>
      <c r="AI247" s="532"/>
      <c r="AJ247" s="532"/>
      <c r="AK247" s="532"/>
      <c r="AL247" s="532"/>
      <c r="AM247" s="532"/>
      <c r="AN247" s="532"/>
      <c r="AO247" s="532"/>
      <c r="AP247" s="532"/>
      <c r="AQ247" s="532"/>
      <c r="AR247" s="532"/>
      <c r="AS247" s="532"/>
      <c r="AT247" s="532"/>
      <c r="AU247" s="534"/>
      <c r="AV247" s="532"/>
      <c r="AW247" s="532"/>
      <c r="AX247" s="532"/>
      <c r="AY247" s="532"/>
      <c r="AZ247" s="156"/>
      <c r="BA247" s="156"/>
      <c r="BB247" s="156"/>
      <c r="BC247" s="156"/>
      <c r="BD247" s="156"/>
      <c r="BE247" s="156"/>
      <c r="BF247" s="156"/>
      <c r="BG247" s="156"/>
      <c r="BH247" s="156"/>
      <c r="BI247" s="156"/>
      <c r="BJ247" s="156"/>
      <c r="BK247" s="156"/>
      <c r="BL247" s="156"/>
      <c r="BM247" s="156"/>
      <c r="BN247" s="730"/>
      <c r="BO247" s="156"/>
      <c r="BP247" s="156"/>
      <c r="BQ247" s="156"/>
      <c r="BR247" s="156"/>
      <c r="BS247" s="156"/>
      <c r="BT247" s="533"/>
    </row>
    <row r="248" spans="1:72" s="17" customFormat="1" ht="15" customHeight="1" outlineLevel="1" x14ac:dyDescent="0.35">
      <c r="A248" s="431" t="s">
        <v>602</v>
      </c>
      <c r="B248" s="308"/>
      <c r="C248" s="638">
        <f>36.850695+2.75</f>
        <v>39.600695000000002</v>
      </c>
      <c r="D248" s="638">
        <f>37.102938+2.75</f>
        <v>39.852938000000002</v>
      </c>
      <c r="E248" s="638">
        <f>37.20266+2.75</f>
        <v>39.952660000000002</v>
      </c>
      <c r="F248" s="532">
        <f>BD248</f>
        <v>40.783051999999998</v>
      </c>
      <c r="G248" s="638">
        <v>41.140663000000004</v>
      </c>
      <c r="H248" s="638">
        <v>40.778264999999998</v>
      </c>
      <c r="I248" s="638">
        <v>39.553049000000001</v>
      </c>
      <c r="J248" s="532">
        <f>BE248</f>
        <v>38.411113999999998</v>
      </c>
      <c r="K248" s="638">
        <v>38.289434</v>
      </c>
      <c r="L248" s="638">
        <v>38.412246000000003</v>
      </c>
      <c r="M248" s="638">
        <v>38.367324000000004</v>
      </c>
      <c r="N248" s="532">
        <f>BF248</f>
        <v>38.304395</v>
      </c>
      <c r="O248" s="638">
        <v>38.939703999999999</v>
      </c>
      <c r="P248" s="638">
        <v>39.004035000000002</v>
      </c>
      <c r="Q248" s="638">
        <v>39.084254000000001</v>
      </c>
      <c r="R248" s="532">
        <f>BG248</f>
        <v>39.671177</v>
      </c>
      <c r="S248" s="638">
        <v>40.658161999999997</v>
      </c>
      <c r="T248" s="638">
        <v>40.663305000000001</v>
      </c>
      <c r="U248" s="638">
        <v>40.565714</v>
      </c>
      <c r="V248" s="532">
        <f>BH248</f>
        <v>40.771548000000003</v>
      </c>
      <c r="W248" s="638">
        <v>41.332774000000001</v>
      </c>
      <c r="X248" s="638">
        <v>41.414861999999999</v>
      </c>
      <c r="Y248" s="638">
        <v>41.172029999999999</v>
      </c>
      <c r="Z248" s="532">
        <f>BI248</f>
        <v>39.572955999999998</v>
      </c>
      <c r="AA248" s="638">
        <v>40.193564000000002</v>
      </c>
      <c r="AB248" s="638">
        <v>40.236922</v>
      </c>
      <c r="AC248" s="638">
        <v>40.201222999999999</v>
      </c>
      <c r="AD248" s="532">
        <f>BJ248</f>
        <v>40.245365999999997</v>
      </c>
      <c r="AE248" s="638">
        <v>40.955109999999998</v>
      </c>
      <c r="AF248" s="638">
        <v>40.966472000000003</v>
      </c>
      <c r="AG248" s="638">
        <v>40.991726999999997</v>
      </c>
      <c r="AH248" s="532">
        <f>BK248</f>
        <v>41.309401999999999</v>
      </c>
      <c r="AI248" s="638">
        <v>41.536150999999997</v>
      </c>
      <c r="AJ248" s="638">
        <v>41.602452999999997</v>
      </c>
      <c r="AK248" s="638">
        <v>41.541981999999997</v>
      </c>
      <c r="AL248" s="532">
        <f>BL248</f>
        <v>41.591963</v>
      </c>
      <c r="AM248" s="638">
        <v>42.685581999999997</v>
      </c>
      <c r="AN248" s="638">
        <v>42.787740999999997</v>
      </c>
      <c r="AO248" s="638">
        <v>42.752884000000002</v>
      </c>
      <c r="AP248" s="532">
        <f>BM248</f>
        <v>42.770887999999999</v>
      </c>
      <c r="AQ248" s="638">
        <v>43.031568</v>
      </c>
      <c r="AR248" s="638">
        <v>43.109729999999999</v>
      </c>
      <c r="AS248" s="638">
        <v>43.038181000000002</v>
      </c>
      <c r="AT248" s="532">
        <f>BN248</f>
        <v>42.992834999999999</v>
      </c>
      <c r="AU248" s="643">
        <v>43.344346999999999</v>
      </c>
      <c r="AV248" s="532"/>
      <c r="AW248" s="532"/>
      <c r="AX248" s="532"/>
      <c r="AY248" s="532"/>
      <c r="AZ248" s="729">
        <v>29.448594</v>
      </c>
      <c r="BA248" s="729">
        <v>30.589172999999999</v>
      </c>
      <c r="BB248" s="729">
        <f>36.278564+2.75</f>
        <v>39.028564000000003</v>
      </c>
      <c r="BC248" s="729">
        <f>36.844093+2.75</f>
        <v>39.594093000000001</v>
      </c>
      <c r="BD248" s="729">
        <f>38.033052+2.75</f>
        <v>40.783051999999998</v>
      </c>
      <c r="BE248" s="729">
        <v>38.411113999999998</v>
      </c>
      <c r="BF248" s="729">
        <v>38.304395</v>
      </c>
      <c r="BG248" s="729">
        <v>39.671177</v>
      </c>
      <c r="BH248" s="729">
        <v>40.771548000000003</v>
      </c>
      <c r="BI248" s="729">
        <v>39.572955999999998</v>
      </c>
      <c r="BJ248" s="729">
        <v>40.245365999999997</v>
      </c>
      <c r="BK248" s="729">
        <v>41.309401999999999</v>
      </c>
      <c r="BL248" s="729">
        <v>41.591963</v>
      </c>
      <c r="BM248" s="729">
        <v>42.770887999999999</v>
      </c>
      <c r="BN248" s="748">
        <v>42.992834999999999</v>
      </c>
      <c r="BO248" s="156"/>
      <c r="BP248" s="156"/>
      <c r="BQ248" s="156"/>
      <c r="BR248" s="156"/>
      <c r="BS248" s="156"/>
      <c r="BT248" s="533"/>
    </row>
    <row r="249" spans="1:72" s="17" customFormat="1" ht="15" customHeight="1" outlineLevel="1" x14ac:dyDescent="0.35">
      <c r="A249" s="431" t="s">
        <v>603</v>
      </c>
      <c r="B249" s="308"/>
      <c r="C249" s="646">
        <v>41213</v>
      </c>
      <c r="D249" s="646">
        <v>41302</v>
      </c>
      <c r="E249" s="646">
        <v>41390</v>
      </c>
      <c r="F249" s="430">
        <f>BD249</f>
        <v>41508</v>
      </c>
      <c r="G249" s="646">
        <v>41578</v>
      </c>
      <c r="H249" s="646">
        <v>41663</v>
      </c>
      <c r="I249" s="646">
        <v>41753</v>
      </c>
      <c r="J249" s="430">
        <f>BE249</f>
        <v>41862</v>
      </c>
      <c r="K249" s="646">
        <v>41933</v>
      </c>
      <c r="L249" s="646">
        <v>42026</v>
      </c>
      <c r="M249" s="646">
        <v>42116</v>
      </c>
      <c r="N249" s="430">
        <f>BF249</f>
        <v>42216</v>
      </c>
      <c r="O249" s="646">
        <v>42298</v>
      </c>
      <c r="P249" s="646">
        <v>42391</v>
      </c>
      <c r="Q249" s="646">
        <v>42482</v>
      </c>
      <c r="R249" s="430">
        <f>BG249</f>
        <v>42582</v>
      </c>
      <c r="S249" s="646">
        <v>42664</v>
      </c>
      <c r="T249" s="646">
        <v>42755</v>
      </c>
      <c r="U249" s="646">
        <v>42845</v>
      </c>
      <c r="V249" s="430">
        <f>BH249</f>
        <v>42947</v>
      </c>
      <c r="W249" s="646">
        <v>43027</v>
      </c>
      <c r="X249" s="646">
        <v>43119</v>
      </c>
      <c r="Y249" s="646">
        <v>43209</v>
      </c>
      <c r="Z249" s="430">
        <f>BI249</f>
        <v>43312</v>
      </c>
      <c r="AA249" s="646">
        <v>43392</v>
      </c>
      <c r="AB249" s="646">
        <v>43483</v>
      </c>
      <c r="AC249" s="646">
        <v>43574</v>
      </c>
      <c r="AD249" s="430">
        <f>BJ249</f>
        <v>43677</v>
      </c>
      <c r="AE249" s="646">
        <v>43756</v>
      </c>
      <c r="AF249" s="646">
        <v>43846</v>
      </c>
      <c r="AG249" s="646">
        <v>43938</v>
      </c>
      <c r="AH249" s="430">
        <f>BK249</f>
        <v>44043</v>
      </c>
      <c r="AI249" s="646">
        <v>44120</v>
      </c>
      <c r="AJ249" s="646">
        <v>44218</v>
      </c>
      <c r="AK249" s="646">
        <v>44302</v>
      </c>
      <c r="AL249" s="430">
        <f>BL249</f>
        <v>44407</v>
      </c>
      <c r="AM249" s="646">
        <v>44483</v>
      </c>
      <c r="AN249" s="646">
        <v>44582</v>
      </c>
      <c r="AO249" s="646">
        <v>44666</v>
      </c>
      <c r="AP249" s="430">
        <f>BM249</f>
        <v>44771</v>
      </c>
      <c r="AQ249" s="646">
        <v>44855</v>
      </c>
      <c r="AR249" s="646">
        <v>44946</v>
      </c>
      <c r="AS249" s="646">
        <v>45037</v>
      </c>
      <c r="AT249" s="430">
        <f>BN249</f>
        <v>45149</v>
      </c>
      <c r="AU249" s="647">
        <v>45219</v>
      </c>
      <c r="AV249" s="430"/>
      <c r="AW249" s="430"/>
      <c r="AX249" s="430"/>
      <c r="AY249" s="430"/>
      <c r="AZ249" s="783">
        <v>40065</v>
      </c>
      <c r="BA249" s="783">
        <v>40431</v>
      </c>
      <c r="BB249" s="783">
        <v>40819</v>
      </c>
      <c r="BC249" s="783">
        <v>41159</v>
      </c>
      <c r="BD249" s="783">
        <v>41508</v>
      </c>
      <c r="BE249" s="783">
        <v>41862</v>
      </c>
      <c r="BF249" s="783">
        <v>42216</v>
      </c>
      <c r="BG249" s="783">
        <v>42582</v>
      </c>
      <c r="BH249" s="783">
        <v>42947</v>
      </c>
      <c r="BI249" s="783">
        <v>43312</v>
      </c>
      <c r="BJ249" s="783">
        <v>43677</v>
      </c>
      <c r="BK249" s="783">
        <v>44043</v>
      </c>
      <c r="BL249" s="783">
        <v>44407</v>
      </c>
      <c r="BM249" s="783">
        <v>44771</v>
      </c>
      <c r="BN249" s="784">
        <v>45149</v>
      </c>
      <c r="BO249" s="785"/>
      <c r="BP249" s="785"/>
      <c r="BQ249" s="785"/>
      <c r="BR249" s="785"/>
      <c r="BS249" s="785"/>
      <c r="BT249" s="533"/>
    </row>
    <row r="250" spans="1:72" s="17" customFormat="1" ht="15" customHeight="1" outlineLevel="1" x14ac:dyDescent="0.35">
      <c r="A250" s="431"/>
      <c r="B250" s="308"/>
      <c r="C250" s="430"/>
      <c r="D250" s="430"/>
      <c r="E250" s="430"/>
      <c r="F250" s="430"/>
      <c r="G250" s="430"/>
      <c r="H250" s="430"/>
      <c r="I250" s="430"/>
      <c r="J250" s="430"/>
      <c r="K250" s="430"/>
      <c r="L250" s="430"/>
      <c r="M250" s="430"/>
      <c r="N250" s="430"/>
      <c r="O250" s="430"/>
      <c r="P250" s="430"/>
      <c r="Q250" s="430"/>
      <c r="R250" s="430"/>
      <c r="S250" s="430"/>
      <c r="T250" s="430"/>
      <c r="U250" s="430"/>
      <c r="V250" s="430"/>
      <c r="W250" s="430"/>
      <c r="X250" s="430"/>
      <c r="Y250" s="430"/>
      <c r="Z250" s="430"/>
      <c r="AA250" s="430"/>
      <c r="AB250" s="430"/>
      <c r="AC250" s="430"/>
      <c r="AD250" s="430"/>
      <c r="AE250" s="430"/>
      <c r="AF250" s="430"/>
      <c r="AG250" s="430"/>
      <c r="AH250" s="430"/>
      <c r="AI250" s="430"/>
      <c r="AJ250" s="430"/>
      <c r="AK250" s="430"/>
      <c r="AL250" s="430"/>
      <c r="AM250" s="430"/>
      <c r="AN250" s="430"/>
      <c r="AO250" s="430"/>
      <c r="AP250" s="430"/>
      <c r="AQ250" s="430"/>
      <c r="AR250" s="430"/>
      <c r="AS250" s="430"/>
      <c r="AT250" s="430"/>
      <c r="AU250" s="499"/>
      <c r="AV250" s="430"/>
      <c r="AW250" s="430"/>
      <c r="AX250" s="430"/>
      <c r="AY250" s="430"/>
      <c r="AZ250" s="785"/>
      <c r="BA250" s="785"/>
      <c r="BB250" s="785"/>
      <c r="BC250" s="785"/>
      <c r="BD250" s="785"/>
      <c r="BE250" s="785"/>
      <c r="BF250" s="785"/>
      <c r="BG250" s="785"/>
      <c r="BH250" s="785"/>
      <c r="BI250" s="785"/>
      <c r="BJ250" s="785"/>
      <c r="BK250" s="785"/>
      <c r="BL250" s="785"/>
      <c r="BM250" s="785"/>
      <c r="BN250" s="786"/>
      <c r="BO250" s="785"/>
      <c r="BP250" s="785"/>
      <c r="BQ250" s="785"/>
      <c r="BR250" s="785"/>
      <c r="BS250" s="785"/>
      <c r="BT250" s="533"/>
    </row>
    <row r="251" spans="1:72" s="17" customFormat="1" ht="15" customHeight="1" outlineLevel="1" x14ac:dyDescent="0.35">
      <c r="A251" s="431" t="s">
        <v>644</v>
      </c>
      <c r="B251" s="308"/>
      <c r="C251" s="532">
        <f>IF(C222&gt;0,(C236-C235),BC251)</f>
        <v>0</v>
      </c>
      <c r="D251" s="532">
        <f>IF(D222&gt;0,(D236-D235),C251)</f>
        <v>0</v>
      </c>
      <c r="E251" s="532">
        <f>IF(E222&gt;0,(E236-E235),D251)</f>
        <v>0</v>
      </c>
      <c r="F251" s="532">
        <f>IF(F222&gt;0,(F236-F235),E251)</f>
        <v>2.8326970000000031</v>
      </c>
      <c r="G251" s="532">
        <f>IF(G222&gt;0,(G236-G235),BD251)</f>
        <v>2.8326970000000031</v>
      </c>
      <c r="H251" s="532">
        <f>IF(H222&gt;0,(H236-H235),G251)</f>
        <v>2.8326970000000031</v>
      </c>
      <c r="I251" s="532">
        <f>IF(I222&gt;0,(I236-I235),H251)</f>
        <v>0</v>
      </c>
      <c r="J251" s="532">
        <f>IF(J222&gt;0,(J236-J235),I251)</f>
        <v>0.20191499999999962</v>
      </c>
      <c r="K251" s="532">
        <f>IF(K222&gt;0,(K236-K235),BE251)</f>
        <v>0.20191499999999962</v>
      </c>
      <c r="L251" s="532">
        <f>IF(L222&gt;0,(L236-L235),K251)</f>
        <v>6.434899999999999E-2</v>
      </c>
      <c r="M251" s="532">
        <f>IF(M222&gt;0,(M236-M235),L251)</f>
        <v>0.19727700000000681</v>
      </c>
      <c r="N251" s="532">
        <f>IF(N222&gt;0,(N236-N235),M251)</f>
        <v>0.19727700000000681</v>
      </c>
      <c r="O251" s="532">
        <f>IF(O222&gt;0,(O236-O235),BF251)</f>
        <v>0.19727700000000681</v>
      </c>
      <c r="P251" s="532">
        <f>IF(P222&gt;0,(P236-P235),O251)</f>
        <v>0.12087999999999965</v>
      </c>
      <c r="Q251" s="532">
        <f>IF(Q222&gt;0,(Q236-Q235),P251)</f>
        <v>1.3070450000000022</v>
      </c>
      <c r="R251" s="532">
        <f>IF(R222&gt;0,(R236-R235),Q251)</f>
        <v>1.3070450000000022</v>
      </c>
      <c r="S251" s="532">
        <f>IF(S222&gt;0,(S236-S235),BG251)</f>
        <v>1.3070450000000022</v>
      </c>
      <c r="T251" s="532">
        <f>IF(T222&gt;0,(T236-T235),S251)</f>
        <v>0.90236699999999814</v>
      </c>
      <c r="U251" s="532">
        <f>IF(U222&gt;0,(U236-U235),T251)</f>
        <v>0.95114300000000185</v>
      </c>
      <c r="V251" s="532">
        <f>IF(V222&gt;0,(V236-V235),U251)</f>
        <v>0.95114300000000185</v>
      </c>
      <c r="W251" s="532">
        <f>IF(W222&gt;0,(W236-W235),BH251)</f>
        <v>0.95114300000000185</v>
      </c>
      <c r="X251" s="532">
        <f>IF(X222&gt;0,(X236-X235),W251)</f>
        <v>1.3384229999999988</v>
      </c>
      <c r="Y251" s="532">
        <f>IF(Y222&gt;0,(Y236-Y235),X251)</f>
        <v>1.1221289999999939</v>
      </c>
      <c r="Z251" s="532">
        <f>IF(Z222&gt;0,(Z236-Z235),Y251)</f>
        <v>0.94538599999999917</v>
      </c>
      <c r="AA251" s="532">
        <f>IF(AA222&gt;0,(AA236-AA235),BI251)</f>
        <v>0.94538599999999917</v>
      </c>
      <c r="AB251" s="532">
        <f>IF(AB222&gt;0,(AB236-AB235),AA251)</f>
        <v>1.5085910000000027</v>
      </c>
      <c r="AC251" s="532">
        <f>IF(AC222&gt;0,(AC236-AC235),AB251)</f>
        <v>2.7443330000000046</v>
      </c>
      <c r="AD251" s="532">
        <f>IF(AD222&gt;0,(AD236-AD235),AC251)</f>
        <v>2.5315870000000018</v>
      </c>
      <c r="AE251" s="532">
        <f>IF(AE222&gt;0,(AE236-AE235),BJ251)</f>
        <v>2.5315870000000018</v>
      </c>
      <c r="AF251" s="532">
        <f>IF(AF222&gt;0,(AF236-AF235),AE251)</f>
        <v>0.52391599999999983</v>
      </c>
      <c r="AG251" s="532">
        <f>IF(AG222&gt;0,(AG236-AG235),AF251)</f>
        <v>0.39910700000000077</v>
      </c>
      <c r="AH251" s="532">
        <f>IF(AH222&gt;0,(AH236-AH235),AG251)</f>
        <v>1.5294470000000047</v>
      </c>
      <c r="AI251" s="532">
        <f>IF(AI222&gt;0,(AI236-AI235),BK251)</f>
        <v>2.2042560000000009</v>
      </c>
      <c r="AJ251" s="532">
        <f>IF(AJ222&gt;0,(AJ236-AJ235),AI251)</f>
        <v>0.94206299999999743</v>
      </c>
      <c r="AK251" s="532">
        <f>IF(AK222&gt;0,(AK236-AK235),AJ251)</f>
        <v>1.4043999999999954</v>
      </c>
      <c r="AL251" s="532">
        <f>IF(AL222&gt;0,(AL236-AL235),AK251)</f>
        <v>1.838397999999998</v>
      </c>
      <c r="AM251" s="532">
        <f>IF(AM222&gt;0,(AM236-AM235),BL251)</f>
        <v>1.838397999999998</v>
      </c>
      <c r="AN251" s="532">
        <f>IF(AN222&gt;0,(AN236-AN235),AM251)</f>
        <v>0.43766300000000058</v>
      </c>
      <c r="AO251" s="532">
        <f>IF(AO222&gt;0,(AO236-AO235),AN251)</f>
        <v>0.31247800000000581</v>
      </c>
      <c r="AP251" s="532">
        <f>IF(AP222&gt;0,(AP236-AP235),AO251)</f>
        <v>0.67867299999999631</v>
      </c>
      <c r="AQ251" s="532">
        <f>IF(AQ222&gt;0,(AQ236-AQ235),BM251)</f>
        <v>0.67867299999999631</v>
      </c>
      <c r="AR251" s="532">
        <f>IF(AR222&gt;0,(AR236-AR235),AQ251)</f>
        <v>0.28827299999999667</v>
      </c>
      <c r="AS251" s="532">
        <f>IF(AS222&gt;0,(AS236-AS235),AR251)</f>
        <v>0.33860999999999564</v>
      </c>
      <c r="AT251" s="532">
        <f>IF(AT222&gt;0,(AT236-AT235),AS251)</f>
        <v>0.41495800000000571</v>
      </c>
      <c r="AU251" s="534">
        <f>IF(AU222&gt;0,(AU236-AU235),BN251)</f>
        <v>0.48237400000000008</v>
      </c>
      <c r="AV251" s="532">
        <f t="shared" ref="AV251:AX251" ca="1" si="275">AV240*AV252-AV240</f>
        <v>0.43346537000000041</v>
      </c>
      <c r="AW251" s="532">
        <f t="shared" ca="1" si="275"/>
        <v>0.43346537000000041</v>
      </c>
      <c r="AX251" s="532">
        <f t="shared" ca="1" si="275"/>
        <v>0.43346537000000041</v>
      </c>
      <c r="AY251" s="532"/>
      <c r="AZ251" s="156">
        <f>AZ236-AZ235</f>
        <v>0.89378599999999864</v>
      </c>
      <c r="BA251" s="156">
        <f>IF(BA222&gt;0,(BA236-BA235),AZ251)</f>
        <v>0.45671000000000106</v>
      </c>
      <c r="BB251" s="156">
        <f>IF(BB222&gt;0,(BB236-BB235),BA251)</f>
        <v>0.53700300000000212</v>
      </c>
      <c r="BC251" s="156">
        <f>IF(BC222&gt;0,(BC236-BC235),BB251)</f>
        <v>2.9381849999999972</v>
      </c>
      <c r="BD251" s="156">
        <f>F251</f>
        <v>2.8326970000000031</v>
      </c>
      <c r="BE251" s="156">
        <f>J251</f>
        <v>0.20191499999999962</v>
      </c>
      <c r="BF251" s="156">
        <f>N251</f>
        <v>0.19727700000000681</v>
      </c>
      <c r="BG251" s="156">
        <f>R251</f>
        <v>1.3070450000000022</v>
      </c>
      <c r="BH251" s="156">
        <f>V251</f>
        <v>0.95114300000000185</v>
      </c>
      <c r="BI251" s="156">
        <f>Z251</f>
        <v>0.94538599999999917</v>
      </c>
      <c r="BJ251" s="156">
        <f>AD251</f>
        <v>2.5315870000000018</v>
      </c>
      <c r="BK251" s="156">
        <f>AH251</f>
        <v>1.5294470000000047</v>
      </c>
      <c r="BL251" s="156">
        <f>AL251</f>
        <v>1.838397999999998</v>
      </c>
      <c r="BM251" s="156">
        <f>AP251</f>
        <v>0.67867299999999631</v>
      </c>
      <c r="BN251" s="730">
        <f>AT251</f>
        <v>0.41495800000000571</v>
      </c>
      <c r="BO251" s="156">
        <f ca="1">AX251</f>
        <v>0.43346537000000041</v>
      </c>
      <c r="BP251" s="156" t="e">
        <f>#REF!</f>
        <v>#REF!</v>
      </c>
      <c r="BQ251" s="156" t="e">
        <f ca="1">BQ240*BQ252-BQ240</f>
        <v>#REF!</v>
      </c>
      <c r="BR251" s="156" t="e">
        <f ca="1">BR240*BR252-BR240</f>
        <v>#REF!</v>
      </c>
      <c r="BS251" s="156" t="e">
        <f ca="1">BS240*BS252-BS240</f>
        <v>#REF!</v>
      </c>
      <c r="BT251" s="533"/>
    </row>
    <row r="252" spans="1:72" s="17" customFormat="1" ht="15" customHeight="1" outlineLevel="1" x14ac:dyDescent="0.35">
      <c r="A252" s="467" t="s">
        <v>645</v>
      </c>
      <c r="B252" s="542"/>
      <c r="C252" s="474">
        <f t="shared" ref="C252:AU252" si="276">(C251+C240)/C240</f>
        <v>1</v>
      </c>
      <c r="D252" s="474">
        <f t="shared" si="276"/>
        <v>1</v>
      </c>
      <c r="E252" s="474">
        <f t="shared" si="276"/>
        <v>1</v>
      </c>
      <c r="F252" s="474">
        <f t="shared" si="276"/>
        <v>1.0704814715418225</v>
      </c>
      <c r="G252" s="474">
        <f t="shared" si="276"/>
        <v>1.06884838193128</v>
      </c>
      <c r="H252" s="474">
        <f t="shared" si="276"/>
        <v>1.0693831469928363</v>
      </c>
      <c r="I252" s="474">
        <f t="shared" si="276"/>
        <v>1</v>
      </c>
      <c r="J252" s="474">
        <f t="shared" si="276"/>
        <v>1.0051841047182222</v>
      </c>
      <c r="K252" s="474">
        <f t="shared" si="276"/>
        <v>1.0052705682349405</v>
      </c>
      <c r="L252" s="474">
        <f t="shared" si="276"/>
        <v>1.0016784225452038</v>
      </c>
      <c r="M252" s="474">
        <f t="shared" si="276"/>
        <v>1.0051414746691867</v>
      </c>
      <c r="N252" s="474">
        <f t="shared" si="276"/>
        <v>1.0051460930417755</v>
      </c>
      <c r="O252" s="474">
        <f t="shared" si="276"/>
        <v>1.0050650710286371</v>
      </c>
      <c r="P252" s="474">
        <f t="shared" si="276"/>
        <v>1.0031057492459476</v>
      </c>
      <c r="Q252" s="474">
        <f t="shared" si="276"/>
        <v>1.0334363873654511</v>
      </c>
      <c r="R252" s="474">
        <f t="shared" si="276"/>
        <v>1.0329384218881004</v>
      </c>
      <c r="S252" s="474">
        <f t="shared" si="276"/>
        <v>1.0321446256688012</v>
      </c>
      <c r="T252" s="474">
        <f t="shared" si="276"/>
        <v>1.0221850883759236</v>
      </c>
      <c r="U252" s="474">
        <f t="shared" si="276"/>
        <v>1.023451036137101</v>
      </c>
      <c r="V252" s="474">
        <f t="shared" si="276"/>
        <v>1.0232990947739635</v>
      </c>
      <c r="W252" s="474">
        <f t="shared" si="276"/>
        <v>1.0230108925074348</v>
      </c>
      <c r="X252" s="474">
        <f t="shared" si="276"/>
        <v>1.0323323130695863</v>
      </c>
      <c r="Y252" s="474">
        <f t="shared" si="276"/>
        <v>1.0272611522221844</v>
      </c>
      <c r="Z252" s="474">
        <f t="shared" si="276"/>
        <v>1.0238927973395757</v>
      </c>
      <c r="AA252" s="474">
        <f t="shared" si="276"/>
        <v>1.0234945420605128</v>
      </c>
      <c r="AB252" s="474">
        <f t="shared" si="276"/>
        <v>1.0375126073673002</v>
      </c>
      <c r="AC252" s="474">
        <f t="shared" si="276"/>
        <v>1.0682546244171736</v>
      </c>
      <c r="AD252" s="474">
        <f t="shared" si="276"/>
        <v>1.06291143103043</v>
      </c>
      <c r="AE252" s="474">
        <f t="shared" si="276"/>
        <v>1.0618126207047414</v>
      </c>
      <c r="AF252" s="474">
        <f t="shared" si="276"/>
        <v>1.0127948445116091</v>
      </c>
      <c r="AG252" s="474">
        <f t="shared" si="276"/>
        <v>1.0097486959241126</v>
      </c>
      <c r="AH252" s="474">
        <f t="shared" si="276"/>
        <v>1.0372973230543439</v>
      </c>
      <c r="AI252" s="474">
        <f t="shared" si="276"/>
        <v>1.0530657154594352</v>
      </c>
      <c r="AJ252" s="474">
        <f t="shared" si="276"/>
        <v>1.0226679821558604</v>
      </c>
      <c r="AK252" s="474">
        <f t="shared" si="276"/>
        <v>1.0338057805910961</v>
      </c>
      <c r="AL252" s="474">
        <f t="shared" si="276"/>
        <v>1.0442169360670128</v>
      </c>
      <c r="AM252" s="474">
        <f t="shared" si="276"/>
        <v>1.044005173102881</v>
      </c>
      <c r="AN252" s="474">
        <f t="shared" si="276"/>
        <v>1.0102378107413095</v>
      </c>
      <c r="AO252" s="474">
        <f t="shared" si="276"/>
        <v>1.0073063160335805</v>
      </c>
      <c r="AP252" s="474">
        <f t="shared" si="276"/>
        <v>1.0158650299999383</v>
      </c>
      <c r="AQ252" s="474">
        <f t="shared" si="276"/>
        <v>1.0157641287763377</v>
      </c>
      <c r="AR252" s="474">
        <f t="shared" si="276"/>
        <v>1.0066889601841509</v>
      </c>
      <c r="AS252" s="474">
        <f t="shared" si="276"/>
        <v>1.0078670283782005</v>
      </c>
      <c r="AT252" s="474">
        <f t="shared" si="276"/>
        <v>1.0096492200025091</v>
      </c>
      <c r="AU252" s="500">
        <f t="shared" si="276"/>
        <v>1.0111283168941501</v>
      </c>
      <c r="AV252" s="648">
        <v>1.01</v>
      </c>
      <c r="AW252" s="648">
        <v>1.01</v>
      </c>
      <c r="AX252" s="648">
        <v>1.01</v>
      </c>
      <c r="AY252" s="475"/>
      <c r="AZ252" s="787">
        <f t="shared" ref="AZ252:BP252" si="277">(AZ251+AZ240)/AZ240</f>
        <v>1.0305145500146362</v>
      </c>
      <c r="BA252" s="787">
        <f t="shared" si="277"/>
        <v>1.015002917735879</v>
      </c>
      <c r="BB252" s="787">
        <f t="shared" si="277"/>
        <v>1.0138841359042989</v>
      </c>
      <c r="BC252" s="787">
        <f t="shared" si="277"/>
        <v>1.0749786925146705</v>
      </c>
      <c r="BD252" s="787">
        <f t="shared" si="277"/>
        <v>1.0704814715418225</v>
      </c>
      <c r="BE252" s="787">
        <f t="shared" si="277"/>
        <v>1.0051841047182222</v>
      </c>
      <c r="BF252" s="787">
        <f t="shared" si="277"/>
        <v>1.0051460930417755</v>
      </c>
      <c r="BG252" s="787">
        <f t="shared" si="277"/>
        <v>1.0329384218881004</v>
      </c>
      <c r="BH252" s="787">
        <f t="shared" si="277"/>
        <v>1.0232990947739635</v>
      </c>
      <c r="BI252" s="787">
        <f t="shared" si="277"/>
        <v>1.0238927973395757</v>
      </c>
      <c r="BJ252" s="787">
        <f t="shared" si="277"/>
        <v>1.06291143103043</v>
      </c>
      <c r="BK252" s="787">
        <f t="shared" si="277"/>
        <v>1.0372973230543439</v>
      </c>
      <c r="BL252" s="787">
        <f t="shared" si="277"/>
        <v>1.0442169360670128</v>
      </c>
      <c r="BM252" s="787">
        <f t="shared" si="277"/>
        <v>1.0158650299999383</v>
      </c>
      <c r="BN252" s="788">
        <f t="shared" si="277"/>
        <v>1.0096492200025091</v>
      </c>
      <c r="BO252" s="787">
        <f t="shared" ca="1" si="277"/>
        <v>1.01</v>
      </c>
      <c r="BP252" s="787" t="e">
        <f t="shared" si="277"/>
        <v>#REF!</v>
      </c>
      <c r="BQ252" s="789">
        <v>1.01</v>
      </c>
      <c r="BR252" s="789">
        <v>1.01</v>
      </c>
      <c r="BS252" s="789">
        <v>1.01</v>
      </c>
      <c r="BT252" s="533"/>
    </row>
    <row r="253" spans="1:72" s="17" customFormat="1" ht="15" customHeight="1" outlineLevel="1" x14ac:dyDescent="0.35">
      <c r="A253" s="431"/>
      <c r="B253" s="308"/>
      <c r="C253" s="430"/>
      <c r="D253" s="430"/>
      <c r="E253" s="430"/>
      <c r="F253" s="430"/>
      <c r="G253" s="430"/>
      <c r="H253" s="430"/>
      <c r="I253" s="430"/>
      <c r="J253" s="430"/>
      <c r="K253" s="430"/>
      <c r="L253" s="430"/>
      <c r="M253" s="430"/>
      <c r="N253" s="430"/>
      <c r="O253" s="430"/>
      <c r="P253" s="430"/>
      <c r="Q253" s="430"/>
      <c r="R253" s="430"/>
      <c r="S253" s="430"/>
      <c r="T253" s="430"/>
      <c r="U253" s="430"/>
      <c r="V253" s="430"/>
      <c r="W253" s="430"/>
      <c r="X253" s="430"/>
      <c r="Y253" s="430"/>
      <c r="Z253" s="430"/>
      <c r="AA253" s="430"/>
      <c r="AB253" s="430"/>
      <c r="AC253" s="430"/>
      <c r="AD253" s="430"/>
      <c r="AE253" s="430"/>
      <c r="AF253" s="430"/>
      <c r="AG253" s="430"/>
      <c r="AH253" s="430"/>
      <c r="AI253" s="430"/>
      <c r="AJ253" s="430"/>
      <c r="AK253" s="430"/>
      <c r="AL253" s="430"/>
      <c r="AM253" s="430"/>
      <c r="AN253" s="430"/>
      <c r="AO253" s="430"/>
      <c r="AP253" s="430"/>
      <c r="AQ253" s="430"/>
      <c r="AR253" s="430"/>
      <c r="AS253" s="430"/>
      <c r="AT253" s="430"/>
      <c r="AU253" s="499"/>
      <c r="AV253" s="430"/>
      <c r="AW253" s="430"/>
      <c r="AX253" s="430"/>
      <c r="AY253" s="430"/>
      <c r="AZ253" s="785"/>
      <c r="BA253" s="785"/>
      <c r="BB253" s="785"/>
      <c r="BC253" s="785"/>
      <c r="BD253" s="785"/>
      <c r="BE253" s="785"/>
      <c r="BF253" s="785"/>
      <c r="BG253" s="785"/>
      <c r="BH253" s="785"/>
      <c r="BI253" s="785"/>
      <c r="BJ253" s="785"/>
      <c r="BK253" s="785"/>
      <c r="BL253" s="785"/>
      <c r="BM253" s="785"/>
      <c r="BN253" s="786"/>
      <c r="BO253" s="785"/>
      <c r="BP253" s="785"/>
      <c r="BQ253" s="785"/>
      <c r="BR253" s="785"/>
      <c r="BS253" s="785"/>
      <c r="BT253" s="533"/>
    </row>
    <row r="254" spans="1:72" s="17" customFormat="1" ht="15" customHeight="1" outlineLevel="1" x14ac:dyDescent="0.35">
      <c r="A254" s="431" t="s">
        <v>646</v>
      </c>
      <c r="B254" s="308"/>
      <c r="C254" s="532">
        <f t="shared" ref="C254:AH254" si="278">C240+C251</f>
        <v>39.594093000000001</v>
      </c>
      <c r="D254" s="532">
        <f t="shared" si="278"/>
        <v>39.622799999999998</v>
      </c>
      <c r="E254" s="532">
        <f t="shared" si="278"/>
        <v>39.914431</v>
      </c>
      <c r="F254" s="532">
        <f t="shared" si="278"/>
        <v>43.023359000000006</v>
      </c>
      <c r="G254" s="532">
        <f t="shared" si="278"/>
        <v>43.976685000000003</v>
      </c>
      <c r="H254" s="532">
        <f t="shared" si="278"/>
        <v>43.659571</v>
      </c>
      <c r="I254" s="532">
        <f t="shared" si="278"/>
        <v>39.895938000000001</v>
      </c>
      <c r="J254" s="532">
        <f t="shared" si="278"/>
        <v>39.150781000000002</v>
      </c>
      <c r="K254" s="532">
        <f t="shared" si="278"/>
        <v>38.511825999999999</v>
      </c>
      <c r="L254" s="532">
        <f t="shared" si="278"/>
        <v>38.403323999999998</v>
      </c>
      <c r="M254" s="532">
        <f t="shared" si="278"/>
        <v>38.567008000000008</v>
      </c>
      <c r="N254" s="532">
        <f t="shared" si="278"/>
        <v>38.532573000000006</v>
      </c>
      <c r="O254" s="532">
        <f t="shared" si="278"/>
        <v>39.145793000000005</v>
      </c>
      <c r="P254" s="532">
        <f t="shared" si="278"/>
        <v>39.042245000000001</v>
      </c>
      <c r="Q254" s="532">
        <f t="shared" si="278"/>
        <v>40.397542000000001</v>
      </c>
      <c r="R254" s="532">
        <f t="shared" si="278"/>
        <v>40.988515</v>
      </c>
      <c r="S254" s="532">
        <f t="shared" si="278"/>
        <v>41.968430000000005</v>
      </c>
      <c r="T254" s="532">
        <f t="shared" si="278"/>
        <v>41.57685</v>
      </c>
      <c r="U254" s="532">
        <f t="shared" si="278"/>
        <v>41.509820000000005</v>
      </c>
      <c r="V254" s="532">
        <f t="shared" si="278"/>
        <v>41.774317000000003</v>
      </c>
      <c r="W254" s="532">
        <f t="shared" si="278"/>
        <v>42.285611000000003</v>
      </c>
      <c r="X254" s="532">
        <f t="shared" si="278"/>
        <v>42.734254999999997</v>
      </c>
      <c r="Y254" s="532">
        <f t="shared" si="278"/>
        <v>42.284328999999993</v>
      </c>
      <c r="Z254" s="532">
        <f t="shared" si="278"/>
        <v>40.513210000000001</v>
      </c>
      <c r="AA254" s="532">
        <f t="shared" si="278"/>
        <v>41.183923</v>
      </c>
      <c r="AB254" s="532">
        <f t="shared" si="278"/>
        <v>41.724164000000002</v>
      </c>
      <c r="AC254" s="532">
        <f t="shared" si="278"/>
        <v>42.951616000000001</v>
      </c>
      <c r="AD254" s="532">
        <f t="shared" si="278"/>
        <v>42.772080000000003</v>
      </c>
      <c r="AE254" s="532">
        <f t="shared" si="278"/>
        <v>43.487414000000001</v>
      </c>
      <c r="AF254" s="532">
        <f t="shared" si="278"/>
        <v>41.471345999999997</v>
      </c>
      <c r="AG254" s="532">
        <f t="shared" si="278"/>
        <v>41.338633999999999</v>
      </c>
      <c r="AH254" s="532">
        <f t="shared" si="278"/>
        <v>42.536331000000004</v>
      </c>
      <c r="AI254" s="532">
        <f t="shared" ref="AI254:AX254" si="279">AI240+AI251</f>
        <v>43.742488000000002</v>
      </c>
      <c r="AJ254" s="532">
        <f t="shared" si="279"/>
        <v>42.501253999999996</v>
      </c>
      <c r="AK254" s="532">
        <f t="shared" si="279"/>
        <v>42.947590999999996</v>
      </c>
      <c r="AL254" s="532">
        <f t="shared" si="279"/>
        <v>43.415182000000001</v>
      </c>
      <c r="AM254" s="532">
        <f t="shared" si="279"/>
        <v>43.615258999999995</v>
      </c>
      <c r="AN254" s="532">
        <f t="shared" si="279"/>
        <v>43.187330000000003</v>
      </c>
      <c r="AO254" s="532">
        <f t="shared" si="279"/>
        <v>43.080680000000008</v>
      </c>
      <c r="AP254" s="532">
        <f t="shared" si="279"/>
        <v>43.456593999999996</v>
      </c>
      <c r="AQ254" s="532">
        <f t="shared" si="279"/>
        <v>43.730401999999998</v>
      </c>
      <c r="AR254" s="532">
        <f t="shared" si="279"/>
        <v>43.385105999999993</v>
      </c>
      <c r="AS254" s="532">
        <f t="shared" si="279"/>
        <v>43.380274999999997</v>
      </c>
      <c r="AT254" s="532">
        <f t="shared" si="279"/>
        <v>43.419263000000008</v>
      </c>
      <c r="AU254" s="534">
        <f t="shared" si="279"/>
        <v>43.828910999999998</v>
      </c>
      <c r="AV254" s="532">
        <f t="shared" ca="1" si="279"/>
        <v>43.780002369999998</v>
      </c>
      <c r="AW254" s="532">
        <f t="shared" ca="1" si="279"/>
        <v>43.780002369999998</v>
      </c>
      <c r="AX254" s="532">
        <f t="shared" ca="1" si="279"/>
        <v>43.780002369999998</v>
      </c>
      <c r="AY254" s="532"/>
      <c r="AZ254" s="156">
        <f t="shared" ref="AZ254:BS254" si="280">AZ240+AZ251</f>
        <v>30.184272</v>
      </c>
      <c r="BA254" s="156">
        <f t="shared" si="280"/>
        <v>30.898122000000001</v>
      </c>
      <c r="BB254" s="156">
        <f t="shared" si="280"/>
        <v>39.214455000000001</v>
      </c>
      <c r="BC254" s="156">
        <f t="shared" si="280"/>
        <v>42.125118000000001</v>
      </c>
      <c r="BD254" s="156">
        <f t="shared" si="280"/>
        <v>43.023359000000006</v>
      </c>
      <c r="BE254" s="156">
        <f t="shared" si="280"/>
        <v>39.150781000000002</v>
      </c>
      <c r="BF254" s="156">
        <f t="shared" si="280"/>
        <v>38.532573000000006</v>
      </c>
      <c r="BG254" s="156">
        <f t="shared" si="280"/>
        <v>40.988515</v>
      </c>
      <c r="BH254" s="156">
        <f t="shared" si="280"/>
        <v>41.774317000000003</v>
      </c>
      <c r="BI254" s="156">
        <f t="shared" si="280"/>
        <v>40.513210000000001</v>
      </c>
      <c r="BJ254" s="156">
        <f t="shared" si="280"/>
        <v>42.772080000000003</v>
      </c>
      <c r="BK254" s="156">
        <f t="shared" si="280"/>
        <v>42.536331000000004</v>
      </c>
      <c r="BL254" s="156">
        <f t="shared" si="280"/>
        <v>43.415182000000001</v>
      </c>
      <c r="BM254" s="156">
        <f t="shared" si="280"/>
        <v>43.456593999999996</v>
      </c>
      <c r="BN254" s="730">
        <f t="shared" si="280"/>
        <v>43.419263000000008</v>
      </c>
      <c r="BO254" s="156">
        <f t="shared" ca="1" si="280"/>
        <v>43.780002369999998</v>
      </c>
      <c r="BP254" s="156" t="e">
        <f t="shared" si="280"/>
        <v>#REF!</v>
      </c>
      <c r="BQ254" s="156" t="e">
        <f t="shared" ca="1" si="280"/>
        <v>#REF!</v>
      </c>
      <c r="BR254" s="156" t="e">
        <f t="shared" ca="1" si="280"/>
        <v>#REF!</v>
      </c>
      <c r="BS254" s="156" t="e">
        <f t="shared" ca="1" si="280"/>
        <v>#REF!</v>
      </c>
      <c r="BT254" s="533"/>
    </row>
    <row r="255" spans="1:72" s="17" customFormat="1" ht="15" customHeight="1" x14ac:dyDescent="0.35">
      <c r="A255" s="431"/>
      <c r="B255" s="308"/>
      <c r="C255" s="532"/>
      <c r="D255" s="532"/>
      <c r="E255" s="532"/>
      <c r="F255" s="532"/>
      <c r="G255" s="532"/>
      <c r="H255" s="532"/>
      <c r="I255" s="532"/>
      <c r="J255" s="532"/>
      <c r="K255" s="532"/>
      <c r="L255" s="532"/>
      <c r="M255" s="532"/>
      <c r="N255" s="532"/>
      <c r="O255" s="532"/>
      <c r="P255" s="532"/>
      <c r="Q255" s="532"/>
      <c r="R255" s="532"/>
      <c r="S255" s="532"/>
      <c r="T255" s="532"/>
      <c r="U255" s="532"/>
      <c r="V255" s="532"/>
      <c r="W255" s="532"/>
      <c r="X255" s="532"/>
      <c r="Y255" s="532"/>
      <c r="Z255" s="532"/>
      <c r="AA255" s="532"/>
      <c r="AB255" s="532"/>
      <c r="AC255" s="532"/>
      <c r="AD255" s="532"/>
      <c r="AE255" s="532"/>
      <c r="AF255" s="532"/>
      <c r="AG255" s="532"/>
      <c r="AH255" s="532"/>
      <c r="AI255" s="532"/>
      <c r="AJ255" s="532"/>
      <c r="AK255" s="532"/>
      <c r="AL255" s="532"/>
      <c r="AM255" s="532"/>
      <c r="AN255" s="532"/>
      <c r="AO255" s="532"/>
      <c r="AP255" s="532"/>
      <c r="AQ255" s="532"/>
      <c r="AR255" s="532"/>
      <c r="AS255" s="532"/>
      <c r="AT255" s="532"/>
      <c r="AU255" s="534"/>
      <c r="AV255" s="532"/>
      <c r="AW255" s="532"/>
      <c r="AX255" s="532"/>
      <c r="AY255" s="532"/>
      <c r="AZ255" s="156"/>
      <c r="BA255" s="156"/>
      <c r="BB255" s="156"/>
      <c r="BC255" s="156"/>
      <c r="BD255" s="156"/>
      <c r="BE255" s="156"/>
      <c r="BF255" s="156"/>
      <c r="BG255" s="156"/>
      <c r="BH255" s="156"/>
      <c r="BI255" s="156"/>
      <c r="BJ255" s="156"/>
      <c r="BK255" s="156"/>
      <c r="BL255" s="156"/>
      <c r="BM255" s="156"/>
      <c r="BN255" s="730"/>
      <c r="BO255" s="156"/>
      <c r="BP255" s="156"/>
      <c r="BQ255" s="156"/>
      <c r="BR255" s="156"/>
      <c r="BS255" s="156"/>
      <c r="BT255" s="533"/>
    </row>
    <row r="256" spans="1:72" s="1" customFormat="1" x14ac:dyDescent="0.35">
      <c r="A256" s="527" t="s">
        <v>91</v>
      </c>
      <c r="B256" s="527"/>
      <c r="C256" s="527"/>
      <c r="D256" s="527"/>
      <c r="E256" s="527"/>
      <c r="F256" s="527"/>
      <c r="G256" s="527"/>
      <c r="H256" s="527"/>
      <c r="I256" s="527"/>
      <c r="J256" s="527"/>
      <c r="K256" s="527"/>
      <c r="L256" s="527"/>
      <c r="M256" s="527"/>
      <c r="N256" s="527"/>
      <c r="O256" s="527"/>
      <c r="P256" s="527"/>
      <c r="Q256" s="527"/>
      <c r="R256" s="527"/>
      <c r="S256" s="527"/>
      <c r="T256" s="527"/>
      <c r="U256" s="527"/>
      <c r="V256" s="527"/>
      <c r="W256" s="527"/>
      <c r="X256" s="527"/>
      <c r="Y256" s="527"/>
      <c r="Z256" s="527"/>
      <c r="AA256" s="527"/>
      <c r="AB256" s="527"/>
      <c r="AC256" s="527"/>
      <c r="AD256" s="527"/>
      <c r="AE256" s="527"/>
      <c r="AF256" s="527"/>
      <c r="AG256" s="527"/>
      <c r="AH256" s="527"/>
      <c r="AI256" s="527"/>
      <c r="AJ256" s="527"/>
      <c r="AK256" s="527"/>
      <c r="AL256" s="527"/>
      <c r="AM256" s="527"/>
      <c r="AN256" s="527"/>
      <c r="AO256" s="527"/>
      <c r="AP256" s="527"/>
      <c r="AQ256" s="527"/>
      <c r="AR256" s="527"/>
      <c r="AS256" s="527"/>
      <c r="AT256" s="527"/>
      <c r="AU256" s="547"/>
      <c r="AV256" s="527"/>
      <c r="AW256" s="527"/>
      <c r="AX256" s="527"/>
      <c r="AY256" s="527"/>
      <c r="AZ256" s="527"/>
      <c r="BA256" s="527"/>
      <c r="BB256" s="527"/>
      <c r="BC256" s="527"/>
      <c r="BD256" s="527"/>
      <c r="BE256" s="527"/>
      <c r="BF256" s="527"/>
      <c r="BG256" s="527"/>
      <c r="BH256" s="527"/>
      <c r="BI256" s="527"/>
      <c r="BJ256" s="527"/>
      <c r="BK256" s="527"/>
      <c r="BL256" s="527"/>
      <c r="BM256" s="527"/>
      <c r="BN256" s="547"/>
      <c r="BO256" s="527"/>
      <c r="BP256" s="527"/>
      <c r="BQ256" s="527"/>
      <c r="BR256" s="527"/>
      <c r="BS256" s="527"/>
      <c r="BT256" s="530"/>
    </row>
    <row r="257" spans="1:72" s="17" customFormat="1" hidden="1" outlineLevel="1" x14ac:dyDescent="0.35">
      <c r="A257" s="533" t="s">
        <v>92</v>
      </c>
      <c r="B257" s="308"/>
      <c r="C257" s="533">
        <f t="shared" ref="C257:AH257" si="281">C435</f>
        <v>26.291</v>
      </c>
      <c r="D257" s="533">
        <f t="shared" si="281"/>
        <v>33.683</v>
      </c>
      <c r="E257" s="533">
        <f t="shared" si="281"/>
        <v>37.778000000000006</v>
      </c>
      <c r="F257" s="533">
        <f t="shared" si="281"/>
        <v>18.71299999999999</v>
      </c>
      <c r="G257" s="533">
        <f t="shared" si="281"/>
        <v>11.746999999999998</v>
      </c>
      <c r="H257" s="533">
        <f t="shared" si="281"/>
        <v>40.061999999999998</v>
      </c>
      <c r="I257" s="533">
        <f t="shared" si="281"/>
        <v>45.451000000000001</v>
      </c>
      <c r="J257" s="533">
        <f t="shared" si="281"/>
        <v>21.319999999999993</v>
      </c>
      <c r="K257" s="533">
        <f t="shared" si="281"/>
        <v>22.186</v>
      </c>
      <c r="L257" s="533">
        <f t="shared" si="281"/>
        <v>32.931000000000004</v>
      </c>
      <c r="M257" s="533">
        <f t="shared" si="281"/>
        <v>38.369000000000007</v>
      </c>
      <c r="N257" s="533">
        <f t="shared" si="281"/>
        <v>31.203999999999997</v>
      </c>
      <c r="O257" s="533">
        <f t="shared" si="281"/>
        <v>19.287000000000003</v>
      </c>
      <c r="P257" s="533">
        <f t="shared" si="281"/>
        <v>29.075999999999997</v>
      </c>
      <c r="Q257" s="533">
        <f t="shared" si="281"/>
        <v>29.892999999999997</v>
      </c>
      <c r="R257" s="533">
        <f t="shared" si="281"/>
        <v>20.978999999999992</v>
      </c>
      <c r="S257" s="533">
        <f t="shared" si="281"/>
        <v>19.547999999999998</v>
      </c>
      <c r="T257" s="533">
        <f t="shared" si="281"/>
        <v>31.018000000000001</v>
      </c>
      <c r="U257" s="533">
        <f t="shared" si="281"/>
        <v>34.795999999999999</v>
      </c>
      <c r="V257" s="533">
        <f t="shared" si="281"/>
        <v>22.789999999999996</v>
      </c>
      <c r="W257" s="533">
        <f t="shared" si="281"/>
        <v>25.863999999999997</v>
      </c>
      <c r="X257" s="533">
        <f t="shared" si="281"/>
        <v>32.550000000000004</v>
      </c>
      <c r="Y257" s="533">
        <f t="shared" si="281"/>
        <v>32.508000000000003</v>
      </c>
      <c r="Z257" s="533">
        <f t="shared" si="281"/>
        <v>37.471000000000004</v>
      </c>
      <c r="AA257" s="533">
        <f t="shared" si="281"/>
        <v>23.496000000000002</v>
      </c>
      <c r="AB257" s="533">
        <f t="shared" si="281"/>
        <v>47.363999999999997</v>
      </c>
      <c r="AC257" s="533">
        <f t="shared" si="281"/>
        <v>41.87700000000001</v>
      </c>
      <c r="AD257" s="533">
        <f t="shared" si="281"/>
        <v>26.551000000000002</v>
      </c>
      <c r="AE257" s="533">
        <f t="shared" si="281"/>
        <v>20.574999999999996</v>
      </c>
      <c r="AF257" s="533">
        <f t="shared" si="281"/>
        <v>43.481999999999999</v>
      </c>
      <c r="AG257" s="533">
        <f t="shared" si="281"/>
        <v>38.804000000000002</v>
      </c>
      <c r="AH257" s="533">
        <f t="shared" si="281"/>
        <v>38.5</v>
      </c>
      <c r="AI257" s="533">
        <f t="shared" ref="AI257:AX257" si="282">AI435</f>
        <v>64.786999999999992</v>
      </c>
      <c r="AJ257" s="533">
        <f t="shared" si="282"/>
        <v>65.385999999999996</v>
      </c>
      <c r="AK257" s="533">
        <f t="shared" si="282"/>
        <v>67.725999999999999</v>
      </c>
      <c r="AL257" s="533">
        <f t="shared" si="282"/>
        <v>54.024999999999991</v>
      </c>
      <c r="AM257" s="533">
        <f t="shared" si="282"/>
        <v>41.920000000000009</v>
      </c>
      <c r="AN257" s="533">
        <f t="shared" si="282"/>
        <v>79.587000000000003</v>
      </c>
      <c r="AO257" s="533">
        <f t="shared" si="282"/>
        <v>80.021000000000001</v>
      </c>
      <c r="AP257" s="533">
        <f t="shared" si="282"/>
        <v>70.281000000000006</v>
      </c>
      <c r="AQ257" s="533">
        <f t="shared" si="282"/>
        <v>28.173000000000002</v>
      </c>
      <c r="AR257" s="533">
        <f t="shared" si="282"/>
        <v>79.515000000000015</v>
      </c>
      <c r="AS257" s="533">
        <f t="shared" si="282"/>
        <v>90.804000000000016</v>
      </c>
      <c r="AT257" s="533">
        <f t="shared" si="282"/>
        <v>72.197000000000003</v>
      </c>
      <c r="AU257" s="576">
        <f t="shared" si="282"/>
        <v>64.212999999999994</v>
      </c>
      <c r="AV257" s="532">
        <f t="shared" si="282"/>
        <v>89.940174303484127</v>
      </c>
      <c r="AW257" s="532">
        <f t="shared" ca="1" si="282"/>
        <v>92.545016660617989</v>
      </c>
      <c r="AX257" s="532">
        <f t="shared" ca="1" si="282"/>
        <v>78.5582215542955</v>
      </c>
      <c r="AY257" s="532"/>
      <c r="AZ257" s="755">
        <f t="shared" ref="AZ257:BS257" si="283">AZ435</f>
        <v>38.190000000000005</v>
      </c>
      <c r="BA257" s="755">
        <f t="shared" si="283"/>
        <v>61.653999999999996</v>
      </c>
      <c r="BB257" s="755">
        <f t="shared" si="283"/>
        <v>72.839999999999989</v>
      </c>
      <c r="BC257" s="755">
        <f t="shared" si="283"/>
        <v>100.48799999999999</v>
      </c>
      <c r="BD257" s="755">
        <f t="shared" si="283"/>
        <v>116.46499999999997</v>
      </c>
      <c r="BE257" s="755">
        <f t="shared" si="283"/>
        <v>118.58</v>
      </c>
      <c r="BF257" s="755">
        <f t="shared" si="283"/>
        <v>124.69000000000003</v>
      </c>
      <c r="BG257" s="755">
        <f t="shared" si="283"/>
        <v>99.234999999999999</v>
      </c>
      <c r="BH257" s="755">
        <f t="shared" si="283"/>
        <v>108.152</v>
      </c>
      <c r="BI257" s="755">
        <f t="shared" si="283"/>
        <v>128.393</v>
      </c>
      <c r="BJ257" s="755">
        <f t="shared" si="283"/>
        <v>139.28800000000001</v>
      </c>
      <c r="BK257" s="755">
        <f t="shared" si="283"/>
        <v>141.36099999999999</v>
      </c>
      <c r="BL257" s="755">
        <f t="shared" si="283"/>
        <v>251.92400000000001</v>
      </c>
      <c r="BM257" s="755">
        <f t="shared" si="283"/>
        <v>271.80899999999997</v>
      </c>
      <c r="BN257" s="756">
        <f t="shared" si="283"/>
        <v>270.68900000000002</v>
      </c>
      <c r="BO257" s="156">
        <f t="shared" ca="1" si="283"/>
        <v>325.25641251839772</v>
      </c>
      <c r="BP257" s="156" t="e">
        <f t="shared" si="283"/>
        <v>#REF!</v>
      </c>
      <c r="BQ257" s="156" t="e">
        <f t="shared" si="283"/>
        <v>#REF!</v>
      </c>
      <c r="BR257" s="156" t="e">
        <f t="shared" si="283"/>
        <v>#REF!</v>
      </c>
      <c r="BS257" s="156" t="e">
        <f t="shared" ca="1" si="283"/>
        <v>#REF!</v>
      </c>
      <c r="BT257" s="533"/>
    </row>
    <row r="258" spans="1:72" s="17" customFormat="1" hidden="1" outlineLevel="1" x14ac:dyDescent="0.35">
      <c r="A258" s="456" t="s">
        <v>612</v>
      </c>
      <c r="B258" s="362"/>
      <c r="C258" s="535">
        <f t="shared" ref="C258:AH258" si="284">C259-C257</f>
        <v>-43.505000000000003</v>
      </c>
      <c r="D258" s="535">
        <f t="shared" si="284"/>
        <v>15.583000000000006</v>
      </c>
      <c r="E258" s="535">
        <f t="shared" si="284"/>
        <v>-10.614000000000011</v>
      </c>
      <c r="F258" s="535">
        <f t="shared" si="284"/>
        <v>17.364000000000008</v>
      </c>
      <c r="G258" s="535">
        <f t="shared" si="284"/>
        <v>-15.660000000000021</v>
      </c>
      <c r="H258" s="535">
        <f t="shared" si="284"/>
        <v>-15.596999999999994</v>
      </c>
      <c r="I258" s="535">
        <f t="shared" si="284"/>
        <v>15.502999999999993</v>
      </c>
      <c r="J258" s="535">
        <f t="shared" si="284"/>
        <v>20.047000000000004</v>
      </c>
      <c r="K258" s="535">
        <f t="shared" si="284"/>
        <v>-49.596000000000004</v>
      </c>
      <c r="L258" s="535">
        <f t="shared" si="284"/>
        <v>1.4880000000000067</v>
      </c>
      <c r="M258" s="535">
        <f t="shared" si="284"/>
        <v>0.3609999999999971</v>
      </c>
      <c r="N258" s="535">
        <f t="shared" si="284"/>
        <v>43.142000000000024</v>
      </c>
      <c r="O258" s="535">
        <f t="shared" si="284"/>
        <v>-43.228000000000002</v>
      </c>
      <c r="P258" s="535">
        <f t="shared" si="284"/>
        <v>7.8140000000000036</v>
      </c>
      <c r="Q258" s="535">
        <f t="shared" si="284"/>
        <v>18.279999999999998</v>
      </c>
      <c r="R258" s="535">
        <f t="shared" si="284"/>
        <v>39.676999999999985</v>
      </c>
      <c r="S258" s="535">
        <f t="shared" si="284"/>
        <v>-79.477999999999994</v>
      </c>
      <c r="T258" s="535">
        <f t="shared" si="284"/>
        <v>39.162999999999982</v>
      </c>
      <c r="U258" s="535">
        <f t="shared" si="284"/>
        <v>-7.6720000000000041</v>
      </c>
      <c r="V258" s="535">
        <f t="shared" si="284"/>
        <v>28.562999999999992</v>
      </c>
      <c r="W258" s="535">
        <f t="shared" si="284"/>
        <v>-86.086000000000013</v>
      </c>
      <c r="X258" s="535">
        <f t="shared" si="284"/>
        <v>24.934999999999995</v>
      </c>
      <c r="Y258" s="535">
        <f t="shared" si="284"/>
        <v>23.639999999999993</v>
      </c>
      <c r="Z258" s="535">
        <f t="shared" si="284"/>
        <v>12.745000000000005</v>
      </c>
      <c r="AA258" s="535">
        <f t="shared" si="284"/>
        <v>-72.587999999999994</v>
      </c>
      <c r="AB258" s="535">
        <f t="shared" si="284"/>
        <v>26.613000000000007</v>
      </c>
      <c r="AC258" s="535">
        <f t="shared" si="284"/>
        <v>6.5339999999999918</v>
      </c>
      <c r="AD258" s="535">
        <f t="shared" si="284"/>
        <v>41.759</v>
      </c>
      <c r="AE258" s="535">
        <f t="shared" si="284"/>
        <v>-107.38899999999998</v>
      </c>
      <c r="AF258" s="535">
        <f t="shared" si="284"/>
        <v>22.067000000000007</v>
      </c>
      <c r="AG258" s="535">
        <f t="shared" si="284"/>
        <v>-14.513999999999996</v>
      </c>
      <c r="AH258" s="535">
        <f t="shared" si="284"/>
        <v>38.89</v>
      </c>
      <c r="AI258" s="535">
        <f t="shared" ref="AI258:AX258" si="285">AI259-AI257</f>
        <v>-179.32</v>
      </c>
      <c r="AJ258" s="535">
        <f t="shared" si="285"/>
        <v>-30.810000000000002</v>
      </c>
      <c r="AK258" s="535">
        <f t="shared" si="285"/>
        <v>23.353000000000023</v>
      </c>
      <c r="AL258" s="535">
        <f t="shared" si="285"/>
        <v>69.003</v>
      </c>
      <c r="AM258" s="535">
        <f t="shared" si="285"/>
        <v>-173.43</v>
      </c>
      <c r="AN258" s="535">
        <f t="shared" si="285"/>
        <v>40.25500000000001</v>
      </c>
      <c r="AO258" s="535">
        <f t="shared" si="285"/>
        <v>13.049999999999983</v>
      </c>
      <c r="AP258" s="535">
        <f t="shared" si="285"/>
        <v>55.199999999999989</v>
      </c>
      <c r="AQ258" s="535">
        <f t="shared" si="285"/>
        <v>-171.31899999999999</v>
      </c>
      <c r="AR258" s="535">
        <f t="shared" si="285"/>
        <v>84.813000000000017</v>
      </c>
      <c r="AS258" s="535">
        <f t="shared" si="285"/>
        <v>-5.7660000000000053</v>
      </c>
      <c r="AT258" s="535">
        <f t="shared" si="285"/>
        <v>24.733000000000004</v>
      </c>
      <c r="AU258" s="536">
        <f t="shared" si="285"/>
        <v>-199.51800000000003</v>
      </c>
      <c r="AV258" s="535">
        <f t="shared" si="285"/>
        <v>100.53624971993736</v>
      </c>
      <c r="AW258" s="535">
        <f t="shared" ca="1" si="285"/>
        <v>9.7353234845297436</v>
      </c>
      <c r="AX258" s="535">
        <f t="shared" ca="1" si="285"/>
        <v>29.263140621723522</v>
      </c>
      <c r="AY258" s="535"/>
      <c r="AZ258" s="731">
        <f t="shared" ref="AZ258:BS258" si="286">AZ259-AZ257</f>
        <v>-47.545000000000009</v>
      </c>
      <c r="BA258" s="731">
        <f t="shared" si="286"/>
        <v>-6.9739999999999966</v>
      </c>
      <c r="BB258" s="731">
        <f t="shared" si="286"/>
        <v>-5.6269999999999953</v>
      </c>
      <c r="BC258" s="731">
        <f t="shared" si="286"/>
        <v>-67.497</v>
      </c>
      <c r="BD258" s="731">
        <f t="shared" si="286"/>
        <v>-21.171999999999997</v>
      </c>
      <c r="BE258" s="731">
        <f t="shared" si="286"/>
        <v>4.2930000000000064</v>
      </c>
      <c r="BF258" s="731">
        <f t="shared" si="286"/>
        <v>-4.605000000000004</v>
      </c>
      <c r="BG258" s="731">
        <f t="shared" si="286"/>
        <v>22.542999999999992</v>
      </c>
      <c r="BH258" s="731">
        <f t="shared" si="286"/>
        <v>-19.424000000000007</v>
      </c>
      <c r="BI258" s="731">
        <f t="shared" si="286"/>
        <v>-24.766000000000005</v>
      </c>
      <c r="BJ258" s="731">
        <f t="shared" si="286"/>
        <v>2.3179999999999836</v>
      </c>
      <c r="BK258" s="731">
        <f t="shared" si="286"/>
        <v>-60.945999999999998</v>
      </c>
      <c r="BL258" s="731">
        <f t="shared" si="286"/>
        <v>-117.774</v>
      </c>
      <c r="BM258" s="731">
        <f t="shared" si="286"/>
        <v>-64.925000000000011</v>
      </c>
      <c r="BN258" s="733">
        <f t="shared" si="286"/>
        <v>-67.538999999999987</v>
      </c>
      <c r="BO258" s="731">
        <f t="shared" ca="1" si="286"/>
        <v>-59.983286173809347</v>
      </c>
      <c r="BP258" s="731" t="e">
        <f t="shared" si="286"/>
        <v>#REF!</v>
      </c>
      <c r="BQ258" s="731" t="e">
        <f t="shared" si="286"/>
        <v>#REF!</v>
      </c>
      <c r="BR258" s="731" t="e">
        <f t="shared" si="286"/>
        <v>#REF!</v>
      </c>
      <c r="BS258" s="731" t="e">
        <f t="shared" ca="1" si="286"/>
        <v>#REF!</v>
      </c>
      <c r="BT258" s="533"/>
    </row>
    <row r="259" spans="1:72" s="17" customFormat="1" collapsed="1" x14ac:dyDescent="0.35">
      <c r="A259" s="354" t="s">
        <v>613</v>
      </c>
      <c r="B259" s="307"/>
      <c r="C259" s="529">
        <f t="shared" ref="C259:AH259" si="287">C449</f>
        <v>-17.214000000000002</v>
      </c>
      <c r="D259" s="529">
        <f t="shared" si="287"/>
        <v>49.266000000000005</v>
      </c>
      <c r="E259" s="529">
        <f t="shared" si="287"/>
        <v>27.163999999999994</v>
      </c>
      <c r="F259" s="529">
        <f t="shared" si="287"/>
        <v>36.076999999999998</v>
      </c>
      <c r="G259" s="529">
        <f t="shared" si="287"/>
        <v>-3.9130000000000233</v>
      </c>
      <c r="H259" s="529">
        <f t="shared" si="287"/>
        <v>24.465000000000003</v>
      </c>
      <c r="I259" s="529">
        <f t="shared" si="287"/>
        <v>60.953999999999994</v>
      </c>
      <c r="J259" s="529">
        <f t="shared" si="287"/>
        <v>41.366999999999997</v>
      </c>
      <c r="K259" s="529">
        <f t="shared" si="287"/>
        <v>-27.410000000000004</v>
      </c>
      <c r="L259" s="529">
        <f t="shared" si="287"/>
        <v>34.419000000000011</v>
      </c>
      <c r="M259" s="529">
        <f t="shared" si="287"/>
        <v>38.730000000000004</v>
      </c>
      <c r="N259" s="529">
        <f t="shared" si="287"/>
        <v>74.346000000000018</v>
      </c>
      <c r="O259" s="529">
        <f t="shared" si="287"/>
        <v>-23.940999999999999</v>
      </c>
      <c r="P259" s="529">
        <f t="shared" si="287"/>
        <v>36.89</v>
      </c>
      <c r="Q259" s="529">
        <f t="shared" si="287"/>
        <v>48.172999999999995</v>
      </c>
      <c r="R259" s="529">
        <f t="shared" si="287"/>
        <v>60.655999999999977</v>
      </c>
      <c r="S259" s="529">
        <f t="shared" si="287"/>
        <v>-59.929999999999993</v>
      </c>
      <c r="T259" s="529">
        <f t="shared" si="287"/>
        <v>70.180999999999983</v>
      </c>
      <c r="U259" s="529">
        <f t="shared" si="287"/>
        <v>27.123999999999995</v>
      </c>
      <c r="V259" s="529">
        <f t="shared" si="287"/>
        <v>51.352999999999987</v>
      </c>
      <c r="W259" s="529">
        <f t="shared" si="287"/>
        <v>-60.222000000000016</v>
      </c>
      <c r="X259" s="529">
        <f t="shared" si="287"/>
        <v>57.484999999999999</v>
      </c>
      <c r="Y259" s="529">
        <f t="shared" si="287"/>
        <v>56.147999999999996</v>
      </c>
      <c r="Z259" s="529">
        <f t="shared" si="287"/>
        <v>50.216000000000008</v>
      </c>
      <c r="AA259" s="529">
        <f t="shared" si="287"/>
        <v>-49.091999999999992</v>
      </c>
      <c r="AB259" s="529">
        <f t="shared" si="287"/>
        <v>73.977000000000004</v>
      </c>
      <c r="AC259" s="529">
        <f t="shared" si="287"/>
        <v>48.411000000000001</v>
      </c>
      <c r="AD259" s="529">
        <f t="shared" si="287"/>
        <v>68.31</v>
      </c>
      <c r="AE259" s="529">
        <f t="shared" si="287"/>
        <v>-86.813999999999993</v>
      </c>
      <c r="AF259" s="529">
        <f t="shared" si="287"/>
        <v>65.549000000000007</v>
      </c>
      <c r="AG259" s="529">
        <f t="shared" si="287"/>
        <v>24.290000000000006</v>
      </c>
      <c r="AH259" s="529">
        <f t="shared" si="287"/>
        <v>77.39</v>
      </c>
      <c r="AI259" s="529">
        <f t="shared" ref="AI259:AX259" si="288">AI449</f>
        <v>-114.533</v>
      </c>
      <c r="AJ259" s="529">
        <f t="shared" si="288"/>
        <v>34.575999999999993</v>
      </c>
      <c r="AK259" s="529">
        <f t="shared" si="288"/>
        <v>91.079000000000022</v>
      </c>
      <c r="AL259" s="529">
        <f t="shared" si="288"/>
        <v>123.02799999999999</v>
      </c>
      <c r="AM259" s="529">
        <f t="shared" si="288"/>
        <v>-131.51</v>
      </c>
      <c r="AN259" s="529">
        <f t="shared" si="288"/>
        <v>119.84200000000001</v>
      </c>
      <c r="AO259" s="529">
        <f t="shared" si="288"/>
        <v>93.070999999999984</v>
      </c>
      <c r="AP259" s="529">
        <f t="shared" si="288"/>
        <v>125.48099999999999</v>
      </c>
      <c r="AQ259" s="529">
        <f t="shared" si="288"/>
        <v>-143.14599999999999</v>
      </c>
      <c r="AR259" s="529">
        <f t="shared" si="288"/>
        <v>164.32800000000003</v>
      </c>
      <c r="AS259" s="529">
        <f t="shared" si="288"/>
        <v>85.038000000000011</v>
      </c>
      <c r="AT259" s="529">
        <f t="shared" si="288"/>
        <v>96.93</v>
      </c>
      <c r="AU259" s="531">
        <f t="shared" si="288"/>
        <v>-135.30500000000004</v>
      </c>
      <c r="AV259" s="529">
        <f t="shared" si="288"/>
        <v>190.47642402342149</v>
      </c>
      <c r="AW259" s="529">
        <f t="shared" ca="1" si="288"/>
        <v>102.28034014514773</v>
      </c>
      <c r="AX259" s="529">
        <f t="shared" ca="1" si="288"/>
        <v>107.82136217601902</v>
      </c>
      <c r="AY259" s="529"/>
      <c r="AZ259" s="726">
        <f t="shared" ref="AZ259:BS259" si="289">AZ449</f>
        <v>-9.355000000000004</v>
      </c>
      <c r="BA259" s="726">
        <f t="shared" si="289"/>
        <v>54.68</v>
      </c>
      <c r="BB259" s="726">
        <f t="shared" si="289"/>
        <v>67.212999999999994</v>
      </c>
      <c r="BC259" s="726">
        <f t="shared" si="289"/>
        <v>32.990999999999985</v>
      </c>
      <c r="BD259" s="726">
        <f t="shared" si="289"/>
        <v>95.292999999999978</v>
      </c>
      <c r="BE259" s="726">
        <f t="shared" si="289"/>
        <v>122.873</v>
      </c>
      <c r="BF259" s="726">
        <f t="shared" si="289"/>
        <v>120.08500000000002</v>
      </c>
      <c r="BG259" s="726">
        <f t="shared" si="289"/>
        <v>121.77799999999999</v>
      </c>
      <c r="BH259" s="726">
        <f t="shared" si="289"/>
        <v>88.727999999999994</v>
      </c>
      <c r="BI259" s="726">
        <f t="shared" si="289"/>
        <v>103.627</v>
      </c>
      <c r="BJ259" s="726">
        <f t="shared" si="289"/>
        <v>141.60599999999999</v>
      </c>
      <c r="BK259" s="726">
        <f t="shared" si="289"/>
        <v>80.414999999999992</v>
      </c>
      <c r="BL259" s="726">
        <f t="shared" si="289"/>
        <v>134.15</v>
      </c>
      <c r="BM259" s="726">
        <f t="shared" si="289"/>
        <v>206.88399999999996</v>
      </c>
      <c r="BN259" s="728">
        <f t="shared" si="289"/>
        <v>203.15000000000003</v>
      </c>
      <c r="BO259" s="726">
        <f t="shared" ca="1" si="289"/>
        <v>265.27312634458838</v>
      </c>
      <c r="BP259" s="726" t="e">
        <f t="shared" si="289"/>
        <v>#REF!</v>
      </c>
      <c r="BQ259" s="726" t="e">
        <f t="shared" si="289"/>
        <v>#REF!</v>
      </c>
      <c r="BR259" s="726" t="e">
        <f t="shared" si="289"/>
        <v>#REF!</v>
      </c>
      <c r="BS259" s="726" t="e">
        <f t="shared" ca="1" si="289"/>
        <v>#REF!</v>
      </c>
      <c r="BT259" s="533"/>
    </row>
    <row r="260" spans="1:72" s="21" customFormat="1" hidden="1" outlineLevel="1" x14ac:dyDescent="0.35">
      <c r="A260" s="457" t="s">
        <v>93</v>
      </c>
      <c r="B260" s="305"/>
      <c r="C260" s="450">
        <f t="shared" ref="C260:AH260" si="290">C257/C236</f>
        <v>0.72971262350936406</v>
      </c>
      <c r="D260" s="450">
        <f t="shared" si="290"/>
        <v>0.93256869142392029</v>
      </c>
      <c r="E260" s="450">
        <f t="shared" si="290"/>
        <v>1.0411937397296223</v>
      </c>
      <c r="F260" s="450">
        <f t="shared" si="290"/>
        <v>0.47404227779227037</v>
      </c>
      <c r="G260" s="450">
        <f t="shared" si="290"/>
        <v>0.31020154571050967</v>
      </c>
      <c r="H260" s="450">
        <f t="shared" si="290"/>
        <v>1.0021205072047517</v>
      </c>
      <c r="I260" s="450">
        <f t="shared" si="290"/>
        <v>1.1478453384033729</v>
      </c>
      <c r="J260" s="450">
        <f t="shared" si="290"/>
        <v>0.55030177677008407</v>
      </c>
      <c r="K260" s="450">
        <f t="shared" si="290"/>
        <v>0.58855548995122275</v>
      </c>
      <c r="L260" s="450">
        <f t="shared" si="290"/>
        <v>0.88617506353262476</v>
      </c>
      <c r="M260" s="450">
        <f t="shared" si="290"/>
        <v>1.0256647139501067</v>
      </c>
      <c r="N260" s="450">
        <f t="shared" si="290"/>
        <v>0.83616294887585985</v>
      </c>
      <c r="O260" s="450">
        <f t="shared" si="290"/>
        <v>0.5152337774089103</v>
      </c>
      <c r="P260" s="450">
        <f t="shared" si="290"/>
        <v>0.77163805016332021</v>
      </c>
      <c r="Q260" s="450">
        <f t="shared" si="290"/>
        <v>0.76648971479931305</v>
      </c>
      <c r="R260" s="450">
        <f t="shared" si="290"/>
        <v>0.56442481938890032</v>
      </c>
      <c r="S260" s="450">
        <f t="shared" si="290"/>
        <v>0.5152521679377301</v>
      </c>
      <c r="T260" s="450">
        <f t="shared" si="290"/>
        <v>0.79518498036109986</v>
      </c>
      <c r="U260" s="450">
        <f t="shared" si="290"/>
        <v>0.88476117868516846</v>
      </c>
      <c r="V260" s="450">
        <f t="shared" si="290"/>
        <v>0.58801807514411719</v>
      </c>
      <c r="W260" s="450">
        <f t="shared" si="290"/>
        <v>0.66134515313065501</v>
      </c>
      <c r="X260" s="450">
        <f t="shared" si="290"/>
        <v>0.80003604217672042</v>
      </c>
      <c r="Y260" s="450">
        <f t="shared" si="290"/>
        <v>0.79742525935025155</v>
      </c>
      <c r="Z260" s="450">
        <f t="shared" si="290"/>
        <v>0.93732349827810491</v>
      </c>
      <c r="AA260" s="450">
        <f t="shared" si="290"/>
        <v>0.61133293554368939</v>
      </c>
      <c r="AB260" s="450">
        <f t="shared" si="290"/>
        <v>1.1745491535578443</v>
      </c>
      <c r="AC260" s="450">
        <f t="shared" si="290"/>
        <v>1.0029620875924057</v>
      </c>
      <c r="AD260" s="450">
        <f t="shared" si="290"/>
        <v>0.63721890224878208</v>
      </c>
      <c r="AE260" s="450">
        <f t="shared" si="290"/>
        <v>0.52368937856383979</v>
      </c>
      <c r="AF260" s="450">
        <f t="shared" si="290"/>
        <v>1.0877588652585173</v>
      </c>
      <c r="AG260" s="450">
        <f t="shared" si="290"/>
        <v>0.97158414335818677</v>
      </c>
      <c r="AH260" s="450">
        <f t="shared" si="290"/>
        <v>0.93521977932019673</v>
      </c>
      <c r="AI260" s="450">
        <f t="shared" ref="AI260:AX260" si="291">AI257/AI236</f>
        <v>1.5356127552825545</v>
      </c>
      <c r="AJ260" s="450">
        <f t="shared" si="291"/>
        <v>1.5908063818618974</v>
      </c>
      <c r="AK260" s="450">
        <f t="shared" si="291"/>
        <v>1.6244944382904991</v>
      </c>
      <c r="AL260" s="450">
        <f t="shared" si="291"/>
        <v>1.2786488039409032</v>
      </c>
      <c r="AM260" s="450">
        <f t="shared" si="291"/>
        <v>1.0335543722826361</v>
      </c>
      <c r="AN260" s="450">
        <f t="shared" si="291"/>
        <v>1.8965813517632353</v>
      </c>
      <c r="AO260" s="450">
        <f t="shared" si="291"/>
        <v>1.8991105049686441</v>
      </c>
      <c r="AP260" s="450">
        <f t="shared" si="291"/>
        <v>1.6507686534673449</v>
      </c>
      <c r="AQ260" s="450">
        <f t="shared" si="291"/>
        <v>0.66956411050809495</v>
      </c>
      <c r="AR260" s="450">
        <f t="shared" si="291"/>
        <v>1.8688597504135045</v>
      </c>
      <c r="AS260" s="450">
        <f t="shared" si="291"/>
        <v>2.1258558943898844</v>
      </c>
      <c r="AT260" s="450">
        <f t="shared" si="291"/>
        <v>1.6849028415946985</v>
      </c>
      <c r="AU260" s="501">
        <f t="shared" si="291"/>
        <v>1.4939375746599448</v>
      </c>
      <c r="AV260" s="450">
        <f t="shared" ca="1" si="291"/>
        <v>2.0532197203186047</v>
      </c>
      <c r="AW260" s="450">
        <f t="shared" ca="1" si="291"/>
        <v>2.1138650445581963</v>
      </c>
      <c r="AX260" s="450">
        <f t="shared" ca="1" si="291"/>
        <v>1.7943859593787295</v>
      </c>
      <c r="AY260" s="450"/>
      <c r="AZ260" s="790">
        <f t="shared" ref="AZ260:BS260" si="292">AZ257/AZ236</f>
        <v>1.2884626686919498</v>
      </c>
      <c r="BA260" s="790">
        <f t="shared" si="292"/>
        <v>2.0382374994640262</v>
      </c>
      <c r="BB260" s="791">
        <f t="shared" si="292"/>
        <v>2.2681158984804521</v>
      </c>
      <c r="BC260" s="791">
        <f t="shared" si="292"/>
        <v>2.5938503228490286</v>
      </c>
      <c r="BD260" s="791">
        <f t="shared" si="292"/>
        <v>2.9849545118972083</v>
      </c>
      <c r="BE260" s="791">
        <f t="shared" si="292"/>
        <v>3.0226469618701928</v>
      </c>
      <c r="BF260" s="791">
        <f t="shared" si="292"/>
        <v>3.3139824998654506</v>
      </c>
      <c r="BG260" s="791">
        <f t="shared" si="292"/>
        <v>2.554285944325704</v>
      </c>
      <c r="BH260" s="791">
        <f t="shared" si="292"/>
        <v>2.737960575818283</v>
      </c>
      <c r="BI260" s="791">
        <f t="shared" si="292"/>
        <v>3.159451961703386</v>
      </c>
      <c r="BJ260" s="791">
        <f t="shared" si="292"/>
        <v>3.4018483421582228</v>
      </c>
      <c r="BK260" s="791">
        <f t="shared" si="292"/>
        <v>3.4763844598254185</v>
      </c>
      <c r="BL260" s="791">
        <f t="shared" si="292"/>
        <v>6.0170180120749261</v>
      </c>
      <c r="BM260" s="791">
        <f t="shared" si="292"/>
        <v>6.4043176206396346</v>
      </c>
      <c r="BN260" s="792">
        <f t="shared" si="292"/>
        <v>6.335150622629957</v>
      </c>
      <c r="BO260" s="791">
        <f t="shared" ca="1" si="292"/>
        <v>7.4349493312652504</v>
      </c>
      <c r="BP260" s="791" t="e">
        <f t="shared" si="292"/>
        <v>#REF!</v>
      </c>
      <c r="BQ260" s="791" t="e">
        <f t="shared" si="292"/>
        <v>#REF!</v>
      </c>
      <c r="BR260" s="791" t="e">
        <f t="shared" si="292"/>
        <v>#REF!</v>
      </c>
      <c r="BS260" s="791" t="e">
        <f t="shared" ca="1" si="292"/>
        <v>#REF!</v>
      </c>
      <c r="BT260" s="28"/>
    </row>
    <row r="261" spans="1:72" s="21" customFormat="1" collapsed="1" x14ac:dyDescent="0.35">
      <c r="A261" s="457" t="s">
        <v>614</v>
      </c>
      <c r="B261" s="305"/>
      <c r="C261" s="450">
        <f t="shared" ref="C261:AH261" si="293">C259/C236</f>
        <v>-0.47777844513674617</v>
      </c>
      <c r="D261" s="450">
        <f t="shared" si="293"/>
        <v>1.364009415779202</v>
      </c>
      <c r="E261" s="450">
        <f t="shared" si="293"/>
        <v>0.74866289231868943</v>
      </c>
      <c r="F261" s="450">
        <f t="shared" si="293"/>
        <v>0.9139113587298533</v>
      </c>
      <c r="G261" s="450">
        <f t="shared" si="293"/>
        <v>-0.10333009690688956</v>
      </c>
      <c r="H261" s="450">
        <f t="shared" si="293"/>
        <v>0.61197339645460169</v>
      </c>
      <c r="I261" s="450">
        <f t="shared" si="293"/>
        <v>1.5393668952726933</v>
      </c>
      <c r="J261" s="450">
        <f t="shared" si="293"/>
        <v>1.0677454784075082</v>
      </c>
      <c r="K261" s="450">
        <f t="shared" si="293"/>
        <v>-0.72713900565956091</v>
      </c>
      <c r="L261" s="450">
        <f t="shared" si="293"/>
        <v>0.92621722728521505</v>
      </c>
      <c r="M261" s="450">
        <f t="shared" si="293"/>
        <v>1.0353148211130765</v>
      </c>
      <c r="N261" s="450">
        <f t="shared" si="293"/>
        <v>1.9922244134445808</v>
      </c>
      <c r="O261" s="450">
        <f t="shared" si="293"/>
        <v>-0.63956094078637016</v>
      </c>
      <c r="P261" s="450">
        <f t="shared" si="293"/>
        <v>0.97901113187938116</v>
      </c>
      <c r="Q261" s="450">
        <f t="shared" si="293"/>
        <v>1.2352092138971433</v>
      </c>
      <c r="R261" s="450">
        <f t="shared" si="293"/>
        <v>1.6319058031771361</v>
      </c>
      <c r="S261" s="450">
        <f t="shared" si="293"/>
        <v>-1.5796532854771925</v>
      </c>
      <c r="T261" s="450">
        <f t="shared" si="293"/>
        <v>1.7991771586408645</v>
      </c>
      <c r="U261" s="450">
        <f t="shared" si="293"/>
        <v>0.68968451002001685</v>
      </c>
      <c r="V261" s="450">
        <f t="shared" si="293"/>
        <v>1.32498868858604</v>
      </c>
      <c r="W261" s="450">
        <f t="shared" si="293"/>
        <v>-1.5398827641445376</v>
      </c>
      <c r="X261" s="450">
        <f t="shared" si="293"/>
        <v>1.4129054342405152</v>
      </c>
      <c r="Y261" s="450">
        <f t="shared" si="293"/>
        <v>1.3773173822443066</v>
      </c>
      <c r="Z261" s="450">
        <f t="shared" si="293"/>
        <v>1.2561350588330529</v>
      </c>
      <c r="AA261" s="450">
        <f t="shared" si="293"/>
        <v>-1.2773049230384232</v>
      </c>
      <c r="AB261" s="450">
        <f t="shared" si="293"/>
        <v>1.8345077006323085</v>
      </c>
      <c r="AC261" s="450">
        <f t="shared" si="293"/>
        <v>1.1594526260820006</v>
      </c>
      <c r="AD261" s="450">
        <f t="shared" si="293"/>
        <v>1.6394268845849234</v>
      </c>
      <c r="AE261" s="450">
        <f t="shared" si="293"/>
        <v>-2.2096510187431928</v>
      </c>
      <c r="AF261" s="450">
        <f t="shared" si="293"/>
        <v>1.6397936125024275</v>
      </c>
      <c r="AG261" s="450">
        <f t="shared" si="293"/>
        <v>0.60817902386790956</v>
      </c>
      <c r="AH261" s="450">
        <f t="shared" si="293"/>
        <v>1.8799132135477927</v>
      </c>
      <c r="AI261" s="450">
        <f t="shared" ref="AI261:AX261" si="294">AI259/AI236</f>
        <v>-2.7147164662783712</v>
      </c>
      <c r="AJ261" s="450">
        <f t="shared" si="294"/>
        <v>0.84121557304708894</v>
      </c>
      <c r="AK261" s="450">
        <f t="shared" si="294"/>
        <v>2.1846459106555889</v>
      </c>
      <c r="AL261" s="450">
        <f t="shared" si="294"/>
        <v>2.9117927820683285</v>
      </c>
      <c r="AM261" s="450">
        <f t="shared" si="294"/>
        <v>-3.2424316674353397</v>
      </c>
      <c r="AN261" s="450">
        <f t="shared" si="294"/>
        <v>2.855869706836665</v>
      </c>
      <c r="AO261" s="450">
        <f t="shared" si="294"/>
        <v>2.2088216069273896</v>
      </c>
      <c r="AP261" s="450">
        <f t="shared" si="294"/>
        <v>2.9473129495274097</v>
      </c>
      <c r="AQ261" s="450">
        <f t="shared" si="294"/>
        <v>-3.4020311703684998</v>
      </c>
      <c r="AR261" s="450">
        <f t="shared" si="294"/>
        <v>3.8622396411488444</v>
      </c>
      <c r="AS261" s="450">
        <f t="shared" si="294"/>
        <v>1.9908653093159661</v>
      </c>
      <c r="AT261" s="450">
        <f t="shared" si="294"/>
        <v>2.2621110632820494</v>
      </c>
      <c r="AU261" s="501">
        <f t="shared" si="294"/>
        <v>-3.1479174550225641</v>
      </c>
      <c r="AV261" s="450">
        <f t="shared" ca="1" si="294"/>
        <v>4.3483343576921136</v>
      </c>
      <c r="AW261" s="450">
        <f t="shared" ca="1" si="294"/>
        <v>2.3362342304310784</v>
      </c>
      <c r="AX261" s="450">
        <f t="shared" ca="1" si="294"/>
        <v>2.4627993681860332</v>
      </c>
      <c r="AY261" s="450"/>
      <c r="AZ261" s="790">
        <f t="shared" ref="AZ261:BS261" si="295">AZ259/AZ236</f>
        <v>-0.31562105958662462</v>
      </c>
      <c r="BA261" s="790">
        <f t="shared" si="295"/>
        <v>1.8076820071802795</v>
      </c>
      <c r="BB261" s="791">
        <f t="shared" si="295"/>
        <v>2.092900520106626</v>
      </c>
      <c r="BC261" s="791">
        <f t="shared" si="295"/>
        <v>0.85158144257137447</v>
      </c>
      <c r="BD261" s="791">
        <f t="shared" si="295"/>
        <v>2.442324048445633</v>
      </c>
      <c r="BE261" s="791">
        <f t="shared" si="295"/>
        <v>3.1320770799955828</v>
      </c>
      <c r="BF261" s="791">
        <f t="shared" si="295"/>
        <v>3.1915918557730585</v>
      </c>
      <c r="BG261" s="791">
        <f t="shared" si="295"/>
        <v>3.1345375495348975</v>
      </c>
      <c r="BH261" s="791">
        <f t="shared" si="295"/>
        <v>2.2462253677343424</v>
      </c>
      <c r="BI261" s="791">
        <f t="shared" si="295"/>
        <v>2.5500185246503841</v>
      </c>
      <c r="BJ261" s="791">
        <f t="shared" si="295"/>
        <v>3.4584611476915259</v>
      </c>
      <c r="BK261" s="791">
        <f t="shared" si="295"/>
        <v>1.9775854467417535</v>
      </c>
      <c r="BL261" s="791">
        <f t="shared" si="295"/>
        <v>3.2040733170315305</v>
      </c>
      <c r="BM261" s="791">
        <f t="shared" si="295"/>
        <v>4.8745657672424763</v>
      </c>
      <c r="BN261" s="792">
        <f t="shared" si="295"/>
        <v>4.7544815230292912</v>
      </c>
      <c r="BO261" s="791">
        <f t="shared" ca="1" si="295"/>
        <v>6.0638074374837405</v>
      </c>
      <c r="BP261" s="791" t="e">
        <f t="shared" si="295"/>
        <v>#REF!</v>
      </c>
      <c r="BQ261" s="791" t="e">
        <f t="shared" si="295"/>
        <v>#REF!</v>
      </c>
      <c r="BR261" s="791" t="e">
        <f t="shared" si="295"/>
        <v>#REF!</v>
      </c>
      <c r="BS261" s="791" t="e">
        <f t="shared" ca="1" si="295"/>
        <v>#REF!</v>
      </c>
      <c r="BT261" s="28"/>
    </row>
    <row r="262" spans="1:72" s="101" customFormat="1" x14ac:dyDescent="0.35">
      <c r="A262" s="98" t="s">
        <v>619</v>
      </c>
      <c r="B262" s="124"/>
      <c r="C262" s="99"/>
      <c r="D262" s="99"/>
      <c r="E262" s="99"/>
      <c r="F262" s="99"/>
      <c r="G262" s="99"/>
      <c r="H262" s="99"/>
      <c r="I262" s="99"/>
      <c r="J262" s="99"/>
      <c r="K262" s="99"/>
      <c r="L262" s="99"/>
      <c r="M262" s="99"/>
      <c r="N262" s="99"/>
      <c r="O262" s="99"/>
      <c r="P262" s="102"/>
      <c r="Q262" s="102"/>
      <c r="R262" s="99"/>
      <c r="S262" s="99"/>
      <c r="T262" s="102"/>
      <c r="U262" s="102"/>
      <c r="V262" s="99"/>
      <c r="W262" s="99"/>
      <c r="X262" s="102"/>
      <c r="Y262" s="102"/>
      <c r="Z262" s="99"/>
      <c r="AA262" s="99"/>
      <c r="AB262" s="102"/>
      <c r="AC262" s="102"/>
      <c r="AD262" s="99"/>
      <c r="AE262" s="99"/>
      <c r="AF262" s="102"/>
      <c r="AG262" s="102"/>
      <c r="AH262" s="99"/>
      <c r="AI262" s="99"/>
      <c r="AJ262" s="102"/>
      <c r="AK262" s="102"/>
      <c r="AL262" s="99"/>
      <c r="AM262" s="99"/>
      <c r="AN262" s="102"/>
      <c r="AO262" s="102"/>
      <c r="AP262" s="99"/>
      <c r="AQ262" s="99"/>
      <c r="AR262" s="102"/>
      <c r="AS262" s="102"/>
      <c r="AT262" s="99"/>
      <c r="AU262" s="497"/>
      <c r="AV262" s="99" t="str">
        <f t="shared" ref="AV262:AX262" ca="1" si="296">IFERROR(VLOOKUP($A262,tb_ConsensusEstimate,MATCH(AV$5,OFFSET(tb_ConsensusEstimate,0,0,1,COLUMNS(tb_ConsensusEstimate)),0),FALSE),"-")</f>
        <v>N/A</v>
      </c>
      <c r="AW262" s="99" t="str">
        <f t="shared" ca="1" si="296"/>
        <v>N/A</v>
      </c>
      <c r="AX262" s="99" t="str">
        <f t="shared" ca="1" si="296"/>
        <v>N/A</v>
      </c>
      <c r="AY262" s="99"/>
      <c r="AZ262" s="777"/>
      <c r="BA262" s="777"/>
      <c r="BB262" s="777"/>
      <c r="BC262" s="777"/>
      <c r="BD262" s="777"/>
      <c r="BE262" s="777"/>
      <c r="BF262" s="777"/>
      <c r="BG262" s="777"/>
      <c r="BH262" s="777"/>
      <c r="BI262" s="777"/>
      <c r="BJ262" s="777"/>
      <c r="BK262" s="777"/>
      <c r="BL262" s="777"/>
      <c r="BM262" s="777"/>
      <c r="BN262" s="778"/>
      <c r="BO262" s="793" t="str">
        <f ca="1">IFERROR(VLOOKUP($A262,tb_ConsensusEstimate,MATCH(BO$5,OFFSET(tb_ConsensusEstimate,0,0,1,COLUMNS(tb_ConsensusEstimate)),0),FALSE),"-")</f>
        <v>N/A</v>
      </c>
      <c r="BP262" s="793" t="str">
        <f ca="1">IFERROR(VLOOKUP($A262,tb_ConsensusEstimate,MATCH(BP$5,OFFSET(tb_ConsensusEstimate,0,0,1,COLUMNS(tb_ConsensusEstimate)),0),FALSE),"-")</f>
        <v>N/A</v>
      </c>
      <c r="BQ262" s="793" t="str">
        <f ca="1">IFERROR(VLOOKUP($A262,tb_ConsensusEstimate,MATCH(BQ$5,OFFSET(tb_ConsensusEstimate,0,0,1,COLUMNS(tb_ConsensusEstimate)),0),FALSE),"-")</f>
        <v>N/A</v>
      </c>
      <c r="BR262" s="793" t="str">
        <f ca="1">IFERROR(VLOOKUP($A262,tb_ConsensusEstimate,MATCH(BR$5,OFFSET(tb_ConsensusEstimate,0,0,1,COLUMNS(tb_ConsensusEstimate)),0),FALSE),"-")</f>
        <v>N/A</v>
      </c>
      <c r="BS262" s="793" t="str">
        <f ca="1">IFERROR(VLOOKUP($A262,tb_ConsensusEstimate,MATCH(BS$5,OFFSET(tb_ConsensusEstimate,0,0,1,COLUMNS(tb_ConsensusEstimate)),0),FALSE),"-")</f>
        <v>N/A</v>
      </c>
      <c r="BT262" s="99"/>
    </row>
    <row r="263" spans="1:72" s="1" customFormat="1" x14ac:dyDescent="0.35">
      <c r="A263" s="53" t="s">
        <v>94</v>
      </c>
      <c r="B263" s="307"/>
      <c r="C263" s="530">
        <f t="shared" ref="C263:AU263" si="297">C452+C453+C454</f>
        <v>-15.244</v>
      </c>
      <c r="D263" s="530">
        <f t="shared" si="297"/>
        <v>-10.541</v>
      </c>
      <c r="E263" s="530">
        <f t="shared" si="297"/>
        <v>-10.944000000000001</v>
      </c>
      <c r="F263" s="530">
        <f t="shared" si="297"/>
        <v>-13.616000000000001</v>
      </c>
      <c r="G263" s="530">
        <f t="shared" si="297"/>
        <v>-12.602</v>
      </c>
      <c r="H263" s="530">
        <f t="shared" si="297"/>
        <v>-11.007999999999999</v>
      </c>
      <c r="I263" s="530">
        <f t="shared" si="297"/>
        <v>-12.523000000000003</v>
      </c>
      <c r="J263" s="530">
        <f t="shared" si="297"/>
        <v>-13.236000000000001</v>
      </c>
      <c r="K263" s="530">
        <f t="shared" si="297"/>
        <v>-18.594000000000001</v>
      </c>
      <c r="L263" s="530">
        <f t="shared" si="297"/>
        <v>-12.452999999999999</v>
      </c>
      <c r="M263" s="530">
        <f t="shared" si="297"/>
        <v>-14.233000000000001</v>
      </c>
      <c r="N263" s="530">
        <f t="shared" si="297"/>
        <v>-16.46</v>
      </c>
      <c r="O263" s="530">
        <f t="shared" si="297"/>
        <v>-14.191000000000001</v>
      </c>
      <c r="P263" s="530">
        <f t="shared" si="297"/>
        <v>-11.625</v>
      </c>
      <c r="Q263" s="530">
        <f t="shared" si="297"/>
        <v>-15.169</v>
      </c>
      <c r="R263" s="530">
        <f t="shared" si="297"/>
        <v>-21.914999999999999</v>
      </c>
      <c r="S263" s="530">
        <f t="shared" si="297"/>
        <v>-14.028</v>
      </c>
      <c r="T263" s="530">
        <f t="shared" si="297"/>
        <v>-9.8349999999999991</v>
      </c>
      <c r="U263" s="530">
        <f t="shared" si="297"/>
        <v>-9.2999999999999989</v>
      </c>
      <c r="V263" s="530">
        <f t="shared" si="297"/>
        <v>-15.061000000000002</v>
      </c>
      <c r="W263" s="530">
        <f t="shared" si="297"/>
        <v>-15.522</v>
      </c>
      <c r="X263" s="530">
        <f t="shared" si="297"/>
        <v>-8.2469999999999999</v>
      </c>
      <c r="Y263" s="530">
        <f t="shared" si="297"/>
        <v>-9.4329999999999998</v>
      </c>
      <c r="Z263" s="530">
        <f t="shared" si="297"/>
        <v>-10.001000000000001</v>
      </c>
      <c r="AA263" s="530">
        <f t="shared" si="297"/>
        <v>-17.739999999999998</v>
      </c>
      <c r="AB263" s="530">
        <f t="shared" si="297"/>
        <v>-9.5360000000000014</v>
      </c>
      <c r="AC263" s="530">
        <f t="shared" si="297"/>
        <v>-9.4469999999999992</v>
      </c>
      <c r="AD263" s="530">
        <f t="shared" si="297"/>
        <v>-11.683000000000003</v>
      </c>
      <c r="AE263" s="530">
        <f t="shared" si="297"/>
        <v>-16.97</v>
      </c>
      <c r="AF263" s="530">
        <f t="shared" si="297"/>
        <v>-9.3369999999999997</v>
      </c>
      <c r="AG263" s="530">
        <f t="shared" si="297"/>
        <v>-9.4740000000000002</v>
      </c>
      <c r="AH263" s="530">
        <f t="shared" si="297"/>
        <v>-9.2160000000000011</v>
      </c>
      <c r="AI263" s="530">
        <f t="shared" si="297"/>
        <v>-12.798000000000002</v>
      </c>
      <c r="AJ263" s="530">
        <f t="shared" si="297"/>
        <v>-10.756</v>
      </c>
      <c r="AK263" s="530">
        <f t="shared" si="297"/>
        <v>-11.344000000000001</v>
      </c>
      <c r="AL263" s="530">
        <f t="shared" si="297"/>
        <v>-17.364999999999995</v>
      </c>
      <c r="AM263" s="530">
        <f t="shared" si="297"/>
        <v>-15.344000000000001</v>
      </c>
      <c r="AN263" s="530">
        <f t="shared" si="297"/>
        <v>-14.151999999999997</v>
      </c>
      <c r="AO263" s="530">
        <f t="shared" si="297"/>
        <v>-18.436</v>
      </c>
      <c r="AP263" s="530">
        <f t="shared" si="297"/>
        <v>-19.694000000000003</v>
      </c>
      <c r="AQ263" s="530">
        <f t="shared" si="297"/>
        <v>-16.850999999999999</v>
      </c>
      <c r="AR263" s="530">
        <f t="shared" si="297"/>
        <v>-16.898000000000003</v>
      </c>
      <c r="AS263" s="530">
        <f t="shared" si="297"/>
        <v>-15.201999999999998</v>
      </c>
      <c r="AT263" s="530">
        <f t="shared" si="297"/>
        <v>-17.597000000000001</v>
      </c>
      <c r="AU263" s="575">
        <f t="shared" si="297"/>
        <v>-16.149000000000001</v>
      </c>
      <c r="AV263" s="637">
        <v>-16.5</v>
      </c>
      <c r="AW263" s="637">
        <v>-18.3</v>
      </c>
      <c r="AX263" s="637">
        <v>-19</v>
      </c>
      <c r="AY263" s="593"/>
      <c r="AZ263" s="750">
        <f t="shared" ref="AZ263:BP263" si="298">AZ452+AZ453+AZ454</f>
        <v>-27.869999999999997</v>
      </c>
      <c r="BA263" s="750">
        <f t="shared" si="298"/>
        <v>-24.260999999999999</v>
      </c>
      <c r="BB263" s="750">
        <f t="shared" si="298"/>
        <v>-47.649000000000001</v>
      </c>
      <c r="BC263" s="750">
        <f t="shared" si="298"/>
        <v>-48.600000000000009</v>
      </c>
      <c r="BD263" s="750">
        <f t="shared" si="298"/>
        <v>-50.344999999999999</v>
      </c>
      <c r="BE263" s="750">
        <f t="shared" si="298"/>
        <v>-49.369</v>
      </c>
      <c r="BF263" s="750">
        <f t="shared" si="298"/>
        <v>-61.740000000000009</v>
      </c>
      <c r="BG263" s="750">
        <f t="shared" si="298"/>
        <v>-62.900000000000006</v>
      </c>
      <c r="BH263" s="750">
        <f t="shared" si="298"/>
        <v>-48.224000000000004</v>
      </c>
      <c r="BI263" s="750">
        <f t="shared" si="298"/>
        <v>-43.203000000000003</v>
      </c>
      <c r="BJ263" s="750">
        <f t="shared" si="298"/>
        <v>-48.406000000000006</v>
      </c>
      <c r="BK263" s="750">
        <f t="shared" si="298"/>
        <v>-44.997</v>
      </c>
      <c r="BL263" s="750">
        <f t="shared" si="298"/>
        <v>-52.263000000000005</v>
      </c>
      <c r="BM263" s="750">
        <f t="shared" si="298"/>
        <v>-67.626000000000005</v>
      </c>
      <c r="BN263" s="751">
        <f t="shared" si="298"/>
        <v>-66.548000000000002</v>
      </c>
      <c r="BO263" s="726">
        <f t="shared" si="298"/>
        <v>-69.949000000000012</v>
      </c>
      <c r="BP263" s="726" t="e">
        <f t="shared" si="298"/>
        <v>#REF!</v>
      </c>
      <c r="BQ263" s="727">
        <v>-72</v>
      </c>
      <c r="BR263" s="727">
        <v>-72</v>
      </c>
      <c r="BS263" s="727">
        <v>-72</v>
      </c>
      <c r="BT263" s="530"/>
    </row>
    <row r="264" spans="1:72" s="97" customFormat="1" x14ac:dyDescent="0.35">
      <c r="A264" s="541" t="str">
        <f>CONCATENATE("Consensus Estimates - ",IFERROR(LEFT(A263,FIND("(",A263)-1),A263))</f>
        <v>Consensus Estimates - Capex</v>
      </c>
      <c r="B264" s="542"/>
      <c r="C264" s="537"/>
      <c r="D264" s="537"/>
      <c r="E264" s="537"/>
      <c r="F264" s="537"/>
      <c r="G264" s="537"/>
      <c r="H264" s="537"/>
      <c r="I264" s="537"/>
      <c r="J264" s="537"/>
      <c r="K264" s="537"/>
      <c r="L264" s="537"/>
      <c r="M264" s="537"/>
      <c r="N264" s="537"/>
      <c r="O264" s="537"/>
      <c r="P264" s="581"/>
      <c r="Q264" s="581"/>
      <c r="R264" s="537"/>
      <c r="S264" s="537"/>
      <c r="T264" s="581"/>
      <c r="U264" s="581"/>
      <c r="V264" s="537"/>
      <c r="W264" s="537"/>
      <c r="X264" s="581"/>
      <c r="Y264" s="581"/>
      <c r="Z264" s="537"/>
      <c r="AA264" s="537"/>
      <c r="AB264" s="581"/>
      <c r="AC264" s="581"/>
      <c r="AD264" s="537"/>
      <c r="AE264" s="537"/>
      <c r="AF264" s="581"/>
      <c r="AG264" s="581"/>
      <c r="AH264" s="537"/>
      <c r="AI264" s="537"/>
      <c r="AJ264" s="581"/>
      <c r="AK264" s="581"/>
      <c r="AL264" s="537"/>
      <c r="AM264" s="537"/>
      <c r="AN264" s="581"/>
      <c r="AO264" s="581"/>
      <c r="AP264" s="537"/>
      <c r="AQ264" s="537"/>
      <c r="AR264" s="581"/>
      <c r="AS264" s="581"/>
      <c r="AT264" s="537"/>
      <c r="AU264" s="582"/>
      <c r="AV264" s="537" t="str">
        <f t="shared" ref="AV264:AX264" ca="1" si="299">IFERROR(VLOOKUP($A264,tb_ConsensusEstimate,MATCH(AV$5,OFFSET(tb_ConsensusEstimate,0,0,1,COLUMNS(tb_ConsensusEstimate)),0),FALSE),"-")</f>
        <v>N/A</v>
      </c>
      <c r="AW264" s="537" t="str">
        <f t="shared" ca="1" si="299"/>
        <v>N/A</v>
      </c>
      <c r="AX264" s="537" t="str">
        <f t="shared" ca="1" si="299"/>
        <v>N/A</v>
      </c>
      <c r="AY264" s="537"/>
      <c r="AZ264" s="757"/>
      <c r="BA264" s="757"/>
      <c r="BB264" s="757"/>
      <c r="BC264" s="757"/>
      <c r="BD264" s="757"/>
      <c r="BE264" s="757"/>
      <c r="BF264" s="757"/>
      <c r="BG264" s="757"/>
      <c r="BH264" s="757"/>
      <c r="BI264" s="757"/>
      <c r="BJ264" s="757"/>
      <c r="BK264" s="757"/>
      <c r="BL264" s="757"/>
      <c r="BM264" s="757"/>
      <c r="BN264" s="758"/>
      <c r="BO264" s="794" t="str">
        <f ca="1">IFERROR(VLOOKUP($A264,tb_ConsensusEstimate,MATCH(BO$5,OFFSET(tb_ConsensusEstimate,0,0,1,COLUMNS(tb_ConsensusEstimate)),0),FALSE),"-")</f>
        <v>N/A</v>
      </c>
      <c r="BP264" s="794" t="str">
        <f ca="1">IFERROR(VLOOKUP($A264,tb_ConsensusEstimate,MATCH(BP$5,OFFSET(tb_ConsensusEstimate,0,0,1,COLUMNS(tb_ConsensusEstimate)),0),FALSE),"-")</f>
        <v>N/A</v>
      </c>
      <c r="BQ264" s="794" t="str">
        <f ca="1">IFERROR(VLOOKUP($A264,tb_ConsensusEstimate,MATCH(BQ$5,OFFSET(tb_ConsensusEstimate,0,0,1,COLUMNS(tb_ConsensusEstimate)),0),FALSE),"-")</f>
        <v>N/A</v>
      </c>
      <c r="BR264" s="794" t="str">
        <f ca="1">IFERROR(VLOOKUP($A264,tb_ConsensusEstimate,MATCH(BR$5,OFFSET(tb_ConsensusEstimate,0,0,1,COLUMNS(tb_ConsensusEstimate)),0),FALSE),"-")</f>
        <v>N/A</v>
      </c>
      <c r="BS264" s="794" t="str">
        <f ca="1">IFERROR(VLOOKUP($A264,tb_ConsensusEstimate,MATCH(BS$5,OFFSET(tb_ConsensusEstimate,0,0,1,COLUMNS(tb_ConsensusEstimate)),0),FALSE),"-")</f>
        <v>N/A</v>
      </c>
      <c r="BT264" s="537"/>
    </row>
    <row r="265" spans="1:72" s="17" customFormat="1" x14ac:dyDescent="0.35">
      <c r="A265" s="533" t="s">
        <v>95</v>
      </c>
      <c r="B265" s="308"/>
      <c r="C265" s="533">
        <f t="shared" ref="C265:AU265" si="300">C468+C469+C465+C473+C458+C466+C467+C476+C471+C470+C459+C460+C461+C462+C481+C482+C472</f>
        <v>0</v>
      </c>
      <c r="D265" s="533">
        <f t="shared" si="300"/>
        <v>0</v>
      </c>
      <c r="E265" s="533">
        <f t="shared" si="300"/>
        <v>0</v>
      </c>
      <c r="F265" s="533">
        <f t="shared" si="300"/>
        <v>0</v>
      </c>
      <c r="G265" s="533">
        <f t="shared" si="300"/>
        <v>0</v>
      </c>
      <c r="H265" s="533">
        <f t="shared" si="300"/>
        <v>0</v>
      </c>
      <c r="I265" s="533">
        <f t="shared" si="300"/>
        <v>0</v>
      </c>
      <c r="J265" s="533">
        <f t="shared" si="300"/>
        <v>0</v>
      </c>
      <c r="K265" s="533">
        <f t="shared" si="300"/>
        <v>-6.5119999999999996</v>
      </c>
      <c r="L265" s="533">
        <f t="shared" si="300"/>
        <v>0</v>
      </c>
      <c r="M265" s="533">
        <f t="shared" si="300"/>
        <v>0</v>
      </c>
      <c r="N265" s="533">
        <f t="shared" si="300"/>
        <v>0</v>
      </c>
      <c r="O265" s="533">
        <f t="shared" si="300"/>
        <v>0</v>
      </c>
      <c r="P265" s="533">
        <f t="shared" si="300"/>
        <v>0</v>
      </c>
      <c r="Q265" s="533">
        <f t="shared" si="300"/>
        <v>0</v>
      </c>
      <c r="R265" s="533">
        <f t="shared" si="300"/>
        <v>-19.952999999999999</v>
      </c>
      <c r="S265" s="533">
        <f t="shared" si="300"/>
        <v>0</v>
      </c>
      <c r="T265" s="533">
        <f t="shared" si="300"/>
        <v>0</v>
      </c>
      <c r="U265" s="533">
        <f t="shared" si="300"/>
        <v>0</v>
      </c>
      <c r="V265" s="533">
        <f t="shared" si="300"/>
        <v>7.0999999999999994E-2</v>
      </c>
      <c r="W265" s="533">
        <f t="shared" si="300"/>
        <v>0</v>
      </c>
      <c r="X265" s="533">
        <f t="shared" si="300"/>
        <v>-2.17</v>
      </c>
      <c r="Y265" s="533">
        <f t="shared" si="300"/>
        <v>-0.60400000000000009</v>
      </c>
      <c r="Z265" s="533">
        <f t="shared" si="300"/>
        <v>2.774</v>
      </c>
      <c r="AA265" s="533">
        <f t="shared" si="300"/>
        <v>-11.651999999999999</v>
      </c>
      <c r="AB265" s="533">
        <f t="shared" si="300"/>
        <v>-0.98699999999999999</v>
      </c>
      <c r="AC265" s="533">
        <f t="shared" si="300"/>
        <v>-3.9999999999999925E-2</v>
      </c>
      <c r="AD265" s="533">
        <f t="shared" si="300"/>
        <v>-1.4400000000000013</v>
      </c>
      <c r="AE265" s="533">
        <f t="shared" si="300"/>
        <v>-1.2769999999999999</v>
      </c>
      <c r="AF265" s="533">
        <f t="shared" si="300"/>
        <v>-2.8369999999999997</v>
      </c>
      <c r="AG265" s="533">
        <f t="shared" si="300"/>
        <v>-168.15800000000002</v>
      </c>
      <c r="AH265" s="533">
        <f t="shared" si="300"/>
        <v>-9.6000000000000085E-2</v>
      </c>
      <c r="AI265" s="533">
        <f t="shared" si="300"/>
        <v>-3.113</v>
      </c>
      <c r="AJ265" s="533">
        <f t="shared" si="300"/>
        <v>-67.831000000000003</v>
      </c>
      <c r="AK265" s="533">
        <f t="shared" si="300"/>
        <v>-0.88900000000000445</v>
      </c>
      <c r="AL265" s="533">
        <f t="shared" si="300"/>
        <v>-1.0279999999999954</v>
      </c>
      <c r="AM265" s="533">
        <f t="shared" si="300"/>
        <v>-0.192</v>
      </c>
      <c r="AN265" s="533">
        <f t="shared" si="300"/>
        <v>-11.622</v>
      </c>
      <c r="AO265" s="533">
        <f t="shared" si="300"/>
        <v>0.30200000000000005</v>
      </c>
      <c r="AP265" s="533">
        <f t="shared" si="300"/>
        <v>-15.245000000000001</v>
      </c>
      <c r="AQ265" s="533">
        <f t="shared" si="300"/>
        <v>-8.6460000000000008</v>
      </c>
      <c r="AR265" s="533">
        <f t="shared" si="300"/>
        <v>-0.55400000000000005</v>
      </c>
      <c r="AS265" s="533">
        <f t="shared" si="300"/>
        <v>-0.61</v>
      </c>
      <c r="AT265" s="533">
        <f t="shared" si="300"/>
        <v>-0.27499999999999991</v>
      </c>
      <c r="AU265" s="576">
        <f t="shared" si="300"/>
        <v>-0.16600000000000001</v>
      </c>
      <c r="AV265" s="638">
        <v>0</v>
      </c>
      <c r="AW265" s="638">
        <v>0</v>
      </c>
      <c r="AX265" s="638">
        <v>0</v>
      </c>
      <c r="AY265" s="585"/>
      <c r="AZ265" s="755">
        <f t="shared" ref="AZ265:BP265" si="301">AZ468+AZ469+AZ465+AZ473+AZ458+AZ466+AZ467+AZ476+AZ471+AZ470+AZ459+AZ460+AZ461+AZ462+AZ481+AZ482+AZ472</f>
        <v>-1.6E-2</v>
      </c>
      <c r="BA265" s="755">
        <f t="shared" si="301"/>
        <v>0</v>
      </c>
      <c r="BB265" s="755">
        <f t="shared" si="301"/>
        <v>-35.381999999999998</v>
      </c>
      <c r="BC265" s="755">
        <f t="shared" si="301"/>
        <v>-12.641</v>
      </c>
      <c r="BD265" s="755">
        <f t="shared" si="301"/>
        <v>0</v>
      </c>
      <c r="BE265" s="755">
        <f t="shared" si="301"/>
        <v>0</v>
      </c>
      <c r="BF265" s="755">
        <f t="shared" si="301"/>
        <v>-6.5119999999999996</v>
      </c>
      <c r="BG265" s="755">
        <f t="shared" si="301"/>
        <v>-19.952999999999999</v>
      </c>
      <c r="BH265" s="755">
        <f t="shared" si="301"/>
        <v>7.0999999999999994E-2</v>
      </c>
      <c r="BI265" s="755">
        <f t="shared" si="301"/>
        <v>0</v>
      </c>
      <c r="BJ265" s="755">
        <f t="shared" si="301"/>
        <v>-14.119</v>
      </c>
      <c r="BK265" s="755">
        <f t="shared" si="301"/>
        <v>-172.36799999999999</v>
      </c>
      <c r="BL265" s="755">
        <f t="shared" si="301"/>
        <v>-72.86099999999999</v>
      </c>
      <c r="BM265" s="755">
        <f t="shared" si="301"/>
        <v>-26.757000000000001</v>
      </c>
      <c r="BN265" s="756">
        <f t="shared" si="301"/>
        <v>-10.085000000000001</v>
      </c>
      <c r="BO265" s="755">
        <f t="shared" si="301"/>
        <v>-0.16600000000000001</v>
      </c>
      <c r="BP265" s="156" t="e">
        <f t="shared" si="301"/>
        <v>#REF!</v>
      </c>
      <c r="BQ265" s="729">
        <v>0</v>
      </c>
      <c r="BR265" s="729">
        <v>0</v>
      </c>
      <c r="BS265" s="729">
        <v>0</v>
      </c>
      <c r="BT265" s="533"/>
    </row>
    <row r="266" spans="1:72" s="17" customFormat="1" x14ac:dyDescent="0.35">
      <c r="A266" s="533" t="s">
        <v>96</v>
      </c>
      <c r="B266" s="308"/>
      <c r="C266" s="533">
        <f t="shared" ref="C266:AU266" si="302">C463+C456</f>
        <v>0</v>
      </c>
      <c r="D266" s="533">
        <f t="shared" si="302"/>
        <v>0</v>
      </c>
      <c r="E266" s="533">
        <f t="shared" si="302"/>
        <v>0</v>
      </c>
      <c r="F266" s="533">
        <f t="shared" si="302"/>
        <v>0</v>
      </c>
      <c r="G266" s="533">
        <f t="shared" si="302"/>
        <v>0</v>
      </c>
      <c r="H266" s="533">
        <f t="shared" si="302"/>
        <v>0</v>
      </c>
      <c r="I266" s="533">
        <f t="shared" si="302"/>
        <v>0</v>
      </c>
      <c r="J266" s="533">
        <f t="shared" si="302"/>
        <v>5.665</v>
      </c>
      <c r="K266" s="533">
        <f t="shared" si="302"/>
        <v>0</v>
      </c>
      <c r="L266" s="533">
        <f t="shared" si="302"/>
        <v>0</v>
      </c>
      <c r="M266" s="533">
        <f t="shared" si="302"/>
        <v>0</v>
      </c>
      <c r="N266" s="533">
        <f t="shared" si="302"/>
        <v>0</v>
      </c>
      <c r="O266" s="533">
        <f t="shared" si="302"/>
        <v>0</v>
      </c>
      <c r="P266" s="533">
        <f t="shared" si="302"/>
        <v>0</v>
      </c>
      <c r="Q266" s="533">
        <f t="shared" si="302"/>
        <v>0</v>
      </c>
      <c r="R266" s="533">
        <f t="shared" si="302"/>
        <v>0</v>
      </c>
      <c r="S266" s="533">
        <f t="shared" si="302"/>
        <v>0</v>
      </c>
      <c r="T266" s="533">
        <f t="shared" si="302"/>
        <v>0</v>
      </c>
      <c r="U266" s="533">
        <f t="shared" si="302"/>
        <v>0</v>
      </c>
      <c r="V266" s="533">
        <f t="shared" si="302"/>
        <v>8.8999999999999996E-2</v>
      </c>
      <c r="W266" s="533">
        <f t="shared" si="302"/>
        <v>0</v>
      </c>
      <c r="X266" s="533">
        <f t="shared" si="302"/>
        <v>0</v>
      </c>
      <c r="Y266" s="533">
        <f t="shared" si="302"/>
        <v>0</v>
      </c>
      <c r="Z266" s="533">
        <f t="shared" si="302"/>
        <v>0</v>
      </c>
      <c r="AA266" s="533">
        <f t="shared" si="302"/>
        <v>0</v>
      </c>
      <c r="AB266" s="533">
        <f t="shared" si="302"/>
        <v>0</v>
      </c>
      <c r="AC266" s="533">
        <f t="shared" si="302"/>
        <v>0.38900000000000001</v>
      </c>
      <c r="AD266" s="533">
        <f t="shared" si="302"/>
        <v>0</v>
      </c>
      <c r="AE266" s="533">
        <f t="shared" si="302"/>
        <v>0</v>
      </c>
      <c r="AF266" s="533">
        <f t="shared" si="302"/>
        <v>0</v>
      </c>
      <c r="AG266" s="533">
        <f t="shared" si="302"/>
        <v>0</v>
      </c>
      <c r="AH266" s="533">
        <f t="shared" si="302"/>
        <v>0</v>
      </c>
      <c r="AI266" s="533">
        <f t="shared" si="302"/>
        <v>0.223</v>
      </c>
      <c r="AJ266" s="533">
        <f t="shared" si="302"/>
        <v>0</v>
      </c>
      <c r="AK266" s="533">
        <f t="shared" si="302"/>
        <v>0</v>
      </c>
      <c r="AL266" s="533">
        <f t="shared" si="302"/>
        <v>0</v>
      </c>
      <c r="AM266" s="533">
        <f t="shared" si="302"/>
        <v>0</v>
      </c>
      <c r="AN266" s="533">
        <f t="shared" si="302"/>
        <v>0</v>
      </c>
      <c r="AO266" s="533">
        <f t="shared" si="302"/>
        <v>0</v>
      </c>
      <c r="AP266" s="533">
        <f t="shared" si="302"/>
        <v>0</v>
      </c>
      <c r="AQ266" s="533">
        <f t="shared" si="302"/>
        <v>0</v>
      </c>
      <c r="AR266" s="533">
        <f t="shared" si="302"/>
        <v>0</v>
      </c>
      <c r="AS266" s="533">
        <f t="shared" si="302"/>
        <v>0</v>
      </c>
      <c r="AT266" s="533">
        <f t="shared" si="302"/>
        <v>0</v>
      </c>
      <c r="AU266" s="576">
        <f t="shared" si="302"/>
        <v>0</v>
      </c>
      <c r="AV266" s="638">
        <v>0</v>
      </c>
      <c r="AW266" s="638">
        <v>0</v>
      </c>
      <c r="AX266" s="638">
        <v>0</v>
      </c>
      <c r="AY266" s="585"/>
      <c r="AZ266" s="755">
        <f t="shared" ref="AZ266:BP266" si="303">AZ463+AZ456</f>
        <v>0</v>
      </c>
      <c r="BA266" s="755">
        <f t="shared" si="303"/>
        <v>0</v>
      </c>
      <c r="BB266" s="755">
        <f t="shared" si="303"/>
        <v>0</v>
      </c>
      <c r="BC266" s="755">
        <f t="shared" si="303"/>
        <v>0</v>
      </c>
      <c r="BD266" s="755">
        <f t="shared" si="303"/>
        <v>0</v>
      </c>
      <c r="BE266" s="755">
        <f t="shared" si="303"/>
        <v>5.665</v>
      </c>
      <c r="BF266" s="755">
        <f t="shared" si="303"/>
        <v>0</v>
      </c>
      <c r="BG266" s="755">
        <f t="shared" si="303"/>
        <v>0</v>
      </c>
      <c r="BH266" s="755">
        <f t="shared" si="303"/>
        <v>8.8999999999999996E-2</v>
      </c>
      <c r="BI266" s="755">
        <f t="shared" si="303"/>
        <v>0</v>
      </c>
      <c r="BJ266" s="755">
        <f t="shared" si="303"/>
        <v>0.38900000000000001</v>
      </c>
      <c r="BK266" s="755">
        <f t="shared" si="303"/>
        <v>0</v>
      </c>
      <c r="BL266" s="755">
        <f t="shared" si="303"/>
        <v>0.223</v>
      </c>
      <c r="BM266" s="755">
        <f t="shared" si="303"/>
        <v>0</v>
      </c>
      <c r="BN266" s="756">
        <f t="shared" si="303"/>
        <v>0</v>
      </c>
      <c r="BO266" s="156">
        <f t="shared" si="303"/>
        <v>0</v>
      </c>
      <c r="BP266" s="156" t="e">
        <f t="shared" si="303"/>
        <v>#REF!</v>
      </c>
      <c r="BQ266" s="729">
        <v>0</v>
      </c>
      <c r="BR266" s="729">
        <v>0</v>
      </c>
      <c r="BS266" s="729">
        <v>0</v>
      </c>
      <c r="BT266" s="533"/>
    </row>
    <row r="267" spans="1:72" s="17" customFormat="1" x14ac:dyDescent="0.35">
      <c r="A267" s="533" t="s">
        <v>97</v>
      </c>
      <c r="B267" s="308"/>
      <c r="C267" s="533">
        <f t="shared" ref="C267:AU267" si="304">C498</f>
        <v>0</v>
      </c>
      <c r="D267" s="533">
        <f t="shared" si="304"/>
        <v>0</v>
      </c>
      <c r="E267" s="533">
        <f t="shared" si="304"/>
        <v>0</v>
      </c>
      <c r="F267" s="533">
        <f t="shared" si="304"/>
        <v>0</v>
      </c>
      <c r="G267" s="533">
        <f t="shared" si="304"/>
        <v>0</v>
      </c>
      <c r="H267" s="533">
        <f t="shared" si="304"/>
        <v>0</v>
      </c>
      <c r="I267" s="533">
        <f t="shared" si="304"/>
        <v>0</v>
      </c>
      <c r="J267" s="533">
        <f t="shared" si="304"/>
        <v>0</v>
      </c>
      <c r="K267" s="533">
        <f t="shared" si="304"/>
        <v>0</v>
      </c>
      <c r="L267" s="533">
        <f t="shared" si="304"/>
        <v>0</v>
      </c>
      <c r="M267" s="533">
        <f t="shared" si="304"/>
        <v>0</v>
      </c>
      <c r="N267" s="533">
        <f t="shared" si="304"/>
        <v>0</v>
      </c>
      <c r="O267" s="533">
        <f t="shared" si="304"/>
        <v>0</v>
      </c>
      <c r="P267" s="533">
        <f t="shared" si="304"/>
        <v>0</v>
      </c>
      <c r="Q267" s="533">
        <f t="shared" si="304"/>
        <v>0</v>
      </c>
      <c r="R267" s="533">
        <f t="shared" si="304"/>
        <v>0</v>
      </c>
      <c r="S267" s="533">
        <f t="shared" si="304"/>
        <v>0</v>
      </c>
      <c r="T267" s="533">
        <f t="shared" si="304"/>
        <v>0</v>
      </c>
      <c r="U267" s="533">
        <f t="shared" si="304"/>
        <v>0</v>
      </c>
      <c r="V267" s="533">
        <f t="shared" si="304"/>
        <v>0</v>
      </c>
      <c r="W267" s="533">
        <f t="shared" si="304"/>
        <v>0</v>
      </c>
      <c r="X267" s="533">
        <f t="shared" si="304"/>
        <v>0</v>
      </c>
      <c r="Y267" s="533">
        <f t="shared" si="304"/>
        <v>0</v>
      </c>
      <c r="Z267" s="533">
        <f t="shared" si="304"/>
        <v>0</v>
      </c>
      <c r="AA267" s="533">
        <f t="shared" si="304"/>
        <v>0</v>
      </c>
      <c r="AB267" s="533">
        <f t="shared" si="304"/>
        <v>0</v>
      </c>
      <c r="AC267" s="533">
        <f t="shared" si="304"/>
        <v>0</v>
      </c>
      <c r="AD267" s="533">
        <f t="shared" si="304"/>
        <v>0</v>
      </c>
      <c r="AE267" s="533">
        <f t="shared" si="304"/>
        <v>0</v>
      </c>
      <c r="AF267" s="533">
        <f t="shared" si="304"/>
        <v>0</v>
      </c>
      <c r="AG267" s="533">
        <f t="shared" si="304"/>
        <v>0</v>
      </c>
      <c r="AH267" s="533">
        <f t="shared" si="304"/>
        <v>0</v>
      </c>
      <c r="AI267" s="533">
        <f t="shared" si="304"/>
        <v>0</v>
      </c>
      <c r="AJ267" s="533">
        <f t="shared" si="304"/>
        <v>0</v>
      </c>
      <c r="AK267" s="533">
        <f t="shared" si="304"/>
        <v>0</v>
      </c>
      <c r="AL267" s="533">
        <f t="shared" si="304"/>
        <v>0</v>
      </c>
      <c r="AM267" s="533">
        <f t="shared" si="304"/>
        <v>0</v>
      </c>
      <c r="AN267" s="533">
        <f t="shared" si="304"/>
        <v>0</v>
      </c>
      <c r="AO267" s="533">
        <f t="shared" si="304"/>
        <v>0</v>
      </c>
      <c r="AP267" s="533">
        <f t="shared" si="304"/>
        <v>0</v>
      </c>
      <c r="AQ267" s="533">
        <f t="shared" si="304"/>
        <v>0</v>
      </c>
      <c r="AR267" s="533">
        <f t="shared" si="304"/>
        <v>0</v>
      </c>
      <c r="AS267" s="533">
        <f t="shared" si="304"/>
        <v>0</v>
      </c>
      <c r="AT267" s="533">
        <f t="shared" si="304"/>
        <v>0</v>
      </c>
      <c r="AU267" s="576">
        <f t="shared" si="304"/>
        <v>0</v>
      </c>
      <c r="AV267" s="532">
        <f t="shared" ref="AV267:AX267" ca="1" si="305">AV268*-AV235</f>
        <v>0</v>
      </c>
      <c r="AW267" s="532">
        <f t="shared" ca="1" si="305"/>
        <v>0</v>
      </c>
      <c r="AX267" s="532">
        <f t="shared" ca="1" si="305"/>
        <v>0</v>
      </c>
      <c r="AY267" s="532"/>
      <c r="AZ267" s="755">
        <f t="shared" ref="AZ267:BP267" si="306">AZ498</f>
        <v>0</v>
      </c>
      <c r="BA267" s="755">
        <f t="shared" si="306"/>
        <v>0</v>
      </c>
      <c r="BB267" s="755">
        <f t="shared" si="306"/>
        <v>0</v>
      </c>
      <c r="BC267" s="755">
        <f t="shared" si="306"/>
        <v>0</v>
      </c>
      <c r="BD267" s="755">
        <f t="shared" si="306"/>
        <v>0</v>
      </c>
      <c r="BE267" s="755">
        <f t="shared" si="306"/>
        <v>0</v>
      </c>
      <c r="BF267" s="755">
        <f t="shared" si="306"/>
        <v>0</v>
      </c>
      <c r="BG267" s="755">
        <f t="shared" si="306"/>
        <v>0</v>
      </c>
      <c r="BH267" s="755">
        <f t="shared" si="306"/>
        <v>0</v>
      </c>
      <c r="BI267" s="755">
        <f t="shared" si="306"/>
        <v>0</v>
      </c>
      <c r="BJ267" s="755">
        <f t="shared" si="306"/>
        <v>0</v>
      </c>
      <c r="BK267" s="755">
        <f t="shared" si="306"/>
        <v>0</v>
      </c>
      <c r="BL267" s="755">
        <f t="shared" si="306"/>
        <v>0</v>
      </c>
      <c r="BM267" s="755">
        <f t="shared" si="306"/>
        <v>0</v>
      </c>
      <c r="BN267" s="756">
        <f t="shared" si="306"/>
        <v>0</v>
      </c>
      <c r="BO267" s="156">
        <f t="shared" ca="1" si="306"/>
        <v>0</v>
      </c>
      <c r="BP267" s="156" t="e">
        <f t="shared" si="306"/>
        <v>#REF!</v>
      </c>
      <c r="BQ267" s="156" t="e">
        <f>BQ268*-BQ235</f>
        <v>#REF!</v>
      </c>
      <c r="BR267" s="156" t="e">
        <f ca="1">BR268*-BR235</f>
        <v>#REF!</v>
      </c>
      <c r="BS267" s="156" t="e">
        <f ca="1">BS268*-BS235</f>
        <v>#REF!</v>
      </c>
      <c r="BT267" s="533"/>
    </row>
    <row r="268" spans="1:72" s="257" customFormat="1" x14ac:dyDescent="0.35">
      <c r="A268" s="259" t="s">
        <v>98</v>
      </c>
      <c r="B268" s="368"/>
      <c r="C268" s="649">
        <v>0</v>
      </c>
      <c r="D268" s="649">
        <v>0</v>
      </c>
      <c r="E268" s="649">
        <v>0</v>
      </c>
      <c r="F268" s="649">
        <v>0</v>
      </c>
      <c r="G268" s="649">
        <v>0</v>
      </c>
      <c r="H268" s="649">
        <v>0</v>
      </c>
      <c r="I268" s="649">
        <v>0</v>
      </c>
      <c r="J268" s="649">
        <v>0</v>
      </c>
      <c r="K268" s="649">
        <v>0</v>
      </c>
      <c r="L268" s="649">
        <v>0</v>
      </c>
      <c r="M268" s="649">
        <v>0</v>
      </c>
      <c r="N268" s="649">
        <v>0</v>
      </c>
      <c r="O268" s="649">
        <v>0</v>
      </c>
      <c r="P268" s="649">
        <v>0</v>
      </c>
      <c r="Q268" s="649">
        <v>0</v>
      </c>
      <c r="R268" s="649">
        <v>0</v>
      </c>
      <c r="S268" s="649">
        <v>0</v>
      </c>
      <c r="T268" s="649">
        <v>0</v>
      </c>
      <c r="U268" s="649">
        <v>0</v>
      </c>
      <c r="V268" s="649">
        <v>0</v>
      </c>
      <c r="W268" s="649">
        <v>0</v>
      </c>
      <c r="X268" s="649">
        <v>0</v>
      </c>
      <c r="Y268" s="649">
        <v>0</v>
      </c>
      <c r="Z268" s="649">
        <v>0</v>
      </c>
      <c r="AA268" s="649">
        <v>0</v>
      </c>
      <c r="AB268" s="649">
        <v>0</v>
      </c>
      <c r="AC268" s="649">
        <v>0</v>
      </c>
      <c r="AD268" s="649">
        <v>0</v>
      </c>
      <c r="AE268" s="649">
        <v>0</v>
      </c>
      <c r="AF268" s="649">
        <v>0</v>
      </c>
      <c r="AG268" s="649">
        <v>0</v>
      </c>
      <c r="AH268" s="649">
        <v>0</v>
      </c>
      <c r="AI268" s="649">
        <v>0</v>
      </c>
      <c r="AJ268" s="649">
        <v>0</v>
      </c>
      <c r="AK268" s="649">
        <v>0</v>
      </c>
      <c r="AL268" s="649">
        <v>0</v>
      </c>
      <c r="AM268" s="649">
        <v>0</v>
      </c>
      <c r="AN268" s="649">
        <v>0</v>
      </c>
      <c r="AO268" s="649">
        <v>0</v>
      </c>
      <c r="AP268" s="649">
        <v>0</v>
      </c>
      <c r="AQ268" s="649">
        <v>0</v>
      </c>
      <c r="AR268" s="649">
        <v>0</v>
      </c>
      <c r="AS268" s="649">
        <v>0</v>
      </c>
      <c r="AT268" s="649">
        <v>0</v>
      </c>
      <c r="AU268" s="650">
        <v>0</v>
      </c>
      <c r="AV268" s="649">
        <v>0</v>
      </c>
      <c r="AW268" s="649">
        <v>0</v>
      </c>
      <c r="AX268" s="649">
        <v>0</v>
      </c>
      <c r="AY268" s="260"/>
      <c r="AZ268" s="795">
        <v>0</v>
      </c>
      <c r="BA268" s="795">
        <v>0</v>
      </c>
      <c r="BB268" s="795">
        <v>0</v>
      </c>
      <c r="BC268" s="795">
        <v>0</v>
      </c>
      <c r="BD268" s="796">
        <f>SUM(C268,D268,E268,F268)</f>
        <v>0</v>
      </c>
      <c r="BE268" s="796">
        <f>SUM(G268,H268,I268,J268)</f>
        <v>0</v>
      </c>
      <c r="BF268" s="796">
        <f>SUM(K268,L268,M268,N268)</f>
        <v>0</v>
      </c>
      <c r="BG268" s="796">
        <f>SUM(O268,P268,Q268,R268)</f>
        <v>0</v>
      </c>
      <c r="BH268" s="796">
        <f>SUM(S268,T268,U268,V268)</f>
        <v>0</v>
      </c>
      <c r="BI268" s="796">
        <f>SUM(W268,X268,Y268,Z268)</f>
        <v>0</v>
      </c>
      <c r="BJ268" s="796">
        <f>SUM(AA268,AB268,AC268,AD268)</f>
        <v>0</v>
      </c>
      <c r="BK268" s="796">
        <f>SUM(AE268,AF268,AG268,AH268)</f>
        <v>0</v>
      </c>
      <c r="BL268" s="796">
        <f>SUM(AI268,AJ268,AK268,AL268)</f>
        <v>0</v>
      </c>
      <c r="BM268" s="796">
        <f>SUM(AM268,AN268,AO268,AP268)</f>
        <v>0</v>
      </c>
      <c r="BN268" s="797">
        <f>SUM(AQ268,AR268,AS268,AT268)</f>
        <v>0</v>
      </c>
      <c r="BO268" s="798">
        <f>SUM(AU268,AV268,AW268,AX268)</f>
        <v>0</v>
      </c>
      <c r="BP268" s="798" t="e">
        <f>SUM(#REF!,#REF!,#REF!,#REF!)</f>
        <v>#REF!</v>
      </c>
      <c r="BQ268" s="795">
        <v>0</v>
      </c>
      <c r="BR268" s="795">
        <v>0</v>
      </c>
      <c r="BS268" s="795">
        <v>0</v>
      </c>
      <c r="BT268" s="256"/>
    </row>
    <row r="269" spans="1:72" s="257" customFormat="1" x14ac:dyDescent="0.35">
      <c r="A269" s="369"/>
      <c r="B269" s="368"/>
      <c r="C269" s="370"/>
      <c r="D269" s="370"/>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c r="AD269" s="370"/>
      <c r="AE269" s="370"/>
      <c r="AF269" s="370"/>
      <c r="AG269" s="370"/>
      <c r="AH269" s="370"/>
      <c r="AI269" s="370"/>
      <c r="AJ269" s="370"/>
      <c r="AK269" s="370"/>
      <c r="AL269" s="370"/>
      <c r="AM269" s="370"/>
      <c r="AN269" s="370"/>
      <c r="AO269" s="370"/>
      <c r="AP269" s="370"/>
      <c r="AQ269" s="370"/>
      <c r="AR269" s="370"/>
      <c r="AS269" s="370"/>
      <c r="AT269" s="370"/>
      <c r="AU269" s="502"/>
      <c r="AV269" s="370"/>
      <c r="AW269" s="370"/>
      <c r="AX269" s="370"/>
      <c r="AY269" s="370"/>
      <c r="AZ269" s="798"/>
      <c r="BA269" s="798"/>
      <c r="BB269" s="798"/>
      <c r="BC269" s="798"/>
      <c r="BD269" s="798"/>
      <c r="BE269" s="798"/>
      <c r="BF269" s="798"/>
      <c r="BG269" s="798"/>
      <c r="BH269" s="798"/>
      <c r="BI269" s="798"/>
      <c r="BJ269" s="798"/>
      <c r="BK269" s="798"/>
      <c r="BL269" s="798"/>
      <c r="BM269" s="798"/>
      <c r="BN269" s="799"/>
      <c r="BO269" s="798"/>
      <c r="BP269" s="798"/>
      <c r="BQ269" s="798"/>
      <c r="BR269" s="798"/>
      <c r="BS269" s="798"/>
      <c r="BT269" s="256"/>
    </row>
    <row r="270" spans="1:72" s="257" customFormat="1" x14ac:dyDescent="0.35">
      <c r="A270" s="259" t="s">
        <v>420</v>
      </c>
      <c r="B270" s="368"/>
      <c r="C270" s="533">
        <f t="shared" ref="C270:AU270" si="307">C480+C483+C493+C494+C495+C496+C497</f>
        <v>-5.0019999999999998</v>
      </c>
      <c r="D270" s="533">
        <f t="shared" si="307"/>
        <v>-5.6340000000000012</v>
      </c>
      <c r="E270" s="533">
        <f t="shared" si="307"/>
        <v>-5.214999999999999</v>
      </c>
      <c r="F270" s="533">
        <f t="shared" si="307"/>
        <v>-5.956999999999999</v>
      </c>
      <c r="G270" s="533">
        <f t="shared" si="307"/>
        <v>-5.9459999999999997</v>
      </c>
      <c r="H270" s="533">
        <f t="shared" si="307"/>
        <v>-5.5889999999999995</v>
      </c>
      <c r="I270" s="533">
        <f t="shared" si="307"/>
        <v>-5.843</v>
      </c>
      <c r="J270" s="533">
        <f t="shared" si="307"/>
        <v>-5.7059999999999995</v>
      </c>
      <c r="K270" s="533">
        <f t="shared" si="307"/>
        <v>-5.899</v>
      </c>
      <c r="L270" s="533">
        <f t="shared" si="307"/>
        <v>-5.5880000000000001</v>
      </c>
      <c r="M270" s="533">
        <f t="shared" si="307"/>
        <v>-5.2559999999999985</v>
      </c>
      <c r="N270" s="533">
        <f t="shared" si="307"/>
        <v>-5.1960000000000015</v>
      </c>
      <c r="O270" s="533">
        <f t="shared" si="307"/>
        <v>-4.9409999999999998</v>
      </c>
      <c r="P270" s="533">
        <f t="shared" si="307"/>
        <v>-4.4289999999999994</v>
      </c>
      <c r="Q270" s="533">
        <f t="shared" si="307"/>
        <v>-4.0580000000000016</v>
      </c>
      <c r="R270" s="533">
        <f t="shared" si="307"/>
        <v>-3.9740000000000002</v>
      </c>
      <c r="S270" s="533">
        <f t="shared" si="307"/>
        <v>-3.9769999999999999</v>
      </c>
      <c r="T270" s="533">
        <f t="shared" si="307"/>
        <v>-4.1389999999999993</v>
      </c>
      <c r="U270" s="533">
        <f t="shared" si="307"/>
        <v>-3.7629999999999999</v>
      </c>
      <c r="V270" s="533">
        <f t="shared" si="307"/>
        <v>-3.8179999999999996</v>
      </c>
      <c r="W270" s="533">
        <f t="shared" si="307"/>
        <v>-3.7429999999999999</v>
      </c>
      <c r="X270" s="533">
        <f t="shared" si="307"/>
        <v>-3.2440000000000002</v>
      </c>
      <c r="Y270" s="533">
        <f t="shared" si="307"/>
        <v>-3.3260000000000005</v>
      </c>
      <c r="Z270" s="533">
        <f t="shared" si="307"/>
        <v>-2.9879999999999995</v>
      </c>
      <c r="AA270" s="533">
        <f t="shared" si="307"/>
        <v>-3.5179999999999998</v>
      </c>
      <c r="AB270" s="533">
        <f t="shared" si="307"/>
        <v>-3.42</v>
      </c>
      <c r="AC270" s="533">
        <f t="shared" si="307"/>
        <v>-6.96</v>
      </c>
      <c r="AD270" s="533">
        <f t="shared" si="307"/>
        <v>-7.1359999999999992</v>
      </c>
      <c r="AE270" s="533">
        <f t="shared" si="307"/>
        <v>-7.46</v>
      </c>
      <c r="AF270" s="533">
        <f t="shared" si="307"/>
        <v>-7.4989999999999997</v>
      </c>
      <c r="AG270" s="533">
        <f t="shared" si="307"/>
        <v>93.355999999999995</v>
      </c>
      <c r="AH270" s="533">
        <f t="shared" si="307"/>
        <v>-6.0719999999999992</v>
      </c>
      <c r="AI270" s="533">
        <f t="shared" si="307"/>
        <v>243.36700000000002</v>
      </c>
      <c r="AJ270" s="533">
        <f t="shared" si="307"/>
        <v>-6.5659999999999732</v>
      </c>
      <c r="AK270" s="533">
        <f t="shared" si="307"/>
        <v>-5.6480000000000015</v>
      </c>
      <c r="AL270" s="533">
        <f t="shared" si="307"/>
        <v>-7.2119999999999997</v>
      </c>
      <c r="AM270" s="533">
        <f t="shared" si="307"/>
        <v>-7.02</v>
      </c>
      <c r="AN270" s="533">
        <f t="shared" si="307"/>
        <v>-7.7240000000000002</v>
      </c>
      <c r="AO270" s="533">
        <f t="shared" si="307"/>
        <v>-9.1750000000000007</v>
      </c>
      <c r="AP270" s="533">
        <f t="shared" si="307"/>
        <v>-9.0920000000000023</v>
      </c>
      <c r="AQ270" s="533">
        <f t="shared" si="307"/>
        <v>-9.3140000000000001</v>
      </c>
      <c r="AR270" s="533">
        <f t="shared" si="307"/>
        <v>-10.623999999999999</v>
      </c>
      <c r="AS270" s="533">
        <f t="shared" si="307"/>
        <v>-11.3</v>
      </c>
      <c r="AT270" s="533">
        <f t="shared" si="307"/>
        <v>-11.718000000000004</v>
      </c>
      <c r="AU270" s="576">
        <f t="shared" si="307"/>
        <v>-11.721</v>
      </c>
      <c r="AV270" s="638">
        <v>0</v>
      </c>
      <c r="AW270" s="638">
        <v>0</v>
      </c>
      <c r="AX270" s="638">
        <v>0</v>
      </c>
      <c r="AY270" s="585"/>
      <c r="AZ270" s="755">
        <f t="shared" ref="AZ270:BP270" si="308">AZ480+AZ483+AZ493+AZ494+AZ495+AZ496+AZ497</f>
        <v>-6.8019999999999996</v>
      </c>
      <c r="BA270" s="755">
        <f t="shared" si="308"/>
        <v>-13.974</v>
      </c>
      <c r="BB270" s="755">
        <f t="shared" si="308"/>
        <v>-15.171999999999999</v>
      </c>
      <c r="BC270" s="755">
        <f t="shared" si="308"/>
        <v>-18.420000000000002</v>
      </c>
      <c r="BD270" s="755">
        <f t="shared" si="308"/>
        <v>-21.808</v>
      </c>
      <c r="BE270" s="755">
        <f t="shared" si="308"/>
        <v>-23.084</v>
      </c>
      <c r="BF270" s="755">
        <f t="shared" si="308"/>
        <v>-21.939</v>
      </c>
      <c r="BG270" s="755">
        <f t="shared" si="308"/>
        <v>-17.402000000000001</v>
      </c>
      <c r="BH270" s="755">
        <f t="shared" si="308"/>
        <v>-15.696999999999999</v>
      </c>
      <c r="BI270" s="755">
        <f t="shared" si="308"/>
        <v>-13.301</v>
      </c>
      <c r="BJ270" s="755">
        <f t="shared" si="308"/>
        <v>-21.033999999999999</v>
      </c>
      <c r="BK270" s="755">
        <f t="shared" si="308"/>
        <v>72.325000000000003</v>
      </c>
      <c r="BL270" s="755">
        <f t="shared" si="308"/>
        <v>223.94100000000003</v>
      </c>
      <c r="BM270" s="755">
        <f t="shared" si="308"/>
        <v>-33.011000000000003</v>
      </c>
      <c r="BN270" s="756">
        <f t="shared" si="308"/>
        <v>-42.956000000000003</v>
      </c>
      <c r="BO270" s="156">
        <f t="shared" si="308"/>
        <v>-11.721</v>
      </c>
      <c r="BP270" s="156" t="e">
        <f t="shared" si="308"/>
        <v>#REF!</v>
      </c>
      <c r="BQ270" s="729">
        <v>0</v>
      </c>
      <c r="BR270" s="729">
        <v>0</v>
      </c>
      <c r="BS270" s="729">
        <v>0</v>
      </c>
      <c r="BT270" s="256"/>
    </row>
    <row r="271" spans="1:72" s="257" customFormat="1" x14ac:dyDescent="0.35">
      <c r="A271" s="259" t="s">
        <v>423</v>
      </c>
      <c r="B271" s="368"/>
      <c r="C271" s="533">
        <f t="shared" ref="C271:AU271" si="309">C484+C485+C487+C488+C489+C490+C491+C492</f>
        <v>0.49700000000000011</v>
      </c>
      <c r="D271" s="533">
        <f t="shared" si="309"/>
        <v>1.8409999999999997</v>
      </c>
      <c r="E271" s="533">
        <f t="shared" si="309"/>
        <v>3.2850000000000001</v>
      </c>
      <c r="F271" s="533">
        <f t="shared" si="309"/>
        <v>7.9729999999999981</v>
      </c>
      <c r="G271" s="533">
        <f t="shared" si="309"/>
        <v>5.9829999999999997</v>
      </c>
      <c r="H271" s="533">
        <f t="shared" si="309"/>
        <v>-8.6890000000000001</v>
      </c>
      <c r="I271" s="533">
        <f t="shared" si="309"/>
        <v>-20.215999999999998</v>
      </c>
      <c r="J271" s="533">
        <f t="shared" si="309"/>
        <v>-18.671000000000006</v>
      </c>
      <c r="K271" s="533">
        <f t="shared" si="309"/>
        <v>-27.396000000000001</v>
      </c>
      <c r="L271" s="533">
        <f t="shared" si="309"/>
        <v>-0.35599999999999987</v>
      </c>
      <c r="M271" s="533">
        <f t="shared" si="309"/>
        <v>-0.56699999999999995</v>
      </c>
      <c r="N271" s="533">
        <f t="shared" si="309"/>
        <v>-0.13400000000000023</v>
      </c>
      <c r="O271" s="533">
        <f t="shared" si="309"/>
        <v>-1.9079999999999999</v>
      </c>
      <c r="P271" s="533">
        <f t="shared" si="309"/>
        <v>-0.41199999999999992</v>
      </c>
      <c r="Q271" s="533">
        <f t="shared" si="309"/>
        <v>-0.71600000000000019</v>
      </c>
      <c r="R271" s="533">
        <f t="shared" si="309"/>
        <v>-0.33800000000000008</v>
      </c>
      <c r="S271" s="533">
        <f t="shared" si="309"/>
        <v>-0.95799999999999996</v>
      </c>
      <c r="T271" s="533">
        <f t="shared" si="309"/>
        <v>-4.9999999999998934E-3</v>
      </c>
      <c r="U271" s="533">
        <f t="shared" si="309"/>
        <v>-1.5049999999999999</v>
      </c>
      <c r="V271" s="533">
        <f t="shared" si="309"/>
        <v>3.5210000000000008</v>
      </c>
      <c r="W271" s="533">
        <f t="shared" si="309"/>
        <v>-4.0350000000000001</v>
      </c>
      <c r="X271" s="533">
        <f t="shared" si="309"/>
        <v>-1.6639999999999997</v>
      </c>
      <c r="Y271" s="533">
        <f t="shared" si="309"/>
        <v>-3.8800000000000003</v>
      </c>
      <c r="Z271" s="533">
        <f t="shared" si="309"/>
        <v>-28.021000000000001</v>
      </c>
      <c r="AA271" s="533">
        <f t="shared" si="309"/>
        <v>-6.0620000000000003</v>
      </c>
      <c r="AB271" s="533">
        <f t="shared" si="309"/>
        <v>0.19199999999999973</v>
      </c>
      <c r="AC271" s="533">
        <f t="shared" si="309"/>
        <v>-1.6030000000000004</v>
      </c>
      <c r="AD271" s="533">
        <f t="shared" si="309"/>
        <v>0.54500000000000037</v>
      </c>
      <c r="AE271" s="533">
        <f t="shared" si="309"/>
        <v>-4.6560000000000006</v>
      </c>
      <c r="AF271" s="533">
        <f t="shared" si="309"/>
        <v>-0.1789999999999996</v>
      </c>
      <c r="AG271" s="533">
        <f t="shared" si="309"/>
        <v>-1.6209999999999996</v>
      </c>
      <c r="AH271" s="533">
        <f t="shared" si="309"/>
        <v>-0.24100000000000055</v>
      </c>
      <c r="AI271" s="533">
        <f t="shared" si="309"/>
        <v>-16.661000000000001</v>
      </c>
      <c r="AJ271" s="533">
        <f t="shared" si="309"/>
        <v>-2.9000000000000692E-2</v>
      </c>
      <c r="AK271" s="533">
        <f t="shared" si="309"/>
        <v>-2.3429999999999995</v>
      </c>
      <c r="AL271" s="533">
        <f t="shared" si="309"/>
        <v>-0.33199999999999985</v>
      </c>
      <c r="AM271" s="533">
        <f t="shared" si="309"/>
        <v>-5.7970000000000006</v>
      </c>
      <c r="AN271" s="533">
        <f t="shared" si="309"/>
        <v>-29.361000000000004</v>
      </c>
      <c r="AO271" s="533">
        <f t="shared" si="309"/>
        <v>-1.9139999999999975</v>
      </c>
      <c r="AP271" s="533">
        <f t="shared" si="309"/>
        <v>-0.36899999999999594</v>
      </c>
      <c r="AQ271" s="533">
        <f t="shared" si="309"/>
        <v>-8.8949999999999996</v>
      </c>
      <c r="AR271" s="533">
        <f t="shared" si="309"/>
        <v>-1.4290000000000003</v>
      </c>
      <c r="AS271" s="533">
        <f t="shared" si="309"/>
        <v>-2.5920000000000005</v>
      </c>
      <c r="AT271" s="533">
        <f t="shared" si="309"/>
        <v>-0.60500000000000043</v>
      </c>
      <c r="AU271" s="576">
        <f t="shared" si="309"/>
        <v>-2.09</v>
      </c>
      <c r="AV271" s="638">
        <v>0</v>
      </c>
      <c r="AW271" s="638">
        <v>0</v>
      </c>
      <c r="AX271" s="638">
        <v>0</v>
      </c>
      <c r="AY271" s="585"/>
      <c r="AZ271" s="755">
        <f t="shared" ref="AZ271:BP271" si="310">AZ484+AZ485+AZ487+AZ488+AZ489+AZ490+AZ491+AZ492</f>
        <v>16.821999999999999</v>
      </c>
      <c r="BA271" s="755">
        <f t="shared" si="310"/>
        <v>12.471000000000002</v>
      </c>
      <c r="BB271" s="755">
        <f t="shared" si="310"/>
        <v>142.31</v>
      </c>
      <c r="BC271" s="755">
        <f t="shared" si="310"/>
        <v>-1.3470000000000002</v>
      </c>
      <c r="BD271" s="755">
        <f t="shared" si="310"/>
        <v>13.596</v>
      </c>
      <c r="BE271" s="755">
        <f t="shared" si="310"/>
        <v>-41.593000000000004</v>
      </c>
      <c r="BF271" s="755">
        <f t="shared" si="310"/>
        <v>-28.453000000000003</v>
      </c>
      <c r="BG271" s="755">
        <f t="shared" si="310"/>
        <v>-3.3740000000000001</v>
      </c>
      <c r="BH271" s="755">
        <f t="shared" si="310"/>
        <v>1.0530000000000008</v>
      </c>
      <c r="BI271" s="755">
        <f t="shared" si="310"/>
        <v>-37.599999999999994</v>
      </c>
      <c r="BJ271" s="755">
        <f t="shared" si="310"/>
        <v>-6.9280000000000008</v>
      </c>
      <c r="BK271" s="755">
        <f t="shared" si="310"/>
        <v>-6.6970000000000001</v>
      </c>
      <c r="BL271" s="755">
        <f t="shared" si="310"/>
        <v>-19.365000000000002</v>
      </c>
      <c r="BM271" s="755">
        <f t="shared" si="310"/>
        <v>-37.440999999999995</v>
      </c>
      <c r="BN271" s="756">
        <f t="shared" si="310"/>
        <v>-13.521000000000001</v>
      </c>
      <c r="BO271" s="156">
        <f t="shared" si="310"/>
        <v>-2.09</v>
      </c>
      <c r="BP271" s="156" t="e">
        <f t="shared" si="310"/>
        <v>#REF!</v>
      </c>
      <c r="BQ271" s="729">
        <v>0</v>
      </c>
      <c r="BR271" s="729">
        <v>0</v>
      </c>
      <c r="BS271" s="729">
        <v>0</v>
      </c>
      <c r="BT271" s="256"/>
    </row>
    <row r="272" spans="1:72" s="257" customFormat="1" x14ac:dyDescent="0.35">
      <c r="A272" s="304" t="s">
        <v>424</v>
      </c>
      <c r="B272" s="305"/>
      <c r="C272" s="310"/>
      <c r="D272" s="310"/>
      <c r="E272" s="310"/>
      <c r="F272" s="310"/>
      <c r="G272" s="310"/>
      <c r="H272" s="310"/>
      <c r="I272" s="310"/>
      <c r="J272" s="310"/>
      <c r="K272" s="310"/>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c r="AS272" s="310"/>
      <c r="AT272" s="310"/>
      <c r="AU272" s="503"/>
      <c r="AV272" s="651">
        <v>44</v>
      </c>
      <c r="AW272" s="651">
        <v>44</v>
      </c>
      <c r="AX272" s="651">
        <v>44</v>
      </c>
      <c r="AY272" s="306"/>
      <c r="AZ272" s="776"/>
      <c r="BA272" s="776"/>
      <c r="BB272" s="776"/>
      <c r="BC272" s="776"/>
      <c r="BD272" s="776"/>
      <c r="BE272" s="776"/>
      <c r="BF272" s="776"/>
      <c r="BG272" s="776"/>
      <c r="BH272" s="776"/>
      <c r="BI272" s="776"/>
      <c r="BJ272" s="776"/>
      <c r="BK272" s="776"/>
      <c r="BL272" s="776"/>
      <c r="BM272" s="776"/>
      <c r="BN272" s="800"/>
      <c r="BO272" s="791">
        <f>AVERAGE(AU272,AV272,AW272,AX272)</f>
        <v>44</v>
      </c>
      <c r="BP272" s="791" t="e">
        <f>AVERAGE(#REF!,#REF!,#REF!,#REF!)</f>
        <v>#REF!</v>
      </c>
      <c r="BQ272" s="801">
        <v>53</v>
      </c>
      <c r="BR272" s="801">
        <v>58</v>
      </c>
      <c r="BS272" s="801">
        <v>64</v>
      </c>
      <c r="BT272" s="256"/>
    </row>
    <row r="273" spans="1:72" s="20" customFormat="1" x14ac:dyDescent="0.35">
      <c r="A273" s="541"/>
      <c r="B273" s="542"/>
      <c r="C273" s="537"/>
      <c r="D273" s="537"/>
      <c r="E273" s="537"/>
      <c r="F273" s="537"/>
      <c r="G273" s="537"/>
      <c r="H273" s="537"/>
      <c r="I273" s="537"/>
      <c r="J273" s="537"/>
      <c r="K273" s="537"/>
      <c r="L273" s="537"/>
      <c r="M273" s="537"/>
      <c r="N273" s="537"/>
      <c r="O273" s="537"/>
      <c r="P273" s="537"/>
      <c r="Q273" s="537"/>
      <c r="R273" s="537"/>
      <c r="S273" s="537"/>
      <c r="T273" s="537"/>
      <c r="U273" s="537"/>
      <c r="V273" s="537"/>
      <c r="W273" s="537"/>
      <c r="X273" s="537"/>
      <c r="Y273" s="537"/>
      <c r="Z273" s="537"/>
      <c r="AA273" s="537"/>
      <c r="AB273" s="537"/>
      <c r="AC273" s="537"/>
      <c r="AD273" s="537"/>
      <c r="AE273" s="537"/>
      <c r="AF273" s="537"/>
      <c r="AG273" s="537"/>
      <c r="AH273" s="537"/>
      <c r="AI273" s="537"/>
      <c r="AJ273" s="537"/>
      <c r="AK273" s="537"/>
      <c r="AL273" s="537"/>
      <c r="AM273" s="537"/>
      <c r="AN273" s="537"/>
      <c r="AO273" s="537"/>
      <c r="AP273" s="537"/>
      <c r="AQ273" s="537"/>
      <c r="AR273" s="537"/>
      <c r="AS273" s="537"/>
      <c r="AT273" s="537"/>
      <c r="AU273" s="582"/>
      <c r="AV273" s="537"/>
      <c r="AW273" s="537"/>
      <c r="AX273" s="537"/>
      <c r="AY273" s="537"/>
      <c r="AZ273" s="757"/>
      <c r="BA273" s="757"/>
      <c r="BB273" s="757"/>
      <c r="BC273" s="757"/>
      <c r="BD273" s="757"/>
      <c r="BE273" s="757"/>
      <c r="BF273" s="757"/>
      <c r="BG273" s="757"/>
      <c r="BH273" s="757"/>
      <c r="BI273" s="757"/>
      <c r="BJ273" s="757"/>
      <c r="BK273" s="757"/>
      <c r="BL273" s="757"/>
      <c r="BM273" s="757"/>
      <c r="BN273" s="758"/>
      <c r="BO273" s="757"/>
      <c r="BP273" s="757"/>
      <c r="BQ273" s="757"/>
      <c r="BR273" s="757"/>
      <c r="BS273" s="757"/>
      <c r="BT273" s="427"/>
    </row>
    <row r="274" spans="1:72" s="17" customFormat="1" hidden="1" outlineLevel="1" x14ac:dyDescent="0.35">
      <c r="A274" s="532" t="s">
        <v>99</v>
      </c>
      <c r="B274" s="308"/>
      <c r="C274" s="532">
        <f t="shared" ref="C274:AH274" si="311">C257+C263</f>
        <v>11.047000000000001</v>
      </c>
      <c r="D274" s="532">
        <f t="shared" si="311"/>
        <v>23.141999999999999</v>
      </c>
      <c r="E274" s="532">
        <f t="shared" si="311"/>
        <v>26.834000000000003</v>
      </c>
      <c r="F274" s="532">
        <f t="shared" si="311"/>
        <v>5.0969999999999889</v>
      </c>
      <c r="G274" s="532">
        <f t="shared" si="311"/>
        <v>-0.8550000000000022</v>
      </c>
      <c r="H274" s="532">
        <f t="shared" si="311"/>
        <v>29.053999999999998</v>
      </c>
      <c r="I274" s="532">
        <f t="shared" si="311"/>
        <v>32.927999999999997</v>
      </c>
      <c r="J274" s="532">
        <f t="shared" si="311"/>
        <v>8.0839999999999925</v>
      </c>
      <c r="K274" s="532">
        <f t="shared" si="311"/>
        <v>3.5919999999999987</v>
      </c>
      <c r="L274" s="532">
        <f t="shared" si="311"/>
        <v>20.478000000000005</v>
      </c>
      <c r="M274" s="532">
        <f t="shared" si="311"/>
        <v>24.136000000000006</v>
      </c>
      <c r="N274" s="532">
        <f t="shared" si="311"/>
        <v>14.743999999999996</v>
      </c>
      <c r="O274" s="532">
        <f t="shared" si="311"/>
        <v>5.0960000000000019</v>
      </c>
      <c r="P274" s="532">
        <f t="shared" si="311"/>
        <v>17.450999999999997</v>
      </c>
      <c r="Q274" s="532">
        <f t="shared" si="311"/>
        <v>14.723999999999997</v>
      </c>
      <c r="R274" s="532">
        <f t="shared" si="311"/>
        <v>-0.93600000000000705</v>
      </c>
      <c r="S274" s="532">
        <f t="shared" si="311"/>
        <v>5.5199999999999978</v>
      </c>
      <c r="T274" s="532">
        <f t="shared" si="311"/>
        <v>21.183</v>
      </c>
      <c r="U274" s="532">
        <f t="shared" si="311"/>
        <v>25.496000000000002</v>
      </c>
      <c r="V274" s="532">
        <f t="shared" si="311"/>
        <v>7.7289999999999939</v>
      </c>
      <c r="W274" s="532">
        <f t="shared" si="311"/>
        <v>10.341999999999997</v>
      </c>
      <c r="X274" s="532">
        <f t="shared" si="311"/>
        <v>24.303000000000004</v>
      </c>
      <c r="Y274" s="532">
        <f t="shared" si="311"/>
        <v>23.075000000000003</v>
      </c>
      <c r="Z274" s="532">
        <f t="shared" si="311"/>
        <v>27.470000000000002</v>
      </c>
      <c r="AA274" s="532">
        <f t="shared" si="311"/>
        <v>5.7560000000000038</v>
      </c>
      <c r="AB274" s="532">
        <f t="shared" si="311"/>
        <v>37.827999999999996</v>
      </c>
      <c r="AC274" s="532">
        <f t="shared" si="311"/>
        <v>32.430000000000007</v>
      </c>
      <c r="AD274" s="532">
        <f t="shared" si="311"/>
        <v>14.867999999999999</v>
      </c>
      <c r="AE274" s="532">
        <f t="shared" si="311"/>
        <v>3.6049999999999969</v>
      </c>
      <c r="AF274" s="532">
        <f t="shared" si="311"/>
        <v>34.144999999999996</v>
      </c>
      <c r="AG274" s="532">
        <f t="shared" si="311"/>
        <v>29.330000000000002</v>
      </c>
      <c r="AH274" s="532">
        <f t="shared" si="311"/>
        <v>29.283999999999999</v>
      </c>
      <c r="AI274" s="532">
        <f t="shared" ref="AI274:AX274" si="312">AI257+AI263</f>
        <v>51.98899999999999</v>
      </c>
      <c r="AJ274" s="532">
        <f t="shared" si="312"/>
        <v>54.629999999999995</v>
      </c>
      <c r="AK274" s="532">
        <f t="shared" si="312"/>
        <v>56.381999999999998</v>
      </c>
      <c r="AL274" s="532">
        <f t="shared" si="312"/>
        <v>36.659999999999997</v>
      </c>
      <c r="AM274" s="532">
        <f t="shared" si="312"/>
        <v>26.576000000000008</v>
      </c>
      <c r="AN274" s="532">
        <f t="shared" si="312"/>
        <v>65.435000000000002</v>
      </c>
      <c r="AO274" s="532">
        <f t="shared" si="312"/>
        <v>61.585000000000001</v>
      </c>
      <c r="AP274" s="532">
        <f t="shared" si="312"/>
        <v>50.587000000000003</v>
      </c>
      <c r="AQ274" s="532">
        <f t="shared" si="312"/>
        <v>11.322000000000003</v>
      </c>
      <c r="AR274" s="532">
        <f t="shared" si="312"/>
        <v>62.617000000000012</v>
      </c>
      <c r="AS274" s="532">
        <f t="shared" si="312"/>
        <v>75.602000000000018</v>
      </c>
      <c r="AT274" s="532">
        <f t="shared" si="312"/>
        <v>54.6</v>
      </c>
      <c r="AU274" s="534">
        <f t="shared" si="312"/>
        <v>48.063999999999993</v>
      </c>
      <c r="AV274" s="532">
        <f t="shared" si="312"/>
        <v>73.440174303484127</v>
      </c>
      <c r="AW274" s="532">
        <f t="shared" ca="1" si="312"/>
        <v>74.245016660617992</v>
      </c>
      <c r="AX274" s="532">
        <f t="shared" ca="1" si="312"/>
        <v>59.5582215542955</v>
      </c>
      <c r="AY274" s="532"/>
      <c r="AZ274" s="156">
        <f t="shared" ref="AZ274:BS274" si="313">AZ257+AZ263</f>
        <v>10.320000000000007</v>
      </c>
      <c r="BA274" s="156">
        <f t="shared" si="313"/>
        <v>37.393000000000001</v>
      </c>
      <c r="BB274" s="156">
        <f t="shared" si="313"/>
        <v>25.190999999999988</v>
      </c>
      <c r="BC274" s="156">
        <f t="shared" si="313"/>
        <v>51.887999999999977</v>
      </c>
      <c r="BD274" s="156">
        <f t="shared" si="313"/>
        <v>66.119999999999976</v>
      </c>
      <c r="BE274" s="156">
        <f t="shared" si="313"/>
        <v>69.210999999999999</v>
      </c>
      <c r="BF274" s="156">
        <f t="shared" si="313"/>
        <v>62.950000000000017</v>
      </c>
      <c r="BG274" s="156">
        <f t="shared" si="313"/>
        <v>36.334999999999994</v>
      </c>
      <c r="BH274" s="156">
        <f t="shared" si="313"/>
        <v>59.927999999999997</v>
      </c>
      <c r="BI274" s="156">
        <f t="shared" si="313"/>
        <v>85.19</v>
      </c>
      <c r="BJ274" s="156">
        <f t="shared" si="313"/>
        <v>90.882000000000005</v>
      </c>
      <c r="BK274" s="156">
        <f t="shared" si="313"/>
        <v>96.36399999999999</v>
      </c>
      <c r="BL274" s="156">
        <f t="shared" si="313"/>
        <v>199.661</v>
      </c>
      <c r="BM274" s="156">
        <f t="shared" si="313"/>
        <v>204.18299999999996</v>
      </c>
      <c r="BN274" s="730">
        <f t="shared" si="313"/>
        <v>204.14100000000002</v>
      </c>
      <c r="BO274" s="156">
        <f t="shared" ca="1" si="313"/>
        <v>255.30741251839771</v>
      </c>
      <c r="BP274" s="156" t="e">
        <f t="shared" si="313"/>
        <v>#REF!</v>
      </c>
      <c r="BQ274" s="156" t="e">
        <f t="shared" si="313"/>
        <v>#REF!</v>
      </c>
      <c r="BR274" s="156" t="e">
        <f t="shared" si="313"/>
        <v>#REF!</v>
      </c>
      <c r="BS274" s="156" t="e">
        <f t="shared" ca="1" si="313"/>
        <v>#REF!</v>
      </c>
      <c r="BT274" s="532"/>
    </row>
    <row r="275" spans="1:72" s="17" customFormat="1" hidden="1" outlineLevel="1" x14ac:dyDescent="0.35">
      <c r="A275" s="532" t="s">
        <v>100</v>
      </c>
      <c r="B275" s="308"/>
      <c r="C275" s="532">
        <f t="shared" ref="C275:AH275" si="314">C274+C267</f>
        <v>11.047000000000001</v>
      </c>
      <c r="D275" s="532">
        <f t="shared" si="314"/>
        <v>23.141999999999999</v>
      </c>
      <c r="E275" s="532">
        <f t="shared" si="314"/>
        <v>26.834000000000003</v>
      </c>
      <c r="F275" s="532">
        <f t="shared" si="314"/>
        <v>5.0969999999999889</v>
      </c>
      <c r="G275" s="532">
        <f t="shared" si="314"/>
        <v>-0.8550000000000022</v>
      </c>
      <c r="H275" s="532">
        <f t="shared" si="314"/>
        <v>29.053999999999998</v>
      </c>
      <c r="I275" s="532">
        <f t="shared" si="314"/>
        <v>32.927999999999997</v>
      </c>
      <c r="J275" s="532">
        <f t="shared" si="314"/>
        <v>8.0839999999999925</v>
      </c>
      <c r="K275" s="532">
        <f t="shared" si="314"/>
        <v>3.5919999999999987</v>
      </c>
      <c r="L275" s="532">
        <f t="shared" si="314"/>
        <v>20.478000000000005</v>
      </c>
      <c r="M275" s="532">
        <f t="shared" si="314"/>
        <v>24.136000000000006</v>
      </c>
      <c r="N275" s="532">
        <f t="shared" si="314"/>
        <v>14.743999999999996</v>
      </c>
      <c r="O275" s="532">
        <f t="shared" si="314"/>
        <v>5.0960000000000019</v>
      </c>
      <c r="P275" s="532">
        <f t="shared" si="314"/>
        <v>17.450999999999997</v>
      </c>
      <c r="Q275" s="532">
        <f t="shared" si="314"/>
        <v>14.723999999999997</v>
      </c>
      <c r="R275" s="532">
        <f t="shared" si="314"/>
        <v>-0.93600000000000705</v>
      </c>
      <c r="S275" s="532">
        <f t="shared" si="314"/>
        <v>5.5199999999999978</v>
      </c>
      <c r="T275" s="532">
        <f t="shared" si="314"/>
        <v>21.183</v>
      </c>
      <c r="U275" s="532">
        <f t="shared" si="314"/>
        <v>25.496000000000002</v>
      </c>
      <c r="V275" s="532">
        <f t="shared" si="314"/>
        <v>7.7289999999999939</v>
      </c>
      <c r="W275" s="532">
        <f t="shared" si="314"/>
        <v>10.341999999999997</v>
      </c>
      <c r="X275" s="532">
        <f t="shared" si="314"/>
        <v>24.303000000000004</v>
      </c>
      <c r="Y275" s="532">
        <f t="shared" si="314"/>
        <v>23.075000000000003</v>
      </c>
      <c r="Z275" s="532">
        <f t="shared" si="314"/>
        <v>27.470000000000002</v>
      </c>
      <c r="AA275" s="532">
        <f t="shared" si="314"/>
        <v>5.7560000000000038</v>
      </c>
      <c r="AB275" s="532">
        <f t="shared" si="314"/>
        <v>37.827999999999996</v>
      </c>
      <c r="AC275" s="532">
        <f t="shared" si="314"/>
        <v>32.430000000000007</v>
      </c>
      <c r="AD275" s="532">
        <f t="shared" si="314"/>
        <v>14.867999999999999</v>
      </c>
      <c r="AE275" s="532">
        <f t="shared" si="314"/>
        <v>3.6049999999999969</v>
      </c>
      <c r="AF275" s="532">
        <f t="shared" si="314"/>
        <v>34.144999999999996</v>
      </c>
      <c r="AG275" s="532">
        <f t="shared" si="314"/>
        <v>29.330000000000002</v>
      </c>
      <c r="AH275" s="532">
        <f t="shared" si="314"/>
        <v>29.283999999999999</v>
      </c>
      <c r="AI275" s="532">
        <f t="shared" ref="AI275:AX275" si="315">AI274+AI267</f>
        <v>51.98899999999999</v>
      </c>
      <c r="AJ275" s="532">
        <f t="shared" si="315"/>
        <v>54.629999999999995</v>
      </c>
      <c r="AK275" s="532">
        <f t="shared" si="315"/>
        <v>56.381999999999998</v>
      </c>
      <c r="AL275" s="532">
        <f t="shared" si="315"/>
        <v>36.659999999999997</v>
      </c>
      <c r="AM275" s="532">
        <f t="shared" si="315"/>
        <v>26.576000000000008</v>
      </c>
      <c r="AN275" s="532">
        <f t="shared" si="315"/>
        <v>65.435000000000002</v>
      </c>
      <c r="AO275" s="532">
        <f t="shared" si="315"/>
        <v>61.585000000000001</v>
      </c>
      <c r="AP275" s="532">
        <f t="shared" si="315"/>
        <v>50.587000000000003</v>
      </c>
      <c r="AQ275" s="532">
        <f t="shared" si="315"/>
        <v>11.322000000000003</v>
      </c>
      <c r="AR275" s="532">
        <f t="shared" si="315"/>
        <v>62.617000000000012</v>
      </c>
      <c r="AS275" s="532">
        <f t="shared" si="315"/>
        <v>75.602000000000018</v>
      </c>
      <c r="AT275" s="532">
        <f t="shared" si="315"/>
        <v>54.6</v>
      </c>
      <c r="AU275" s="534">
        <f t="shared" si="315"/>
        <v>48.063999999999993</v>
      </c>
      <c r="AV275" s="532">
        <f t="shared" ca="1" si="315"/>
        <v>73.440174303484127</v>
      </c>
      <c r="AW275" s="532">
        <f t="shared" ca="1" si="315"/>
        <v>74.245016660617992</v>
      </c>
      <c r="AX275" s="532">
        <f t="shared" ca="1" si="315"/>
        <v>59.5582215542955</v>
      </c>
      <c r="AY275" s="532"/>
      <c r="AZ275" s="156">
        <f t="shared" ref="AZ275:BS275" si="316">AZ274+AZ267</f>
        <v>10.320000000000007</v>
      </c>
      <c r="BA275" s="156">
        <f t="shared" si="316"/>
        <v>37.393000000000001</v>
      </c>
      <c r="BB275" s="156">
        <f t="shared" si="316"/>
        <v>25.190999999999988</v>
      </c>
      <c r="BC275" s="156">
        <f t="shared" si="316"/>
        <v>51.887999999999977</v>
      </c>
      <c r="BD275" s="156">
        <f t="shared" si="316"/>
        <v>66.119999999999976</v>
      </c>
      <c r="BE275" s="156">
        <f t="shared" si="316"/>
        <v>69.210999999999999</v>
      </c>
      <c r="BF275" s="156">
        <f t="shared" si="316"/>
        <v>62.950000000000017</v>
      </c>
      <c r="BG275" s="156">
        <f t="shared" si="316"/>
        <v>36.334999999999994</v>
      </c>
      <c r="BH275" s="156">
        <f t="shared" si="316"/>
        <v>59.927999999999997</v>
      </c>
      <c r="BI275" s="156">
        <f t="shared" si="316"/>
        <v>85.19</v>
      </c>
      <c r="BJ275" s="156">
        <f t="shared" si="316"/>
        <v>90.882000000000005</v>
      </c>
      <c r="BK275" s="156">
        <f t="shared" si="316"/>
        <v>96.36399999999999</v>
      </c>
      <c r="BL275" s="156">
        <f t="shared" si="316"/>
        <v>199.661</v>
      </c>
      <c r="BM275" s="156">
        <f t="shared" si="316"/>
        <v>204.18299999999996</v>
      </c>
      <c r="BN275" s="730">
        <f t="shared" si="316"/>
        <v>204.14100000000002</v>
      </c>
      <c r="BO275" s="156">
        <f t="shared" ca="1" si="316"/>
        <v>255.30741251839771</v>
      </c>
      <c r="BP275" s="156" t="e">
        <f t="shared" si="316"/>
        <v>#REF!</v>
      </c>
      <c r="BQ275" s="156" t="e">
        <f t="shared" si="316"/>
        <v>#REF!</v>
      </c>
      <c r="BR275" s="156" t="e">
        <f t="shared" ca="1" si="316"/>
        <v>#REF!</v>
      </c>
      <c r="BS275" s="156" t="e">
        <f t="shared" ca="1" si="316"/>
        <v>#REF!</v>
      </c>
      <c r="BT275" s="532"/>
    </row>
    <row r="276" spans="1:72" s="17" customFormat="1" hidden="1" outlineLevel="1" x14ac:dyDescent="0.35">
      <c r="A276" s="532" t="s">
        <v>101</v>
      </c>
      <c r="B276" s="308"/>
      <c r="C276" s="532">
        <f t="shared" ref="C276:AH276" si="317">C275+C265+C266</f>
        <v>11.047000000000001</v>
      </c>
      <c r="D276" s="532">
        <f t="shared" si="317"/>
        <v>23.141999999999999</v>
      </c>
      <c r="E276" s="532">
        <f t="shared" si="317"/>
        <v>26.834000000000003</v>
      </c>
      <c r="F276" s="532">
        <f t="shared" si="317"/>
        <v>5.0969999999999889</v>
      </c>
      <c r="G276" s="532">
        <f t="shared" si="317"/>
        <v>-0.8550000000000022</v>
      </c>
      <c r="H276" s="532">
        <f t="shared" si="317"/>
        <v>29.053999999999998</v>
      </c>
      <c r="I276" s="532">
        <f t="shared" si="317"/>
        <v>32.927999999999997</v>
      </c>
      <c r="J276" s="532">
        <f t="shared" si="317"/>
        <v>13.748999999999992</v>
      </c>
      <c r="K276" s="532">
        <f t="shared" si="317"/>
        <v>-2.9200000000000008</v>
      </c>
      <c r="L276" s="532">
        <f t="shared" si="317"/>
        <v>20.478000000000005</v>
      </c>
      <c r="M276" s="532">
        <f t="shared" si="317"/>
        <v>24.136000000000006</v>
      </c>
      <c r="N276" s="532">
        <f t="shared" si="317"/>
        <v>14.743999999999996</v>
      </c>
      <c r="O276" s="532">
        <f t="shared" si="317"/>
        <v>5.0960000000000019</v>
      </c>
      <c r="P276" s="532">
        <f t="shared" si="317"/>
        <v>17.450999999999997</v>
      </c>
      <c r="Q276" s="532">
        <f t="shared" si="317"/>
        <v>14.723999999999997</v>
      </c>
      <c r="R276" s="532">
        <f t="shared" si="317"/>
        <v>-20.889000000000006</v>
      </c>
      <c r="S276" s="532">
        <f t="shared" si="317"/>
        <v>5.5199999999999978</v>
      </c>
      <c r="T276" s="532">
        <f t="shared" si="317"/>
        <v>21.183</v>
      </c>
      <c r="U276" s="532">
        <f t="shared" si="317"/>
        <v>25.496000000000002</v>
      </c>
      <c r="V276" s="532">
        <f t="shared" si="317"/>
        <v>7.888999999999994</v>
      </c>
      <c r="W276" s="532">
        <f t="shared" si="317"/>
        <v>10.341999999999997</v>
      </c>
      <c r="X276" s="532">
        <f t="shared" si="317"/>
        <v>22.133000000000003</v>
      </c>
      <c r="Y276" s="532">
        <f t="shared" si="317"/>
        <v>22.471000000000004</v>
      </c>
      <c r="Z276" s="532">
        <f t="shared" si="317"/>
        <v>30.244000000000003</v>
      </c>
      <c r="AA276" s="532">
        <f t="shared" si="317"/>
        <v>-5.8959999999999955</v>
      </c>
      <c r="AB276" s="532">
        <f t="shared" si="317"/>
        <v>36.840999999999994</v>
      </c>
      <c r="AC276" s="532">
        <f t="shared" si="317"/>
        <v>32.779000000000011</v>
      </c>
      <c r="AD276" s="532">
        <f t="shared" si="317"/>
        <v>13.427999999999997</v>
      </c>
      <c r="AE276" s="532">
        <f t="shared" si="317"/>
        <v>2.3279999999999967</v>
      </c>
      <c r="AF276" s="532">
        <f t="shared" si="317"/>
        <v>31.307999999999996</v>
      </c>
      <c r="AG276" s="532">
        <f t="shared" si="317"/>
        <v>-138.828</v>
      </c>
      <c r="AH276" s="532">
        <f t="shared" si="317"/>
        <v>29.187999999999999</v>
      </c>
      <c r="AI276" s="532">
        <f t="shared" ref="AI276:AX276" si="318">AI275+AI265+AI266</f>
        <v>49.09899999999999</v>
      </c>
      <c r="AJ276" s="532">
        <f t="shared" si="318"/>
        <v>-13.201000000000008</v>
      </c>
      <c r="AK276" s="532">
        <f t="shared" si="318"/>
        <v>55.492999999999995</v>
      </c>
      <c r="AL276" s="532">
        <f t="shared" si="318"/>
        <v>35.631999999999998</v>
      </c>
      <c r="AM276" s="532">
        <f t="shared" si="318"/>
        <v>26.384000000000007</v>
      </c>
      <c r="AN276" s="532">
        <f t="shared" si="318"/>
        <v>53.813000000000002</v>
      </c>
      <c r="AO276" s="532">
        <f t="shared" si="318"/>
        <v>61.887</v>
      </c>
      <c r="AP276" s="532">
        <f t="shared" si="318"/>
        <v>35.341999999999999</v>
      </c>
      <c r="AQ276" s="532">
        <f t="shared" si="318"/>
        <v>2.6760000000000019</v>
      </c>
      <c r="AR276" s="532">
        <f t="shared" si="318"/>
        <v>62.063000000000009</v>
      </c>
      <c r="AS276" s="532">
        <f t="shared" si="318"/>
        <v>74.992000000000019</v>
      </c>
      <c r="AT276" s="532">
        <f t="shared" si="318"/>
        <v>54.325000000000003</v>
      </c>
      <c r="AU276" s="534">
        <f t="shared" si="318"/>
        <v>47.897999999999996</v>
      </c>
      <c r="AV276" s="532">
        <f t="shared" ca="1" si="318"/>
        <v>73.440174303484127</v>
      </c>
      <c r="AW276" s="532">
        <f t="shared" ca="1" si="318"/>
        <v>74.245016660617992</v>
      </c>
      <c r="AX276" s="532">
        <f t="shared" ca="1" si="318"/>
        <v>59.5582215542955</v>
      </c>
      <c r="AY276" s="532"/>
      <c r="AZ276" s="156">
        <f t="shared" ref="AZ276:BS276" si="319">AZ275+AZ265+AZ266</f>
        <v>10.304000000000007</v>
      </c>
      <c r="BA276" s="156">
        <f t="shared" si="319"/>
        <v>37.393000000000001</v>
      </c>
      <c r="BB276" s="156">
        <f t="shared" si="319"/>
        <v>-10.19100000000001</v>
      </c>
      <c r="BC276" s="156">
        <f t="shared" si="319"/>
        <v>39.246999999999979</v>
      </c>
      <c r="BD276" s="156">
        <f t="shared" si="319"/>
        <v>66.119999999999976</v>
      </c>
      <c r="BE276" s="156">
        <f t="shared" si="319"/>
        <v>74.876000000000005</v>
      </c>
      <c r="BF276" s="156">
        <f t="shared" si="319"/>
        <v>56.438000000000017</v>
      </c>
      <c r="BG276" s="156">
        <f t="shared" si="319"/>
        <v>16.381999999999994</v>
      </c>
      <c r="BH276" s="156">
        <f t="shared" si="319"/>
        <v>60.087999999999994</v>
      </c>
      <c r="BI276" s="156">
        <f t="shared" si="319"/>
        <v>85.19</v>
      </c>
      <c r="BJ276" s="156">
        <f t="shared" si="319"/>
        <v>77.152000000000001</v>
      </c>
      <c r="BK276" s="156">
        <f t="shared" si="319"/>
        <v>-76.004000000000005</v>
      </c>
      <c r="BL276" s="156">
        <f t="shared" si="319"/>
        <v>127.02300000000001</v>
      </c>
      <c r="BM276" s="156">
        <f t="shared" si="319"/>
        <v>177.42599999999996</v>
      </c>
      <c r="BN276" s="730">
        <f t="shared" si="319"/>
        <v>194.05600000000001</v>
      </c>
      <c r="BO276" s="156">
        <f t="shared" ca="1" si="319"/>
        <v>255.14141251839771</v>
      </c>
      <c r="BP276" s="156" t="e">
        <f t="shared" si="319"/>
        <v>#REF!</v>
      </c>
      <c r="BQ276" s="156" t="e">
        <f t="shared" si="319"/>
        <v>#REF!</v>
      </c>
      <c r="BR276" s="156" t="e">
        <f t="shared" ca="1" si="319"/>
        <v>#REF!</v>
      </c>
      <c r="BS276" s="156" t="e">
        <f t="shared" ca="1" si="319"/>
        <v>#REF!</v>
      </c>
      <c r="BT276" s="532"/>
    </row>
    <row r="277" spans="1:72" s="17" customFormat="1" hidden="1" outlineLevel="1" x14ac:dyDescent="0.35">
      <c r="A277" s="529" t="s">
        <v>425</v>
      </c>
      <c r="B277" s="307"/>
      <c r="C277" s="529">
        <f t="shared" ref="C277:AH277" si="320">C276+C270+C271</f>
        <v>6.5420000000000007</v>
      </c>
      <c r="D277" s="529">
        <f t="shared" si="320"/>
        <v>19.349</v>
      </c>
      <c r="E277" s="529">
        <f t="shared" si="320"/>
        <v>24.904000000000003</v>
      </c>
      <c r="F277" s="529">
        <f t="shared" si="320"/>
        <v>7.112999999999988</v>
      </c>
      <c r="G277" s="529">
        <f t="shared" si="320"/>
        <v>-0.81800000000000228</v>
      </c>
      <c r="H277" s="529">
        <f t="shared" si="320"/>
        <v>14.776</v>
      </c>
      <c r="I277" s="529">
        <f t="shared" si="320"/>
        <v>6.8689999999999998</v>
      </c>
      <c r="J277" s="529">
        <f t="shared" si="320"/>
        <v>-10.628000000000014</v>
      </c>
      <c r="K277" s="529">
        <f t="shared" si="320"/>
        <v>-36.215000000000003</v>
      </c>
      <c r="L277" s="529">
        <f t="shared" si="320"/>
        <v>14.534000000000004</v>
      </c>
      <c r="M277" s="529">
        <f t="shared" si="320"/>
        <v>18.313000000000009</v>
      </c>
      <c r="N277" s="529">
        <f t="shared" si="320"/>
        <v>9.4139999999999944</v>
      </c>
      <c r="O277" s="529">
        <f t="shared" si="320"/>
        <v>-1.7529999999999979</v>
      </c>
      <c r="P277" s="529">
        <f t="shared" si="320"/>
        <v>12.61</v>
      </c>
      <c r="Q277" s="529">
        <f t="shared" si="320"/>
        <v>9.9499999999999957</v>
      </c>
      <c r="R277" s="529">
        <f t="shared" si="320"/>
        <v>-25.201000000000008</v>
      </c>
      <c r="S277" s="529">
        <f t="shared" si="320"/>
        <v>0.58499999999999797</v>
      </c>
      <c r="T277" s="529">
        <f t="shared" si="320"/>
        <v>17.039000000000001</v>
      </c>
      <c r="U277" s="529">
        <f t="shared" si="320"/>
        <v>20.228000000000005</v>
      </c>
      <c r="V277" s="529">
        <f t="shared" si="320"/>
        <v>7.5919999999999952</v>
      </c>
      <c r="W277" s="529">
        <f t="shared" si="320"/>
        <v>2.5639999999999965</v>
      </c>
      <c r="X277" s="529">
        <f t="shared" si="320"/>
        <v>17.225000000000001</v>
      </c>
      <c r="Y277" s="529">
        <f t="shared" si="320"/>
        <v>15.265000000000002</v>
      </c>
      <c r="Z277" s="529">
        <f t="shared" si="320"/>
        <v>-0.76499999999999702</v>
      </c>
      <c r="AA277" s="529">
        <f t="shared" si="320"/>
        <v>-15.475999999999996</v>
      </c>
      <c r="AB277" s="529">
        <f t="shared" si="320"/>
        <v>33.612999999999992</v>
      </c>
      <c r="AC277" s="529">
        <f t="shared" si="320"/>
        <v>24.216000000000008</v>
      </c>
      <c r="AD277" s="529">
        <f t="shared" si="320"/>
        <v>6.836999999999998</v>
      </c>
      <c r="AE277" s="529">
        <f t="shared" si="320"/>
        <v>-9.7880000000000038</v>
      </c>
      <c r="AF277" s="529">
        <f t="shared" si="320"/>
        <v>23.63</v>
      </c>
      <c r="AG277" s="529">
        <f t="shared" si="320"/>
        <v>-47.093000000000011</v>
      </c>
      <c r="AH277" s="529">
        <f t="shared" si="320"/>
        <v>22.875</v>
      </c>
      <c r="AI277" s="529">
        <f t="shared" ref="AI277:AX277" si="321">AI276+AI270+AI271</f>
        <v>275.80500000000001</v>
      </c>
      <c r="AJ277" s="529">
        <f t="shared" si="321"/>
        <v>-19.795999999999982</v>
      </c>
      <c r="AK277" s="529">
        <f t="shared" si="321"/>
        <v>47.501999999999995</v>
      </c>
      <c r="AL277" s="529">
        <f t="shared" si="321"/>
        <v>28.087999999999997</v>
      </c>
      <c r="AM277" s="529">
        <f t="shared" si="321"/>
        <v>13.567000000000007</v>
      </c>
      <c r="AN277" s="529">
        <f t="shared" si="321"/>
        <v>16.727999999999994</v>
      </c>
      <c r="AO277" s="529">
        <f t="shared" si="321"/>
        <v>50.798000000000009</v>
      </c>
      <c r="AP277" s="529">
        <f t="shared" si="321"/>
        <v>25.881</v>
      </c>
      <c r="AQ277" s="529">
        <f t="shared" si="321"/>
        <v>-15.532999999999998</v>
      </c>
      <c r="AR277" s="529">
        <f t="shared" si="321"/>
        <v>50.010000000000005</v>
      </c>
      <c r="AS277" s="529">
        <f t="shared" si="321"/>
        <v>61.100000000000023</v>
      </c>
      <c r="AT277" s="529">
        <f t="shared" si="321"/>
        <v>42.001999999999995</v>
      </c>
      <c r="AU277" s="531">
        <f t="shared" si="321"/>
        <v>34.086999999999989</v>
      </c>
      <c r="AV277" s="529">
        <f t="shared" ca="1" si="321"/>
        <v>73.440174303484127</v>
      </c>
      <c r="AW277" s="529">
        <f t="shared" ca="1" si="321"/>
        <v>74.245016660617992</v>
      </c>
      <c r="AX277" s="529">
        <f t="shared" ca="1" si="321"/>
        <v>59.5582215542955</v>
      </c>
      <c r="AY277" s="529"/>
      <c r="AZ277" s="726">
        <f t="shared" ref="AZ277:BS277" si="322">AZ276+AZ270+AZ271</f>
        <v>20.324000000000005</v>
      </c>
      <c r="BA277" s="726">
        <f t="shared" si="322"/>
        <v>35.89</v>
      </c>
      <c r="BB277" s="726">
        <f t="shared" si="322"/>
        <v>116.947</v>
      </c>
      <c r="BC277" s="726">
        <f t="shared" si="322"/>
        <v>19.479999999999976</v>
      </c>
      <c r="BD277" s="726">
        <f t="shared" si="322"/>
        <v>57.907999999999973</v>
      </c>
      <c r="BE277" s="726">
        <f t="shared" si="322"/>
        <v>10.198999999999998</v>
      </c>
      <c r="BF277" s="726">
        <f t="shared" si="322"/>
        <v>6.0460000000000136</v>
      </c>
      <c r="BG277" s="726">
        <f t="shared" si="322"/>
        <v>-4.3940000000000072</v>
      </c>
      <c r="BH277" s="726">
        <f t="shared" si="322"/>
        <v>45.443999999999988</v>
      </c>
      <c r="BI277" s="726">
        <f t="shared" si="322"/>
        <v>34.289000000000001</v>
      </c>
      <c r="BJ277" s="726">
        <f t="shared" si="322"/>
        <v>49.19</v>
      </c>
      <c r="BK277" s="726">
        <f t="shared" si="322"/>
        <v>-10.376000000000001</v>
      </c>
      <c r="BL277" s="726">
        <f t="shared" si="322"/>
        <v>331.59900000000005</v>
      </c>
      <c r="BM277" s="726">
        <f t="shared" si="322"/>
        <v>106.97399999999996</v>
      </c>
      <c r="BN277" s="728">
        <f t="shared" si="322"/>
        <v>137.57900000000001</v>
      </c>
      <c r="BO277" s="726">
        <f t="shared" ca="1" si="322"/>
        <v>241.33041251839771</v>
      </c>
      <c r="BP277" s="726" t="e">
        <f t="shared" si="322"/>
        <v>#REF!</v>
      </c>
      <c r="BQ277" s="726" t="e">
        <f t="shared" si="322"/>
        <v>#REF!</v>
      </c>
      <c r="BR277" s="726" t="e">
        <f t="shared" ca="1" si="322"/>
        <v>#REF!</v>
      </c>
      <c r="BS277" s="726" t="e">
        <f t="shared" ca="1" si="322"/>
        <v>#REF!</v>
      </c>
      <c r="BT277" s="532"/>
    </row>
    <row r="278" spans="1:72" s="17" customFormat="1" collapsed="1" x14ac:dyDescent="0.35">
      <c r="A278" s="532" t="s">
        <v>615</v>
      </c>
      <c r="B278" s="308"/>
      <c r="C278" s="532">
        <f t="shared" ref="C278:AH278" si="323">C259+C263</f>
        <v>-32.457999999999998</v>
      </c>
      <c r="D278" s="532">
        <f t="shared" si="323"/>
        <v>38.725000000000009</v>
      </c>
      <c r="E278" s="532">
        <f t="shared" si="323"/>
        <v>16.219999999999992</v>
      </c>
      <c r="F278" s="532">
        <f t="shared" si="323"/>
        <v>22.460999999999999</v>
      </c>
      <c r="G278" s="532">
        <f t="shared" si="323"/>
        <v>-16.515000000000022</v>
      </c>
      <c r="H278" s="532">
        <f t="shared" si="323"/>
        <v>13.457000000000004</v>
      </c>
      <c r="I278" s="532">
        <f t="shared" si="323"/>
        <v>48.43099999999999</v>
      </c>
      <c r="J278" s="532">
        <f t="shared" si="323"/>
        <v>28.130999999999997</v>
      </c>
      <c r="K278" s="532">
        <f t="shared" si="323"/>
        <v>-46.004000000000005</v>
      </c>
      <c r="L278" s="532">
        <f t="shared" si="323"/>
        <v>21.966000000000012</v>
      </c>
      <c r="M278" s="532">
        <f t="shared" si="323"/>
        <v>24.497000000000003</v>
      </c>
      <c r="N278" s="532">
        <f t="shared" si="323"/>
        <v>57.886000000000017</v>
      </c>
      <c r="O278" s="532">
        <f t="shared" si="323"/>
        <v>-38.131999999999998</v>
      </c>
      <c r="P278" s="532">
        <f t="shared" si="323"/>
        <v>25.265000000000001</v>
      </c>
      <c r="Q278" s="532">
        <f t="shared" si="323"/>
        <v>33.003999999999991</v>
      </c>
      <c r="R278" s="532">
        <f t="shared" si="323"/>
        <v>38.740999999999978</v>
      </c>
      <c r="S278" s="532">
        <f t="shared" si="323"/>
        <v>-73.957999999999998</v>
      </c>
      <c r="T278" s="532">
        <f t="shared" si="323"/>
        <v>60.345999999999982</v>
      </c>
      <c r="U278" s="532">
        <f t="shared" si="323"/>
        <v>17.823999999999998</v>
      </c>
      <c r="V278" s="532">
        <f t="shared" si="323"/>
        <v>36.291999999999987</v>
      </c>
      <c r="W278" s="532">
        <f t="shared" si="323"/>
        <v>-75.744000000000014</v>
      </c>
      <c r="X278" s="532">
        <f t="shared" si="323"/>
        <v>49.238</v>
      </c>
      <c r="Y278" s="532">
        <f t="shared" si="323"/>
        <v>46.714999999999996</v>
      </c>
      <c r="Z278" s="532">
        <f t="shared" si="323"/>
        <v>40.215000000000003</v>
      </c>
      <c r="AA278" s="532">
        <f t="shared" si="323"/>
        <v>-66.831999999999994</v>
      </c>
      <c r="AB278" s="532">
        <f t="shared" si="323"/>
        <v>64.441000000000003</v>
      </c>
      <c r="AC278" s="532">
        <f t="shared" si="323"/>
        <v>38.963999999999999</v>
      </c>
      <c r="AD278" s="532">
        <f t="shared" si="323"/>
        <v>56.626999999999995</v>
      </c>
      <c r="AE278" s="532">
        <f t="shared" si="323"/>
        <v>-103.78399999999999</v>
      </c>
      <c r="AF278" s="532">
        <f t="shared" si="323"/>
        <v>56.212000000000003</v>
      </c>
      <c r="AG278" s="532">
        <f t="shared" si="323"/>
        <v>14.816000000000006</v>
      </c>
      <c r="AH278" s="532">
        <f t="shared" si="323"/>
        <v>68.174000000000007</v>
      </c>
      <c r="AI278" s="532">
        <f t="shared" ref="AI278:AX278" si="324">AI259+AI263</f>
        <v>-127.331</v>
      </c>
      <c r="AJ278" s="532">
        <f t="shared" si="324"/>
        <v>23.819999999999993</v>
      </c>
      <c r="AK278" s="532">
        <f t="shared" si="324"/>
        <v>79.735000000000014</v>
      </c>
      <c r="AL278" s="532">
        <f t="shared" si="324"/>
        <v>105.663</v>
      </c>
      <c r="AM278" s="532">
        <f t="shared" si="324"/>
        <v>-146.85399999999998</v>
      </c>
      <c r="AN278" s="532">
        <f t="shared" si="324"/>
        <v>105.69000000000001</v>
      </c>
      <c r="AO278" s="532">
        <f t="shared" si="324"/>
        <v>74.634999999999991</v>
      </c>
      <c r="AP278" s="532">
        <f t="shared" si="324"/>
        <v>105.78699999999999</v>
      </c>
      <c r="AQ278" s="532">
        <f t="shared" si="324"/>
        <v>-159.99699999999999</v>
      </c>
      <c r="AR278" s="532">
        <f t="shared" si="324"/>
        <v>147.43000000000004</v>
      </c>
      <c r="AS278" s="532">
        <f t="shared" si="324"/>
        <v>69.836000000000013</v>
      </c>
      <c r="AT278" s="532">
        <f t="shared" si="324"/>
        <v>79.332999999999998</v>
      </c>
      <c r="AU278" s="534">
        <f t="shared" si="324"/>
        <v>-151.45400000000004</v>
      </c>
      <c r="AV278" s="532">
        <f t="shared" si="324"/>
        <v>173.97642402342149</v>
      </c>
      <c r="AW278" s="532">
        <f t="shared" ca="1" si="324"/>
        <v>83.980340145147736</v>
      </c>
      <c r="AX278" s="532">
        <f t="shared" ca="1" si="324"/>
        <v>88.821362176019022</v>
      </c>
      <c r="AY278" s="532"/>
      <c r="AZ278" s="156">
        <f t="shared" ref="AZ278:BS278" si="325">AZ259+AZ263</f>
        <v>-37.225000000000001</v>
      </c>
      <c r="BA278" s="156">
        <f t="shared" si="325"/>
        <v>30.419</v>
      </c>
      <c r="BB278" s="156">
        <f t="shared" si="325"/>
        <v>19.563999999999993</v>
      </c>
      <c r="BC278" s="156">
        <f t="shared" si="325"/>
        <v>-15.609000000000023</v>
      </c>
      <c r="BD278" s="156">
        <f t="shared" si="325"/>
        <v>44.947999999999979</v>
      </c>
      <c r="BE278" s="156">
        <f t="shared" si="325"/>
        <v>73.504000000000005</v>
      </c>
      <c r="BF278" s="156">
        <f t="shared" si="325"/>
        <v>58.345000000000013</v>
      </c>
      <c r="BG278" s="156">
        <f t="shared" si="325"/>
        <v>58.877999999999986</v>
      </c>
      <c r="BH278" s="156">
        <f t="shared" si="325"/>
        <v>40.503999999999991</v>
      </c>
      <c r="BI278" s="156">
        <f t="shared" si="325"/>
        <v>60.423999999999992</v>
      </c>
      <c r="BJ278" s="156">
        <f t="shared" si="325"/>
        <v>93.199999999999989</v>
      </c>
      <c r="BK278" s="156">
        <f t="shared" si="325"/>
        <v>35.417999999999992</v>
      </c>
      <c r="BL278" s="156">
        <f t="shared" si="325"/>
        <v>81.887</v>
      </c>
      <c r="BM278" s="156">
        <f t="shared" si="325"/>
        <v>139.25799999999995</v>
      </c>
      <c r="BN278" s="730">
        <f t="shared" si="325"/>
        <v>136.60200000000003</v>
      </c>
      <c r="BO278" s="156">
        <f t="shared" ca="1" si="325"/>
        <v>195.32412634458836</v>
      </c>
      <c r="BP278" s="156" t="e">
        <f t="shared" si="325"/>
        <v>#REF!</v>
      </c>
      <c r="BQ278" s="156" t="e">
        <f t="shared" si="325"/>
        <v>#REF!</v>
      </c>
      <c r="BR278" s="156" t="e">
        <f t="shared" si="325"/>
        <v>#REF!</v>
      </c>
      <c r="BS278" s="156" t="e">
        <f t="shared" ca="1" si="325"/>
        <v>#REF!</v>
      </c>
      <c r="BT278" s="532"/>
    </row>
    <row r="279" spans="1:72" s="17" customFormat="1" x14ac:dyDescent="0.35">
      <c r="A279" s="532" t="s">
        <v>616</v>
      </c>
      <c r="B279" s="308"/>
      <c r="C279" s="532">
        <f t="shared" ref="C279:AH279" si="326">C278+C267</f>
        <v>-32.457999999999998</v>
      </c>
      <c r="D279" s="532">
        <f t="shared" si="326"/>
        <v>38.725000000000009</v>
      </c>
      <c r="E279" s="532">
        <f t="shared" si="326"/>
        <v>16.219999999999992</v>
      </c>
      <c r="F279" s="532">
        <f t="shared" si="326"/>
        <v>22.460999999999999</v>
      </c>
      <c r="G279" s="532">
        <f t="shared" si="326"/>
        <v>-16.515000000000022</v>
      </c>
      <c r="H279" s="532">
        <f t="shared" si="326"/>
        <v>13.457000000000004</v>
      </c>
      <c r="I279" s="532">
        <f t="shared" si="326"/>
        <v>48.43099999999999</v>
      </c>
      <c r="J279" s="532">
        <f t="shared" si="326"/>
        <v>28.130999999999997</v>
      </c>
      <c r="K279" s="532">
        <f t="shared" si="326"/>
        <v>-46.004000000000005</v>
      </c>
      <c r="L279" s="532">
        <f t="shared" si="326"/>
        <v>21.966000000000012</v>
      </c>
      <c r="M279" s="532">
        <f t="shared" si="326"/>
        <v>24.497000000000003</v>
      </c>
      <c r="N279" s="532">
        <f t="shared" si="326"/>
        <v>57.886000000000017</v>
      </c>
      <c r="O279" s="532">
        <f t="shared" si="326"/>
        <v>-38.131999999999998</v>
      </c>
      <c r="P279" s="532">
        <f t="shared" si="326"/>
        <v>25.265000000000001</v>
      </c>
      <c r="Q279" s="532">
        <f t="shared" si="326"/>
        <v>33.003999999999991</v>
      </c>
      <c r="R279" s="532">
        <f t="shared" si="326"/>
        <v>38.740999999999978</v>
      </c>
      <c r="S279" s="532">
        <f t="shared" si="326"/>
        <v>-73.957999999999998</v>
      </c>
      <c r="T279" s="532">
        <f t="shared" si="326"/>
        <v>60.345999999999982</v>
      </c>
      <c r="U279" s="532">
        <f t="shared" si="326"/>
        <v>17.823999999999998</v>
      </c>
      <c r="V279" s="532">
        <f t="shared" si="326"/>
        <v>36.291999999999987</v>
      </c>
      <c r="W279" s="532">
        <f t="shared" si="326"/>
        <v>-75.744000000000014</v>
      </c>
      <c r="X279" s="532">
        <f t="shared" si="326"/>
        <v>49.238</v>
      </c>
      <c r="Y279" s="532">
        <f t="shared" si="326"/>
        <v>46.714999999999996</v>
      </c>
      <c r="Z279" s="532">
        <f t="shared" si="326"/>
        <v>40.215000000000003</v>
      </c>
      <c r="AA279" s="532">
        <f t="shared" si="326"/>
        <v>-66.831999999999994</v>
      </c>
      <c r="AB279" s="532">
        <f t="shared" si="326"/>
        <v>64.441000000000003</v>
      </c>
      <c r="AC279" s="532">
        <f t="shared" si="326"/>
        <v>38.963999999999999</v>
      </c>
      <c r="AD279" s="532">
        <f t="shared" si="326"/>
        <v>56.626999999999995</v>
      </c>
      <c r="AE279" s="532">
        <f t="shared" si="326"/>
        <v>-103.78399999999999</v>
      </c>
      <c r="AF279" s="532">
        <f t="shared" si="326"/>
        <v>56.212000000000003</v>
      </c>
      <c r="AG279" s="532">
        <f t="shared" si="326"/>
        <v>14.816000000000006</v>
      </c>
      <c r="AH279" s="532">
        <f t="shared" si="326"/>
        <v>68.174000000000007</v>
      </c>
      <c r="AI279" s="532">
        <f t="shared" ref="AI279:AX279" si="327">AI278+AI267</f>
        <v>-127.331</v>
      </c>
      <c r="AJ279" s="532">
        <f t="shared" si="327"/>
        <v>23.819999999999993</v>
      </c>
      <c r="AK279" s="532">
        <f t="shared" si="327"/>
        <v>79.735000000000014</v>
      </c>
      <c r="AL279" s="532">
        <f t="shared" si="327"/>
        <v>105.663</v>
      </c>
      <c r="AM279" s="532">
        <f t="shared" si="327"/>
        <v>-146.85399999999998</v>
      </c>
      <c r="AN279" s="532">
        <f t="shared" si="327"/>
        <v>105.69000000000001</v>
      </c>
      <c r="AO279" s="532">
        <f t="shared" si="327"/>
        <v>74.634999999999991</v>
      </c>
      <c r="AP279" s="532">
        <f t="shared" si="327"/>
        <v>105.78699999999999</v>
      </c>
      <c r="AQ279" s="532">
        <f t="shared" si="327"/>
        <v>-159.99699999999999</v>
      </c>
      <c r="AR279" s="532">
        <f t="shared" si="327"/>
        <v>147.43000000000004</v>
      </c>
      <c r="AS279" s="532">
        <f t="shared" si="327"/>
        <v>69.836000000000013</v>
      </c>
      <c r="AT279" s="532">
        <f t="shared" si="327"/>
        <v>79.332999999999998</v>
      </c>
      <c r="AU279" s="534">
        <f t="shared" si="327"/>
        <v>-151.45400000000004</v>
      </c>
      <c r="AV279" s="532">
        <f t="shared" ca="1" si="327"/>
        <v>173.97642402342149</v>
      </c>
      <c r="AW279" s="532">
        <f t="shared" ca="1" si="327"/>
        <v>83.980340145147736</v>
      </c>
      <c r="AX279" s="532">
        <f t="shared" ca="1" si="327"/>
        <v>88.821362176019022</v>
      </c>
      <c r="AY279" s="532"/>
      <c r="AZ279" s="156">
        <f t="shared" ref="AZ279:BS279" si="328">AZ278+AZ267</f>
        <v>-37.225000000000001</v>
      </c>
      <c r="BA279" s="156">
        <f t="shared" si="328"/>
        <v>30.419</v>
      </c>
      <c r="BB279" s="156">
        <f t="shared" si="328"/>
        <v>19.563999999999993</v>
      </c>
      <c r="BC279" s="156">
        <f t="shared" si="328"/>
        <v>-15.609000000000023</v>
      </c>
      <c r="BD279" s="156">
        <f t="shared" si="328"/>
        <v>44.947999999999979</v>
      </c>
      <c r="BE279" s="156">
        <f t="shared" si="328"/>
        <v>73.504000000000005</v>
      </c>
      <c r="BF279" s="156">
        <f t="shared" si="328"/>
        <v>58.345000000000013</v>
      </c>
      <c r="BG279" s="156">
        <f t="shared" si="328"/>
        <v>58.877999999999986</v>
      </c>
      <c r="BH279" s="156">
        <f t="shared" si="328"/>
        <v>40.503999999999991</v>
      </c>
      <c r="BI279" s="156">
        <f t="shared" si="328"/>
        <v>60.423999999999992</v>
      </c>
      <c r="BJ279" s="156">
        <f t="shared" si="328"/>
        <v>93.199999999999989</v>
      </c>
      <c r="BK279" s="156">
        <f t="shared" si="328"/>
        <v>35.417999999999992</v>
      </c>
      <c r="BL279" s="156">
        <f t="shared" si="328"/>
        <v>81.887</v>
      </c>
      <c r="BM279" s="156">
        <f t="shared" si="328"/>
        <v>139.25799999999995</v>
      </c>
      <c r="BN279" s="730">
        <f t="shared" si="328"/>
        <v>136.60200000000003</v>
      </c>
      <c r="BO279" s="156">
        <f t="shared" ca="1" si="328"/>
        <v>195.32412634458836</v>
      </c>
      <c r="BP279" s="156" t="e">
        <f t="shared" si="328"/>
        <v>#REF!</v>
      </c>
      <c r="BQ279" s="156" t="e">
        <f t="shared" si="328"/>
        <v>#REF!</v>
      </c>
      <c r="BR279" s="156" t="e">
        <f t="shared" ca="1" si="328"/>
        <v>#REF!</v>
      </c>
      <c r="BS279" s="156" t="e">
        <f t="shared" ca="1" si="328"/>
        <v>#REF!</v>
      </c>
      <c r="BT279" s="532"/>
    </row>
    <row r="280" spans="1:72" s="17" customFormat="1" x14ac:dyDescent="0.35">
      <c r="A280" s="532" t="s">
        <v>617</v>
      </c>
      <c r="B280" s="308"/>
      <c r="C280" s="532">
        <f t="shared" ref="C280:AH280" si="329">C279+C265+C266</f>
        <v>-32.457999999999998</v>
      </c>
      <c r="D280" s="532">
        <f t="shared" si="329"/>
        <v>38.725000000000009</v>
      </c>
      <c r="E280" s="532">
        <f t="shared" si="329"/>
        <v>16.219999999999992</v>
      </c>
      <c r="F280" s="532">
        <f t="shared" si="329"/>
        <v>22.460999999999999</v>
      </c>
      <c r="G280" s="532">
        <f t="shared" si="329"/>
        <v>-16.515000000000022</v>
      </c>
      <c r="H280" s="532">
        <f t="shared" si="329"/>
        <v>13.457000000000004</v>
      </c>
      <c r="I280" s="532">
        <f t="shared" si="329"/>
        <v>48.43099999999999</v>
      </c>
      <c r="J280" s="532">
        <f t="shared" si="329"/>
        <v>33.795999999999999</v>
      </c>
      <c r="K280" s="532">
        <f t="shared" si="329"/>
        <v>-52.516000000000005</v>
      </c>
      <c r="L280" s="532">
        <f t="shared" si="329"/>
        <v>21.966000000000012</v>
      </c>
      <c r="M280" s="532">
        <f t="shared" si="329"/>
        <v>24.497000000000003</v>
      </c>
      <c r="N280" s="532">
        <f t="shared" si="329"/>
        <v>57.886000000000017</v>
      </c>
      <c r="O280" s="532">
        <f t="shared" si="329"/>
        <v>-38.131999999999998</v>
      </c>
      <c r="P280" s="532">
        <f t="shared" si="329"/>
        <v>25.265000000000001</v>
      </c>
      <c r="Q280" s="532">
        <f t="shared" si="329"/>
        <v>33.003999999999991</v>
      </c>
      <c r="R280" s="532">
        <f t="shared" si="329"/>
        <v>18.787999999999979</v>
      </c>
      <c r="S280" s="532">
        <f t="shared" si="329"/>
        <v>-73.957999999999998</v>
      </c>
      <c r="T280" s="532">
        <f t="shared" si="329"/>
        <v>60.345999999999982</v>
      </c>
      <c r="U280" s="532">
        <f t="shared" si="329"/>
        <v>17.823999999999998</v>
      </c>
      <c r="V280" s="532">
        <f t="shared" si="329"/>
        <v>36.451999999999984</v>
      </c>
      <c r="W280" s="532">
        <f t="shared" si="329"/>
        <v>-75.744000000000014</v>
      </c>
      <c r="X280" s="532">
        <f t="shared" si="329"/>
        <v>47.067999999999998</v>
      </c>
      <c r="Y280" s="532">
        <f t="shared" si="329"/>
        <v>46.110999999999997</v>
      </c>
      <c r="Z280" s="532">
        <f t="shared" si="329"/>
        <v>42.989000000000004</v>
      </c>
      <c r="AA280" s="532">
        <f t="shared" si="329"/>
        <v>-78.483999999999995</v>
      </c>
      <c r="AB280" s="532">
        <f t="shared" si="329"/>
        <v>63.454000000000001</v>
      </c>
      <c r="AC280" s="532">
        <f t="shared" si="329"/>
        <v>39.313000000000002</v>
      </c>
      <c r="AD280" s="532">
        <f t="shared" si="329"/>
        <v>55.186999999999998</v>
      </c>
      <c r="AE280" s="532">
        <f t="shared" si="329"/>
        <v>-105.06099999999999</v>
      </c>
      <c r="AF280" s="532">
        <f t="shared" si="329"/>
        <v>53.375</v>
      </c>
      <c r="AG280" s="532">
        <f t="shared" si="329"/>
        <v>-153.34200000000001</v>
      </c>
      <c r="AH280" s="532">
        <f t="shared" si="329"/>
        <v>68.078000000000003</v>
      </c>
      <c r="AI280" s="532">
        <f t="shared" ref="AI280:AX280" si="330">AI279+AI265+AI266</f>
        <v>-130.221</v>
      </c>
      <c r="AJ280" s="532">
        <f t="shared" si="330"/>
        <v>-44.01100000000001</v>
      </c>
      <c r="AK280" s="532">
        <f t="shared" si="330"/>
        <v>78.846000000000004</v>
      </c>
      <c r="AL280" s="532">
        <f t="shared" si="330"/>
        <v>104.63500000000001</v>
      </c>
      <c r="AM280" s="532">
        <f t="shared" si="330"/>
        <v>-147.04599999999999</v>
      </c>
      <c r="AN280" s="532">
        <f t="shared" si="330"/>
        <v>94.068000000000012</v>
      </c>
      <c r="AO280" s="532">
        <f t="shared" si="330"/>
        <v>74.936999999999998</v>
      </c>
      <c r="AP280" s="532">
        <f t="shared" si="330"/>
        <v>90.541999999999987</v>
      </c>
      <c r="AQ280" s="532">
        <f t="shared" si="330"/>
        <v>-168.64299999999997</v>
      </c>
      <c r="AR280" s="532">
        <f t="shared" si="330"/>
        <v>146.87600000000003</v>
      </c>
      <c r="AS280" s="532">
        <f t="shared" si="330"/>
        <v>69.226000000000013</v>
      </c>
      <c r="AT280" s="532">
        <f t="shared" si="330"/>
        <v>79.057999999999993</v>
      </c>
      <c r="AU280" s="534">
        <f t="shared" si="330"/>
        <v>-151.62000000000003</v>
      </c>
      <c r="AV280" s="532">
        <f t="shared" ca="1" si="330"/>
        <v>173.97642402342149</v>
      </c>
      <c r="AW280" s="532">
        <f t="shared" ca="1" si="330"/>
        <v>83.980340145147736</v>
      </c>
      <c r="AX280" s="532">
        <f t="shared" ca="1" si="330"/>
        <v>88.821362176019022</v>
      </c>
      <c r="AY280" s="532"/>
      <c r="AZ280" s="156">
        <f t="shared" ref="AZ280:BS280" si="331">AZ279+AZ265+AZ266</f>
        <v>-37.241</v>
      </c>
      <c r="BA280" s="156">
        <f t="shared" si="331"/>
        <v>30.419</v>
      </c>
      <c r="BB280" s="156">
        <f t="shared" si="331"/>
        <v>-15.818000000000005</v>
      </c>
      <c r="BC280" s="156">
        <f t="shared" si="331"/>
        <v>-28.250000000000021</v>
      </c>
      <c r="BD280" s="156">
        <f t="shared" si="331"/>
        <v>44.947999999999979</v>
      </c>
      <c r="BE280" s="156">
        <f t="shared" si="331"/>
        <v>79.169000000000011</v>
      </c>
      <c r="BF280" s="156">
        <f t="shared" si="331"/>
        <v>51.833000000000013</v>
      </c>
      <c r="BG280" s="156">
        <f t="shared" si="331"/>
        <v>38.924999999999983</v>
      </c>
      <c r="BH280" s="156">
        <f t="shared" si="331"/>
        <v>40.663999999999987</v>
      </c>
      <c r="BI280" s="156">
        <f t="shared" si="331"/>
        <v>60.423999999999992</v>
      </c>
      <c r="BJ280" s="156">
        <f t="shared" si="331"/>
        <v>79.469999999999985</v>
      </c>
      <c r="BK280" s="156">
        <f t="shared" si="331"/>
        <v>-136.94999999999999</v>
      </c>
      <c r="BL280" s="156">
        <f t="shared" si="331"/>
        <v>9.2490000000000112</v>
      </c>
      <c r="BM280" s="156">
        <f t="shared" si="331"/>
        <v>112.50099999999995</v>
      </c>
      <c r="BN280" s="730">
        <f t="shared" si="331"/>
        <v>126.51700000000002</v>
      </c>
      <c r="BO280" s="156">
        <f t="shared" ca="1" si="331"/>
        <v>195.15812634458837</v>
      </c>
      <c r="BP280" s="156" t="e">
        <f t="shared" si="331"/>
        <v>#REF!</v>
      </c>
      <c r="BQ280" s="156" t="e">
        <f t="shared" si="331"/>
        <v>#REF!</v>
      </c>
      <c r="BR280" s="156" t="e">
        <f t="shared" ca="1" si="331"/>
        <v>#REF!</v>
      </c>
      <c r="BS280" s="156" t="e">
        <f t="shared" ca="1" si="331"/>
        <v>#REF!</v>
      </c>
      <c r="BT280" s="532"/>
    </row>
    <row r="281" spans="1:72" s="17" customFormat="1" x14ac:dyDescent="0.35">
      <c r="A281" s="529" t="s">
        <v>618</v>
      </c>
      <c r="B281" s="307"/>
      <c r="C281" s="529">
        <f t="shared" ref="C281:AH281" si="332">C280+C270+C271</f>
        <v>-36.963000000000001</v>
      </c>
      <c r="D281" s="529">
        <f t="shared" si="332"/>
        <v>34.932000000000009</v>
      </c>
      <c r="E281" s="529">
        <f t="shared" si="332"/>
        <v>14.289999999999992</v>
      </c>
      <c r="F281" s="529">
        <f t="shared" si="332"/>
        <v>24.476999999999997</v>
      </c>
      <c r="G281" s="529">
        <f t="shared" si="332"/>
        <v>-16.478000000000019</v>
      </c>
      <c r="H281" s="529">
        <f t="shared" si="332"/>
        <v>-0.82099999999999529</v>
      </c>
      <c r="I281" s="529">
        <f t="shared" si="332"/>
        <v>22.371999999999996</v>
      </c>
      <c r="J281" s="529">
        <f t="shared" si="332"/>
        <v>9.4189999999999934</v>
      </c>
      <c r="K281" s="529">
        <f t="shared" si="332"/>
        <v>-85.811000000000007</v>
      </c>
      <c r="L281" s="529">
        <f t="shared" si="332"/>
        <v>16.022000000000013</v>
      </c>
      <c r="M281" s="529">
        <f t="shared" si="332"/>
        <v>18.674000000000007</v>
      </c>
      <c r="N281" s="529">
        <f t="shared" si="332"/>
        <v>52.556000000000012</v>
      </c>
      <c r="O281" s="529">
        <f t="shared" si="332"/>
        <v>-44.981000000000002</v>
      </c>
      <c r="P281" s="529">
        <f t="shared" si="332"/>
        <v>20.424000000000003</v>
      </c>
      <c r="Q281" s="529">
        <f t="shared" si="332"/>
        <v>28.22999999999999</v>
      </c>
      <c r="R281" s="529">
        <f t="shared" si="332"/>
        <v>14.475999999999978</v>
      </c>
      <c r="S281" s="529">
        <f t="shared" si="332"/>
        <v>-78.893000000000001</v>
      </c>
      <c r="T281" s="529">
        <f t="shared" si="332"/>
        <v>56.201999999999977</v>
      </c>
      <c r="U281" s="529">
        <f t="shared" si="332"/>
        <v>12.555999999999997</v>
      </c>
      <c r="V281" s="529">
        <f t="shared" si="332"/>
        <v>36.154999999999987</v>
      </c>
      <c r="W281" s="529">
        <f t="shared" si="332"/>
        <v>-83.522000000000006</v>
      </c>
      <c r="X281" s="529">
        <f t="shared" si="332"/>
        <v>42.16</v>
      </c>
      <c r="Y281" s="529">
        <f t="shared" si="332"/>
        <v>38.904999999999994</v>
      </c>
      <c r="Z281" s="529">
        <f t="shared" si="332"/>
        <v>11.980000000000004</v>
      </c>
      <c r="AA281" s="529">
        <f t="shared" si="332"/>
        <v>-88.063999999999993</v>
      </c>
      <c r="AB281" s="529">
        <f t="shared" si="332"/>
        <v>60.225999999999999</v>
      </c>
      <c r="AC281" s="529">
        <f t="shared" si="332"/>
        <v>30.75</v>
      </c>
      <c r="AD281" s="529">
        <f t="shared" si="332"/>
        <v>48.596000000000004</v>
      </c>
      <c r="AE281" s="529">
        <f t="shared" si="332"/>
        <v>-117.17699999999999</v>
      </c>
      <c r="AF281" s="529">
        <f t="shared" si="332"/>
        <v>45.696999999999996</v>
      </c>
      <c r="AG281" s="529">
        <f t="shared" si="332"/>
        <v>-61.607000000000021</v>
      </c>
      <c r="AH281" s="529">
        <f t="shared" si="332"/>
        <v>61.765000000000001</v>
      </c>
      <c r="AI281" s="529">
        <f t="shared" ref="AI281:AX281" si="333">AI280+AI270+AI271</f>
        <v>96.485000000000014</v>
      </c>
      <c r="AJ281" s="529">
        <f t="shared" si="333"/>
        <v>-50.605999999999987</v>
      </c>
      <c r="AK281" s="529">
        <f t="shared" si="333"/>
        <v>70.855000000000004</v>
      </c>
      <c r="AL281" s="529">
        <f t="shared" si="333"/>
        <v>97.091000000000008</v>
      </c>
      <c r="AM281" s="529">
        <f t="shared" si="333"/>
        <v>-159.863</v>
      </c>
      <c r="AN281" s="529">
        <f t="shared" si="333"/>
        <v>56.983000000000004</v>
      </c>
      <c r="AO281" s="529">
        <f t="shared" si="333"/>
        <v>63.848000000000006</v>
      </c>
      <c r="AP281" s="529">
        <f t="shared" si="333"/>
        <v>81.080999999999989</v>
      </c>
      <c r="AQ281" s="529">
        <f t="shared" si="333"/>
        <v>-186.85199999999998</v>
      </c>
      <c r="AR281" s="529">
        <f t="shared" si="333"/>
        <v>134.82300000000004</v>
      </c>
      <c r="AS281" s="529">
        <f t="shared" si="333"/>
        <v>55.334000000000017</v>
      </c>
      <c r="AT281" s="529">
        <f t="shared" si="333"/>
        <v>66.734999999999985</v>
      </c>
      <c r="AU281" s="531">
        <f t="shared" si="333"/>
        <v>-165.43100000000004</v>
      </c>
      <c r="AV281" s="529">
        <f t="shared" ca="1" si="333"/>
        <v>173.97642402342149</v>
      </c>
      <c r="AW281" s="529">
        <f t="shared" ca="1" si="333"/>
        <v>83.980340145147736</v>
      </c>
      <c r="AX281" s="529">
        <f t="shared" ca="1" si="333"/>
        <v>88.821362176019022</v>
      </c>
      <c r="AY281" s="529"/>
      <c r="AZ281" s="726">
        <f t="shared" ref="AZ281:BS281" si="334">AZ280+AZ270+AZ271</f>
        <v>-27.221</v>
      </c>
      <c r="BA281" s="726">
        <f t="shared" si="334"/>
        <v>28.916000000000004</v>
      </c>
      <c r="BB281" s="726">
        <f t="shared" si="334"/>
        <v>111.32</v>
      </c>
      <c r="BC281" s="726">
        <f t="shared" si="334"/>
        <v>-48.017000000000024</v>
      </c>
      <c r="BD281" s="726">
        <f t="shared" si="334"/>
        <v>36.735999999999976</v>
      </c>
      <c r="BE281" s="726">
        <f t="shared" si="334"/>
        <v>14.492000000000004</v>
      </c>
      <c r="BF281" s="726">
        <f t="shared" si="334"/>
        <v>1.4410000000000096</v>
      </c>
      <c r="BG281" s="726">
        <f t="shared" si="334"/>
        <v>18.148999999999983</v>
      </c>
      <c r="BH281" s="726">
        <f t="shared" si="334"/>
        <v>26.019999999999989</v>
      </c>
      <c r="BI281" s="726">
        <f t="shared" si="334"/>
        <v>9.5229999999999961</v>
      </c>
      <c r="BJ281" s="726">
        <f t="shared" si="334"/>
        <v>51.507999999999981</v>
      </c>
      <c r="BK281" s="726">
        <f t="shared" si="334"/>
        <v>-71.321999999999989</v>
      </c>
      <c r="BL281" s="726">
        <f t="shared" si="334"/>
        <v>213.82500000000005</v>
      </c>
      <c r="BM281" s="726">
        <f t="shared" si="334"/>
        <v>42.048999999999957</v>
      </c>
      <c r="BN281" s="728">
        <f t="shared" si="334"/>
        <v>70.04000000000002</v>
      </c>
      <c r="BO281" s="726">
        <f t="shared" ca="1" si="334"/>
        <v>181.34712634458836</v>
      </c>
      <c r="BP281" s="726" t="e">
        <f t="shared" si="334"/>
        <v>#REF!</v>
      </c>
      <c r="BQ281" s="726" t="e">
        <f t="shared" si="334"/>
        <v>#REF!</v>
      </c>
      <c r="BR281" s="726" t="e">
        <f t="shared" ca="1" si="334"/>
        <v>#REF!</v>
      </c>
      <c r="BS281" s="726" t="e">
        <f t="shared" ca="1" si="334"/>
        <v>#REF!</v>
      </c>
      <c r="BT281" s="532"/>
    </row>
    <row r="282" spans="1:72" s="17" customFormat="1" x14ac:dyDescent="0.35">
      <c r="A282" s="532"/>
      <c r="B282" s="308"/>
      <c r="C282" s="532"/>
      <c r="D282" s="532"/>
      <c r="E282" s="532"/>
      <c r="F282" s="532"/>
      <c r="G282" s="532"/>
      <c r="H282" s="532"/>
      <c r="I282" s="532"/>
      <c r="J282" s="532"/>
      <c r="K282" s="532"/>
      <c r="L282" s="532"/>
      <c r="M282" s="532"/>
      <c r="N282" s="532"/>
      <c r="O282" s="532"/>
      <c r="P282" s="532"/>
      <c r="Q282" s="532"/>
      <c r="R282" s="532"/>
      <c r="S282" s="532"/>
      <c r="T282" s="532"/>
      <c r="U282" s="532"/>
      <c r="V282" s="532"/>
      <c r="W282" s="532"/>
      <c r="X282" s="532"/>
      <c r="Y282" s="532"/>
      <c r="Z282" s="532"/>
      <c r="AA282" s="532"/>
      <c r="AB282" s="532"/>
      <c r="AC282" s="532"/>
      <c r="AD282" s="532"/>
      <c r="AE282" s="532"/>
      <c r="AF282" s="532"/>
      <c r="AG282" s="532"/>
      <c r="AH282" s="532"/>
      <c r="AI282" s="532"/>
      <c r="AJ282" s="532"/>
      <c r="AK282" s="532"/>
      <c r="AL282" s="532"/>
      <c r="AM282" s="532"/>
      <c r="AN282" s="532"/>
      <c r="AO282" s="532"/>
      <c r="AP282" s="532"/>
      <c r="AQ282" s="532"/>
      <c r="AR282" s="532"/>
      <c r="AS282" s="532"/>
      <c r="AT282" s="532"/>
      <c r="AU282" s="534"/>
      <c r="AV282" s="532"/>
      <c r="AW282" s="532"/>
      <c r="AX282" s="532"/>
      <c r="AY282" s="532"/>
      <c r="AZ282" s="156"/>
      <c r="BA282" s="156"/>
      <c r="BB282" s="156"/>
      <c r="BC282" s="156"/>
      <c r="BD282" s="156"/>
      <c r="BE282" s="156"/>
      <c r="BF282" s="156"/>
      <c r="BG282" s="156"/>
      <c r="BH282" s="156"/>
      <c r="BI282" s="156"/>
      <c r="BJ282" s="156"/>
      <c r="BK282" s="156"/>
      <c r="BL282" s="156"/>
      <c r="BM282" s="156"/>
      <c r="BN282" s="730"/>
      <c r="BO282" s="156"/>
      <c r="BP282" s="156"/>
      <c r="BQ282" s="156"/>
      <c r="BR282" s="156"/>
      <c r="BS282" s="156"/>
      <c r="BT282" s="533"/>
    </row>
    <row r="283" spans="1:72" s="1" customFormat="1" x14ac:dyDescent="0.35">
      <c r="A283" s="527" t="s">
        <v>102</v>
      </c>
      <c r="B283" s="527"/>
      <c r="C283" s="527"/>
      <c r="D283" s="527"/>
      <c r="E283" s="527"/>
      <c r="F283" s="527"/>
      <c r="G283" s="527"/>
      <c r="H283" s="527"/>
      <c r="I283" s="527"/>
      <c r="J283" s="527"/>
      <c r="K283" s="527"/>
      <c r="L283" s="527"/>
      <c r="M283" s="527"/>
      <c r="N283" s="527"/>
      <c r="O283" s="527"/>
      <c r="P283" s="527"/>
      <c r="Q283" s="527"/>
      <c r="R283" s="527"/>
      <c r="S283" s="527"/>
      <c r="T283" s="527"/>
      <c r="U283" s="527"/>
      <c r="V283" s="527"/>
      <c r="W283" s="527"/>
      <c r="X283" s="527"/>
      <c r="Y283" s="527"/>
      <c r="Z283" s="527"/>
      <c r="AA283" s="527"/>
      <c r="AB283" s="527"/>
      <c r="AC283" s="527"/>
      <c r="AD283" s="527"/>
      <c r="AE283" s="527"/>
      <c r="AF283" s="527"/>
      <c r="AG283" s="527"/>
      <c r="AH283" s="527"/>
      <c r="AI283" s="527"/>
      <c r="AJ283" s="527"/>
      <c r="AK283" s="527"/>
      <c r="AL283" s="527"/>
      <c r="AM283" s="527"/>
      <c r="AN283" s="527"/>
      <c r="AO283" s="527"/>
      <c r="AP283" s="527"/>
      <c r="AQ283" s="527"/>
      <c r="AR283" s="527"/>
      <c r="AS283" s="527"/>
      <c r="AT283" s="527"/>
      <c r="AU283" s="547"/>
      <c r="AV283" s="527"/>
      <c r="AW283" s="527"/>
      <c r="AX283" s="527"/>
      <c r="AY283" s="527"/>
      <c r="AZ283" s="527"/>
      <c r="BA283" s="527"/>
      <c r="BB283" s="527"/>
      <c r="BC283" s="527"/>
      <c r="BD283" s="527"/>
      <c r="BE283" s="527"/>
      <c r="BF283" s="527"/>
      <c r="BG283" s="527"/>
      <c r="BH283" s="527"/>
      <c r="BI283" s="527"/>
      <c r="BJ283" s="527"/>
      <c r="BK283" s="527"/>
      <c r="BL283" s="527"/>
      <c r="BM283" s="527"/>
      <c r="BN283" s="547"/>
      <c r="BO283" s="527"/>
      <c r="BP283" s="527"/>
      <c r="BQ283" s="527"/>
      <c r="BR283" s="527"/>
      <c r="BS283" s="527"/>
      <c r="BT283" s="530"/>
    </row>
    <row r="284" spans="1:72" s="17" customFormat="1" x14ac:dyDescent="0.35">
      <c r="A284" s="533" t="s">
        <v>103</v>
      </c>
      <c r="B284" s="308"/>
      <c r="C284" s="533">
        <f t="shared" ref="C284:AH284" si="335">C551+C569+C557</f>
        <v>107.938</v>
      </c>
      <c r="D284" s="533">
        <f t="shared" si="335"/>
        <v>143.19200000000001</v>
      </c>
      <c r="E284" s="533">
        <f t="shared" si="335"/>
        <v>156.96799999999999</v>
      </c>
      <c r="F284" s="533">
        <f t="shared" si="335"/>
        <v>181.48</v>
      </c>
      <c r="G284" s="533">
        <f t="shared" si="335"/>
        <v>163.47399999999999</v>
      </c>
      <c r="H284" s="533">
        <f t="shared" si="335"/>
        <v>162.88900000000001</v>
      </c>
      <c r="I284" s="533">
        <f t="shared" si="335"/>
        <v>185.33199999999999</v>
      </c>
      <c r="J284" s="533">
        <f t="shared" si="335"/>
        <v>196.10900000000001</v>
      </c>
      <c r="K284" s="533">
        <f t="shared" si="335"/>
        <v>109.196</v>
      </c>
      <c r="L284" s="533">
        <f t="shared" si="335"/>
        <v>124.23399999999999</v>
      </c>
      <c r="M284" s="533">
        <f t="shared" si="335"/>
        <v>142.85</v>
      </c>
      <c r="N284" s="533">
        <f t="shared" si="335"/>
        <v>195.852</v>
      </c>
      <c r="O284" s="533">
        <f t="shared" si="335"/>
        <v>150.864</v>
      </c>
      <c r="P284" s="533">
        <f t="shared" si="335"/>
        <v>171.27699999999999</v>
      </c>
      <c r="Q284" s="533">
        <f t="shared" si="335"/>
        <v>199.50800000000001</v>
      </c>
      <c r="R284" s="533">
        <f t="shared" si="335"/>
        <v>213.989</v>
      </c>
      <c r="S284" s="533">
        <f t="shared" si="335"/>
        <v>135.08799999999999</v>
      </c>
      <c r="T284" s="533">
        <f t="shared" si="335"/>
        <v>182.14599999999999</v>
      </c>
      <c r="U284" s="533">
        <f t="shared" si="335"/>
        <v>194.708</v>
      </c>
      <c r="V284" s="533">
        <f t="shared" si="335"/>
        <v>230.864</v>
      </c>
      <c r="W284" s="533">
        <f t="shared" si="335"/>
        <v>147.34200000000001</v>
      </c>
      <c r="X284" s="533">
        <f t="shared" si="335"/>
        <v>189.50200000000001</v>
      </c>
      <c r="Y284" s="533">
        <f t="shared" si="335"/>
        <v>227.90700000000001</v>
      </c>
      <c r="Z284" s="533">
        <f t="shared" si="335"/>
        <v>233.113</v>
      </c>
      <c r="AA284" s="533">
        <f t="shared" si="335"/>
        <v>145.04900000000001</v>
      </c>
      <c r="AB284" s="533">
        <f t="shared" si="335"/>
        <v>205.27500000000001</v>
      </c>
      <c r="AC284" s="533">
        <f t="shared" si="335"/>
        <v>236.02500000000001</v>
      </c>
      <c r="AD284" s="533">
        <f t="shared" si="335"/>
        <v>284.62099999999998</v>
      </c>
      <c r="AE284" s="533">
        <f t="shared" si="335"/>
        <v>167.44399999999999</v>
      </c>
      <c r="AF284" s="533">
        <f t="shared" si="335"/>
        <v>213.14099999999999</v>
      </c>
      <c r="AG284" s="533">
        <f t="shared" si="335"/>
        <v>151.53399999999999</v>
      </c>
      <c r="AH284" s="533">
        <f t="shared" si="335"/>
        <v>213.29900000000001</v>
      </c>
      <c r="AI284" s="533">
        <f t="shared" ref="AI284:AX284" si="336">AI551+AI569+AI557</f>
        <v>309.78399999999999</v>
      </c>
      <c r="AJ284" s="533">
        <f t="shared" si="336"/>
        <v>259.17800000000005</v>
      </c>
      <c r="AK284" s="533">
        <f t="shared" si="336"/>
        <v>330.03300000000002</v>
      </c>
      <c r="AL284" s="533">
        <f t="shared" si="336"/>
        <v>386.58199999999999</v>
      </c>
      <c r="AM284" s="533">
        <f t="shared" si="336"/>
        <v>219.024</v>
      </c>
      <c r="AN284" s="533">
        <f t="shared" si="336"/>
        <v>257.49099999999999</v>
      </c>
      <c r="AO284" s="533">
        <f t="shared" si="336"/>
        <v>308.56400000000002</v>
      </c>
      <c r="AP284" s="533">
        <f t="shared" si="336"/>
        <v>389.39800000000002</v>
      </c>
      <c r="AQ284" s="533">
        <f t="shared" si="336"/>
        <v>194.524</v>
      </c>
      <c r="AR284" s="533">
        <f t="shared" si="336"/>
        <v>318.279</v>
      </c>
      <c r="AS284" s="533">
        <f t="shared" si="336"/>
        <v>373.678</v>
      </c>
      <c r="AT284" s="533">
        <f t="shared" si="336"/>
        <v>410.80700000000002</v>
      </c>
      <c r="AU284" s="576">
        <f t="shared" si="336"/>
        <v>254.626</v>
      </c>
      <c r="AV284" s="532">
        <f t="shared" ca="1" si="336"/>
        <v>428.60242402342146</v>
      </c>
      <c r="AW284" s="532">
        <f t="shared" ca="1" si="336"/>
        <v>512.58276416856916</v>
      </c>
      <c r="AX284" s="532">
        <f t="shared" ca="1" si="336"/>
        <v>601.40412634458812</v>
      </c>
      <c r="AY284" s="532"/>
      <c r="AZ284" s="755">
        <f t="shared" ref="AZ284:BS284" si="337">AZ551+AZ569+AZ557</f>
        <v>51.960999999999999</v>
      </c>
      <c r="BA284" s="755">
        <f t="shared" si="337"/>
        <v>85.094000000000008</v>
      </c>
      <c r="BB284" s="755">
        <f t="shared" si="337"/>
        <v>194.6</v>
      </c>
      <c r="BC284" s="755">
        <f t="shared" si="337"/>
        <v>146.15299999999999</v>
      </c>
      <c r="BD284" s="755">
        <f t="shared" si="337"/>
        <v>181.48</v>
      </c>
      <c r="BE284" s="755">
        <f t="shared" si="337"/>
        <v>196.10900000000001</v>
      </c>
      <c r="BF284" s="755">
        <f t="shared" si="337"/>
        <v>195.852</v>
      </c>
      <c r="BG284" s="755">
        <f t="shared" si="337"/>
        <v>213.989</v>
      </c>
      <c r="BH284" s="755">
        <f t="shared" si="337"/>
        <v>230.864</v>
      </c>
      <c r="BI284" s="755">
        <f t="shared" si="337"/>
        <v>233.113</v>
      </c>
      <c r="BJ284" s="755">
        <f t="shared" si="337"/>
        <v>284.62099999999998</v>
      </c>
      <c r="BK284" s="755">
        <f t="shared" si="337"/>
        <v>213.29900000000001</v>
      </c>
      <c r="BL284" s="755">
        <f t="shared" si="337"/>
        <v>386.58199999999999</v>
      </c>
      <c r="BM284" s="755">
        <f t="shared" si="337"/>
        <v>389.39800000000002</v>
      </c>
      <c r="BN284" s="756">
        <f t="shared" si="337"/>
        <v>410.80700000000002</v>
      </c>
      <c r="BO284" s="156">
        <f t="shared" ca="1" si="337"/>
        <v>601.40412634458812</v>
      </c>
      <c r="BP284" s="156" t="e">
        <f t="shared" si="337"/>
        <v>#REF!</v>
      </c>
      <c r="BQ284" s="156" t="e">
        <f t="shared" si="337"/>
        <v>#REF!</v>
      </c>
      <c r="BR284" s="156" t="e">
        <f t="shared" ca="1" si="337"/>
        <v>#REF!</v>
      </c>
      <c r="BS284" s="156" t="e">
        <f t="shared" ca="1" si="337"/>
        <v>#REF!</v>
      </c>
      <c r="BT284" s="533"/>
    </row>
    <row r="285" spans="1:72" s="17" customFormat="1" x14ac:dyDescent="0.35">
      <c r="A285" s="208" t="s">
        <v>418</v>
      </c>
      <c r="B285" s="308"/>
      <c r="C285" s="533">
        <f t="shared" ref="C285:AU285" si="338">C576+C578+C579</f>
        <v>20.677999999999997</v>
      </c>
      <c r="D285" s="533">
        <f t="shared" si="338"/>
        <v>20.936999999999998</v>
      </c>
      <c r="E285" s="533">
        <f t="shared" si="338"/>
        <v>21.34</v>
      </c>
      <c r="F285" s="533">
        <f t="shared" si="338"/>
        <v>19.785</v>
      </c>
      <c r="G285" s="533">
        <f t="shared" si="338"/>
        <v>21.664000000000001</v>
      </c>
      <c r="H285" s="533">
        <f t="shared" si="338"/>
        <v>22.216000000000001</v>
      </c>
      <c r="I285" s="533">
        <f t="shared" si="338"/>
        <v>20.954000000000001</v>
      </c>
      <c r="J285" s="533">
        <f t="shared" si="338"/>
        <v>20.492000000000001</v>
      </c>
      <c r="K285" s="533">
        <f t="shared" si="338"/>
        <v>19.641999999999999</v>
      </c>
      <c r="L285" s="533">
        <f t="shared" si="338"/>
        <v>18.254999999999999</v>
      </c>
      <c r="M285" s="533">
        <f t="shared" si="338"/>
        <v>17.844999999999999</v>
      </c>
      <c r="N285" s="533">
        <f t="shared" si="338"/>
        <v>16.635000000000002</v>
      </c>
      <c r="O285" s="533">
        <f t="shared" si="338"/>
        <v>15.474</v>
      </c>
      <c r="P285" s="533">
        <f t="shared" si="338"/>
        <v>14.369</v>
      </c>
      <c r="Q285" s="533">
        <f t="shared" si="338"/>
        <v>13.452999999999999</v>
      </c>
      <c r="R285" s="533">
        <f t="shared" si="338"/>
        <v>13.21</v>
      </c>
      <c r="S285" s="533">
        <f t="shared" si="338"/>
        <v>14.445</v>
      </c>
      <c r="T285" s="533">
        <f t="shared" si="338"/>
        <v>13.329000000000001</v>
      </c>
      <c r="U285" s="533">
        <f t="shared" si="338"/>
        <v>13.266999999999999</v>
      </c>
      <c r="V285" s="533">
        <f t="shared" si="338"/>
        <v>11.88</v>
      </c>
      <c r="W285" s="533">
        <f t="shared" si="338"/>
        <v>14.121</v>
      </c>
      <c r="X285" s="533">
        <f t="shared" si="338"/>
        <v>13.416</v>
      </c>
      <c r="Y285" s="533">
        <f t="shared" si="338"/>
        <v>13.727</v>
      </c>
      <c r="Z285" s="533">
        <f t="shared" si="338"/>
        <v>13.353</v>
      </c>
      <c r="AA285" s="533">
        <f t="shared" si="338"/>
        <v>17.082999999999998</v>
      </c>
      <c r="AB285" s="533">
        <f t="shared" si="338"/>
        <v>26.190999999999999</v>
      </c>
      <c r="AC285" s="533">
        <f t="shared" si="338"/>
        <v>24.498999999999999</v>
      </c>
      <c r="AD285" s="533">
        <f t="shared" si="338"/>
        <v>19.588000000000001</v>
      </c>
      <c r="AE285" s="533">
        <f t="shared" si="338"/>
        <v>22.018999999999998</v>
      </c>
      <c r="AF285" s="533">
        <f t="shared" si="338"/>
        <v>23.335999999999999</v>
      </c>
      <c r="AG285" s="533">
        <f t="shared" si="338"/>
        <v>117.988</v>
      </c>
      <c r="AH285" s="533">
        <f t="shared" si="338"/>
        <v>113.304</v>
      </c>
      <c r="AI285" s="533">
        <f t="shared" si="338"/>
        <v>14.629</v>
      </c>
      <c r="AJ285" s="533">
        <f t="shared" si="338"/>
        <v>21.506</v>
      </c>
      <c r="AK285" s="533">
        <f t="shared" si="338"/>
        <v>26.036000000000001</v>
      </c>
      <c r="AL285" s="533">
        <f t="shared" si="338"/>
        <v>27.335999999999999</v>
      </c>
      <c r="AM285" s="533">
        <f t="shared" si="338"/>
        <v>32.412999999999997</v>
      </c>
      <c r="AN285" s="533">
        <f t="shared" si="338"/>
        <v>36.08</v>
      </c>
      <c r="AO285" s="533">
        <f t="shared" si="338"/>
        <v>37.015999999999998</v>
      </c>
      <c r="AP285" s="533">
        <f t="shared" si="338"/>
        <v>37.389000000000003</v>
      </c>
      <c r="AQ285" s="533">
        <f t="shared" si="338"/>
        <v>43.627000000000002</v>
      </c>
      <c r="AR285" s="533">
        <f t="shared" si="338"/>
        <v>44.377000000000002</v>
      </c>
      <c r="AS285" s="533">
        <f t="shared" si="338"/>
        <v>40.970999999999997</v>
      </c>
      <c r="AT285" s="533">
        <f t="shared" si="338"/>
        <v>35.621000000000002</v>
      </c>
      <c r="AU285" s="576">
        <f t="shared" si="338"/>
        <v>35.064999999999998</v>
      </c>
      <c r="AV285" s="532">
        <f t="shared" ref="AV285:AX285" si="339">AV287-AV286</f>
        <v>35.064999999999998</v>
      </c>
      <c r="AW285" s="532">
        <f t="shared" si="339"/>
        <v>35.064999999999998</v>
      </c>
      <c r="AX285" s="532">
        <f t="shared" si="339"/>
        <v>35.064999999999998</v>
      </c>
      <c r="AY285" s="532"/>
      <c r="AZ285" s="755">
        <f t="shared" ref="AZ285:BP285" si="340">AZ576+AZ578+AZ579</f>
        <v>11.274000000000001</v>
      </c>
      <c r="BA285" s="755">
        <f t="shared" si="340"/>
        <v>12.247</v>
      </c>
      <c r="BB285" s="755">
        <f t="shared" si="340"/>
        <v>13.356999999999999</v>
      </c>
      <c r="BC285" s="755">
        <f t="shared" si="340"/>
        <v>17.094999999999999</v>
      </c>
      <c r="BD285" s="755">
        <f t="shared" si="340"/>
        <v>19.785</v>
      </c>
      <c r="BE285" s="755">
        <f t="shared" si="340"/>
        <v>20.492000000000001</v>
      </c>
      <c r="BF285" s="755">
        <f t="shared" si="340"/>
        <v>16.635000000000002</v>
      </c>
      <c r="BG285" s="755">
        <f t="shared" si="340"/>
        <v>13.21</v>
      </c>
      <c r="BH285" s="755">
        <f t="shared" si="340"/>
        <v>11.88</v>
      </c>
      <c r="BI285" s="755">
        <f t="shared" si="340"/>
        <v>13.353</v>
      </c>
      <c r="BJ285" s="755">
        <f t="shared" si="340"/>
        <v>19.588000000000001</v>
      </c>
      <c r="BK285" s="755">
        <f t="shared" si="340"/>
        <v>113.304</v>
      </c>
      <c r="BL285" s="755">
        <f t="shared" si="340"/>
        <v>27.335999999999999</v>
      </c>
      <c r="BM285" s="755">
        <f t="shared" si="340"/>
        <v>37.389000000000003</v>
      </c>
      <c r="BN285" s="756">
        <f t="shared" si="340"/>
        <v>35.621000000000002</v>
      </c>
      <c r="BO285" s="156">
        <f t="shared" si="340"/>
        <v>35.064999999999998</v>
      </c>
      <c r="BP285" s="156" t="e">
        <f t="shared" si="340"/>
        <v>#REF!</v>
      </c>
      <c r="BQ285" s="156" t="e">
        <f>BQ287-BQ286</f>
        <v>#REF!</v>
      </c>
      <c r="BR285" s="156" t="e">
        <f>BR287-BR286</f>
        <v>#REF!</v>
      </c>
      <c r="BS285" s="156" t="e">
        <f>BS287-BS286</f>
        <v>#REF!</v>
      </c>
      <c r="BT285" s="533"/>
    </row>
    <row r="286" spans="1:72" s="17" customFormat="1" x14ac:dyDescent="0.35">
      <c r="A286" s="303" t="s">
        <v>419</v>
      </c>
      <c r="B286" s="371"/>
      <c r="C286" s="594">
        <f t="shared" ref="C286:AU286" si="341">C587+C589+C593</f>
        <v>21.621000000000002</v>
      </c>
      <c r="D286" s="594">
        <f t="shared" si="341"/>
        <v>20.619</v>
      </c>
      <c r="E286" s="594">
        <f t="shared" si="341"/>
        <v>20.477</v>
      </c>
      <c r="F286" s="594">
        <f t="shared" si="341"/>
        <v>16.106999999999999</v>
      </c>
      <c r="G286" s="594">
        <f t="shared" si="341"/>
        <v>18.981000000000002</v>
      </c>
      <c r="H286" s="594">
        <f t="shared" si="341"/>
        <v>19.43</v>
      </c>
      <c r="I286" s="594">
        <f t="shared" si="341"/>
        <v>16.651</v>
      </c>
      <c r="J286" s="594">
        <f t="shared" si="341"/>
        <v>16.446999999999999</v>
      </c>
      <c r="K286" s="594">
        <f t="shared" si="341"/>
        <v>15.664</v>
      </c>
      <c r="L286" s="594">
        <f t="shared" si="341"/>
        <v>14.109</v>
      </c>
      <c r="M286" s="594">
        <f t="shared" si="341"/>
        <v>14.449</v>
      </c>
      <c r="N286" s="594">
        <f t="shared" si="341"/>
        <v>13.022</v>
      </c>
      <c r="O286" s="594">
        <f t="shared" si="341"/>
        <v>11.83</v>
      </c>
      <c r="P286" s="594">
        <f t="shared" si="341"/>
        <v>10.058999999999999</v>
      </c>
      <c r="Q286" s="594">
        <f t="shared" si="341"/>
        <v>9.66</v>
      </c>
      <c r="R286" s="594">
        <f t="shared" si="341"/>
        <v>9.9220000000000006</v>
      </c>
      <c r="S286" s="594">
        <f t="shared" si="341"/>
        <v>13.307</v>
      </c>
      <c r="T286" s="594">
        <f t="shared" si="341"/>
        <v>11.952999999999999</v>
      </c>
      <c r="U286" s="594">
        <f t="shared" si="341"/>
        <v>11.955</v>
      </c>
      <c r="V286" s="594">
        <f t="shared" si="341"/>
        <v>10.025</v>
      </c>
      <c r="W286" s="594">
        <f t="shared" si="341"/>
        <v>15.167</v>
      </c>
      <c r="X286" s="594">
        <f t="shared" si="341"/>
        <v>13.930999999999999</v>
      </c>
      <c r="Y286" s="594">
        <f t="shared" si="341"/>
        <v>13.983000000000001</v>
      </c>
      <c r="Z286" s="594">
        <f t="shared" si="341"/>
        <v>12.664999999999999</v>
      </c>
      <c r="AA286" s="594">
        <f t="shared" si="341"/>
        <v>20.609000000000002</v>
      </c>
      <c r="AB286" s="594">
        <f t="shared" si="341"/>
        <v>8.56</v>
      </c>
      <c r="AC286" s="594">
        <f t="shared" si="341"/>
        <v>6.6980000000000004</v>
      </c>
      <c r="AD286" s="594">
        <f t="shared" si="341"/>
        <v>5.0599999999999996</v>
      </c>
      <c r="AE286" s="594">
        <f t="shared" si="341"/>
        <v>3.4950000000000001</v>
      </c>
      <c r="AF286" s="594">
        <f t="shared" si="341"/>
        <v>2.1459999999999999</v>
      </c>
      <c r="AG286" s="594">
        <f t="shared" si="341"/>
        <v>5.2649999999999997</v>
      </c>
      <c r="AH286" s="594">
        <f t="shared" si="341"/>
        <v>4.6340000000000003</v>
      </c>
      <c r="AI286" s="594">
        <f t="shared" si="341"/>
        <v>305.96699999999998</v>
      </c>
      <c r="AJ286" s="594">
        <f t="shared" si="341"/>
        <v>329.42</v>
      </c>
      <c r="AK286" s="594">
        <f t="shared" si="341"/>
        <v>338.505</v>
      </c>
      <c r="AL286" s="594">
        <f t="shared" si="341"/>
        <v>340.839</v>
      </c>
      <c r="AM286" s="594">
        <f t="shared" si="341"/>
        <v>457.01600000000002</v>
      </c>
      <c r="AN286" s="594">
        <f t="shared" si="341"/>
        <v>455.286</v>
      </c>
      <c r="AO286" s="594">
        <f t="shared" si="341"/>
        <v>448.61300000000006</v>
      </c>
      <c r="AP286" s="594">
        <f t="shared" si="341"/>
        <v>440.32599999999996</v>
      </c>
      <c r="AQ286" s="594">
        <f t="shared" si="341"/>
        <v>446.24900000000002</v>
      </c>
      <c r="AR286" s="594">
        <f t="shared" si="341"/>
        <v>441.185</v>
      </c>
      <c r="AS286" s="594">
        <f t="shared" si="341"/>
        <v>438.697</v>
      </c>
      <c r="AT286" s="594">
        <f t="shared" si="341"/>
        <v>434.31300000000005</v>
      </c>
      <c r="AU286" s="595">
        <f t="shared" si="341"/>
        <v>443.09300000000002</v>
      </c>
      <c r="AV286" s="538">
        <f>MAX(0,AU286+AV270)</f>
        <v>443.09300000000002</v>
      </c>
      <c r="AW286" s="538">
        <f>MAX(0,AV286+AW270)</f>
        <v>443.09300000000002</v>
      </c>
      <c r="AX286" s="538">
        <f>MAX(0,AW286+AX270)</f>
        <v>443.09300000000002</v>
      </c>
      <c r="AY286" s="538"/>
      <c r="AZ286" s="802">
        <f t="shared" ref="AZ286:BP286" si="342">AZ587+AZ589+AZ593</f>
        <v>11.128</v>
      </c>
      <c r="BA286" s="802">
        <f t="shared" si="342"/>
        <v>8.3650000000000002</v>
      </c>
      <c r="BB286" s="802">
        <f t="shared" si="342"/>
        <v>10.850999999999999</v>
      </c>
      <c r="BC286" s="802">
        <f t="shared" si="342"/>
        <v>15.901</v>
      </c>
      <c r="BD286" s="802">
        <f t="shared" si="342"/>
        <v>16.106999999999999</v>
      </c>
      <c r="BE286" s="802">
        <f t="shared" si="342"/>
        <v>16.446999999999999</v>
      </c>
      <c r="BF286" s="802">
        <f t="shared" si="342"/>
        <v>13.022</v>
      </c>
      <c r="BG286" s="802">
        <f t="shared" si="342"/>
        <v>9.9220000000000006</v>
      </c>
      <c r="BH286" s="802">
        <f t="shared" si="342"/>
        <v>10.025</v>
      </c>
      <c r="BI286" s="802">
        <f t="shared" si="342"/>
        <v>12.664999999999999</v>
      </c>
      <c r="BJ286" s="802">
        <f t="shared" si="342"/>
        <v>5.0599999999999996</v>
      </c>
      <c r="BK286" s="802">
        <f t="shared" si="342"/>
        <v>4.6340000000000003</v>
      </c>
      <c r="BL286" s="802">
        <f t="shared" si="342"/>
        <v>340.839</v>
      </c>
      <c r="BM286" s="802">
        <f t="shared" si="342"/>
        <v>440.32599999999996</v>
      </c>
      <c r="BN286" s="803">
        <f t="shared" si="342"/>
        <v>434.31300000000005</v>
      </c>
      <c r="BO286" s="804">
        <f t="shared" si="342"/>
        <v>443.09300000000002</v>
      </c>
      <c r="BP286" s="804" t="e">
        <f t="shared" si="342"/>
        <v>#REF!</v>
      </c>
      <c r="BQ286" s="804" t="e">
        <f>MAX(0,BP286+BQ270)</f>
        <v>#REF!</v>
      </c>
      <c r="BR286" s="804" t="e">
        <f>MAX(0,BQ286+BR270)</f>
        <v>#REF!</v>
      </c>
      <c r="BS286" s="804" t="e">
        <f>MAX(0,BR286+BS270)</f>
        <v>#REF!</v>
      </c>
      <c r="BT286" s="533"/>
    </row>
    <row r="287" spans="1:72" s="17" customFormat="1" x14ac:dyDescent="0.35">
      <c r="A287" s="533" t="s">
        <v>104</v>
      </c>
      <c r="B287" s="308"/>
      <c r="C287" s="533">
        <f t="shared" ref="C287:AU287" si="343">C576+C578+C579+C587+C589+C593</f>
        <v>42.298999999999999</v>
      </c>
      <c r="D287" s="533">
        <f t="shared" si="343"/>
        <v>41.555999999999997</v>
      </c>
      <c r="E287" s="533">
        <f t="shared" si="343"/>
        <v>41.817</v>
      </c>
      <c r="F287" s="533">
        <f t="shared" si="343"/>
        <v>35.891999999999996</v>
      </c>
      <c r="G287" s="533">
        <f t="shared" si="343"/>
        <v>40.645000000000003</v>
      </c>
      <c r="H287" s="533">
        <f t="shared" si="343"/>
        <v>41.646000000000001</v>
      </c>
      <c r="I287" s="533">
        <f t="shared" si="343"/>
        <v>37.605000000000004</v>
      </c>
      <c r="J287" s="533">
        <f t="shared" si="343"/>
        <v>36.939</v>
      </c>
      <c r="K287" s="533">
        <f t="shared" si="343"/>
        <v>35.305999999999997</v>
      </c>
      <c r="L287" s="533">
        <f t="shared" si="343"/>
        <v>32.363999999999997</v>
      </c>
      <c r="M287" s="533">
        <f t="shared" si="343"/>
        <v>32.293999999999997</v>
      </c>
      <c r="N287" s="533">
        <f t="shared" si="343"/>
        <v>29.657000000000004</v>
      </c>
      <c r="O287" s="533">
        <f t="shared" si="343"/>
        <v>27.304000000000002</v>
      </c>
      <c r="P287" s="533">
        <f t="shared" si="343"/>
        <v>24.427999999999997</v>
      </c>
      <c r="Q287" s="533">
        <f t="shared" si="343"/>
        <v>23.113</v>
      </c>
      <c r="R287" s="533">
        <f t="shared" si="343"/>
        <v>23.132000000000001</v>
      </c>
      <c r="S287" s="533">
        <f t="shared" si="343"/>
        <v>27.752000000000002</v>
      </c>
      <c r="T287" s="532">
        <f t="shared" si="343"/>
        <v>25.282</v>
      </c>
      <c r="U287" s="533">
        <f t="shared" si="343"/>
        <v>25.222000000000001</v>
      </c>
      <c r="V287" s="533">
        <f t="shared" si="343"/>
        <v>21.905000000000001</v>
      </c>
      <c r="W287" s="533">
        <f t="shared" si="343"/>
        <v>29.288</v>
      </c>
      <c r="X287" s="532">
        <f t="shared" si="343"/>
        <v>27.347000000000001</v>
      </c>
      <c r="Y287" s="533">
        <f t="shared" si="343"/>
        <v>27.71</v>
      </c>
      <c r="Z287" s="533">
        <f t="shared" si="343"/>
        <v>26.018000000000001</v>
      </c>
      <c r="AA287" s="533">
        <f t="shared" si="343"/>
        <v>37.692</v>
      </c>
      <c r="AB287" s="532">
        <f t="shared" si="343"/>
        <v>34.750999999999998</v>
      </c>
      <c r="AC287" s="533">
        <f t="shared" si="343"/>
        <v>31.196999999999999</v>
      </c>
      <c r="AD287" s="533">
        <f t="shared" si="343"/>
        <v>24.648</v>
      </c>
      <c r="AE287" s="533">
        <f t="shared" si="343"/>
        <v>25.513999999999999</v>
      </c>
      <c r="AF287" s="532">
        <f t="shared" si="343"/>
        <v>25.481999999999999</v>
      </c>
      <c r="AG287" s="533">
        <f t="shared" si="343"/>
        <v>123.253</v>
      </c>
      <c r="AH287" s="533">
        <f t="shared" si="343"/>
        <v>117.938</v>
      </c>
      <c r="AI287" s="533">
        <f t="shared" si="343"/>
        <v>320.596</v>
      </c>
      <c r="AJ287" s="532">
        <f t="shared" si="343"/>
        <v>350.92600000000004</v>
      </c>
      <c r="AK287" s="533">
        <f t="shared" si="343"/>
        <v>364.54099999999994</v>
      </c>
      <c r="AL287" s="533">
        <f t="shared" si="343"/>
        <v>368.17500000000001</v>
      </c>
      <c r="AM287" s="533">
        <f t="shared" si="343"/>
        <v>489.42899999999997</v>
      </c>
      <c r="AN287" s="532">
        <f t="shared" si="343"/>
        <v>491.36599999999999</v>
      </c>
      <c r="AO287" s="533">
        <f t="shared" si="343"/>
        <v>485.62900000000002</v>
      </c>
      <c r="AP287" s="533">
        <f t="shared" si="343"/>
        <v>477.71499999999997</v>
      </c>
      <c r="AQ287" s="533">
        <f t="shared" si="343"/>
        <v>489.87600000000003</v>
      </c>
      <c r="AR287" s="532">
        <f t="shared" si="343"/>
        <v>485.56200000000001</v>
      </c>
      <c r="AS287" s="533">
        <f t="shared" si="343"/>
        <v>479.66800000000001</v>
      </c>
      <c r="AT287" s="533">
        <f t="shared" si="343"/>
        <v>469.93400000000003</v>
      </c>
      <c r="AU287" s="576">
        <f t="shared" si="343"/>
        <v>478.15800000000002</v>
      </c>
      <c r="AV287" s="532">
        <f>AU287+AV270</f>
        <v>478.15800000000002</v>
      </c>
      <c r="AW287" s="532">
        <f>AV287+AW270</f>
        <v>478.15800000000002</v>
      </c>
      <c r="AX287" s="532">
        <f>AW287+AX270</f>
        <v>478.15800000000002</v>
      </c>
      <c r="AY287" s="532"/>
      <c r="AZ287" s="755">
        <f t="shared" ref="AZ287:BP287" si="344">AZ576+AZ578+AZ579+AZ587+AZ589+AZ593</f>
        <v>22.402000000000001</v>
      </c>
      <c r="BA287" s="755">
        <f t="shared" si="344"/>
        <v>20.612000000000002</v>
      </c>
      <c r="BB287" s="755">
        <f t="shared" si="344"/>
        <v>24.207999999999998</v>
      </c>
      <c r="BC287" s="755">
        <f t="shared" si="344"/>
        <v>32.996000000000002</v>
      </c>
      <c r="BD287" s="755">
        <f t="shared" si="344"/>
        <v>35.891999999999996</v>
      </c>
      <c r="BE287" s="755">
        <f t="shared" si="344"/>
        <v>36.939</v>
      </c>
      <c r="BF287" s="755">
        <f t="shared" si="344"/>
        <v>29.657000000000004</v>
      </c>
      <c r="BG287" s="755">
        <f t="shared" si="344"/>
        <v>23.132000000000001</v>
      </c>
      <c r="BH287" s="755">
        <f t="shared" si="344"/>
        <v>21.905000000000001</v>
      </c>
      <c r="BI287" s="755">
        <f t="shared" si="344"/>
        <v>26.018000000000001</v>
      </c>
      <c r="BJ287" s="755">
        <f t="shared" si="344"/>
        <v>24.648</v>
      </c>
      <c r="BK287" s="755">
        <f t="shared" si="344"/>
        <v>117.938</v>
      </c>
      <c r="BL287" s="755">
        <f t="shared" si="344"/>
        <v>368.17500000000001</v>
      </c>
      <c r="BM287" s="755">
        <f t="shared" si="344"/>
        <v>477.71499999999997</v>
      </c>
      <c r="BN287" s="756">
        <f t="shared" si="344"/>
        <v>469.93400000000003</v>
      </c>
      <c r="BO287" s="156">
        <f t="shared" si="344"/>
        <v>478.15800000000002</v>
      </c>
      <c r="BP287" s="156" t="e">
        <f t="shared" si="344"/>
        <v>#REF!</v>
      </c>
      <c r="BQ287" s="156" t="e">
        <f>BP287+BQ270</f>
        <v>#REF!</v>
      </c>
      <c r="BR287" s="156" t="e">
        <f>BQ287+BR270</f>
        <v>#REF!</v>
      </c>
      <c r="BS287" s="156" t="e">
        <f>BR287+BS270</f>
        <v>#REF!</v>
      </c>
      <c r="BT287" s="533"/>
    </row>
    <row r="288" spans="1:72" s="17" customFormat="1" x14ac:dyDescent="0.35">
      <c r="A288" s="533" t="s">
        <v>401</v>
      </c>
      <c r="B288" s="308"/>
      <c r="C288" s="533">
        <f t="shared" ref="C288:AH288" si="345">C588+C577</f>
        <v>0</v>
      </c>
      <c r="D288" s="533">
        <f t="shared" si="345"/>
        <v>0</v>
      </c>
      <c r="E288" s="533">
        <f t="shared" si="345"/>
        <v>0</v>
      </c>
      <c r="F288" s="533">
        <f t="shared" si="345"/>
        <v>0</v>
      </c>
      <c r="G288" s="533">
        <f t="shared" si="345"/>
        <v>0</v>
      </c>
      <c r="H288" s="533">
        <f t="shared" si="345"/>
        <v>0</v>
      </c>
      <c r="I288" s="533">
        <f t="shared" si="345"/>
        <v>0</v>
      </c>
      <c r="J288" s="533">
        <f t="shared" si="345"/>
        <v>0</v>
      </c>
      <c r="K288" s="533">
        <f t="shared" si="345"/>
        <v>0</v>
      </c>
      <c r="L288" s="533">
        <f t="shared" si="345"/>
        <v>0</v>
      </c>
      <c r="M288" s="533">
        <f t="shared" si="345"/>
        <v>0</v>
      </c>
      <c r="N288" s="533">
        <f t="shared" si="345"/>
        <v>0</v>
      </c>
      <c r="O288" s="533">
        <f t="shared" si="345"/>
        <v>0</v>
      </c>
      <c r="P288" s="533">
        <f t="shared" si="345"/>
        <v>0</v>
      </c>
      <c r="Q288" s="533">
        <f t="shared" si="345"/>
        <v>0</v>
      </c>
      <c r="R288" s="533">
        <f t="shared" si="345"/>
        <v>0</v>
      </c>
      <c r="S288" s="533">
        <f t="shared" si="345"/>
        <v>0</v>
      </c>
      <c r="T288" s="532">
        <f t="shared" si="345"/>
        <v>0</v>
      </c>
      <c r="U288" s="533">
        <f t="shared" si="345"/>
        <v>0</v>
      </c>
      <c r="V288" s="533">
        <f t="shared" si="345"/>
        <v>0</v>
      </c>
      <c r="W288" s="533">
        <f t="shared" si="345"/>
        <v>0</v>
      </c>
      <c r="X288" s="532">
        <f t="shared" si="345"/>
        <v>0</v>
      </c>
      <c r="Y288" s="533">
        <f t="shared" si="345"/>
        <v>0</v>
      </c>
      <c r="Z288" s="533">
        <f t="shared" si="345"/>
        <v>0</v>
      </c>
      <c r="AA288" s="533">
        <f t="shared" si="345"/>
        <v>0</v>
      </c>
      <c r="AB288" s="532">
        <f t="shared" si="345"/>
        <v>0</v>
      </c>
      <c r="AC288" s="533">
        <f t="shared" si="345"/>
        <v>0</v>
      </c>
      <c r="AD288" s="533">
        <f t="shared" si="345"/>
        <v>0</v>
      </c>
      <c r="AE288" s="533">
        <f t="shared" si="345"/>
        <v>25.418999999999997</v>
      </c>
      <c r="AF288" s="532">
        <f t="shared" si="345"/>
        <v>23.402000000000001</v>
      </c>
      <c r="AG288" s="533">
        <f t="shared" si="345"/>
        <v>121.244</v>
      </c>
      <c r="AH288" s="533">
        <f t="shared" si="345"/>
        <v>117.233</v>
      </c>
      <c r="AI288" s="533">
        <f t="shared" ref="AI288:AX288" si="346">AI588+AI577</f>
        <v>112.279</v>
      </c>
      <c r="AJ288" s="532">
        <f t="shared" si="346"/>
        <v>108.18100000000001</v>
      </c>
      <c r="AK288" s="533">
        <f t="shared" si="346"/>
        <v>103.85899999999999</v>
      </c>
      <c r="AL288" s="533">
        <f t="shared" si="346"/>
        <v>98.106999999999999</v>
      </c>
      <c r="AM288" s="533">
        <f t="shared" si="346"/>
        <v>99.590999999999994</v>
      </c>
      <c r="AN288" s="532">
        <f t="shared" si="346"/>
        <v>94.253</v>
      </c>
      <c r="AO288" s="533">
        <f t="shared" si="346"/>
        <v>90.132000000000005</v>
      </c>
      <c r="AP288" s="533">
        <f t="shared" si="346"/>
        <v>87.956999999999994</v>
      </c>
      <c r="AQ288" s="533">
        <f t="shared" si="346"/>
        <v>82.468999999999994</v>
      </c>
      <c r="AR288" s="532">
        <f t="shared" si="346"/>
        <v>79.108000000000004</v>
      </c>
      <c r="AS288" s="533">
        <f t="shared" si="346"/>
        <v>76.471000000000004</v>
      </c>
      <c r="AT288" s="533">
        <f t="shared" si="346"/>
        <v>73.873999999999995</v>
      </c>
      <c r="AU288" s="576">
        <f t="shared" si="346"/>
        <v>69.707999999999998</v>
      </c>
      <c r="AV288" s="532">
        <f t="shared" si="346"/>
        <v>69.707999999999998</v>
      </c>
      <c r="AW288" s="532">
        <f t="shared" si="346"/>
        <v>69.707999999999998</v>
      </c>
      <c r="AX288" s="532">
        <f t="shared" si="346"/>
        <v>69.707999999999998</v>
      </c>
      <c r="AY288" s="532"/>
      <c r="AZ288" s="755">
        <f t="shared" ref="AZ288:BS288" si="347">AZ588+AZ577</f>
        <v>0</v>
      </c>
      <c r="BA288" s="755">
        <f t="shared" si="347"/>
        <v>0</v>
      </c>
      <c r="BB288" s="755">
        <f t="shared" si="347"/>
        <v>0</v>
      </c>
      <c r="BC288" s="755">
        <f t="shared" si="347"/>
        <v>0</v>
      </c>
      <c r="BD288" s="755">
        <f t="shared" si="347"/>
        <v>0</v>
      </c>
      <c r="BE288" s="755">
        <f t="shared" si="347"/>
        <v>0</v>
      </c>
      <c r="BF288" s="755">
        <f t="shared" si="347"/>
        <v>0</v>
      </c>
      <c r="BG288" s="755">
        <f t="shared" si="347"/>
        <v>0</v>
      </c>
      <c r="BH288" s="755">
        <f t="shared" si="347"/>
        <v>0</v>
      </c>
      <c r="BI288" s="755">
        <f t="shared" si="347"/>
        <v>0</v>
      </c>
      <c r="BJ288" s="755">
        <f t="shared" si="347"/>
        <v>0</v>
      </c>
      <c r="BK288" s="755">
        <f t="shared" si="347"/>
        <v>117.233</v>
      </c>
      <c r="BL288" s="755">
        <f t="shared" si="347"/>
        <v>98.106999999999999</v>
      </c>
      <c r="BM288" s="755">
        <f t="shared" si="347"/>
        <v>87.956999999999994</v>
      </c>
      <c r="BN288" s="756">
        <f t="shared" si="347"/>
        <v>73.873999999999995</v>
      </c>
      <c r="BO288" s="156">
        <f t="shared" si="347"/>
        <v>69.707999999999998</v>
      </c>
      <c r="BP288" s="156" t="e">
        <f t="shared" si="347"/>
        <v>#REF!</v>
      </c>
      <c r="BQ288" s="156" t="e">
        <f t="shared" si="347"/>
        <v>#REF!</v>
      </c>
      <c r="BR288" s="156" t="e">
        <f t="shared" si="347"/>
        <v>#REF!</v>
      </c>
      <c r="BS288" s="156" t="e">
        <f t="shared" si="347"/>
        <v>#REF!</v>
      </c>
      <c r="BT288" s="533"/>
    </row>
    <row r="289" spans="1:72" s="17" customFormat="1" x14ac:dyDescent="0.35">
      <c r="A289" s="533" t="s">
        <v>105</v>
      </c>
      <c r="B289" s="308"/>
      <c r="C289" s="533">
        <f t="shared" ref="C289:AH289" si="348">C287+C288-C284</f>
        <v>-65.63900000000001</v>
      </c>
      <c r="D289" s="533">
        <f t="shared" si="348"/>
        <v>-101.63600000000001</v>
      </c>
      <c r="E289" s="533">
        <f t="shared" si="348"/>
        <v>-115.15099999999998</v>
      </c>
      <c r="F289" s="533">
        <f t="shared" si="348"/>
        <v>-145.58799999999999</v>
      </c>
      <c r="G289" s="533">
        <f t="shared" si="348"/>
        <v>-122.82899999999998</v>
      </c>
      <c r="H289" s="533">
        <f t="shared" si="348"/>
        <v>-121.24300000000001</v>
      </c>
      <c r="I289" s="533">
        <f t="shared" si="348"/>
        <v>-147.72699999999998</v>
      </c>
      <c r="J289" s="533">
        <f t="shared" si="348"/>
        <v>-159.17000000000002</v>
      </c>
      <c r="K289" s="533">
        <f t="shared" si="348"/>
        <v>-73.89</v>
      </c>
      <c r="L289" s="533">
        <f t="shared" si="348"/>
        <v>-91.87</v>
      </c>
      <c r="M289" s="533">
        <f t="shared" si="348"/>
        <v>-110.556</v>
      </c>
      <c r="N289" s="533">
        <f t="shared" si="348"/>
        <v>-166.19499999999999</v>
      </c>
      <c r="O289" s="533">
        <f t="shared" si="348"/>
        <v>-123.56</v>
      </c>
      <c r="P289" s="533">
        <f t="shared" si="348"/>
        <v>-146.84899999999999</v>
      </c>
      <c r="Q289" s="533">
        <f t="shared" si="348"/>
        <v>-176.39500000000001</v>
      </c>
      <c r="R289" s="533">
        <f t="shared" si="348"/>
        <v>-190.857</v>
      </c>
      <c r="S289" s="533">
        <f t="shared" si="348"/>
        <v>-107.33599999999998</v>
      </c>
      <c r="T289" s="533">
        <f t="shared" si="348"/>
        <v>-156.86399999999998</v>
      </c>
      <c r="U289" s="533">
        <f t="shared" si="348"/>
        <v>-169.48599999999999</v>
      </c>
      <c r="V289" s="533">
        <f t="shared" si="348"/>
        <v>-208.959</v>
      </c>
      <c r="W289" s="533">
        <f t="shared" si="348"/>
        <v>-118.05400000000002</v>
      </c>
      <c r="X289" s="533">
        <f t="shared" si="348"/>
        <v>-162.155</v>
      </c>
      <c r="Y289" s="533">
        <f t="shared" si="348"/>
        <v>-200.197</v>
      </c>
      <c r="Z289" s="533">
        <f t="shared" si="348"/>
        <v>-207.095</v>
      </c>
      <c r="AA289" s="533">
        <f t="shared" si="348"/>
        <v>-107.357</v>
      </c>
      <c r="AB289" s="533">
        <f t="shared" si="348"/>
        <v>-170.524</v>
      </c>
      <c r="AC289" s="533">
        <f t="shared" si="348"/>
        <v>-204.828</v>
      </c>
      <c r="AD289" s="533">
        <f t="shared" si="348"/>
        <v>-259.97299999999996</v>
      </c>
      <c r="AE289" s="533">
        <f t="shared" si="348"/>
        <v>-116.511</v>
      </c>
      <c r="AF289" s="533">
        <f t="shared" si="348"/>
        <v>-164.25700000000001</v>
      </c>
      <c r="AG289" s="533">
        <f t="shared" si="348"/>
        <v>92.963000000000022</v>
      </c>
      <c r="AH289" s="533">
        <f t="shared" si="348"/>
        <v>21.871999999999986</v>
      </c>
      <c r="AI289" s="533">
        <f t="shared" ref="AI289:AX289" si="349">AI287+AI288-AI284</f>
        <v>123.09100000000001</v>
      </c>
      <c r="AJ289" s="533">
        <f t="shared" si="349"/>
        <v>199.92900000000003</v>
      </c>
      <c r="AK289" s="533">
        <f t="shared" si="349"/>
        <v>138.3669999999999</v>
      </c>
      <c r="AL289" s="533">
        <f t="shared" si="349"/>
        <v>79.700000000000045</v>
      </c>
      <c r="AM289" s="533">
        <f t="shared" si="349"/>
        <v>369.99599999999998</v>
      </c>
      <c r="AN289" s="533">
        <f t="shared" si="349"/>
        <v>328.12800000000004</v>
      </c>
      <c r="AO289" s="533">
        <f t="shared" si="349"/>
        <v>267.19699999999995</v>
      </c>
      <c r="AP289" s="533">
        <f t="shared" si="349"/>
        <v>176.274</v>
      </c>
      <c r="AQ289" s="533">
        <f t="shared" si="349"/>
        <v>377.82100000000003</v>
      </c>
      <c r="AR289" s="533">
        <f t="shared" si="349"/>
        <v>246.39100000000008</v>
      </c>
      <c r="AS289" s="533">
        <f t="shared" si="349"/>
        <v>182.46100000000001</v>
      </c>
      <c r="AT289" s="533">
        <f t="shared" si="349"/>
        <v>133.00099999999998</v>
      </c>
      <c r="AU289" s="576">
        <f t="shared" si="349"/>
        <v>293.24</v>
      </c>
      <c r="AV289" s="532">
        <f t="shared" ca="1" si="349"/>
        <v>119.26357597657852</v>
      </c>
      <c r="AW289" s="532">
        <f t="shared" ca="1" si="349"/>
        <v>35.283235831430829</v>
      </c>
      <c r="AX289" s="532">
        <f t="shared" ca="1" si="349"/>
        <v>-53.538126344588136</v>
      </c>
      <c r="AY289" s="532"/>
      <c r="AZ289" s="755">
        <f t="shared" ref="AZ289:BS289" si="350">AZ287+AZ288-AZ284</f>
        <v>-29.558999999999997</v>
      </c>
      <c r="BA289" s="755">
        <f t="shared" si="350"/>
        <v>-64.481999999999999</v>
      </c>
      <c r="BB289" s="755">
        <f t="shared" si="350"/>
        <v>-170.392</v>
      </c>
      <c r="BC289" s="755">
        <f t="shared" si="350"/>
        <v>-113.15699999999998</v>
      </c>
      <c r="BD289" s="755">
        <f t="shared" si="350"/>
        <v>-145.58799999999999</v>
      </c>
      <c r="BE289" s="755">
        <f t="shared" si="350"/>
        <v>-159.17000000000002</v>
      </c>
      <c r="BF289" s="755">
        <f t="shared" si="350"/>
        <v>-166.19499999999999</v>
      </c>
      <c r="BG289" s="755">
        <f t="shared" si="350"/>
        <v>-190.857</v>
      </c>
      <c r="BH289" s="755">
        <f t="shared" si="350"/>
        <v>-208.959</v>
      </c>
      <c r="BI289" s="755">
        <f t="shared" si="350"/>
        <v>-207.095</v>
      </c>
      <c r="BJ289" s="755">
        <f t="shared" si="350"/>
        <v>-259.97299999999996</v>
      </c>
      <c r="BK289" s="755">
        <f t="shared" si="350"/>
        <v>21.871999999999986</v>
      </c>
      <c r="BL289" s="755">
        <f t="shared" si="350"/>
        <v>79.700000000000045</v>
      </c>
      <c r="BM289" s="755">
        <f t="shared" si="350"/>
        <v>176.274</v>
      </c>
      <c r="BN289" s="756">
        <f t="shared" si="350"/>
        <v>133.00099999999998</v>
      </c>
      <c r="BO289" s="156">
        <f t="shared" ca="1" si="350"/>
        <v>-53.538126344588136</v>
      </c>
      <c r="BP289" s="156" t="e">
        <f t="shared" si="350"/>
        <v>#REF!</v>
      </c>
      <c r="BQ289" s="156" t="e">
        <f t="shared" si="350"/>
        <v>#REF!</v>
      </c>
      <c r="BR289" s="156" t="e">
        <f t="shared" ca="1" si="350"/>
        <v>#REF!</v>
      </c>
      <c r="BS289" s="156" t="e">
        <f t="shared" ca="1" si="350"/>
        <v>#REF!</v>
      </c>
      <c r="BT289" s="533"/>
    </row>
    <row r="290" spans="1:72" s="17" customFormat="1" x14ac:dyDescent="0.35">
      <c r="A290" s="532"/>
      <c r="B290" s="308"/>
      <c r="C290" s="532"/>
      <c r="D290" s="532"/>
      <c r="E290" s="532"/>
      <c r="F290" s="532"/>
      <c r="G290" s="532"/>
      <c r="H290" s="532"/>
      <c r="I290" s="532"/>
      <c r="J290" s="532"/>
      <c r="K290" s="532"/>
      <c r="L290" s="532"/>
      <c r="M290" s="532"/>
      <c r="N290" s="532"/>
      <c r="O290" s="532"/>
      <c r="P290" s="532"/>
      <c r="Q290" s="532"/>
      <c r="R290" s="532"/>
      <c r="S290" s="532"/>
      <c r="T290" s="532"/>
      <c r="U290" s="532"/>
      <c r="V290" s="532"/>
      <c r="W290" s="532"/>
      <c r="X290" s="532"/>
      <c r="Y290" s="532"/>
      <c r="Z290" s="532"/>
      <c r="AA290" s="532"/>
      <c r="AB290" s="532"/>
      <c r="AC290" s="532"/>
      <c r="AD290" s="532"/>
      <c r="AE290" s="532"/>
      <c r="AF290" s="532"/>
      <c r="AG290" s="532"/>
      <c r="AH290" s="532"/>
      <c r="AI290" s="532"/>
      <c r="AJ290" s="532"/>
      <c r="AK290" s="532"/>
      <c r="AL290" s="532"/>
      <c r="AM290" s="532"/>
      <c r="AN290" s="532"/>
      <c r="AO290" s="532"/>
      <c r="AP290" s="532"/>
      <c r="AQ290" s="532"/>
      <c r="AR290" s="532"/>
      <c r="AS290" s="532"/>
      <c r="AT290" s="532"/>
      <c r="AU290" s="534"/>
      <c r="AV290" s="532"/>
      <c r="AW290" s="532"/>
      <c r="AX290" s="532"/>
      <c r="AY290" s="532"/>
      <c r="AZ290" s="156"/>
      <c r="BA290" s="156"/>
      <c r="BB290" s="156"/>
      <c r="BC290" s="156"/>
      <c r="BD290" s="156"/>
      <c r="BE290" s="156"/>
      <c r="BF290" s="156"/>
      <c r="BG290" s="156"/>
      <c r="BH290" s="156"/>
      <c r="BI290" s="156"/>
      <c r="BJ290" s="156"/>
      <c r="BK290" s="156"/>
      <c r="BL290" s="156"/>
      <c r="BM290" s="156"/>
      <c r="BN290" s="730"/>
      <c r="BO290" s="156"/>
      <c r="BP290" s="156"/>
      <c r="BQ290" s="156"/>
      <c r="BR290" s="156"/>
      <c r="BS290" s="156"/>
      <c r="BT290" s="533"/>
    </row>
    <row r="291" spans="1:72" s="17" customFormat="1" x14ac:dyDescent="0.35">
      <c r="A291" s="533" t="s">
        <v>426</v>
      </c>
      <c r="B291" s="308"/>
      <c r="C291" s="528"/>
      <c r="D291" s="528"/>
      <c r="E291" s="528"/>
      <c r="F291" s="528"/>
      <c r="G291" s="528"/>
      <c r="H291" s="528"/>
      <c r="I291" s="528"/>
      <c r="J291" s="528"/>
      <c r="K291" s="528"/>
      <c r="L291" s="528"/>
      <c r="M291" s="528"/>
      <c r="N291" s="528"/>
      <c r="O291" s="528"/>
      <c r="P291" s="528"/>
      <c r="Q291" s="528"/>
      <c r="R291" s="528"/>
      <c r="S291" s="528"/>
      <c r="T291" s="528"/>
      <c r="U291" s="528"/>
      <c r="V291" s="528"/>
      <c r="W291" s="528"/>
      <c r="X291" s="528"/>
      <c r="Y291" s="528"/>
      <c r="Z291" s="528"/>
      <c r="AA291" s="528"/>
      <c r="AB291" s="528"/>
      <c r="AC291" s="528"/>
      <c r="AD291" s="528"/>
      <c r="AE291" s="528"/>
      <c r="AF291" s="528"/>
      <c r="AG291" s="528"/>
      <c r="AH291" s="528"/>
      <c r="AI291" s="528"/>
      <c r="AJ291" s="528"/>
      <c r="AK291" s="528"/>
      <c r="AL291" s="528"/>
      <c r="AM291" s="528"/>
      <c r="AN291" s="528"/>
      <c r="AO291" s="528"/>
      <c r="AP291" s="528"/>
      <c r="AQ291" s="528"/>
      <c r="AR291" s="528"/>
      <c r="AS291" s="528"/>
      <c r="AT291" s="528"/>
      <c r="AU291" s="560"/>
      <c r="AV291" s="528">
        <f>MAX(0,AV292*AVERAGE(AU287,AV287)*AV3/BO3)</f>
        <v>6.6105996721311477</v>
      </c>
      <c r="AW291" s="528">
        <f>MAX(0,AW292*AVERAGE(AV287,AW287)*AW3/BO3)</f>
        <v>7.1331767213114752</v>
      </c>
      <c r="AX291" s="528">
        <f>MAX(0,AX292*AVERAGE(AW287,AX287)*AX3/BO3)</f>
        <v>7.1331767213114752</v>
      </c>
      <c r="AY291" s="528"/>
      <c r="AZ291" s="692"/>
      <c r="BA291" s="692"/>
      <c r="BB291" s="692"/>
      <c r="BC291" s="692"/>
      <c r="BD291" s="692"/>
      <c r="BE291" s="692"/>
      <c r="BF291" s="692"/>
      <c r="BG291" s="692"/>
      <c r="BH291" s="692"/>
      <c r="BI291" s="692"/>
      <c r="BJ291" s="692"/>
      <c r="BK291" s="692"/>
      <c r="BL291" s="692"/>
      <c r="BM291" s="692"/>
      <c r="BN291" s="712"/>
      <c r="BO291" s="692" t="str">
        <f>IF(OR(ISBLANK(AU291),ISBLANK(AV291),ISBLANK(AW291),ISBLANK(AX291)),"n/a",SUM(AU291,AV291,AW291,AX291))</f>
        <v>n/a</v>
      </c>
      <c r="BP291" s="692" t="e">
        <f>IF(OR(ISBLANK(#REF!),ISBLANK(#REF!),ISBLANK(#REF!),ISBLANK(#REF!)),"n/a",SUM(#REF!,#REF!,#REF!,#REF!))</f>
        <v>#REF!</v>
      </c>
      <c r="BQ291" s="692" t="e">
        <f>MAX(0,BQ292*AVERAGE(BP287,BQ287))</f>
        <v>#REF!</v>
      </c>
      <c r="BR291" s="692" t="e">
        <f>MAX(0,BR292*AVERAGE(BQ287,BR287))</f>
        <v>#REF!</v>
      </c>
      <c r="BS291" s="692" t="e">
        <f>MAX(0,BS292*AVERAGE(BR287,BS287))</f>
        <v>#REF!</v>
      </c>
      <c r="BT291" s="533"/>
    </row>
    <row r="292" spans="1:72" s="17" customFormat="1" x14ac:dyDescent="0.35">
      <c r="A292" s="530" t="s">
        <v>427</v>
      </c>
      <c r="B292" s="307"/>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c r="AA292" s="78"/>
      <c r="AB292" s="78"/>
      <c r="AC292" s="78"/>
      <c r="AD292" s="78"/>
      <c r="AE292" s="78"/>
      <c r="AF292" s="78"/>
      <c r="AG292" s="78"/>
      <c r="AH292" s="78"/>
      <c r="AI292" s="78"/>
      <c r="AJ292" s="78"/>
      <c r="AK292" s="78"/>
      <c r="AL292" s="78"/>
      <c r="AM292" s="78"/>
      <c r="AN292" s="78"/>
      <c r="AO292" s="78"/>
      <c r="AP292" s="78"/>
      <c r="AQ292" s="78"/>
      <c r="AR292" s="78"/>
      <c r="AS292" s="78"/>
      <c r="AT292" s="78"/>
      <c r="AU292" s="484"/>
      <c r="AV292" s="641">
        <v>5.5E-2</v>
      </c>
      <c r="AW292" s="641">
        <v>0.06</v>
      </c>
      <c r="AX292" s="641">
        <v>0.06</v>
      </c>
      <c r="AY292" s="31"/>
      <c r="AZ292" s="673"/>
      <c r="BA292" s="673"/>
      <c r="BB292" s="673"/>
      <c r="BC292" s="673"/>
      <c r="BD292" s="673"/>
      <c r="BE292" s="673"/>
      <c r="BF292" s="673"/>
      <c r="BG292" s="673"/>
      <c r="BH292" s="673"/>
      <c r="BI292" s="673"/>
      <c r="BJ292" s="673"/>
      <c r="BK292" s="673"/>
      <c r="BL292" s="673"/>
      <c r="BM292" s="673"/>
      <c r="BN292" s="682"/>
      <c r="BO292" s="673" t="str">
        <f>IFERROR(BO291/AVERAGE(AU287,AV287,AW287,AX287),"n/a")</f>
        <v>n/a</v>
      </c>
      <c r="BP292" s="673" t="str">
        <f>IFERROR(BP291/AVERAGE(#REF!,#REF!,#REF!,#REF!),"n/a")</f>
        <v>n/a</v>
      </c>
      <c r="BQ292" s="743">
        <v>0.06</v>
      </c>
      <c r="BR292" s="743">
        <v>0.06</v>
      </c>
      <c r="BS292" s="743">
        <v>0.06</v>
      </c>
      <c r="BT292" s="533"/>
    </row>
    <row r="293" spans="1:72" s="17" customFormat="1" x14ac:dyDescent="0.35">
      <c r="A293" s="532" t="s">
        <v>428</v>
      </c>
      <c r="B293" s="308"/>
      <c r="C293" s="528"/>
      <c r="D293" s="528"/>
      <c r="E293" s="528"/>
      <c r="F293" s="528"/>
      <c r="G293" s="528"/>
      <c r="H293" s="528"/>
      <c r="I293" s="528"/>
      <c r="J293" s="528"/>
      <c r="K293" s="528"/>
      <c r="L293" s="528"/>
      <c r="M293" s="528"/>
      <c r="N293" s="528"/>
      <c r="O293" s="528"/>
      <c r="P293" s="528"/>
      <c r="Q293" s="528"/>
      <c r="R293" s="528"/>
      <c r="S293" s="528"/>
      <c r="T293" s="528"/>
      <c r="U293" s="528"/>
      <c r="V293" s="528"/>
      <c r="W293" s="528"/>
      <c r="X293" s="528"/>
      <c r="Y293" s="528"/>
      <c r="Z293" s="528"/>
      <c r="AA293" s="528"/>
      <c r="AB293" s="528"/>
      <c r="AC293" s="528"/>
      <c r="AD293" s="528"/>
      <c r="AE293" s="528"/>
      <c r="AF293" s="528"/>
      <c r="AG293" s="528"/>
      <c r="AH293" s="528"/>
      <c r="AI293" s="528"/>
      <c r="AJ293" s="528"/>
      <c r="AK293" s="528"/>
      <c r="AL293" s="528"/>
      <c r="AM293" s="528"/>
      <c r="AN293" s="528"/>
      <c r="AO293" s="528"/>
      <c r="AP293" s="528"/>
      <c r="AQ293" s="528"/>
      <c r="AR293" s="528"/>
      <c r="AS293" s="528"/>
      <c r="AT293" s="528"/>
      <c r="AU293" s="560"/>
      <c r="AV293" s="528">
        <f>MAX(0,AV294*AU284*AV3/BO3)</f>
        <v>3.200217486338798</v>
      </c>
      <c r="AW293" s="528">
        <f ca="1">MAX(0,AW294*AV284*AW3/BO3)</f>
        <v>5.3282541784332453</v>
      </c>
      <c r="AX293" s="528">
        <f ca="1">MAX(0,AX294*AW284*AX3/BO3)</f>
        <v>6.3722720682158194</v>
      </c>
      <c r="AY293" s="528"/>
      <c r="AZ293" s="692"/>
      <c r="BA293" s="692"/>
      <c r="BB293" s="692"/>
      <c r="BC293" s="692"/>
      <c r="BD293" s="692"/>
      <c r="BE293" s="692"/>
      <c r="BF293" s="692"/>
      <c r="BG293" s="692"/>
      <c r="BH293" s="692"/>
      <c r="BI293" s="692"/>
      <c r="BJ293" s="692"/>
      <c r="BK293" s="692"/>
      <c r="BL293" s="692"/>
      <c r="BM293" s="692"/>
      <c r="BN293" s="712"/>
      <c r="BO293" s="692" t="str">
        <f ca="1">IF(OR(ISBLANK(AU293),ISBLANK(AV293),ISBLANK(AW293),ISBLANK(AX293)),"n/a",SUM(AU293,AV293,AW293,AX293))</f>
        <v>n/a</v>
      </c>
      <c r="BP293" s="692" t="e">
        <f>IF(OR(ISBLANK(#REF!),ISBLANK(#REF!),ISBLANK(#REF!),ISBLANK(#REF!)),"n/a",SUM(#REF!,#REF!,#REF!,#REF!))</f>
        <v>#REF!</v>
      </c>
      <c r="BQ293" s="692" t="e">
        <f>MAX(0,BQ294*BP284)</f>
        <v>#REF!</v>
      </c>
      <c r="BR293" s="692" t="e">
        <f>MAX(0,BR294*BQ284)</f>
        <v>#REF!</v>
      </c>
      <c r="BS293" s="692" t="e">
        <f ca="1">MAX(0,BS294*BR284)</f>
        <v>#REF!</v>
      </c>
      <c r="BT293" s="533"/>
    </row>
    <row r="294" spans="1:72" s="17" customFormat="1" x14ac:dyDescent="0.35">
      <c r="A294" s="529" t="s">
        <v>429</v>
      </c>
      <c r="B294" s="307"/>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c r="AA294" s="78"/>
      <c r="AB294" s="78"/>
      <c r="AC294" s="78"/>
      <c r="AD294" s="78"/>
      <c r="AE294" s="78"/>
      <c r="AF294" s="78"/>
      <c r="AG294" s="78"/>
      <c r="AH294" s="78"/>
      <c r="AI294" s="78"/>
      <c r="AJ294" s="78"/>
      <c r="AK294" s="78"/>
      <c r="AL294" s="78"/>
      <c r="AM294" s="78"/>
      <c r="AN294" s="78"/>
      <c r="AO294" s="78"/>
      <c r="AP294" s="78"/>
      <c r="AQ294" s="78"/>
      <c r="AR294" s="78"/>
      <c r="AS294" s="78"/>
      <c r="AT294" s="78"/>
      <c r="AU294" s="484"/>
      <c r="AV294" s="641">
        <v>0.05</v>
      </c>
      <c r="AW294" s="641">
        <v>0.05</v>
      </c>
      <c r="AX294" s="641">
        <v>0.05</v>
      </c>
      <c r="AY294" s="31"/>
      <c r="AZ294" s="673"/>
      <c r="BA294" s="673"/>
      <c r="BB294" s="673"/>
      <c r="BC294" s="673"/>
      <c r="BD294" s="673"/>
      <c r="BE294" s="673"/>
      <c r="BF294" s="673"/>
      <c r="BG294" s="673"/>
      <c r="BH294" s="673"/>
      <c r="BI294" s="673"/>
      <c r="BJ294" s="673"/>
      <c r="BK294" s="673"/>
      <c r="BL294" s="673"/>
      <c r="BM294" s="673"/>
      <c r="BN294" s="682"/>
      <c r="BO294" s="673" t="str">
        <f ca="1">IFERROR(BO293/AVERAGE(AU284,AV284,AW284,AX284),"n/a")</f>
        <v>n/a</v>
      </c>
      <c r="BP294" s="673" t="str">
        <f>IFERROR(BP293/AVERAGE(#REF!,#REF!,#REF!,#REF!),"n/a")</f>
        <v>n/a</v>
      </c>
      <c r="BQ294" s="743">
        <v>0.05</v>
      </c>
      <c r="BR294" s="743">
        <v>0.05</v>
      </c>
      <c r="BS294" s="743">
        <v>0.05</v>
      </c>
      <c r="BT294" s="533"/>
    </row>
    <row r="295" spans="1:72" s="17" customFormat="1" x14ac:dyDescent="0.35">
      <c r="A295" s="532" t="s">
        <v>430</v>
      </c>
      <c r="B295" s="308"/>
      <c r="C295" s="528">
        <f t="shared" ref="C295:AU295" si="351">C208</f>
        <v>0.22800000000000001</v>
      </c>
      <c r="D295" s="528">
        <f t="shared" si="351"/>
        <v>0.27200000000000002</v>
      </c>
      <c r="E295" s="528">
        <f t="shared" si="351"/>
        <v>0.30599999999999999</v>
      </c>
      <c r="F295" s="528">
        <f t="shared" si="351"/>
        <v>-1.657</v>
      </c>
      <c r="G295" s="528">
        <f t="shared" si="351"/>
        <v>8.4000000000000005E-2</v>
      </c>
      <c r="H295" s="528">
        <f t="shared" si="351"/>
        <v>2.8000000000000001E-2</v>
      </c>
      <c r="I295" s="528">
        <f t="shared" si="351"/>
        <v>1.2E-2</v>
      </c>
      <c r="J295" s="528">
        <f t="shared" si="351"/>
        <v>-5.4999999999999993E-2</v>
      </c>
      <c r="K295" s="528">
        <f t="shared" si="351"/>
        <v>-3.1E-2</v>
      </c>
      <c r="L295" s="528">
        <f t="shared" si="351"/>
        <v>-0.151</v>
      </c>
      <c r="M295" s="528">
        <f t="shared" si="351"/>
        <v>0.315</v>
      </c>
      <c r="N295" s="528">
        <f t="shared" si="351"/>
        <v>3.1579999999999999</v>
      </c>
      <c r="O295" s="528">
        <f t="shared" si="351"/>
        <v>0.30499999999999999</v>
      </c>
      <c r="P295" s="528">
        <f t="shared" si="351"/>
        <v>0.19</v>
      </c>
      <c r="Q295" s="528">
        <f t="shared" si="351"/>
        <v>0.10100000000000001</v>
      </c>
      <c r="R295" s="528">
        <f t="shared" si="351"/>
        <v>2.1000000000000019E-2</v>
      </c>
      <c r="S295" s="528">
        <f t="shared" si="351"/>
        <v>-0.34200000000000003</v>
      </c>
      <c r="T295" s="528">
        <f t="shared" si="351"/>
        <v>-0.26400000000000001</v>
      </c>
      <c r="U295" s="528">
        <f t="shared" si="351"/>
        <v>-0.64100000000000001</v>
      </c>
      <c r="V295" s="528">
        <f t="shared" si="351"/>
        <v>-0.56099999999999994</v>
      </c>
      <c r="W295" s="528">
        <f t="shared" si="351"/>
        <v>-0.23499999999999999</v>
      </c>
      <c r="X295" s="528">
        <f t="shared" si="351"/>
        <v>-3.9E-2</v>
      </c>
      <c r="Y295" s="528">
        <f t="shared" si="351"/>
        <v>-0.26100000000000001</v>
      </c>
      <c r="Z295" s="528">
        <f t="shared" si="351"/>
        <v>-0.42999999999999994</v>
      </c>
      <c r="AA295" s="528">
        <f t="shared" si="351"/>
        <v>-0.316</v>
      </c>
      <c r="AB295" s="528">
        <f t="shared" si="351"/>
        <v>-0.47699999999999998</v>
      </c>
      <c r="AC295" s="528">
        <f t="shared" si="351"/>
        <v>-0.754</v>
      </c>
      <c r="AD295" s="528">
        <f t="shared" si="351"/>
        <v>-1.2140000000000002</v>
      </c>
      <c r="AE295" s="528">
        <f t="shared" si="351"/>
        <v>-0.91</v>
      </c>
      <c r="AF295" s="528">
        <f t="shared" si="351"/>
        <v>-0.441</v>
      </c>
      <c r="AG295" s="528">
        <f t="shared" si="351"/>
        <v>7.5999999999999998E-2</v>
      </c>
      <c r="AH295" s="528">
        <f t="shared" si="351"/>
        <v>0.57700000000000018</v>
      </c>
      <c r="AI295" s="528">
        <f t="shared" si="351"/>
        <v>2.1070000000000002</v>
      </c>
      <c r="AJ295" s="528">
        <f t="shared" si="351"/>
        <v>5.024</v>
      </c>
      <c r="AK295" s="528">
        <f t="shared" si="351"/>
        <v>5.3710000000000004</v>
      </c>
      <c r="AL295" s="528">
        <f t="shared" si="351"/>
        <v>5.4769999999999985</v>
      </c>
      <c r="AM295" s="528">
        <f t="shared" si="351"/>
        <v>1.9930000000000001</v>
      </c>
      <c r="AN295" s="528">
        <f t="shared" si="351"/>
        <v>1.875</v>
      </c>
      <c r="AO295" s="528">
        <f t="shared" si="351"/>
        <v>2.3730000000000002</v>
      </c>
      <c r="AP295" s="528">
        <f t="shared" si="351"/>
        <v>2.0359999999999987</v>
      </c>
      <c r="AQ295" s="528">
        <f t="shared" si="351"/>
        <v>2.0459999999999998</v>
      </c>
      <c r="AR295" s="528">
        <f t="shared" si="351"/>
        <v>2.0819999999999999</v>
      </c>
      <c r="AS295" s="528">
        <f t="shared" si="351"/>
        <v>2.206</v>
      </c>
      <c r="AT295" s="528">
        <f t="shared" si="351"/>
        <v>2.0700000000000007</v>
      </c>
      <c r="AU295" s="560">
        <f t="shared" si="351"/>
        <v>2.0680000000000001</v>
      </c>
      <c r="AV295" s="528">
        <f t="shared" ref="AV295:AX295" si="352">IFERROR(AV291-AV293,"n/a")</f>
        <v>3.4103821857923498</v>
      </c>
      <c r="AW295" s="528">
        <f t="shared" ca="1" si="352"/>
        <v>1.8049225428782298</v>
      </c>
      <c r="AX295" s="528">
        <f t="shared" ca="1" si="352"/>
        <v>0.7609046530956558</v>
      </c>
      <c r="AY295" s="528"/>
      <c r="AZ295" s="692">
        <f t="shared" ref="AZ295:BN295" si="353">AZ208</f>
        <v>0.98199999999999998</v>
      </c>
      <c r="BA295" s="692">
        <f t="shared" si="353"/>
        <v>1.331</v>
      </c>
      <c r="BB295" s="692">
        <f t="shared" si="353"/>
        <v>1.2070000000000001</v>
      </c>
      <c r="BC295" s="692">
        <f t="shared" si="353"/>
        <v>0.98899999999999999</v>
      </c>
      <c r="BD295" s="692">
        <f t="shared" si="353"/>
        <v>-0.85099999999999998</v>
      </c>
      <c r="BE295" s="692">
        <f t="shared" si="353"/>
        <v>6.9000000000000006E-2</v>
      </c>
      <c r="BF295" s="692">
        <f t="shared" si="353"/>
        <v>3.2909999999999999</v>
      </c>
      <c r="BG295" s="692">
        <f t="shared" si="353"/>
        <v>0.61699999999999999</v>
      </c>
      <c r="BH295" s="692">
        <f t="shared" si="353"/>
        <v>-1.8080000000000001</v>
      </c>
      <c r="BI295" s="692">
        <f t="shared" si="353"/>
        <v>-0.96499999999999997</v>
      </c>
      <c r="BJ295" s="692">
        <f t="shared" si="353"/>
        <v>-2.7610000000000001</v>
      </c>
      <c r="BK295" s="692">
        <f t="shared" si="353"/>
        <v>-0.69799999999999995</v>
      </c>
      <c r="BL295" s="692">
        <f t="shared" si="353"/>
        <v>17.978999999999999</v>
      </c>
      <c r="BM295" s="692">
        <f t="shared" si="353"/>
        <v>8.2769999999999992</v>
      </c>
      <c r="BN295" s="712">
        <f t="shared" si="353"/>
        <v>8.4039999999999999</v>
      </c>
      <c r="BO295" s="692">
        <f ca="1">SUM(AU295,AV295,AW295,AX295)</f>
        <v>8.0442093817662368</v>
      </c>
      <c r="BP295" s="692" t="e">
        <f>SUM(#REF!,#REF!,#REF!,#REF!)</f>
        <v>#REF!</v>
      </c>
      <c r="BQ295" s="692" t="str">
        <f>IFERROR(BQ291-BQ293,"n/a")</f>
        <v>n/a</v>
      </c>
      <c r="BR295" s="692" t="str">
        <f>IFERROR(BR291-BR293,"n/a")</f>
        <v>n/a</v>
      </c>
      <c r="BS295" s="692" t="str">
        <f ca="1">IFERROR(BS291-BS293,"n/a")</f>
        <v>n/a</v>
      </c>
      <c r="BT295" s="533"/>
    </row>
    <row r="296" spans="1:72" s="17" customFormat="1" x14ac:dyDescent="0.35">
      <c r="A296" s="529" t="s">
        <v>431</v>
      </c>
      <c r="B296" s="307"/>
      <c r="C296" s="78">
        <f>IFERROR(IF(C295/AVERAGE(BC287,C287)&lt;0,"n/a",C295/AVERAGE(BC287,C287)*BD3/C3),"n/a")</f>
        <v>2.4027232017831312E-2</v>
      </c>
      <c r="D296" s="78">
        <f>IFERROR(IF(D295/AVERAGE(C287,D287)&lt;0,"n/a",D295/AVERAGE(C287,D287)*BD3/D3),"n/a")</f>
        <v>2.5738010489120718E-2</v>
      </c>
      <c r="E296" s="78">
        <f>IFERROR(IF(E295/AVERAGE(D287,E287)&lt;0,"n/a",E295/AVERAGE(D287,E287)*BD3/E3),"n/a")</f>
        <v>2.9769829561128905E-2</v>
      </c>
      <c r="F296" s="78" t="str">
        <f>IFERROR(IF(F295/AVERAGE(E287,F287)&lt;0,"n/a",F295/AVERAGE(E287,F287)*BD3/F3),"n/a")</f>
        <v>n/a</v>
      </c>
      <c r="G296" s="78">
        <f>IFERROR(IF(G295/AVERAGE(BD287,G287)&lt;0,"n/a",G295/AVERAGE(BD287,G287)*BE3/G3),"n/a")</f>
        <v>8.708490522628726E-3</v>
      </c>
      <c r="H296" s="78">
        <f>IFERROR(IF(H295/AVERAGE(G287,H287)&lt;0,"n/a",H295/AVERAGE(G287,H287)*BE3/H3),"n/a")</f>
        <v>2.6998567649375786E-3</v>
      </c>
      <c r="I296" s="78">
        <f>IFERROR(IF(I295/AVERAGE(H287,I287)&lt;0,"n/a",I295/AVERAGE(H287,I287)*BE3/I3),"n/a")</f>
        <v>1.2281653648955008E-3</v>
      </c>
      <c r="J296" s="78" t="str">
        <f>IFERROR(IF(J295/AVERAGE(I287,J287)&lt;0,"n/a",J295/AVERAGE(I287,J287)*BE3/J3),"n/a")</f>
        <v>n/a</v>
      </c>
      <c r="K296" s="78" t="str">
        <f>IFERROR(IF(K295/AVERAGE(BE287,K287)&lt;0,"n/a",K295/AVERAGE(BE287,K287)*BF3/K3),"n/a")</f>
        <v>n/a</v>
      </c>
      <c r="L296" s="78" t="str">
        <f>IFERROR(IF(L295/AVERAGE(K287,L287)&lt;0,"n/a",L295/AVERAGE(K287,L287)*BF3/L3),"n/a")</f>
        <v>n/a</v>
      </c>
      <c r="M296" s="78">
        <f>IFERROR(IF(M295/AVERAGE(L287,M287)&lt;0,"n/a",M295/AVERAGE(L287,M287)*BF3/M3),"n/a")</f>
        <v>3.9515605184199949E-2</v>
      </c>
      <c r="N296" s="78">
        <f>IFERROR(IF(N295/AVERAGE(M287,N287)&lt;0,"n/a",N295/AVERAGE(M287,N287)*BF3/N3),"n/a")</f>
        <v>0.40892651601114738</v>
      </c>
      <c r="O296" s="78">
        <f>IFERROR(IF(O295/AVERAGE(BF287,O287)&lt;0,"n/a",O295/AVERAGE(BF287,O287)*BG3/O3),"n/a")</f>
        <v>4.2603520486557155E-2</v>
      </c>
      <c r="P296" s="78">
        <f>IFERROR(IF(P295/AVERAGE(O287,P287)&lt;0,"n/a",P295/AVERAGE(O287,P287)*BG3/P3),"n/a")</f>
        <v>2.922251469950481E-2</v>
      </c>
      <c r="Q296" s="78">
        <f>IFERROR(IF(Q295/AVERAGE(P287,Q287)&lt;0,"n/a",Q295/AVERAGE(P287,Q287)*BG3/Q3),"n/a")</f>
        <v>1.7089240033645918E-2</v>
      </c>
      <c r="R296" s="78">
        <f>IFERROR(IF(R295/AVERAGE(Q287,R287)&lt;0,"n/a",R295/AVERAGE(Q287,R287)*BG3/R3),"n/a")</f>
        <v>3.6527857481474116E-3</v>
      </c>
      <c r="S296" s="78" t="str">
        <f>IFERROR(IF(S295/AVERAGE(BG287,S287)&lt;0,"n/a",S295/AVERAGE(BG287,S287)*BH3/S3),"n/a")</f>
        <v>n/a</v>
      </c>
      <c r="T296" s="78" t="str">
        <f>IFERROR(IF(T295/AVERAGE(S287,T287)&lt;0,"n/a",T295/AVERAGE(S287,T287)*BH3/T3),"n/a")</f>
        <v>n/a</v>
      </c>
      <c r="U296" s="78" t="str">
        <f>IFERROR(IF(U295/AVERAGE(T287,U287)&lt;0,"n/a",U295/AVERAGE(T287,U287)*BH3/U3),"n/a")</f>
        <v>n/a</v>
      </c>
      <c r="V296" s="78" t="str">
        <f>IFERROR(IF(V295/AVERAGE(U287,V287)&lt;0,"n/a",V295/AVERAGE(U287,V287)*BH3/V3),"n/a")</f>
        <v>n/a</v>
      </c>
      <c r="W296" s="78" t="str">
        <f>IFERROR(IF(W295/AVERAGE(BH287,W287)&lt;0,"n/a",W295/AVERAGE(BH287,W287)*BI3/W3),"n/a")</f>
        <v>n/a</v>
      </c>
      <c r="X296" s="78" t="str">
        <f>IFERROR(IF(X295/AVERAGE(W287,X287)&lt;0,"n/a",X295/AVERAGE(W287,X287)*BI3/X3),"n/a")</f>
        <v>n/a</v>
      </c>
      <c r="Y296" s="78" t="str">
        <f>IFERROR(IF(Y295/AVERAGE(X287,Y287)&lt;0,"n/a",Y295/AVERAGE(X287,Y287)*BI3/Y3),"n/a")</f>
        <v>n/a</v>
      </c>
      <c r="Z296" s="78" t="str">
        <f>IFERROR(IF(Z295/AVERAGE(Y287,Z287)&lt;0,"n/a",Z295/AVERAGE(Y287,Z287)*BI3/Z3),"n/a")</f>
        <v>n/a</v>
      </c>
      <c r="AA296" s="78" t="str">
        <f>IFERROR(IF(AA295/AVERAGE(BI287,AA287)&lt;0,"n/a",AA295/AVERAGE(BI287,AA287)*BJ3/AA3),"n/a")</f>
        <v>n/a</v>
      </c>
      <c r="AB296" s="78" t="str">
        <f>IFERROR(IF(AB295/AVERAGE(AA287,AB287)&lt;0,"n/a",AB295/AVERAGE(AA287,AB287)*BJ3/AB3),"n/a")</f>
        <v>n/a</v>
      </c>
      <c r="AC296" s="78" t="str">
        <f>IFERROR(IF(AC295/AVERAGE(AB287,AC287)&lt;0,"n/a",AC295/AVERAGE(AB287,AC287)*BJ3/AC3),"n/a")</f>
        <v>n/a</v>
      </c>
      <c r="AD296" s="78" t="str">
        <f>IFERROR(IF(AD295/AVERAGE(AC287,AD287)&lt;0,"n/a",AD295/AVERAGE(AC287,AD287)*BJ3/AD3),"n/a")</f>
        <v>n/a</v>
      </c>
      <c r="AE296" s="78" t="str">
        <f>IFERROR(IF(AE295/AVERAGE(BJ287,AE287)&lt;0,"n/a",AE295/AVERAGE(BJ287,AE287)*BK3/AE3),"n/a")</f>
        <v>n/a</v>
      </c>
      <c r="AF296" s="78" t="str">
        <f>IFERROR(IF(AF295/AVERAGE(AE287,AF287)&lt;0,"n/a",AF295/AVERAGE(AE287,AF287)*BK3/AF3),"n/a")</f>
        <v>n/a</v>
      </c>
      <c r="AG296" s="78">
        <f>IFERROR(IF(AG295/AVERAGE(AF287,AG287)&lt;0,"n/a",AG295/AVERAGE(AF287,AG287)*BK3/AG3),"n/a")</f>
        <v>4.1102676528097567E-3</v>
      </c>
      <c r="AH296" s="78">
        <f>IFERROR(IF(AH295/AVERAGE(AG287,AH287)&lt;0,"n/a",AH295/AVERAGE(AG287,AH287)*BK3/AH3),"n/a")</f>
        <v>1.924351504559722E-2</v>
      </c>
      <c r="AI296" s="78">
        <f>IFERROR(IF(AI295/AVERAGE(BK287,AI287)&lt;0,"n/a",AI295/AVERAGE(BK287,AI287)*BL3/AI3),"n/a")</f>
        <v>3.8123810141338511E-2</v>
      </c>
      <c r="AJ296" s="78">
        <f>IFERROR(IF(AJ295/AVERAGE(AI287,AJ287)&lt;0,"n/a",AJ295/AVERAGE(AI287,AJ287)*BL3/AJ3),"n/a")</f>
        <v>5.936417247102397E-2</v>
      </c>
      <c r="AK296" s="78">
        <f>IFERROR(IF(AK295/AVERAGE(AJ287,AK287)&lt;0,"n/a",AK295/AVERAGE(AJ287,AK287)*BL3/AK3),"n/a")</f>
        <v>6.0889989025039282E-2</v>
      </c>
      <c r="AL296" s="78">
        <f>IFERROR(IF(AL295/AVERAGE(AK287,AL287)&lt;0,"n/a",AL295/AVERAGE(AK287,AL287)*BL3/AL3),"n/a")</f>
        <v>5.9963715309033272E-2</v>
      </c>
      <c r="AM296" s="78">
        <f>IFERROR(IF(AM295/AVERAGE(BL287,AM287)&lt;0,"n/a",AM295/AVERAGE(BL287,AM287)*BM3/AM3),"n/a")</f>
        <v>1.8439771431955118E-2</v>
      </c>
      <c r="AN296" s="78">
        <f>IFERROR(IF(AN295/AVERAGE(AM287,AN287)&lt;0,"n/a",AN295/AVERAGE(AM287,AN287)*BM3/AN3),"n/a")</f>
        <v>1.5169038781095281E-2</v>
      </c>
      <c r="AO296" s="78">
        <f>IFERROR(IF(AO295/AVERAGE(AN287,AO287)&lt;0,"n/a",AO295/AVERAGE(AN287,AO287)*BM3/AO3),"n/a")</f>
        <v>1.9700885538479387E-2</v>
      </c>
      <c r="AP296" s="78">
        <f>IFERROR(IF(AP295/AVERAGE(AO287,AP287)&lt;0,"n/a",AP295/AVERAGE(AO287,AP287)*BM3/AP3),"n/a")</f>
        <v>1.6954221184485752E-2</v>
      </c>
      <c r="AQ296" s="78">
        <f>IFERROR(IF(AQ295/AVERAGE(BM287,AQ287)&lt;0,"n/a",AQ295/AVERAGE(BM287,AQ287)*BN3/AQ3),"n/a")</f>
        <v>1.6778334252169874E-2</v>
      </c>
      <c r="AR296" s="78">
        <f>IFERROR(IF(AR295/AVERAGE(AQ287,AR287)&lt;0,"n/a",AR295/AVERAGE(AQ287,AR287)*BN3/AR3),"n/a")</f>
        <v>1.6936204444879473E-2</v>
      </c>
      <c r="AS296" s="78">
        <f>IFERROR(IF(AS295/AVERAGE(AR287,AS287)&lt;0,"n/a",AS295/AVERAGE(AR287,AS287)*BN3/AS3),"n/a")</f>
        <v>1.8537665749211181E-2</v>
      </c>
      <c r="AT296" s="78">
        <f>IFERROR(IF(AT295/AVERAGE(AS287,AT287)&lt;0,"n/a",AT295/AVERAGE(AS287,AT287)*BN3/AT3),"n/a")</f>
        <v>1.748679394682668E-2</v>
      </c>
      <c r="AU296" s="484">
        <f>IFERROR(IF(AU295/AVERAGE(BN287,AU287)&lt;0,"n/a",AU295/AVERAGE(BN287,AU287)*BO3/AU3),"n/a")</f>
        <v>1.7354947575258243E-2</v>
      </c>
      <c r="AV296" s="78">
        <f>IFERROR(IF(AV295/AVERAGE(AU287,AV287)&lt;0,"n/a",AV295/AVERAGE(AU287,AV287)*BO3/AV3),"n/a")</f>
        <v>2.837428214104961E-2</v>
      </c>
      <c r="AW296" s="78">
        <f ca="1">IFERROR(IF(AW295/AVERAGE(AV287,AW287)&lt;0,"n/a",AW295/AVERAGE(AV287,AW287)*BO3/AW3),"n/a")</f>
        <v>1.5181924800649419E-2</v>
      </c>
      <c r="AX296" s="78">
        <f ca="1">IFERROR(IF(AX295/AVERAGE(AW287,AX287)&lt;0,"n/a",AX295/AVERAGE(AW287,AX287)*BO3/AX3),"n/a")</f>
        <v>6.4002731138484321E-3</v>
      </c>
      <c r="AY296" s="78"/>
      <c r="AZ296" s="673"/>
      <c r="BA296" s="673">
        <f>IFERROR(IF(BA295/AVERAGE(AZ287,BA287)&lt;0,"n/a",BA295/AVERAGE(AZ287,BA287)),"n/a")</f>
        <v>6.1886827544520386E-2</v>
      </c>
      <c r="BB296" s="673">
        <f>IFERROR(IF(BB295/AVERAGE(BA287,BB287)&lt;0,"n/a",BB295/AVERAGE(BA287,BB287)),"n/a")</f>
        <v>5.3859883980365911E-2</v>
      </c>
      <c r="BC296" s="673">
        <f>IFERROR(IF(BC295/AVERAGE(BB287,BC287)&lt;0,"n/a",BC295/AVERAGE(BB287,BC287)),"n/a")</f>
        <v>3.4578001538353963E-2</v>
      </c>
      <c r="BD296" s="673" t="str">
        <f>IFERROR(IF(BD295/AVERAGE(C287,D287,E287,F287)&lt;0,"n/a",BD295/AVERAGE(C287,D287,E287,F287)),"n/a")</f>
        <v>n/a</v>
      </c>
      <c r="BE296" s="673">
        <f>IFERROR(IF(BE295/AVERAGE(G287,H287,I287,J287)&lt;0,"n/a",BE295/AVERAGE(G287,H287,I287,J287)),"n/a")</f>
        <v>1.759811266617783E-3</v>
      </c>
      <c r="BF296" s="673">
        <f>IFERROR(IF(BF295/AVERAGE(K287,L287,M287,N287)&lt;0,"n/a",BF295/AVERAGE(K287,L287,M287,N287)),"n/a")</f>
        <v>0.1015576179785683</v>
      </c>
      <c r="BG296" s="673">
        <f>IFERROR(IF(BG295/AVERAGE(O287,P287,Q287,R287)&lt;0,"n/a",BG295/AVERAGE(O287,P287,Q287,R287)),"n/a")</f>
        <v>2.5189585310838258E-2</v>
      </c>
      <c r="BH296" s="673" t="str">
        <f>IFERROR(IF(BH295/AVERAGE(S287,T287,U287,V287)&lt;0,"n/a",BH295/AVERAGE(S287,T287,U287,V287)),"n/a")</f>
        <v>n/a</v>
      </c>
      <c r="BI296" s="673" t="str">
        <f>IFERROR(IF(BI295/AVERAGE(W287,X287,Y287,Z287)&lt;0,"n/a",BI295/AVERAGE(W287,X287,Y287,Z287)),"n/a")</f>
        <v>n/a</v>
      </c>
      <c r="BJ296" s="673" t="str">
        <f>IFERROR(IF(BJ295/AVERAGE(AA287,AB287,AC287,AD287)&lt;0,"n/a",BJ295/AVERAGE(AA287,AB287,AC287,AD287)),"n/a")</f>
        <v>n/a</v>
      </c>
      <c r="BK296" s="673" t="str">
        <f>IFERROR(IF(BK295/AVERAGE(AE287,AF287,AG287,AH287)&lt;0,"n/a",BK295/AVERAGE(AE287,AF287,AG287,AH287)),"n/a")</f>
        <v>n/a</v>
      </c>
      <c r="BL296" s="673">
        <f>IFERROR(IF(BL295/AVERAGE(AI287,AJ287,AK287,AL287)&lt;0,"n/a",BL295/AVERAGE(AI287,AJ287,AK287,AL287)),"n/a")</f>
        <v>5.1213540724578024E-2</v>
      </c>
      <c r="BM296" s="673">
        <f>IFERROR(IF(BM295/AVERAGE(AM287,AN287,AO287,AP287)&lt;0,"n/a",BM295/AVERAGE(AM287,AN287,AO287,AP287)),"n/a")</f>
        <v>1.7029646542762632E-2</v>
      </c>
      <c r="BN296" s="682">
        <f>IFERROR(IF(BN295/AVERAGE(AQ287,AR287,AS287,AT287)&lt;0,"n/a",BN295/AVERAGE(AQ287,AR287,AS287,AT287)),"n/a")</f>
        <v>1.7462494285833019E-2</v>
      </c>
      <c r="BO296" s="673">
        <f ca="1">IFERROR(IF(BO295/AVERAGE(AU287,AV287,AW287,AX287)&lt;0,"n/a",BO295/AVERAGE(AU287,AV287,AW287,AX287)),"n/a")</f>
        <v>1.6823329070654966E-2</v>
      </c>
      <c r="BP296" s="673" t="str">
        <f>IFERROR(IF(BP295/AVERAGE(#REF!,#REF!,#REF!,#REF!)&lt;0,"n/a",BP295/AVERAGE(#REF!,#REF!,#REF!,#REF!)),"n/a")</f>
        <v>n/a</v>
      </c>
      <c r="BQ296" s="673" t="str">
        <f>IFERROR(IF(BQ295/AVERAGE(BP287,BQ287)&lt;0,"n/a",BQ295/AVERAGE(BP287,BQ287)),"n/a")</f>
        <v>n/a</v>
      </c>
      <c r="BR296" s="673" t="str">
        <f>IFERROR(IF(BR295/AVERAGE(BQ287,BR287)&lt;0,"n/a",BR295/AVERAGE(BQ287,BR287)),"n/a")</f>
        <v>n/a</v>
      </c>
      <c r="BS296" s="673" t="str">
        <f ca="1">IFERROR(IF(BS295/AVERAGE(BR287,BS287)&lt;0,"n/a",BS295/AVERAGE(BR287,BS287)),"n/a")</f>
        <v>n/a</v>
      </c>
      <c r="BT296" s="533"/>
    </row>
    <row r="297" spans="1:72" s="17" customFormat="1" x14ac:dyDescent="0.35">
      <c r="A297" s="529"/>
      <c r="B297" s="307"/>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c r="AA297" s="78"/>
      <c r="AB297" s="78"/>
      <c r="AC297" s="78"/>
      <c r="AD297" s="78"/>
      <c r="AE297" s="78"/>
      <c r="AF297" s="78"/>
      <c r="AG297" s="78"/>
      <c r="AH297" s="78"/>
      <c r="AI297" s="78"/>
      <c r="AJ297" s="78"/>
      <c r="AK297" s="78"/>
      <c r="AL297" s="78"/>
      <c r="AM297" s="78"/>
      <c r="AN297" s="78"/>
      <c r="AO297" s="78"/>
      <c r="AP297" s="78"/>
      <c r="AQ297" s="78"/>
      <c r="AR297" s="78"/>
      <c r="AS297" s="78"/>
      <c r="AT297" s="78"/>
      <c r="AU297" s="484"/>
      <c r="AV297" s="78"/>
      <c r="AW297" s="78"/>
      <c r="AX297" s="78"/>
      <c r="AY297" s="78"/>
      <c r="AZ297" s="673"/>
      <c r="BA297" s="673"/>
      <c r="BB297" s="673"/>
      <c r="BC297" s="673"/>
      <c r="BD297" s="673"/>
      <c r="BE297" s="673"/>
      <c r="BF297" s="673"/>
      <c r="BG297" s="673"/>
      <c r="BH297" s="673"/>
      <c r="BI297" s="673"/>
      <c r="BJ297" s="673"/>
      <c r="BK297" s="673"/>
      <c r="BL297" s="673"/>
      <c r="BM297" s="673"/>
      <c r="BN297" s="682"/>
      <c r="BO297" s="673"/>
      <c r="BP297" s="673"/>
      <c r="BQ297" s="673"/>
      <c r="BR297" s="673"/>
      <c r="BS297" s="673"/>
      <c r="BT297" s="533"/>
    </row>
    <row r="298" spans="1:72" s="17" customFormat="1" x14ac:dyDescent="0.35">
      <c r="A298" s="529" t="s">
        <v>432</v>
      </c>
      <c r="B298" s="307"/>
      <c r="C298" s="309">
        <f t="shared" ref="C298:AH298" si="354">IFERROR(IF(OR(C205&lt;0,C295&lt;0),"n/a",C205/C295),"n/a")</f>
        <v>119.27192982456141</v>
      </c>
      <c r="D298" s="309">
        <f t="shared" si="354"/>
        <v>130.19485294117644</v>
      </c>
      <c r="E298" s="309">
        <f t="shared" si="354"/>
        <v>129.69607843137251</v>
      </c>
      <c r="F298" s="309" t="str">
        <f t="shared" si="354"/>
        <v>n/a</v>
      </c>
      <c r="G298" s="309">
        <f t="shared" si="354"/>
        <v>144.83333333333366</v>
      </c>
      <c r="H298" s="309">
        <f t="shared" si="354"/>
        <v>1219.5000000000005</v>
      </c>
      <c r="I298" s="309">
        <f t="shared" si="354"/>
        <v>4115.9166666666661</v>
      </c>
      <c r="J298" s="309" t="str">
        <f t="shared" si="354"/>
        <v>n/a</v>
      </c>
      <c r="K298" s="309" t="str">
        <f t="shared" si="354"/>
        <v>n/a</v>
      </c>
      <c r="L298" s="309" t="str">
        <f t="shared" si="354"/>
        <v>n/a</v>
      </c>
      <c r="M298" s="309">
        <f t="shared" si="354"/>
        <v>157.76507936507932</v>
      </c>
      <c r="N298" s="309">
        <f t="shared" si="354"/>
        <v>7.2951234958835114</v>
      </c>
      <c r="O298" s="309">
        <f t="shared" si="354"/>
        <v>2.2819672131147941</v>
      </c>
      <c r="P298" s="309">
        <f t="shared" si="354"/>
        <v>190.26842105263148</v>
      </c>
      <c r="Q298" s="309">
        <f t="shared" si="354"/>
        <v>405.3366336633664</v>
      </c>
      <c r="R298" s="309">
        <f t="shared" si="354"/>
        <v>1093.7619047619028</v>
      </c>
      <c r="S298" s="309" t="str">
        <f t="shared" si="354"/>
        <v>n/a</v>
      </c>
      <c r="T298" s="309" t="str">
        <f t="shared" si="354"/>
        <v>n/a</v>
      </c>
      <c r="U298" s="309" t="str">
        <f t="shared" si="354"/>
        <v>n/a</v>
      </c>
      <c r="V298" s="309" t="str">
        <f t="shared" si="354"/>
        <v>n/a</v>
      </c>
      <c r="W298" s="309" t="str">
        <f t="shared" si="354"/>
        <v>n/a</v>
      </c>
      <c r="X298" s="309" t="str">
        <f t="shared" si="354"/>
        <v>n/a</v>
      </c>
      <c r="Y298" s="309" t="str">
        <f t="shared" si="354"/>
        <v>n/a</v>
      </c>
      <c r="Z298" s="309" t="str">
        <f t="shared" si="354"/>
        <v>n/a</v>
      </c>
      <c r="AA298" s="309" t="str">
        <f t="shared" si="354"/>
        <v>n/a</v>
      </c>
      <c r="AB298" s="309" t="str">
        <f t="shared" si="354"/>
        <v>n/a</v>
      </c>
      <c r="AC298" s="309" t="str">
        <f t="shared" si="354"/>
        <v>n/a</v>
      </c>
      <c r="AD298" s="309" t="str">
        <f t="shared" si="354"/>
        <v>n/a</v>
      </c>
      <c r="AE298" s="309" t="str">
        <f t="shared" si="354"/>
        <v>n/a</v>
      </c>
      <c r="AF298" s="309" t="str">
        <f t="shared" si="354"/>
        <v>n/a</v>
      </c>
      <c r="AG298" s="309">
        <f t="shared" si="354"/>
        <v>513.14473684210543</v>
      </c>
      <c r="AH298" s="309">
        <f t="shared" si="354"/>
        <v>55.746967071057441</v>
      </c>
      <c r="AI298" s="309">
        <f t="shared" ref="AI298:AX298" si="355">IFERROR(IF(OR(AI205&lt;0,AI295&lt;0),"n/a",AI205/AI295),"n/a")</f>
        <v>18.620787850023728</v>
      </c>
      <c r="AJ298" s="309">
        <f t="shared" si="355"/>
        <v>14.06986464968152</v>
      </c>
      <c r="AK298" s="309">
        <f t="shared" si="355"/>
        <v>13.965183392291936</v>
      </c>
      <c r="AL298" s="309">
        <f t="shared" si="355"/>
        <v>10.030673726492617</v>
      </c>
      <c r="AM298" s="309">
        <f t="shared" si="355"/>
        <v>12.772704465629699</v>
      </c>
      <c r="AN298" s="309">
        <f t="shared" si="355"/>
        <v>44.10506666666668</v>
      </c>
      <c r="AO298" s="309">
        <f t="shared" si="355"/>
        <v>38.056047197640112</v>
      </c>
      <c r="AP298" s="309">
        <f t="shared" si="355"/>
        <v>36.666011787819272</v>
      </c>
      <c r="AQ298" s="309">
        <f t="shared" si="355"/>
        <v>1.4868035190615863</v>
      </c>
      <c r="AR298" s="309">
        <f t="shared" si="355"/>
        <v>48.259846301633061</v>
      </c>
      <c r="AS298" s="309">
        <f t="shared" si="355"/>
        <v>47.092475067996382</v>
      </c>
      <c r="AT298" s="309">
        <f t="shared" si="355"/>
        <v>42.885024154589338</v>
      </c>
      <c r="AU298" s="504">
        <f t="shared" si="355"/>
        <v>19.227756286266906</v>
      </c>
      <c r="AV298" s="309">
        <f t="shared" si="355"/>
        <v>32.605321279537371</v>
      </c>
      <c r="AW298" s="309">
        <f t="shared" ca="1" si="355"/>
        <v>63.05173303266438</v>
      </c>
      <c r="AX298" s="309">
        <f t="shared" ca="1" si="355"/>
        <v>124.14514559004947</v>
      </c>
      <c r="AY298" s="309"/>
      <c r="AZ298" s="805">
        <f t="shared" ref="AZ298:BS298" si="356">IFERROR(IF(OR(AZ205&lt;0,AZ295&lt;0),"n/a",AZ205/AZ295),"n/a")</f>
        <v>46.806517311608928</v>
      </c>
      <c r="BA298" s="805">
        <f t="shared" si="356"/>
        <v>50.459804658151796</v>
      </c>
      <c r="BB298" s="805">
        <f t="shared" si="356"/>
        <v>63.474730737365348</v>
      </c>
      <c r="BC298" s="805">
        <f t="shared" si="356"/>
        <v>98.159757330637021</v>
      </c>
      <c r="BD298" s="805" t="str">
        <f t="shared" si="356"/>
        <v>n/a</v>
      </c>
      <c r="BE298" s="805">
        <f t="shared" si="356"/>
        <v>1912.3333333333323</v>
      </c>
      <c r="BF298" s="805">
        <f t="shared" si="356"/>
        <v>37.534791856578551</v>
      </c>
      <c r="BG298" s="805">
        <f t="shared" si="356"/>
        <v>163.29821717990282</v>
      </c>
      <c r="BH298" s="805" t="str">
        <f t="shared" si="356"/>
        <v>n/a</v>
      </c>
      <c r="BI298" s="805" t="str">
        <f t="shared" si="356"/>
        <v>n/a</v>
      </c>
      <c r="BJ298" s="805" t="str">
        <f t="shared" si="356"/>
        <v>n/a</v>
      </c>
      <c r="BK298" s="805" t="str">
        <f t="shared" si="356"/>
        <v>n/a</v>
      </c>
      <c r="BL298" s="805">
        <f t="shared" si="356"/>
        <v>13.341453918460424</v>
      </c>
      <c r="BM298" s="805">
        <f t="shared" si="356"/>
        <v>32.996496315090006</v>
      </c>
      <c r="BN298" s="806">
        <f t="shared" si="356"/>
        <v>35.242384578772004</v>
      </c>
      <c r="BO298" s="805">
        <f t="shared" ca="1" si="356"/>
        <v>44.656435836308219</v>
      </c>
      <c r="BP298" s="805" t="str">
        <f t="shared" si="356"/>
        <v>n/a</v>
      </c>
      <c r="BQ298" s="805" t="str">
        <f t="shared" si="356"/>
        <v>n/a</v>
      </c>
      <c r="BR298" s="805" t="str">
        <f t="shared" si="356"/>
        <v>n/a</v>
      </c>
      <c r="BS298" s="805" t="str">
        <f t="shared" ca="1" si="356"/>
        <v>n/a</v>
      </c>
      <c r="BT298" s="533"/>
    </row>
    <row r="299" spans="1:72" s="22" customFormat="1" x14ac:dyDescent="0.35">
      <c r="A299" s="54" t="s">
        <v>106</v>
      </c>
      <c r="B299" s="372"/>
      <c r="C299" s="309"/>
      <c r="D299" s="309"/>
      <c r="E299" s="309"/>
      <c r="F299" s="309"/>
      <c r="G299" s="309"/>
      <c r="H299" s="309"/>
      <c r="I299" s="309"/>
      <c r="J299" s="309"/>
      <c r="K299" s="309"/>
      <c r="L299" s="309"/>
      <c r="M299" s="309"/>
      <c r="N299" s="309"/>
      <c r="O299" s="309"/>
      <c r="P299" s="373"/>
      <c r="Q299" s="373"/>
      <c r="R299" s="309"/>
      <c r="S299" s="309"/>
      <c r="T299" s="373"/>
      <c r="U299" s="373"/>
      <c r="V299" s="309"/>
      <c r="W299" s="309"/>
      <c r="X299" s="373"/>
      <c r="Y299" s="373"/>
      <c r="Z299" s="309"/>
      <c r="AA299" s="309"/>
      <c r="AB299" s="373"/>
      <c r="AC299" s="373"/>
      <c r="AD299" s="309"/>
      <c r="AE299" s="309"/>
      <c r="AF299" s="373"/>
      <c r="AG299" s="373"/>
      <c r="AH299" s="309"/>
      <c r="AI299" s="309"/>
      <c r="AJ299" s="373"/>
      <c r="AK299" s="373"/>
      <c r="AL299" s="309"/>
      <c r="AM299" s="309"/>
      <c r="AN299" s="373"/>
      <c r="AO299" s="373"/>
      <c r="AP299" s="309"/>
      <c r="AQ299" s="309"/>
      <c r="AR299" s="373"/>
      <c r="AS299" s="373"/>
      <c r="AT299" s="309"/>
      <c r="AU299" s="504"/>
      <c r="AV299" s="373"/>
      <c r="AW299" s="373"/>
      <c r="AX299" s="373"/>
      <c r="AY299" s="373"/>
      <c r="AZ299" s="807" t="str">
        <f t="shared" ref="AZ299:BS299" si="357">IF(AZ289&lt;0,"n/a",AZ289/AZ205)</f>
        <v>n/a</v>
      </c>
      <c r="BA299" s="807" t="str">
        <f t="shared" si="357"/>
        <v>n/a</v>
      </c>
      <c r="BB299" s="807" t="str">
        <f t="shared" si="357"/>
        <v>n/a</v>
      </c>
      <c r="BC299" s="807" t="str">
        <f t="shared" si="357"/>
        <v>n/a</v>
      </c>
      <c r="BD299" s="807" t="str">
        <f t="shared" si="357"/>
        <v>n/a</v>
      </c>
      <c r="BE299" s="807" t="str">
        <f t="shared" si="357"/>
        <v>n/a</v>
      </c>
      <c r="BF299" s="807" t="str">
        <f t="shared" si="357"/>
        <v>n/a</v>
      </c>
      <c r="BG299" s="807" t="str">
        <f t="shared" si="357"/>
        <v>n/a</v>
      </c>
      <c r="BH299" s="807" t="str">
        <f t="shared" si="357"/>
        <v>n/a</v>
      </c>
      <c r="BI299" s="807" t="str">
        <f t="shared" si="357"/>
        <v>n/a</v>
      </c>
      <c r="BJ299" s="807" t="str">
        <f t="shared" si="357"/>
        <v>n/a</v>
      </c>
      <c r="BK299" s="807">
        <f t="shared" si="357"/>
        <v>0.17066566789172632</v>
      </c>
      <c r="BL299" s="807">
        <f t="shared" si="357"/>
        <v>0.33226885010797719</v>
      </c>
      <c r="BM299" s="807">
        <f t="shared" si="357"/>
        <v>0.64542751691613709</v>
      </c>
      <c r="BN299" s="808">
        <f t="shared" si="357"/>
        <v>0.4490591774513214</v>
      </c>
      <c r="BO299" s="805" t="str">
        <f t="shared" ca="1" si="357"/>
        <v>n/a</v>
      </c>
      <c r="BP299" s="805" t="e">
        <f t="shared" si="357"/>
        <v>#REF!</v>
      </c>
      <c r="BQ299" s="805" t="e">
        <f t="shared" si="357"/>
        <v>#REF!</v>
      </c>
      <c r="BR299" s="805" t="e">
        <f t="shared" ca="1" si="357"/>
        <v>#REF!</v>
      </c>
      <c r="BS299" s="805" t="e">
        <f t="shared" ca="1" si="357"/>
        <v>#REF!</v>
      </c>
      <c r="BT299" s="37"/>
    </row>
    <row r="300" spans="1:72" s="22" customFormat="1" x14ac:dyDescent="0.35">
      <c r="A300" s="54" t="s">
        <v>107</v>
      </c>
      <c r="B300" s="372"/>
      <c r="C300" s="309"/>
      <c r="D300" s="309"/>
      <c r="E300" s="309"/>
      <c r="F300" s="309"/>
      <c r="G300" s="309"/>
      <c r="H300" s="309"/>
      <c r="I300" s="309"/>
      <c r="J300" s="309"/>
      <c r="K300" s="309"/>
      <c r="L300" s="309"/>
      <c r="M300" s="309"/>
      <c r="N300" s="309"/>
      <c r="O300" s="309"/>
      <c r="P300" s="373"/>
      <c r="Q300" s="373"/>
      <c r="R300" s="309"/>
      <c r="S300" s="309"/>
      <c r="T300" s="373"/>
      <c r="U300" s="373"/>
      <c r="V300" s="309"/>
      <c r="W300" s="309"/>
      <c r="X300" s="373"/>
      <c r="Y300" s="373"/>
      <c r="Z300" s="309"/>
      <c r="AA300" s="309"/>
      <c r="AB300" s="373"/>
      <c r="AC300" s="373"/>
      <c r="AD300" s="309"/>
      <c r="AE300" s="309"/>
      <c r="AF300" s="373"/>
      <c r="AG300" s="373"/>
      <c r="AH300" s="309"/>
      <c r="AI300" s="309"/>
      <c r="AJ300" s="373"/>
      <c r="AK300" s="373"/>
      <c r="AL300" s="309"/>
      <c r="AM300" s="309"/>
      <c r="AN300" s="373"/>
      <c r="AO300" s="373"/>
      <c r="AP300" s="309"/>
      <c r="AQ300" s="309"/>
      <c r="AR300" s="373"/>
      <c r="AS300" s="373"/>
      <c r="AT300" s="309"/>
      <c r="AU300" s="504"/>
      <c r="AV300" s="373"/>
      <c r="AW300" s="373"/>
      <c r="AX300" s="373"/>
      <c r="AY300" s="373"/>
      <c r="AZ300" s="807" t="str">
        <f t="shared" ref="AZ300:BS300" si="358">IF(AZ289&lt;0,"n/a",AZ289/AZ259)</f>
        <v>n/a</v>
      </c>
      <c r="BA300" s="807" t="str">
        <f t="shared" si="358"/>
        <v>n/a</v>
      </c>
      <c r="BB300" s="807" t="str">
        <f t="shared" si="358"/>
        <v>n/a</v>
      </c>
      <c r="BC300" s="807" t="str">
        <f t="shared" si="358"/>
        <v>n/a</v>
      </c>
      <c r="BD300" s="807" t="str">
        <f t="shared" si="358"/>
        <v>n/a</v>
      </c>
      <c r="BE300" s="807" t="str">
        <f t="shared" si="358"/>
        <v>n/a</v>
      </c>
      <c r="BF300" s="807" t="str">
        <f t="shared" si="358"/>
        <v>n/a</v>
      </c>
      <c r="BG300" s="807" t="str">
        <f t="shared" si="358"/>
        <v>n/a</v>
      </c>
      <c r="BH300" s="807" t="str">
        <f t="shared" si="358"/>
        <v>n/a</v>
      </c>
      <c r="BI300" s="807" t="str">
        <f t="shared" si="358"/>
        <v>n/a</v>
      </c>
      <c r="BJ300" s="807" t="str">
        <f t="shared" si="358"/>
        <v>n/a</v>
      </c>
      <c r="BK300" s="807">
        <f t="shared" si="358"/>
        <v>0.27198905676801577</v>
      </c>
      <c r="BL300" s="807">
        <f t="shared" si="358"/>
        <v>0.59411106969809946</v>
      </c>
      <c r="BM300" s="807">
        <f t="shared" si="358"/>
        <v>0.85204269058989601</v>
      </c>
      <c r="BN300" s="808">
        <f t="shared" si="358"/>
        <v>0.65469357617523971</v>
      </c>
      <c r="BO300" s="805" t="str">
        <f t="shared" ca="1" si="358"/>
        <v>n/a</v>
      </c>
      <c r="BP300" s="805" t="e">
        <f t="shared" si="358"/>
        <v>#REF!</v>
      </c>
      <c r="BQ300" s="805" t="e">
        <f t="shared" si="358"/>
        <v>#REF!</v>
      </c>
      <c r="BR300" s="805" t="e">
        <f t="shared" ca="1" si="358"/>
        <v>#REF!</v>
      </c>
      <c r="BS300" s="805" t="e">
        <f t="shared" ca="1" si="358"/>
        <v>#REF!</v>
      </c>
      <c r="BT300" s="37"/>
    </row>
    <row r="301" spans="1:72" x14ac:dyDescent="0.35">
      <c r="A301" s="374"/>
      <c r="B301" s="374"/>
      <c r="C301" s="144"/>
      <c r="D301" s="144"/>
      <c r="E301" s="144"/>
      <c r="F301" s="144"/>
      <c r="G301" s="144"/>
      <c r="H301" s="144"/>
      <c r="I301" s="144"/>
      <c r="J301" s="144"/>
      <c r="K301" s="144"/>
      <c r="L301" s="144"/>
      <c r="M301" s="144"/>
      <c r="N301" s="144"/>
      <c r="O301" s="144"/>
      <c r="P301" s="144"/>
      <c r="Q301" s="144"/>
      <c r="R301" s="144"/>
      <c r="S301" s="144"/>
      <c r="T301" s="144"/>
      <c r="U301" s="144"/>
      <c r="V301" s="144"/>
      <c r="W301" s="144"/>
      <c r="X301" s="144"/>
      <c r="Y301" s="144"/>
      <c r="Z301" s="144"/>
      <c r="AA301" s="144"/>
      <c r="AB301" s="144"/>
      <c r="AC301" s="144"/>
      <c r="AD301" s="144"/>
      <c r="AE301" s="144"/>
      <c r="AF301" s="144"/>
      <c r="AG301" s="144"/>
      <c r="AH301" s="144"/>
      <c r="AI301" s="144"/>
      <c r="AJ301" s="144"/>
      <c r="AK301" s="144"/>
      <c r="AL301" s="144"/>
      <c r="AM301" s="144"/>
      <c r="AN301" s="144"/>
      <c r="AO301" s="144"/>
      <c r="AP301" s="144"/>
      <c r="AQ301" s="144"/>
      <c r="AR301" s="144"/>
      <c r="AS301" s="144"/>
      <c r="AT301" s="144"/>
      <c r="AU301" s="390"/>
      <c r="AV301" s="144"/>
      <c r="AW301" s="144"/>
      <c r="AX301" s="144"/>
      <c r="AY301" s="144"/>
      <c r="AZ301" s="154"/>
      <c r="BA301" s="154"/>
      <c r="BB301" s="154"/>
      <c r="BC301" s="154"/>
      <c r="BD301" s="154"/>
      <c r="BE301" s="154"/>
      <c r="BF301" s="154"/>
      <c r="BG301" s="154"/>
      <c r="BH301" s="154"/>
      <c r="BI301" s="154"/>
      <c r="BJ301" s="154"/>
      <c r="BK301" s="154"/>
      <c r="BL301" s="154"/>
      <c r="BM301" s="154"/>
      <c r="BN301" s="809"/>
      <c r="BO301" s="154"/>
      <c r="BP301" s="154"/>
      <c r="BQ301" s="154"/>
      <c r="BR301" s="154"/>
      <c r="BS301" s="154"/>
      <c r="BT301" s="209"/>
    </row>
    <row r="302" spans="1:72" s="1" customFormat="1" x14ac:dyDescent="0.35">
      <c r="A302" s="527" t="s">
        <v>108</v>
      </c>
      <c r="B302" s="527"/>
      <c r="C302" s="527"/>
      <c r="D302" s="527"/>
      <c r="E302" s="527"/>
      <c r="F302" s="527"/>
      <c r="G302" s="527"/>
      <c r="H302" s="527"/>
      <c r="I302" s="527"/>
      <c r="J302" s="527"/>
      <c r="K302" s="527"/>
      <c r="L302" s="527"/>
      <c r="M302" s="527"/>
      <c r="N302" s="527"/>
      <c r="O302" s="527"/>
      <c r="P302" s="527"/>
      <c r="Q302" s="527"/>
      <c r="R302" s="527"/>
      <c r="S302" s="527"/>
      <c r="T302" s="527"/>
      <c r="U302" s="527"/>
      <c r="V302" s="527"/>
      <c r="W302" s="527"/>
      <c r="X302" s="527"/>
      <c r="Y302" s="527"/>
      <c r="Z302" s="527"/>
      <c r="AA302" s="527"/>
      <c r="AB302" s="527"/>
      <c r="AC302" s="527"/>
      <c r="AD302" s="527"/>
      <c r="AE302" s="527"/>
      <c r="AF302" s="527"/>
      <c r="AG302" s="527"/>
      <c r="AH302" s="527"/>
      <c r="AI302" s="527"/>
      <c r="AJ302" s="527"/>
      <c r="AK302" s="527"/>
      <c r="AL302" s="527"/>
      <c r="AM302" s="527"/>
      <c r="AN302" s="527"/>
      <c r="AO302" s="527"/>
      <c r="AP302" s="527"/>
      <c r="AQ302" s="527"/>
      <c r="AR302" s="527"/>
      <c r="AS302" s="527"/>
      <c r="AT302" s="527"/>
      <c r="AU302" s="547"/>
      <c r="AV302" s="527"/>
      <c r="AW302" s="527"/>
      <c r="AX302" s="527"/>
      <c r="AY302" s="527"/>
      <c r="AZ302" s="527"/>
      <c r="BA302" s="527"/>
      <c r="BB302" s="527"/>
      <c r="BC302" s="527"/>
      <c r="BD302" s="527"/>
      <c r="BE302" s="527"/>
      <c r="BF302" s="527"/>
      <c r="BG302" s="527"/>
      <c r="BH302" s="527"/>
      <c r="BI302" s="527"/>
      <c r="BJ302" s="527"/>
      <c r="BK302" s="527"/>
      <c r="BL302" s="527"/>
      <c r="BM302" s="527"/>
      <c r="BN302" s="547"/>
      <c r="BO302" s="527"/>
      <c r="BP302" s="527"/>
      <c r="BQ302" s="527"/>
      <c r="BR302" s="527"/>
      <c r="BS302" s="527"/>
      <c r="BT302" s="530"/>
    </row>
    <row r="303" spans="1:72" s="21" customFormat="1" x14ac:dyDescent="0.35">
      <c r="A303" s="455" t="str">
        <f>"Stock Price (Reporting Cur.) - "&amp;MO.ValuationToggle&amp;", "&amp;MO.ReportCurrency</f>
        <v>Stock Price (Reporting Cur.) - EoP, USD</v>
      </c>
      <c r="B303" s="652" t="s">
        <v>647</v>
      </c>
      <c r="C303" s="258">
        <f t="shared" ref="C303:AH303" si="359">IF(MO.ValuationToggle="EoP",INDEX(MO_VA_StockPrice_TradingCurrency,1,COLUMN())/INDEX(MO_VA_FX_EoP,1,COLUMN()),INDEX(MO_VA_StockPrice_TradingCurrency,1,COLUMN())/INDEX(MO_VA_FX_Average,1,COLUMN()))</f>
        <v>20.2</v>
      </c>
      <c r="D303" s="258">
        <f t="shared" si="359"/>
        <v>20.11</v>
      </c>
      <c r="E303" s="258">
        <f t="shared" si="359"/>
        <v>24.11</v>
      </c>
      <c r="F303" s="258">
        <f t="shared" si="359"/>
        <v>26.27</v>
      </c>
      <c r="G303" s="258">
        <f t="shared" si="359"/>
        <v>31.44</v>
      </c>
      <c r="H303" s="258">
        <f t="shared" si="359"/>
        <v>21.72</v>
      </c>
      <c r="I303" s="258">
        <f t="shared" si="359"/>
        <v>22.1</v>
      </c>
      <c r="J303" s="258">
        <f t="shared" si="359"/>
        <v>24.32</v>
      </c>
      <c r="K303" s="258">
        <f t="shared" si="359"/>
        <v>16.350000000000001</v>
      </c>
      <c r="L303" s="258">
        <f t="shared" si="359"/>
        <v>11.85</v>
      </c>
      <c r="M303" s="258">
        <f t="shared" si="359"/>
        <v>15.96</v>
      </c>
      <c r="N303" s="258">
        <f t="shared" si="359"/>
        <v>13.2</v>
      </c>
      <c r="O303" s="258">
        <f t="shared" si="359"/>
        <v>12.62</v>
      </c>
      <c r="P303" s="258">
        <f t="shared" si="359"/>
        <v>8.8800000000000008</v>
      </c>
      <c r="Q303" s="258">
        <f t="shared" si="359"/>
        <v>10.050000000000001</v>
      </c>
      <c r="R303" s="258">
        <f t="shared" si="359"/>
        <v>12.09</v>
      </c>
      <c r="S303" s="258">
        <f t="shared" si="359"/>
        <v>14.05</v>
      </c>
      <c r="T303" s="258">
        <f t="shared" si="359"/>
        <v>17.16</v>
      </c>
      <c r="U303" s="258">
        <f t="shared" si="359"/>
        <v>18.649999999999999</v>
      </c>
      <c r="V303" s="258">
        <f t="shared" si="359"/>
        <v>18.03</v>
      </c>
      <c r="W303" s="258">
        <f t="shared" si="359"/>
        <v>17.84</v>
      </c>
      <c r="X303" s="258">
        <f t="shared" si="359"/>
        <v>15.9</v>
      </c>
      <c r="Y303" s="258">
        <f t="shared" si="359"/>
        <v>14.18</v>
      </c>
      <c r="Z303" s="258">
        <f t="shared" si="359"/>
        <v>16.37</v>
      </c>
      <c r="AA303" s="258">
        <f t="shared" si="359"/>
        <v>17.7</v>
      </c>
      <c r="AB303" s="258">
        <f t="shared" si="359"/>
        <v>24.42</v>
      </c>
      <c r="AC303" s="258">
        <f t="shared" si="359"/>
        <v>34.130000000000003</v>
      </c>
      <c r="AD303" s="258">
        <f t="shared" si="359"/>
        <v>30.41</v>
      </c>
      <c r="AE303" s="258">
        <f t="shared" si="359"/>
        <v>26.48</v>
      </c>
      <c r="AF303" s="258">
        <f t="shared" si="359"/>
        <v>19.850000000000001</v>
      </c>
      <c r="AG303" s="258">
        <f t="shared" si="359"/>
        <v>18.57</v>
      </c>
      <c r="AH303" s="258">
        <f t="shared" si="359"/>
        <v>26.72</v>
      </c>
      <c r="AI303" s="258">
        <f t="shared" ref="AI303:AX303" si="360">IF(MO.ValuationToggle="EoP",INDEX(MO_VA_StockPrice_TradingCurrency,1,COLUMN())/INDEX(MO_VA_FX_EoP,1,COLUMN()),INDEX(MO_VA_StockPrice_TradingCurrency,1,COLUMN())/INDEX(MO_VA_FX_Average,1,COLUMN()))</f>
        <v>27.08</v>
      </c>
      <c r="AJ303" s="258">
        <f t="shared" si="360"/>
        <v>21.58</v>
      </c>
      <c r="AK303" s="258">
        <f t="shared" si="360"/>
        <v>29.6</v>
      </c>
      <c r="AL303" s="258">
        <f t="shared" si="360"/>
        <v>32.630000000000003</v>
      </c>
      <c r="AM303" s="258">
        <f t="shared" si="360"/>
        <v>35.07</v>
      </c>
      <c r="AN303" s="258">
        <f t="shared" si="360"/>
        <v>33.11</v>
      </c>
      <c r="AO303" s="258">
        <f t="shared" si="360"/>
        <v>35.770000000000003</v>
      </c>
      <c r="AP303" s="258">
        <f t="shared" si="360"/>
        <v>41.31</v>
      </c>
      <c r="AQ303" s="258">
        <f t="shared" si="360"/>
        <v>42.37</v>
      </c>
      <c r="AR303" s="258">
        <f t="shared" si="360"/>
        <v>31.28</v>
      </c>
      <c r="AS303" s="258">
        <f t="shared" si="360"/>
        <v>39.03</v>
      </c>
      <c r="AT303" s="258">
        <f t="shared" si="360"/>
        <v>37.29</v>
      </c>
      <c r="AU303" s="505">
        <f t="shared" si="360"/>
        <v>45.03</v>
      </c>
      <c r="AV303" s="451">
        <f t="shared" ca="1" si="360"/>
        <v>54.44</v>
      </c>
      <c r="AW303" s="451">
        <f t="shared" ca="1" si="360"/>
        <v>54.44</v>
      </c>
      <c r="AX303" s="451">
        <f t="shared" ca="1" si="360"/>
        <v>54.44</v>
      </c>
      <c r="AY303" s="451"/>
      <c r="AZ303" s="810">
        <f t="shared" ref="AZ303:BS303" si="361">IF(MO.ValuationToggle="EoP",INDEX(MO_VA_StockPrice_TradingCurrency,1,COLUMN())/INDEX(MO_VA_FX_EoP,1,COLUMN()),INDEX(MO_VA_StockPrice_TradingCurrency,1,COLUMN())/INDEX(MO_VA_FX_Average,1,COLUMN()))</f>
        <v>20.88</v>
      </c>
      <c r="BA303" s="810">
        <f t="shared" si="361"/>
        <v>23.02</v>
      </c>
      <c r="BB303" s="810">
        <f t="shared" si="361"/>
        <v>32.76</v>
      </c>
      <c r="BC303" s="810">
        <f t="shared" si="361"/>
        <v>23.3</v>
      </c>
      <c r="BD303" s="810">
        <f t="shared" si="361"/>
        <v>26.27</v>
      </c>
      <c r="BE303" s="810">
        <f t="shared" si="361"/>
        <v>24.32</v>
      </c>
      <c r="BF303" s="810">
        <f t="shared" si="361"/>
        <v>13.2</v>
      </c>
      <c r="BG303" s="810">
        <f t="shared" si="361"/>
        <v>12.09</v>
      </c>
      <c r="BH303" s="810">
        <f t="shared" si="361"/>
        <v>18.03</v>
      </c>
      <c r="BI303" s="810">
        <f t="shared" si="361"/>
        <v>16.37</v>
      </c>
      <c r="BJ303" s="810">
        <f t="shared" si="361"/>
        <v>30.41</v>
      </c>
      <c r="BK303" s="810">
        <f t="shared" si="361"/>
        <v>26.72</v>
      </c>
      <c r="BL303" s="810">
        <f t="shared" si="361"/>
        <v>32.630000000000003</v>
      </c>
      <c r="BM303" s="810">
        <f t="shared" si="361"/>
        <v>41.31</v>
      </c>
      <c r="BN303" s="811">
        <f t="shared" si="361"/>
        <v>37.29</v>
      </c>
      <c r="BO303" s="776">
        <f t="shared" ca="1" si="361"/>
        <v>54.44</v>
      </c>
      <c r="BP303" s="776">
        <f t="shared" ca="1" si="361"/>
        <v>54.44</v>
      </c>
      <c r="BQ303" s="776">
        <f t="shared" ca="1" si="361"/>
        <v>54.44</v>
      </c>
      <c r="BR303" s="776">
        <f t="shared" ca="1" si="361"/>
        <v>54.44</v>
      </c>
      <c r="BS303" s="776">
        <f t="shared" ca="1" si="361"/>
        <v>54.44</v>
      </c>
      <c r="BT303" s="28"/>
    </row>
    <row r="304" spans="1:72" s="17" customFormat="1" x14ac:dyDescent="0.35">
      <c r="A304" s="533" t="str">
        <f>"Market Cap - "&amp;MO.ValuationToggle</f>
        <v>Market Cap - EoP</v>
      </c>
      <c r="B304" s="308"/>
      <c r="C304" s="533">
        <f t="shared" ref="C304:AH304" si="362">INDEX(MO_VA_StockPrice,0,COLUMN())*INDEX(MO_SCA_ShareCount_EoP_Diluted,0,COLUMN())</f>
        <v>799.80067859999997</v>
      </c>
      <c r="D304" s="533">
        <f t="shared" si="362"/>
        <v>796.81450799999993</v>
      </c>
      <c r="E304" s="533">
        <f t="shared" si="362"/>
        <v>962.33693141000003</v>
      </c>
      <c r="F304" s="533">
        <f t="shared" si="362"/>
        <v>1130.2236409300001</v>
      </c>
      <c r="G304" s="533">
        <f t="shared" si="362"/>
        <v>1382.6269764000001</v>
      </c>
      <c r="H304" s="533">
        <f t="shared" si="362"/>
        <v>948.28588212</v>
      </c>
      <c r="I304" s="533">
        <f t="shared" si="362"/>
        <v>881.7002298000001</v>
      </c>
      <c r="J304" s="533">
        <f t="shared" si="362"/>
        <v>952.14699392000011</v>
      </c>
      <c r="K304" s="533">
        <f t="shared" si="362"/>
        <v>629.6683551000001</v>
      </c>
      <c r="L304" s="533">
        <f t="shared" si="362"/>
        <v>455.07938939999997</v>
      </c>
      <c r="M304" s="533">
        <f t="shared" si="362"/>
        <v>615.5294476800002</v>
      </c>
      <c r="N304" s="533">
        <f t="shared" si="362"/>
        <v>508.62996360000005</v>
      </c>
      <c r="O304" s="533">
        <f t="shared" si="362"/>
        <v>494.01990766</v>
      </c>
      <c r="P304" s="533">
        <f t="shared" si="362"/>
        <v>346.69513560000001</v>
      </c>
      <c r="Q304" s="533">
        <f t="shared" si="362"/>
        <v>405.99529710000002</v>
      </c>
      <c r="R304" s="533">
        <f t="shared" si="362"/>
        <v>495.55114635000001</v>
      </c>
      <c r="S304" s="533">
        <f t="shared" si="362"/>
        <v>589.65644150000014</v>
      </c>
      <c r="T304" s="533">
        <f t="shared" si="362"/>
        <v>713.45874600000002</v>
      </c>
      <c r="U304" s="533">
        <f t="shared" si="362"/>
        <v>774.158143</v>
      </c>
      <c r="V304" s="533">
        <f t="shared" si="362"/>
        <v>753.19093551000014</v>
      </c>
      <c r="W304" s="533">
        <f t="shared" si="362"/>
        <v>754.37530024</v>
      </c>
      <c r="X304" s="533">
        <f t="shared" si="362"/>
        <v>679.47465449999993</v>
      </c>
      <c r="Y304" s="533">
        <f t="shared" si="362"/>
        <v>599.59178521999991</v>
      </c>
      <c r="Z304" s="533">
        <f t="shared" si="362"/>
        <v>663.20124770000007</v>
      </c>
      <c r="AA304" s="533">
        <f t="shared" si="362"/>
        <v>728.95543709999993</v>
      </c>
      <c r="AB304" s="533">
        <f t="shared" si="362"/>
        <v>1018.9040848800001</v>
      </c>
      <c r="AC304" s="533">
        <f t="shared" si="362"/>
        <v>1465.9386540800001</v>
      </c>
      <c r="AD304" s="533">
        <f t="shared" si="362"/>
        <v>1300.6989528000001</v>
      </c>
      <c r="AE304" s="533">
        <f t="shared" si="362"/>
        <v>1151.5467227200002</v>
      </c>
      <c r="AF304" s="533">
        <f t="shared" si="362"/>
        <v>823.2062181</v>
      </c>
      <c r="AG304" s="533">
        <f t="shared" si="362"/>
        <v>767.65843338000002</v>
      </c>
      <c r="AH304" s="533">
        <f t="shared" si="362"/>
        <v>1136.5707643200001</v>
      </c>
      <c r="AI304" s="533">
        <f t="shared" ref="AI304:AX304" si="363">INDEX(MO_VA_StockPrice,0,COLUMN())*INDEX(MO_SCA_ShareCount_EoP_Diluted,0,COLUMN())</f>
        <v>1184.5465750399999</v>
      </c>
      <c r="AJ304" s="533">
        <f t="shared" si="363"/>
        <v>917.17706131999989</v>
      </c>
      <c r="AK304" s="533">
        <f t="shared" si="363"/>
        <v>1271.2486936</v>
      </c>
      <c r="AL304" s="533">
        <f t="shared" si="363"/>
        <v>1416.6373886600002</v>
      </c>
      <c r="AM304" s="533">
        <f t="shared" si="363"/>
        <v>1529.5871331299998</v>
      </c>
      <c r="AN304" s="533">
        <f t="shared" si="363"/>
        <v>1429.9324963000001</v>
      </c>
      <c r="AO304" s="533">
        <f t="shared" si="363"/>
        <v>1540.9959236000004</v>
      </c>
      <c r="AP304" s="533">
        <f t="shared" si="363"/>
        <v>1795.1918981399999</v>
      </c>
      <c r="AQ304" s="533">
        <f t="shared" si="363"/>
        <v>1852.8571327399998</v>
      </c>
      <c r="AR304" s="533">
        <f t="shared" si="363"/>
        <v>1357.0861156799999</v>
      </c>
      <c r="AS304" s="533">
        <f t="shared" si="363"/>
        <v>1693.1321332499999</v>
      </c>
      <c r="AT304" s="533">
        <f t="shared" si="363"/>
        <v>1619.1043172700004</v>
      </c>
      <c r="AU304" s="576">
        <f t="shared" si="363"/>
        <v>1973.61586233</v>
      </c>
      <c r="AV304" s="532">
        <f t="shared" ca="1" si="363"/>
        <v>2383.3833290227999</v>
      </c>
      <c r="AW304" s="532">
        <f t="shared" ca="1" si="363"/>
        <v>2383.3833290227999</v>
      </c>
      <c r="AX304" s="532">
        <f t="shared" ca="1" si="363"/>
        <v>2383.3833290227999</v>
      </c>
      <c r="AY304" s="532"/>
      <c r="AZ304" s="755">
        <f t="shared" ref="AZ304:BS304" si="364">INDEX(MO_VA_StockPrice,0,COLUMN())*INDEX(MO_SCA_ShareCount_EoP_Diluted,0,COLUMN())</f>
        <v>630.24759935999998</v>
      </c>
      <c r="BA304" s="755">
        <f t="shared" si="364"/>
        <v>711.27476844</v>
      </c>
      <c r="BB304" s="755">
        <f t="shared" si="364"/>
        <v>1284.6655458</v>
      </c>
      <c r="BC304" s="755">
        <f t="shared" si="364"/>
        <v>981.51524940000002</v>
      </c>
      <c r="BD304" s="755">
        <f t="shared" si="364"/>
        <v>1130.2236409300001</v>
      </c>
      <c r="BE304" s="755">
        <f t="shared" si="364"/>
        <v>952.14699392000011</v>
      </c>
      <c r="BF304" s="755">
        <f t="shared" si="364"/>
        <v>508.62996360000005</v>
      </c>
      <c r="BG304" s="755">
        <f t="shared" si="364"/>
        <v>495.55114635000001</v>
      </c>
      <c r="BH304" s="755">
        <f t="shared" si="364"/>
        <v>753.19093551000014</v>
      </c>
      <c r="BI304" s="755">
        <f t="shared" si="364"/>
        <v>663.20124770000007</v>
      </c>
      <c r="BJ304" s="755">
        <f t="shared" si="364"/>
        <v>1300.6989528000001</v>
      </c>
      <c r="BK304" s="755">
        <f t="shared" si="364"/>
        <v>1136.5707643200001</v>
      </c>
      <c r="BL304" s="755">
        <f t="shared" si="364"/>
        <v>1416.6373886600002</v>
      </c>
      <c r="BM304" s="755">
        <f t="shared" si="364"/>
        <v>1795.1918981399999</v>
      </c>
      <c r="BN304" s="756">
        <f t="shared" si="364"/>
        <v>1619.1043172700004</v>
      </c>
      <c r="BO304" s="156">
        <f t="shared" ca="1" si="364"/>
        <v>2383.3833290227999</v>
      </c>
      <c r="BP304" s="156" t="e">
        <f t="shared" ca="1" si="364"/>
        <v>#REF!</v>
      </c>
      <c r="BQ304" s="156" t="e">
        <f t="shared" ca="1" si="364"/>
        <v>#REF!</v>
      </c>
      <c r="BR304" s="156" t="e">
        <f t="shared" ca="1" si="364"/>
        <v>#REF!</v>
      </c>
      <c r="BS304" s="156" t="e">
        <f t="shared" ca="1" si="364"/>
        <v>#REF!</v>
      </c>
      <c r="BT304" s="533"/>
    </row>
    <row r="305" spans="1:72" s="17" customFormat="1" x14ac:dyDescent="0.35">
      <c r="A305" s="533" t="str">
        <f>"Enterprise Value - "&amp;MO.ValuationToggle</f>
        <v>Enterprise Value - EoP</v>
      </c>
      <c r="B305" s="308"/>
      <c r="C305" s="533">
        <f t="shared" ref="C305:AH305" si="365">C289+C304+C322+C323+C324</f>
        <v>755.42967859999999</v>
      </c>
      <c r="D305" s="533">
        <f t="shared" si="365"/>
        <v>716.51150800000005</v>
      </c>
      <c r="E305" s="533">
        <f t="shared" si="365"/>
        <v>868.5839314100001</v>
      </c>
      <c r="F305" s="533">
        <f t="shared" si="365"/>
        <v>1003.4316409300002</v>
      </c>
      <c r="G305" s="533">
        <f t="shared" si="365"/>
        <v>1278.4469764000003</v>
      </c>
      <c r="H305" s="533">
        <f t="shared" si="365"/>
        <v>845.66488212000002</v>
      </c>
      <c r="I305" s="533">
        <f t="shared" si="365"/>
        <v>752.56022980000012</v>
      </c>
      <c r="J305" s="533">
        <f t="shared" si="365"/>
        <v>809.77799392000009</v>
      </c>
      <c r="K305" s="533">
        <f t="shared" si="365"/>
        <v>575.57935510000016</v>
      </c>
      <c r="L305" s="533">
        <f t="shared" si="365"/>
        <v>383.01038939999995</v>
      </c>
      <c r="M305" s="533">
        <f t="shared" si="365"/>
        <v>524.77444768000021</v>
      </c>
      <c r="N305" s="533">
        <f t="shared" si="365"/>
        <v>352.03596360000006</v>
      </c>
      <c r="O305" s="533">
        <f t="shared" si="365"/>
        <v>380.06090766</v>
      </c>
      <c r="P305" s="533">
        <f t="shared" si="365"/>
        <v>209.64713560000001</v>
      </c>
      <c r="Q305" s="533">
        <f t="shared" si="365"/>
        <v>239.40129709999999</v>
      </c>
      <c r="R305" s="533">
        <f t="shared" si="365"/>
        <v>312.19614634999999</v>
      </c>
      <c r="S305" s="533">
        <f t="shared" si="365"/>
        <v>492.22244150000012</v>
      </c>
      <c r="T305" s="533">
        <f t="shared" si="365"/>
        <v>557.29474600000003</v>
      </c>
      <c r="U305" s="533">
        <f t="shared" si="365"/>
        <v>605.37214300000005</v>
      </c>
      <c r="V305" s="533">
        <f t="shared" si="365"/>
        <v>544.93193551000013</v>
      </c>
      <c r="W305" s="533">
        <f t="shared" si="365"/>
        <v>637.02130024000007</v>
      </c>
      <c r="X305" s="533">
        <f t="shared" si="365"/>
        <v>517.81965449999996</v>
      </c>
      <c r="Y305" s="533">
        <f t="shared" si="365"/>
        <v>399.3947852199999</v>
      </c>
      <c r="Z305" s="533">
        <f t="shared" si="365"/>
        <v>456.10624770000004</v>
      </c>
      <c r="AA305" s="533">
        <f t="shared" si="365"/>
        <v>621.59843709999996</v>
      </c>
      <c r="AB305" s="533">
        <f t="shared" si="365"/>
        <v>848.38008488000014</v>
      </c>
      <c r="AC305" s="533">
        <f t="shared" si="365"/>
        <v>1261.1106540800001</v>
      </c>
      <c r="AD305" s="533">
        <f t="shared" si="365"/>
        <v>1040.7259528000002</v>
      </c>
      <c r="AE305" s="533">
        <f t="shared" si="365"/>
        <v>1035.0357227200002</v>
      </c>
      <c r="AF305" s="533">
        <f t="shared" si="365"/>
        <v>658.94921810000005</v>
      </c>
      <c r="AG305" s="533">
        <f t="shared" si="365"/>
        <v>860.6214333800001</v>
      </c>
      <c r="AH305" s="533">
        <f t="shared" si="365"/>
        <v>1158.4427643200002</v>
      </c>
      <c r="AI305" s="533">
        <f t="shared" ref="AI305:AX305" si="366">AI289+AI304+AI322+AI323+AI324</f>
        <v>1307.6375750399998</v>
      </c>
      <c r="AJ305" s="533">
        <f t="shared" si="366"/>
        <v>1117.10606132</v>
      </c>
      <c r="AK305" s="533">
        <f t="shared" si="366"/>
        <v>1409.6156936</v>
      </c>
      <c r="AL305" s="533">
        <f t="shared" si="366"/>
        <v>1496.3373886600002</v>
      </c>
      <c r="AM305" s="533">
        <f t="shared" si="366"/>
        <v>1899.5831331299996</v>
      </c>
      <c r="AN305" s="533">
        <f t="shared" si="366"/>
        <v>1758.0604963000001</v>
      </c>
      <c r="AO305" s="533">
        <f t="shared" si="366"/>
        <v>1808.1929236000003</v>
      </c>
      <c r="AP305" s="533">
        <f t="shared" si="366"/>
        <v>1971.4658981399998</v>
      </c>
      <c r="AQ305" s="533">
        <f t="shared" si="366"/>
        <v>2230.6781327399999</v>
      </c>
      <c r="AR305" s="533">
        <f t="shared" si="366"/>
        <v>1603.47711568</v>
      </c>
      <c r="AS305" s="533">
        <f t="shared" si="366"/>
        <v>1875.5931332499999</v>
      </c>
      <c r="AT305" s="533">
        <f t="shared" si="366"/>
        <v>1752.1053172700003</v>
      </c>
      <c r="AU305" s="576">
        <f t="shared" si="366"/>
        <v>2266.85586233</v>
      </c>
      <c r="AV305" s="532">
        <f t="shared" ca="1" si="366"/>
        <v>2502.6469049993784</v>
      </c>
      <c r="AW305" s="532">
        <f t="shared" ca="1" si="366"/>
        <v>2418.6665648542307</v>
      </c>
      <c r="AX305" s="532">
        <f t="shared" ca="1" si="366"/>
        <v>2329.8452026782115</v>
      </c>
      <c r="AY305" s="532"/>
      <c r="AZ305" s="755">
        <f t="shared" ref="AZ305:BS305" si="367">AZ289+AZ304+AZ322+AZ323+AZ324</f>
        <v>605.10259936</v>
      </c>
      <c r="BA305" s="755">
        <f t="shared" si="367"/>
        <v>668.30776844000002</v>
      </c>
      <c r="BB305" s="755">
        <f t="shared" si="367"/>
        <v>1135.5995458</v>
      </c>
      <c r="BC305" s="755">
        <f t="shared" si="367"/>
        <v>889.71224940000002</v>
      </c>
      <c r="BD305" s="755">
        <f t="shared" si="367"/>
        <v>1003.4316409300002</v>
      </c>
      <c r="BE305" s="755">
        <f t="shared" si="367"/>
        <v>809.77799392000009</v>
      </c>
      <c r="BF305" s="755">
        <f t="shared" si="367"/>
        <v>352.03596360000006</v>
      </c>
      <c r="BG305" s="755">
        <f t="shared" si="367"/>
        <v>312.19614634999999</v>
      </c>
      <c r="BH305" s="755">
        <f t="shared" si="367"/>
        <v>544.93193551000013</v>
      </c>
      <c r="BI305" s="755">
        <f t="shared" si="367"/>
        <v>456.10624770000004</v>
      </c>
      <c r="BJ305" s="755">
        <f t="shared" si="367"/>
        <v>1040.7259528000002</v>
      </c>
      <c r="BK305" s="755">
        <f t="shared" si="367"/>
        <v>1158.4427643200002</v>
      </c>
      <c r="BL305" s="755">
        <f t="shared" si="367"/>
        <v>1496.3373886600002</v>
      </c>
      <c r="BM305" s="755">
        <f t="shared" si="367"/>
        <v>1971.4658981399998</v>
      </c>
      <c r="BN305" s="756">
        <f t="shared" si="367"/>
        <v>1752.1053172700003</v>
      </c>
      <c r="BO305" s="156">
        <f t="shared" ca="1" si="367"/>
        <v>2329.8452026782115</v>
      </c>
      <c r="BP305" s="156" t="e">
        <f t="shared" ca="1" si="367"/>
        <v>#REF!</v>
      </c>
      <c r="BQ305" s="156" t="e">
        <f t="shared" ca="1" si="367"/>
        <v>#REF!</v>
      </c>
      <c r="BR305" s="156" t="e">
        <f t="shared" ca="1" si="367"/>
        <v>#REF!</v>
      </c>
      <c r="BS305" s="156" t="e">
        <f t="shared" ca="1" si="367"/>
        <v>#REF!</v>
      </c>
      <c r="BT305" s="533"/>
    </row>
    <row r="306" spans="1:72" s="23" customFormat="1" x14ac:dyDescent="0.35">
      <c r="A306" s="375"/>
      <c r="B306" s="376"/>
      <c r="C306" s="377"/>
      <c r="D306" s="377"/>
      <c r="E306" s="377"/>
      <c r="F306" s="377"/>
      <c r="G306" s="377"/>
      <c r="H306" s="377"/>
      <c r="I306" s="377"/>
      <c r="J306" s="377"/>
      <c r="K306" s="377"/>
      <c r="L306" s="377"/>
      <c r="M306" s="377"/>
      <c r="N306" s="377"/>
      <c r="O306" s="377"/>
      <c r="P306" s="378"/>
      <c r="Q306" s="378"/>
      <c r="R306" s="377"/>
      <c r="S306" s="377"/>
      <c r="T306" s="378"/>
      <c r="U306" s="378"/>
      <c r="V306" s="377"/>
      <c r="W306" s="377"/>
      <c r="X306" s="378"/>
      <c r="Y306" s="378"/>
      <c r="Z306" s="377"/>
      <c r="AA306" s="377"/>
      <c r="AB306" s="378"/>
      <c r="AC306" s="378"/>
      <c r="AD306" s="377"/>
      <c r="AE306" s="377"/>
      <c r="AF306" s="378"/>
      <c r="AG306" s="378"/>
      <c r="AH306" s="377"/>
      <c r="AI306" s="377"/>
      <c r="AJ306" s="378"/>
      <c r="AK306" s="378"/>
      <c r="AL306" s="377"/>
      <c r="AM306" s="377"/>
      <c r="AN306" s="378"/>
      <c r="AO306" s="378"/>
      <c r="AP306" s="377"/>
      <c r="AQ306" s="377"/>
      <c r="AR306" s="378"/>
      <c r="AS306" s="378"/>
      <c r="AT306" s="377"/>
      <c r="AU306" s="506"/>
      <c r="AV306" s="378"/>
      <c r="AW306" s="378"/>
      <c r="AX306" s="378"/>
      <c r="AY306" s="378"/>
      <c r="AZ306" s="812"/>
      <c r="BA306" s="812"/>
      <c r="BB306" s="812"/>
      <c r="BC306" s="812"/>
      <c r="BD306" s="812"/>
      <c r="BE306" s="812"/>
      <c r="BF306" s="812"/>
      <c r="BG306" s="812"/>
      <c r="BH306" s="812"/>
      <c r="BI306" s="812"/>
      <c r="BJ306" s="812"/>
      <c r="BK306" s="812"/>
      <c r="BL306" s="812"/>
      <c r="BM306" s="812"/>
      <c r="BN306" s="813"/>
      <c r="BO306" s="812"/>
      <c r="BP306" s="812"/>
      <c r="BQ306" s="812"/>
      <c r="BR306" s="812"/>
      <c r="BS306" s="812"/>
      <c r="BT306" s="38"/>
    </row>
    <row r="307" spans="1:72" s="23" customFormat="1" x14ac:dyDescent="0.35">
      <c r="A307" s="96" t="str">
        <f>"P/E - "&amp;MO.ValuationToggle</f>
        <v>P/E - EoP</v>
      </c>
      <c r="B307" s="376"/>
      <c r="C307" s="377"/>
      <c r="D307" s="377"/>
      <c r="E307" s="377"/>
      <c r="F307" s="377"/>
      <c r="G307" s="377"/>
      <c r="H307" s="377"/>
      <c r="I307" s="377"/>
      <c r="J307" s="377"/>
      <c r="K307" s="377"/>
      <c r="L307" s="377"/>
      <c r="M307" s="377"/>
      <c r="N307" s="377"/>
      <c r="O307" s="377"/>
      <c r="P307" s="378"/>
      <c r="Q307" s="378"/>
      <c r="R307" s="377"/>
      <c r="S307" s="377"/>
      <c r="T307" s="378"/>
      <c r="U307" s="378"/>
      <c r="V307" s="377"/>
      <c r="W307" s="377"/>
      <c r="X307" s="378"/>
      <c r="Y307" s="378"/>
      <c r="Z307" s="377"/>
      <c r="AA307" s="377"/>
      <c r="AB307" s="378"/>
      <c r="AC307" s="378"/>
      <c r="AD307" s="377"/>
      <c r="AE307" s="377"/>
      <c r="AF307" s="378"/>
      <c r="AG307" s="378"/>
      <c r="AH307" s="377"/>
      <c r="AI307" s="377"/>
      <c r="AJ307" s="378"/>
      <c r="AK307" s="378"/>
      <c r="AL307" s="377"/>
      <c r="AM307" s="377"/>
      <c r="AN307" s="378"/>
      <c r="AO307" s="378"/>
      <c r="AP307" s="377"/>
      <c r="AQ307" s="377"/>
      <c r="AR307" s="378"/>
      <c r="AS307" s="378"/>
      <c r="AT307" s="377"/>
      <c r="AU307" s="506"/>
      <c r="AV307" s="378"/>
      <c r="AW307" s="378"/>
      <c r="AX307" s="378"/>
      <c r="AY307" s="378"/>
      <c r="AZ307" s="814">
        <f t="shared" ref="AZ307:BS307" si="368">AZ303/AZ232</f>
        <v>50.254377354445914</v>
      </c>
      <c r="BA307" s="814">
        <f t="shared" si="368"/>
        <v>32.349578753077758</v>
      </c>
      <c r="BB307" s="814">
        <f t="shared" si="368"/>
        <v>96.476665201938857</v>
      </c>
      <c r="BC307" s="814">
        <f t="shared" si="368"/>
        <v>55.408637155484577</v>
      </c>
      <c r="BD307" s="814">
        <f t="shared" si="368"/>
        <v>39.232398880425606</v>
      </c>
      <c r="BE307" s="814">
        <f t="shared" si="368"/>
        <v>48.677864751020564</v>
      </c>
      <c r="BF307" s="814">
        <f t="shared" si="368"/>
        <v>45.199818893338104</v>
      </c>
      <c r="BG307" s="814">
        <f t="shared" si="368"/>
        <v>51.986850129496162</v>
      </c>
      <c r="BH307" s="814">
        <f t="shared" si="368"/>
        <v>1579.1615078050106</v>
      </c>
      <c r="BI307" s="814">
        <f t="shared" si="368"/>
        <v>24.085440596669066</v>
      </c>
      <c r="BJ307" s="814">
        <f t="shared" si="368"/>
        <v>33.463177403316458</v>
      </c>
      <c r="BK307" s="814">
        <f t="shared" si="368"/>
        <v>44.336951982371474</v>
      </c>
      <c r="BL307" s="814">
        <f t="shared" si="368"/>
        <v>19.120400909714366</v>
      </c>
      <c r="BM307" s="814">
        <f t="shared" si="368"/>
        <v>16.36571787958556</v>
      </c>
      <c r="BN307" s="815">
        <f t="shared" si="368"/>
        <v>12.559066954527191</v>
      </c>
      <c r="BO307" s="812">
        <f t="shared" ca="1" si="368"/>
        <v>14.639904659740488</v>
      </c>
      <c r="BP307" s="812" t="e">
        <f t="shared" ca="1" si="368"/>
        <v>#REF!</v>
      </c>
      <c r="BQ307" s="812" t="e">
        <f t="shared" ca="1" si="368"/>
        <v>#REF!</v>
      </c>
      <c r="BR307" s="812" t="e">
        <f t="shared" ca="1" si="368"/>
        <v>#REF!</v>
      </c>
      <c r="BS307" s="812" t="e">
        <f t="shared" ca="1" si="368"/>
        <v>#REF!</v>
      </c>
      <c r="BT307" s="38"/>
    </row>
    <row r="308" spans="1:72" s="23" customFormat="1" x14ac:dyDescent="0.35">
      <c r="A308" s="96" t="str">
        <f>"EV/EBITDA - "&amp;MO.ValuationToggle</f>
        <v>EV/EBITDA - EoP</v>
      </c>
      <c r="B308" s="376"/>
      <c r="C308" s="377"/>
      <c r="D308" s="377"/>
      <c r="E308" s="377"/>
      <c r="F308" s="377"/>
      <c r="G308" s="377"/>
      <c r="H308" s="377"/>
      <c r="I308" s="377"/>
      <c r="J308" s="377"/>
      <c r="K308" s="377"/>
      <c r="L308" s="377"/>
      <c r="M308" s="377"/>
      <c r="N308" s="377"/>
      <c r="O308" s="377"/>
      <c r="P308" s="378"/>
      <c r="Q308" s="378"/>
      <c r="R308" s="377"/>
      <c r="S308" s="377"/>
      <c r="T308" s="378"/>
      <c r="U308" s="378"/>
      <c r="V308" s="377"/>
      <c r="W308" s="377"/>
      <c r="X308" s="378"/>
      <c r="Y308" s="378"/>
      <c r="Z308" s="377"/>
      <c r="AA308" s="377"/>
      <c r="AB308" s="378"/>
      <c r="AC308" s="378"/>
      <c r="AD308" s="377"/>
      <c r="AE308" s="377"/>
      <c r="AF308" s="378"/>
      <c r="AG308" s="378"/>
      <c r="AH308" s="377"/>
      <c r="AI308" s="377"/>
      <c r="AJ308" s="378"/>
      <c r="AK308" s="378"/>
      <c r="AL308" s="377"/>
      <c r="AM308" s="377"/>
      <c r="AN308" s="378"/>
      <c r="AO308" s="378"/>
      <c r="AP308" s="377"/>
      <c r="AQ308" s="377"/>
      <c r="AR308" s="378"/>
      <c r="AS308" s="378"/>
      <c r="AT308" s="377"/>
      <c r="AU308" s="506"/>
      <c r="AV308" s="378"/>
      <c r="AW308" s="378"/>
      <c r="AX308" s="378"/>
      <c r="AY308" s="378"/>
      <c r="AZ308" s="814">
        <f t="shared" ref="AZ308:BS308" si="369">AZ305/AZ205</f>
        <v>13.16470714820295</v>
      </c>
      <c r="BA308" s="814">
        <f t="shared" si="369"/>
        <v>9.9506829522646694</v>
      </c>
      <c r="BB308" s="814">
        <f t="shared" si="369"/>
        <v>14.822350298900989</v>
      </c>
      <c r="BC308" s="814">
        <f t="shared" si="369"/>
        <v>9.1647326885043245</v>
      </c>
      <c r="BD308" s="814">
        <f t="shared" si="369"/>
        <v>7.9753263941279808</v>
      </c>
      <c r="BE308" s="814">
        <f t="shared" si="369"/>
        <v>6.1369598860182979</v>
      </c>
      <c r="BF308" s="814">
        <f t="shared" si="369"/>
        <v>2.8498705837590164</v>
      </c>
      <c r="BG308" s="814">
        <f t="shared" si="369"/>
        <v>3.0985672805319822</v>
      </c>
      <c r="BH308" s="814">
        <f t="shared" si="369"/>
        <v>4.9536114566345804</v>
      </c>
      <c r="BI308" s="814">
        <f t="shared" si="369"/>
        <v>3.7501952582591964</v>
      </c>
      <c r="BJ308" s="814">
        <f t="shared" si="369"/>
        <v>7.7920812266962196</v>
      </c>
      <c r="BK308" s="814">
        <f t="shared" si="369"/>
        <v>9.0392468949803693</v>
      </c>
      <c r="BL308" s="814">
        <f t="shared" si="369"/>
        <v>6.2382221267707827</v>
      </c>
      <c r="BM308" s="814">
        <f t="shared" si="369"/>
        <v>7.2185253600720589</v>
      </c>
      <c r="BN308" s="815">
        <f t="shared" si="369"/>
        <v>5.9157372695043868</v>
      </c>
      <c r="BO308" s="812">
        <f t="shared" ca="1" si="369"/>
        <v>6.4857416166092392</v>
      </c>
      <c r="BP308" s="812" t="e">
        <f t="shared" ca="1" si="369"/>
        <v>#REF!</v>
      </c>
      <c r="BQ308" s="812" t="e">
        <f t="shared" ca="1" si="369"/>
        <v>#REF!</v>
      </c>
      <c r="BR308" s="812" t="e">
        <f t="shared" ca="1" si="369"/>
        <v>#REF!</v>
      </c>
      <c r="BS308" s="812" t="e">
        <f t="shared" ca="1" si="369"/>
        <v>#REF!</v>
      </c>
      <c r="BT308" s="38"/>
    </row>
    <row r="309" spans="1:72" s="23" customFormat="1" x14ac:dyDescent="0.35">
      <c r="A309" s="96" t="str">
        <f>"P/CF - "&amp;MO.ValuationToggle</f>
        <v>P/CF - EoP</v>
      </c>
      <c r="B309" s="376"/>
      <c r="C309" s="377"/>
      <c r="D309" s="377"/>
      <c r="E309" s="377"/>
      <c r="F309" s="377"/>
      <c r="G309" s="377"/>
      <c r="H309" s="377"/>
      <c r="I309" s="377"/>
      <c r="J309" s="377"/>
      <c r="K309" s="377"/>
      <c r="L309" s="377"/>
      <c r="M309" s="377"/>
      <c r="N309" s="377"/>
      <c r="O309" s="377"/>
      <c r="P309" s="378"/>
      <c r="Q309" s="378"/>
      <c r="R309" s="377"/>
      <c r="S309" s="377"/>
      <c r="T309" s="378"/>
      <c r="U309" s="378"/>
      <c r="V309" s="377"/>
      <c r="W309" s="377"/>
      <c r="X309" s="378"/>
      <c r="Y309" s="378"/>
      <c r="Z309" s="377"/>
      <c r="AA309" s="377"/>
      <c r="AB309" s="378"/>
      <c r="AC309" s="378"/>
      <c r="AD309" s="377"/>
      <c r="AE309" s="377"/>
      <c r="AF309" s="378"/>
      <c r="AG309" s="378"/>
      <c r="AH309" s="377"/>
      <c r="AI309" s="377"/>
      <c r="AJ309" s="378"/>
      <c r="AK309" s="378"/>
      <c r="AL309" s="377"/>
      <c r="AM309" s="377"/>
      <c r="AN309" s="378"/>
      <c r="AO309" s="378"/>
      <c r="AP309" s="377"/>
      <c r="AQ309" s="377"/>
      <c r="AR309" s="378"/>
      <c r="AS309" s="378"/>
      <c r="AT309" s="377"/>
      <c r="AU309" s="506"/>
      <c r="AV309" s="378"/>
      <c r="AW309" s="378"/>
      <c r="AX309" s="378"/>
      <c r="AY309" s="378"/>
      <c r="AZ309" s="814">
        <f t="shared" ref="AZ309:BS309" si="370">AZ303/AZ261</f>
        <v>-66.155281359700666</v>
      </c>
      <c r="BA309" s="814">
        <f t="shared" si="370"/>
        <v>12.734540648500365</v>
      </c>
      <c r="BB309" s="814">
        <f t="shared" si="370"/>
        <v>15.652917893264698</v>
      </c>
      <c r="BC309" s="814">
        <f t="shared" si="370"/>
        <v>27.360859261616817</v>
      </c>
      <c r="BD309" s="814">
        <f t="shared" si="370"/>
        <v>10.756148438500206</v>
      </c>
      <c r="BE309" s="814">
        <f t="shared" si="370"/>
        <v>7.7648152899335088</v>
      </c>
      <c r="BF309" s="814">
        <f t="shared" si="370"/>
        <v>4.1358671774159959</v>
      </c>
      <c r="BG309" s="814">
        <f t="shared" si="370"/>
        <v>3.8570282885250213</v>
      </c>
      <c r="BH309" s="814">
        <f t="shared" si="370"/>
        <v>8.0267992067892902</v>
      </c>
      <c r="BI309" s="814">
        <f t="shared" si="370"/>
        <v>6.4195612077933362</v>
      </c>
      <c r="BJ309" s="814">
        <f t="shared" si="370"/>
        <v>8.7929280397723275</v>
      </c>
      <c r="BK309" s="814">
        <f t="shared" si="370"/>
        <v>13.511426292109682</v>
      </c>
      <c r="BL309" s="814">
        <f t="shared" si="370"/>
        <v>10.183911780842342</v>
      </c>
      <c r="BM309" s="814">
        <f t="shared" si="370"/>
        <v>8.4746010152549278</v>
      </c>
      <c r="BN309" s="815">
        <f t="shared" si="370"/>
        <v>7.8431264943145438</v>
      </c>
      <c r="BO309" s="812">
        <f t="shared" ca="1" si="370"/>
        <v>8.9778576515270441</v>
      </c>
      <c r="BP309" s="812" t="e">
        <f t="shared" ca="1" si="370"/>
        <v>#REF!</v>
      </c>
      <c r="BQ309" s="812" t="e">
        <f t="shared" ca="1" si="370"/>
        <v>#REF!</v>
      </c>
      <c r="BR309" s="812" t="e">
        <f t="shared" ca="1" si="370"/>
        <v>#REF!</v>
      </c>
      <c r="BS309" s="812" t="e">
        <f t="shared" ca="1" si="370"/>
        <v>#REF!</v>
      </c>
      <c r="BT309" s="38"/>
    </row>
    <row r="310" spans="1:72" s="132" customFormat="1" x14ac:dyDescent="0.35">
      <c r="A310" s="45" t="str">
        <f>"FCF Yield % to "&amp;MO.ValuationToggle&amp;" Market Cap"</f>
        <v>FCF Yield % to EoP Market Cap</v>
      </c>
      <c r="B310" s="105"/>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482"/>
      <c r="AV310" s="61"/>
      <c r="AW310" s="61"/>
      <c r="AX310" s="61"/>
      <c r="AY310" s="61"/>
      <c r="AZ310" s="683">
        <f t="shared" ref="AZ310:BS310" si="371">AZ278/AZ304</f>
        <v>-5.9064088522988459E-2</v>
      </c>
      <c r="BA310" s="683">
        <f t="shared" si="371"/>
        <v>4.2766876247721151E-2</v>
      </c>
      <c r="BB310" s="683">
        <f t="shared" si="371"/>
        <v>1.5228866426721905E-2</v>
      </c>
      <c r="BC310" s="683">
        <f t="shared" si="371"/>
        <v>-1.5902962291764494E-2</v>
      </c>
      <c r="BD310" s="683">
        <f t="shared" si="371"/>
        <v>3.9769120351273744E-2</v>
      </c>
      <c r="BE310" s="683">
        <f t="shared" si="371"/>
        <v>7.7198164221874185E-2</v>
      </c>
      <c r="BF310" s="683">
        <f t="shared" si="371"/>
        <v>0.11471011182086797</v>
      </c>
      <c r="BG310" s="683">
        <f t="shared" si="371"/>
        <v>0.11881316476345184</v>
      </c>
      <c r="BH310" s="683">
        <f t="shared" si="371"/>
        <v>5.3776536719170619E-2</v>
      </c>
      <c r="BI310" s="683">
        <f t="shared" si="371"/>
        <v>9.1109599400712935E-2</v>
      </c>
      <c r="BJ310" s="683">
        <f t="shared" si="371"/>
        <v>7.1653782606166769E-2</v>
      </c>
      <c r="BK310" s="683">
        <f t="shared" si="371"/>
        <v>3.1162159992026768E-2</v>
      </c>
      <c r="BL310" s="683">
        <f t="shared" si="371"/>
        <v>5.780378285614575E-2</v>
      </c>
      <c r="BM310" s="683">
        <f t="shared" si="371"/>
        <v>7.757276542094764E-2</v>
      </c>
      <c r="BN310" s="746">
        <f t="shared" si="371"/>
        <v>8.436886897462359E-2</v>
      </c>
      <c r="BO310" s="676">
        <f t="shared" ca="1" si="371"/>
        <v>8.1952459751689341E-2</v>
      </c>
      <c r="BP310" s="676" t="e">
        <f t="shared" ca="1" si="371"/>
        <v>#REF!</v>
      </c>
      <c r="BQ310" s="676" t="e">
        <f t="shared" ca="1" si="371"/>
        <v>#REF!</v>
      </c>
      <c r="BR310" s="676" t="e">
        <f t="shared" ca="1" si="371"/>
        <v>#REF!</v>
      </c>
      <c r="BS310" s="676" t="e">
        <f t="shared" ca="1" si="371"/>
        <v>#REF!</v>
      </c>
      <c r="BT310" s="49"/>
    </row>
    <row r="311" spans="1:72" s="132" customFormat="1" x14ac:dyDescent="0.35">
      <c r="A311" s="45" t="str">
        <f>"FCF Yield % to "&amp;MO.ValuationToggle&amp;" Enterprise Value"</f>
        <v>FCF Yield % to EoP Enterprise Value</v>
      </c>
      <c r="B311" s="105"/>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482"/>
      <c r="AV311" s="61"/>
      <c r="AW311" s="61"/>
      <c r="AX311" s="61"/>
      <c r="AY311" s="61"/>
      <c r="AZ311" s="683">
        <f t="shared" ref="AZ311:BS311" si="372">AZ278/AZ305</f>
        <v>-6.1518492961973453E-2</v>
      </c>
      <c r="BA311" s="683">
        <f t="shared" si="372"/>
        <v>4.5516454299200607E-2</v>
      </c>
      <c r="BB311" s="683">
        <f t="shared" si="372"/>
        <v>1.7227904037437482E-2</v>
      </c>
      <c r="BC311" s="683">
        <f t="shared" si="372"/>
        <v>-1.7543874449886858E-2</v>
      </c>
      <c r="BD311" s="683">
        <f t="shared" si="372"/>
        <v>4.4794282108087891E-2</v>
      </c>
      <c r="BE311" s="683">
        <f t="shared" si="372"/>
        <v>9.077055755019893E-2</v>
      </c>
      <c r="BF311" s="683">
        <f t="shared" si="372"/>
        <v>0.16573590778439434</v>
      </c>
      <c r="BG311" s="683">
        <f t="shared" si="372"/>
        <v>0.18859297492414415</v>
      </c>
      <c r="BH311" s="683">
        <f t="shared" si="372"/>
        <v>7.4328548871140071E-2</v>
      </c>
      <c r="BI311" s="683">
        <f t="shared" si="372"/>
        <v>0.13247790466519405</v>
      </c>
      <c r="BJ311" s="683">
        <f t="shared" si="372"/>
        <v>8.9552873885052953E-2</v>
      </c>
      <c r="BK311" s="683">
        <f t="shared" si="372"/>
        <v>3.0573802254952296E-2</v>
      </c>
      <c r="BL311" s="683">
        <f t="shared" si="372"/>
        <v>5.4724957499946873E-2</v>
      </c>
      <c r="BM311" s="683">
        <f t="shared" si="372"/>
        <v>7.0636778516627849E-2</v>
      </c>
      <c r="BN311" s="746">
        <f t="shared" si="372"/>
        <v>7.7964491434135405E-2</v>
      </c>
      <c r="BO311" s="676">
        <f t="shared" ca="1" si="372"/>
        <v>8.3835666901843395E-2</v>
      </c>
      <c r="BP311" s="676" t="e">
        <f t="shared" ca="1" si="372"/>
        <v>#REF!</v>
      </c>
      <c r="BQ311" s="676" t="e">
        <f t="shared" ca="1" si="372"/>
        <v>#REF!</v>
      </c>
      <c r="BR311" s="676" t="e">
        <f t="shared" ca="1" si="372"/>
        <v>#REF!</v>
      </c>
      <c r="BS311" s="676" t="e">
        <f t="shared" ca="1" si="372"/>
        <v>#REF!</v>
      </c>
      <c r="BT311" s="49"/>
    </row>
    <row r="312" spans="1:72" s="132" customFormat="1" hidden="1" outlineLevel="1" x14ac:dyDescent="0.35">
      <c r="A312" s="60"/>
      <c r="B312" s="105"/>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482"/>
      <c r="AV312" s="61"/>
      <c r="AW312" s="61"/>
      <c r="AX312" s="61"/>
      <c r="AY312" s="61"/>
      <c r="AZ312" s="676"/>
      <c r="BA312" s="676"/>
      <c r="BB312" s="676"/>
      <c r="BC312" s="676"/>
      <c r="BD312" s="676"/>
      <c r="BE312" s="676"/>
      <c r="BF312" s="676"/>
      <c r="BG312" s="676"/>
      <c r="BH312" s="676"/>
      <c r="BI312" s="676"/>
      <c r="BJ312" s="676"/>
      <c r="BK312" s="676"/>
      <c r="BL312" s="676"/>
      <c r="BM312" s="676"/>
      <c r="BN312" s="677"/>
      <c r="BO312" s="676"/>
      <c r="BP312" s="676"/>
      <c r="BQ312" s="676"/>
      <c r="BR312" s="676"/>
      <c r="BS312" s="676"/>
      <c r="BT312" s="49"/>
    </row>
    <row r="313" spans="1:72" s="257" customFormat="1" hidden="1" outlineLevel="1" x14ac:dyDescent="0.35">
      <c r="A313" s="254" t="str">
        <f ca="1">"Stock High, "&amp;HP.TradeCurrency</f>
        <v>Stock High, USD</v>
      </c>
      <c r="B313" s="369"/>
      <c r="C313" s="255">
        <f t="shared" ref="C313:AH313" ca="1" si="373">IF(INDEX(MO_SNA_IsHistoricalPeriod,1,COLUMN())=FALSE,0,INDEX(MO_SPT_StockHigh,1,COLUMN()))</f>
        <v>25.39</v>
      </c>
      <c r="D313" s="255">
        <f t="shared" ca="1" si="373"/>
        <v>22.4</v>
      </c>
      <c r="E313" s="255">
        <f t="shared" ca="1" si="373"/>
        <v>24.54</v>
      </c>
      <c r="F313" s="255">
        <f t="shared" ca="1" si="373"/>
        <v>30.89</v>
      </c>
      <c r="G313" s="255">
        <f t="shared" ca="1" si="373"/>
        <v>38.14</v>
      </c>
      <c r="H313" s="255">
        <f t="shared" ca="1" si="373"/>
        <v>31.66</v>
      </c>
      <c r="I313" s="255">
        <f t="shared" ca="1" si="373"/>
        <v>23.55</v>
      </c>
      <c r="J313" s="255">
        <f t="shared" ca="1" si="373"/>
        <v>26.2</v>
      </c>
      <c r="K313" s="255">
        <f t="shared" ca="1" si="373"/>
        <v>24.51</v>
      </c>
      <c r="L313" s="255">
        <f t="shared" ca="1" si="373"/>
        <v>16.59</v>
      </c>
      <c r="M313" s="255">
        <f t="shared" ca="1" si="373"/>
        <v>17.71</v>
      </c>
      <c r="N313" s="255">
        <f t="shared" ca="1" si="373"/>
        <v>17.63</v>
      </c>
      <c r="O313" s="255">
        <f t="shared" ca="1" si="373"/>
        <v>14.95</v>
      </c>
      <c r="P313" s="255">
        <f t="shared" ca="1" si="373"/>
        <v>14.45</v>
      </c>
      <c r="Q313" s="255">
        <f t="shared" ca="1" si="373"/>
        <v>11.19</v>
      </c>
      <c r="R313" s="255">
        <f t="shared" ca="1" si="373"/>
        <v>12.91</v>
      </c>
      <c r="S313" s="255">
        <f t="shared" ca="1" si="373"/>
        <v>14.41</v>
      </c>
      <c r="T313" s="255">
        <f t="shared" ca="1" si="373"/>
        <v>17.84</v>
      </c>
      <c r="U313" s="255">
        <f t="shared" ca="1" si="373"/>
        <v>20.67</v>
      </c>
      <c r="V313" s="255">
        <f t="shared" ca="1" si="373"/>
        <v>21.18</v>
      </c>
      <c r="W313" s="255">
        <f t="shared" ca="1" si="373"/>
        <v>18.79</v>
      </c>
      <c r="X313" s="255">
        <f t="shared" ca="1" si="373"/>
        <v>18.34</v>
      </c>
      <c r="Y313" s="255">
        <f t="shared" ca="1" si="373"/>
        <v>18.27</v>
      </c>
      <c r="Z313" s="255">
        <f t="shared" ca="1" si="373"/>
        <v>17.37</v>
      </c>
      <c r="AA313" s="255">
        <f t="shared" ca="1" si="373"/>
        <v>18.03</v>
      </c>
      <c r="AB313" s="255">
        <f t="shared" ca="1" si="373"/>
        <v>24.79</v>
      </c>
      <c r="AC313" s="255">
        <f t="shared" ca="1" si="373"/>
        <v>34.130000000000003</v>
      </c>
      <c r="AD313" s="255">
        <f t="shared" ca="1" si="373"/>
        <v>37</v>
      </c>
      <c r="AE313" s="255">
        <f t="shared" ca="1" si="373"/>
        <v>31.55</v>
      </c>
      <c r="AF313" s="255">
        <f t="shared" ca="1" si="373"/>
        <v>26.44</v>
      </c>
      <c r="AG313" s="255">
        <f t="shared" ca="1" si="373"/>
        <v>23.94</v>
      </c>
      <c r="AH313" s="255">
        <f t="shared" ca="1" si="373"/>
        <v>27.98</v>
      </c>
      <c r="AI313" s="255">
        <f t="shared" ref="AI313:AX313" ca="1" si="374">IF(INDEX(MO_SNA_IsHistoricalPeriod,1,COLUMN())=FALSE,0,INDEX(MO_SPT_StockHigh,1,COLUMN()))</f>
        <v>51.6</v>
      </c>
      <c r="AJ313" s="255">
        <f t="shared" ca="1" si="374"/>
        <v>30.99</v>
      </c>
      <c r="AK313" s="255">
        <f t="shared" ca="1" si="374"/>
        <v>31.2</v>
      </c>
      <c r="AL313" s="255">
        <f t="shared" ca="1" si="374"/>
        <v>34.44</v>
      </c>
      <c r="AM313" s="255">
        <f t="shared" ca="1" si="374"/>
        <v>36.369999999999997</v>
      </c>
      <c r="AN313" s="255">
        <f t="shared" ca="1" si="374"/>
        <v>37.700000000000003</v>
      </c>
      <c r="AO313" s="255">
        <f t="shared" ca="1" si="374"/>
        <v>36.68</v>
      </c>
      <c r="AP313" s="255">
        <f t="shared" ca="1" si="374"/>
        <v>41.31</v>
      </c>
      <c r="AQ313" s="255">
        <f t="shared" ca="1" si="374"/>
        <v>44.68</v>
      </c>
      <c r="AR313" s="255">
        <f t="shared" ca="1" si="374"/>
        <v>46.56</v>
      </c>
      <c r="AS313" s="255">
        <f t="shared" ca="1" si="374"/>
        <v>44.08</v>
      </c>
      <c r="AT313" s="255">
        <f t="shared" ca="1" si="374"/>
        <v>42.96</v>
      </c>
      <c r="AU313" s="507">
        <f t="shared" ca="1" si="374"/>
        <v>45.44</v>
      </c>
      <c r="AV313" s="452">
        <f t="shared" si="374"/>
        <v>0</v>
      </c>
      <c r="AW313" s="452">
        <f t="shared" si="374"/>
        <v>0</v>
      </c>
      <c r="AX313" s="452">
        <f t="shared" si="374"/>
        <v>0</v>
      </c>
      <c r="AY313" s="452"/>
      <c r="AZ313" s="816">
        <f t="shared" ref="AZ313:BS313" ca="1" si="375">IF(INDEX(MO_SNA_IsHistoricalPeriod,1,COLUMN())=FALSE,0,INDEX(MO_SPT_StockHigh,1,COLUMN()))</f>
        <v>25.83</v>
      </c>
      <c r="BA313" s="816">
        <f t="shared" ca="1" si="375"/>
        <v>25.83</v>
      </c>
      <c r="BB313" s="816">
        <f t="shared" ca="1" si="375"/>
        <v>39.74</v>
      </c>
      <c r="BC313" s="816">
        <f t="shared" ca="1" si="375"/>
        <v>37</v>
      </c>
      <c r="BD313" s="816">
        <f t="shared" ca="1" si="375"/>
        <v>30.89</v>
      </c>
      <c r="BE313" s="816">
        <f t="shared" ca="1" si="375"/>
        <v>38.14</v>
      </c>
      <c r="BF313" s="816">
        <f t="shared" ca="1" si="375"/>
        <v>24.51</v>
      </c>
      <c r="BG313" s="816">
        <f t="shared" ca="1" si="375"/>
        <v>14.95</v>
      </c>
      <c r="BH313" s="816">
        <f t="shared" ca="1" si="375"/>
        <v>21.18</v>
      </c>
      <c r="BI313" s="816">
        <f t="shared" ca="1" si="375"/>
        <v>18.79</v>
      </c>
      <c r="BJ313" s="816">
        <f t="shared" ca="1" si="375"/>
        <v>37</v>
      </c>
      <c r="BK313" s="816">
        <f t="shared" ca="1" si="375"/>
        <v>31.55</v>
      </c>
      <c r="BL313" s="816">
        <f t="shared" ca="1" si="375"/>
        <v>51.6</v>
      </c>
      <c r="BM313" s="816">
        <f t="shared" ca="1" si="375"/>
        <v>41.31</v>
      </c>
      <c r="BN313" s="817">
        <f t="shared" ca="1" si="375"/>
        <v>46.56</v>
      </c>
      <c r="BO313" s="798">
        <f t="shared" si="375"/>
        <v>0</v>
      </c>
      <c r="BP313" s="798">
        <f t="shared" si="375"/>
        <v>0</v>
      </c>
      <c r="BQ313" s="798">
        <f t="shared" si="375"/>
        <v>0</v>
      </c>
      <c r="BR313" s="798">
        <f t="shared" si="375"/>
        <v>0</v>
      </c>
      <c r="BS313" s="798">
        <f t="shared" si="375"/>
        <v>0</v>
      </c>
      <c r="BT313" s="256"/>
    </row>
    <row r="314" spans="1:72" s="257" customFormat="1" hidden="1" outlineLevel="1" x14ac:dyDescent="0.35">
      <c r="A314" s="254" t="str">
        <f ca="1">"Stock Low, "&amp;HP.TradeCurrency</f>
        <v>Stock Low, USD</v>
      </c>
      <c r="B314" s="369"/>
      <c r="C314" s="255">
        <f t="shared" ref="C314:AH314" ca="1" si="376">IF(INDEX(MO_SNA_IsHistoricalPeriod,1,COLUMN())=FALSE,0,INDEX(MO_SPT_StockLow,1,COLUMN()))</f>
        <v>17.190000000000001</v>
      </c>
      <c r="D314" s="255">
        <f t="shared" ca="1" si="376"/>
        <v>15.83</v>
      </c>
      <c r="E314" s="255">
        <f t="shared" ca="1" si="376"/>
        <v>17.77</v>
      </c>
      <c r="F314" s="255">
        <f t="shared" ca="1" si="376"/>
        <v>23.24</v>
      </c>
      <c r="G314" s="255">
        <f t="shared" ca="1" si="376"/>
        <v>25.95</v>
      </c>
      <c r="H314" s="255">
        <f t="shared" ca="1" si="376"/>
        <v>17.149999999999999</v>
      </c>
      <c r="I314" s="255">
        <f t="shared" ca="1" si="376"/>
        <v>19.66</v>
      </c>
      <c r="J314" s="255">
        <f t="shared" ca="1" si="376"/>
        <v>21.14</v>
      </c>
      <c r="K314" s="255">
        <f t="shared" ca="1" si="376"/>
        <v>15.96</v>
      </c>
      <c r="L314" s="255">
        <f t="shared" ca="1" si="376"/>
        <v>11.08</v>
      </c>
      <c r="M314" s="255">
        <f t="shared" ca="1" si="376"/>
        <v>10.07</v>
      </c>
      <c r="N314" s="255">
        <f t="shared" ca="1" si="376"/>
        <v>12.53</v>
      </c>
      <c r="O314" s="255">
        <f t="shared" ca="1" si="376"/>
        <v>12.15</v>
      </c>
      <c r="P314" s="255">
        <f t="shared" ca="1" si="376"/>
        <v>8.8000000000000007</v>
      </c>
      <c r="Q314" s="255">
        <f t="shared" ca="1" si="376"/>
        <v>7.11</v>
      </c>
      <c r="R314" s="255">
        <f t="shared" ca="1" si="376"/>
        <v>9.16</v>
      </c>
      <c r="S314" s="255">
        <f t="shared" ca="1" si="376"/>
        <v>10.67</v>
      </c>
      <c r="T314" s="255">
        <f t="shared" ca="1" si="376"/>
        <v>10.17</v>
      </c>
      <c r="U314" s="255">
        <f t="shared" ca="1" si="376"/>
        <v>16.16</v>
      </c>
      <c r="V314" s="255">
        <f t="shared" ca="1" si="376"/>
        <v>17.16</v>
      </c>
      <c r="W314" s="255">
        <f t="shared" ca="1" si="376"/>
        <v>16.350000000000001</v>
      </c>
      <c r="X314" s="255">
        <f t="shared" ca="1" si="376"/>
        <v>15.07</v>
      </c>
      <c r="Y314" s="255">
        <f t="shared" ca="1" si="376"/>
        <v>14.01</v>
      </c>
      <c r="Z314" s="255">
        <f t="shared" ca="1" si="376"/>
        <v>12.72</v>
      </c>
      <c r="AA314" s="255">
        <f t="shared" ca="1" si="376"/>
        <v>16.170000000000002</v>
      </c>
      <c r="AB314" s="255">
        <f t="shared" ca="1" si="376"/>
        <v>16.38</v>
      </c>
      <c r="AC314" s="255">
        <f t="shared" ca="1" si="376"/>
        <v>23.93</v>
      </c>
      <c r="AD314" s="255">
        <f t="shared" ca="1" si="376"/>
        <v>28.37</v>
      </c>
      <c r="AE314" s="255">
        <f t="shared" ca="1" si="376"/>
        <v>26</v>
      </c>
      <c r="AF314" s="255">
        <f t="shared" ca="1" si="376"/>
        <v>18.96</v>
      </c>
      <c r="AG314" s="255">
        <f t="shared" ca="1" si="376"/>
        <v>15.86</v>
      </c>
      <c r="AH314" s="255">
        <f t="shared" ca="1" si="376"/>
        <v>17.850000000000001</v>
      </c>
      <c r="AI314" s="255">
        <f t="shared" ref="AI314:AX314" ca="1" si="377">IF(INDEX(MO_SNA_IsHistoricalPeriod,1,COLUMN())=FALSE,0,INDEX(MO_SPT_StockLow,1,COLUMN()))</f>
        <v>26.34</v>
      </c>
      <c r="AJ314" s="255">
        <f t="shared" ca="1" si="377"/>
        <v>21.05</v>
      </c>
      <c r="AK314" s="255">
        <f t="shared" ca="1" si="377"/>
        <v>20.89</v>
      </c>
      <c r="AL314" s="255">
        <f t="shared" ca="1" si="377"/>
        <v>26.34</v>
      </c>
      <c r="AM314" s="255">
        <f t="shared" ca="1" si="377"/>
        <v>28.63</v>
      </c>
      <c r="AN314" s="255">
        <f t="shared" ca="1" si="377"/>
        <v>31.56</v>
      </c>
      <c r="AO314" s="255">
        <f t="shared" ca="1" si="377"/>
        <v>26.86</v>
      </c>
      <c r="AP314" s="255">
        <f t="shared" ca="1" si="377"/>
        <v>33.46</v>
      </c>
      <c r="AQ314" s="255">
        <f t="shared" ca="1" si="377"/>
        <v>35.15</v>
      </c>
      <c r="AR314" s="255">
        <f t="shared" ca="1" si="377"/>
        <v>31.28</v>
      </c>
      <c r="AS314" s="255">
        <f t="shared" ca="1" si="377"/>
        <v>31.77</v>
      </c>
      <c r="AT314" s="255">
        <f t="shared" ca="1" si="377"/>
        <v>37.229999999999997</v>
      </c>
      <c r="AU314" s="507">
        <f t="shared" ca="1" si="377"/>
        <v>35.82</v>
      </c>
      <c r="AV314" s="452">
        <f t="shared" si="377"/>
        <v>0</v>
      </c>
      <c r="AW314" s="452">
        <f t="shared" si="377"/>
        <v>0</v>
      </c>
      <c r="AX314" s="452">
        <f t="shared" si="377"/>
        <v>0</v>
      </c>
      <c r="AY314" s="452"/>
      <c r="AZ314" s="816">
        <f t="shared" ref="AZ314:BS314" ca="1" si="378">IF(INDEX(MO_SNA_IsHistoricalPeriod,1,COLUMN())=FALSE,0,INDEX(MO_SPT_StockLow,1,COLUMN()))</f>
        <v>15.28</v>
      </c>
      <c r="BA314" s="816">
        <f t="shared" ca="1" si="378"/>
        <v>15.28</v>
      </c>
      <c r="BB314" s="816">
        <f t="shared" ca="1" si="378"/>
        <v>21.21</v>
      </c>
      <c r="BC314" s="816">
        <f t="shared" ca="1" si="378"/>
        <v>17.07</v>
      </c>
      <c r="BD314" s="816">
        <f t="shared" ca="1" si="378"/>
        <v>15.83</v>
      </c>
      <c r="BE314" s="816">
        <f t="shared" ca="1" si="378"/>
        <v>17.149999999999999</v>
      </c>
      <c r="BF314" s="816">
        <f t="shared" ca="1" si="378"/>
        <v>10.07</v>
      </c>
      <c r="BG314" s="816">
        <f t="shared" ca="1" si="378"/>
        <v>7.11</v>
      </c>
      <c r="BH314" s="816">
        <f t="shared" ca="1" si="378"/>
        <v>10.17</v>
      </c>
      <c r="BI314" s="816">
        <f t="shared" ca="1" si="378"/>
        <v>12.72</v>
      </c>
      <c r="BJ314" s="816">
        <f t="shared" ca="1" si="378"/>
        <v>16.170000000000002</v>
      </c>
      <c r="BK314" s="816">
        <f t="shared" ca="1" si="378"/>
        <v>15.86</v>
      </c>
      <c r="BL314" s="816">
        <f t="shared" ca="1" si="378"/>
        <v>20.89</v>
      </c>
      <c r="BM314" s="816">
        <f t="shared" ca="1" si="378"/>
        <v>26.86</v>
      </c>
      <c r="BN314" s="817">
        <f t="shared" ca="1" si="378"/>
        <v>31.28</v>
      </c>
      <c r="BO314" s="798">
        <f t="shared" si="378"/>
        <v>0</v>
      </c>
      <c r="BP314" s="798">
        <f t="shared" si="378"/>
        <v>0</v>
      </c>
      <c r="BQ314" s="798">
        <f t="shared" si="378"/>
        <v>0</v>
      </c>
      <c r="BR314" s="798">
        <f t="shared" si="378"/>
        <v>0</v>
      </c>
      <c r="BS314" s="798">
        <f t="shared" si="378"/>
        <v>0</v>
      </c>
      <c r="BT314" s="256"/>
    </row>
    <row r="315" spans="1:72" s="257" customFormat="1" hidden="1" outlineLevel="1" x14ac:dyDescent="0.35">
      <c r="A315" s="254" t="str">
        <f ca="1">"Stock Average, "&amp;HP.TradeCurrency</f>
        <v>Stock Average, USD</v>
      </c>
      <c r="B315" s="369"/>
      <c r="C315" s="255">
        <f t="shared" ref="C315:AH315" ca="1" si="379">IF(INDEX(MO_SNA_IsHistoricalPeriod,1,COLUMN())=FALSE,0,INDEX(MO_SPT_StockAverage,1,COLUMN()))</f>
        <v>21.29</v>
      </c>
      <c r="D315" s="255">
        <f t="shared" ca="1" si="379"/>
        <v>19.114999999999998</v>
      </c>
      <c r="E315" s="255">
        <f t="shared" ca="1" si="379"/>
        <v>21.155000000000001</v>
      </c>
      <c r="F315" s="255">
        <f t="shared" ca="1" si="379"/>
        <v>27.065000000000001</v>
      </c>
      <c r="G315" s="255">
        <f t="shared" ca="1" si="379"/>
        <v>32.045000000000002</v>
      </c>
      <c r="H315" s="255">
        <f t="shared" ca="1" si="379"/>
        <v>24.405000000000001</v>
      </c>
      <c r="I315" s="255">
        <f t="shared" ca="1" si="379"/>
        <v>21.605</v>
      </c>
      <c r="J315" s="255">
        <f t="shared" ca="1" si="379"/>
        <v>23.67</v>
      </c>
      <c r="K315" s="255">
        <f t="shared" ca="1" si="379"/>
        <v>20.234999999999999</v>
      </c>
      <c r="L315" s="255">
        <f t="shared" ca="1" si="379"/>
        <v>13.835000000000001</v>
      </c>
      <c r="M315" s="255">
        <f t="shared" ca="1" si="379"/>
        <v>13.89</v>
      </c>
      <c r="N315" s="255">
        <f t="shared" ca="1" si="379"/>
        <v>15.08</v>
      </c>
      <c r="O315" s="255">
        <f t="shared" ca="1" si="379"/>
        <v>13.55</v>
      </c>
      <c r="P315" s="255">
        <f t="shared" ca="1" si="379"/>
        <v>11.625</v>
      </c>
      <c r="Q315" s="255">
        <f t="shared" ca="1" si="379"/>
        <v>9.15</v>
      </c>
      <c r="R315" s="255">
        <f t="shared" ca="1" si="379"/>
        <v>11.035</v>
      </c>
      <c r="S315" s="255">
        <f t="shared" ca="1" si="379"/>
        <v>12.54</v>
      </c>
      <c r="T315" s="255">
        <f t="shared" ca="1" si="379"/>
        <v>14.005000000000001</v>
      </c>
      <c r="U315" s="255">
        <f t="shared" ca="1" si="379"/>
        <v>18.414999999999999</v>
      </c>
      <c r="V315" s="255">
        <f t="shared" ca="1" si="379"/>
        <v>19.170000000000002</v>
      </c>
      <c r="W315" s="255">
        <f t="shared" ca="1" si="379"/>
        <v>17.57</v>
      </c>
      <c r="X315" s="255">
        <f t="shared" ca="1" si="379"/>
        <v>16.704999999999998</v>
      </c>
      <c r="Y315" s="255">
        <f t="shared" ca="1" si="379"/>
        <v>16.14</v>
      </c>
      <c r="Z315" s="255">
        <f t="shared" ca="1" si="379"/>
        <v>15.045</v>
      </c>
      <c r="AA315" s="255">
        <f t="shared" ca="1" si="379"/>
        <v>17.076984126984101</v>
      </c>
      <c r="AB315" s="255">
        <f t="shared" ca="1" si="379"/>
        <v>21.332063492063501</v>
      </c>
      <c r="AC315" s="255">
        <f t="shared" ca="1" si="379"/>
        <v>30.490491803278701</v>
      </c>
      <c r="AD315" s="255">
        <f t="shared" ca="1" si="379"/>
        <v>32.176507936507903</v>
      </c>
      <c r="AE315" s="255">
        <f t="shared" ca="1" si="379"/>
        <v>28.723749999999999</v>
      </c>
      <c r="AF315" s="255">
        <f t="shared" ca="1" si="379"/>
        <v>21.356718749999999</v>
      </c>
      <c r="AG315" s="255">
        <f t="shared" ca="1" si="379"/>
        <v>18.446935483870998</v>
      </c>
      <c r="AH315" s="255">
        <f t="shared" ca="1" si="379"/>
        <v>24.053492063492101</v>
      </c>
      <c r="AI315" s="255">
        <f t="shared" ref="AI315:AX315" ca="1" si="380">IF(INDEX(MO_SNA_IsHistoricalPeriod,1,COLUMN())=FALSE,0,INDEX(MO_SPT_StockAverage,1,COLUMN()))</f>
        <v>38.671875</v>
      </c>
      <c r="AJ315" s="255">
        <f t="shared" ca="1" si="380"/>
        <v>24.83171875</v>
      </c>
      <c r="AK315" s="255">
        <f t="shared" ca="1" si="380"/>
        <v>25.9619672131148</v>
      </c>
      <c r="AL315" s="255">
        <f t="shared" ca="1" si="380"/>
        <v>29.8095238095238</v>
      </c>
      <c r="AM315" s="255">
        <f t="shared" ca="1" si="380"/>
        <v>32.806093750000002</v>
      </c>
      <c r="AN315" s="255">
        <f t="shared" ca="1" si="380"/>
        <v>34.519374999999997</v>
      </c>
      <c r="AO315" s="255">
        <f t="shared" ca="1" si="380"/>
        <v>33.188709677419297</v>
      </c>
      <c r="AP315" s="255">
        <f t="shared" ca="1" si="380"/>
        <v>37.030645161290302</v>
      </c>
      <c r="AQ315" s="255">
        <f t="shared" ca="1" si="380"/>
        <v>40.293437500000003</v>
      </c>
      <c r="AR315" s="255">
        <f t="shared" ca="1" si="380"/>
        <v>36.712222222222202</v>
      </c>
      <c r="AS315" s="255">
        <f t="shared" ca="1" si="380"/>
        <v>39.240161290322597</v>
      </c>
      <c r="AT315" s="255">
        <f t="shared" ca="1" si="380"/>
        <v>40.010483870967803</v>
      </c>
      <c r="AU315" s="507">
        <f t="shared" ca="1" si="380"/>
        <v>40.673015873015899</v>
      </c>
      <c r="AV315" s="452">
        <f t="shared" si="380"/>
        <v>0</v>
      </c>
      <c r="AW315" s="452">
        <f t="shared" si="380"/>
        <v>0</v>
      </c>
      <c r="AX315" s="452">
        <f t="shared" si="380"/>
        <v>0</v>
      </c>
      <c r="AY315" s="452"/>
      <c r="AZ315" s="816">
        <f t="shared" ref="AZ315:BS315" ca="1" si="381">IF(INDEX(MO_SNA_IsHistoricalPeriod,1,COLUMN())=FALSE,0,INDEX(MO_SPT_StockAverage,1,COLUMN()))</f>
        <v>20.493749999999999</v>
      </c>
      <c r="BA315" s="816">
        <f t="shared" ca="1" si="381"/>
        <v>20.493749999999999</v>
      </c>
      <c r="BB315" s="816">
        <f t="shared" ca="1" si="381"/>
        <v>29.46875</v>
      </c>
      <c r="BC315" s="816">
        <f t="shared" ca="1" si="381"/>
        <v>25.161249999999999</v>
      </c>
      <c r="BD315" s="816">
        <f t="shared" ca="1" si="381"/>
        <v>22.15625</v>
      </c>
      <c r="BE315" s="816">
        <f t="shared" ca="1" si="381"/>
        <v>25.431249999999999</v>
      </c>
      <c r="BF315" s="816">
        <f t="shared" ca="1" si="381"/>
        <v>15.76</v>
      </c>
      <c r="BG315" s="816">
        <f t="shared" ca="1" si="381"/>
        <v>11.34</v>
      </c>
      <c r="BH315" s="816">
        <f t="shared" ca="1" si="381"/>
        <v>16.032499999999999</v>
      </c>
      <c r="BI315" s="816">
        <f t="shared" ca="1" si="381"/>
        <v>16.364999999999998</v>
      </c>
      <c r="BJ315" s="816">
        <f t="shared" ca="1" si="381"/>
        <v>25.227239999999998</v>
      </c>
      <c r="BK315" s="816">
        <f t="shared" ca="1" si="381"/>
        <v>23.178774703557298</v>
      </c>
      <c r="BL315" s="816">
        <f t="shared" ca="1" si="381"/>
        <v>29.864722222222198</v>
      </c>
      <c r="BM315" s="816">
        <f t="shared" ca="1" si="381"/>
        <v>34.374722222222204</v>
      </c>
      <c r="BN315" s="817">
        <f t="shared" ca="1" si="381"/>
        <v>39.0645019920319</v>
      </c>
      <c r="BO315" s="798">
        <f t="shared" si="381"/>
        <v>0</v>
      </c>
      <c r="BP315" s="798">
        <f t="shared" si="381"/>
        <v>0</v>
      </c>
      <c r="BQ315" s="798">
        <f t="shared" si="381"/>
        <v>0</v>
      </c>
      <c r="BR315" s="798">
        <f t="shared" si="381"/>
        <v>0</v>
      </c>
      <c r="BS315" s="798">
        <f t="shared" si="381"/>
        <v>0</v>
      </c>
      <c r="BT315" s="256"/>
    </row>
    <row r="316" spans="1:72" s="257" customFormat="1" hidden="1" outlineLevel="1" x14ac:dyDescent="0.35">
      <c r="A316" s="254" t="str">
        <f ca="1">"Stock EoP, "&amp;HP.TradeCurrency</f>
        <v>Stock EoP, USD</v>
      </c>
      <c r="B316" s="369"/>
      <c r="C316" s="444">
        <f t="shared" ref="C316:AH316" si="382">IF(INDEX(MO_SNA_IsHistoricalPeriod,1,COLUMN())=FALSE,MO.LastPrice,INDEX(MO_SPT_StockEoP,1,COLUMN()))</f>
        <v>20.2</v>
      </c>
      <c r="D316" s="444">
        <f t="shared" si="382"/>
        <v>20.11</v>
      </c>
      <c r="E316" s="444">
        <f t="shared" si="382"/>
        <v>24.11</v>
      </c>
      <c r="F316" s="444">
        <f t="shared" si="382"/>
        <v>26.27</v>
      </c>
      <c r="G316" s="444">
        <f t="shared" si="382"/>
        <v>31.44</v>
      </c>
      <c r="H316" s="444">
        <f t="shared" si="382"/>
        <v>21.72</v>
      </c>
      <c r="I316" s="444">
        <f t="shared" si="382"/>
        <v>22.1</v>
      </c>
      <c r="J316" s="444">
        <f t="shared" si="382"/>
        <v>24.32</v>
      </c>
      <c r="K316" s="444">
        <f t="shared" si="382"/>
        <v>16.350000000000001</v>
      </c>
      <c r="L316" s="444">
        <f t="shared" si="382"/>
        <v>11.85</v>
      </c>
      <c r="M316" s="444">
        <f t="shared" si="382"/>
        <v>15.96</v>
      </c>
      <c r="N316" s="444">
        <f t="shared" si="382"/>
        <v>13.2</v>
      </c>
      <c r="O316" s="444">
        <f t="shared" si="382"/>
        <v>12.62</v>
      </c>
      <c r="P316" s="444">
        <f t="shared" si="382"/>
        <v>8.8800000000000008</v>
      </c>
      <c r="Q316" s="444">
        <f t="shared" si="382"/>
        <v>10.050000000000001</v>
      </c>
      <c r="R316" s="444">
        <f t="shared" si="382"/>
        <v>12.09</v>
      </c>
      <c r="S316" s="444">
        <f t="shared" si="382"/>
        <v>14.05</v>
      </c>
      <c r="T316" s="444">
        <f t="shared" si="382"/>
        <v>17.16</v>
      </c>
      <c r="U316" s="444">
        <f t="shared" si="382"/>
        <v>18.649999999999999</v>
      </c>
      <c r="V316" s="444">
        <f t="shared" si="382"/>
        <v>18.03</v>
      </c>
      <c r="W316" s="444">
        <f t="shared" si="382"/>
        <v>17.84</v>
      </c>
      <c r="X316" s="444">
        <f t="shared" si="382"/>
        <v>15.9</v>
      </c>
      <c r="Y316" s="444">
        <f t="shared" si="382"/>
        <v>14.18</v>
      </c>
      <c r="Z316" s="444">
        <f t="shared" si="382"/>
        <v>16.37</v>
      </c>
      <c r="AA316" s="444">
        <f t="shared" si="382"/>
        <v>17.7</v>
      </c>
      <c r="AB316" s="444">
        <f t="shared" si="382"/>
        <v>24.42</v>
      </c>
      <c r="AC316" s="444">
        <f t="shared" si="382"/>
        <v>34.130000000000003</v>
      </c>
      <c r="AD316" s="444">
        <f t="shared" si="382"/>
        <v>30.41</v>
      </c>
      <c r="AE316" s="444">
        <f t="shared" si="382"/>
        <v>26.48</v>
      </c>
      <c r="AF316" s="444">
        <f t="shared" si="382"/>
        <v>19.850000000000001</v>
      </c>
      <c r="AG316" s="444">
        <f t="shared" si="382"/>
        <v>18.57</v>
      </c>
      <c r="AH316" s="444">
        <f t="shared" si="382"/>
        <v>26.72</v>
      </c>
      <c r="AI316" s="444">
        <f t="shared" ref="AI316:AX316" si="383">IF(INDEX(MO_SNA_IsHistoricalPeriod,1,COLUMN())=FALSE,MO.LastPrice,INDEX(MO_SPT_StockEoP,1,COLUMN()))</f>
        <v>27.08</v>
      </c>
      <c r="AJ316" s="444">
        <f t="shared" si="383"/>
        <v>21.58</v>
      </c>
      <c r="AK316" s="444">
        <f t="shared" si="383"/>
        <v>29.6</v>
      </c>
      <c r="AL316" s="444">
        <f t="shared" si="383"/>
        <v>32.630000000000003</v>
      </c>
      <c r="AM316" s="444">
        <f t="shared" si="383"/>
        <v>35.07</v>
      </c>
      <c r="AN316" s="444">
        <f t="shared" si="383"/>
        <v>33.11</v>
      </c>
      <c r="AO316" s="444">
        <f t="shared" si="383"/>
        <v>35.770000000000003</v>
      </c>
      <c r="AP316" s="444">
        <f t="shared" si="383"/>
        <v>41.31</v>
      </c>
      <c r="AQ316" s="444">
        <f t="shared" si="383"/>
        <v>42.37</v>
      </c>
      <c r="AR316" s="444">
        <f t="shared" si="383"/>
        <v>31.28</v>
      </c>
      <c r="AS316" s="444">
        <f t="shared" si="383"/>
        <v>39.03</v>
      </c>
      <c r="AT316" s="444">
        <f t="shared" si="383"/>
        <v>37.29</v>
      </c>
      <c r="AU316" s="508">
        <f t="shared" si="383"/>
        <v>45.03</v>
      </c>
      <c r="AV316" s="453">
        <f t="shared" ca="1" si="383"/>
        <v>54.44</v>
      </c>
      <c r="AW316" s="453">
        <f t="shared" ca="1" si="383"/>
        <v>54.44</v>
      </c>
      <c r="AX316" s="453">
        <f t="shared" ca="1" si="383"/>
        <v>54.44</v>
      </c>
      <c r="AY316" s="453"/>
      <c r="AZ316" s="818">
        <f t="shared" ref="AZ316:BS316" si="384">IF(INDEX(MO_SNA_IsHistoricalPeriod,1,COLUMN())=FALSE,MO.LastPrice,INDEX(MO_SPT_StockEoP,1,COLUMN()))</f>
        <v>20.88</v>
      </c>
      <c r="BA316" s="818">
        <f t="shared" si="384"/>
        <v>23.02</v>
      </c>
      <c r="BB316" s="818">
        <f t="shared" si="384"/>
        <v>32.76</v>
      </c>
      <c r="BC316" s="818">
        <f t="shared" si="384"/>
        <v>23.3</v>
      </c>
      <c r="BD316" s="818">
        <f t="shared" si="384"/>
        <v>26.27</v>
      </c>
      <c r="BE316" s="818">
        <f t="shared" si="384"/>
        <v>24.32</v>
      </c>
      <c r="BF316" s="818">
        <f t="shared" si="384"/>
        <v>13.2</v>
      </c>
      <c r="BG316" s="818">
        <f t="shared" si="384"/>
        <v>12.09</v>
      </c>
      <c r="BH316" s="818">
        <f t="shared" si="384"/>
        <v>18.03</v>
      </c>
      <c r="BI316" s="818">
        <f t="shared" si="384"/>
        <v>16.37</v>
      </c>
      <c r="BJ316" s="818">
        <f t="shared" si="384"/>
        <v>30.41</v>
      </c>
      <c r="BK316" s="818">
        <f t="shared" si="384"/>
        <v>26.72</v>
      </c>
      <c r="BL316" s="818">
        <f t="shared" si="384"/>
        <v>32.630000000000003</v>
      </c>
      <c r="BM316" s="818">
        <f t="shared" si="384"/>
        <v>41.31</v>
      </c>
      <c r="BN316" s="819">
        <f t="shared" si="384"/>
        <v>37.29</v>
      </c>
      <c r="BO316" s="820">
        <f t="shared" ca="1" si="384"/>
        <v>54.44</v>
      </c>
      <c r="BP316" s="820">
        <f t="shared" ca="1" si="384"/>
        <v>54.44</v>
      </c>
      <c r="BQ316" s="820">
        <f t="shared" ca="1" si="384"/>
        <v>54.44</v>
      </c>
      <c r="BR316" s="820">
        <f t="shared" ca="1" si="384"/>
        <v>54.44</v>
      </c>
      <c r="BS316" s="820">
        <f t="shared" ca="1" si="384"/>
        <v>54.44</v>
      </c>
      <c r="BT316" s="256"/>
    </row>
    <row r="317" spans="1:72" s="246" customFormat="1" hidden="1" outlineLevel="1" x14ac:dyDescent="0.35">
      <c r="A317" s="249" t="str">
        <f ca="1">"Average FX Rate, "&amp;HP.TradeCurrency&amp;"/"&amp;MO.ReportCurrency</f>
        <v>Average FX Rate, USD/USD</v>
      </c>
      <c r="B317" s="379"/>
      <c r="C317" s="445">
        <f t="shared" ref="C317:AH317" ca="1" si="385">IF(INDEX(MO_SPT_FXAverage,1,COLUMN())=0,1,INDEX(MO_SPT_FXAverage,1,COLUMN()))</f>
        <v>1</v>
      </c>
      <c r="D317" s="445">
        <f t="shared" ca="1" si="385"/>
        <v>1</v>
      </c>
      <c r="E317" s="445">
        <f t="shared" ca="1" si="385"/>
        <v>1</v>
      </c>
      <c r="F317" s="445">
        <f t="shared" ca="1" si="385"/>
        <v>1</v>
      </c>
      <c r="G317" s="445">
        <f t="shared" ca="1" si="385"/>
        <v>1</v>
      </c>
      <c r="H317" s="445">
        <f t="shared" ca="1" si="385"/>
        <v>1</v>
      </c>
      <c r="I317" s="445">
        <f t="shared" ca="1" si="385"/>
        <v>1</v>
      </c>
      <c r="J317" s="445">
        <f t="shared" ca="1" si="385"/>
        <v>1</v>
      </c>
      <c r="K317" s="445">
        <f t="shared" ca="1" si="385"/>
        <v>1</v>
      </c>
      <c r="L317" s="445">
        <f t="shared" ca="1" si="385"/>
        <v>1</v>
      </c>
      <c r="M317" s="445">
        <f t="shared" ca="1" si="385"/>
        <v>1</v>
      </c>
      <c r="N317" s="445">
        <f t="shared" ca="1" si="385"/>
        <v>1</v>
      </c>
      <c r="O317" s="445">
        <f t="shared" ca="1" si="385"/>
        <v>1</v>
      </c>
      <c r="P317" s="445">
        <f t="shared" ca="1" si="385"/>
        <v>1</v>
      </c>
      <c r="Q317" s="445">
        <f t="shared" ca="1" si="385"/>
        <v>1</v>
      </c>
      <c r="R317" s="445">
        <f t="shared" ca="1" si="385"/>
        <v>1</v>
      </c>
      <c r="S317" s="445">
        <f t="shared" ca="1" si="385"/>
        <v>1</v>
      </c>
      <c r="T317" s="445">
        <f t="shared" ca="1" si="385"/>
        <v>1</v>
      </c>
      <c r="U317" s="445">
        <f t="shared" ca="1" si="385"/>
        <v>1</v>
      </c>
      <c r="V317" s="445">
        <f t="shared" ca="1" si="385"/>
        <v>1</v>
      </c>
      <c r="W317" s="445">
        <f t="shared" ca="1" si="385"/>
        <v>1</v>
      </c>
      <c r="X317" s="445">
        <f t="shared" ca="1" si="385"/>
        <v>1</v>
      </c>
      <c r="Y317" s="445">
        <f t="shared" ca="1" si="385"/>
        <v>1</v>
      </c>
      <c r="Z317" s="445">
        <f t="shared" ca="1" si="385"/>
        <v>1</v>
      </c>
      <c r="AA317" s="445">
        <f t="shared" ca="1" si="385"/>
        <v>1</v>
      </c>
      <c r="AB317" s="445">
        <f t="shared" ca="1" si="385"/>
        <v>1</v>
      </c>
      <c r="AC317" s="445">
        <f t="shared" ca="1" si="385"/>
        <v>1</v>
      </c>
      <c r="AD317" s="445">
        <f t="shared" ca="1" si="385"/>
        <v>1</v>
      </c>
      <c r="AE317" s="445">
        <f t="shared" ca="1" si="385"/>
        <v>1</v>
      </c>
      <c r="AF317" s="445">
        <f t="shared" ca="1" si="385"/>
        <v>1</v>
      </c>
      <c r="AG317" s="445">
        <f t="shared" ca="1" si="385"/>
        <v>1</v>
      </c>
      <c r="AH317" s="445">
        <f t="shared" ca="1" si="385"/>
        <v>1</v>
      </c>
      <c r="AI317" s="445">
        <f t="shared" ref="AI317:AX317" ca="1" si="386">IF(INDEX(MO_SPT_FXAverage,1,COLUMN())=0,1,INDEX(MO_SPT_FXAverage,1,COLUMN()))</f>
        <v>1</v>
      </c>
      <c r="AJ317" s="445">
        <f t="shared" ca="1" si="386"/>
        <v>1</v>
      </c>
      <c r="AK317" s="445">
        <f t="shared" ca="1" si="386"/>
        <v>1</v>
      </c>
      <c r="AL317" s="445">
        <f t="shared" ca="1" si="386"/>
        <v>1</v>
      </c>
      <c r="AM317" s="445">
        <f t="shared" ca="1" si="386"/>
        <v>1</v>
      </c>
      <c r="AN317" s="445">
        <f t="shared" ca="1" si="386"/>
        <v>1</v>
      </c>
      <c r="AO317" s="445">
        <f t="shared" ca="1" si="386"/>
        <v>1</v>
      </c>
      <c r="AP317" s="445">
        <f t="shared" ca="1" si="386"/>
        <v>1</v>
      </c>
      <c r="AQ317" s="445">
        <f t="shared" ca="1" si="386"/>
        <v>1</v>
      </c>
      <c r="AR317" s="445">
        <f t="shared" ca="1" si="386"/>
        <v>1</v>
      </c>
      <c r="AS317" s="445">
        <f t="shared" ca="1" si="386"/>
        <v>1</v>
      </c>
      <c r="AT317" s="445">
        <f t="shared" ca="1" si="386"/>
        <v>1</v>
      </c>
      <c r="AU317" s="509">
        <f t="shared" ca="1" si="386"/>
        <v>1</v>
      </c>
      <c r="AV317" s="454">
        <f t="shared" ca="1" si="386"/>
        <v>1</v>
      </c>
      <c r="AW317" s="454">
        <f t="shared" ca="1" si="386"/>
        <v>1</v>
      </c>
      <c r="AX317" s="454">
        <f t="shared" ca="1" si="386"/>
        <v>1</v>
      </c>
      <c r="AY317" s="454"/>
      <c r="AZ317" s="821">
        <f t="shared" ref="AZ317:BS317" ca="1" si="387">IF(INDEX(MO_SPT_FXAverage,1,COLUMN())=0,1,INDEX(MO_SPT_FXAverage,1,COLUMN()))</f>
        <v>1</v>
      </c>
      <c r="BA317" s="821">
        <f t="shared" ca="1" si="387"/>
        <v>1</v>
      </c>
      <c r="BB317" s="821">
        <f t="shared" ca="1" si="387"/>
        <v>1</v>
      </c>
      <c r="BC317" s="821">
        <f t="shared" ca="1" si="387"/>
        <v>1</v>
      </c>
      <c r="BD317" s="821">
        <f t="shared" ca="1" si="387"/>
        <v>1</v>
      </c>
      <c r="BE317" s="821">
        <f t="shared" ca="1" si="387"/>
        <v>1</v>
      </c>
      <c r="BF317" s="821">
        <f t="shared" ca="1" si="387"/>
        <v>1</v>
      </c>
      <c r="BG317" s="821">
        <f t="shared" ca="1" si="387"/>
        <v>1</v>
      </c>
      <c r="BH317" s="821">
        <f t="shared" ca="1" si="387"/>
        <v>1</v>
      </c>
      <c r="BI317" s="821">
        <f t="shared" ca="1" si="387"/>
        <v>1</v>
      </c>
      <c r="BJ317" s="821">
        <f t="shared" ca="1" si="387"/>
        <v>1</v>
      </c>
      <c r="BK317" s="821">
        <f t="shared" ca="1" si="387"/>
        <v>1</v>
      </c>
      <c r="BL317" s="821">
        <f t="shared" ca="1" si="387"/>
        <v>1</v>
      </c>
      <c r="BM317" s="821">
        <f t="shared" ca="1" si="387"/>
        <v>1</v>
      </c>
      <c r="BN317" s="822">
        <f t="shared" ca="1" si="387"/>
        <v>1</v>
      </c>
      <c r="BO317" s="823">
        <f t="shared" ca="1" si="387"/>
        <v>1</v>
      </c>
      <c r="BP317" s="823">
        <f t="shared" ca="1" si="387"/>
        <v>1</v>
      </c>
      <c r="BQ317" s="823">
        <f t="shared" ca="1" si="387"/>
        <v>1</v>
      </c>
      <c r="BR317" s="823">
        <f t="shared" ca="1" si="387"/>
        <v>1</v>
      </c>
      <c r="BS317" s="823">
        <f t="shared" ca="1" si="387"/>
        <v>1</v>
      </c>
      <c r="BT317" s="245"/>
    </row>
    <row r="318" spans="1:72" s="246" customFormat="1" hidden="1" outlineLevel="1" x14ac:dyDescent="0.35">
      <c r="A318" s="249" t="str">
        <f ca="1">"EoP FX Rate, "&amp;HP.TradeCurrency&amp;"/"&amp;MO.ReportCurrency</f>
        <v>EoP FX Rate, USD/USD</v>
      </c>
      <c r="B318" s="379"/>
      <c r="C318" s="445">
        <f t="shared" ref="C318:AH318" si="388">IF(INDEX(MO_SNA_IsHistoricalPeriod,1,COLUMN())=FALSE,HP.MRFX,INDEX(MO_SPT_FXEoP,1,COLUMN()))</f>
        <v>1</v>
      </c>
      <c r="D318" s="445">
        <f t="shared" si="388"/>
        <v>1</v>
      </c>
      <c r="E318" s="445">
        <f t="shared" si="388"/>
        <v>1</v>
      </c>
      <c r="F318" s="445">
        <f t="shared" si="388"/>
        <v>1</v>
      </c>
      <c r="G318" s="445">
        <f t="shared" si="388"/>
        <v>1</v>
      </c>
      <c r="H318" s="445">
        <f t="shared" si="388"/>
        <v>1</v>
      </c>
      <c r="I318" s="445">
        <f t="shared" si="388"/>
        <v>1</v>
      </c>
      <c r="J318" s="445">
        <f t="shared" si="388"/>
        <v>1</v>
      </c>
      <c r="K318" s="445">
        <f t="shared" si="388"/>
        <v>1</v>
      </c>
      <c r="L318" s="445">
        <f t="shared" si="388"/>
        <v>1</v>
      </c>
      <c r="M318" s="445">
        <f t="shared" si="388"/>
        <v>1</v>
      </c>
      <c r="N318" s="445">
        <f t="shared" si="388"/>
        <v>1</v>
      </c>
      <c r="O318" s="445">
        <f t="shared" si="388"/>
        <v>1</v>
      </c>
      <c r="P318" s="445">
        <f t="shared" si="388"/>
        <v>1</v>
      </c>
      <c r="Q318" s="445">
        <f t="shared" si="388"/>
        <v>1</v>
      </c>
      <c r="R318" s="445">
        <f t="shared" si="388"/>
        <v>1</v>
      </c>
      <c r="S318" s="445">
        <f t="shared" si="388"/>
        <v>1</v>
      </c>
      <c r="T318" s="445">
        <f t="shared" si="388"/>
        <v>1</v>
      </c>
      <c r="U318" s="445">
        <f t="shared" si="388"/>
        <v>1</v>
      </c>
      <c r="V318" s="445">
        <f t="shared" si="388"/>
        <v>1</v>
      </c>
      <c r="W318" s="445">
        <f t="shared" si="388"/>
        <v>1</v>
      </c>
      <c r="X318" s="445">
        <f t="shared" si="388"/>
        <v>1</v>
      </c>
      <c r="Y318" s="445">
        <f t="shared" si="388"/>
        <v>1</v>
      </c>
      <c r="Z318" s="445">
        <f t="shared" si="388"/>
        <v>1</v>
      </c>
      <c r="AA318" s="445">
        <f t="shared" si="388"/>
        <v>1</v>
      </c>
      <c r="AB318" s="445">
        <f t="shared" si="388"/>
        <v>1</v>
      </c>
      <c r="AC318" s="445">
        <f t="shared" si="388"/>
        <v>1</v>
      </c>
      <c r="AD318" s="445">
        <f t="shared" si="388"/>
        <v>1</v>
      </c>
      <c r="AE318" s="445">
        <f t="shared" si="388"/>
        <v>1</v>
      </c>
      <c r="AF318" s="445">
        <f t="shared" si="388"/>
        <v>1</v>
      </c>
      <c r="AG318" s="445">
        <f t="shared" si="388"/>
        <v>1</v>
      </c>
      <c r="AH318" s="445">
        <f t="shared" si="388"/>
        <v>1</v>
      </c>
      <c r="AI318" s="445">
        <f t="shared" ref="AI318:AX318" si="389">IF(INDEX(MO_SNA_IsHistoricalPeriod,1,COLUMN())=FALSE,HP.MRFX,INDEX(MO_SPT_FXEoP,1,COLUMN()))</f>
        <v>1</v>
      </c>
      <c r="AJ318" s="445">
        <f t="shared" si="389"/>
        <v>1</v>
      </c>
      <c r="AK318" s="445">
        <f t="shared" si="389"/>
        <v>1</v>
      </c>
      <c r="AL318" s="445">
        <f t="shared" si="389"/>
        <v>1</v>
      </c>
      <c r="AM318" s="445">
        <f t="shared" si="389"/>
        <v>1</v>
      </c>
      <c r="AN318" s="445">
        <f t="shared" si="389"/>
        <v>1</v>
      </c>
      <c r="AO318" s="445">
        <f t="shared" si="389"/>
        <v>1</v>
      </c>
      <c r="AP318" s="445">
        <f t="shared" si="389"/>
        <v>1</v>
      </c>
      <c r="AQ318" s="445">
        <f t="shared" si="389"/>
        <v>1</v>
      </c>
      <c r="AR318" s="445">
        <f t="shared" si="389"/>
        <v>1</v>
      </c>
      <c r="AS318" s="445">
        <f t="shared" si="389"/>
        <v>1</v>
      </c>
      <c r="AT318" s="445">
        <f t="shared" si="389"/>
        <v>1</v>
      </c>
      <c r="AU318" s="509">
        <f t="shared" si="389"/>
        <v>1</v>
      </c>
      <c r="AV318" s="454">
        <f t="shared" ca="1" si="389"/>
        <v>1</v>
      </c>
      <c r="AW318" s="454">
        <f t="shared" ca="1" si="389"/>
        <v>1</v>
      </c>
      <c r="AX318" s="454">
        <f t="shared" ca="1" si="389"/>
        <v>1</v>
      </c>
      <c r="AY318" s="454"/>
      <c r="AZ318" s="821">
        <f t="shared" ref="AZ318:BS318" si="390">IF(INDEX(MO_SNA_IsHistoricalPeriod,1,COLUMN())=FALSE,HP.MRFX,INDEX(MO_SPT_FXEoP,1,COLUMN()))</f>
        <v>1</v>
      </c>
      <c r="BA318" s="821">
        <f t="shared" si="390"/>
        <v>1</v>
      </c>
      <c r="BB318" s="821">
        <f t="shared" si="390"/>
        <v>1</v>
      </c>
      <c r="BC318" s="821">
        <f t="shared" si="390"/>
        <v>1</v>
      </c>
      <c r="BD318" s="821">
        <f t="shared" si="390"/>
        <v>1</v>
      </c>
      <c r="BE318" s="821">
        <f t="shared" si="390"/>
        <v>1</v>
      </c>
      <c r="BF318" s="821">
        <f t="shared" si="390"/>
        <v>1</v>
      </c>
      <c r="BG318" s="821">
        <f t="shared" si="390"/>
        <v>1</v>
      </c>
      <c r="BH318" s="821">
        <f t="shared" si="390"/>
        <v>1</v>
      </c>
      <c r="BI318" s="821">
        <f t="shared" si="390"/>
        <v>1</v>
      </c>
      <c r="BJ318" s="821">
        <f t="shared" si="390"/>
        <v>1</v>
      </c>
      <c r="BK318" s="821">
        <f t="shared" si="390"/>
        <v>1</v>
      </c>
      <c r="BL318" s="821">
        <f t="shared" si="390"/>
        <v>1</v>
      </c>
      <c r="BM318" s="821">
        <f t="shared" si="390"/>
        <v>1</v>
      </c>
      <c r="BN318" s="822">
        <f t="shared" si="390"/>
        <v>1</v>
      </c>
      <c r="BO318" s="823">
        <f t="shared" ca="1" si="390"/>
        <v>1</v>
      </c>
      <c r="BP318" s="823">
        <f t="shared" ca="1" si="390"/>
        <v>1</v>
      </c>
      <c r="BQ318" s="823">
        <f t="shared" ca="1" si="390"/>
        <v>1</v>
      </c>
      <c r="BR318" s="823">
        <f t="shared" ca="1" si="390"/>
        <v>1</v>
      </c>
      <c r="BS318" s="823">
        <f t="shared" ca="1" si="390"/>
        <v>1</v>
      </c>
      <c r="BT318" s="245"/>
    </row>
    <row r="319" spans="1:72" s="257" customFormat="1" hidden="1" outlineLevel="1" x14ac:dyDescent="0.35">
      <c r="A319" s="254" t="str">
        <f ca="1">"Stock Price (Trading Cur.) - "&amp;MO.ValuationToggle&amp;", "&amp;HP.TradeCurrency</f>
        <v>Stock Price (Trading Cur.) - EoP, USD</v>
      </c>
      <c r="B319" s="369"/>
      <c r="C319" s="255">
        <f t="shared" ref="C319:AH319" si="391">IF(INDEX(MO_SNA_IsHistoricalPeriod,1,COLUMN())=FALSE,MO.LastPrice,CHOOSE(VLOOKUP(MO.ValuationToggle,tb_ValuationToggle,COLUMNS(tb_ValuationToggle),FALSE),C313,C314,C315,C316))</f>
        <v>20.2</v>
      </c>
      <c r="D319" s="255">
        <f t="shared" si="391"/>
        <v>20.11</v>
      </c>
      <c r="E319" s="255">
        <f t="shared" si="391"/>
        <v>24.11</v>
      </c>
      <c r="F319" s="255">
        <f t="shared" si="391"/>
        <v>26.27</v>
      </c>
      <c r="G319" s="255">
        <f t="shared" si="391"/>
        <v>31.44</v>
      </c>
      <c r="H319" s="255">
        <f t="shared" si="391"/>
        <v>21.72</v>
      </c>
      <c r="I319" s="255">
        <f t="shared" si="391"/>
        <v>22.1</v>
      </c>
      <c r="J319" s="255">
        <f t="shared" si="391"/>
        <v>24.32</v>
      </c>
      <c r="K319" s="255">
        <f t="shared" si="391"/>
        <v>16.350000000000001</v>
      </c>
      <c r="L319" s="255">
        <f t="shared" si="391"/>
        <v>11.85</v>
      </c>
      <c r="M319" s="255">
        <f t="shared" si="391"/>
        <v>15.96</v>
      </c>
      <c r="N319" s="255">
        <f t="shared" si="391"/>
        <v>13.2</v>
      </c>
      <c r="O319" s="255">
        <f t="shared" si="391"/>
        <v>12.62</v>
      </c>
      <c r="P319" s="255">
        <f t="shared" si="391"/>
        <v>8.8800000000000008</v>
      </c>
      <c r="Q319" s="255">
        <f t="shared" si="391"/>
        <v>10.050000000000001</v>
      </c>
      <c r="R319" s="255">
        <f t="shared" si="391"/>
        <v>12.09</v>
      </c>
      <c r="S319" s="255">
        <f t="shared" si="391"/>
        <v>14.05</v>
      </c>
      <c r="T319" s="255">
        <f t="shared" si="391"/>
        <v>17.16</v>
      </c>
      <c r="U319" s="255">
        <f t="shared" si="391"/>
        <v>18.649999999999999</v>
      </c>
      <c r="V319" s="255">
        <f t="shared" si="391"/>
        <v>18.03</v>
      </c>
      <c r="W319" s="255">
        <f t="shared" si="391"/>
        <v>17.84</v>
      </c>
      <c r="X319" s="255">
        <f t="shared" si="391"/>
        <v>15.9</v>
      </c>
      <c r="Y319" s="255">
        <f t="shared" si="391"/>
        <v>14.18</v>
      </c>
      <c r="Z319" s="255">
        <f t="shared" si="391"/>
        <v>16.37</v>
      </c>
      <c r="AA319" s="255">
        <f t="shared" si="391"/>
        <v>17.7</v>
      </c>
      <c r="AB319" s="255">
        <f t="shared" si="391"/>
        <v>24.42</v>
      </c>
      <c r="AC319" s="255">
        <f t="shared" si="391"/>
        <v>34.130000000000003</v>
      </c>
      <c r="AD319" s="255">
        <f t="shared" si="391"/>
        <v>30.41</v>
      </c>
      <c r="AE319" s="255">
        <f t="shared" si="391"/>
        <v>26.48</v>
      </c>
      <c r="AF319" s="255">
        <f t="shared" si="391"/>
        <v>19.850000000000001</v>
      </c>
      <c r="AG319" s="255">
        <f t="shared" si="391"/>
        <v>18.57</v>
      </c>
      <c r="AH319" s="255">
        <f t="shared" si="391"/>
        <v>26.72</v>
      </c>
      <c r="AI319" s="255">
        <f t="shared" ref="AI319:AX319" si="392">IF(INDEX(MO_SNA_IsHistoricalPeriod,1,COLUMN())=FALSE,MO.LastPrice,CHOOSE(VLOOKUP(MO.ValuationToggle,tb_ValuationToggle,COLUMNS(tb_ValuationToggle),FALSE),AI313,AI314,AI315,AI316))</f>
        <v>27.08</v>
      </c>
      <c r="AJ319" s="255">
        <f t="shared" si="392"/>
        <v>21.58</v>
      </c>
      <c r="AK319" s="255">
        <f t="shared" si="392"/>
        <v>29.6</v>
      </c>
      <c r="AL319" s="255">
        <f t="shared" si="392"/>
        <v>32.630000000000003</v>
      </c>
      <c r="AM319" s="255">
        <f t="shared" si="392"/>
        <v>35.07</v>
      </c>
      <c r="AN319" s="255">
        <f t="shared" si="392"/>
        <v>33.11</v>
      </c>
      <c r="AO319" s="255">
        <f t="shared" si="392"/>
        <v>35.770000000000003</v>
      </c>
      <c r="AP319" s="255">
        <f t="shared" si="392"/>
        <v>41.31</v>
      </c>
      <c r="AQ319" s="255">
        <f t="shared" si="392"/>
        <v>42.37</v>
      </c>
      <c r="AR319" s="255">
        <f t="shared" si="392"/>
        <v>31.28</v>
      </c>
      <c r="AS319" s="255">
        <f t="shared" si="392"/>
        <v>39.03</v>
      </c>
      <c r="AT319" s="255">
        <f t="shared" si="392"/>
        <v>37.29</v>
      </c>
      <c r="AU319" s="507">
        <f t="shared" si="392"/>
        <v>45.03</v>
      </c>
      <c r="AV319" s="452">
        <f t="shared" ca="1" si="392"/>
        <v>54.44</v>
      </c>
      <c r="AW319" s="452">
        <f t="shared" ca="1" si="392"/>
        <v>54.44</v>
      </c>
      <c r="AX319" s="452">
        <f t="shared" ca="1" si="392"/>
        <v>54.44</v>
      </c>
      <c r="AY319" s="452"/>
      <c r="AZ319" s="816">
        <f t="shared" ref="AZ319:BS319" si="393">IF(INDEX(MO_SNA_IsHistoricalPeriod,1,COLUMN())=FALSE,MO.LastPrice,CHOOSE(VLOOKUP(MO.ValuationToggle,tb_ValuationToggle,COLUMNS(tb_ValuationToggle),FALSE),AZ313,AZ314,AZ315,AZ316))</f>
        <v>20.88</v>
      </c>
      <c r="BA319" s="816">
        <f t="shared" si="393"/>
        <v>23.02</v>
      </c>
      <c r="BB319" s="816">
        <f t="shared" si="393"/>
        <v>32.76</v>
      </c>
      <c r="BC319" s="816">
        <f t="shared" si="393"/>
        <v>23.3</v>
      </c>
      <c r="BD319" s="816">
        <f t="shared" si="393"/>
        <v>26.27</v>
      </c>
      <c r="BE319" s="816">
        <f t="shared" si="393"/>
        <v>24.32</v>
      </c>
      <c r="BF319" s="816">
        <f t="shared" si="393"/>
        <v>13.2</v>
      </c>
      <c r="BG319" s="816">
        <f t="shared" si="393"/>
        <v>12.09</v>
      </c>
      <c r="BH319" s="816">
        <f t="shared" si="393"/>
        <v>18.03</v>
      </c>
      <c r="BI319" s="816">
        <f t="shared" si="393"/>
        <v>16.37</v>
      </c>
      <c r="BJ319" s="816">
        <f t="shared" si="393"/>
        <v>30.41</v>
      </c>
      <c r="BK319" s="816">
        <f t="shared" si="393"/>
        <v>26.72</v>
      </c>
      <c r="BL319" s="816">
        <f t="shared" si="393"/>
        <v>32.630000000000003</v>
      </c>
      <c r="BM319" s="816">
        <f t="shared" si="393"/>
        <v>41.31</v>
      </c>
      <c r="BN319" s="817">
        <f t="shared" si="393"/>
        <v>37.29</v>
      </c>
      <c r="BO319" s="798">
        <f t="shared" ca="1" si="393"/>
        <v>54.44</v>
      </c>
      <c r="BP319" s="798">
        <f t="shared" ca="1" si="393"/>
        <v>54.44</v>
      </c>
      <c r="BQ319" s="798">
        <f t="shared" ca="1" si="393"/>
        <v>54.44</v>
      </c>
      <c r="BR319" s="798">
        <f t="shared" ca="1" si="393"/>
        <v>54.44</v>
      </c>
      <c r="BS319" s="798">
        <f t="shared" ca="1" si="393"/>
        <v>54.44</v>
      </c>
      <c r="BT319" s="256"/>
    </row>
    <row r="320" spans="1:72" s="17" customFormat="1" hidden="1" outlineLevel="1" x14ac:dyDescent="0.35">
      <c r="A320" s="178"/>
      <c r="B320" s="308"/>
      <c r="C320" s="532"/>
      <c r="D320" s="532"/>
      <c r="E320" s="532"/>
      <c r="F320" s="532"/>
      <c r="G320" s="532"/>
      <c r="H320" s="532"/>
      <c r="I320" s="532"/>
      <c r="J320" s="532"/>
      <c r="K320" s="532"/>
      <c r="L320" s="532"/>
      <c r="M320" s="532"/>
      <c r="N320" s="532"/>
      <c r="O320" s="532"/>
      <c r="P320" s="532"/>
      <c r="Q320" s="532"/>
      <c r="R320" s="532"/>
      <c r="S320" s="532"/>
      <c r="T320" s="532"/>
      <c r="U320" s="532"/>
      <c r="V320" s="532"/>
      <c r="W320" s="532"/>
      <c r="X320" s="532"/>
      <c r="Y320" s="532"/>
      <c r="Z320" s="532"/>
      <c r="AA320" s="532"/>
      <c r="AB320" s="532"/>
      <c r="AC320" s="532"/>
      <c r="AD320" s="532"/>
      <c r="AE320" s="532"/>
      <c r="AF320" s="532"/>
      <c r="AG320" s="532"/>
      <c r="AH320" s="532"/>
      <c r="AI320" s="532"/>
      <c r="AJ320" s="532"/>
      <c r="AK320" s="532"/>
      <c r="AL320" s="532"/>
      <c r="AM320" s="532"/>
      <c r="AN320" s="532"/>
      <c r="AO320" s="532"/>
      <c r="AP320" s="532"/>
      <c r="AQ320" s="532"/>
      <c r="AR320" s="532"/>
      <c r="AS320" s="532"/>
      <c r="AT320" s="532"/>
      <c r="AU320" s="534"/>
      <c r="AV320" s="532"/>
      <c r="AW320" s="532"/>
      <c r="AX320" s="532"/>
      <c r="AY320" s="532"/>
      <c r="AZ320" s="156"/>
      <c r="BA320" s="156"/>
      <c r="BB320" s="156"/>
      <c r="BC320" s="156"/>
      <c r="BD320" s="156"/>
      <c r="BE320" s="156"/>
      <c r="BF320" s="156"/>
      <c r="BG320" s="156"/>
      <c r="BH320" s="156"/>
      <c r="BI320" s="156"/>
      <c r="BJ320" s="156"/>
      <c r="BK320" s="156"/>
      <c r="BL320" s="156"/>
      <c r="BM320" s="156"/>
      <c r="BN320" s="730"/>
      <c r="BO320" s="156"/>
      <c r="BP320" s="156"/>
      <c r="BQ320" s="156"/>
      <c r="BR320" s="156"/>
      <c r="BS320" s="156"/>
      <c r="BT320" s="533"/>
    </row>
    <row r="321" spans="1:72" s="1" customFormat="1" hidden="1" outlineLevel="1" x14ac:dyDescent="0.35">
      <c r="A321" s="55" t="s">
        <v>110</v>
      </c>
      <c r="B321" s="307"/>
      <c r="C321" s="529"/>
      <c r="D321" s="529"/>
      <c r="E321" s="529"/>
      <c r="F321" s="529"/>
      <c r="G321" s="529"/>
      <c r="H321" s="529"/>
      <c r="I321" s="529"/>
      <c r="J321" s="529"/>
      <c r="K321" s="529"/>
      <c r="L321" s="529"/>
      <c r="M321" s="529"/>
      <c r="N321" s="529"/>
      <c r="O321" s="529"/>
      <c r="P321" s="529"/>
      <c r="Q321" s="529"/>
      <c r="R321" s="529"/>
      <c r="S321" s="529"/>
      <c r="T321" s="529"/>
      <c r="U321" s="529"/>
      <c r="V321" s="529"/>
      <c r="W321" s="529"/>
      <c r="X321" s="529"/>
      <c r="Y321" s="529"/>
      <c r="Z321" s="529"/>
      <c r="AA321" s="529"/>
      <c r="AB321" s="529"/>
      <c r="AC321" s="529"/>
      <c r="AD321" s="529"/>
      <c r="AE321" s="529"/>
      <c r="AF321" s="529"/>
      <c r="AG321" s="529"/>
      <c r="AH321" s="529"/>
      <c r="AI321" s="529"/>
      <c r="AJ321" s="529"/>
      <c r="AK321" s="529"/>
      <c r="AL321" s="529"/>
      <c r="AM321" s="529"/>
      <c r="AN321" s="529"/>
      <c r="AO321" s="529"/>
      <c r="AP321" s="529"/>
      <c r="AQ321" s="529"/>
      <c r="AR321" s="529"/>
      <c r="AS321" s="529"/>
      <c r="AT321" s="529"/>
      <c r="AU321" s="531"/>
      <c r="AV321" s="529"/>
      <c r="AW321" s="529"/>
      <c r="AX321" s="529"/>
      <c r="AY321" s="529"/>
      <c r="AZ321" s="726"/>
      <c r="BA321" s="726"/>
      <c r="BB321" s="726"/>
      <c r="BC321" s="726"/>
      <c r="BD321" s="726"/>
      <c r="BE321" s="726"/>
      <c r="BF321" s="726"/>
      <c r="BG321" s="726"/>
      <c r="BH321" s="726"/>
      <c r="BI321" s="726"/>
      <c r="BJ321" s="726"/>
      <c r="BK321" s="726"/>
      <c r="BL321" s="726"/>
      <c r="BM321" s="726"/>
      <c r="BN321" s="728"/>
      <c r="BO321" s="726"/>
      <c r="BP321" s="726"/>
      <c r="BQ321" s="726"/>
      <c r="BR321" s="726"/>
      <c r="BS321" s="726"/>
      <c r="BT321" s="530"/>
    </row>
    <row r="322" spans="1:72" s="17" customFormat="1" hidden="1" outlineLevel="1" x14ac:dyDescent="0.35">
      <c r="A322" s="56" t="s">
        <v>111</v>
      </c>
      <c r="B322" s="308"/>
      <c r="C322" s="533">
        <f t="shared" ref="C322:AH322" si="394">C606</f>
        <v>4.0679999999999996</v>
      </c>
      <c r="D322" s="533">
        <f t="shared" si="394"/>
        <v>4.133</v>
      </c>
      <c r="E322" s="533">
        <f t="shared" si="394"/>
        <v>4.1980000000000004</v>
      </c>
      <c r="F322" s="533">
        <f t="shared" si="394"/>
        <v>3.5960000000000001</v>
      </c>
      <c r="G322" s="533">
        <f t="shared" si="394"/>
        <v>3.4489999999999998</v>
      </c>
      <c r="H322" s="533">
        <f t="shared" si="394"/>
        <v>3.4220000000000002</v>
      </c>
      <c r="I322" s="533">
        <f t="shared" si="394"/>
        <v>3.387</v>
      </c>
      <c r="J322" s="533">
        <f t="shared" si="394"/>
        <v>0</v>
      </c>
      <c r="K322" s="533">
        <f t="shared" si="394"/>
        <v>0</v>
      </c>
      <c r="L322" s="533">
        <f t="shared" si="394"/>
        <v>0</v>
      </c>
      <c r="M322" s="533">
        <f t="shared" si="394"/>
        <v>0</v>
      </c>
      <c r="N322" s="533">
        <f t="shared" si="394"/>
        <v>0</v>
      </c>
      <c r="O322" s="533">
        <f t="shared" si="394"/>
        <v>0</v>
      </c>
      <c r="P322" s="533">
        <f t="shared" si="394"/>
        <v>0</v>
      </c>
      <c r="Q322" s="533">
        <f t="shared" si="394"/>
        <v>0</v>
      </c>
      <c r="R322" s="533">
        <f t="shared" si="394"/>
        <v>0</v>
      </c>
      <c r="S322" s="533">
        <f t="shared" si="394"/>
        <v>0</v>
      </c>
      <c r="T322" s="533">
        <f t="shared" si="394"/>
        <v>0</v>
      </c>
      <c r="U322" s="533">
        <f t="shared" si="394"/>
        <v>0</v>
      </c>
      <c r="V322" s="533">
        <f t="shared" si="394"/>
        <v>0</v>
      </c>
      <c r="W322" s="533">
        <f t="shared" si="394"/>
        <v>0</v>
      </c>
      <c r="X322" s="533">
        <f t="shared" si="394"/>
        <v>0</v>
      </c>
      <c r="Y322" s="533">
        <f t="shared" si="394"/>
        <v>0</v>
      </c>
      <c r="Z322" s="533">
        <f t="shared" si="394"/>
        <v>0</v>
      </c>
      <c r="AA322" s="533">
        <f t="shared" si="394"/>
        <v>0</v>
      </c>
      <c r="AB322" s="533">
        <f t="shared" si="394"/>
        <v>0</v>
      </c>
      <c r="AC322" s="533">
        <f t="shared" si="394"/>
        <v>0</v>
      </c>
      <c r="AD322" s="533">
        <f t="shared" si="394"/>
        <v>0</v>
      </c>
      <c r="AE322" s="533">
        <f t="shared" si="394"/>
        <v>0</v>
      </c>
      <c r="AF322" s="533">
        <f t="shared" si="394"/>
        <v>0</v>
      </c>
      <c r="AG322" s="533">
        <f t="shared" si="394"/>
        <v>0</v>
      </c>
      <c r="AH322" s="533">
        <f t="shared" si="394"/>
        <v>0</v>
      </c>
      <c r="AI322" s="533">
        <f t="shared" ref="AI322:AX322" si="395">AI606</f>
        <v>0</v>
      </c>
      <c r="AJ322" s="533">
        <f t="shared" si="395"/>
        <v>0</v>
      </c>
      <c r="AK322" s="533">
        <f t="shared" si="395"/>
        <v>0</v>
      </c>
      <c r="AL322" s="533">
        <f t="shared" si="395"/>
        <v>0</v>
      </c>
      <c r="AM322" s="533">
        <f t="shared" si="395"/>
        <v>0</v>
      </c>
      <c r="AN322" s="533">
        <f t="shared" si="395"/>
        <v>0</v>
      </c>
      <c r="AO322" s="533">
        <f t="shared" si="395"/>
        <v>0</v>
      </c>
      <c r="AP322" s="533">
        <f t="shared" si="395"/>
        <v>0</v>
      </c>
      <c r="AQ322" s="533">
        <f t="shared" si="395"/>
        <v>0</v>
      </c>
      <c r="AR322" s="533">
        <f t="shared" si="395"/>
        <v>0</v>
      </c>
      <c r="AS322" s="533">
        <f t="shared" si="395"/>
        <v>0</v>
      </c>
      <c r="AT322" s="533">
        <f t="shared" si="395"/>
        <v>0</v>
      </c>
      <c r="AU322" s="576">
        <f t="shared" si="395"/>
        <v>0</v>
      </c>
      <c r="AV322" s="532">
        <f t="shared" si="395"/>
        <v>0</v>
      </c>
      <c r="AW322" s="532">
        <f t="shared" si="395"/>
        <v>0</v>
      </c>
      <c r="AX322" s="532">
        <f t="shared" si="395"/>
        <v>0</v>
      </c>
      <c r="AY322" s="532"/>
      <c r="AZ322" s="755">
        <f t="shared" ref="AZ322:BS322" si="396">AZ606</f>
        <v>4.4139999999999997</v>
      </c>
      <c r="BA322" s="755">
        <f t="shared" si="396"/>
        <v>4.141</v>
      </c>
      <c r="BB322" s="755">
        <f t="shared" si="396"/>
        <v>4.1260000000000003</v>
      </c>
      <c r="BC322" s="755">
        <f t="shared" si="396"/>
        <v>4.1539999999999999</v>
      </c>
      <c r="BD322" s="755">
        <f t="shared" si="396"/>
        <v>3.5960000000000001</v>
      </c>
      <c r="BE322" s="755">
        <f t="shared" si="396"/>
        <v>0</v>
      </c>
      <c r="BF322" s="755">
        <f t="shared" si="396"/>
        <v>0</v>
      </c>
      <c r="BG322" s="755">
        <f t="shared" si="396"/>
        <v>0</v>
      </c>
      <c r="BH322" s="755">
        <f t="shared" si="396"/>
        <v>0</v>
      </c>
      <c r="BI322" s="755">
        <f t="shared" si="396"/>
        <v>0</v>
      </c>
      <c r="BJ322" s="755">
        <f t="shared" si="396"/>
        <v>0</v>
      </c>
      <c r="BK322" s="755">
        <f t="shared" si="396"/>
        <v>0</v>
      </c>
      <c r="BL322" s="755">
        <f t="shared" si="396"/>
        <v>0</v>
      </c>
      <c r="BM322" s="755">
        <f t="shared" si="396"/>
        <v>0</v>
      </c>
      <c r="BN322" s="756">
        <f t="shared" si="396"/>
        <v>0</v>
      </c>
      <c r="BO322" s="156">
        <f t="shared" si="396"/>
        <v>0</v>
      </c>
      <c r="BP322" s="156">
        <f t="shared" si="396"/>
        <v>0</v>
      </c>
      <c r="BQ322" s="156">
        <f t="shared" si="396"/>
        <v>0</v>
      </c>
      <c r="BR322" s="156">
        <f t="shared" si="396"/>
        <v>0</v>
      </c>
      <c r="BS322" s="156">
        <f t="shared" si="396"/>
        <v>0</v>
      </c>
      <c r="BT322" s="533"/>
    </row>
    <row r="323" spans="1:72" s="17" customFormat="1" hidden="1" outlineLevel="1" x14ac:dyDescent="0.35">
      <c r="A323" s="56" t="s">
        <v>112</v>
      </c>
      <c r="B323" s="308"/>
      <c r="C323" s="532"/>
      <c r="D323" s="532"/>
      <c r="E323" s="532"/>
      <c r="F323" s="532"/>
      <c r="G323" s="532"/>
      <c r="H323" s="532"/>
      <c r="I323" s="532"/>
      <c r="J323" s="532"/>
      <c r="K323" s="532"/>
      <c r="L323" s="532"/>
      <c r="M323" s="532"/>
      <c r="N323" s="532"/>
      <c r="O323" s="532"/>
      <c r="P323" s="532"/>
      <c r="Q323" s="532"/>
      <c r="R323" s="532"/>
      <c r="S323" s="532"/>
      <c r="T323" s="532"/>
      <c r="U323" s="532"/>
      <c r="V323" s="532"/>
      <c r="W323" s="532"/>
      <c r="X323" s="532"/>
      <c r="Y323" s="532"/>
      <c r="Z323" s="532"/>
      <c r="AA323" s="532"/>
      <c r="AB323" s="532"/>
      <c r="AC323" s="532"/>
      <c r="AD323" s="532"/>
      <c r="AE323" s="532"/>
      <c r="AF323" s="532"/>
      <c r="AG323" s="532"/>
      <c r="AH323" s="532"/>
      <c r="AI323" s="532"/>
      <c r="AJ323" s="532"/>
      <c r="AK323" s="532"/>
      <c r="AL323" s="532"/>
      <c r="AM323" s="532"/>
      <c r="AN323" s="532"/>
      <c r="AO323" s="532"/>
      <c r="AP323" s="532"/>
      <c r="AQ323" s="532"/>
      <c r="AR323" s="532"/>
      <c r="AS323" s="532"/>
      <c r="AT323" s="532"/>
      <c r="AU323" s="534"/>
      <c r="AV323" s="532"/>
      <c r="AW323" s="532"/>
      <c r="AX323" s="532"/>
      <c r="AY323" s="532"/>
      <c r="AZ323" s="156"/>
      <c r="BA323" s="156"/>
      <c r="BB323" s="156"/>
      <c r="BC323" s="156"/>
      <c r="BD323" s="156"/>
      <c r="BE323" s="156"/>
      <c r="BF323" s="156"/>
      <c r="BG323" s="156"/>
      <c r="BH323" s="156"/>
      <c r="BI323" s="156"/>
      <c r="BJ323" s="156"/>
      <c r="BK323" s="156"/>
      <c r="BL323" s="156"/>
      <c r="BM323" s="156"/>
      <c r="BN323" s="730"/>
      <c r="BO323" s="156"/>
      <c r="BP323" s="156"/>
      <c r="BQ323" s="156"/>
      <c r="BR323" s="156"/>
      <c r="BS323" s="156"/>
      <c r="BT323" s="533"/>
    </row>
    <row r="324" spans="1:72" s="17" customFormat="1" hidden="1" outlineLevel="1" x14ac:dyDescent="0.35">
      <c r="A324" s="56" t="s">
        <v>113</v>
      </c>
      <c r="B324" s="308"/>
      <c r="C324" s="533">
        <f t="shared" ref="C324:AH324" si="397">C594</f>
        <v>17.2</v>
      </c>
      <c r="D324" s="533">
        <f t="shared" si="397"/>
        <v>17.2</v>
      </c>
      <c r="E324" s="533">
        <f t="shared" si="397"/>
        <v>17.2</v>
      </c>
      <c r="F324" s="533">
        <f t="shared" si="397"/>
        <v>15.2</v>
      </c>
      <c r="G324" s="533">
        <f t="shared" si="397"/>
        <v>15.2</v>
      </c>
      <c r="H324" s="533">
        <f t="shared" si="397"/>
        <v>15.2</v>
      </c>
      <c r="I324" s="533">
        <f t="shared" si="397"/>
        <v>15.2</v>
      </c>
      <c r="J324" s="533">
        <f t="shared" si="397"/>
        <v>16.800999999999998</v>
      </c>
      <c r="K324" s="533">
        <f t="shared" si="397"/>
        <v>19.800999999999998</v>
      </c>
      <c r="L324" s="533">
        <f t="shared" si="397"/>
        <v>19.800999999999998</v>
      </c>
      <c r="M324" s="533">
        <f t="shared" si="397"/>
        <v>19.800999999999998</v>
      </c>
      <c r="N324" s="533">
        <f t="shared" si="397"/>
        <v>9.6010000000000009</v>
      </c>
      <c r="O324" s="533">
        <f t="shared" si="397"/>
        <v>9.6010000000000009</v>
      </c>
      <c r="P324" s="533">
        <f t="shared" si="397"/>
        <v>9.8010000000000002</v>
      </c>
      <c r="Q324" s="533">
        <f t="shared" si="397"/>
        <v>9.8010000000000002</v>
      </c>
      <c r="R324" s="533">
        <f t="shared" si="397"/>
        <v>7.5019999999999998</v>
      </c>
      <c r="S324" s="533">
        <f t="shared" si="397"/>
        <v>9.9019999999999992</v>
      </c>
      <c r="T324" s="533">
        <f t="shared" si="397"/>
        <v>0.7</v>
      </c>
      <c r="U324" s="533">
        <f t="shared" si="397"/>
        <v>0.7</v>
      </c>
      <c r="V324" s="533">
        <f t="shared" si="397"/>
        <v>0.7</v>
      </c>
      <c r="W324" s="533">
        <f t="shared" si="397"/>
        <v>0.7</v>
      </c>
      <c r="X324" s="533">
        <f t="shared" si="397"/>
        <v>0.5</v>
      </c>
      <c r="Y324" s="533">
        <f t="shared" si="397"/>
        <v>0</v>
      </c>
      <c r="Z324" s="533">
        <f t="shared" si="397"/>
        <v>0</v>
      </c>
      <c r="AA324" s="533">
        <f t="shared" si="397"/>
        <v>0</v>
      </c>
      <c r="AB324" s="533">
        <f t="shared" si="397"/>
        <v>0</v>
      </c>
      <c r="AC324" s="533">
        <f t="shared" si="397"/>
        <v>0</v>
      </c>
      <c r="AD324" s="533">
        <f t="shared" si="397"/>
        <v>0</v>
      </c>
      <c r="AE324" s="533">
        <f t="shared" si="397"/>
        <v>0</v>
      </c>
      <c r="AF324" s="533">
        <f t="shared" si="397"/>
        <v>0</v>
      </c>
      <c r="AG324" s="533">
        <f t="shared" si="397"/>
        <v>0</v>
      </c>
      <c r="AH324" s="533">
        <f t="shared" si="397"/>
        <v>0</v>
      </c>
      <c r="AI324" s="533">
        <f t="shared" ref="AI324:AX324" si="398">AI594</f>
        <v>0</v>
      </c>
      <c r="AJ324" s="533">
        <f t="shared" si="398"/>
        <v>0</v>
      </c>
      <c r="AK324" s="533">
        <f t="shared" si="398"/>
        <v>0</v>
      </c>
      <c r="AL324" s="533">
        <f t="shared" si="398"/>
        <v>0</v>
      </c>
      <c r="AM324" s="533">
        <f t="shared" si="398"/>
        <v>0</v>
      </c>
      <c r="AN324" s="533">
        <f t="shared" si="398"/>
        <v>0</v>
      </c>
      <c r="AO324" s="533">
        <f t="shared" si="398"/>
        <v>0</v>
      </c>
      <c r="AP324" s="533">
        <f t="shared" si="398"/>
        <v>0</v>
      </c>
      <c r="AQ324" s="533">
        <f t="shared" si="398"/>
        <v>0</v>
      </c>
      <c r="AR324" s="533">
        <f t="shared" si="398"/>
        <v>0</v>
      </c>
      <c r="AS324" s="533">
        <f t="shared" si="398"/>
        <v>0</v>
      </c>
      <c r="AT324" s="533">
        <f t="shared" si="398"/>
        <v>0</v>
      </c>
      <c r="AU324" s="576">
        <f t="shared" si="398"/>
        <v>0</v>
      </c>
      <c r="AV324" s="532">
        <f t="shared" si="398"/>
        <v>0</v>
      </c>
      <c r="AW324" s="532">
        <f t="shared" si="398"/>
        <v>0</v>
      </c>
      <c r="AX324" s="532">
        <f t="shared" si="398"/>
        <v>0</v>
      </c>
      <c r="AY324" s="532"/>
      <c r="AZ324" s="755">
        <f t="shared" ref="AZ324:BS324" si="399">AZ594</f>
        <v>0</v>
      </c>
      <c r="BA324" s="755">
        <f t="shared" si="399"/>
        <v>17.373999999999999</v>
      </c>
      <c r="BB324" s="755">
        <f t="shared" si="399"/>
        <v>17.2</v>
      </c>
      <c r="BC324" s="755">
        <f t="shared" si="399"/>
        <v>17.2</v>
      </c>
      <c r="BD324" s="755">
        <f t="shared" si="399"/>
        <v>15.2</v>
      </c>
      <c r="BE324" s="755">
        <f t="shared" si="399"/>
        <v>16.800999999999998</v>
      </c>
      <c r="BF324" s="755">
        <f t="shared" si="399"/>
        <v>9.6010000000000009</v>
      </c>
      <c r="BG324" s="755">
        <f t="shared" si="399"/>
        <v>7.5019999999999998</v>
      </c>
      <c r="BH324" s="755">
        <f t="shared" si="399"/>
        <v>0.7</v>
      </c>
      <c r="BI324" s="755">
        <f t="shared" si="399"/>
        <v>0</v>
      </c>
      <c r="BJ324" s="755">
        <f t="shared" si="399"/>
        <v>0</v>
      </c>
      <c r="BK324" s="755">
        <f t="shared" si="399"/>
        <v>0</v>
      </c>
      <c r="BL324" s="755">
        <f t="shared" si="399"/>
        <v>0</v>
      </c>
      <c r="BM324" s="755">
        <f t="shared" si="399"/>
        <v>0</v>
      </c>
      <c r="BN324" s="756">
        <f t="shared" si="399"/>
        <v>0</v>
      </c>
      <c r="BO324" s="156">
        <f t="shared" si="399"/>
        <v>0</v>
      </c>
      <c r="BP324" s="156" t="e">
        <f t="shared" si="399"/>
        <v>#REF!</v>
      </c>
      <c r="BQ324" s="156" t="e">
        <f t="shared" si="399"/>
        <v>#REF!</v>
      </c>
      <c r="BR324" s="156" t="e">
        <f t="shared" si="399"/>
        <v>#REF!</v>
      </c>
      <c r="BS324" s="156" t="e">
        <f t="shared" si="399"/>
        <v>#REF!</v>
      </c>
      <c r="BT324" s="533"/>
    </row>
    <row r="325" spans="1:72" s="17" customFormat="1" collapsed="1" x14ac:dyDescent="0.35">
      <c r="A325" s="174"/>
      <c r="B325" s="308"/>
      <c r="C325" s="532"/>
      <c r="D325" s="532"/>
      <c r="E325" s="532"/>
      <c r="F325" s="532"/>
      <c r="G325" s="532"/>
      <c r="H325" s="532"/>
      <c r="I325" s="532"/>
      <c r="J325" s="532"/>
      <c r="K325" s="532"/>
      <c r="L325" s="532"/>
      <c r="M325" s="532"/>
      <c r="N325" s="532"/>
      <c r="O325" s="532"/>
      <c r="P325" s="532"/>
      <c r="Q325" s="532"/>
      <c r="R325" s="532"/>
      <c r="S325" s="532"/>
      <c r="T325" s="532"/>
      <c r="U325" s="532"/>
      <c r="V325" s="532"/>
      <c r="W325" s="532"/>
      <c r="X325" s="532"/>
      <c r="Y325" s="532"/>
      <c r="Z325" s="532"/>
      <c r="AA325" s="532"/>
      <c r="AB325" s="532"/>
      <c r="AC325" s="532"/>
      <c r="AD325" s="532"/>
      <c r="AE325" s="532"/>
      <c r="AF325" s="532"/>
      <c r="AG325" s="532"/>
      <c r="AH325" s="532"/>
      <c r="AI325" s="532"/>
      <c r="AJ325" s="532"/>
      <c r="AK325" s="532"/>
      <c r="AL325" s="532"/>
      <c r="AM325" s="532"/>
      <c r="AN325" s="532"/>
      <c r="AO325" s="532"/>
      <c r="AP325" s="532"/>
      <c r="AQ325" s="532"/>
      <c r="AR325" s="532"/>
      <c r="AS325" s="532"/>
      <c r="AT325" s="532"/>
      <c r="AU325" s="534"/>
      <c r="AV325" s="532"/>
      <c r="AW325" s="532"/>
      <c r="AX325" s="532"/>
      <c r="AY325" s="532"/>
      <c r="AZ325" s="156"/>
      <c r="BA325" s="156"/>
      <c r="BB325" s="156"/>
      <c r="BC325" s="156"/>
      <c r="BD325" s="156"/>
      <c r="BE325" s="156"/>
      <c r="BF325" s="156"/>
      <c r="BG325" s="156"/>
      <c r="BH325" s="156"/>
      <c r="BI325" s="156"/>
      <c r="BJ325" s="156"/>
      <c r="BK325" s="156"/>
      <c r="BL325" s="156"/>
      <c r="BM325" s="156"/>
      <c r="BN325" s="730"/>
      <c r="BO325" s="156"/>
      <c r="BP325" s="156"/>
      <c r="BQ325" s="156"/>
      <c r="BR325" s="156"/>
      <c r="BS325" s="156"/>
      <c r="BT325" s="533"/>
    </row>
    <row r="326" spans="1:72" s="1" customFormat="1" x14ac:dyDescent="0.35">
      <c r="A326" s="527" t="s">
        <v>114</v>
      </c>
      <c r="B326" s="527"/>
      <c r="C326" s="527"/>
      <c r="D326" s="527"/>
      <c r="E326" s="527"/>
      <c r="F326" s="527"/>
      <c r="G326" s="527"/>
      <c r="H326" s="527"/>
      <c r="I326" s="527"/>
      <c r="J326" s="527"/>
      <c r="K326" s="527"/>
      <c r="L326" s="527"/>
      <c r="M326" s="527"/>
      <c r="N326" s="527"/>
      <c r="O326" s="527"/>
      <c r="P326" s="527"/>
      <c r="Q326" s="527"/>
      <c r="R326" s="527"/>
      <c r="S326" s="527"/>
      <c r="T326" s="527"/>
      <c r="U326" s="527"/>
      <c r="V326" s="527"/>
      <c r="W326" s="527"/>
      <c r="X326" s="527"/>
      <c r="Y326" s="527"/>
      <c r="Z326" s="527"/>
      <c r="AA326" s="527"/>
      <c r="AB326" s="527"/>
      <c r="AC326" s="527"/>
      <c r="AD326" s="527"/>
      <c r="AE326" s="527"/>
      <c r="AF326" s="527"/>
      <c r="AG326" s="527"/>
      <c r="AH326" s="527"/>
      <c r="AI326" s="527"/>
      <c r="AJ326" s="527"/>
      <c r="AK326" s="527"/>
      <c r="AL326" s="527"/>
      <c r="AM326" s="527"/>
      <c r="AN326" s="527"/>
      <c r="AO326" s="527"/>
      <c r="AP326" s="527"/>
      <c r="AQ326" s="527"/>
      <c r="AR326" s="527"/>
      <c r="AS326" s="527"/>
      <c r="AT326" s="527"/>
      <c r="AU326" s="547"/>
      <c r="AV326" s="527"/>
      <c r="AW326" s="527"/>
      <c r="AX326" s="527"/>
      <c r="AY326" s="527"/>
      <c r="AZ326" s="527"/>
      <c r="BA326" s="527"/>
      <c r="BB326" s="527"/>
      <c r="BC326" s="527"/>
      <c r="BD326" s="527"/>
      <c r="BE326" s="527"/>
      <c r="BF326" s="527"/>
      <c r="BG326" s="527"/>
      <c r="BH326" s="527"/>
      <c r="BI326" s="527"/>
      <c r="BJ326" s="527"/>
      <c r="BK326" s="527"/>
      <c r="BL326" s="527"/>
      <c r="BM326" s="527"/>
      <c r="BN326" s="547"/>
      <c r="BO326" s="527"/>
      <c r="BP326" s="527"/>
      <c r="BQ326" s="527"/>
      <c r="BR326" s="527"/>
      <c r="BS326" s="527"/>
      <c r="BT326" s="530"/>
    </row>
    <row r="327" spans="1:72" s="1" customFormat="1" hidden="1" outlineLevel="1" x14ac:dyDescent="0.35">
      <c r="A327" s="51" t="s">
        <v>115</v>
      </c>
      <c r="B327" s="307"/>
      <c r="C327" s="529"/>
      <c r="D327" s="529"/>
      <c r="E327" s="529"/>
      <c r="F327" s="529"/>
      <c r="G327" s="529"/>
      <c r="H327" s="529"/>
      <c r="I327" s="529"/>
      <c r="J327" s="529"/>
      <c r="K327" s="529"/>
      <c r="L327" s="529"/>
      <c r="M327" s="529"/>
      <c r="N327" s="529"/>
      <c r="O327" s="529"/>
      <c r="P327" s="529"/>
      <c r="Q327" s="529"/>
      <c r="R327" s="529"/>
      <c r="S327" s="529"/>
      <c r="T327" s="529"/>
      <c r="U327" s="529"/>
      <c r="V327" s="529"/>
      <c r="W327" s="529"/>
      <c r="X327" s="529"/>
      <c r="Y327" s="529"/>
      <c r="Z327" s="529"/>
      <c r="AA327" s="529"/>
      <c r="AB327" s="529"/>
      <c r="AC327" s="529"/>
      <c r="AD327" s="529"/>
      <c r="AE327" s="529"/>
      <c r="AF327" s="529"/>
      <c r="AG327" s="529"/>
      <c r="AH327" s="529"/>
      <c r="AI327" s="529"/>
      <c r="AJ327" s="529"/>
      <c r="AK327" s="529"/>
      <c r="AL327" s="529"/>
      <c r="AM327" s="529"/>
      <c r="AN327" s="529"/>
      <c r="AO327" s="529"/>
      <c r="AP327" s="529"/>
      <c r="AQ327" s="529"/>
      <c r="AR327" s="529"/>
      <c r="AS327" s="529"/>
      <c r="AT327" s="529"/>
      <c r="AU327" s="531"/>
      <c r="AV327" s="529"/>
      <c r="AW327" s="529"/>
      <c r="AX327" s="529"/>
      <c r="AY327" s="529"/>
      <c r="AZ327" s="726"/>
      <c r="BA327" s="726"/>
      <c r="BB327" s="726"/>
      <c r="BC327" s="726"/>
      <c r="BD327" s="726"/>
      <c r="BE327" s="726"/>
      <c r="BF327" s="726"/>
      <c r="BG327" s="726"/>
      <c r="BH327" s="726"/>
      <c r="BI327" s="726"/>
      <c r="BJ327" s="726"/>
      <c r="BK327" s="726"/>
      <c r="BL327" s="726"/>
      <c r="BM327" s="726"/>
      <c r="BN327" s="728"/>
      <c r="BO327" s="726"/>
      <c r="BP327" s="726"/>
      <c r="BQ327" s="726"/>
      <c r="BR327" s="726"/>
      <c r="BS327" s="726"/>
      <c r="BT327" s="530"/>
    </row>
    <row r="328" spans="1:72" s="17" customFormat="1" hidden="1" outlineLevel="1" x14ac:dyDescent="0.35">
      <c r="A328" s="208" t="s">
        <v>51</v>
      </c>
      <c r="B328" s="308"/>
      <c r="C328" s="638">
        <v>4.5439999999999996</v>
      </c>
      <c r="D328" s="638">
        <v>13.864000000000001</v>
      </c>
      <c r="E328" s="638">
        <v>25.283000000000001</v>
      </c>
      <c r="F328" s="533">
        <f t="shared" ref="F328:F333" si="400">BD328</f>
        <v>26.533999999999999</v>
      </c>
      <c r="G328" s="638">
        <v>-5.0979999999999999</v>
      </c>
      <c r="H328" s="638">
        <v>-9.3480000000000008</v>
      </c>
      <c r="I328" s="638">
        <v>6.1639999999999997</v>
      </c>
      <c r="J328" s="533">
        <f t="shared" ref="J328:J333" si="401">BE328</f>
        <v>18.116</v>
      </c>
      <c r="K328" s="638">
        <v>-6.5890000000000004</v>
      </c>
      <c r="L328" s="638">
        <v>5.3739999999999997</v>
      </c>
      <c r="M328" s="638">
        <v>21.901</v>
      </c>
      <c r="N328" s="533">
        <f t="shared" ref="N328:N333" si="402">BF328</f>
        <v>9.3260000000000005</v>
      </c>
      <c r="O328" s="638">
        <v>-12.664</v>
      </c>
      <c r="P328" s="638">
        <v>-4.78</v>
      </c>
      <c r="Q328" s="638">
        <v>8.8849999999999998</v>
      </c>
      <c r="R328" s="533">
        <f t="shared" ref="R328:R333" si="403">BG328</f>
        <v>8.5510000000000002</v>
      </c>
      <c r="S328" s="638">
        <v>-13.637</v>
      </c>
      <c r="T328" s="638">
        <v>-2.738</v>
      </c>
      <c r="U328" s="638">
        <v>6.1440000000000001</v>
      </c>
      <c r="V328" s="533">
        <f t="shared" ref="V328:V333" si="404">BH328</f>
        <v>-0.45900000000000002</v>
      </c>
      <c r="W328" s="638">
        <v>-8.1590000000000007</v>
      </c>
      <c r="X328" s="638">
        <v>5.03</v>
      </c>
      <c r="Y328" s="638">
        <v>18.073</v>
      </c>
      <c r="Z328" s="533">
        <f t="shared" ref="Z328:Z333" si="405">BI328</f>
        <v>27.42</v>
      </c>
      <c r="AA328" s="638">
        <v>-8.282</v>
      </c>
      <c r="AB328" s="638">
        <v>15.43</v>
      </c>
      <c r="AC328" s="638">
        <v>33.892000000000003</v>
      </c>
      <c r="AD328" s="533">
        <f t="shared" ref="AD328:AD333" si="406">BJ328</f>
        <v>37.209000000000003</v>
      </c>
      <c r="AE328" s="638">
        <v>-9.73</v>
      </c>
      <c r="AF328" s="638">
        <v>10.864000000000001</v>
      </c>
      <c r="AG328" s="638">
        <v>19.617999999999999</v>
      </c>
      <c r="AH328" s="533">
        <f t="shared" ref="AH328:AH333" si="407">BK328</f>
        <v>24.506</v>
      </c>
      <c r="AI328" s="638">
        <v>12.666</v>
      </c>
      <c r="AJ328" s="638">
        <v>37.167000000000002</v>
      </c>
      <c r="AK328" s="638">
        <v>60.956000000000003</v>
      </c>
      <c r="AL328" s="533">
        <f t="shared" ref="AL328:AL342" si="408">BL328</f>
        <v>71.450999999999993</v>
      </c>
      <c r="AM328" s="638">
        <v>-5.883</v>
      </c>
      <c r="AN328" s="638">
        <v>36.121000000000002</v>
      </c>
      <c r="AO328" s="638">
        <v>79.040000000000006</v>
      </c>
      <c r="AP328" s="533">
        <f t="shared" ref="AP328:AP342" si="409">BM328</f>
        <v>107.13</v>
      </c>
      <c r="AQ328" s="638">
        <v>-22.672000000000001</v>
      </c>
      <c r="AR328" s="638">
        <v>28.033000000000001</v>
      </c>
      <c r="AS328" s="638">
        <v>83.495000000000005</v>
      </c>
      <c r="AT328" s="533">
        <f t="shared" ref="AT328:AT342" si="410">BN328</f>
        <v>126.867</v>
      </c>
      <c r="AU328" s="643">
        <v>4.8780000000000001</v>
      </c>
      <c r="AV328" s="532"/>
      <c r="AW328" s="532"/>
      <c r="AX328" s="532">
        <f t="shared" ref="AX328:AX342" si="411">BO328</f>
        <v>0</v>
      </c>
      <c r="AY328" s="532"/>
      <c r="AZ328" s="729">
        <v>11.728999999999999</v>
      </c>
      <c r="BA328" s="729">
        <v>20.887</v>
      </c>
      <c r="BB328" s="729">
        <v>11.664999999999999</v>
      </c>
      <c r="BC328" s="729">
        <v>16.109000000000002</v>
      </c>
      <c r="BD328" s="729">
        <v>26.533999999999999</v>
      </c>
      <c r="BE328" s="729">
        <v>18.116</v>
      </c>
      <c r="BF328" s="729">
        <v>9.3260000000000005</v>
      </c>
      <c r="BG328" s="729">
        <v>8.5510000000000002</v>
      </c>
      <c r="BH328" s="729">
        <v>-0.45900000000000002</v>
      </c>
      <c r="BI328" s="729">
        <v>27.42</v>
      </c>
      <c r="BJ328" s="729">
        <v>37.209000000000003</v>
      </c>
      <c r="BK328" s="729">
        <v>24.506</v>
      </c>
      <c r="BL328" s="729">
        <v>71.450999999999993</v>
      </c>
      <c r="BM328" s="729">
        <v>107.13</v>
      </c>
      <c r="BN328" s="748">
        <v>126.867</v>
      </c>
      <c r="BO328" s="156"/>
      <c r="BP328" s="156"/>
      <c r="BQ328" s="156"/>
      <c r="BR328" s="156"/>
      <c r="BS328" s="156"/>
      <c r="BT328" s="533"/>
    </row>
    <row r="329" spans="1:72" s="17" customFormat="1" hidden="1" outlineLevel="1" x14ac:dyDescent="0.35">
      <c r="A329" s="208" t="s">
        <v>116</v>
      </c>
      <c r="B329" s="308"/>
      <c r="C329" s="638">
        <v>15.661</v>
      </c>
      <c r="D329" s="638">
        <v>31.893999999999998</v>
      </c>
      <c r="E329" s="638">
        <v>48.176000000000002</v>
      </c>
      <c r="F329" s="533">
        <f t="shared" si="400"/>
        <v>65.736999999999995</v>
      </c>
      <c r="G329" s="638">
        <v>16.95</v>
      </c>
      <c r="H329" s="638">
        <v>51.473999999999997</v>
      </c>
      <c r="I329" s="638">
        <v>69.491</v>
      </c>
      <c r="J329" s="533">
        <f t="shared" si="401"/>
        <v>86.266999999999996</v>
      </c>
      <c r="K329" s="638">
        <v>16.88</v>
      </c>
      <c r="L329" s="638">
        <v>34.509</v>
      </c>
      <c r="M329" s="638">
        <v>52.273000000000003</v>
      </c>
      <c r="N329" s="533">
        <f t="shared" si="402"/>
        <v>83.801000000000002</v>
      </c>
      <c r="O329" s="638">
        <v>16.565000000000001</v>
      </c>
      <c r="P329" s="638">
        <v>33.034999999999997</v>
      </c>
      <c r="Q329" s="638">
        <v>50.622</v>
      </c>
      <c r="R329" s="533">
        <f t="shared" si="403"/>
        <v>68.224999999999994</v>
      </c>
      <c r="S329" s="638">
        <v>17.68</v>
      </c>
      <c r="T329" s="638">
        <v>36.375</v>
      </c>
      <c r="U329" s="638">
        <v>56.325000000000003</v>
      </c>
      <c r="V329" s="533">
        <f t="shared" si="404"/>
        <v>74.28</v>
      </c>
      <c r="W329" s="638">
        <v>20.635999999999999</v>
      </c>
      <c r="X329" s="638">
        <v>39.186</v>
      </c>
      <c r="Y329" s="638">
        <v>57.612000000000002</v>
      </c>
      <c r="Z329" s="533">
        <f t="shared" si="405"/>
        <v>75.260000000000005</v>
      </c>
      <c r="AA329" s="638">
        <v>18.510999999999999</v>
      </c>
      <c r="AB329" s="638">
        <v>36.220999999999997</v>
      </c>
      <c r="AC329" s="638">
        <v>53.259</v>
      </c>
      <c r="AD329" s="533">
        <f t="shared" si="406"/>
        <v>71.400000000000006</v>
      </c>
      <c r="AE329" s="638">
        <v>17.146000000000001</v>
      </c>
      <c r="AF329" s="638">
        <v>34.375999999999998</v>
      </c>
      <c r="AG329" s="638">
        <v>52.79</v>
      </c>
      <c r="AH329" s="533">
        <f t="shared" si="407"/>
        <v>72.090999999999994</v>
      </c>
      <c r="AI329" s="638">
        <v>18.277000000000001</v>
      </c>
      <c r="AJ329" s="638">
        <v>41.438000000000002</v>
      </c>
      <c r="AK329" s="638">
        <v>65.037999999999997</v>
      </c>
      <c r="AL329" s="533">
        <f t="shared" si="408"/>
        <v>90.076999999999998</v>
      </c>
      <c r="AM329" s="638">
        <v>24.146999999999998</v>
      </c>
      <c r="AN329" s="638">
        <v>49.326999999999998</v>
      </c>
      <c r="AO329" s="638">
        <v>73.463999999999999</v>
      </c>
      <c r="AP329" s="533">
        <f t="shared" si="409"/>
        <v>97.914000000000001</v>
      </c>
      <c r="AQ329" s="638">
        <v>26.251000000000001</v>
      </c>
      <c r="AR329" s="638">
        <v>53.713999999999999</v>
      </c>
      <c r="AS329" s="638">
        <v>80.656000000000006</v>
      </c>
      <c r="AT329" s="533">
        <f t="shared" si="410"/>
        <v>110.358</v>
      </c>
      <c r="AU329" s="643">
        <v>28.016999999999999</v>
      </c>
      <c r="AV329" s="532"/>
      <c r="AW329" s="532"/>
      <c r="AX329" s="532">
        <f t="shared" si="411"/>
        <v>0</v>
      </c>
      <c r="AY329" s="532"/>
      <c r="AZ329" s="729">
        <v>20.835000000000001</v>
      </c>
      <c r="BA329" s="729">
        <v>25.760999999999999</v>
      </c>
      <c r="BB329" s="729">
        <v>42.933999999999997</v>
      </c>
      <c r="BC329" s="729">
        <v>58.033000000000001</v>
      </c>
      <c r="BD329" s="729">
        <v>65.736999999999995</v>
      </c>
      <c r="BE329" s="729">
        <v>86.266999999999996</v>
      </c>
      <c r="BF329" s="729">
        <v>83.801000000000002</v>
      </c>
      <c r="BG329" s="729">
        <v>68.224999999999994</v>
      </c>
      <c r="BH329" s="729">
        <v>74.28</v>
      </c>
      <c r="BI329" s="729">
        <v>75.260000000000005</v>
      </c>
      <c r="BJ329" s="729">
        <v>71.400000000000006</v>
      </c>
      <c r="BK329" s="729">
        <v>72.090999999999994</v>
      </c>
      <c r="BL329" s="729">
        <v>90.076999999999998</v>
      </c>
      <c r="BM329" s="729">
        <v>97.914000000000001</v>
      </c>
      <c r="BN329" s="748">
        <v>110.358</v>
      </c>
      <c r="BO329" s="156"/>
      <c r="BP329" s="156"/>
      <c r="BQ329" s="156"/>
      <c r="BR329" s="156"/>
      <c r="BS329" s="156"/>
      <c r="BT329" s="533"/>
    </row>
    <row r="330" spans="1:72" s="17" customFormat="1" hidden="1" outlineLevel="1" x14ac:dyDescent="0.35">
      <c r="A330" s="208" t="s">
        <v>117</v>
      </c>
      <c r="B330" s="308"/>
      <c r="C330" s="638">
        <v>2.8719999999999999</v>
      </c>
      <c r="D330" s="638">
        <v>5.78</v>
      </c>
      <c r="E330" s="638">
        <v>9.8330000000000002</v>
      </c>
      <c r="F330" s="533">
        <f t="shared" si="400"/>
        <v>14.374000000000001</v>
      </c>
      <c r="G330" s="638">
        <v>3.68</v>
      </c>
      <c r="H330" s="638">
        <v>12.21</v>
      </c>
      <c r="I330" s="638">
        <v>16.199000000000002</v>
      </c>
      <c r="J330" s="533">
        <f t="shared" si="401"/>
        <v>22.827999999999999</v>
      </c>
      <c r="K330" s="638">
        <v>4.173</v>
      </c>
      <c r="L330" s="638">
        <v>8.9689999999999994</v>
      </c>
      <c r="M330" s="638">
        <v>13.471</v>
      </c>
      <c r="N330" s="533">
        <f t="shared" si="402"/>
        <v>21.298999999999999</v>
      </c>
      <c r="O330" s="638">
        <v>4.5869999999999997</v>
      </c>
      <c r="P330" s="638">
        <v>9.5410000000000004</v>
      </c>
      <c r="Q330" s="638">
        <v>13.759</v>
      </c>
      <c r="R330" s="533">
        <f t="shared" si="403"/>
        <v>18.616</v>
      </c>
      <c r="S330" s="638">
        <v>4.694</v>
      </c>
      <c r="T330" s="638">
        <v>9.2919999999999998</v>
      </c>
      <c r="U330" s="638">
        <v>14.557</v>
      </c>
      <c r="V330" s="533">
        <f t="shared" si="404"/>
        <v>22.597999999999999</v>
      </c>
      <c r="W330" s="638">
        <v>3.0790000000000002</v>
      </c>
      <c r="X330" s="638">
        <v>10.295999999999999</v>
      </c>
      <c r="Y330" s="638">
        <v>14.853</v>
      </c>
      <c r="Z330" s="533">
        <f t="shared" si="405"/>
        <v>20.817</v>
      </c>
      <c r="AA330" s="638">
        <v>4.024</v>
      </c>
      <c r="AB330" s="638">
        <v>8.1639999999999997</v>
      </c>
      <c r="AC330" s="638">
        <v>12.114000000000001</v>
      </c>
      <c r="AD330" s="533">
        <f t="shared" si="406"/>
        <v>16.675999999999998</v>
      </c>
      <c r="AE330" s="638">
        <v>5.5220000000000002</v>
      </c>
      <c r="AF330" s="638">
        <v>11.699</v>
      </c>
      <c r="AG330" s="638">
        <v>17.785</v>
      </c>
      <c r="AH330" s="533">
        <f t="shared" si="407"/>
        <v>23.609000000000002</v>
      </c>
      <c r="AI330" s="638">
        <v>8.8930000000000007</v>
      </c>
      <c r="AJ330" s="638">
        <v>17.966999999999999</v>
      </c>
      <c r="AK330" s="638">
        <v>30.821000000000002</v>
      </c>
      <c r="AL330" s="533">
        <f t="shared" si="408"/>
        <v>39.332999999999998</v>
      </c>
      <c r="AM330" s="638">
        <v>8.2859999999999996</v>
      </c>
      <c r="AN330" s="638">
        <v>8.8879999999999999</v>
      </c>
      <c r="AO330" s="638">
        <v>14.464</v>
      </c>
      <c r="AP330" s="533">
        <f t="shared" si="409"/>
        <v>18.57</v>
      </c>
      <c r="AQ330" s="638">
        <v>5.51</v>
      </c>
      <c r="AR330" s="638">
        <v>10.451000000000001</v>
      </c>
      <c r="AS330" s="638">
        <v>15.196</v>
      </c>
      <c r="AT330" s="533">
        <f t="shared" si="410"/>
        <v>20.32</v>
      </c>
      <c r="AU330" s="643">
        <v>8.4260000000000002</v>
      </c>
      <c r="AV330" s="532"/>
      <c r="AW330" s="532"/>
      <c r="AX330" s="532">
        <f t="shared" si="411"/>
        <v>0</v>
      </c>
      <c r="AY330" s="532"/>
      <c r="AZ330" s="729">
        <v>2.79</v>
      </c>
      <c r="BA330" s="729">
        <v>5.9340000000000002</v>
      </c>
      <c r="BB330" s="729">
        <v>9.4659999999999993</v>
      </c>
      <c r="BC330" s="729">
        <v>10.067</v>
      </c>
      <c r="BD330" s="729">
        <v>14.374000000000001</v>
      </c>
      <c r="BE330" s="729">
        <v>22.827999999999999</v>
      </c>
      <c r="BF330" s="729">
        <v>21.298999999999999</v>
      </c>
      <c r="BG330" s="729">
        <v>18.616</v>
      </c>
      <c r="BH330" s="729">
        <v>22.597999999999999</v>
      </c>
      <c r="BI330" s="729">
        <v>20.817</v>
      </c>
      <c r="BJ330" s="729">
        <v>16.675999999999998</v>
      </c>
      <c r="BK330" s="729">
        <v>23.609000000000002</v>
      </c>
      <c r="BL330" s="729">
        <v>39.332999999999998</v>
      </c>
      <c r="BM330" s="729">
        <v>18.57</v>
      </c>
      <c r="BN330" s="748">
        <v>20.32</v>
      </c>
      <c r="BO330" s="156"/>
      <c r="BP330" s="156"/>
      <c r="BQ330" s="156"/>
      <c r="BR330" s="156"/>
      <c r="BS330" s="156"/>
      <c r="BT330" s="533"/>
    </row>
    <row r="331" spans="1:72" s="17" customFormat="1" hidden="1" outlineLevel="1" x14ac:dyDescent="0.35">
      <c r="A331" s="208" t="s">
        <v>118</v>
      </c>
      <c r="B331" s="308"/>
      <c r="C331" s="638">
        <v>-1.0860000000000001</v>
      </c>
      <c r="D331" s="638">
        <v>-2.532</v>
      </c>
      <c r="E331" s="638">
        <v>-4.4130000000000003</v>
      </c>
      <c r="F331" s="533">
        <f t="shared" si="400"/>
        <v>-8.8889999999999993</v>
      </c>
      <c r="G331" s="638">
        <v>-0.38500000000000001</v>
      </c>
      <c r="H331" s="638">
        <v>1.2170000000000001</v>
      </c>
      <c r="I331" s="638">
        <v>0.47199999999999998</v>
      </c>
      <c r="J331" s="533">
        <f t="shared" si="401"/>
        <v>-1.679</v>
      </c>
      <c r="K331" s="638">
        <v>-7.0000000000000001E-3</v>
      </c>
      <c r="L331" s="638">
        <v>-7.0000000000000001E-3</v>
      </c>
      <c r="M331" s="638">
        <v>-8.0000000000000002E-3</v>
      </c>
      <c r="N331" s="533">
        <f t="shared" si="402"/>
        <v>-0.11799999999999999</v>
      </c>
      <c r="O331" s="638">
        <v>-6.0000000000000001E-3</v>
      </c>
      <c r="P331" s="638">
        <v>-6.0000000000000001E-3</v>
      </c>
      <c r="Q331" s="638">
        <v>-6.0000000000000001E-3</v>
      </c>
      <c r="R331" s="533">
        <f t="shared" si="403"/>
        <v>-6.0000000000000001E-3</v>
      </c>
      <c r="S331" s="638">
        <v>-0.10299999999999999</v>
      </c>
      <c r="T331" s="638">
        <v>-0.25</v>
      </c>
      <c r="U331" s="638">
        <v>-0.25</v>
      </c>
      <c r="V331" s="533">
        <f t="shared" si="404"/>
        <v>-0.29099999999999998</v>
      </c>
      <c r="W331" s="532"/>
      <c r="X331" s="532"/>
      <c r="Y331" s="532"/>
      <c r="Z331" s="533">
        <f t="shared" si="405"/>
        <v>0</v>
      </c>
      <c r="AA331" s="532"/>
      <c r="AB331" s="532"/>
      <c r="AC331" s="532"/>
      <c r="AD331" s="533">
        <f t="shared" si="406"/>
        <v>0</v>
      </c>
      <c r="AE331" s="532"/>
      <c r="AF331" s="532"/>
      <c r="AG331" s="532"/>
      <c r="AH331" s="533">
        <f t="shared" si="407"/>
        <v>0</v>
      </c>
      <c r="AI331" s="532"/>
      <c r="AJ331" s="532"/>
      <c r="AK331" s="532"/>
      <c r="AL331" s="533">
        <f t="shared" si="408"/>
        <v>0</v>
      </c>
      <c r="AM331" s="532"/>
      <c r="AN331" s="532"/>
      <c r="AO331" s="532"/>
      <c r="AP331" s="533">
        <f t="shared" si="409"/>
        <v>0</v>
      </c>
      <c r="AQ331" s="532"/>
      <c r="AR331" s="532"/>
      <c r="AS331" s="532"/>
      <c r="AT331" s="533">
        <f t="shared" si="410"/>
        <v>0</v>
      </c>
      <c r="AU331" s="534"/>
      <c r="AV331" s="532"/>
      <c r="AW331" s="532"/>
      <c r="AX331" s="532">
        <f t="shared" si="411"/>
        <v>0</v>
      </c>
      <c r="AY331" s="532"/>
      <c r="AZ331" s="729">
        <v>-6.9980000000000002</v>
      </c>
      <c r="BA331" s="729">
        <v>-3.9350000000000001</v>
      </c>
      <c r="BB331" s="729">
        <v>-4.9539999999999997</v>
      </c>
      <c r="BC331" s="729">
        <v>3.1219999999999999</v>
      </c>
      <c r="BD331" s="729">
        <v>-8.8889999999999993</v>
      </c>
      <c r="BE331" s="729">
        <v>-1.679</v>
      </c>
      <c r="BF331" s="729">
        <v>-0.11799999999999999</v>
      </c>
      <c r="BG331" s="729">
        <v>-6.0000000000000001E-3</v>
      </c>
      <c r="BH331" s="729">
        <v>-0.29099999999999998</v>
      </c>
      <c r="BI331" s="156"/>
      <c r="BJ331" s="156"/>
      <c r="BK331" s="156"/>
      <c r="BL331" s="156"/>
      <c r="BM331" s="156"/>
      <c r="BN331" s="730"/>
      <c r="BO331" s="156"/>
      <c r="BP331" s="156"/>
      <c r="BQ331" s="156"/>
      <c r="BR331" s="156"/>
      <c r="BS331" s="156"/>
      <c r="BT331" s="533"/>
    </row>
    <row r="332" spans="1:72" s="17" customFormat="1" hidden="1" outlineLevel="1" x14ac:dyDescent="0.35">
      <c r="A332" s="208" t="s">
        <v>119</v>
      </c>
      <c r="B332" s="308"/>
      <c r="C332" s="638">
        <v>3.488</v>
      </c>
      <c r="D332" s="638">
        <v>9.4819999999999993</v>
      </c>
      <c r="E332" s="638">
        <v>16.347999999999999</v>
      </c>
      <c r="F332" s="533">
        <f t="shared" si="400"/>
        <v>15.77</v>
      </c>
      <c r="G332" s="638">
        <v>-3.45</v>
      </c>
      <c r="H332" s="638">
        <v>-8.1340000000000003</v>
      </c>
      <c r="I332" s="638">
        <v>0.122</v>
      </c>
      <c r="J332" s="533">
        <f t="shared" si="401"/>
        <v>-5.7539999999999996</v>
      </c>
      <c r="K332" s="638">
        <v>7.258</v>
      </c>
      <c r="L332" s="638">
        <v>5.2030000000000003</v>
      </c>
      <c r="M332" s="638">
        <v>4.1280000000000001</v>
      </c>
      <c r="N332" s="533">
        <f t="shared" si="402"/>
        <v>-3.0939999999999999</v>
      </c>
      <c r="O332" s="638">
        <v>7.1890000000000001</v>
      </c>
      <c r="P332" s="638">
        <v>5.7450000000000001</v>
      </c>
      <c r="Q332" s="638">
        <v>-0.55200000000000005</v>
      </c>
      <c r="R332" s="533">
        <f t="shared" si="403"/>
        <v>-3.8180000000000001</v>
      </c>
      <c r="S332" s="638">
        <v>8.2910000000000004</v>
      </c>
      <c r="T332" s="638">
        <v>4.1230000000000002</v>
      </c>
      <c r="U332" s="638">
        <v>-0.25900000000000001</v>
      </c>
      <c r="V332" s="533">
        <f t="shared" si="404"/>
        <v>-7.0650000000000004</v>
      </c>
      <c r="W332" s="638">
        <v>7.7649999999999997</v>
      </c>
      <c r="X332" s="638">
        <v>-5.0999999999999997E-2</v>
      </c>
      <c r="Y332" s="638">
        <v>-4.9779999999999998</v>
      </c>
      <c r="Z332" s="533">
        <f t="shared" si="405"/>
        <v>-4.0149999999999997</v>
      </c>
      <c r="AA332" s="638">
        <v>5.8650000000000002</v>
      </c>
      <c r="AB332" s="638">
        <v>6.3339999999999996</v>
      </c>
      <c r="AC332" s="638">
        <v>5.327</v>
      </c>
      <c r="AD332" s="533">
        <f t="shared" si="406"/>
        <v>3.6930000000000001</v>
      </c>
      <c r="AE332" s="638">
        <v>3.7759999999999998</v>
      </c>
      <c r="AF332" s="638">
        <v>0.34599999999999997</v>
      </c>
      <c r="AG332" s="638">
        <v>1.151</v>
      </c>
      <c r="AH332" s="533">
        <f t="shared" si="407"/>
        <v>-1.3049999999999999</v>
      </c>
      <c r="AI332" s="638">
        <v>8.0649999999999995</v>
      </c>
      <c r="AJ332" s="638">
        <v>5.375</v>
      </c>
      <c r="AK332" s="638">
        <v>2.2559999999999998</v>
      </c>
      <c r="AL332" s="533">
        <f t="shared" si="408"/>
        <v>2.5489999999999999</v>
      </c>
      <c r="AM332" s="638">
        <v>5.484</v>
      </c>
      <c r="AN332" s="638">
        <v>6.008</v>
      </c>
      <c r="AO332" s="638">
        <v>6.5720000000000001</v>
      </c>
      <c r="AP332" s="533">
        <f t="shared" si="409"/>
        <v>1.19</v>
      </c>
      <c r="AQ332" s="638">
        <v>17.222999999999999</v>
      </c>
      <c r="AR332" s="638">
        <v>7.9950000000000001</v>
      </c>
      <c r="AS332" s="638">
        <v>2.9820000000000002</v>
      </c>
      <c r="AT332" s="533">
        <f t="shared" si="410"/>
        <v>-10.372999999999999</v>
      </c>
      <c r="AU332" s="643">
        <v>7.9009999999999998</v>
      </c>
      <c r="AV332" s="532"/>
      <c r="AW332" s="532"/>
      <c r="AX332" s="532">
        <f t="shared" si="411"/>
        <v>0</v>
      </c>
      <c r="AY332" s="532"/>
      <c r="AZ332" s="729">
        <v>9.5839999999999996</v>
      </c>
      <c r="BA332" s="729">
        <v>11.858000000000001</v>
      </c>
      <c r="BB332" s="729">
        <v>10.978</v>
      </c>
      <c r="BC332" s="729">
        <v>10.297000000000001</v>
      </c>
      <c r="BD332" s="729">
        <v>15.77</v>
      </c>
      <c r="BE332" s="729">
        <v>-5.7539999999999996</v>
      </c>
      <c r="BF332" s="729">
        <v>-3.0939999999999999</v>
      </c>
      <c r="BG332" s="729">
        <v>-3.8180000000000001</v>
      </c>
      <c r="BH332" s="729">
        <v>-7.0650000000000004</v>
      </c>
      <c r="BI332" s="729">
        <v>-4.0149999999999997</v>
      </c>
      <c r="BJ332" s="729">
        <v>3.6930000000000001</v>
      </c>
      <c r="BK332" s="729">
        <v>-1.3049999999999999</v>
      </c>
      <c r="BL332" s="729">
        <v>2.5489999999999999</v>
      </c>
      <c r="BM332" s="729">
        <v>1.19</v>
      </c>
      <c r="BN332" s="748">
        <v>-10.372999999999999</v>
      </c>
      <c r="BO332" s="156"/>
      <c r="BP332" s="156"/>
      <c r="BQ332" s="156"/>
      <c r="BR332" s="156"/>
      <c r="BS332" s="156"/>
      <c r="BT332" s="533"/>
    </row>
    <row r="333" spans="1:72" s="17" customFormat="1" hidden="1" outlineLevel="1" x14ac:dyDescent="0.35">
      <c r="A333" s="208" t="s">
        <v>394</v>
      </c>
      <c r="B333" s="308"/>
      <c r="C333" s="638">
        <v>0.39700000000000002</v>
      </c>
      <c r="D333" s="638">
        <v>0.78400000000000003</v>
      </c>
      <c r="E333" s="638">
        <v>1.8140000000000001</v>
      </c>
      <c r="F333" s="533">
        <f t="shared" si="400"/>
        <v>2.0699999999999998</v>
      </c>
      <c r="G333" s="638">
        <v>0.30199999999999999</v>
      </c>
      <c r="H333" s="638">
        <v>0.71699999999999997</v>
      </c>
      <c r="I333" s="638">
        <v>1.206</v>
      </c>
      <c r="J333" s="533">
        <f t="shared" si="401"/>
        <v>1.4390000000000001</v>
      </c>
      <c r="K333" s="638">
        <v>0.28299999999999997</v>
      </c>
      <c r="L333" s="638">
        <v>0.83599999999999997</v>
      </c>
      <c r="M333" s="638">
        <v>1.4419999999999999</v>
      </c>
      <c r="N333" s="533">
        <f t="shared" si="402"/>
        <v>9.3000000000000007</v>
      </c>
      <c r="O333" s="638">
        <v>2.335</v>
      </c>
      <c r="P333" s="638">
        <v>2.766</v>
      </c>
      <c r="Q333" s="638">
        <v>2.895</v>
      </c>
      <c r="R333" s="533">
        <f t="shared" si="403"/>
        <v>4.6100000000000003</v>
      </c>
      <c r="S333" s="638">
        <v>0.23899999999999999</v>
      </c>
      <c r="T333" s="638">
        <v>0.27300000000000002</v>
      </c>
      <c r="U333" s="638">
        <v>4.1959999999999997</v>
      </c>
      <c r="V333" s="533">
        <f t="shared" si="404"/>
        <v>4.5119999999999996</v>
      </c>
      <c r="W333" s="638">
        <v>0.12</v>
      </c>
      <c r="X333" s="638">
        <v>0.46800000000000003</v>
      </c>
      <c r="Y333" s="638">
        <v>0.60499999999999998</v>
      </c>
      <c r="Z333" s="533">
        <f t="shared" si="405"/>
        <v>4.0890000000000004</v>
      </c>
      <c r="AA333" s="638">
        <v>0.44600000000000001</v>
      </c>
      <c r="AB333" s="638">
        <v>0.74</v>
      </c>
      <c r="AC333" s="638">
        <v>2.8540000000000001</v>
      </c>
      <c r="AD333" s="533">
        <f t="shared" si="406"/>
        <v>6.3250000000000002</v>
      </c>
      <c r="AE333" s="638">
        <v>-0.28000000000000003</v>
      </c>
      <c r="AF333" s="638">
        <v>-0.34399999999999997</v>
      </c>
      <c r="AG333" s="638">
        <v>-8.7999999999999995E-2</v>
      </c>
      <c r="AH333" s="533">
        <f t="shared" si="407"/>
        <v>2.8820000000000001</v>
      </c>
      <c r="AI333" s="638">
        <v>4.875</v>
      </c>
      <c r="AJ333" s="638">
        <v>6.3820000000000006</v>
      </c>
      <c r="AK333" s="638">
        <v>7.6349999999999998</v>
      </c>
      <c r="AL333" s="533">
        <f t="shared" si="408"/>
        <v>6.5609999999999999</v>
      </c>
      <c r="AM333" s="638">
        <v>0.152</v>
      </c>
      <c r="AN333" s="638">
        <v>4.7300000000000004</v>
      </c>
      <c r="AO333" s="638">
        <v>7.0469999999999997</v>
      </c>
      <c r="AP333" s="533">
        <f t="shared" si="409"/>
        <v>15.673</v>
      </c>
      <c r="AQ333" s="638">
        <v>1.5029999999999999</v>
      </c>
      <c r="AR333" s="638">
        <v>2.173</v>
      </c>
      <c r="AS333" s="638">
        <v>5.9390000000000001</v>
      </c>
      <c r="AT333" s="533">
        <f t="shared" si="410"/>
        <v>9.1579999999999995</v>
      </c>
      <c r="AU333" s="643">
        <v>9.35</v>
      </c>
      <c r="AV333" s="532"/>
      <c r="AW333" s="532"/>
      <c r="AX333" s="532">
        <f t="shared" si="411"/>
        <v>0</v>
      </c>
      <c r="AY333" s="532"/>
      <c r="AZ333" s="729">
        <v>-0.40300000000000002</v>
      </c>
      <c r="BA333" s="729">
        <v>0.308</v>
      </c>
      <c r="BB333" s="729">
        <v>1.472</v>
      </c>
      <c r="BC333" s="729">
        <v>0.20399999999999999</v>
      </c>
      <c r="BD333" s="729">
        <v>2.0699999999999998</v>
      </c>
      <c r="BE333" s="729">
        <v>1.4390000000000001</v>
      </c>
      <c r="BF333" s="729">
        <v>9.3000000000000007</v>
      </c>
      <c r="BG333" s="729">
        <v>4.6100000000000003</v>
      </c>
      <c r="BH333" s="729">
        <v>4.5119999999999996</v>
      </c>
      <c r="BI333" s="729">
        <v>4.0890000000000004</v>
      </c>
      <c r="BJ333" s="729">
        <v>6.3250000000000002</v>
      </c>
      <c r="BK333" s="729">
        <v>2.8820000000000001</v>
      </c>
      <c r="BL333" s="729">
        <v>6.5609999999999999</v>
      </c>
      <c r="BM333" s="729">
        <v>15.673</v>
      </c>
      <c r="BN333" s="748">
        <v>9.1579999999999995</v>
      </c>
      <c r="BO333" s="156"/>
      <c r="BP333" s="156"/>
      <c r="BQ333" s="156"/>
      <c r="BR333" s="156"/>
      <c r="BS333" s="156"/>
      <c r="BT333" s="533"/>
    </row>
    <row r="334" spans="1:72" s="17" customFormat="1" hidden="1" outlineLevel="1" x14ac:dyDescent="0.35">
      <c r="A334" s="208" t="s">
        <v>442</v>
      </c>
      <c r="B334" s="308"/>
      <c r="C334" s="532"/>
      <c r="D334" s="532"/>
      <c r="E334" s="532"/>
      <c r="F334" s="532"/>
      <c r="G334" s="532"/>
      <c r="H334" s="532"/>
      <c r="I334" s="532"/>
      <c r="J334" s="532"/>
      <c r="K334" s="532"/>
      <c r="L334" s="532"/>
      <c r="M334" s="532"/>
      <c r="N334" s="532"/>
      <c r="O334" s="532"/>
      <c r="P334" s="532"/>
      <c r="Q334" s="532"/>
      <c r="R334" s="532"/>
      <c r="S334" s="532"/>
      <c r="T334" s="532"/>
      <c r="U334" s="532"/>
      <c r="V334" s="532"/>
      <c r="W334" s="532"/>
      <c r="X334" s="532"/>
      <c r="Y334" s="532"/>
      <c r="Z334" s="532"/>
      <c r="AA334" s="532"/>
      <c r="AB334" s="532"/>
      <c r="AC334" s="532"/>
      <c r="AD334" s="532"/>
      <c r="AE334" s="532"/>
      <c r="AF334" s="532"/>
      <c r="AG334" s="532"/>
      <c r="AH334" s="532"/>
      <c r="AI334" s="638">
        <v>1.2190000000000001</v>
      </c>
      <c r="AJ334" s="638">
        <v>4.9729999999999999</v>
      </c>
      <c r="AK334" s="638">
        <v>8.7370000000000001</v>
      </c>
      <c r="AL334" s="532">
        <f t="shared" si="408"/>
        <v>12.62</v>
      </c>
      <c r="AM334" s="638">
        <v>0.40400000000000003</v>
      </c>
      <c r="AN334" s="638">
        <v>0.80900000000000005</v>
      </c>
      <c r="AO334" s="638">
        <v>1.1819999999999999</v>
      </c>
      <c r="AP334" s="532">
        <f t="shared" si="409"/>
        <v>1.573</v>
      </c>
      <c r="AQ334" s="638">
        <v>0.41</v>
      </c>
      <c r="AR334" s="638">
        <v>0.82199999999999995</v>
      </c>
      <c r="AS334" s="638">
        <v>1.2</v>
      </c>
      <c r="AT334" s="532">
        <f t="shared" si="410"/>
        <v>1.597</v>
      </c>
      <c r="AU334" s="643">
        <v>0.41599999999999998</v>
      </c>
      <c r="AV334" s="532"/>
      <c r="AW334" s="532"/>
      <c r="AX334" s="532">
        <f t="shared" si="411"/>
        <v>0</v>
      </c>
      <c r="AY334" s="532"/>
      <c r="AZ334" s="156"/>
      <c r="BA334" s="156"/>
      <c r="BB334" s="156"/>
      <c r="BC334" s="156"/>
      <c r="BD334" s="156"/>
      <c r="BE334" s="156"/>
      <c r="BF334" s="156"/>
      <c r="BG334" s="156"/>
      <c r="BH334" s="156"/>
      <c r="BI334" s="156"/>
      <c r="BJ334" s="156"/>
      <c r="BK334" s="156"/>
      <c r="BL334" s="729">
        <v>12.62</v>
      </c>
      <c r="BM334" s="729">
        <v>1.573</v>
      </c>
      <c r="BN334" s="748">
        <v>1.597</v>
      </c>
      <c r="BO334" s="156"/>
      <c r="BP334" s="156"/>
      <c r="BQ334" s="156"/>
      <c r="BR334" s="156"/>
      <c r="BS334" s="156"/>
      <c r="BT334" s="533"/>
    </row>
    <row r="335" spans="1:72" s="17" customFormat="1" hidden="1" outlineLevel="1" x14ac:dyDescent="0.35">
      <c r="A335" s="208" t="s">
        <v>120</v>
      </c>
      <c r="B335" s="308"/>
      <c r="C335" s="638">
        <v>4.2000000000000003E-2</v>
      </c>
      <c r="D335" s="638">
        <v>0.2</v>
      </c>
      <c r="E335" s="638">
        <v>0.27200000000000002</v>
      </c>
      <c r="F335" s="533">
        <f>BD335</f>
        <v>0.38700000000000001</v>
      </c>
      <c r="G335" s="638">
        <v>8.0000000000000002E-3</v>
      </c>
      <c r="H335" s="638">
        <v>4.1239999999999997</v>
      </c>
      <c r="I335" s="638">
        <v>4.1609999999999996</v>
      </c>
      <c r="J335" s="533">
        <f>BE335</f>
        <v>4.2930000000000001</v>
      </c>
      <c r="K335" s="638">
        <v>0.17699999999999999</v>
      </c>
      <c r="L335" s="638">
        <v>0.45900000000000002</v>
      </c>
      <c r="M335" s="638">
        <v>0.54100000000000004</v>
      </c>
      <c r="N335" s="533">
        <f>BF335</f>
        <v>1.4059999999999999</v>
      </c>
      <c r="O335" s="638">
        <v>0.21299999999999999</v>
      </c>
      <c r="P335" s="638">
        <v>0.45600000000000002</v>
      </c>
      <c r="Q335" s="638">
        <v>0.54300000000000004</v>
      </c>
      <c r="R335" s="533">
        <f>BG335</f>
        <v>0.69099999999999995</v>
      </c>
      <c r="S335" s="638">
        <v>0.23499999999999999</v>
      </c>
      <c r="T335" s="638">
        <v>0.497</v>
      </c>
      <c r="U335" s="638">
        <v>0.39500000000000002</v>
      </c>
      <c r="V335" s="533">
        <f t="shared" ref="V335:V340" si="412">BH335</f>
        <v>0.47499999999999998</v>
      </c>
      <c r="W335" s="638">
        <v>0.308</v>
      </c>
      <c r="X335" s="638">
        <v>0.95899999999999996</v>
      </c>
      <c r="Y335" s="638">
        <v>1.319</v>
      </c>
      <c r="Z335" s="533">
        <f t="shared" ref="Z335:Z340" si="413">BI335</f>
        <v>0</v>
      </c>
      <c r="AA335" s="532"/>
      <c r="AB335" s="532"/>
      <c r="AC335" s="532"/>
      <c r="AD335" s="533">
        <f t="shared" ref="AD335:AD340" si="414">BJ335</f>
        <v>0</v>
      </c>
      <c r="AE335" s="532"/>
      <c r="AF335" s="532"/>
      <c r="AG335" s="532"/>
      <c r="AH335" s="533">
        <f t="shared" ref="AH335:AH340" si="415">BK335</f>
        <v>0</v>
      </c>
      <c r="AI335" s="532"/>
      <c r="AJ335" s="532"/>
      <c r="AK335" s="532"/>
      <c r="AL335" s="533">
        <f t="shared" si="408"/>
        <v>0</v>
      </c>
      <c r="AM335" s="532"/>
      <c r="AN335" s="532"/>
      <c r="AO335" s="532"/>
      <c r="AP335" s="533">
        <f t="shared" si="409"/>
        <v>0</v>
      </c>
      <c r="AQ335" s="532"/>
      <c r="AR335" s="532"/>
      <c r="AS335" s="532"/>
      <c r="AT335" s="533">
        <f t="shared" si="410"/>
        <v>0</v>
      </c>
      <c r="AU335" s="534"/>
      <c r="AV335" s="532"/>
      <c r="AW335" s="532"/>
      <c r="AX335" s="532">
        <f t="shared" si="411"/>
        <v>0</v>
      </c>
      <c r="AY335" s="532"/>
      <c r="AZ335" s="729">
        <v>0.14899999999999999</v>
      </c>
      <c r="BA335" s="729">
        <v>1.0189999999999999</v>
      </c>
      <c r="BB335" s="729">
        <v>1.06</v>
      </c>
      <c r="BC335" s="729">
        <v>1.6180000000000001</v>
      </c>
      <c r="BD335" s="729">
        <v>0.38700000000000001</v>
      </c>
      <c r="BE335" s="729">
        <v>4.2930000000000001</v>
      </c>
      <c r="BF335" s="729">
        <v>1.4059999999999999</v>
      </c>
      <c r="BG335" s="729">
        <v>0.69099999999999995</v>
      </c>
      <c r="BH335" s="729">
        <v>0.47499999999999998</v>
      </c>
      <c r="BI335" s="156"/>
      <c r="BJ335" s="156"/>
      <c r="BK335" s="156"/>
      <c r="BL335" s="156"/>
      <c r="BM335" s="156"/>
      <c r="BN335" s="730"/>
      <c r="BO335" s="156"/>
      <c r="BP335" s="156"/>
      <c r="BQ335" s="156"/>
      <c r="BR335" s="156"/>
      <c r="BS335" s="156"/>
      <c r="BT335" s="533"/>
    </row>
    <row r="336" spans="1:72" s="17" customFormat="1" hidden="1" outlineLevel="1" x14ac:dyDescent="0.35">
      <c r="A336" s="208" t="s">
        <v>121</v>
      </c>
      <c r="B336" s="308"/>
      <c r="C336" s="638">
        <v>0.373</v>
      </c>
      <c r="D336" s="638">
        <v>0.502</v>
      </c>
      <c r="E336" s="638">
        <v>0.439</v>
      </c>
      <c r="F336" s="533">
        <f>BD336</f>
        <v>0.48199999999999998</v>
      </c>
      <c r="G336" s="638">
        <v>-0.26</v>
      </c>
      <c r="H336" s="638">
        <v>-0.45100000000000001</v>
      </c>
      <c r="I336" s="638">
        <v>-0.55500000000000005</v>
      </c>
      <c r="J336" s="533">
        <f>BE336</f>
        <v>-0.52600000000000002</v>
      </c>
      <c r="K336" s="638">
        <v>1.0999999999999999E-2</v>
      </c>
      <c r="L336" s="638">
        <v>-0.22600000000000001</v>
      </c>
      <c r="M336" s="638">
        <v>-0.26200000000000001</v>
      </c>
      <c r="N336" s="533">
        <f>BF336</f>
        <v>-0.43</v>
      </c>
      <c r="O336" s="638">
        <v>-0.28399999999999997</v>
      </c>
      <c r="P336" s="638">
        <v>-0.38900000000000001</v>
      </c>
      <c r="Q336" s="638">
        <v>-0.42199999999999999</v>
      </c>
      <c r="R336" s="533">
        <f>BG336</f>
        <v>-0.45900000000000002</v>
      </c>
      <c r="S336" s="638">
        <v>0.224</v>
      </c>
      <c r="T336" s="638">
        <v>0.26500000000000001</v>
      </c>
      <c r="U336" s="638">
        <v>0.25600000000000001</v>
      </c>
      <c r="V336" s="533">
        <f t="shared" si="412"/>
        <v>0.246</v>
      </c>
      <c r="W336" s="638">
        <v>2.3E-2</v>
      </c>
      <c r="X336" s="638">
        <v>-5.0000000000000001E-3</v>
      </c>
      <c r="Y336" s="638">
        <v>0.10299999999999999</v>
      </c>
      <c r="Z336" s="533">
        <f t="shared" si="413"/>
        <v>0</v>
      </c>
      <c r="AA336" s="532"/>
      <c r="AB336" s="532"/>
      <c r="AC336" s="532"/>
      <c r="AD336" s="533">
        <f t="shared" si="414"/>
        <v>0</v>
      </c>
      <c r="AE336" s="532"/>
      <c r="AF336" s="532"/>
      <c r="AG336" s="532"/>
      <c r="AH336" s="533">
        <f t="shared" si="415"/>
        <v>0</v>
      </c>
      <c r="AI336" s="532"/>
      <c r="AJ336" s="532"/>
      <c r="AK336" s="532"/>
      <c r="AL336" s="533">
        <f t="shared" si="408"/>
        <v>0</v>
      </c>
      <c r="AM336" s="532"/>
      <c r="AN336" s="532"/>
      <c r="AO336" s="532"/>
      <c r="AP336" s="533">
        <f t="shared" si="409"/>
        <v>0</v>
      </c>
      <c r="AQ336" s="532"/>
      <c r="AR336" s="532"/>
      <c r="AS336" s="532"/>
      <c r="AT336" s="533">
        <f t="shared" si="410"/>
        <v>0</v>
      </c>
      <c r="AU336" s="534"/>
      <c r="AV336" s="532"/>
      <c r="AW336" s="532"/>
      <c r="AX336" s="532">
        <f t="shared" si="411"/>
        <v>0</v>
      </c>
      <c r="AY336" s="532"/>
      <c r="AZ336" s="729">
        <v>0.24299999999999999</v>
      </c>
      <c r="BA336" s="729">
        <v>-0.17799999999999999</v>
      </c>
      <c r="BB336" s="729">
        <v>0.219</v>
      </c>
      <c r="BC336" s="729">
        <v>1.038</v>
      </c>
      <c r="BD336" s="729">
        <v>0.48199999999999998</v>
      </c>
      <c r="BE336" s="729">
        <v>-0.52600000000000002</v>
      </c>
      <c r="BF336" s="729">
        <v>-0.43</v>
      </c>
      <c r="BG336" s="729">
        <v>-0.45900000000000002</v>
      </c>
      <c r="BH336" s="729">
        <v>0.246</v>
      </c>
      <c r="BI336" s="156"/>
      <c r="BJ336" s="156"/>
      <c r="BK336" s="156"/>
      <c r="BL336" s="156"/>
      <c r="BM336" s="156"/>
      <c r="BN336" s="730"/>
      <c r="BO336" s="156"/>
      <c r="BP336" s="156"/>
      <c r="BQ336" s="156"/>
      <c r="BR336" s="156"/>
      <c r="BS336" s="156"/>
      <c r="BT336" s="533"/>
    </row>
    <row r="337" spans="1:72" s="17" customFormat="1" hidden="1" outlineLevel="1" x14ac:dyDescent="0.35">
      <c r="A337" s="208" t="s">
        <v>122</v>
      </c>
      <c r="B337" s="308"/>
      <c r="C337" s="532"/>
      <c r="D337" s="532"/>
      <c r="E337" s="532"/>
      <c r="F337" s="533">
        <f>BD337</f>
        <v>0</v>
      </c>
      <c r="G337" s="532"/>
      <c r="H337" s="532"/>
      <c r="I337" s="532"/>
      <c r="J337" s="533">
        <f>BE337</f>
        <v>0</v>
      </c>
      <c r="K337" s="532"/>
      <c r="L337" s="532"/>
      <c r="M337" s="532"/>
      <c r="N337" s="533">
        <f>BF337</f>
        <v>3.2</v>
      </c>
      <c r="O337" s="532"/>
      <c r="P337" s="532"/>
      <c r="Q337" s="532"/>
      <c r="R337" s="533">
        <f>BG337</f>
        <v>0.2</v>
      </c>
      <c r="S337" s="532"/>
      <c r="T337" s="532"/>
      <c r="U337" s="638">
        <v>0.58599999999999997</v>
      </c>
      <c r="V337" s="533">
        <f t="shared" si="412"/>
        <v>0.58599999999999997</v>
      </c>
      <c r="W337" s="532"/>
      <c r="X337" s="532"/>
      <c r="Y337" s="532"/>
      <c r="Z337" s="533">
        <f t="shared" si="413"/>
        <v>0</v>
      </c>
      <c r="AA337" s="532"/>
      <c r="AB337" s="532"/>
      <c r="AC337" s="532"/>
      <c r="AD337" s="533">
        <f t="shared" si="414"/>
        <v>0</v>
      </c>
      <c r="AE337" s="532"/>
      <c r="AF337" s="532"/>
      <c r="AG337" s="532"/>
      <c r="AH337" s="533">
        <f t="shared" si="415"/>
        <v>0</v>
      </c>
      <c r="AI337" s="532"/>
      <c r="AJ337" s="532"/>
      <c r="AK337" s="532"/>
      <c r="AL337" s="533">
        <f t="shared" si="408"/>
        <v>0</v>
      </c>
      <c r="AM337" s="532"/>
      <c r="AN337" s="532"/>
      <c r="AO337" s="532"/>
      <c r="AP337" s="533">
        <f t="shared" si="409"/>
        <v>0</v>
      </c>
      <c r="AQ337" s="532"/>
      <c r="AR337" s="532"/>
      <c r="AS337" s="532"/>
      <c r="AT337" s="533">
        <f t="shared" si="410"/>
        <v>0</v>
      </c>
      <c r="AU337" s="534"/>
      <c r="AV337" s="532"/>
      <c r="AW337" s="532"/>
      <c r="AX337" s="532">
        <f t="shared" si="411"/>
        <v>0</v>
      </c>
      <c r="AY337" s="532"/>
      <c r="AZ337" s="729">
        <v>0.26100000000000001</v>
      </c>
      <c r="BA337" s="156"/>
      <c r="BB337" s="156"/>
      <c r="BC337" s="156"/>
      <c r="BD337" s="156"/>
      <c r="BE337" s="156"/>
      <c r="BF337" s="729">
        <v>3.2</v>
      </c>
      <c r="BG337" s="729">
        <v>0.2</v>
      </c>
      <c r="BH337" s="729">
        <v>0.58599999999999997</v>
      </c>
      <c r="BI337" s="156"/>
      <c r="BJ337" s="156"/>
      <c r="BK337" s="156"/>
      <c r="BL337" s="156"/>
      <c r="BM337" s="156"/>
      <c r="BN337" s="730"/>
      <c r="BO337" s="156"/>
      <c r="BP337" s="156"/>
      <c r="BQ337" s="156"/>
      <c r="BR337" s="156"/>
      <c r="BS337" s="156"/>
      <c r="BT337" s="533"/>
    </row>
    <row r="338" spans="1:72" s="17" customFormat="1" hidden="1" outlineLevel="1" x14ac:dyDescent="0.35">
      <c r="A338" s="208" t="s">
        <v>45</v>
      </c>
      <c r="B338" s="308"/>
      <c r="C338" s="532"/>
      <c r="D338" s="532"/>
      <c r="E338" s="532"/>
      <c r="F338" s="533">
        <f>BD338</f>
        <v>0</v>
      </c>
      <c r="G338" s="532"/>
      <c r="H338" s="532"/>
      <c r="I338" s="532"/>
      <c r="J338" s="533">
        <f>BE338</f>
        <v>-6.4039999999999999</v>
      </c>
      <c r="K338" s="532"/>
      <c r="L338" s="532"/>
      <c r="M338" s="532"/>
      <c r="N338" s="533">
        <f>BF338</f>
        <v>0</v>
      </c>
      <c r="O338" s="532"/>
      <c r="P338" s="532"/>
      <c r="Q338" s="532"/>
      <c r="R338" s="533">
        <f>BG338</f>
        <v>0</v>
      </c>
      <c r="S338" s="532"/>
      <c r="T338" s="532"/>
      <c r="U338" s="532"/>
      <c r="V338" s="533">
        <f t="shared" si="412"/>
        <v>0</v>
      </c>
      <c r="W338" s="532"/>
      <c r="X338" s="532"/>
      <c r="Y338" s="532"/>
      <c r="Z338" s="533">
        <f t="shared" si="413"/>
        <v>0</v>
      </c>
      <c r="AA338" s="532"/>
      <c r="AB338" s="532"/>
      <c r="AC338" s="532"/>
      <c r="AD338" s="533">
        <f t="shared" si="414"/>
        <v>0</v>
      </c>
      <c r="AE338" s="532"/>
      <c r="AF338" s="532"/>
      <c r="AG338" s="532"/>
      <c r="AH338" s="533">
        <f t="shared" si="415"/>
        <v>0</v>
      </c>
      <c r="AI338" s="532"/>
      <c r="AJ338" s="532"/>
      <c r="AK338" s="532"/>
      <c r="AL338" s="533">
        <f t="shared" si="408"/>
        <v>0</v>
      </c>
      <c r="AM338" s="532"/>
      <c r="AN338" s="532"/>
      <c r="AO338" s="532"/>
      <c r="AP338" s="533">
        <f t="shared" si="409"/>
        <v>0</v>
      </c>
      <c r="AQ338" s="532"/>
      <c r="AR338" s="532"/>
      <c r="AS338" s="532"/>
      <c r="AT338" s="533">
        <f t="shared" si="410"/>
        <v>0</v>
      </c>
      <c r="AU338" s="534"/>
      <c r="AV338" s="532"/>
      <c r="AW338" s="532"/>
      <c r="AX338" s="532">
        <f t="shared" si="411"/>
        <v>0</v>
      </c>
      <c r="AY338" s="532"/>
      <c r="AZ338" s="156"/>
      <c r="BA338" s="156"/>
      <c r="BB338" s="156"/>
      <c r="BC338" s="156"/>
      <c r="BD338" s="156"/>
      <c r="BE338" s="729">
        <v>-6.4039999999999999</v>
      </c>
      <c r="BF338" s="156"/>
      <c r="BG338" s="156"/>
      <c r="BH338" s="156"/>
      <c r="BI338" s="156"/>
      <c r="BJ338" s="156"/>
      <c r="BK338" s="156"/>
      <c r="BL338" s="156"/>
      <c r="BM338" s="156"/>
      <c r="BN338" s="730"/>
      <c r="BO338" s="156"/>
      <c r="BP338" s="156"/>
      <c r="BQ338" s="156"/>
      <c r="BR338" s="156"/>
      <c r="BS338" s="156"/>
      <c r="BT338" s="533"/>
    </row>
    <row r="339" spans="1:72" s="17" customFormat="1" hidden="1" outlineLevel="1" x14ac:dyDescent="0.35">
      <c r="A339" s="208" t="s">
        <v>123</v>
      </c>
      <c r="B339" s="308"/>
      <c r="C339" s="532"/>
      <c r="D339" s="532"/>
      <c r="E339" s="532"/>
      <c r="F339" s="533">
        <f>BD339</f>
        <v>0</v>
      </c>
      <c r="G339" s="532"/>
      <c r="H339" s="532"/>
      <c r="I339" s="532"/>
      <c r="J339" s="533">
        <f>BE339</f>
        <v>0</v>
      </c>
      <c r="K339" s="532"/>
      <c r="L339" s="532"/>
      <c r="M339" s="532"/>
      <c r="N339" s="533">
        <f>BF339</f>
        <v>0</v>
      </c>
      <c r="O339" s="638">
        <v>1.3520000000000001</v>
      </c>
      <c r="P339" s="638">
        <v>1.9950000000000001</v>
      </c>
      <c r="Q339" s="638">
        <v>2.532</v>
      </c>
      <c r="R339" s="533">
        <f>BG339</f>
        <v>2.625</v>
      </c>
      <c r="S339" s="638">
        <v>1.925</v>
      </c>
      <c r="T339" s="638">
        <v>2.7290000000000001</v>
      </c>
      <c r="U339" s="638">
        <v>3.4119999999999999</v>
      </c>
      <c r="V339" s="533">
        <f t="shared" si="412"/>
        <v>3.5249999999999999</v>
      </c>
      <c r="W339" s="638">
        <v>2.0920000000000001</v>
      </c>
      <c r="X339" s="638">
        <v>2.5310000000000001</v>
      </c>
      <c r="Y339" s="638">
        <v>3.335</v>
      </c>
      <c r="Z339" s="533">
        <f t="shared" si="413"/>
        <v>0</v>
      </c>
      <c r="AA339" s="532"/>
      <c r="AB339" s="532"/>
      <c r="AC339" s="532"/>
      <c r="AD339" s="533">
        <f t="shared" si="414"/>
        <v>0</v>
      </c>
      <c r="AE339" s="532"/>
      <c r="AF339" s="532"/>
      <c r="AG339" s="532"/>
      <c r="AH339" s="533">
        <f t="shared" si="415"/>
        <v>0</v>
      </c>
      <c r="AI339" s="532"/>
      <c r="AJ339" s="532"/>
      <c r="AK339" s="532"/>
      <c r="AL339" s="533">
        <f t="shared" si="408"/>
        <v>0</v>
      </c>
      <c r="AM339" s="532"/>
      <c r="AN339" s="532"/>
      <c r="AO339" s="532"/>
      <c r="AP339" s="533">
        <f t="shared" si="409"/>
        <v>0</v>
      </c>
      <c r="AQ339" s="532"/>
      <c r="AR339" s="532"/>
      <c r="AS339" s="532"/>
      <c r="AT339" s="533">
        <f t="shared" si="410"/>
        <v>0</v>
      </c>
      <c r="AU339" s="534"/>
      <c r="AV339" s="532"/>
      <c r="AW339" s="532"/>
      <c r="AX339" s="532">
        <f t="shared" si="411"/>
        <v>0</v>
      </c>
      <c r="AY339" s="532"/>
      <c r="AZ339" s="156"/>
      <c r="BA339" s="156"/>
      <c r="BB339" s="156"/>
      <c r="BC339" s="156"/>
      <c r="BD339" s="156"/>
      <c r="BE339" s="156"/>
      <c r="BF339" s="156"/>
      <c r="BG339" s="729">
        <v>2.625</v>
      </c>
      <c r="BH339" s="729">
        <v>3.5249999999999999</v>
      </c>
      <c r="BI339" s="156"/>
      <c r="BJ339" s="156"/>
      <c r="BK339" s="156"/>
      <c r="BL339" s="156"/>
      <c r="BM339" s="156"/>
      <c r="BN339" s="730"/>
      <c r="BO339" s="156"/>
      <c r="BP339" s="156"/>
      <c r="BQ339" s="156"/>
      <c r="BR339" s="156"/>
      <c r="BS339" s="156"/>
      <c r="BT339" s="533"/>
    </row>
    <row r="340" spans="1:72" s="17" customFormat="1" hidden="1" outlineLevel="1" x14ac:dyDescent="0.35">
      <c r="A340" s="208" t="s">
        <v>46</v>
      </c>
      <c r="B340" s="308"/>
      <c r="C340" s="532"/>
      <c r="D340" s="532"/>
      <c r="E340" s="532"/>
      <c r="F340" s="532"/>
      <c r="G340" s="532"/>
      <c r="H340" s="532"/>
      <c r="I340" s="532"/>
      <c r="J340" s="532"/>
      <c r="K340" s="532"/>
      <c r="L340" s="532"/>
      <c r="M340" s="532"/>
      <c r="N340" s="532"/>
      <c r="O340" s="532"/>
      <c r="P340" s="532"/>
      <c r="Q340" s="532"/>
      <c r="R340" s="532"/>
      <c r="S340" s="532"/>
      <c r="T340" s="532"/>
      <c r="U340" s="532"/>
      <c r="V340" s="533">
        <f t="shared" si="412"/>
        <v>10</v>
      </c>
      <c r="W340" s="532"/>
      <c r="X340" s="532"/>
      <c r="Y340" s="532"/>
      <c r="Z340" s="533">
        <f t="shared" si="413"/>
        <v>0</v>
      </c>
      <c r="AA340" s="532"/>
      <c r="AB340" s="532"/>
      <c r="AC340" s="532"/>
      <c r="AD340" s="533">
        <f t="shared" si="414"/>
        <v>0</v>
      </c>
      <c r="AE340" s="532"/>
      <c r="AF340" s="532"/>
      <c r="AG340" s="532"/>
      <c r="AH340" s="533">
        <f t="shared" si="415"/>
        <v>0</v>
      </c>
      <c r="AI340" s="532"/>
      <c r="AJ340" s="532"/>
      <c r="AK340" s="532"/>
      <c r="AL340" s="533">
        <f t="shared" si="408"/>
        <v>0</v>
      </c>
      <c r="AM340" s="532"/>
      <c r="AN340" s="532"/>
      <c r="AO340" s="532"/>
      <c r="AP340" s="533">
        <f t="shared" si="409"/>
        <v>0</v>
      </c>
      <c r="AQ340" s="532"/>
      <c r="AR340" s="532"/>
      <c r="AS340" s="532"/>
      <c r="AT340" s="533">
        <f t="shared" si="410"/>
        <v>0</v>
      </c>
      <c r="AU340" s="534"/>
      <c r="AV340" s="532"/>
      <c r="AW340" s="532"/>
      <c r="AX340" s="532">
        <f t="shared" si="411"/>
        <v>0</v>
      </c>
      <c r="AY340" s="532"/>
      <c r="AZ340" s="156"/>
      <c r="BA340" s="156"/>
      <c r="BB340" s="156"/>
      <c r="BC340" s="156"/>
      <c r="BD340" s="156"/>
      <c r="BE340" s="156"/>
      <c r="BF340" s="156"/>
      <c r="BG340" s="156"/>
      <c r="BH340" s="729">
        <v>10</v>
      </c>
      <c r="BI340" s="156"/>
      <c r="BJ340" s="156"/>
      <c r="BK340" s="156"/>
      <c r="BL340" s="156"/>
      <c r="BM340" s="156"/>
      <c r="BN340" s="730"/>
      <c r="BO340" s="156"/>
      <c r="BP340" s="156"/>
      <c r="BQ340" s="156"/>
      <c r="BR340" s="156"/>
      <c r="BS340" s="156"/>
      <c r="BT340" s="533"/>
    </row>
    <row r="341" spans="1:72" s="17" customFormat="1" hidden="1" outlineLevel="1" x14ac:dyDescent="0.35">
      <c r="A341" s="208" t="s">
        <v>559</v>
      </c>
      <c r="B341" s="308"/>
      <c r="C341" s="532"/>
      <c r="D341" s="532"/>
      <c r="E341" s="532"/>
      <c r="F341" s="532"/>
      <c r="G341" s="532"/>
      <c r="H341" s="532"/>
      <c r="I341" s="532"/>
      <c r="J341" s="532"/>
      <c r="K341" s="532"/>
      <c r="L341" s="532"/>
      <c r="M341" s="532"/>
      <c r="N341" s="532"/>
      <c r="O341" s="532"/>
      <c r="P341" s="532"/>
      <c r="Q341" s="532"/>
      <c r="R341" s="532"/>
      <c r="S341" s="532"/>
      <c r="T341" s="532"/>
      <c r="U341" s="532"/>
      <c r="V341" s="532"/>
      <c r="W341" s="532"/>
      <c r="X341" s="532"/>
      <c r="Y341" s="532"/>
      <c r="Z341" s="532"/>
      <c r="AA341" s="532"/>
      <c r="AB341" s="532"/>
      <c r="AC341" s="532"/>
      <c r="AD341" s="532"/>
      <c r="AE341" s="532"/>
      <c r="AF341" s="532"/>
      <c r="AG341" s="532"/>
      <c r="AH341" s="532"/>
      <c r="AI341" s="532"/>
      <c r="AJ341" s="532"/>
      <c r="AK341" s="532"/>
      <c r="AL341" s="533">
        <f t="shared" si="408"/>
        <v>19.567</v>
      </c>
      <c r="AM341" s="638">
        <v>5.0049999999999999</v>
      </c>
      <c r="AN341" s="638">
        <v>10.074</v>
      </c>
      <c r="AO341" s="638">
        <v>15.084</v>
      </c>
      <c r="AP341" s="533">
        <f t="shared" si="409"/>
        <v>19.809999999999999</v>
      </c>
      <c r="AQ341" s="638">
        <v>3.8660000000000001</v>
      </c>
      <c r="AR341" s="638">
        <v>7.3689999999999998</v>
      </c>
      <c r="AS341" s="638">
        <v>11.039</v>
      </c>
      <c r="AT341" s="533">
        <f t="shared" si="410"/>
        <v>14.728</v>
      </c>
      <c r="AU341" s="643">
        <v>4.3719999999999999</v>
      </c>
      <c r="AV341" s="532"/>
      <c r="AW341" s="532"/>
      <c r="AX341" s="532">
        <f t="shared" si="411"/>
        <v>0</v>
      </c>
      <c r="AY341" s="532"/>
      <c r="AZ341" s="156"/>
      <c r="BA341" s="156"/>
      <c r="BB341" s="156"/>
      <c r="BC341" s="156"/>
      <c r="BD341" s="156"/>
      <c r="BE341" s="156"/>
      <c r="BF341" s="156"/>
      <c r="BG341" s="156"/>
      <c r="BH341" s="156"/>
      <c r="BI341" s="156"/>
      <c r="BJ341" s="156"/>
      <c r="BK341" s="156"/>
      <c r="BL341" s="729">
        <v>19.567</v>
      </c>
      <c r="BM341" s="729">
        <v>19.809999999999999</v>
      </c>
      <c r="BN341" s="748">
        <v>14.728</v>
      </c>
      <c r="BO341" s="156"/>
      <c r="BP341" s="156"/>
      <c r="BQ341" s="156"/>
      <c r="BR341" s="156"/>
      <c r="BS341" s="156"/>
      <c r="BT341" s="533"/>
    </row>
    <row r="342" spans="1:72" s="17" customFormat="1" hidden="1" outlineLevel="1" x14ac:dyDescent="0.35">
      <c r="A342" s="208" t="s">
        <v>124</v>
      </c>
      <c r="B342" s="308"/>
      <c r="C342" s="532"/>
      <c r="D342" s="532"/>
      <c r="E342" s="532"/>
      <c r="F342" s="532"/>
      <c r="G342" s="532"/>
      <c r="H342" s="532"/>
      <c r="I342" s="532"/>
      <c r="J342" s="532"/>
      <c r="K342" s="532"/>
      <c r="L342" s="532"/>
      <c r="M342" s="532"/>
      <c r="N342" s="532"/>
      <c r="O342" s="532"/>
      <c r="P342" s="532"/>
      <c r="Q342" s="532"/>
      <c r="R342" s="532"/>
      <c r="S342" s="532"/>
      <c r="T342" s="532"/>
      <c r="U342" s="532"/>
      <c r="V342" s="533">
        <f>BH342</f>
        <v>-0.255</v>
      </c>
      <c r="W342" s="532"/>
      <c r="X342" s="532"/>
      <c r="Y342" s="532"/>
      <c r="Z342" s="533">
        <f>BI342</f>
        <v>4.8220000000000001</v>
      </c>
      <c r="AA342" s="638">
        <v>2.9319999999999999</v>
      </c>
      <c r="AB342" s="638">
        <v>3.9710000000000001</v>
      </c>
      <c r="AC342" s="638">
        <v>5.2910000000000004</v>
      </c>
      <c r="AD342" s="533">
        <f>BJ342</f>
        <v>3.9849999999999999</v>
      </c>
      <c r="AE342" s="638">
        <v>4.141</v>
      </c>
      <c r="AF342" s="638">
        <v>7.1159999999999997</v>
      </c>
      <c r="AG342" s="638">
        <v>11.605</v>
      </c>
      <c r="AH342" s="533">
        <f>BK342</f>
        <v>19.577999999999999</v>
      </c>
      <c r="AI342" s="638">
        <v>10.792</v>
      </c>
      <c r="AJ342" s="638">
        <v>16.870999999999999</v>
      </c>
      <c r="AK342" s="638">
        <v>22.456</v>
      </c>
      <c r="AL342" s="533">
        <f t="shared" si="408"/>
        <v>9.766</v>
      </c>
      <c r="AM342" s="638">
        <v>4.3250000000000002</v>
      </c>
      <c r="AN342" s="638">
        <v>5.55</v>
      </c>
      <c r="AO342" s="638">
        <v>4.6749999999999998</v>
      </c>
      <c r="AP342" s="533">
        <f t="shared" si="409"/>
        <v>9.9489999999999998</v>
      </c>
      <c r="AQ342" s="638">
        <v>-3.9180000000000001</v>
      </c>
      <c r="AR342" s="638">
        <v>-2.8690000000000002</v>
      </c>
      <c r="AS342" s="638">
        <v>-2.0150000000000001</v>
      </c>
      <c r="AT342" s="533">
        <f t="shared" si="410"/>
        <v>-1.966</v>
      </c>
      <c r="AU342" s="643">
        <v>0.85299999999999998</v>
      </c>
      <c r="AV342" s="532"/>
      <c r="AW342" s="532"/>
      <c r="AX342" s="532">
        <f t="shared" si="411"/>
        <v>0</v>
      </c>
      <c r="AY342" s="532"/>
      <c r="AZ342" s="156"/>
      <c r="BA342" s="156"/>
      <c r="BB342" s="156"/>
      <c r="BC342" s="156"/>
      <c r="BD342" s="156"/>
      <c r="BE342" s="156"/>
      <c r="BF342" s="156"/>
      <c r="BG342" s="156"/>
      <c r="BH342" s="729">
        <v>-0.255</v>
      </c>
      <c r="BI342" s="729">
        <v>4.8220000000000001</v>
      </c>
      <c r="BJ342" s="729">
        <v>3.9849999999999999</v>
      </c>
      <c r="BK342" s="729">
        <v>19.577999999999999</v>
      </c>
      <c r="BL342" s="729">
        <v>9.766</v>
      </c>
      <c r="BM342" s="729">
        <v>9.9489999999999998</v>
      </c>
      <c r="BN342" s="748">
        <v>-1.966</v>
      </c>
      <c r="BO342" s="156"/>
      <c r="BP342" s="156"/>
      <c r="BQ342" s="156"/>
      <c r="BR342" s="156"/>
      <c r="BS342" s="156"/>
      <c r="BT342" s="533"/>
    </row>
    <row r="343" spans="1:72" s="1" customFormat="1" hidden="1" outlineLevel="1" x14ac:dyDescent="0.35">
      <c r="A343" s="47" t="s">
        <v>125</v>
      </c>
      <c r="B343" s="360"/>
      <c r="C343" s="573">
        <f t="shared" ref="C343:AH343" si="416">SUM(C328:C342)</f>
        <v>26.291</v>
      </c>
      <c r="D343" s="573">
        <f t="shared" si="416"/>
        <v>59.974000000000004</v>
      </c>
      <c r="E343" s="573">
        <f t="shared" si="416"/>
        <v>97.751999999999995</v>
      </c>
      <c r="F343" s="573">
        <f t="shared" si="416"/>
        <v>116.46499999999997</v>
      </c>
      <c r="G343" s="573">
        <f t="shared" si="416"/>
        <v>11.746999999999998</v>
      </c>
      <c r="H343" s="573">
        <f t="shared" si="416"/>
        <v>51.808999999999997</v>
      </c>
      <c r="I343" s="573">
        <f t="shared" si="416"/>
        <v>97.259999999999991</v>
      </c>
      <c r="J343" s="573">
        <f t="shared" si="416"/>
        <v>118.58</v>
      </c>
      <c r="K343" s="573">
        <f t="shared" si="416"/>
        <v>22.186</v>
      </c>
      <c r="L343" s="573">
        <f t="shared" si="416"/>
        <v>55.117000000000012</v>
      </c>
      <c r="M343" s="573">
        <f t="shared" si="416"/>
        <v>93.486000000000004</v>
      </c>
      <c r="N343" s="573">
        <f t="shared" si="416"/>
        <v>124.69000000000003</v>
      </c>
      <c r="O343" s="573">
        <f t="shared" si="416"/>
        <v>19.287000000000003</v>
      </c>
      <c r="P343" s="573">
        <f t="shared" si="416"/>
        <v>48.362999999999985</v>
      </c>
      <c r="Q343" s="573">
        <f t="shared" si="416"/>
        <v>78.255999999999986</v>
      </c>
      <c r="R343" s="573">
        <f t="shared" si="416"/>
        <v>99.234999999999999</v>
      </c>
      <c r="S343" s="573">
        <f t="shared" si="416"/>
        <v>19.547999999999998</v>
      </c>
      <c r="T343" s="573">
        <f t="shared" si="416"/>
        <v>50.566000000000003</v>
      </c>
      <c r="U343" s="573">
        <f t="shared" si="416"/>
        <v>85.361999999999995</v>
      </c>
      <c r="V343" s="573">
        <f t="shared" si="416"/>
        <v>108.152</v>
      </c>
      <c r="W343" s="573">
        <f t="shared" si="416"/>
        <v>25.863999999999997</v>
      </c>
      <c r="X343" s="573">
        <f t="shared" si="416"/>
        <v>58.414000000000001</v>
      </c>
      <c r="Y343" s="573">
        <f t="shared" si="416"/>
        <v>90.921999999999997</v>
      </c>
      <c r="Z343" s="573">
        <f t="shared" si="416"/>
        <v>128.393</v>
      </c>
      <c r="AA343" s="573">
        <f t="shared" si="416"/>
        <v>23.496000000000002</v>
      </c>
      <c r="AB343" s="573">
        <f t="shared" si="416"/>
        <v>70.86</v>
      </c>
      <c r="AC343" s="573">
        <f t="shared" si="416"/>
        <v>112.73700000000001</v>
      </c>
      <c r="AD343" s="573">
        <f t="shared" si="416"/>
        <v>139.28800000000001</v>
      </c>
      <c r="AE343" s="573">
        <f t="shared" si="416"/>
        <v>20.574999999999996</v>
      </c>
      <c r="AF343" s="573">
        <f t="shared" si="416"/>
        <v>64.056999999999988</v>
      </c>
      <c r="AG343" s="573">
        <f t="shared" si="416"/>
        <v>102.861</v>
      </c>
      <c r="AH343" s="573">
        <f t="shared" si="416"/>
        <v>141.36099999999999</v>
      </c>
      <c r="AI343" s="573">
        <f t="shared" ref="AI343:AX343" si="417">SUM(AI328:AI342)</f>
        <v>64.786999999999992</v>
      </c>
      <c r="AJ343" s="573">
        <f t="shared" si="417"/>
        <v>130.173</v>
      </c>
      <c r="AK343" s="573">
        <f t="shared" si="417"/>
        <v>197.89899999999997</v>
      </c>
      <c r="AL343" s="573">
        <f t="shared" si="417"/>
        <v>251.92400000000001</v>
      </c>
      <c r="AM343" s="573">
        <f t="shared" si="417"/>
        <v>41.920000000000009</v>
      </c>
      <c r="AN343" s="573">
        <f t="shared" si="417"/>
        <v>121.50700000000001</v>
      </c>
      <c r="AO343" s="573">
        <f t="shared" si="417"/>
        <v>201.52800000000002</v>
      </c>
      <c r="AP343" s="573">
        <f t="shared" si="417"/>
        <v>271.80899999999997</v>
      </c>
      <c r="AQ343" s="573">
        <f t="shared" si="417"/>
        <v>28.173000000000002</v>
      </c>
      <c r="AR343" s="573">
        <f t="shared" si="417"/>
        <v>107.68800000000002</v>
      </c>
      <c r="AS343" s="573">
        <f t="shared" si="417"/>
        <v>198.49199999999999</v>
      </c>
      <c r="AT343" s="573">
        <f t="shared" si="417"/>
        <v>270.68900000000002</v>
      </c>
      <c r="AU343" s="577">
        <f t="shared" si="417"/>
        <v>64.212999999999994</v>
      </c>
      <c r="AV343" s="572">
        <f t="shared" si="417"/>
        <v>0</v>
      </c>
      <c r="AW343" s="572">
        <f t="shared" si="417"/>
        <v>0</v>
      </c>
      <c r="AX343" s="572">
        <f t="shared" si="417"/>
        <v>0</v>
      </c>
      <c r="AY343" s="572"/>
      <c r="AZ343" s="735">
        <f t="shared" ref="AZ343:BS343" si="418">SUM(AZ328:AZ342)</f>
        <v>38.190000000000005</v>
      </c>
      <c r="BA343" s="735">
        <f t="shared" si="418"/>
        <v>61.653999999999996</v>
      </c>
      <c r="BB343" s="735">
        <f t="shared" si="418"/>
        <v>72.839999999999989</v>
      </c>
      <c r="BC343" s="735">
        <f t="shared" si="418"/>
        <v>100.48799999999999</v>
      </c>
      <c r="BD343" s="735">
        <f t="shared" si="418"/>
        <v>116.46499999999997</v>
      </c>
      <c r="BE343" s="735">
        <f t="shared" si="418"/>
        <v>118.58</v>
      </c>
      <c r="BF343" s="735">
        <f t="shared" si="418"/>
        <v>124.69000000000003</v>
      </c>
      <c r="BG343" s="735">
        <f t="shared" si="418"/>
        <v>99.234999999999999</v>
      </c>
      <c r="BH343" s="735">
        <f t="shared" si="418"/>
        <v>108.152</v>
      </c>
      <c r="BI343" s="735">
        <f t="shared" si="418"/>
        <v>128.393</v>
      </c>
      <c r="BJ343" s="735">
        <f t="shared" si="418"/>
        <v>139.28800000000001</v>
      </c>
      <c r="BK343" s="735">
        <f t="shared" si="418"/>
        <v>141.36099999999999</v>
      </c>
      <c r="BL343" s="735">
        <f t="shared" si="418"/>
        <v>251.92400000000001</v>
      </c>
      <c r="BM343" s="735">
        <f t="shared" si="418"/>
        <v>271.80899999999997</v>
      </c>
      <c r="BN343" s="749">
        <f t="shared" si="418"/>
        <v>270.68900000000002</v>
      </c>
      <c r="BO343" s="734">
        <f t="shared" si="418"/>
        <v>0</v>
      </c>
      <c r="BP343" s="734">
        <f t="shared" si="418"/>
        <v>0</v>
      </c>
      <c r="BQ343" s="734">
        <f t="shared" si="418"/>
        <v>0</v>
      </c>
      <c r="BR343" s="734">
        <f t="shared" si="418"/>
        <v>0</v>
      </c>
      <c r="BS343" s="734">
        <f t="shared" si="418"/>
        <v>0</v>
      </c>
      <c r="BT343" s="530"/>
    </row>
    <row r="344" spans="1:72" s="17" customFormat="1" hidden="1" outlineLevel="1" x14ac:dyDescent="0.35">
      <c r="A344" s="56" t="s">
        <v>126</v>
      </c>
      <c r="B344" s="308"/>
      <c r="C344" s="638">
        <v>-98.296999999999997</v>
      </c>
      <c r="D344" s="638">
        <v>-63.338000000000001</v>
      </c>
      <c r="E344" s="638">
        <v>-75.549000000000007</v>
      </c>
      <c r="F344" s="533">
        <f t="shared" ref="F344:F351" si="419">BD344</f>
        <v>-27.707999999999998</v>
      </c>
      <c r="G344" s="638">
        <v>-85.659000000000006</v>
      </c>
      <c r="H344" s="638">
        <v>-68.784999999999997</v>
      </c>
      <c r="I344" s="638">
        <v>-51.546999999999997</v>
      </c>
      <c r="J344" s="533">
        <f t="shared" ref="J344:J351" si="420">BE344</f>
        <v>-12.257</v>
      </c>
      <c r="K344" s="638">
        <v>-90.552000000000007</v>
      </c>
      <c r="L344" s="638">
        <v>-72.415000000000006</v>
      </c>
      <c r="M344" s="638">
        <v>-81.421000000000006</v>
      </c>
      <c r="N344" s="533">
        <f t="shared" ref="N344:N351" si="421">BF344</f>
        <v>-1.8919999999999999</v>
      </c>
      <c r="O344" s="638">
        <v>-74.840999999999994</v>
      </c>
      <c r="P344" s="638">
        <v>-44.103999999999999</v>
      </c>
      <c r="Q344" s="638">
        <v>-37.521000000000001</v>
      </c>
      <c r="R344" s="533">
        <f t="shared" ref="R344:R351" si="422">BG344</f>
        <v>14.462999999999999</v>
      </c>
      <c r="S344" s="638">
        <v>-94.870999999999995</v>
      </c>
      <c r="T344" s="638">
        <v>-49.448999999999998</v>
      </c>
      <c r="U344" s="638">
        <v>-61</v>
      </c>
      <c r="V344" s="533">
        <f t="shared" ref="V344:V351" si="423">BH344</f>
        <v>-27.745000000000001</v>
      </c>
      <c r="W344" s="638">
        <v>-90.703999999999994</v>
      </c>
      <c r="X344" s="638">
        <v>-52.201999999999998</v>
      </c>
      <c r="Y344" s="638">
        <v>-16.22</v>
      </c>
      <c r="Z344" s="533">
        <f t="shared" ref="Z344:Z351" si="424">BI344</f>
        <v>11.987</v>
      </c>
      <c r="AA344" s="638">
        <v>-92.584000000000003</v>
      </c>
      <c r="AB344" s="638">
        <v>-64.116</v>
      </c>
      <c r="AC344" s="638">
        <v>-65.147000000000006</v>
      </c>
      <c r="AD344" s="533">
        <f t="shared" ref="AD344:AD351" si="425">BJ344</f>
        <v>-21.637</v>
      </c>
      <c r="AE344" s="638">
        <v>-75.765000000000001</v>
      </c>
      <c r="AF344" s="638">
        <v>-59.65</v>
      </c>
      <c r="AG344" s="638">
        <v>-76.186999999999998</v>
      </c>
      <c r="AH344" s="533">
        <f t="shared" ref="AH344:AH355" si="426">BK344</f>
        <v>-37.771999999999998</v>
      </c>
      <c r="AI344" s="638">
        <v>-196.953</v>
      </c>
      <c r="AJ344" s="638">
        <v>-208.87</v>
      </c>
      <c r="AK344" s="638">
        <v>-197.65899999999999</v>
      </c>
      <c r="AL344" s="533">
        <f t="shared" ref="AL344:AL355" si="427">BL344</f>
        <v>-143.07300000000001</v>
      </c>
      <c r="AM344" s="638">
        <v>-150.26300000000001</v>
      </c>
      <c r="AN344" s="638">
        <v>-65.605999999999995</v>
      </c>
      <c r="AO344" s="638">
        <v>-56.072000000000003</v>
      </c>
      <c r="AP344" s="533">
        <f t="shared" ref="AP344:AP355" si="428">BM344</f>
        <v>-57.500999999999998</v>
      </c>
      <c r="AQ344" s="638">
        <v>-126.521</v>
      </c>
      <c r="AR344" s="638">
        <v>-25.68</v>
      </c>
      <c r="AS344" s="638">
        <v>-61.948999999999998</v>
      </c>
      <c r="AT344" s="533">
        <f t="shared" ref="AT344:AT355" si="429">BN344</f>
        <v>-54.908000000000001</v>
      </c>
      <c r="AU344" s="643">
        <v>-175.215</v>
      </c>
      <c r="AV344" s="532"/>
      <c r="AW344" s="532"/>
      <c r="AX344" s="532">
        <f t="shared" ref="AX344:AX355" si="430">BO344</f>
        <v>0</v>
      </c>
      <c r="AY344" s="532"/>
      <c r="AZ344" s="729">
        <v>-21.998999999999999</v>
      </c>
      <c r="BA344" s="729">
        <v>-18.46</v>
      </c>
      <c r="BB344" s="729">
        <v>-15.81</v>
      </c>
      <c r="BC344" s="729">
        <v>-64.27</v>
      </c>
      <c r="BD344" s="729">
        <v>-27.707999999999998</v>
      </c>
      <c r="BE344" s="729">
        <v>-12.257</v>
      </c>
      <c r="BF344" s="729">
        <v>-1.8919999999999999</v>
      </c>
      <c r="BG344" s="729">
        <v>14.462999999999999</v>
      </c>
      <c r="BH344" s="729">
        <v>-27.745000000000001</v>
      </c>
      <c r="BI344" s="729">
        <v>11.987</v>
      </c>
      <c r="BJ344" s="729">
        <v>-21.637</v>
      </c>
      <c r="BK344" s="729">
        <v>-37.771999999999998</v>
      </c>
      <c r="BL344" s="729">
        <v>-143.07300000000001</v>
      </c>
      <c r="BM344" s="729">
        <v>-57.500999999999998</v>
      </c>
      <c r="BN344" s="748">
        <v>-54.908000000000001</v>
      </c>
      <c r="BO344" s="156"/>
      <c r="BP344" s="156"/>
      <c r="BQ344" s="156"/>
      <c r="BR344" s="156"/>
      <c r="BS344" s="156"/>
      <c r="BT344" s="533"/>
    </row>
    <row r="345" spans="1:72" s="17" customFormat="1" hidden="1" outlineLevel="1" x14ac:dyDescent="0.35">
      <c r="A345" s="56" t="s">
        <v>127</v>
      </c>
      <c r="B345" s="308"/>
      <c r="C345" s="638">
        <v>9.6989999999999998</v>
      </c>
      <c r="D345" s="638">
        <v>8.1829999999999998</v>
      </c>
      <c r="E345" s="638">
        <v>8.2370000000000001</v>
      </c>
      <c r="F345" s="533">
        <f t="shared" si="419"/>
        <v>-6.9290000000000003</v>
      </c>
      <c r="G345" s="638">
        <v>16.373999999999999</v>
      </c>
      <c r="H345" s="638">
        <v>16.908000000000001</v>
      </c>
      <c r="I345" s="638">
        <v>18.940999999999999</v>
      </c>
      <c r="J345" s="533">
        <f t="shared" si="420"/>
        <v>6.2720000000000002</v>
      </c>
      <c r="K345" s="638">
        <v>15.686</v>
      </c>
      <c r="L345" s="638">
        <v>13.856</v>
      </c>
      <c r="M345" s="638">
        <v>15.532</v>
      </c>
      <c r="N345" s="533">
        <f t="shared" si="421"/>
        <v>2.8530000000000002</v>
      </c>
      <c r="O345" s="638">
        <v>12.644</v>
      </c>
      <c r="P345" s="638">
        <v>11.257</v>
      </c>
      <c r="Q345" s="638">
        <v>12.882</v>
      </c>
      <c r="R345" s="533">
        <f t="shared" si="422"/>
        <v>-1.7509999999999999</v>
      </c>
      <c r="S345" s="638">
        <v>14.067</v>
      </c>
      <c r="T345" s="638">
        <v>12.724</v>
      </c>
      <c r="U345" s="638">
        <v>11.446999999999999</v>
      </c>
      <c r="V345" s="533">
        <f t="shared" si="423"/>
        <v>-0.34799999999999998</v>
      </c>
      <c r="W345" s="638">
        <v>11.606999999999999</v>
      </c>
      <c r="X345" s="638">
        <v>11.156000000000001</v>
      </c>
      <c r="Y345" s="638">
        <v>11.134</v>
      </c>
      <c r="Z345" s="533">
        <f t="shared" si="424"/>
        <v>-3.8010000000000002</v>
      </c>
      <c r="AA345" s="638">
        <v>-5.774</v>
      </c>
      <c r="AB345" s="638">
        <v>3.9350000000000001</v>
      </c>
      <c r="AC345" s="638">
        <v>4.62</v>
      </c>
      <c r="AD345" s="533">
        <f t="shared" si="425"/>
        <v>-3.3210000000000002</v>
      </c>
      <c r="AE345" s="638">
        <v>-8.9420000000000002</v>
      </c>
      <c r="AF345" s="638">
        <v>2.556</v>
      </c>
      <c r="AG345" s="638">
        <v>0.24</v>
      </c>
      <c r="AH345" s="533">
        <f t="shared" si="426"/>
        <v>-16.181000000000001</v>
      </c>
      <c r="AI345" s="638">
        <v>-23.975000000000001</v>
      </c>
      <c r="AJ345" s="638">
        <v>-23.231000000000002</v>
      </c>
      <c r="AK345" s="638">
        <v>-27.797999999999998</v>
      </c>
      <c r="AL345" s="533">
        <f t="shared" si="427"/>
        <v>-39.164000000000001</v>
      </c>
      <c r="AM345" s="638">
        <v>1.26</v>
      </c>
      <c r="AN345" s="638">
        <v>11.944000000000001</v>
      </c>
      <c r="AO345" s="638">
        <v>7.9669999999999996</v>
      </c>
      <c r="AP345" s="533">
        <f t="shared" si="428"/>
        <v>4.798</v>
      </c>
      <c r="AQ345" s="638">
        <v>-34.695</v>
      </c>
      <c r="AR345" s="638">
        <v>-9.1769999999999996</v>
      </c>
      <c r="AS345" s="638">
        <v>-9.9659999999999993</v>
      </c>
      <c r="AT345" s="533">
        <f t="shared" si="429"/>
        <v>-19.388999999999999</v>
      </c>
      <c r="AU345" s="643">
        <v>-14.33</v>
      </c>
      <c r="AV345" s="532"/>
      <c r="AW345" s="532"/>
      <c r="AX345" s="532">
        <f t="shared" si="430"/>
        <v>0</v>
      </c>
      <c r="AY345" s="532"/>
      <c r="AZ345" s="729">
        <v>-11.529</v>
      </c>
      <c r="BA345" s="729">
        <v>4.84</v>
      </c>
      <c r="BB345" s="729">
        <v>-4.6210000000000004</v>
      </c>
      <c r="BC345" s="729">
        <v>-8.9179999999999993</v>
      </c>
      <c r="BD345" s="729">
        <v>-6.9290000000000003</v>
      </c>
      <c r="BE345" s="729">
        <v>6.2720000000000002</v>
      </c>
      <c r="BF345" s="729">
        <v>2.8530000000000002</v>
      </c>
      <c r="BG345" s="729">
        <v>-1.7509999999999999</v>
      </c>
      <c r="BH345" s="729">
        <v>-0.34799999999999998</v>
      </c>
      <c r="BI345" s="729">
        <v>-3.8010000000000002</v>
      </c>
      <c r="BJ345" s="729">
        <v>-3.3210000000000002</v>
      </c>
      <c r="BK345" s="729">
        <v>-16.181000000000001</v>
      </c>
      <c r="BL345" s="729">
        <v>-39.164000000000001</v>
      </c>
      <c r="BM345" s="729">
        <v>4.798</v>
      </c>
      <c r="BN345" s="748">
        <v>-19.388999999999999</v>
      </c>
      <c r="BO345" s="156"/>
      <c r="BP345" s="156"/>
      <c r="BQ345" s="156"/>
      <c r="BR345" s="156"/>
      <c r="BS345" s="156"/>
      <c r="BT345" s="533"/>
    </row>
    <row r="346" spans="1:72" s="17" customFormat="1" hidden="1" outlineLevel="1" x14ac:dyDescent="0.35">
      <c r="A346" s="56" t="s">
        <v>128</v>
      </c>
      <c r="B346" s="308"/>
      <c r="C346" s="638">
        <v>-3.431</v>
      </c>
      <c r="D346" s="638">
        <v>-8.6300000000000008</v>
      </c>
      <c r="E346" s="638">
        <v>-9.9190000000000005</v>
      </c>
      <c r="F346" s="533">
        <f t="shared" si="419"/>
        <v>0.84299999999999997</v>
      </c>
      <c r="G346" s="638">
        <v>-0.86099999999999999</v>
      </c>
      <c r="H346" s="638">
        <v>1.2569999999999999</v>
      </c>
      <c r="I346" s="638">
        <v>-3.9E-2</v>
      </c>
      <c r="J346" s="533">
        <f t="shared" si="420"/>
        <v>2.7349999999999999</v>
      </c>
      <c r="K346" s="638">
        <v>-15.553000000000001</v>
      </c>
      <c r="L346" s="638">
        <v>-4.2549999999999999</v>
      </c>
      <c r="M346" s="638">
        <v>-4.226</v>
      </c>
      <c r="N346" s="533">
        <f t="shared" si="421"/>
        <v>-4.0730000000000004</v>
      </c>
      <c r="O346" s="638">
        <v>-18.03</v>
      </c>
      <c r="P346" s="638">
        <v>-9.8119999999999994</v>
      </c>
      <c r="Q346" s="638">
        <v>-5.4089999999999998</v>
      </c>
      <c r="R346" s="533">
        <f t="shared" si="422"/>
        <v>1.8599999999999999</v>
      </c>
      <c r="S346" s="638">
        <v>-21.901</v>
      </c>
      <c r="T346" s="638">
        <v>-8.4760000000000009</v>
      </c>
      <c r="U346" s="638">
        <v>-5.8140000000000001</v>
      </c>
      <c r="V346" s="533">
        <f t="shared" si="423"/>
        <v>1.6279999999999999</v>
      </c>
      <c r="W346" s="638">
        <v>-25.82</v>
      </c>
      <c r="X346" s="638">
        <v>-13.981999999999999</v>
      </c>
      <c r="Y346" s="638">
        <v>-6.4160000000000004</v>
      </c>
      <c r="Z346" s="533">
        <f t="shared" si="424"/>
        <v>0</v>
      </c>
      <c r="AA346" s="532"/>
      <c r="AB346" s="532"/>
      <c r="AC346" s="532"/>
      <c r="AD346" s="533">
        <f t="shared" si="425"/>
        <v>0</v>
      </c>
      <c r="AE346" s="532"/>
      <c r="AF346" s="532"/>
      <c r="AG346" s="532"/>
      <c r="AH346" s="533">
        <f t="shared" si="426"/>
        <v>0</v>
      </c>
      <c r="AI346" s="532"/>
      <c r="AJ346" s="532"/>
      <c r="AK346" s="532"/>
      <c r="AL346" s="533">
        <f t="shared" si="427"/>
        <v>0</v>
      </c>
      <c r="AM346" s="532"/>
      <c r="AN346" s="532"/>
      <c r="AO346" s="532"/>
      <c r="AP346" s="533">
        <f t="shared" si="428"/>
        <v>0</v>
      </c>
      <c r="AQ346" s="532"/>
      <c r="AR346" s="532"/>
      <c r="AS346" s="532"/>
      <c r="AT346" s="533">
        <f t="shared" si="429"/>
        <v>0</v>
      </c>
      <c r="AU346" s="534"/>
      <c r="AV346" s="532"/>
      <c r="AW346" s="532"/>
      <c r="AX346" s="532">
        <f t="shared" si="430"/>
        <v>0</v>
      </c>
      <c r="AY346" s="532"/>
      <c r="AZ346" s="729">
        <v>-5.5289999999999999</v>
      </c>
      <c r="BA346" s="729">
        <v>0.32700000000000001</v>
      </c>
      <c r="BB346" s="729">
        <v>0.36299999999999999</v>
      </c>
      <c r="BC346" s="729">
        <v>-0.78400000000000003</v>
      </c>
      <c r="BD346" s="729">
        <v>0.84299999999999997</v>
      </c>
      <c r="BE346" s="729">
        <v>2.7349999999999999</v>
      </c>
      <c r="BF346" s="729">
        <v>-4.0730000000000004</v>
      </c>
      <c r="BG346" s="729">
        <v>1.8599999999999999</v>
      </c>
      <c r="BH346" s="729">
        <v>1.6279999999999999</v>
      </c>
      <c r="BI346" s="156"/>
      <c r="BJ346" s="156"/>
      <c r="BK346" s="156"/>
      <c r="BL346" s="156"/>
      <c r="BM346" s="156"/>
      <c r="BN346" s="730"/>
      <c r="BO346" s="156"/>
      <c r="BP346" s="156"/>
      <c r="BQ346" s="156"/>
      <c r="BR346" s="156"/>
      <c r="BS346" s="156"/>
      <c r="BT346" s="533"/>
    </row>
    <row r="347" spans="1:72" s="17" customFormat="1" hidden="1" outlineLevel="1" x14ac:dyDescent="0.35">
      <c r="A347" s="56" t="s">
        <v>129</v>
      </c>
      <c r="B347" s="308"/>
      <c r="C347" s="638">
        <v>-5.8419999999999996</v>
      </c>
      <c r="D347" s="638">
        <v>-1.4019999999999999</v>
      </c>
      <c r="E347" s="638">
        <v>0.99199999999999999</v>
      </c>
      <c r="F347" s="533">
        <f t="shared" si="419"/>
        <v>0.68200000000000005</v>
      </c>
      <c r="G347" s="638">
        <v>-8.5239999999999991</v>
      </c>
      <c r="H347" s="638">
        <v>-3.508</v>
      </c>
      <c r="I347" s="638">
        <v>-3.9060000000000001</v>
      </c>
      <c r="J347" s="533">
        <f t="shared" si="420"/>
        <v>-1.645</v>
      </c>
      <c r="K347" s="638">
        <v>-6.1050000000000004</v>
      </c>
      <c r="L347" s="638">
        <v>-3.5579999999999998</v>
      </c>
      <c r="M347" s="638">
        <v>-3.7189999999999999</v>
      </c>
      <c r="N347" s="533">
        <f t="shared" si="421"/>
        <v>-2.5790000000000002</v>
      </c>
      <c r="O347" s="638">
        <v>-2.661</v>
      </c>
      <c r="P347" s="638">
        <v>-0.22800000000000001</v>
      </c>
      <c r="Q347" s="638">
        <v>7.9000000000000001E-2</v>
      </c>
      <c r="R347" s="533">
        <f t="shared" si="422"/>
        <v>2.83</v>
      </c>
      <c r="S347" s="638">
        <v>-3.077</v>
      </c>
      <c r="T347" s="638">
        <v>-1.33</v>
      </c>
      <c r="U347" s="638">
        <v>-2.7810000000000001</v>
      </c>
      <c r="V347" s="533">
        <f t="shared" si="423"/>
        <v>4.2999999999999997E-2</v>
      </c>
      <c r="W347" s="638">
        <v>-3.6739999999999999</v>
      </c>
      <c r="X347" s="638">
        <v>-2.7480000000000002</v>
      </c>
      <c r="Y347" s="638">
        <v>-2.9630000000000001</v>
      </c>
      <c r="Z347" s="533">
        <f t="shared" si="424"/>
        <v>0</v>
      </c>
      <c r="AA347" s="532"/>
      <c r="AB347" s="532"/>
      <c r="AC347" s="532"/>
      <c r="AD347" s="533">
        <f t="shared" si="425"/>
        <v>0</v>
      </c>
      <c r="AE347" s="532"/>
      <c r="AF347" s="532"/>
      <c r="AG347" s="532"/>
      <c r="AH347" s="533">
        <f t="shared" si="426"/>
        <v>0</v>
      </c>
      <c r="AI347" s="532"/>
      <c r="AJ347" s="532"/>
      <c r="AK347" s="532"/>
      <c r="AL347" s="533">
        <f t="shared" si="427"/>
        <v>0</v>
      </c>
      <c r="AM347" s="532"/>
      <c r="AN347" s="532"/>
      <c r="AO347" s="532"/>
      <c r="AP347" s="533">
        <f t="shared" si="428"/>
        <v>0</v>
      </c>
      <c r="AQ347" s="532"/>
      <c r="AR347" s="532"/>
      <c r="AS347" s="532"/>
      <c r="AT347" s="533">
        <f t="shared" si="429"/>
        <v>0</v>
      </c>
      <c r="AU347" s="534"/>
      <c r="AV347" s="532"/>
      <c r="AW347" s="532"/>
      <c r="AX347" s="532">
        <f t="shared" si="430"/>
        <v>0</v>
      </c>
      <c r="AY347" s="532"/>
      <c r="AZ347" s="729">
        <v>-1.859</v>
      </c>
      <c r="BA347" s="729">
        <v>-5.1989999999999998</v>
      </c>
      <c r="BB347" s="729">
        <v>-1.825</v>
      </c>
      <c r="BC347" s="729">
        <v>-5.26</v>
      </c>
      <c r="BD347" s="729">
        <v>0.68200000000000005</v>
      </c>
      <c r="BE347" s="729">
        <v>-1.645</v>
      </c>
      <c r="BF347" s="729">
        <v>-2.5790000000000002</v>
      </c>
      <c r="BG347" s="729">
        <v>2.83</v>
      </c>
      <c r="BH347" s="729">
        <v>4.2999999999999997E-2</v>
      </c>
      <c r="BI347" s="156"/>
      <c r="BJ347" s="156"/>
      <c r="BK347" s="156"/>
      <c r="BL347" s="156"/>
      <c r="BM347" s="156"/>
      <c r="BN347" s="730"/>
      <c r="BO347" s="156"/>
      <c r="BP347" s="156"/>
      <c r="BQ347" s="156"/>
      <c r="BR347" s="156"/>
      <c r="BS347" s="156"/>
      <c r="BT347" s="533"/>
    </row>
    <row r="348" spans="1:72" s="17" customFormat="1" hidden="1" outlineLevel="1" x14ac:dyDescent="0.35">
      <c r="A348" s="56" t="s">
        <v>130</v>
      </c>
      <c r="B348" s="308"/>
      <c r="C348" s="638">
        <v>0.29899999999999999</v>
      </c>
      <c r="D348" s="638">
        <v>-0.217</v>
      </c>
      <c r="E348" s="638">
        <v>-0.14199999999999999</v>
      </c>
      <c r="F348" s="533">
        <f t="shared" si="419"/>
        <v>-0.46600000000000003</v>
      </c>
      <c r="G348" s="638">
        <v>-0.22</v>
      </c>
      <c r="H348" s="638">
        <v>-0.22700000000000001</v>
      </c>
      <c r="I348" s="638">
        <v>-0.35099999999999998</v>
      </c>
      <c r="J348" s="533">
        <f t="shared" si="420"/>
        <v>-0.21199999999999999</v>
      </c>
      <c r="K348" s="638">
        <v>-0.22800000000000001</v>
      </c>
      <c r="L348" s="638">
        <v>-0.46600000000000003</v>
      </c>
      <c r="M348" s="638">
        <v>-0.42499999999999999</v>
      </c>
      <c r="N348" s="533">
        <f t="shared" si="421"/>
        <v>-1.44</v>
      </c>
      <c r="O348" s="638">
        <v>-0.14199999999999999</v>
      </c>
      <c r="P348" s="638">
        <v>-4.2000000000000003E-2</v>
      </c>
      <c r="Q348" s="638">
        <v>-0.159</v>
      </c>
      <c r="R348" s="533">
        <f t="shared" si="422"/>
        <v>-8.91</v>
      </c>
      <c r="S348" s="638">
        <v>2.4470000000000001</v>
      </c>
      <c r="T348" s="638">
        <v>5.6529999999999996</v>
      </c>
      <c r="U348" s="638">
        <v>9.8109999999999999</v>
      </c>
      <c r="V348" s="533">
        <f t="shared" si="423"/>
        <v>10.02</v>
      </c>
      <c r="W348" s="638">
        <v>-1.22</v>
      </c>
      <c r="X348" s="638">
        <v>-2.1850000000000001</v>
      </c>
      <c r="Y348" s="638">
        <v>-25.893000000000001</v>
      </c>
      <c r="Z348" s="533">
        <f t="shared" si="424"/>
        <v>-24.69</v>
      </c>
      <c r="AA348" s="532"/>
      <c r="AB348" s="532"/>
      <c r="AC348" s="532"/>
      <c r="AD348" s="533">
        <f t="shared" si="425"/>
        <v>0</v>
      </c>
      <c r="AE348" s="532"/>
      <c r="AF348" s="532"/>
      <c r="AG348" s="532"/>
      <c r="AH348" s="533">
        <f t="shared" si="426"/>
        <v>0</v>
      </c>
      <c r="AI348" s="532"/>
      <c r="AJ348" s="532"/>
      <c r="AK348" s="532"/>
      <c r="AL348" s="533">
        <f t="shared" si="427"/>
        <v>0</v>
      </c>
      <c r="AM348" s="532"/>
      <c r="AN348" s="532"/>
      <c r="AO348" s="532"/>
      <c r="AP348" s="533">
        <f t="shared" si="428"/>
        <v>0</v>
      </c>
      <c r="AQ348" s="532"/>
      <c r="AR348" s="532"/>
      <c r="AS348" s="532"/>
      <c r="AT348" s="533">
        <f t="shared" si="429"/>
        <v>0</v>
      </c>
      <c r="AU348" s="534"/>
      <c r="AV348" s="532"/>
      <c r="AW348" s="532"/>
      <c r="AX348" s="532">
        <f t="shared" si="430"/>
        <v>0</v>
      </c>
      <c r="AY348" s="532"/>
      <c r="AZ348" s="729">
        <v>-1.8280000000000001</v>
      </c>
      <c r="BA348" s="729">
        <v>0.03</v>
      </c>
      <c r="BB348" s="729">
        <v>-1.0369999999999999</v>
      </c>
      <c r="BC348" s="729">
        <v>0.76400000000000001</v>
      </c>
      <c r="BD348" s="729">
        <v>-0.46600000000000003</v>
      </c>
      <c r="BE348" s="729">
        <v>-0.21199999999999999</v>
      </c>
      <c r="BF348" s="729">
        <v>-1.44</v>
      </c>
      <c r="BG348" s="729">
        <v>-8.91</v>
      </c>
      <c r="BH348" s="729">
        <v>10.02</v>
      </c>
      <c r="BI348" s="729">
        <v>-24.69</v>
      </c>
      <c r="BJ348" s="156"/>
      <c r="BK348" s="156"/>
      <c r="BL348" s="156"/>
      <c r="BM348" s="156"/>
      <c r="BN348" s="730"/>
      <c r="BO348" s="156"/>
      <c r="BP348" s="156"/>
      <c r="BQ348" s="156"/>
      <c r="BR348" s="156"/>
      <c r="BS348" s="156"/>
      <c r="BT348" s="533"/>
    </row>
    <row r="349" spans="1:72" s="17" customFormat="1" hidden="1" outlineLevel="1" x14ac:dyDescent="0.35">
      <c r="A349" s="56" t="s">
        <v>131</v>
      </c>
      <c r="B349" s="308"/>
      <c r="C349" s="638">
        <v>9.4190000000000005</v>
      </c>
      <c r="D349" s="638">
        <v>-3.8380000000000001</v>
      </c>
      <c r="E349" s="638">
        <v>-3.976</v>
      </c>
      <c r="F349" s="533">
        <f t="shared" si="419"/>
        <v>-2.1150000000000002</v>
      </c>
      <c r="G349" s="638">
        <v>28.773</v>
      </c>
      <c r="H349" s="638">
        <v>-5.31</v>
      </c>
      <c r="I349" s="638">
        <v>2.7589999999999999</v>
      </c>
      <c r="J349" s="533">
        <f t="shared" si="420"/>
        <v>9.7780000000000005</v>
      </c>
      <c r="K349" s="638">
        <v>10.63</v>
      </c>
      <c r="L349" s="638">
        <v>-14.377000000000001</v>
      </c>
      <c r="M349" s="638">
        <v>-10.978999999999999</v>
      </c>
      <c r="N349" s="533">
        <f t="shared" si="421"/>
        <v>-1.1919999999999999</v>
      </c>
      <c r="O349" s="638">
        <v>12.488</v>
      </c>
      <c r="P349" s="638">
        <v>-13.058999999999999</v>
      </c>
      <c r="Q349" s="638">
        <v>-14.074</v>
      </c>
      <c r="R349" s="533">
        <f t="shared" si="422"/>
        <v>-3.9</v>
      </c>
      <c r="S349" s="638">
        <v>5.2770000000000001</v>
      </c>
      <c r="T349" s="638">
        <v>-7.54</v>
      </c>
      <c r="U349" s="638">
        <v>-9.8130000000000006</v>
      </c>
      <c r="V349" s="533">
        <f t="shared" si="423"/>
        <v>5.3170000000000002</v>
      </c>
      <c r="W349" s="638">
        <v>8.1679999999999993</v>
      </c>
      <c r="X349" s="638">
        <v>-9.1059999999999999</v>
      </c>
      <c r="Y349" s="638">
        <v>-9.2149999999999999</v>
      </c>
      <c r="Z349" s="533">
        <f t="shared" si="424"/>
        <v>-2.3359999999999999</v>
      </c>
      <c r="AA349" s="638">
        <v>15.997999999999999</v>
      </c>
      <c r="AB349" s="638">
        <v>-3.4279999999999999</v>
      </c>
      <c r="AC349" s="638">
        <v>-3.1339999999999999</v>
      </c>
      <c r="AD349" s="533">
        <f t="shared" si="425"/>
        <v>20.173999999999999</v>
      </c>
      <c r="AE349" s="638">
        <v>-2.3959999999999999</v>
      </c>
      <c r="AF349" s="638">
        <v>-14.141</v>
      </c>
      <c r="AG349" s="638">
        <v>-20.065999999999999</v>
      </c>
      <c r="AH349" s="533">
        <f t="shared" si="426"/>
        <v>-6.2130000000000001</v>
      </c>
      <c r="AI349" s="638">
        <v>30.893000000000001</v>
      </c>
      <c r="AJ349" s="638">
        <v>-7.202</v>
      </c>
      <c r="AK349" s="638">
        <v>-0.91300000000000003</v>
      </c>
      <c r="AL349" s="533">
        <f t="shared" si="427"/>
        <v>18.93</v>
      </c>
      <c r="AM349" s="638">
        <v>-1.256</v>
      </c>
      <c r="AN349" s="638">
        <v>-26.81</v>
      </c>
      <c r="AO349" s="638">
        <v>-26.760999999999999</v>
      </c>
      <c r="AP349" s="533">
        <f t="shared" si="428"/>
        <v>1.0999999999999999E-2</v>
      </c>
      <c r="AQ349" s="638">
        <v>8.4250000000000007</v>
      </c>
      <c r="AR349" s="638">
        <v>-26.059000000000001</v>
      </c>
      <c r="AS349" s="638">
        <v>-26.100999999999999</v>
      </c>
      <c r="AT349" s="533">
        <f t="shared" si="429"/>
        <v>-11.999000000000001</v>
      </c>
      <c r="AU349" s="643">
        <v>28.747</v>
      </c>
      <c r="AV349" s="532"/>
      <c r="AW349" s="532"/>
      <c r="AX349" s="532">
        <f t="shared" si="430"/>
        <v>0</v>
      </c>
      <c r="AY349" s="532"/>
      <c r="AZ349" s="729">
        <v>-4.0220000000000002</v>
      </c>
      <c r="BA349" s="729">
        <v>2.3260000000000001</v>
      </c>
      <c r="BB349" s="729">
        <v>2.726</v>
      </c>
      <c r="BC349" s="729">
        <v>2.794</v>
      </c>
      <c r="BD349" s="729">
        <v>-2.1150000000000002</v>
      </c>
      <c r="BE349" s="729">
        <v>9.7780000000000005</v>
      </c>
      <c r="BF349" s="729">
        <v>-1.1919999999999999</v>
      </c>
      <c r="BG349" s="729">
        <v>-3.9</v>
      </c>
      <c r="BH349" s="729">
        <v>5.3170000000000002</v>
      </c>
      <c r="BI349" s="729">
        <v>-2.3359999999999999</v>
      </c>
      <c r="BJ349" s="729">
        <v>20.173999999999999</v>
      </c>
      <c r="BK349" s="729">
        <v>-6.2130000000000001</v>
      </c>
      <c r="BL349" s="729">
        <v>18.93</v>
      </c>
      <c r="BM349" s="729">
        <v>1.0999999999999999E-2</v>
      </c>
      <c r="BN349" s="748">
        <v>-11.999000000000001</v>
      </c>
      <c r="BO349" s="156"/>
      <c r="BP349" s="156"/>
      <c r="BQ349" s="156"/>
      <c r="BR349" s="156"/>
      <c r="BS349" s="156"/>
      <c r="BT349" s="533"/>
    </row>
    <row r="350" spans="1:72" s="17" customFormat="1" hidden="1" outlineLevel="1" x14ac:dyDescent="0.35">
      <c r="A350" s="56" t="s">
        <v>132</v>
      </c>
      <c r="B350" s="308"/>
      <c r="C350" s="638">
        <v>2.3679999999999999</v>
      </c>
      <c r="D350" s="638">
        <v>8.4030000000000005</v>
      </c>
      <c r="E350" s="638">
        <v>12.228999999999999</v>
      </c>
      <c r="F350" s="533">
        <f t="shared" si="419"/>
        <v>3.226</v>
      </c>
      <c r="G350" s="638">
        <v>-1.353</v>
      </c>
      <c r="H350" s="638">
        <v>-2.484</v>
      </c>
      <c r="I350" s="638">
        <v>-2.165</v>
      </c>
      <c r="J350" s="533">
        <f t="shared" si="420"/>
        <v>5.4740000000000002</v>
      </c>
      <c r="K350" s="638">
        <v>-10.026999999999999</v>
      </c>
      <c r="L350" s="638">
        <v>-10.683</v>
      </c>
      <c r="M350" s="638">
        <v>-1.974</v>
      </c>
      <c r="N350" s="533">
        <f t="shared" si="421"/>
        <v>-7.8540000000000001</v>
      </c>
      <c r="O350" s="638">
        <v>-1.7410000000000001</v>
      </c>
      <c r="P350" s="638">
        <v>-2.0630000000000002</v>
      </c>
      <c r="Q350" s="638">
        <v>3.4830000000000001</v>
      </c>
      <c r="R350" s="533">
        <f t="shared" si="422"/>
        <v>15.497</v>
      </c>
      <c r="S350" s="638">
        <v>-12.86</v>
      </c>
      <c r="T350" s="638">
        <v>-13.191000000000001</v>
      </c>
      <c r="U350" s="638">
        <v>-7.6079999999999997</v>
      </c>
      <c r="V350" s="533">
        <f t="shared" si="423"/>
        <v>-4.9630000000000001</v>
      </c>
      <c r="W350" s="638">
        <v>-10.795</v>
      </c>
      <c r="X350" s="638">
        <v>-11.077999999999999</v>
      </c>
      <c r="Y350" s="638">
        <v>-9.1829999999999998</v>
      </c>
      <c r="Z350" s="533">
        <f t="shared" si="424"/>
        <v>-8.0920000000000005</v>
      </c>
      <c r="AA350" s="638">
        <v>-0.39800000000000002</v>
      </c>
      <c r="AB350" s="638">
        <v>0.76900000000000002</v>
      </c>
      <c r="AC350" s="638">
        <v>5.2110000000000003</v>
      </c>
      <c r="AD350" s="533">
        <f t="shared" si="425"/>
        <v>8.2949999999999999</v>
      </c>
      <c r="AE350" s="638">
        <v>-0.26600000000000001</v>
      </c>
      <c r="AF350" s="638">
        <v>0.69</v>
      </c>
      <c r="AG350" s="638">
        <v>6.26</v>
      </c>
      <c r="AH350" s="533">
        <f t="shared" si="426"/>
        <v>7.4240000000000004</v>
      </c>
      <c r="AI350" s="638">
        <v>-1.883</v>
      </c>
      <c r="AJ350" s="638">
        <v>4.3460000000000001</v>
      </c>
      <c r="AK350" s="638">
        <v>8.85</v>
      </c>
      <c r="AL350" s="533">
        <f t="shared" si="427"/>
        <v>15.898999999999999</v>
      </c>
      <c r="AM350" s="638">
        <v>-2.464</v>
      </c>
      <c r="AN350" s="638">
        <v>-8.57</v>
      </c>
      <c r="AO350" s="638">
        <v>-14.63</v>
      </c>
      <c r="AP350" s="533">
        <f t="shared" si="428"/>
        <v>7.5979999999999999</v>
      </c>
      <c r="AQ350" s="638">
        <v>-9.9710000000000001</v>
      </c>
      <c r="AR350" s="638">
        <v>-10.680999999999999</v>
      </c>
      <c r="AS350" s="638">
        <v>-6.4550000000000001</v>
      </c>
      <c r="AT350" s="533">
        <f t="shared" si="429"/>
        <v>24.132000000000001</v>
      </c>
      <c r="AU350" s="643">
        <v>-26.895</v>
      </c>
      <c r="AV350" s="532"/>
      <c r="AW350" s="532"/>
      <c r="AX350" s="532">
        <f t="shared" si="430"/>
        <v>0</v>
      </c>
      <c r="AY350" s="532"/>
      <c r="AZ350" s="729">
        <v>3.145</v>
      </c>
      <c r="BA350" s="729">
        <v>1.012</v>
      </c>
      <c r="BB350" s="729">
        <v>0.61499999999999999</v>
      </c>
      <c r="BC350" s="729">
        <v>-0.29199999999999998</v>
      </c>
      <c r="BD350" s="729">
        <v>3.226</v>
      </c>
      <c r="BE350" s="729">
        <v>5.4740000000000002</v>
      </c>
      <c r="BF350" s="729">
        <v>-7.8540000000000001</v>
      </c>
      <c r="BG350" s="729">
        <v>15.497</v>
      </c>
      <c r="BH350" s="729">
        <v>-4.9630000000000001</v>
      </c>
      <c r="BI350" s="729">
        <v>-8.0920000000000005</v>
      </c>
      <c r="BJ350" s="729">
        <v>8.2949999999999999</v>
      </c>
      <c r="BK350" s="729">
        <v>7.4240000000000004</v>
      </c>
      <c r="BL350" s="729">
        <v>15.898999999999999</v>
      </c>
      <c r="BM350" s="729">
        <v>7.5979999999999999</v>
      </c>
      <c r="BN350" s="748">
        <v>24.132000000000001</v>
      </c>
      <c r="BO350" s="156"/>
      <c r="BP350" s="156"/>
      <c r="BQ350" s="156"/>
      <c r="BR350" s="156"/>
      <c r="BS350" s="156"/>
      <c r="BT350" s="533"/>
    </row>
    <row r="351" spans="1:72" s="17" customFormat="1" hidden="1" outlineLevel="1" x14ac:dyDescent="0.35">
      <c r="A351" s="56" t="s">
        <v>133</v>
      </c>
      <c r="B351" s="308"/>
      <c r="C351" s="638">
        <v>-5.1340000000000003</v>
      </c>
      <c r="D351" s="638">
        <v>-4.0579999999999998</v>
      </c>
      <c r="E351" s="638">
        <v>2.3330000000000002</v>
      </c>
      <c r="F351" s="533">
        <f t="shared" si="419"/>
        <v>4.6159999999999997</v>
      </c>
      <c r="G351" s="638">
        <v>-9.907</v>
      </c>
      <c r="H351" s="638">
        <v>-1.4350000000000001</v>
      </c>
      <c r="I351" s="638">
        <v>-2.5350000000000001</v>
      </c>
      <c r="J351" s="533">
        <f t="shared" si="420"/>
        <v>-4.2140000000000004</v>
      </c>
      <c r="K351" s="638">
        <v>-4.93</v>
      </c>
      <c r="L351" s="638">
        <v>1.6839999999999999</v>
      </c>
      <c r="M351" s="638">
        <v>4.6189999999999998</v>
      </c>
      <c r="N351" s="533">
        <f t="shared" si="421"/>
        <v>9.3889999999999993</v>
      </c>
      <c r="O351" s="638">
        <v>-9.9610000000000003</v>
      </c>
      <c r="P351" s="638">
        <v>-9.4879999999999995</v>
      </c>
      <c r="Q351" s="638">
        <v>0.11</v>
      </c>
      <c r="R351" s="533">
        <f t="shared" si="422"/>
        <v>4.2549999999999999</v>
      </c>
      <c r="S351" s="638">
        <v>-14.646000000000001</v>
      </c>
      <c r="T351" s="638">
        <v>-10.151</v>
      </c>
      <c r="U351" s="638">
        <v>-5.9219999999999997</v>
      </c>
      <c r="V351" s="533">
        <f t="shared" si="423"/>
        <v>-1.6739999999999999</v>
      </c>
      <c r="W351" s="638">
        <v>-15.086</v>
      </c>
      <c r="X351" s="638">
        <v>-9.7110000000000003</v>
      </c>
      <c r="Y351" s="638">
        <v>0.111</v>
      </c>
      <c r="Z351" s="533">
        <f t="shared" si="424"/>
        <v>6.6719999999999997</v>
      </c>
      <c r="AA351" s="638">
        <v>-17.321000000000002</v>
      </c>
      <c r="AB351" s="638">
        <v>-7.93</v>
      </c>
      <c r="AC351" s="638">
        <v>-5.5010000000000003</v>
      </c>
      <c r="AD351" s="533">
        <f t="shared" si="425"/>
        <v>5.9480000000000004</v>
      </c>
      <c r="AE351" s="638">
        <v>-23.038</v>
      </c>
      <c r="AF351" s="638">
        <v>-13.943</v>
      </c>
      <c r="AG351" s="638">
        <v>-15.542999999999999</v>
      </c>
      <c r="AH351" s="533">
        <f t="shared" si="426"/>
        <v>3.1030000000000002</v>
      </c>
      <c r="AI351" s="638">
        <v>-19.629000000000001</v>
      </c>
      <c r="AJ351" s="638">
        <v>-5.4009999999999998</v>
      </c>
      <c r="AK351" s="638">
        <v>14.913</v>
      </c>
      <c r="AL351" s="533">
        <f t="shared" si="427"/>
        <v>32.436999999999998</v>
      </c>
      <c r="AM351" s="638">
        <v>-44.395000000000003</v>
      </c>
      <c r="AN351" s="638">
        <v>-39.156999999999996</v>
      </c>
      <c r="AO351" s="638">
        <v>-20.652000000000001</v>
      </c>
      <c r="AP351" s="533">
        <f t="shared" si="428"/>
        <v>-7.4649999999999999</v>
      </c>
      <c r="AQ351" s="638">
        <v>-32.805</v>
      </c>
      <c r="AR351" s="638">
        <v>-38.805999999999997</v>
      </c>
      <c r="AS351" s="638">
        <v>-19.13</v>
      </c>
      <c r="AT351" s="533">
        <f t="shared" si="429"/>
        <v>-15.473000000000001</v>
      </c>
      <c r="AU351" s="643">
        <v>-17.402000000000001</v>
      </c>
      <c r="AV351" s="532"/>
      <c r="AW351" s="532"/>
      <c r="AX351" s="532">
        <f t="shared" si="430"/>
        <v>0</v>
      </c>
      <c r="AY351" s="532"/>
      <c r="AZ351" s="729">
        <v>-1.758</v>
      </c>
      <c r="BA351" s="729">
        <v>2.2709999999999999</v>
      </c>
      <c r="BB351" s="729">
        <v>1.976</v>
      </c>
      <c r="BC351" s="729">
        <v>4.2750000000000004</v>
      </c>
      <c r="BD351" s="729">
        <v>4.6159999999999997</v>
      </c>
      <c r="BE351" s="729">
        <v>-4.2140000000000004</v>
      </c>
      <c r="BF351" s="729">
        <v>9.3889999999999993</v>
      </c>
      <c r="BG351" s="729">
        <v>4.2549999999999999</v>
      </c>
      <c r="BH351" s="729">
        <v>-1.6739999999999999</v>
      </c>
      <c r="BI351" s="729">
        <v>6.6719999999999997</v>
      </c>
      <c r="BJ351" s="729">
        <v>5.9480000000000004</v>
      </c>
      <c r="BK351" s="729">
        <v>3.1030000000000002</v>
      </c>
      <c r="BL351" s="729">
        <v>32.436999999999998</v>
      </c>
      <c r="BM351" s="729">
        <v>-7.4649999999999999</v>
      </c>
      <c r="BN351" s="748">
        <v>-15.473000000000001</v>
      </c>
      <c r="BO351" s="156"/>
      <c r="BP351" s="156"/>
      <c r="BQ351" s="156"/>
      <c r="BR351" s="156"/>
      <c r="BS351" s="156"/>
      <c r="BT351" s="533"/>
    </row>
    <row r="352" spans="1:72" s="17" customFormat="1" hidden="1" outlineLevel="1" x14ac:dyDescent="0.35">
      <c r="A352" s="56" t="s">
        <v>387</v>
      </c>
      <c r="B352" s="308"/>
      <c r="C352" s="532"/>
      <c r="D352" s="532"/>
      <c r="E352" s="532"/>
      <c r="F352" s="532"/>
      <c r="G352" s="532"/>
      <c r="H352" s="532"/>
      <c r="I352" s="532"/>
      <c r="J352" s="532"/>
      <c r="K352" s="532"/>
      <c r="L352" s="532"/>
      <c r="M352" s="532"/>
      <c r="N352" s="532"/>
      <c r="O352" s="532"/>
      <c r="P352" s="532"/>
      <c r="Q352" s="532"/>
      <c r="R352" s="532"/>
      <c r="S352" s="532"/>
      <c r="T352" s="532"/>
      <c r="U352" s="532"/>
      <c r="V352" s="532"/>
      <c r="W352" s="532"/>
      <c r="X352" s="532"/>
      <c r="Y352" s="532"/>
      <c r="Z352" s="532"/>
      <c r="AA352" s="532"/>
      <c r="AB352" s="532"/>
      <c r="AC352" s="532"/>
      <c r="AD352" s="532"/>
      <c r="AE352" s="638">
        <v>-2.073</v>
      </c>
      <c r="AF352" s="638">
        <v>-4.0890000000000004</v>
      </c>
      <c r="AG352" s="638">
        <v>-8.1509999999999998</v>
      </c>
      <c r="AH352" s="533">
        <f t="shared" si="426"/>
        <v>-13.124000000000001</v>
      </c>
      <c r="AI352" s="638">
        <v>-5.165</v>
      </c>
      <c r="AJ352" s="638">
        <v>-10.364000000000001</v>
      </c>
      <c r="AK352" s="638">
        <v>-15.65</v>
      </c>
      <c r="AL352" s="533">
        <f t="shared" si="427"/>
        <v>-21.024999999999999</v>
      </c>
      <c r="AM352" s="638">
        <v>-5.3209999999999997</v>
      </c>
      <c r="AN352" s="638">
        <v>-10.662000000000001</v>
      </c>
      <c r="AO352" s="638">
        <v>-15.898999999999999</v>
      </c>
      <c r="AP352" s="533">
        <f t="shared" si="428"/>
        <v>-20.742000000000001</v>
      </c>
      <c r="AQ352" s="638">
        <v>-2.605</v>
      </c>
      <c r="AR352" s="638">
        <v>-5.9660000000000002</v>
      </c>
      <c r="AS352" s="638">
        <v>-8.6020000000000003</v>
      </c>
      <c r="AT352" s="533">
        <f t="shared" si="429"/>
        <v>-12.243</v>
      </c>
      <c r="AU352" s="643">
        <v>-3.6190000000000002</v>
      </c>
      <c r="AV352" s="532"/>
      <c r="AW352" s="532"/>
      <c r="AX352" s="532">
        <f t="shared" si="430"/>
        <v>0</v>
      </c>
      <c r="AY352" s="532"/>
      <c r="AZ352" s="156"/>
      <c r="BA352" s="156"/>
      <c r="BB352" s="156"/>
      <c r="BC352" s="156"/>
      <c r="BD352" s="156"/>
      <c r="BE352" s="156"/>
      <c r="BF352" s="156"/>
      <c r="BG352" s="156"/>
      <c r="BH352" s="156"/>
      <c r="BI352" s="156"/>
      <c r="BJ352" s="156"/>
      <c r="BK352" s="729">
        <v>-13.124000000000001</v>
      </c>
      <c r="BL352" s="729">
        <v>-21.024999999999999</v>
      </c>
      <c r="BM352" s="729">
        <v>-20.742000000000001</v>
      </c>
      <c r="BN352" s="748">
        <v>-12.243</v>
      </c>
      <c r="BO352" s="156"/>
      <c r="BP352" s="156"/>
      <c r="BQ352" s="156"/>
      <c r="BR352" s="156"/>
      <c r="BS352" s="156"/>
      <c r="BT352" s="533"/>
    </row>
    <row r="353" spans="1:72" s="17" customFormat="1" hidden="1" outlineLevel="1" x14ac:dyDescent="0.35">
      <c r="A353" s="56" t="s">
        <v>582</v>
      </c>
      <c r="B353" s="308"/>
      <c r="C353" s="638">
        <v>44.308</v>
      </c>
      <c r="D353" s="638">
        <v>33.529000000000003</v>
      </c>
      <c r="E353" s="638">
        <v>24.091999999999999</v>
      </c>
      <c r="F353" s="533">
        <f>BD353</f>
        <v>3.1190000000000002</v>
      </c>
      <c r="G353" s="638">
        <v>45.542000000000002</v>
      </c>
      <c r="H353" s="638">
        <v>32.149000000000001</v>
      </c>
      <c r="I353" s="638">
        <v>23.542999999999999</v>
      </c>
      <c r="J353" s="533">
        <f>BE353</f>
        <v>-1.429</v>
      </c>
      <c r="K353" s="638">
        <v>48.835000000000001</v>
      </c>
      <c r="L353" s="638">
        <v>39.630000000000003</v>
      </c>
      <c r="M353" s="638">
        <v>32.335999999999999</v>
      </c>
      <c r="N353" s="533">
        <f>BF353</f>
        <v>0.621</v>
      </c>
      <c r="O353" s="638">
        <v>39.39</v>
      </c>
      <c r="P353" s="638">
        <v>32.155999999999999</v>
      </c>
      <c r="Q353" s="638">
        <v>25.971</v>
      </c>
      <c r="R353" s="533">
        <f>BG353</f>
        <v>0.63600000000000001</v>
      </c>
      <c r="S353" s="638">
        <v>45.79</v>
      </c>
      <c r="T353" s="638">
        <v>33.261000000000003</v>
      </c>
      <c r="U353" s="638">
        <v>24.832999999999998</v>
      </c>
      <c r="V353" s="533">
        <f>BH353</f>
        <v>-1.135</v>
      </c>
      <c r="W353" s="638">
        <v>40.939</v>
      </c>
      <c r="X353" s="638">
        <v>29.754999999999999</v>
      </c>
      <c r="Y353" s="638">
        <v>23.847999999999999</v>
      </c>
      <c r="Z353" s="533">
        <f>BI353</f>
        <v>-2.077</v>
      </c>
      <c r="AA353" s="638">
        <v>27.491</v>
      </c>
      <c r="AB353" s="638">
        <v>24.795000000000002</v>
      </c>
      <c r="AC353" s="638">
        <v>24.51</v>
      </c>
      <c r="AD353" s="533">
        <f>BJ353</f>
        <v>-7.141</v>
      </c>
      <c r="AE353" s="638">
        <v>5.0910000000000002</v>
      </c>
      <c r="AF353" s="638">
        <v>3.2549999999999999</v>
      </c>
      <c r="AG353" s="638">
        <v>13.611000000000001</v>
      </c>
      <c r="AH353" s="533">
        <f t="shared" si="426"/>
        <v>1.8169999999999999</v>
      </c>
      <c r="AI353" s="638">
        <v>37.392000000000003</v>
      </c>
      <c r="AJ353" s="638">
        <v>40.591999999999999</v>
      </c>
      <c r="AK353" s="638">
        <v>31.48</v>
      </c>
      <c r="AL353" s="533">
        <f t="shared" si="427"/>
        <v>18.222000000000001</v>
      </c>
      <c r="AM353" s="638">
        <v>29.009</v>
      </c>
      <c r="AN353" s="638">
        <v>5.6859999999999999</v>
      </c>
      <c r="AO353" s="638">
        <v>5.9219999999999997</v>
      </c>
      <c r="AP353" s="533">
        <f t="shared" si="428"/>
        <v>8.3759999999999994</v>
      </c>
      <c r="AQ353" s="638">
        <v>26.853000000000002</v>
      </c>
      <c r="AR353" s="638">
        <v>29.863</v>
      </c>
      <c r="AS353" s="638">
        <v>39.930999999999997</v>
      </c>
      <c r="AT353" s="533">
        <f t="shared" si="429"/>
        <v>22.341000000000001</v>
      </c>
      <c r="AU353" s="643">
        <v>9.1959999999999997</v>
      </c>
      <c r="AV353" s="532"/>
      <c r="AW353" s="532"/>
      <c r="AX353" s="532">
        <f t="shared" si="430"/>
        <v>0</v>
      </c>
      <c r="AY353" s="532"/>
      <c r="AZ353" s="729">
        <v>0.27500000000000002</v>
      </c>
      <c r="BA353" s="729">
        <v>6.2030000000000003</v>
      </c>
      <c r="BB353" s="729">
        <v>6.76</v>
      </c>
      <c r="BC353" s="729">
        <v>3.351</v>
      </c>
      <c r="BD353" s="729">
        <v>3.1190000000000002</v>
      </c>
      <c r="BE353" s="729">
        <v>-1.429</v>
      </c>
      <c r="BF353" s="729">
        <v>0.621</v>
      </c>
      <c r="BG353" s="729">
        <v>0.63600000000000001</v>
      </c>
      <c r="BH353" s="729">
        <v>-1.135</v>
      </c>
      <c r="BI353" s="729">
        <v>-2.077</v>
      </c>
      <c r="BJ353" s="729">
        <v>-7.141</v>
      </c>
      <c r="BK353" s="729">
        <v>1.8169999999999999</v>
      </c>
      <c r="BL353" s="729">
        <v>18.222000000000001</v>
      </c>
      <c r="BM353" s="729">
        <v>8.3759999999999994</v>
      </c>
      <c r="BN353" s="748">
        <v>22.341000000000001</v>
      </c>
      <c r="BO353" s="156"/>
      <c r="BP353" s="156"/>
      <c r="BQ353" s="156"/>
      <c r="BR353" s="156"/>
      <c r="BS353" s="156"/>
      <c r="BT353" s="533"/>
    </row>
    <row r="354" spans="1:72" s="17" customFormat="1" hidden="1" outlineLevel="1" x14ac:dyDescent="0.35">
      <c r="A354" s="56" t="s">
        <v>135</v>
      </c>
      <c r="B354" s="308"/>
      <c r="C354" s="638">
        <v>1.5009999999999999</v>
      </c>
      <c r="D354" s="638">
        <v>1.5009999999999999</v>
      </c>
      <c r="E354" s="638">
        <v>1.5009999999999999</v>
      </c>
      <c r="F354" s="533">
        <f>BD354</f>
        <v>1.5009999999999999</v>
      </c>
      <c r="G354" s="532"/>
      <c r="H354" s="532"/>
      <c r="I354" s="532"/>
      <c r="J354" s="533">
        <f>BE354</f>
        <v>0</v>
      </c>
      <c r="K354" s="532"/>
      <c r="L354" s="532"/>
      <c r="M354" s="532"/>
      <c r="N354" s="533">
        <f>BF354</f>
        <v>0</v>
      </c>
      <c r="O354" s="532"/>
      <c r="P354" s="532"/>
      <c r="Q354" s="532"/>
      <c r="R354" s="533">
        <f>BG354</f>
        <v>0</v>
      </c>
      <c r="S354" s="532"/>
      <c r="T354" s="532"/>
      <c r="U354" s="532"/>
      <c r="V354" s="533">
        <f>BH354</f>
        <v>0</v>
      </c>
      <c r="W354" s="532"/>
      <c r="X354" s="532"/>
      <c r="Y354" s="532"/>
      <c r="Z354" s="533">
        <f>BI354</f>
        <v>0</v>
      </c>
      <c r="AA354" s="532"/>
      <c r="AB354" s="532"/>
      <c r="AC354" s="532"/>
      <c r="AD354" s="533">
        <f>BJ354</f>
        <v>0</v>
      </c>
      <c r="AE354" s="532"/>
      <c r="AF354" s="532"/>
      <c r="AG354" s="532"/>
      <c r="AH354" s="533">
        <f t="shared" si="426"/>
        <v>0</v>
      </c>
      <c r="AI354" s="532"/>
      <c r="AJ354" s="532"/>
      <c r="AK354" s="532"/>
      <c r="AL354" s="533">
        <f t="shared" si="427"/>
        <v>0</v>
      </c>
      <c r="AM354" s="532"/>
      <c r="AN354" s="532"/>
      <c r="AO354" s="532"/>
      <c r="AP354" s="533">
        <f t="shared" si="428"/>
        <v>0</v>
      </c>
      <c r="AQ354" s="532"/>
      <c r="AR354" s="532"/>
      <c r="AS354" s="532"/>
      <c r="AT354" s="533">
        <f t="shared" si="429"/>
        <v>0</v>
      </c>
      <c r="AU354" s="534"/>
      <c r="AV354" s="532"/>
      <c r="AW354" s="532"/>
      <c r="AX354" s="532">
        <f t="shared" si="430"/>
        <v>0</v>
      </c>
      <c r="AY354" s="532"/>
      <c r="AZ354" s="729">
        <v>-2.5</v>
      </c>
      <c r="BA354" s="729">
        <v>-0.84299999999999997</v>
      </c>
      <c r="BB354" s="729">
        <v>1.8420000000000001</v>
      </c>
      <c r="BC354" s="156"/>
      <c r="BD354" s="729">
        <v>1.5009999999999999</v>
      </c>
      <c r="BE354" s="156"/>
      <c r="BF354" s="156"/>
      <c r="BG354" s="156"/>
      <c r="BH354" s="156"/>
      <c r="BI354" s="156"/>
      <c r="BJ354" s="156"/>
      <c r="BK354" s="156"/>
      <c r="BL354" s="156"/>
      <c r="BM354" s="156"/>
      <c r="BN354" s="730"/>
      <c r="BO354" s="156"/>
      <c r="BP354" s="156"/>
      <c r="BQ354" s="156"/>
      <c r="BR354" s="156"/>
      <c r="BS354" s="156"/>
      <c r="BT354" s="533"/>
    </row>
    <row r="355" spans="1:72" s="17" customFormat="1" hidden="1" outlineLevel="1" x14ac:dyDescent="0.35">
      <c r="A355" s="56" t="s">
        <v>136</v>
      </c>
      <c r="B355" s="308"/>
      <c r="C355" s="638">
        <v>1.605</v>
      </c>
      <c r="D355" s="638">
        <v>1.9450000000000001</v>
      </c>
      <c r="E355" s="638">
        <v>1.6659999999999999</v>
      </c>
      <c r="F355" s="533">
        <f>BD355</f>
        <v>2.0590000000000002</v>
      </c>
      <c r="G355" s="638">
        <v>0.17499999999999999</v>
      </c>
      <c r="H355" s="638">
        <v>0.17799999999999999</v>
      </c>
      <c r="I355" s="638">
        <v>-0.45400000000000001</v>
      </c>
      <c r="J355" s="533">
        <f>BE355</f>
        <v>-0.20899999999999999</v>
      </c>
      <c r="K355" s="638">
        <v>2.6480000000000001</v>
      </c>
      <c r="L355" s="638">
        <v>2.476</v>
      </c>
      <c r="M355" s="638">
        <v>2.5099999999999998</v>
      </c>
      <c r="N355" s="533">
        <f>BF355</f>
        <v>1.5620000000000001</v>
      </c>
      <c r="O355" s="638">
        <v>-0.374</v>
      </c>
      <c r="P355" s="638">
        <v>-3.1E-2</v>
      </c>
      <c r="Q355" s="638">
        <v>-2.496</v>
      </c>
      <c r="R355" s="533">
        <f>BG355</f>
        <v>-2.4369999999999998</v>
      </c>
      <c r="S355" s="638">
        <v>0.29599999999999999</v>
      </c>
      <c r="T355" s="638">
        <v>-1.8160000000000001</v>
      </c>
      <c r="U355" s="638">
        <v>-1.1399999999999999</v>
      </c>
      <c r="V355" s="533">
        <f>BH355</f>
        <v>-0.56699999999999995</v>
      </c>
      <c r="W355" s="638">
        <v>0.499</v>
      </c>
      <c r="X355" s="638">
        <v>-1.05</v>
      </c>
      <c r="Y355" s="638">
        <v>-2.714</v>
      </c>
      <c r="Z355" s="533">
        <f>BI355</f>
        <v>-2.4289999999999998</v>
      </c>
      <c r="AA355" s="532"/>
      <c r="AB355" s="532"/>
      <c r="AC355" s="532"/>
      <c r="AD355" s="533">
        <f>BJ355</f>
        <v>0</v>
      </c>
      <c r="AE355" s="532"/>
      <c r="AF355" s="532"/>
      <c r="AG355" s="532"/>
      <c r="AH355" s="533">
        <f t="shared" si="426"/>
        <v>0</v>
      </c>
      <c r="AI355" s="532"/>
      <c r="AJ355" s="532"/>
      <c r="AK355" s="532"/>
      <c r="AL355" s="533">
        <f t="shared" si="427"/>
        <v>0</v>
      </c>
      <c r="AM355" s="532"/>
      <c r="AN355" s="532"/>
      <c r="AO355" s="532"/>
      <c r="AP355" s="533">
        <f t="shared" si="428"/>
        <v>0</v>
      </c>
      <c r="AQ355" s="532"/>
      <c r="AR355" s="532"/>
      <c r="AS355" s="532"/>
      <c r="AT355" s="533">
        <f t="shared" si="429"/>
        <v>0</v>
      </c>
      <c r="AU355" s="534"/>
      <c r="AV355" s="532"/>
      <c r="AW355" s="532"/>
      <c r="AX355" s="532">
        <f t="shared" si="430"/>
        <v>0</v>
      </c>
      <c r="AY355" s="532"/>
      <c r="AZ355" s="729">
        <v>5.8999999999999997E-2</v>
      </c>
      <c r="BA355" s="729">
        <v>0.51900000000000002</v>
      </c>
      <c r="BB355" s="729">
        <v>3.3839999999999999</v>
      </c>
      <c r="BC355" s="729">
        <v>0.84299999999999997</v>
      </c>
      <c r="BD355" s="729">
        <v>2.0590000000000002</v>
      </c>
      <c r="BE355" s="729">
        <v>-0.20899999999999999</v>
      </c>
      <c r="BF355" s="729">
        <v>1.5620000000000001</v>
      </c>
      <c r="BG355" s="729">
        <v>-2.4369999999999998</v>
      </c>
      <c r="BH355" s="729">
        <v>-0.56699999999999995</v>
      </c>
      <c r="BI355" s="729">
        <v>-2.4289999999999998</v>
      </c>
      <c r="BJ355" s="156"/>
      <c r="BK355" s="156"/>
      <c r="BL355" s="156"/>
      <c r="BM355" s="156"/>
      <c r="BN355" s="730"/>
      <c r="BO355" s="156"/>
      <c r="BP355" s="156"/>
      <c r="BQ355" s="156"/>
      <c r="BR355" s="156"/>
      <c r="BS355" s="156"/>
      <c r="BT355" s="533"/>
    </row>
    <row r="356" spans="1:72" s="17" customFormat="1" hidden="1" outlineLevel="1" x14ac:dyDescent="0.35">
      <c r="A356" s="271" t="s">
        <v>627</v>
      </c>
      <c r="B356" s="363"/>
      <c r="C356" s="586">
        <f t="shared" ref="C356:AH356" si="431">SUM(C344:C355)</f>
        <v>-43.505000000000003</v>
      </c>
      <c r="D356" s="586">
        <f t="shared" si="431"/>
        <v>-27.921999999999986</v>
      </c>
      <c r="E356" s="586">
        <f t="shared" si="431"/>
        <v>-38.536000000000008</v>
      </c>
      <c r="F356" s="586">
        <f t="shared" si="431"/>
        <v>-21.171999999999997</v>
      </c>
      <c r="G356" s="586">
        <f t="shared" si="431"/>
        <v>-15.660000000000021</v>
      </c>
      <c r="H356" s="586">
        <f t="shared" si="431"/>
        <v>-31.257000000000001</v>
      </c>
      <c r="I356" s="586">
        <f t="shared" si="431"/>
        <v>-15.753999999999991</v>
      </c>
      <c r="J356" s="586">
        <f t="shared" si="431"/>
        <v>4.293000000000001</v>
      </c>
      <c r="K356" s="586">
        <f t="shared" si="431"/>
        <v>-49.596000000000004</v>
      </c>
      <c r="L356" s="586">
        <f t="shared" si="431"/>
        <v>-48.107999999999997</v>
      </c>
      <c r="M356" s="586">
        <f t="shared" si="431"/>
        <v>-47.747000000000007</v>
      </c>
      <c r="N356" s="586">
        <f t="shared" si="431"/>
        <v>-4.6049999999999995</v>
      </c>
      <c r="O356" s="586">
        <f t="shared" si="431"/>
        <v>-43.228000000000002</v>
      </c>
      <c r="P356" s="586">
        <f t="shared" si="431"/>
        <v>-35.414000000000001</v>
      </c>
      <c r="Q356" s="586">
        <f t="shared" si="431"/>
        <v>-17.134</v>
      </c>
      <c r="R356" s="586">
        <f t="shared" si="431"/>
        <v>22.542999999999996</v>
      </c>
      <c r="S356" s="586">
        <f t="shared" si="431"/>
        <v>-79.477999999999994</v>
      </c>
      <c r="T356" s="586">
        <f t="shared" si="431"/>
        <v>-40.314999999999991</v>
      </c>
      <c r="U356" s="586">
        <f t="shared" si="431"/>
        <v>-47.986999999999995</v>
      </c>
      <c r="V356" s="586">
        <f t="shared" si="431"/>
        <v>-19.424000000000003</v>
      </c>
      <c r="W356" s="586">
        <f t="shared" si="431"/>
        <v>-86.086000000000013</v>
      </c>
      <c r="X356" s="586">
        <f t="shared" si="431"/>
        <v>-61.150999999999996</v>
      </c>
      <c r="Y356" s="586">
        <f t="shared" si="431"/>
        <v>-37.51100000000001</v>
      </c>
      <c r="Z356" s="586">
        <f t="shared" si="431"/>
        <v>-24.766000000000002</v>
      </c>
      <c r="AA356" s="588">
        <f t="shared" si="431"/>
        <v>-72.587999999999994</v>
      </c>
      <c r="AB356" s="588">
        <f t="shared" si="431"/>
        <v>-45.974999999999994</v>
      </c>
      <c r="AC356" s="588">
        <f t="shared" si="431"/>
        <v>-39.441000000000003</v>
      </c>
      <c r="AD356" s="586">
        <f t="shared" si="431"/>
        <v>2.3179999999999978</v>
      </c>
      <c r="AE356" s="588">
        <f t="shared" si="431"/>
        <v>-107.389</v>
      </c>
      <c r="AF356" s="588">
        <f t="shared" si="431"/>
        <v>-85.322000000000003</v>
      </c>
      <c r="AG356" s="588">
        <f t="shared" si="431"/>
        <v>-99.835999999999984</v>
      </c>
      <c r="AH356" s="586">
        <f t="shared" si="431"/>
        <v>-60.946000000000005</v>
      </c>
      <c r="AI356" s="588">
        <f t="shared" ref="AI356:AX356" si="432">SUM(AI344:AI355)</f>
        <v>-179.32</v>
      </c>
      <c r="AJ356" s="588">
        <f t="shared" si="432"/>
        <v>-210.13</v>
      </c>
      <c r="AK356" s="588">
        <f t="shared" si="432"/>
        <v>-186.77700000000002</v>
      </c>
      <c r="AL356" s="586">
        <f t="shared" si="432"/>
        <v>-117.774</v>
      </c>
      <c r="AM356" s="588">
        <f t="shared" si="432"/>
        <v>-173.43</v>
      </c>
      <c r="AN356" s="588">
        <f t="shared" si="432"/>
        <v>-133.17500000000001</v>
      </c>
      <c r="AO356" s="588">
        <f t="shared" si="432"/>
        <v>-120.125</v>
      </c>
      <c r="AP356" s="586">
        <f t="shared" si="432"/>
        <v>-64.924999999999997</v>
      </c>
      <c r="AQ356" s="588">
        <f t="shared" si="432"/>
        <v>-171.31899999999999</v>
      </c>
      <c r="AR356" s="588">
        <f t="shared" si="432"/>
        <v>-86.505999999999986</v>
      </c>
      <c r="AS356" s="588">
        <f t="shared" si="432"/>
        <v>-92.271999999999977</v>
      </c>
      <c r="AT356" s="586">
        <f t="shared" si="432"/>
        <v>-67.538999999999987</v>
      </c>
      <c r="AU356" s="596">
        <f t="shared" si="432"/>
        <v>-199.51800000000003</v>
      </c>
      <c r="AV356" s="588">
        <f t="shared" si="432"/>
        <v>0</v>
      </c>
      <c r="AW356" s="588">
        <f t="shared" si="432"/>
        <v>0</v>
      </c>
      <c r="AX356" s="588">
        <f t="shared" si="432"/>
        <v>0</v>
      </c>
      <c r="AY356" s="588"/>
      <c r="AZ356" s="763">
        <f t="shared" ref="AZ356:BS356" si="433">SUM(AZ344:AZ355)</f>
        <v>-47.545000000000009</v>
      </c>
      <c r="BA356" s="763">
        <f t="shared" si="433"/>
        <v>-6.9739999999999975</v>
      </c>
      <c r="BB356" s="763">
        <f t="shared" si="433"/>
        <v>-5.6270000000000024</v>
      </c>
      <c r="BC356" s="763">
        <f t="shared" si="433"/>
        <v>-67.497</v>
      </c>
      <c r="BD356" s="763">
        <f t="shared" si="433"/>
        <v>-21.171999999999997</v>
      </c>
      <c r="BE356" s="763">
        <f t="shared" si="433"/>
        <v>4.293000000000001</v>
      </c>
      <c r="BF356" s="763">
        <f t="shared" si="433"/>
        <v>-4.6049999999999995</v>
      </c>
      <c r="BG356" s="763">
        <f t="shared" si="433"/>
        <v>22.542999999999996</v>
      </c>
      <c r="BH356" s="763">
        <f t="shared" si="433"/>
        <v>-19.424000000000003</v>
      </c>
      <c r="BI356" s="763">
        <f t="shared" si="433"/>
        <v>-24.766000000000002</v>
      </c>
      <c r="BJ356" s="765">
        <f t="shared" si="433"/>
        <v>2.3179999999999978</v>
      </c>
      <c r="BK356" s="765">
        <f t="shared" si="433"/>
        <v>-60.946000000000005</v>
      </c>
      <c r="BL356" s="765">
        <f t="shared" si="433"/>
        <v>-117.774</v>
      </c>
      <c r="BM356" s="765">
        <f t="shared" si="433"/>
        <v>-64.924999999999997</v>
      </c>
      <c r="BN356" s="824">
        <f t="shared" si="433"/>
        <v>-67.538999999999987</v>
      </c>
      <c r="BO356" s="765">
        <f t="shared" si="433"/>
        <v>0</v>
      </c>
      <c r="BP356" s="765">
        <f t="shared" si="433"/>
        <v>0</v>
      </c>
      <c r="BQ356" s="765">
        <f t="shared" si="433"/>
        <v>0</v>
      </c>
      <c r="BR356" s="765">
        <f t="shared" si="433"/>
        <v>0</v>
      </c>
      <c r="BS356" s="765">
        <f t="shared" si="433"/>
        <v>0</v>
      </c>
      <c r="BT356" s="533"/>
    </row>
    <row r="357" spans="1:72" s="1" customFormat="1" hidden="1" outlineLevel="1" x14ac:dyDescent="0.35">
      <c r="A357" s="47" t="s">
        <v>137</v>
      </c>
      <c r="B357" s="360"/>
      <c r="C357" s="573">
        <f t="shared" ref="C357:AH357" si="434">C343+C356</f>
        <v>-17.214000000000002</v>
      </c>
      <c r="D357" s="573">
        <f t="shared" si="434"/>
        <v>32.052000000000021</v>
      </c>
      <c r="E357" s="573">
        <f t="shared" si="434"/>
        <v>59.215999999999987</v>
      </c>
      <c r="F357" s="573">
        <f t="shared" si="434"/>
        <v>95.292999999999978</v>
      </c>
      <c r="G357" s="573">
        <f t="shared" si="434"/>
        <v>-3.9130000000000233</v>
      </c>
      <c r="H357" s="573">
        <f t="shared" si="434"/>
        <v>20.551999999999996</v>
      </c>
      <c r="I357" s="573">
        <f t="shared" si="434"/>
        <v>81.506</v>
      </c>
      <c r="J357" s="573">
        <f t="shared" si="434"/>
        <v>122.873</v>
      </c>
      <c r="K357" s="573">
        <f t="shared" si="434"/>
        <v>-27.410000000000004</v>
      </c>
      <c r="L357" s="573">
        <f t="shared" si="434"/>
        <v>7.0090000000000146</v>
      </c>
      <c r="M357" s="573">
        <f t="shared" si="434"/>
        <v>45.738999999999997</v>
      </c>
      <c r="N357" s="573">
        <f t="shared" si="434"/>
        <v>120.08500000000002</v>
      </c>
      <c r="O357" s="573">
        <f t="shared" si="434"/>
        <v>-23.940999999999999</v>
      </c>
      <c r="P357" s="573">
        <f t="shared" si="434"/>
        <v>12.948999999999984</v>
      </c>
      <c r="Q357" s="573">
        <f t="shared" si="434"/>
        <v>61.121999999999986</v>
      </c>
      <c r="R357" s="573">
        <f t="shared" si="434"/>
        <v>121.77799999999999</v>
      </c>
      <c r="S357" s="573">
        <f t="shared" si="434"/>
        <v>-59.929999999999993</v>
      </c>
      <c r="T357" s="573">
        <f t="shared" si="434"/>
        <v>10.251000000000012</v>
      </c>
      <c r="U357" s="573">
        <f t="shared" si="434"/>
        <v>37.375</v>
      </c>
      <c r="V357" s="573">
        <f t="shared" si="434"/>
        <v>88.727999999999994</v>
      </c>
      <c r="W357" s="573">
        <f t="shared" si="434"/>
        <v>-60.222000000000016</v>
      </c>
      <c r="X357" s="573">
        <f t="shared" si="434"/>
        <v>-2.7369999999999948</v>
      </c>
      <c r="Y357" s="573">
        <f t="shared" si="434"/>
        <v>53.410999999999987</v>
      </c>
      <c r="Z357" s="573">
        <f t="shared" si="434"/>
        <v>103.627</v>
      </c>
      <c r="AA357" s="573">
        <f t="shared" si="434"/>
        <v>-49.091999999999992</v>
      </c>
      <c r="AB357" s="573">
        <f t="shared" si="434"/>
        <v>24.885000000000005</v>
      </c>
      <c r="AC357" s="573">
        <f t="shared" si="434"/>
        <v>73.296000000000006</v>
      </c>
      <c r="AD357" s="573">
        <f t="shared" si="434"/>
        <v>141.60599999999999</v>
      </c>
      <c r="AE357" s="573">
        <f t="shared" si="434"/>
        <v>-86.813999999999993</v>
      </c>
      <c r="AF357" s="573">
        <f t="shared" si="434"/>
        <v>-21.265000000000015</v>
      </c>
      <c r="AG357" s="573">
        <f t="shared" si="434"/>
        <v>3.0250000000000199</v>
      </c>
      <c r="AH357" s="573">
        <f t="shared" si="434"/>
        <v>80.414999999999992</v>
      </c>
      <c r="AI357" s="573">
        <f t="shared" ref="AI357:AX357" si="435">AI343+AI356</f>
        <v>-114.533</v>
      </c>
      <c r="AJ357" s="573">
        <f t="shared" si="435"/>
        <v>-79.956999999999994</v>
      </c>
      <c r="AK357" s="573">
        <f t="shared" si="435"/>
        <v>11.121999999999957</v>
      </c>
      <c r="AL357" s="573">
        <f t="shared" si="435"/>
        <v>134.15</v>
      </c>
      <c r="AM357" s="573">
        <f t="shared" si="435"/>
        <v>-131.51</v>
      </c>
      <c r="AN357" s="573">
        <f t="shared" si="435"/>
        <v>-11.668000000000006</v>
      </c>
      <c r="AO357" s="573">
        <f t="shared" si="435"/>
        <v>81.40300000000002</v>
      </c>
      <c r="AP357" s="573">
        <f t="shared" si="435"/>
        <v>206.88399999999996</v>
      </c>
      <c r="AQ357" s="573">
        <f t="shared" si="435"/>
        <v>-143.14599999999999</v>
      </c>
      <c r="AR357" s="573">
        <f t="shared" si="435"/>
        <v>21.182000000000031</v>
      </c>
      <c r="AS357" s="573">
        <f t="shared" si="435"/>
        <v>106.22000000000001</v>
      </c>
      <c r="AT357" s="573">
        <f t="shared" si="435"/>
        <v>203.15000000000003</v>
      </c>
      <c r="AU357" s="577">
        <f t="shared" si="435"/>
        <v>-135.30500000000004</v>
      </c>
      <c r="AV357" s="572">
        <f t="shared" si="435"/>
        <v>0</v>
      </c>
      <c r="AW357" s="572">
        <f t="shared" si="435"/>
        <v>0</v>
      </c>
      <c r="AX357" s="572">
        <f t="shared" si="435"/>
        <v>0</v>
      </c>
      <c r="AY357" s="572"/>
      <c r="AZ357" s="735">
        <f t="shared" ref="AZ357:BS357" si="436">AZ343+AZ356</f>
        <v>-9.355000000000004</v>
      </c>
      <c r="BA357" s="735">
        <f t="shared" si="436"/>
        <v>54.68</v>
      </c>
      <c r="BB357" s="735">
        <f t="shared" si="436"/>
        <v>67.212999999999994</v>
      </c>
      <c r="BC357" s="735">
        <f t="shared" si="436"/>
        <v>32.990999999999985</v>
      </c>
      <c r="BD357" s="735">
        <f t="shared" si="436"/>
        <v>95.292999999999978</v>
      </c>
      <c r="BE357" s="735">
        <f t="shared" si="436"/>
        <v>122.873</v>
      </c>
      <c r="BF357" s="735">
        <f t="shared" si="436"/>
        <v>120.08500000000002</v>
      </c>
      <c r="BG357" s="735">
        <f t="shared" si="436"/>
        <v>121.77799999999999</v>
      </c>
      <c r="BH357" s="735">
        <f t="shared" si="436"/>
        <v>88.727999999999994</v>
      </c>
      <c r="BI357" s="735">
        <f t="shared" si="436"/>
        <v>103.627</v>
      </c>
      <c r="BJ357" s="735">
        <f t="shared" si="436"/>
        <v>141.60599999999999</v>
      </c>
      <c r="BK357" s="735">
        <f t="shared" si="436"/>
        <v>80.414999999999992</v>
      </c>
      <c r="BL357" s="735">
        <f t="shared" si="436"/>
        <v>134.15</v>
      </c>
      <c r="BM357" s="735">
        <f t="shared" si="436"/>
        <v>206.88399999999996</v>
      </c>
      <c r="BN357" s="749">
        <f t="shared" si="436"/>
        <v>203.15000000000003</v>
      </c>
      <c r="BO357" s="734">
        <f t="shared" si="436"/>
        <v>0</v>
      </c>
      <c r="BP357" s="734">
        <f t="shared" si="436"/>
        <v>0</v>
      </c>
      <c r="BQ357" s="734">
        <f t="shared" si="436"/>
        <v>0</v>
      </c>
      <c r="BR357" s="734">
        <f t="shared" si="436"/>
        <v>0</v>
      </c>
      <c r="BS357" s="734">
        <f t="shared" si="436"/>
        <v>0</v>
      </c>
      <c r="BT357" s="530"/>
    </row>
    <row r="358" spans="1:72" s="1" customFormat="1" hidden="1" outlineLevel="1" x14ac:dyDescent="0.35">
      <c r="A358" s="354"/>
      <c r="B358" s="307"/>
      <c r="C358" s="529"/>
      <c r="D358" s="529"/>
      <c r="E358" s="529"/>
      <c r="F358" s="529"/>
      <c r="G358" s="529"/>
      <c r="H358" s="529"/>
      <c r="I358" s="529"/>
      <c r="J358" s="529"/>
      <c r="K358" s="529"/>
      <c r="L358" s="529"/>
      <c r="M358" s="529"/>
      <c r="N358" s="529"/>
      <c r="O358" s="529"/>
      <c r="P358" s="529"/>
      <c r="Q358" s="529"/>
      <c r="R358" s="529"/>
      <c r="S358" s="529"/>
      <c r="T358" s="529"/>
      <c r="U358" s="529"/>
      <c r="V358" s="529"/>
      <c r="W358" s="529"/>
      <c r="X358" s="529"/>
      <c r="Y358" s="529"/>
      <c r="Z358" s="529"/>
      <c r="AA358" s="529"/>
      <c r="AB358" s="529"/>
      <c r="AC358" s="529"/>
      <c r="AD358" s="529"/>
      <c r="AE358" s="529"/>
      <c r="AF358" s="529"/>
      <c r="AG358" s="529"/>
      <c r="AH358" s="529"/>
      <c r="AI358" s="529"/>
      <c r="AJ358" s="529"/>
      <c r="AK358" s="529"/>
      <c r="AL358" s="529"/>
      <c r="AM358" s="529"/>
      <c r="AN358" s="529"/>
      <c r="AO358" s="529"/>
      <c r="AP358" s="529"/>
      <c r="AQ358" s="529"/>
      <c r="AR358" s="529"/>
      <c r="AS358" s="529"/>
      <c r="AT358" s="529"/>
      <c r="AU358" s="531"/>
      <c r="AV358" s="529"/>
      <c r="AW358" s="529"/>
      <c r="AX358" s="529"/>
      <c r="AY358" s="529"/>
      <c r="AZ358" s="726"/>
      <c r="BA358" s="726"/>
      <c r="BB358" s="726"/>
      <c r="BC358" s="726"/>
      <c r="BD358" s="726"/>
      <c r="BE358" s="726"/>
      <c r="BF358" s="726"/>
      <c r="BG358" s="726"/>
      <c r="BH358" s="726"/>
      <c r="BI358" s="726"/>
      <c r="BJ358" s="726"/>
      <c r="BK358" s="726"/>
      <c r="BL358" s="726"/>
      <c r="BM358" s="726"/>
      <c r="BN358" s="728"/>
      <c r="BO358" s="726"/>
      <c r="BP358" s="726"/>
      <c r="BQ358" s="726"/>
      <c r="BR358" s="726"/>
      <c r="BS358" s="726"/>
      <c r="BT358" s="530"/>
    </row>
    <row r="359" spans="1:72" s="1" customFormat="1" hidden="1" outlineLevel="1" x14ac:dyDescent="0.35">
      <c r="A359" s="51" t="s">
        <v>138</v>
      </c>
      <c r="B359" s="307"/>
      <c r="C359" s="529"/>
      <c r="D359" s="529"/>
      <c r="E359" s="529"/>
      <c r="F359" s="529"/>
      <c r="G359" s="529"/>
      <c r="H359" s="529"/>
      <c r="I359" s="529"/>
      <c r="J359" s="529"/>
      <c r="K359" s="529"/>
      <c r="L359" s="529"/>
      <c r="M359" s="529"/>
      <c r="N359" s="529"/>
      <c r="O359" s="529"/>
      <c r="P359" s="529"/>
      <c r="Q359" s="529"/>
      <c r="R359" s="529"/>
      <c r="S359" s="529"/>
      <c r="T359" s="529"/>
      <c r="U359" s="529"/>
      <c r="V359" s="529"/>
      <c r="W359" s="529"/>
      <c r="X359" s="529"/>
      <c r="Y359" s="529"/>
      <c r="Z359" s="529"/>
      <c r="AA359" s="529"/>
      <c r="AB359" s="529"/>
      <c r="AC359" s="529"/>
      <c r="AD359" s="529"/>
      <c r="AE359" s="529"/>
      <c r="AF359" s="529"/>
      <c r="AG359" s="529"/>
      <c r="AH359" s="529"/>
      <c r="AI359" s="529"/>
      <c r="AJ359" s="529"/>
      <c r="AK359" s="529"/>
      <c r="AL359" s="529"/>
      <c r="AM359" s="529"/>
      <c r="AN359" s="529"/>
      <c r="AO359" s="529"/>
      <c r="AP359" s="529"/>
      <c r="AQ359" s="529"/>
      <c r="AR359" s="529"/>
      <c r="AS359" s="529"/>
      <c r="AT359" s="529"/>
      <c r="AU359" s="531"/>
      <c r="AV359" s="529"/>
      <c r="AW359" s="529"/>
      <c r="AX359" s="529"/>
      <c r="AY359" s="529"/>
      <c r="AZ359" s="726"/>
      <c r="BA359" s="726"/>
      <c r="BB359" s="726"/>
      <c r="BC359" s="726"/>
      <c r="BD359" s="726"/>
      <c r="BE359" s="726"/>
      <c r="BF359" s="726"/>
      <c r="BG359" s="726"/>
      <c r="BH359" s="726"/>
      <c r="BI359" s="726"/>
      <c r="BJ359" s="726"/>
      <c r="BK359" s="726"/>
      <c r="BL359" s="726"/>
      <c r="BM359" s="726"/>
      <c r="BN359" s="728"/>
      <c r="BO359" s="726"/>
      <c r="BP359" s="726"/>
      <c r="BQ359" s="726"/>
      <c r="BR359" s="726"/>
      <c r="BS359" s="726"/>
      <c r="BT359" s="530"/>
    </row>
    <row r="360" spans="1:72" s="17" customFormat="1" hidden="1" outlineLevel="1" x14ac:dyDescent="0.35">
      <c r="A360" s="208" t="s">
        <v>139</v>
      </c>
      <c r="B360" s="308"/>
      <c r="C360" s="638">
        <v>-3.863</v>
      </c>
      <c r="D360" s="638">
        <v>-4.524</v>
      </c>
      <c r="E360" s="638">
        <v>-5.2649999999999997</v>
      </c>
      <c r="F360" s="533">
        <f>BD360</f>
        <v>-8.3390000000000004</v>
      </c>
      <c r="G360" s="638">
        <v>-4.274</v>
      </c>
      <c r="H360" s="638">
        <v>-5.3289999999999997</v>
      </c>
      <c r="I360" s="638">
        <v>-6.3230000000000004</v>
      </c>
      <c r="J360" s="533">
        <f>BE360</f>
        <v>-7.4050000000000002</v>
      </c>
      <c r="K360" s="638">
        <v>-6.3330000000000002</v>
      </c>
      <c r="L360" s="638">
        <v>-6.6870000000000003</v>
      </c>
      <c r="M360" s="638">
        <v>-7.6559999999999997</v>
      </c>
      <c r="N360" s="533">
        <f>BF360</f>
        <v>-9.9280000000000008</v>
      </c>
      <c r="O360" s="638">
        <v>-0.97699999999999998</v>
      </c>
      <c r="P360" s="638">
        <v>-2.024</v>
      </c>
      <c r="Q360" s="638">
        <v>-2.4580000000000002</v>
      </c>
      <c r="R360" s="533">
        <f>BG360</f>
        <v>-5.008</v>
      </c>
      <c r="S360" s="638">
        <v>-0.96</v>
      </c>
      <c r="T360" s="638">
        <v>-1.276</v>
      </c>
      <c r="U360" s="638">
        <v>-1.391</v>
      </c>
      <c r="V360" s="533">
        <f t="shared" ref="V360:V366" si="437">BH360</f>
        <v>-2.1739999999999999</v>
      </c>
      <c r="W360" s="638">
        <v>-5.1429999999999998</v>
      </c>
      <c r="X360" s="638">
        <v>-5.9169999999999998</v>
      </c>
      <c r="Y360" s="638">
        <v>-6.58</v>
      </c>
      <c r="Z360" s="533">
        <f t="shared" ref="Z360:Z366" si="438">BI360</f>
        <v>-8.7430000000000003</v>
      </c>
      <c r="AA360" s="638">
        <v>-1.738</v>
      </c>
      <c r="AB360" s="638">
        <v>-1.9139999999999999</v>
      </c>
      <c r="AC360" s="638">
        <v>-2.3969999999999998</v>
      </c>
      <c r="AD360" s="533">
        <f t="shared" ref="AD360:AD366" si="439">BJ360</f>
        <v>-5.4770000000000003</v>
      </c>
      <c r="AE360" s="638">
        <v>-1.246</v>
      </c>
      <c r="AF360" s="638">
        <v>-1.3380000000000001</v>
      </c>
      <c r="AG360" s="638">
        <v>-1.4930000000000001</v>
      </c>
      <c r="AH360" s="533">
        <f t="shared" ref="AH360:AH368" si="440">BK360</f>
        <v>-1.677</v>
      </c>
      <c r="AI360" s="638">
        <v>-1.1060000000000001</v>
      </c>
      <c r="AJ360" s="638">
        <v>-1.9690000000000001</v>
      </c>
      <c r="AK360" s="638">
        <v>-2.9670000000000001</v>
      </c>
      <c r="AL360" s="533">
        <f t="shared" ref="AL360:AL371" si="441">BL360</f>
        <v>-3.5670000000000002</v>
      </c>
      <c r="AM360" s="638">
        <v>-1.278</v>
      </c>
      <c r="AN360" s="638">
        <v>-2.7050000000000001</v>
      </c>
      <c r="AO360" s="638">
        <v>-4.734</v>
      </c>
      <c r="AP360" s="533">
        <f t="shared" ref="AP360:AP379" si="442">BM360</f>
        <v>-9.7479999999999993</v>
      </c>
      <c r="AQ360" s="638">
        <v>-0.91300000000000003</v>
      </c>
      <c r="AR360" s="638">
        <v>-2.823</v>
      </c>
      <c r="AS360" s="638">
        <v>-3.5790000000000002</v>
      </c>
      <c r="AT360" s="533">
        <f t="shared" ref="AT360:AT384" si="443">BN360</f>
        <v>-4.3360000000000003</v>
      </c>
      <c r="AU360" s="643">
        <v>-1.694</v>
      </c>
      <c r="AV360" s="532"/>
      <c r="AW360" s="532"/>
      <c r="AX360" s="532">
        <f t="shared" ref="AX360:AX384" si="444">BO360</f>
        <v>0</v>
      </c>
      <c r="AY360" s="532"/>
      <c r="AZ360" s="729">
        <v>-13.939</v>
      </c>
      <c r="BA360" s="729">
        <v>-10.356999999999999</v>
      </c>
      <c r="BB360" s="729">
        <v>-29.562999999999999</v>
      </c>
      <c r="BC360" s="729">
        <v>-10.483000000000001</v>
      </c>
      <c r="BD360" s="729">
        <v>-8.3390000000000004</v>
      </c>
      <c r="BE360" s="729">
        <v>-7.4050000000000002</v>
      </c>
      <c r="BF360" s="729">
        <v>-9.9280000000000008</v>
      </c>
      <c r="BG360" s="729">
        <v>-5.008</v>
      </c>
      <c r="BH360" s="729">
        <v>-2.1739999999999999</v>
      </c>
      <c r="BI360" s="729">
        <v>-8.7430000000000003</v>
      </c>
      <c r="BJ360" s="729">
        <v>-5.4770000000000003</v>
      </c>
      <c r="BK360" s="729">
        <v>-1.677</v>
      </c>
      <c r="BL360" s="729">
        <v>-3.5670000000000002</v>
      </c>
      <c r="BM360" s="729">
        <v>-9.7479999999999993</v>
      </c>
      <c r="BN360" s="748">
        <v>-4.3360000000000003</v>
      </c>
      <c r="BO360" s="156"/>
      <c r="BP360" s="156"/>
      <c r="BQ360" s="156"/>
      <c r="BR360" s="156"/>
      <c r="BS360" s="156"/>
      <c r="BT360" s="533"/>
    </row>
    <row r="361" spans="1:72" s="17" customFormat="1" hidden="1" outlineLevel="1" x14ac:dyDescent="0.35">
      <c r="A361" s="208" t="s">
        <v>140</v>
      </c>
      <c r="B361" s="308"/>
      <c r="C361" s="638">
        <v>-6.2889999999999997</v>
      </c>
      <c r="D361" s="638">
        <v>-11.632999999999999</v>
      </c>
      <c r="E361" s="638">
        <v>-17.867000000000001</v>
      </c>
      <c r="F361" s="533">
        <f>BD361</f>
        <v>-23.446000000000002</v>
      </c>
      <c r="G361" s="638">
        <v>-5.0060000000000002</v>
      </c>
      <c r="H361" s="638">
        <v>-10.632</v>
      </c>
      <c r="I361" s="638">
        <v>-18.486000000000001</v>
      </c>
      <c r="J361" s="533">
        <f>BE361</f>
        <v>-26.553000000000001</v>
      </c>
      <c r="K361" s="638">
        <v>-8.8859999999999992</v>
      </c>
      <c r="L361" s="638">
        <v>-17.093</v>
      </c>
      <c r="M361" s="638">
        <v>-25.43</v>
      </c>
      <c r="N361" s="533">
        <f>BF361</f>
        <v>-33.755000000000003</v>
      </c>
      <c r="O361" s="638">
        <v>-9.5150000000000006</v>
      </c>
      <c r="P361" s="638">
        <v>-16.925000000000001</v>
      </c>
      <c r="Q361" s="638">
        <v>-26.321000000000002</v>
      </c>
      <c r="R361" s="533">
        <f>BG361</f>
        <v>-36.265000000000001</v>
      </c>
      <c r="S361" s="638">
        <v>-7.2220000000000004</v>
      </c>
      <c r="T361" s="638">
        <v>-13.446</v>
      </c>
      <c r="U361" s="638">
        <v>-19.344999999999999</v>
      </c>
      <c r="V361" s="533">
        <f t="shared" si="437"/>
        <v>-26.917999999999999</v>
      </c>
      <c r="W361" s="638">
        <v>-7.9340000000000002</v>
      </c>
      <c r="X361" s="638">
        <v>-13.378</v>
      </c>
      <c r="Y361" s="638">
        <v>-18.852</v>
      </c>
      <c r="Z361" s="533">
        <f t="shared" si="438"/>
        <v>-24.533000000000001</v>
      </c>
      <c r="AA361" s="638">
        <v>-9.3170000000000002</v>
      </c>
      <c r="AB361" s="638">
        <v>-15.263</v>
      </c>
      <c r="AC361" s="638">
        <v>-20.58</v>
      </c>
      <c r="AD361" s="533">
        <f t="shared" si="439"/>
        <v>-26.318000000000001</v>
      </c>
      <c r="AE361" s="638">
        <v>-7.1959999999999997</v>
      </c>
      <c r="AF361" s="638">
        <v>-12.978</v>
      </c>
      <c r="AG361" s="638">
        <v>-18.824999999999999</v>
      </c>
      <c r="AH361" s="533">
        <f t="shared" si="440"/>
        <v>-23.988</v>
      </c>
      <c r="AI361" s="638">
        <v>-7.2039999999999997</v>
      </c>
      <c r="AJ361" s="638">
        <v>-14.061</v>
      </c>
      <c r="AK361" s="638">
        <v>-20.189</v>
      </c>
      <c r="AL361" s="533">
        <f t="shared" si="441"/>
        <v>-31.263999999999999</v>
      </c>
      <c r="AM361" s="638">
        <v>-9.69</v>
      </c>
      <c r="AN361" s="638">
        <v>-19.329999999999998</v>
      </c>
      <c r="AO361" s="638">
        <v>-30.837</v>
      </c>
      <c r="AP361" s="533">
        <f t="shared" si="442"/>
        <v>-42.191000000000003</v>
      </c>
      <c r="AQ361" s="638">
        <v>-9.7929999999999993</v>
      </c>
      <c r="AR361" s="638">
        <v>-21.399000000000001</v>
      </c>
      <c r="AS361" s="638">
        <v>-32.573999999999998</v>
      </c>
      <c r="AT361" s="533">
        <f t="shared" si="443"/>
        <v>-44.972999999999999</v>
      </c>
      <c r="AU361" s="643">
        <v>-10.041</v>
      </c>
      <c r="AV361" s="532"/>
      <c r="AW361" s="532"/>
      <c r="AX361" s="532">
        <f t="shared" si="444"/>
        <v>0</v>
      </c>
      <c r="AY361" s="532"/>
      <c r="AZ361" s="156"/>
      <c r="BA361" s="156"/>
      <c r="BB361" s="156"/>
      <c r="BC361" s="729">
        <v>-21.994</v>
      </c>
      <c r="BD361" s="729">
        <v>-23.446000000000002</v>
      </c>
      <c r="BE361" s="729">
        <v>-26.553000000000001</v>
      </c>
      <c r="BF361" s="729">
        <v>-33.755000000000003</v>
      </c>
      <c r="BG361" s="729">
        <v>-36.265000000000001</v>
      </c>
      <c r="BH361" s="729">
        <v>-26.917999999999999</v>
      </c>
      <c r="BI361" s="729">
        <v>-24.533000000000001</v>
      </c>
      <c r="BJ361" s="729">
        <v>-26.318000000000001</v>
      </c>
      <c r="BK361" s="729">
        <v>-23.988</v>
      </c>
      <c r="BL361" s="729">
        <v>-31.263999999999999</v>
      </c>
      <c r="BM361" s="729">
        <v>-42.191000000000003</v>
      </c>
      <c r="BN361" s="748">
        <v>-44.972999999999999</v>
      </c>
      <c r="BO361" s="156"/>
      <c r="BP361" s="156"/>
      <c r="BQ361" s="156"/>
      <c r="BR361" s="156"/>
      <c r="BS361" s="156"/>
      <c r="BT361" s="533"/>
    </row>
    <row r="362" spans="1:72" s="17" customFormat="1" hidden="1" outlineLevel="1" x14ac:dyDescent="0.35">
      <c r="A362" s="208" t="s">
        <v>141</v>
      </c>
      <c r="B362" s="308"/>
      <c r="C362" s="638">
        <v>-5.0919999999999996</v>
      </c>
      <c r="D362" s="638">
        <v>-9.6280000000000001</v>
      </c>
      <c r="E362" s="638">
        <v>-13.597</v>
      </c>
      <c r="F362" s="533">
        <f>BD362</f>
        <v>-18.559999999999999</v>
      </c>
      <c r="G362" s="638">
        <v>-3.3220000000000001</v>
      </c>
      <c r="H362" s="638">
        <v>-7.649</v>
      </c>
      <c r="I362" s="638">
        <v>-11.324</v>
      </c>
      <c r="J362" s="533">
        <f>BE362</f>
        <v>-15.411</v>
      </c>
      <c r="K362" s="638">
        <v>-3.375</v>
      </c>
      <c r="L362" s="638">
        <v>-7.2670000000000003</v>
      </c>
      <c r="M362" s="638">
        <v>-12.194000000000001</v>
      </c>
      <c r="N362" s="533">
        <f>BF362</f>
        <v>-18.056999999999999</v>
      </c>
      <c r="O362" s="638">
        <v>-3.6989999999999998</v>
      </c>
      <c r="P362" s="638">
        <v>-6.867</v>
      </c>
      <c r="Q362" s="638">
        <v>-12.206</v>
      </c>
      <c r="R362" s="533">
        <f>BG362</f>
        <v>-21.626999999999999</v>
      </c>
      <c r="S362" s="638">
        <v>-5.8460000000000001</v>
      </c>
      <c r="T362" s="638">
        <v>-9.141</v>
      </c>
      <c r="U362" s="638">
        <v>-12.427</v>
      </c>
      <c r="V362" s="533">
        <f t="shared" si="437"/>
        <v>-19.132000000000001</v>
      </c>
      <c r="W362" s="638">
        <v>-2.4449999999999998</v>
      </c>
      <c r="X362" s="638">
        <v>-4.4740000000000002</v>
      </c>
      <c r="Y362" s="638">
        <v>-7.77</v>
      </c>
      <c r="Z362" s="533">
        <f t="shared" si="438"/>
        <v>-9.9269999999999996</v>
      </c>
      <c r="AA362" s="638">
        <v>-6.6849999999999996</v>
      </c>
      <c r="AB362" s="638">
        <v>-10.099</v>
      </c>
      <c r="AC362" s="638">
        <v>-13.746</v>
      </c>
      <c r="AD362" s="533">
        <f t="shared" si="439"/>
        <v>-16.611000000000001</v>
      </c>
      <c r="AE362" s="638">
        <v>-8.5280000000000005</v>
      </c>
      <c r="AF362" s="638">
        <v>-11.991</v>
      </c>
      <c r="AG362" s="638">
        <v>-15.462999999999999</v>
      </c>
      <c r="AH362" s="533">
        <f t="shared" si="440"/>
        <v>-19.332000000000001</v>
      </c>
      <c r="AI362" s="638">
        <v>-4.4880000000000004</v>
      </c>
      <c r="AJ362" s="638">
        <v>-7.524</v>
      </c>
      <c r="AK362" s="638">
        <v>-11.742000000000001</v>
      </c>
      <c r="AL362" s="533">
        <f t="shared" si="441"/>
        <v>-17.431999999999999</v>
      </c>
      <c r="AM362" s="638">
        <v>-4.3760000000000003</v>
      </c>
      <c r="AN362" s="638">
        <v>-7.4610000000000003</v>
      </c>
      <c r="AO362" s="638">
        <v>-12.361000000000001</v>
      </c>
      <c r="AP362" s="533">
        <f t="shared" si="442"/>
        <v>-15.686999999999999</v>
      </c>
      <c r="AQ362" s="638">
        <v>-6.1449999999999996</v>
      </c>
      <c r="AR362" s="638">
        <v>-9.5269999999999992</v>
      </c>
      <c r="AS362" s="638">
        <v>-12.798</v>
      </c>
      <c r="AT362" s="533">
        <f t="shared" si="443"/>
        <v>-17.239000000000001</v>
      </c>
      <c r="AU362" s="643">
        <v>-4.4139999999999997</v>
      </c>
      <c r="AV362" s="532"/>
      <c r="AW362" s="532"/>
      <c r="AX362" s="532">
        <f t="shared" si="444"/>
        <v>0</v>
      </c>
      <c r="AY362" s="532"/>
      <c r="AZ362" s="729">
        <v>-13.930999999999999</v>
      </c>
      <c r="BA362" s="729">
        <v>-13.904</v>
      </c>
      <c r="BB362" s="729">
        <v>-18.085999999999999</v>
      </c>
      <c r="BC362" s="729">
        <v>-16.123000000000001</v>
      </c>
      <c r="BD362" s="729">
        <v>-18.559999999999999</v>
      </c>
      <c r="BE362" s="729">
        <v>-15.411</v>
      </c>
      <c r="BF362" s="729">
        <v>-18.056999999999999</v>
      </c>
      <c r="BG362" s="729">
        <v>-21.626999999999999</v>
      </c>
      <c r="BH362" s="729">
        <v>-19.132000000000001</v>
      </c>
      <c r="BI362" s="729">
        <v>-9.9269999999999996</v>
      </c>
      <c r="BJ362" s="729">
        <v>-16.611000000000001</v>
      </c>
      <c r="BK362" s="729">
        <v>-19.332000000000001</v>
      </c>
      <c r="BL362" s="729">
        <v>-17.431999999999999</v>
      </c>
      <c r="BM362" s="729">
        <v>-15.686999999999999</v>
      </c>
      <c r="BN362" s="748">
        <v>-17.239000000000001</v>
      </c>
      <c r="BO362" s="156"/>
      <c r="BP362" s="156"/>
      <c r="BQ362" s="156"/>
      <c r="BR362" s="156"/>
      <c r="BS362" s="156"/>
      <c r="BT362" s="533"/>
    </row>
    <row r="363" spans="1:72" s="17" customFormat="1" hidden="1" outlineLevel="1" x14ac:dyDescent="0.35">
      <c r="A363" s="208" t="s">
        <v>142</v>
      </c>
      <c r="B363" s="308"/>
      <c r="C363" s="532"/>
      <c r="D363" s="532"/>
      <c r="E363" s="532"/>
      <c r="F363" s="532"/>
      <c r="G363" s="532"/>
      <c r="H363" s="532"/>
      <c r="I363" s="532"/>
      <c r="J363" s="532"/>
      <c r="K363" s="532"/>
      <c r="L363" s="532"/>
      <c r="M363" s="532"/>
      <c r="N363" s="532"/>
      <c r="O363" s="532"/>
      <c r="P363" s="532"/>
      <c r="Q363" s="532"/>
      <c r="R363" s="532"/>
      <c r="S363" s="532"/>
      <c r="T363" s="638">
        <v>-9.1340000000000003</v>
      </c>
      <c r="U363" s="638">
        <v>-9.1340000000000003</v>
      </c>
      <c r="V363" s="533">
        <f t="shared" si="437"/>
        <v>-9.1340000000000003</v>
      </c>
      <c r="W363" s="532"/>
      <c r="X363" s="532"/>
      <c r="Y363" s="638">
        <v>-0.5</v>
      </c>
      <c r="Z363" s="533">
        <f t="shared" si="438"/>
        <v>-7.274</v>
      </c>
      <c r="AA363" s="532"/>
      <c r="AB363" s="532"/>
      <c r="AC363" s="532"/>
      <c r="AD363" s="533">
        <f t="shared" si="439"/>
        <v>0</v>
      </c>
      <c r="AE363" s="532"/>
      <c r="AF363" s="532"/>
      <c r="AG363" s="532"/>
      <c r="AH363" s="533">
        <f t="shared" si="440"/>
        <v>0</v>
      </c>
      <c r="AI363" s="532"/>
      <c r="AJ363" s="532"/>
      <c r="AK363" s="532"/>
      <c r="AL363" s="533">
        <f t="shared" si="441"/>
        <v>0</v>
      </c>
      <c r="AM363" s="532"/>
      <c r="AN363" s="532"/>
      <c r="AO363" s="532"/>
      <c r="AP363" s="533">
        <f t="shared" si="442"/>
        <v>0</v>
      </c>
      <c r="AQ363" s="532"/>
      <c r="AR363" s="532"/>
      <c r="AS363" s="532"/>
      <c r="AT363" s="533">
        <f t="shared" si="443"/>
        <v>0</v>
      </c>
      <c r="AU363" s="534"/>
      <c r="AV363" s="532"/>
      <c r="AW363" s="532"/>
      <c r="AX363" s="532">
        <f t="shared" si="444"/>
        <v>0</v>
      </c>
      <c r="AY363" s="532"/>
      <c r="AZ363" s="156"/>
      <c r="BA363" s="156"/>
      <c r="BB363" s="156"/>
      <c r="BC363" s="156"/>
      <c r="BD363" s="156"/>
      <c r="BE363" s="156"/>
      <c r="BF363" s="156"/>
      <c r="BG363" s="156"/>
      <c r="BH363" s="729">
        <v>-9.1340000000000003</v>
      </c>
      <c r="BI363" s="729">
        <v>-7.274</v>
      </c>
      <c r="BJ363" s="156"/>
      <c r="BK363" s="156"/>
      <c r="BL363" s="156"/>
      <c r="BM363" s="156"/>
      <c r="BN363" s="730"/>
      <c r="BO363" s="156"/>
      <c r="BP363" s="156"/>
      <c r="BQ363" s="156"/>
      <c r="BR363" s="156"/>
      <c r="BS363" s="156"/>
      <c r="BT363" s="533"/>
    </row>
    <row r="364" spans="1:72" s="17" customFormat="1" hidden="1" outlineLevel="1" x14ac:dyDescent="0.35">
      <c r="A364" s="208" t="s">
        <v>143</v>
      </c>
      <c r="B364" s="308"/>
      <c r="C364" s="532"/>
      <c r="D364" s="532"/>
      <c r="E364" s="532"/>
      <c r="F364" s="532"/>
      <c r="G364" s="532"/>
      <c r="H364" s="532"/>
      <c r="I364" s="532"/>
      <c r="J364" s="532"/>
      <c r="K364" s="532"/>
      <c r="L364" s="532"/>
      <c r="M364" s="532"/>
      <c r="N364" s="532"/>
      <c r="O364" s="532"/>
      <c r="P364" s="532"/>
      <c r="Q364" s="532"/>
      <c r="R364" s="532"/>
      <c r="S364" s="532"/>
      <c r="T364" s="532"/>
      <c r="U364" s="532"/>
      <c r="V364" s="533">
        <f t="shared" si="437"/>
        <v>8.8999999999999996E-2</v>
      </c>
      <c r="W364" s="532"/>
      <c r="X364" s="532"/>
      <c r="Y364" s="532"/>
      <c r="Z364" s="533">
        <f t="shared" si="438"/>
        <v>0</v>
      </c>
      <c r="AA364" s="532"/>
      <c r="AB364" s="532"/>
      <c r="AC364" s="532"/>
      <c r="AD364" s="533">
        <f t="shared" si="439"/>
        <v>0</v>
      </c>
      <c r="AE364" s="532"/>
      <c r="AF364" s="532"/>
      <c r="AG364" s="532"/>
      <c r="AH364" s="533">
        <f t="shared" si="440"/>
        <v>0</v>
      </c>
      <c r="AI364" s="532"/>
      <c r="AJ364" s="532"/>
      <c r="AK364" s="532"/>
      <c r="AL364" s="533">
        <f t="shared" si="441"/>
        <v>0</v>
      </c>
      <c r="AM364" s="532"/>
      <c r="AN364" s="532"/>
      <c r="AO364" s="532"/>
      <c r="AP364" s="533">
        <f t="shared" si="442"/>
        <v>0</v>
      </c>
      <c r="AQ364" s="532"/>
      <c r="AR364" s="532"/>
      <c r="AS364" s="532"/>
      <c r="AT364" s="533">
        <f t="shared" si="443"/>
        <v>0</v>
      </c>
      <c r="AU364" s="534"/>
      <c r="AV364" s="532"/>
      <c r="AW364" s="532"/>
      <c r="AX364" s="532">
        <f t="shared" si="444"/>
        <v>0</v>
      </c>
      <c r="AY364" s="532"/>
      <c r="AZ364" s="156"/>
      <c r="BA364" s="156"/>
      <c r="BB364" s="156"/>
      <c r="BC364" s="156"/>
      <c r="BD364" s="156"/>
      <c r="BE364" s="156"/>
      <c r="BF364" s="156"/>
      <c r="BG364" s="156"/>
      <c r="BH364" s="729">
        <v>8.8999999999999996E-2</v>
      </c>
      <c r="BI364" s="156"/>
      <c r="BJ364" s="156"/>
      <c r="BK364" s="156"/>
      <c r="BL364" s="156"/>
      <c r="BM364" s="156"/>
      <c r="BN364" s="730"/>
      <c r="BO364" s="156"/>
      <c r="BP364" s="156"/>
      <c r="BQ364" s="156"/>
      <c r="BR364" s="156"/>
      <c r="BS364" s="156"/>
      <c r="BT364" s="533"/>
    </row>
    <row r="365" spans="1:72" s="17" customFormat="1" hidden="1" outlineLevel="1" x14ac:dyDescent="0.35">
      <c r="A365" s="208" t="s">
        <v>144</v>
      </c>
      <c r="B365" s="308"/>
      <c r="C365" s="532"/>
      <c r="D365" s="532"/>
      <c r="E365" s="532"/>
      <c r="F365" s="533">
        <f>BD365</f>
        <v>0</v>
      </c>
      <c r="G365" s="638">
        <v>-2.1</v>
      </c>
      <c r="H365" s="638">
        <v>-2.1</v>
      </c>
      <c r="I365" s="638">
        <v>-2.1</v>
      </c>
      <c r="J365" s="533">
        <f>BE365</f>
        <v>-2.1</v>
      </c>
      <c r="K365" s="532"/>
      <c r="L365" s="532"/>
      <c r="M365" s="532"/>
      <c r="N365" s="533">
        <f>BF365</f>
        <v>0</v>
      </c>
      <c r="O365" s="532"/>
      <c r="P365" s="532"/>
      <c r="Q365" s="532"/>
      <c r="R365" s="533">
        <f>BG365</f>
        <v>0</v>
      </c>
      <c r="S365" s="532"/>
      <c r="T365" s="532"/>
      <c r="U365" s="532"/>
      <c r="V365" s="533">
        <f t="shared" si="437"/>
        <v>0</v>
      </c>
      <c r="W365" s="532"/>
      <c r="X365" s="532"/>
      <c r="Y365" s="532"/>
      <c r="Z365" s="533">
        <f t="shared" si="438"/>
        <v>0</v>
      </c>
      <c r="AA365" s="532"/>
      <c r="AB365" s="532"/>
      <c r="AC365" s="532"/>
      <c r="AD365" s="533">
        <f t="shared" si="439"/>
        <v>0</v>
      </c>
      <c r="AE365" s="532"/>
      <c r="AF365" s="532"/>
      <c r="AG365" s="532"/>
      <c r="AH365" s="533">
        <f t="shared" si="440"/>
        <v>0</v>
      </c>
      <c r="AI365" s="532"/>
      <c r="AJ365" s="532"/>
      <c r="AK365" s="532"/>
      <c r="AL365" s="533">
        <f t="shared" si="441"/>
        <v>0</v>
      </c>
      <c r="AM365" s="532"/>
      <c r="AN365" s="532"/>
      <c r="AO365" s="532"/>
      <c r="AP365" s="533">
        <f t="shared" si="442"/>
        <v>0</v>
      </c>
      <c r="AQ365" s="532"/>
      <c r="AR365" s="532"/>
      <c r="AS365" s="532"/>
      <c r="AT365" s="533">
        <f t="shared" si="443"/>
        <v>0</v>
      </c>
      <c r="AU365" s="534"/>
      <c r="AV365" s="532"/>
      <c r="AW365" s="532"/>
      <c r="AX365" s="532">
        <f t="shared" si="444"/>
        <v>0</v>
      </c>
      <c r="AY365" s="532"/>
      <c r="AZ365" s="156"/>
      <c r="BA365" s="156"/>
      <c r="BB365" s="156"/>
      <c r="BC365" s="156"/>
      <c r="BD365" s="156"/>
      <c r="BE365" s="729">
        <v>-2.1</v>
      </c>
      <c r="BF365" s="156"/>
      <c r="BG365" s="156"/>
      <c r="BH365" s="156"/>
      <c r="BI365" s="156"/>
      <c r="BJ365" s="156"/>
      <c r="BK365" s="156"/>
      <c r="BL365" s="156"/>
      <c r="BM365" s="156"/>
      <c r="BN365" s="730"/>
      <c r="BO365" s="156"/>
      <c r="BP365" s="156"/>
      <c r="BQ365" s="156"/>
      <c r="BR365" s="156"/>
      <c r="BS365" s="156"/>
      <c r="BT365" s="533"/>
    </row>
    <row r="366" spans="1:72" s="17" customFormat="1" hidden="1" outlineLevel="1" x14ac:dyDescent="0.35">
      <c r="A366" s="208" t="s">
        <v>145</v>
      </c>
      <c r="B366" s="308"/>
      <c r="C366" s="532"/>
      <c r="D366" s="532"/>
      <c r="E366" s="532"/>
      <c r="F366" s="532"/>
      <c r="G366" s="532"/>
      <c r="H366" s="532"/>
      <c r="I366" s="532"/>
      <c r="J366" s="532"/>
      <c r="K366" s="532"/>
      <c r="L366" s="532"/>
      <c r="M366" s="532"/>
      <c r="N366" s="532"/>
      <c r="O366" s="532"/>
      <c r="P366" s="532"/>
      <c r="Q366" s="532"/>
      <c r="R366" s="533">
        <f>BG366</f>
        <v>-19.952999999999999</v>
      </c>
      <c r="S366" s="532"/>
      <c r="T366" s="532"/>
      <c r="U366" s="532"/>
      <c r="V366" s="533">
        <f t="shared" si="437"/>
        <v>7.0999999999999994E-2</v>
      </c>
      <c r="W366" s="532"/>
      <c r="X366" s="532"/>
      <c r="Y366" s="532"/>
      <c r="Z366" s="533">
        <f t="shared" si="438"/>
        <v>0</v>
      </c>
      <c r="AA366" s="532"/>
      <c r="AB366" s="532"/>
      <c r="AC366" s="532"/>
      <c r="AD366" s="533">
        <f t="shared" si="439"/>
        <v>0</v>
      </c>
      <c r="AE366" s="532"/>
      <c r="AF366" s="532"/>
      <c r="AG366" s="532"/>
      <c r="AH366" s="533">
        <f t="shared" si="440"/>
        <v>0</v>
      </c>
      <c r="AI366" s="532"/>
      <c r="AJ366" s="532"/>
      <c r="AK366" s="532"/>
      <c r="AL366" s="533">
        <f t="shared" si="441"/>
        <v>0</v>
      </c>
      <c r="AM366" s="532"/>
      <c r="AN366" s="532"/>
      <c r="AO366" s="532"/>
      <c r="AP366" s="533">
        <f t="shared" si="442"/>
        <v>0</v>
      </c>
      <c r="AQ366" s="532"/>
      <c r="AR366" s="532"/>
      <c r="AS366" s="532"/>
      <c r="AT366" s="533">
        <f t="shared" si="443"/>
        <v>0</v>
      </c>
      <c r="AU366" s="534"/>
      <c r="AV366" s="532"/>
      <c r="AW366" s="532"/>
      <c r="AX366" s="532">
        <f t="shared" si="444"/>
        <v>0</v>
      </c>
      <c r="AY366" s="532"/>
      <c r="AZ366" s="156"/>
      <c r="BA366" s="156"/>
      <c r="BB366" s="156"/>
      <c r="BC366" s="156"/>
      <c r="BD366" s="156"/>
      <c r="BE366" s="156"/>
      <c r="BF366" s="156"/>
      <c r="BG366" s="729">
        <v>-19.952999999999999</v>
      </c>
      <c r="BH366" s="729">
        <v>7.0999999999999994E-2</v>
      </c>
      <c r="BI366" s="156"/>
      <c r="BJ366" s="156"/>
      <c r="BK366" s="156"/>
      <c r="BL366" s="156"/>
      <c r="BM366" s="156"/>
      <c r="BN366" s="730"/>
      <c r="BO366" s="156"/>
      <c r="BP366" s="156"/>
      <c r="BQ366" s="156"/>
      <c r="BR366" s="156"/>
      <c r="BS366" s="156"/>
      <c r="BT366" s="533"/>
    </row>
    <row r="367" spans="1:72" s="17" customFormat="1" hidden="1" outlineLevel="1" x14ac:dyDescent="0.35">
      <c r="A367" s="208" t="s">
        <v>146</v>
      </c>
      <c r="B367" s="308"/>
      <c r="C367" s="532"/>
      <c r="D367" s="532"/>
      <c r="E367" s="532"/>
      <c r="F367" s="532"/>
      <c r="G367" s="532"/>
      <c r="H367" s="532"/>
      <c r="I367" s="532"/>
      <c r="J367" s="532"/>
      <c r="K367" s="532"/>
      <c r="L367" s="532"/>
      <c r="M367" s="532"/>
      <c r="N367" s="532"/>
      <c r="O367" s="532"/>
      <c r="P367" s="532"/>
      <c r="Q367" s="532"/>
      <c r="R367" s="532"/>
      <c r="S367" s="532"/>
      <c r="T367" s="532"/>
      <c r="U367" s="532"/>
      <c r="V367" s="532"/>
      <c r="W367" s="532"/>
      <c r="X367" s="638">
        <v>-2.17</v>
      </c>
      <c r="Y367" s="638">
        <v>-2.774</v>
      </c>
      <c r="Z367" s="532"/>
      <c r="AA367" s="532"/>
      <c r="AB367" s="532"/>
      <c r="AC367" s="532"/>
      <c r="AD367" s="532"/>
      <c r="AE367" s="532"/>
      <c r="AF367" s="532"/>
      <c r="AG367" s="532"/>
      <c r="AH367" s="533">
        <f t="shared" si="440"/>
        <v>0</v>
      </c>
      <c r="AI367" s="532"/>
      <c r="AJ367" s="532"/>
      <c r="AK367" s="532"/>
      <c r="AL367" s="533">
        <f t="shared" si="441"/>
        <v>0</v>
      </c>
      <c r="AM367" s="532"/>
      <c r="AN367" s="532"/>
      <c r="AO367" s="532"/>
      <c r="AP367" s="533">
        <f t="shared" si="442"/>
        <v>0</v>
      </c>
      <c r="AQ367" s="532"/>
      <c r="AR367" s="532"/>
      <c r="AS367" s="532"/>
      <c r="AT367" s="533">
        <f t="shared" si="443"/>
        <v>0</v>
      </c>
      <c r="AU367" s="534"/>
      <c r="AV367" s="532"/>
      <c r="AW367" s="532"/>
      <c r="AX367" s="532">
        <f t="shared" si="444"/>
        <v>0</v>
      </c>
      <c r="AY367" s="532"/>
      <c r="AZ367" s="156"/>
      <c r="BA367" s="156"/>
      <c r="BB367" s="156"/>
      <c r="BC367" s="156"/>
      <c r="BD367" s="156"/>
      <c r="BE367" s="156"/>
      <c r="BF367" s="156"/>
      <c r="BG367" s="156"/>
      <c r="BH367" s="156"/>
      <c r="BI367" s="156"/>
      <c r="BJ367" s="156"/>
      <c r="BK367" s="156"/>
      <c r="BL367" s="156"/>
      <c r="BM367" s="156"/>
      <c r="BN367" s="730"/>
      <c r="BO367" s="156"/>
      <c r="BP367" s="156"/>
      <c r="BQ367" s="156"/>
      <c r="BR367" s="156"/>
      <c r="BS367" s="156"/>
      <c r="BT367" s="533"/>
    </row>
    <row r="368" spans="1:72" s="17" customFormat="1" hidden="1" outlineLevel="1" x14ac:dyDescent="0.35">
      <c r="A368" s="208" t="s">
        <v>412</v>
      </c>
      <c r="B368" s="308"/>
      <c r="C368" s="532"/>
      <c r="D368" s="532"/>
      <c r="E368" s="532"/>
      <c r="F368" s="532"/>
      <c r="G368" s="532"/>
      <c r="H368" s="532"/>
      <c r="I368" s="532"/>
      <c r="J368" s="532"/>
      <c r="K368" s="532"/>
      <c r="L368" s="532"/>
      <c r="M368" s="532"/>
      <c r="N368" s="532"/>
      <c r="O368" s="532"/>
      <c r="P368" s="532"/>
      <c r="Q368" s="532"/>
      <c r="R368" s="532"/>
      <c r="S368" s="532"/>
      <c r="T368" s="532"/>
      <c r="U368" s="532"/>
      <c r="V368" s="532"/>
      <c r="W368" s="532"/>
      <c r="X368" s="532"/>
      <c r="Y368" s="532"/>
      <c r="Z368" s="532"/>
      <c r="AA368" s="532"/>
      <c r="AB368" s="532"/>
      <c r="AC368" s="532"/>
      <c r="AD368" s="532"/>
      <c r="AE368" s="532"/>
      <c r="AF368" s="532"/>
      <c r="AG368" s="638">
        <v>-167.995</v>
      </c>
      <c r="AH368" s="533">
        <f t="shared" si="440"/>
        <v>-167.995</v>
      </c>
      <c r="AI368" s="532"/>
      <c r="AJ368" s="532"/>
      <c r="AK368" s="532"/>
      <c r="AL368" s="533">
        <f t="shared" si="441"/>
        <v>0</v>
      </c>
      <c r="AM368" s="532"/>
      <c r="AN368" s="532"/>
      <c r="AO368" s="532"/>
      <c r="AP368" s="533">
        <f t="shared" si="442"/>
        <v>0</v>
      </c>
      <c r="AQ368" s="532"/>
      <c r="AR368" s="532"/>
      <c r="AS368" s="532"/>
      <c r="AT368" s="533">
        <f t="shared" si="443"/>
        <v>0</v>
      </c>
      <c r="AU368" s="534"/>
      <c r="AV368" s="532"/>
      <c r="AW368" s="532"/>
      <c r="AX368" s="532">
        <f t="shared" si="444"/>
        <v>0</v>
      </c>
      <c r="AY368" s="532"/>
      <c r="AZ368" s="156"/>
      <c r="BA368" s="156"/>
      <c r="BB368" s="156"/>
      <c r="BC368" s="156"/>
      <c r="BD368" s="156"/>
      <c r="BE368" s="156"/>
      <c r="BF368" s="156"/>
      <c r="BG368" s="156"/>
      <c r="BH368" s="156"/>
      <c r="BI368" s="156"/>
      <c r="BJ368" s="156"/>
      <c r="BK368" s="729">
        <v>-167.995</v>
      </c>
      <c r="BL368" s="156"/>
      <c r="BM368" s="156"/>
      <c r="BN368" s="730"/>
      <c r="BO368" s="156"/>
      <c r="BP368" s="156"/>
      <c r="BQ368" s="156"/>
      <c r="BR368" s="156"/>
      <c r="BS368" s="156"/>
      <c r="BT368" s="533"/>
    </row>
    <row r="369" spans="1:72" s="17" customFormat="1" hidden="1" outlineLevel="1" x14ac:dyDescent="0.35">
      <c r="A369" s="208" t="s">
        <v>498</v>
      </c>
      <c r="B369" s="308"/>
      <c r="C369" s="532"/>
      <c r="D369" s="532"/>
      <c r="E369" s="532"/>
      <c r="F369" s="532"/>
      <c r="G369" s="532"/>
      <c r="H369" s="532"/>
      <c r="I369" s="532"/>
      <c r="J369" s="532"/>
      <c r="K369" s="532"/>
      <c r="L369" s="532"/>
      <c r="M369" s="532"/>
      <c r="N369" s="532"/>
      <c r="O369" s="532"/>
      <c r="P369" s="532"/>
      <c r="Q369" s="532"/>
      <c r="R369" s="532"/>
      <c r="S369" s="532"/>
      <c r="T369" s="532"/>
      <c r="U369" s="532"/>
      <c r="V369" s="532"/>
      <c r="W369" s="532"/>
      <c r="X369" s="532"/>
      <c r="Y369" s="532"/>
      <c r="Z369" s="532"/>
      <c r="AA369" s="532"/>
      <c r="AB369" s="532"/>
      <c r="AC369" s="532"/>
      <c r="AD369" s="532"/>
      <c r="AE369" s="532"/>
      <c r="AF369" s="532"/>
      <c r="AG369" s="532"/>
      <c r="AH369" s="532"/>
      <c r="AI369" s="532"/>
      <c r="AJ369" s="638">
        <v>-54.774999999999999</v>
      </c>
      <c r="AK369" s="638">
        <v>-54.795000000000002</v>
      </c>
      <c r="AL369" s="532">
        <f t="shared" si="441"/>
        <v>-55.030999999999999</v>
      </c>
      <c r="AM369" s="532"/>
      <c r="AN369" s="532"/>
      <c r="AO369" s="532"/>
      <c r="AP369" s="532">
        <f t="shared" si="442"/>
        <v>0</v>
      </c>
      <c r="AQ369" s="532"/>
      <c r="AR369" s="532"/>
      <c r="AS369" s="532"/>
      <c r="AT369" s="532">
        <f t="shared" si="443"/>
        <v>0</v>
      </c>
      <c r="AU369" s="534"/>
      <c r="AV369" s="532"/>
      <c r="AW369" s="532"/>
      <c r="AX369" s="532">
        <f t="shared" si="444"/>
        <v>0</v>
      </c>
      <c r="AY369" s="532"/>
      <c r="AZ369" s="156"/>
      <c r="BA369" s="156"/>
      <c r="BB369" s="156"/>
      <c r="BC369" s="156"/>
      <c r="BD369" s="156"/>
      <c r="BE369" s="156"/>
      <c r="BF369" s="156"/>
      <c r="BG369" s="156"/>
      <c r="BH369" s="156"/>
      <c r="BI369" s="156"/>
      <c r="BJ369" s="156"/>
      <c r="BK369" s="156"/>
      <c r="BL369" s="729">
        <v>-55.030999999999999</v>
      </c>
      <c r="BM369" s="156"/>
      <c r="BN369" s="730"/>
      <c r="BO369" s="156"/>
      <c r="BP369" s="156"/>
      <c r="BQ369" s="156"/>
      <c r="BR369" s="156"/>
      <c r="BS369" s="156"/>
      <c r="BT369" s="533"/>
    </row>
    <row r="370" spans="1:72" s="17" customFormat="1" hidden="1" outlineLevel="1" x14ac:dyDescent="0.35">
      <c r="A370" s="208" t="s">
        <v>499</v>
      </c>
      <c r="B370" s="308"/>
      <c r="C370" s="532"/>
      <c r="D370" s="532"/>
      <c r="E370" s="532"/>
      <c r="F370" s="532"/>
      <c r="G370" s="532"/>
      <c r="H370" s="532"/>
      <c r="I370" s="532"/>
      <c r="J370" s="532"/>
      <c r="K370" s="532"/>
      <c r="L370" s="532"/>
      <c r="M370" s="532"/>
      <c r="N370" s="532"/>
      <c r="O370" s="532"/>
      <c r="P370" s="532"/>
      <c r="Q370" s="532"/>
      <c r="R370" s="532"/>
      <c r="S370" s="532"/>
      <c r="T370" s="532"/>
      <c r="U370" s="532"/>
      <c r="V370" s="532"/>
      <c r="W370" s="532"/>
      <c r="X370" s="532"/>
      <c r="Y370" s="532"/>
      <c r="Z370" s="532"/>
      <c r="AA370" s="532"/>
      <c r="AB370" s="532"/>
      <c r="AC370" s="532"/>
      <c r="AD370" s="532"/>
      <c r="AE370" s="532"/>
      <c r="AF370" s="532"/>
      <c r="AG370" s="532"/>
      <c r="AH370" s="532"/>
      <c r="AI370" s="532"/>
      <c r="AJ370" s="638">
        <v>-15.981</v>
      </c>
      <c r="AK370" s="638">
        <v>-16.03</v>
      </c>
      <c r="AL370" s="532">
        <f t="shared" si="441"/>
        <v>-16.106999999999999</v>
      </c>
      <c r="AM370" s="532"/>
      <c r="AN370" s="532"/>
      <c r="AO370" s="532"/>
      <c r="AP370" s="532">
        <f t="shared" si="442"/>
        <v>0</v>
      </c>
      <c r="AQ370" s="532"/>
      <c r="AR370" s="532"/>
      <c r="AS370" s="532"/>
      <c r="AT370" s="532">
        <f t="shared" si="443"/>
        <v>0</v>
      </c>
      <c r="AU370" s="534"/>
      <c r="AV370" s="532"/>
      <c r="AW370" s="532"/>
      <c r="AX370" s="532">
        <f t="shared" si="444"/>
        <v>0</v>
      </c>
      <c r="AY370" s="532"/>
      <c r="AZ370" s="156"/>
      <c r="BA370" s="156"/>
      <c r="BB370" s="156"/>
      <c r="BC370" s="156"/>
      <c r="BD370" s="156"/>
      <c r="BE370" s="156"/>
      <c r="BF370" s="156"/>
      <c r="BG370" s="156"/>
      <c r="BH370" s="156"/>
      <c r="BI370" s="156"/>
      <c r="BJ370" s="156"/>
      <c r="BK370" s="156"/>
      <c r="BL370" s="729">
        <v>-16.106999999999999</v>
      </c>
      <c r="BM370" s="156"/>
      <c r="BN370" s="730"/>
      <c r="BO370" s="156"/>
      <c r="BP370" s="156"/>
      <c r="BQ370" s="156"/>
      <c r="BR370" s="156"/>
      <c r="BS370" s="156"/>
      <c r="BT370" s="533"/>
    </row>
    <row r="371" spans="1:72" s="17" customFormat="1" hidden="1" outlineLevel="1" x14ac:dyDescent="0.35">
      <c r="A371" s="208" t="s">
        <v>147</v>
      </c>
      <c r="B371" s="308"/>
      <c r="C371" s="532"/>
      <c r="D371" s="532"/>
      <c r="E371" s="532"/>
      <c r="F371" s="533">
        <f>BD371</f>
        <v>0</v>
      </c>
      <c r="G371" s="532"/>
      <c r="H371" s="532"/>
      <c r="I371" s="532"/>
      <c r="J371" s="533">
        <f>BE371</f>
        <v>5.665</v>
      </c>
      <c r="K371" s="532"/>
      <c r="L371" s="532"/>
      <c r="M371" s="532"/>
      <c r="N371" s="533">
        <f>BF371</f>
        <v>0</v>
      </c>
      <c r="O371" s="532"/>
      <c r="P371" s="532"/>
      <c r="Q371" s="532"/>
      <c r="R371" s="533">
        <f>BG371</f>
        <v>0</v>
      </c>
      <c r="S371" s="532"/>
      <c r="T371" s="532"/>
      <c r="U371" s="532"/>
      <c r="V371" s="533">
        <f>BH371</f>
        <v>0</v>
      </c>
      <c r="W371" s="532"/>
      <c r="X371" s="532"/>
      <c r="Y371" s="532"/>
      <c r="Z371" s="533">
        <f>BI371</f>
        <v>0</v>
      </c>
      <c r="AA371" s="532"/>
      <c r="AB371" s="532"/>
      <c r="AC371" s="638">
        <v>0.38900000000000001</v>
      </c>
      <c r="AD371" s="533">
        <f>BJ371</f>
        <v>0.38900000000000001</v>
      </c>
      <c r="AE371" s="532"/>
      <c r="AF371" s="532"/>
      <c r="AG371" s="532"/>
      <c r="AH371" s="533">
        <f>BK371</f>
        <v>0</v>
      </c>
      <c r="AI371" s="638">
        <v>0.223</v>
      </c>
      <c r="AJ371" s="638">
        <v>0.223</v>
      </c>
      <c r="AK371" s="638">
        <v>0.223</v>
      </c>
      <c r="AL371" s="533">
        <f t="shared" si="441"/>
        <v>0.223</v>
      </c>
      <c r="AM371" s="532"/>
      <c r="AN371" s="532"/>
      <c r="AO371" s="532"/>
      <c r="AP371" s="533">
        <f t="shared" si="442"/>
        <v>0</v>
      </c>
      <c r="AQ371" s="532"/>
      <c r="AR371" s="532"/>
      <c r="AS371" s="532"/>
      <c r="AT371" s="533">
        <f t="shared" si="443"/>
        <v>0</v>
      </c>
      <c r="AU371" s="534"/>
      <c r="AV371" s="532"/>
      <c r="AW371" s="532"/>
      <c r="AX371" s="532">
        <f t="shared" si="444"/>
        <v>0</v>
      </c>
      <c r="AY371" s="532"/>
      <c r="AZ371" s="156"/>
      <c r="BA371" s="156"/>
      <c r="BB371" s="156"/>
      <c r="BC371" s="156"/>
      <c r="BD371" s="156"/>
      <c r="BE371" s="729">
        <v>5.665</v>
      </c>
      <c r="BF371" s="156"/>
      <c r="BG371" s="156"/>
      <c r="BH371" s="156"/>
      <c r="BI371" s="156"/>
      <c r="BJ371" s="729">
        <v>0.38900000000000001</v>
      </c>
      <c r="BK371" s="156"/>
      <c r="BL371" s="729">
        <v>0.223</v>
      </c>
      <c r="BM371" s="156"/>
      <c r="BN371" s="730"/>
      <c r="BO371" s="156"/>
      <c r="BP371" s="156"/>
      <c r="BQ371" s="156"/>
      <c r="BR371" s="156"/>
      <c r="BS371" s="156"/>
      <c r="BT371" s="533"/>
    </row>
    <row r="372" spans="1:72" s="17" customFormat="1" hidden="1" outlineLevel="1" x14ac:dyDescent="0.35">
      <c r="A372" s="208" t="s">
        <v>597</v>
      </c>
      <c r="B372" s="308"/>
      <c r="C372" s="532"/>
      <c r="D372" s="532"/>
      <c r="E372" s="532"/>
      <c r="F372" s="532"/>
      <c r="G372" s="532"/>
      <c r="H372" s="532"/>
      <c r="I372" s="532"/>
      <c r="J372" s="532"/>
      <c r="K372" s="532"/>
      <c r="L372" s="532"/>
      <c r="M372" s="532"/>
      <c r="N372" s="532"/>
      <c r="O372" s="532"/>
      <c r="P372" s="532"/>
      <c r="Q372" s="532"/>
      <c r="R372" s="532"/>
      <c r="S372" s="532"/>
      <c r="T372" s="532"/>
      <c r="U372" s="532"/>
      <c r="V372" s="532"/>
      <c r="W372" s="532"/>
      <c r="X372" s="532"/>
      <c r="Y372" s="532"/>
      <c r="Z372" s="532"/>
      <c r="AA372" s="532"/>
      <c r="AB372" s="532"/>
      <c r="AC372" s="532"/>
      <c r="AD372" s="532"/>
      <c r="AE372" s="532"/>
      <c r="AF372" s="532"/>
      <c r="AG372" s="532"/>
      <c r="AH372" s="532"/>
      <c r="AI372" s="532"/>
      <c r="AJ372" s="532"/>
      <c r="AK372" s="532"/>
      <c r="AL372" s="532"/>
      <c r="AM372" s="532"/>
      <c r="AN372" s="638">
        <v>5.2610000000000001</v>
      </c>
      <c r="AO372" s="638">
        <v>5.2610000000000001</v>
      </c>
      <c r="AP372" s="533">
        <f t="shared" si="442"/>
        <v>5.2610000000000001</v>
      </c>
      <c r="AQ372" s="638">
        <v>0.06</v>
      </c>
      <c r="AR372" s="638">
        <v>0.06</v>
      </c>
      <c r="AS372" s="638">
        <v>0.06</v>
      </c>
      <c r="AT372" s="533">
        <f t="shared" si="443"/>
        <v>0.06</v>
      </c>
      <c r="AU372" s="534"/>
      <c r="AV372" s="532"/>
      <c r="AW372" s="532"/>
      <c r="AX372" s="532">
        <f t="shared" si="444"/>
        <v>0</v>
      </c>
      <c r="AY372" s="532"/>
      <c r="AZ372" s="156"/>
      <c r="BA372" s="156"/>
      <c r="BB372" s="156"/>
      <c r="BC372" s="156"/>
      <c r="BD372" s="156"/>
      <c r="BE372" s="156"/>
      <c r="BF372" s="156"/>
      <c r="BG372" s="156"/>
      <c r="BH372" s="156"/>
      <c r="BI372" s="156"/>
      <c r="BJ372" s="156"/>
      <c r="BK372" s="156"/>
      <c r="BL372" s="156"/>
      <c r="BM372" s="729">
        <v>5.2610000000000001</v>
      </c>
      <c r="BN372" s="748">
        <v>0.06</v>
      </c>
      <c r="BO372" s="156"/>
      <c r="BP372" s="156"/>
      <c r="BQ372" s="156"/>
      <c r="BR372" s="156"/>
      <c r="BS372" s="156"/>
      <c r="BT372" s="533"/>
    </row>
    <row r="373" spans="1:72" s="17" customFormat="1" hidden="1" outlineLevel="1" x14ac:dyDescent="0.35">
      <c r="A373" s="208" t="s">
        <v>148</v>
      </c>
      <c r="B373" s="308"/>
      <c r="C373" s="532"/>
      <c r="D373" s="532"/>
      <c r="E373" s="532"/>
      <c r="F373" s="533">
        <f t="shared" ref="F373:F379" si="445">BD373</f>
        <v>0</v>
      </c>
      <c r="G373" s="532"/>
      <c r="H373" s="532"/>
      <c r="I373" s="532"/>
      <c r="J373" s="533">
        <f t="shared" ref="J373:J379" si="446">BE373</f>
        <v>0</v>
      </c>
      <c r="K373" s="532"/>
      <c r="L373" s="532"/>
      <c r="M373" s="532"/>
      <c r="N373" s="533">
        <f t="shared" ref="N373:N379" si="447">BF373</f>
        <v>0</v>
      </c>
      <c r="O373" s="532"/>
      <c r="P373" s="532"/>
      <c r="Q373" s="532"/>
      <c r="R373" s="533">
        <f t="shared" ref="R373:R379" si="448">BG373</f>
        <v>0</v>
      </c>
      <c r="S373" s="532"/>
      <c r="T373" s="532"/>
      <c r="U373" s="532"/>
      <c r="V373" s="533">
        <f t="shared" ref="V373:V379" si="449">BH373</f>
        <v>0</v>
      </c>
      <c r="W373" s="532"/>
      <c r="X373" s="532"/>
      <c r="Y373" s="532"/>
      <c r="Z373" s="533">
        <f t="shared" ref="Z373:Z379" si="450">BI373</f>
        <v>0</v>
      </c>
      <c r="AA373" s="532"/>
      <c r="AB373" s="532"/>
      <c r="AC373" s="532"/>
      <c r="AD373" s="533">
        <f t="shared" ref="AD373:AD379" si="451">BJ373</f>
        <v>0</v>
      </c>
      <c r="AE373" s="532"/>
      <c r="AF373" s="532"/>
      <c r="AG373" s="532"/>
      <c r="AH373" s="533">
        <f t="shared" ref="AH373:AH379" si="452">BK373</f>
        <v>0</v>
      </c>
      <c r="AI373" s="532"/>
      <c r="AJ373" s="532"/>
      <c r="AK373" s="532"/>
      <c r="AL373" s="533">
        <f t="shared" ref="AL373:AL379" si="453">BL373</f>
        <v>0</v>
      </c>
      <c r="AM373" s="532"/>
      <c r="AN373" s="532"/>
      <c r="AO373" s="532"/>
      <c r="AP373" s="533">
        <f t="shared" si="442"/>
        <v>0</v>
      </c>
      <c r="AQ373" s="532"/>
      <c r="AR373" s="532"/>
      <c r="AS373" s="532"/>
      <c r="AT373" s="533">
        <f t="shared" si="443"/>
        <v>0</v>
      </c>
      <c r="AU373" s="534"/>
      <c r="AV373" s="532"/>
      <c r="AW373" s="532"/>
      <c r="AX373" s="532">
        <f t="shared" si="444"/>
        <v>0</v>
      </c>
      <c r="AY373" s="532"/>
      <c r="AZ373" s="156"/>
      <c r="BA373" s="156"/>
      <c r="BB373" s="156"/>
      <c r="BC373" s="729">
        <v>-12.641</v>
      </c>
      <c r="BD373" s="156"/>
      <c r="BE373" s="156"/>
      <c r="BF373" s="156"/>
      <c r="BG373" s="156"/>
      <c r="BH373" s="156"/>
      <c r="BI373" s="156"/>
      <c r="BJ373" s="156"/>
      <c r="BK373" s="156"/>
      <c r="BL373" s="156"/>
      <c r="BM373" s="156"/>
      <c r="BN373" s="730"/>
      <c r="BO373" s="156"/>
      <c r="BP373" s="156"/>
      <c r="BQ373" s="156"/>
      <c r="BR373" s="156"/>
      <c r="BS373" s="156"/>
      <c r="BT373" s="533"/>
    </row>
    <row r="374" spans="1:72" s="17" customFormat="1" hidden="1" outlineLevel="1" x14ac:dyDescent="0.35">
      <c r="A374" s="208" t="s">
        <v>149</v>
      </c>
      <c r="B374" s="308"/>
      <c r="C374" s="532"/>
      <c r="D374" s="532"/>
      <c r="E374" s="532"/>
      <c r="F374" s="533">
        <f t="shared" si="445"/>
        <v>0</v>
      </c>
      <c r="G374" s="532"/>
      <c r="H374" s="532"/>
      <c r="I374" s="532"/>
      <c r="J374" s="533">
        <f t="shared" si="446"/>
        <v>0</v>
      </c>
      <c r="K374" s="638">
        <v>-6.5119999999999996</v>
      </c>
      <c r="L374" s="638">
        <v>-6.5119999999999996</v>
      </c>
      <c r="M374" s="638">
        <v>-6.5119999999999996</v>
      </c>
      <c r="N374" s="533">
        <f t="shared" si="447"/>
        <v>-6.5119999999999996</v>
      </c>
      <c r="O374" s="532"/>
      <c r="P374" s="532"/>
      <c r="Q374" s="532"/>
      <c r="R374" s="533">
        <f t="shared" si="448"/>
        <v>0</v>
      </c>
      <c r="S374" s="532"/>
      <c r="T374" s="532"/>
      <c r="U374" s="532"/>
      <c r="V374" s="533">
        <f t="shared" si="449"/>
        <v>0</v>
      </c>
      <c r="W374" s="532"/>
      <c r="X374" s="532"/>
      <c r="Y374" s="532"/>
      <c r="Z374" s="533">
        <f t="shared" si="450"/>
        <v>0</v>
      </c>
      <c r="AA374" s="532"/>
      <c r="AB374" s="532"/>
      <c r="AC374" s="532"/>
      <c r="AD374" s="533">
        <f t="shared" si="451"/>
        <v>0</v>
      </c>
      <c r="AE374" s="532"/>
      <c r="AF374" s="532"/>
      <c r="AG374" s="532"/>
      <c r="AH374" s="533">
        <f t="shared" si="452"/>
        <v>0</v>
      </c>
      <c r="AI374" s="532"/>
      <c r="AJ374" s="532"/>
      <c r="AK374" s="532"/>
      <c r="AL374" s="533">
        <f t="shared" si="453"/>
        <v>0</v>
      </c>
      <c r="AM374" s="532"/>
      <c r="AN374" s="532"/>
      <c r="AO374" s="532"/>
      <c r="AP374" s="533">
        <f t="shared" si="442"/>
        <v>0</v>
      </c>
      <c r="AQ374" s="532"/>
      <c r="AR374" s="532"/>
      <c r="AS374" s="532"/>
      <c r="AT374" s="533">
        <f t="shared" si="443"/>
        <v>0</v>
      </c>
      <c r="AU374" s="534"/>
      <c r="AV374" s="532"/>
      <c r="AW374" s="532"/>
      <c r="AX374" s="532">
        <f t="shared" si="444"/>
        <v>0</v>
      </c>
      <c r="AY374" s="532"/>
      <c r="AZ374" s="156"/>
      <c r="BA374" s="156"/>
      <c r="BB374" s="156"/>
      <c r="BC374" s="156"/>
      <c r="BD374" s="156"/>
      <c r="BE374" s="156"/>
      <c r="BF374" s="729">
        <v>-6.5119999999999996</v>
      </c>
      <c r="BG374" s="156"/>
      <c r="BH374" s="156"/>
      <c r="BI374" s="156"/>
      <c r="BJ374" s="156"/>
      <c r="BK374" s="156"/>
      <c r="BL374" s="156"/>
      <c r="BM374" s="156"/>
      <c r="BN374" s="730"/>
      <c r="BO374" s="156"/>
      <c r="BP374" s="156"/>
      <c r="BQ374" s="156"/>
      <c r="BR374" s="156"/>
      <c r="BS374" s="156"/>
      <c r="BT374" s="533"/>
    </row>
    <row r="375" spans="1:72" s="17" customFormat="1" hidden="1" outlineLevel="1" x14ac:dyDescent="0.35">
      <c r="A375" s="208" t="s">
        <v>150</v>
      </c>
      <c r="B375" s="308"/>
      <c r="C375" s="532"/>
      <c r="D375" s="532"/>
      <c r="E375" s="532"/>
      <c r="F375" s="533">
        <f t="shared" si="445"/>
        <v>0</v>
      </c>
      <c r="G375" s="532"/>
      <c r="H375" s="532"/>
      <c r="I375" s="532"/>
      <c r="J375" s="533">
        <f t="shared" si="446"/>
        <v>0</v>
      </c>
      <c r="K375" s="532"/>
      <c r="L375" s="532"/>
      <c r="M375" s="532"/>
      <c r="N375" s="533">
        <f t="shared" si="447"/>
        <v>0</v>
      </c>
      <c r="O375" s="532"/>
      <c r="P375" s="532"/>
      <c r="Q375" s="532"/>
      <c r="R375" s="533">
        <f t="shared" si="448"/>
        <v>0</v>
      </c>
      <c r="S375" s="532"/>
      <c r="T375" s="532"/>
      <c r="U375" s="532"/>
      <c r="V375" s="533">
        <f t="shared" si="449"/>
        <v>0</v>
      </c>
      <c r="W375" s="532"/>
      <c r="X375" s="532"/>
      <c r="Y375" s="532"/>
      <c r="Z375" s="533">
        <f t="shared" si="450"/>
        <v>0</v>
      </c>
      <c r="AA375" s="532"/>
      <c r="AB375" s="532"/>
      <c r="AC375" s="532"/>
      <c r="AD375" s="533">
        <f t="shared" si="451"/>
        <v>0</v>
      </c>
      <c r="AE375" s="532"/>
      <c r="AF375" s="532"/>
      <c r="AG375" s="532"/>
      <c r="AH375" s="533">
        <f t="shared" si="452"/>
        <v>0</v>
      </c>
      <c r="AI375" s="532"/>
      <c r="AJ375" s="532"/>
      <c r="AK375" s="532"/>
      <c r="AL375" s="533">
        <f t="shared" si="453"/>
        <v>0</v>
      </c>
      <c r="AM375" s="532"/>
      <c r="AN375" s="532"/>
      <c r="AO375" s="532"/>
      <c r="AP375" s="533">
        <f t="shared" si="442"/>
        <v>0</v>
      </c>
      <c r="AQ375" s="532"/>
      <c r="AR375" s="532"/>
      <c r="AS375" s="532"/>
      <c r="AT375" s="533">
        <f t="shared" si="443"/>
        <v>0</v>
      </c>
      <c r="AU375" s="534"/>
      <c r="AV375" s="532"/>
      <c r="AW375" s="532"/>
      <c r="AX375" s="532">
        <f t="shared" si="444"/>
        <v>0</v>
      </c>
      <c r="AY375" s="532"/>
      <c r="AZ375" s="729">
        <v>-1.6E-2</v>
      </c>
      <c r="BA375" s="156"/>
      <c r="BB375" s="156"/>
      <c r="BC375" s="156"/>
      <c r="BD375" s="156"/>
      <c r="BE375" s="156"/>
      <c r="BF375" s="156"/>
      <c r="BG375" s="156"/>
      <c r="BH375" s="156"/>
      <c r="BI375" s="156"/>
      <c r="BJ375" s="156"/>
      <c r="BK375" s="156"/>
      <c r="BL375" s="156"/>
      <c r="BM375" s="156"/>
      <c r="BN375" s="730"/>
      <c r="BO375" s="156"/>
      <c r="BP375" s="156"/>
      <c r="BQ375" s="156"/>
      <c r="BR375" s="156"/>
      <c r="BS375" s="156"/>
      <c r="BT375" s="533"/>
    </row>
    <row r="376" spans="1:72" s="17" customFormat="1" hidden="1" outlineLevel="1" x14ac:dyDescent="0.35">
      <c r="A376" s="208" t="s">
        <v>151</v>
      </c>
      <c r="B376" s="308"/>
      <c r="C376" s="532"/>
      <c r="D376" s="532"/>
      <c r="E376" s="532"/>
      <c r="F376" s="533">
        <f t="shared" si="445"/>
        <v>0</v>
      </c>
      <c r="G376" s="532"/>
      <c r="H376" s="532"/>
      <c r="I376" s="532"/>
      <c r="J376" s="533">
        <f t="shared" si="446"/>
        <v>0</v>
      </c>
      <c r="K376" s="532"/>
      <c r="L376" s="532"/>
      <c r="M376" s="532"/>
      <c r="N376" s="533">
        <f t="shared" si="447"/>
        <v>0</v>
      </c>
      <c r="O376" s="532"/>
      <c r="P376" s="532"/>
      <c r="Q376" s="532"/>
      <c r="R376" s="533">
        <f t="shared" si="448"/>
        <v>0</v>
      </c>
      <c r="S376" s="532"/>
      <c r="T376" s="532"/>
      <c r="U376" s="532"/>
      <c r="V376" s="533">
        <f t="shared" si="449"/>
        <v>0</v>
      </c>
      <c r="W376" s="532"/>
      <c r="X376" s="532"/>
      <c r="Y376" s="532"/>
      <c r="Z376" s="533">
        <f t="shared" si="450"/>
        <v>0</v>
      </c>
      <c r="AA376" s="532"/>
      <c r="AB376" s="532"/>
      <c r="AC376" s="532"/>
      <c r="AD376" s="533">
        <f t="shared" si="451"/>
        <v>0</v>
      </c>
      <c r="AE376" s="532"/>
      <c r="AF376" s="532"/>
      <c r="AG376" s="532"/>
      <c r="AH376" s="533">
        <f t="shared" si="452"/>
        <v>0</v>
      </c>
      <c r="AI376" s="532"/>
      <c r="AJ376" s="532"/>
      <c r="AK376" s="532"/>
      <c r="AL376" s="533">
        <f t="shared" si="453"/>
        <v>0</v>
      </c>
      <c r="AM376" s="532"/>
      <c r="AN376" s="532"/>
      <c r="AO376" s="532"/>
      <c r="AP376" s="533">
        <f t="shared" si="442"/>
        <v>0</v>
      </c>
      <c r="AQ376" s="532"/>
      <c r="AR376" s="532"/>
      <c r="AS376" s="532"/>
      <c r="AT376" s="533">
        <f t="shared" si="443"/>
        <v>0</v>
      </c>
      <c r="AU376" s="534"/>
      <c r="AV376" s="532"/>
      <c r="AW376" s="532"/>
      <c r="AX376" s="532">
        <f t="shared" si="444"/>
        <v>0</v>
      </c>
      <c r="AY376" s="532"/>
      <c r="AZ376" s="156"/>
      <c r="BA376" s="156"/>
      <c r="BB376" s="729">
        <v>-24.542999999999999</v>
      </c>
      <c r="BC376" s="156"/>
      <c r="BD376" s="156"/>
      <c r="BE376" s="156"/>
      <c r="BF376" s="156"/>
      <c r="BG376" s="156"/>
      <c r="BH376" s="156"/>
      <c r="BI376" s="156"/>
      <c r="BJ376" s="156"/>
      <c r="BK376" s="156"/>
      <c r="BL376" s="156"/>
      <c r="BM376" s="156"/>
      <c r="BN376" s="730"/>
      <c r="BO376" s="156"/>
      <c r="BP376" s="156"/>
      <c r="BQ376" s="156"/>
      <c r="BR376" s="156"/>
      <c r="BS376" s="156"/>
      <c r="BT376" s="533"/>
    </row>
    <row r="377" spans="1:72" s="17" customFormat="1" hidden="1" outlineLevel="1" x14ac:dyDescent="0.35">
      <c r="A377" s="208" t="s">
        <v>152</v>
      </c>
      <c r="B377" s="308"/>
      <c r="C377" s="532"/>
      <c r="D377" s="532"/>
      <c r="E377" s="532"/>
      <c r="F377" s="533">
        <f t="shared" si="445"/>
        <v>0</v>
      </c>
      <c r="G377" s="532"/>
      <c r="H377" s="532"/>
      <c r="I377" s="532"/>
      <c r="J377" s="533">
        <f t="shared" si="446"/>
        <v>0</v>
      </c>
      <c r="K377" s="532"/>
      <c r="L377" s="532"/>
      <c r="M377" s="532"/>
      <c r="N377" s="533">
        <f t="shared" si="447"/>
        <v>0</v>
      </c>
      <c r="O377" s="532"/>
      <c r="P377" s="532"/>
      <c r="Q377" s="532"/>
      <c r="R377" s="533">
        <f t="shared" si="448"/>
        <v>0</v>
      </c>
      <c r="S377" s="532"/>
      <c r="T377" s="532"/>
      <c r="U377" s="532"/>
      <c r="V377" s="533">
        <f t="shared" si="449"/>
        <v>0</v>
      </c>
      <c r="W377" s="532"/>
      <c r="X377" s="532"/>
      <c r="Y377" s="532"/>
      <c r="Z377" s="533">
        <f t="shared" si="450"/>
        <v>0</v>
      </c>
      <c r="AA377" s="532"/>
      <c r="AB377" s="532"/>
      <c r="AC377" s="532"/>
      <c r="AD377" s="533">
        <f t="shared" si="451"/>
        <v>0</v>
      </c>
      <c r="AE377" s="532"/>
      <c r="AF377" s="532"/>
      <c r="AG377" s="532"/>
      <c r="AH377" s="533">
        <f t="shared" si="452"/>
        <v>0</v>
      </c>
      <c r="AI377" s="532"/>
      <c r="AJ377" s="532"/>
      <c r="AK377" s="532"/>
      <c r="AL377" s="533">
        <f t="shared" si="453"/>
        <v>0</v>
      </c>
      <c r="AM377" s="532"/>
      <c r="AN377" s="532"/>
      <c r="AO377" s="532"/>
      <c r="AP377" s="533">
        <f t="shared" si="442"/>
        <v>0</v>
      </c>
      <c r="AQ377" s="532"/>
      <c r="AR377" s="532"/>
      <c r="AS377" s="532"/>
      <c r="AT377" s="533">
        <f t="shared" si="443"/>
        <v>0</v>
      </c>
      <c r="AU377" s="534"/>
      <c r="AV377" s="532"/>
      <c r="AW377" s="532"/>
      <c r="AX377" s="532">
        <f t="shared" si="444"/>
        <v>0</v>
      </c>
      <c r="AY377" s="532"/>
      <c r="AZ377" s="156"/>
      <c r="BA377" s="156"/>
      <c r="BB377" s="729">
        <v>-0.83899999999999997</v>
      </c>
      <c r="BC377" s="156"/>
      <c r="BD377" s="156"/>
      <c r="BE377" s="156"/>
      <c r="BF377" s="156"/>
      <c r="BG377" s="156"/>
      <c r="BH377" s="156"/>
      <c r="BI377" s="156"/>
      <c r="BJ377" s="156"/>
      <c r="BK377" s="156"/>
      <c r="BL377" s="156"/>
      <c r="BM377" s="156"/>
      <c r="BN377" s="730"/>
      <c r="BO377" s="156"/>
      <c r="BP377" s="156"/>
      <c r="BQ377" s="156"/>
      <c r="BR377" s="156"/>
      <c r="BS377" s="156"/>
      <c r="BT377" s="533"/>
    </row>
    <row r="378" spans="1:72" s="17" customFormat="1" hidden="1" outlineLevel="1" x14ac:dyDescent="0.35">
      <c r="A378" s="208" t="s">
        <v>153</v>
      </c>
      <c r="B378" s="308"/>
      <c r="C378" s="532"/>
      <c r="D378" s="532"/>
      <c r="E378" s="532"/>
      <c r="F378" s="533">
        <f t="shared" si="445"/>
        <v>0</v>
      </c>
      <c r="G378" s="532"/>
      <c r="H378" s="532"/>
      <c r="I378" s="532"/>
      <c r="J378" s="533">
        <f t="shared" si="446"/>
        <v>0</v>
      </c>
      <c r="K378" s="532"/>
      <c r="L378" s="532"/>
      <c r="M378" s="532"/>
      <c r="N378" s="533">
        <f t="shared" si="447"/>
        <v>0</v>
      </c>
      <c r="O378" s="532"/>
      <c r="P378" s="532"/>
      <c r="Q378" s="532"/>
      <c r="R378" s="533">
        <f t="shared" si="448"/>
        <v>0</v>
      </c>
      <c r="S378" s="532"/>
      <c r="T378" s="532"/>
      <c r="U378" s="532"/>
      <c r="V378" s="533">
        <f t="shared" si="449"/>
        <v>0</v>
      </c>
      <c r="W378" s="532"/>
      <c r="X378" s="532"/>
      <c r="Y378" s="532"/>
      <c r="Z378" s="533">
        <f t="shared" si="450"/>
        <v>0</v>
      </c>
      <c r="AA378" s="532"/>
      <c r="AB378" s="532"/>
      <c r="AC378" s="532"/>
      <c r="AD378" s="533">
        <f t="shared" si="451"/>
        <v>0</v>
      </c>
      <c r="AE378" s="532"/>
      <c r="AF378" s="532"/>
      <c r="AG378" s="532"/>
      <c r="AH378" s="533">
        <f t="shared" si="452"/>
        <v>0</v>
      </c>
      <c r="AI378" s="532"/>
      <c r="AJ378" s="532"/>
      <c r="AK378" s="532"/>
      <c r="AL378" s="533">
        <f t="shared" si="453"/>
        <v>0</v>
      </c>
      <c r="AM378" s="532"/>
      <c r="AN378" s="532"/>
      <c r="AO378" s="532"/>
      <c r="AP378" s="533">
        <f t="shared" si="442"/>
        <v>0</v>
      </c>
      <c r="AQ378" s="532"/>
      <c r="AR378" s="532"/>
      <c r="AS378" s="532"/>
      <c r="AT378" s="533">
        <f t="shared" si="443"/>
        <v>0</v>
      </c>
      <c r="AU378" s="534"/>
      <c r="AV378" s="532"/>
      <c r="AW378" s="532"/>
      <c r="AX378" s="532">
        <f t="shared" si="444"/>
        <v>0</v>
      </c>
      <c r="AY378" s="532"/>
      <c r="AZ378" s="156"/>
      <c r="BA378" s="156"/>
      <c r="BB378" s="729">
        <v>-6.8250000000000002</v>
      </c>
      <c r="BC378" s="156"/>
      <c r="BD378" s="156"/>
      <c r="BE378" s="156"/>
      <c r="BF378" s="156"/>
      <c r="BG378" s="156"/>
      <c r="BH378" s="156"/>
      <c r="BI378" s="156"/>
      <c r="BJ378" s="156"/>
      <c r="BK378" s="156"/>
      <c r="BL378" s="156"/>
      <c r="BM378" s="156"/>
      <c r="BN378" s="730"/>
      <c r="BO378" s="156"/>
      <c r="BP378" s="156"/>
      <c r="BQ378" s="156"/>
      <c r="BR378" s="156"/>
      <c r="BS378" s="156"/>
      <c r="BT378" s="533"/>
    </row>
    <row r="379" spans="1:72" s="17" customFormat="1" hidden="1" outlineLevel="1" x14ac:dyDescent="0.35">
      <c r="A379" s="208" t="s">
        <v>154</v>
      </c>
      <c r="B379" s="308"/>
      <c r="C379" s="532"/>
      <c r="D379" s="532"/>
      <c r="E379" s="532"/>
      <c r="F379" s="533">
        <f t="shared" si="445"/>
        <v>0</v>
      </c>
      <c r="G379" s="532"/>
      <c r="H379" s="532"/>
      <c r="I379" s="532"/>
      <c r="J379" s="533">
        <f t="shared" si="446"/>
        <v>0</v>
      </c>
      <c r="K379" s="532"/>
      <c r="L379" s="532"/>
      <c r="M379" s="532"/>
      <c r="N379" s="533">
        <f t="shared" si="447"/>
        <v>0</v>
      </c>
      <c r="O379" s="532"/>
      <c r="P379" s="532"/>
      <c r="Q379" s="532"/>
      <c r="R379" s="533">
        <f t="shared" si="448"/>
        <v>0</v>
      </c>
      <c r="S379" s="532"/>
      <c r="T379" s="532"/>
      <c r="U379" s="532"/>
      <c r="V379" s="533">
        <f t="shared" si="449"/>
        <v>0</v>
      </c>
      <c r="W379" s="532"/>
      <c r="X379" s="532"/>
      <c r="Y379" s="532"/>
      <c r="Z379" s="533">
        <f t="shared" si="450"/>
        <v>0</v>
      </c>
      <c r="AA379" s="532"/>
      <c r="AB379" s="532"/>
      <c r="AC379" s="532"/>
      <c r="AD379" s="533">
        <f t="shared" si="451"/>
        <v>0</v>
      </c>
      <c r="AE379" s="532"/>
      <c r="AF379" s="532"/>
      <c r="AG379" s="532"/>
      <c r="AH379" s="533">
        <f t="shared" si="452"/>
        <v>0</v>
      </c>
      <c r="AI379" s="532"/>
      <c r="AJ379" s="532"/>
      <c r="AK379" s="532"/>
      <c r="AL379" s="533">
        <f t="shared" si="453"/>
        <v>0</v>
      </c>
      <c r="AM379" s="532"/>
      <c r="AN379" s="532"/>
      <c r="AO379" s="532"/>
      <c r="AP379" s="533">
        <f t="shared" si="442"/>
        <v>0</v>
      </c>
      <c r="AQ379" s="532"/>
      <c r="AR379" s="532"/>
      <c r="AS379" s="532"/>
      <c r="AT379" s="533">
        <f t="shared" si="443"/>
        <v>0</v>
      </c>
      <c r="AU379" s="534"/>
      <c r="AV379" s="532"/>
      <c r="AW379" s="532"/>
      <c r="AX379" s="532">
        <f t="shared" si="444"/>
        <v>0</v>
      </c>
      <c r="AY379" s="532"/>
      <c r="AZ379" s="156"/>
      <c r="BA379" s="156"/>
      <c r="BB379" s="729">
        <v>6.8250000000000002</v>
      </c>
      <c r="BC379" s="156"/>
      <c r="BD379" s="156"/>
      <c r="BE379" s="156"/>
      <c r="BF379" s="156"/>
      <c r="BG379" s="156"/>
      <c r="BH379" s="156"/>
      <c r="BI379" s="156"/>
      <c r="BJ379" s="156"/>
      <c r="BK379" s="156"/>
      <c r="BL379" s="156"/>
      <c r="BM379" s="156"/>
      <c r="BN379" s="730"/>
      <c r="BO379" s="156"/>
      <c r="BP379" s="156"/>
      <c r="BQ379" s="156"/>
      <c r="BR379" s="156"/>
      <c r="BS379" s="156"/>
      <c r="BT379" s="533"/>
    </row>
    <row r="380" spans="1:72" s="17" customFormat="1" hidden="1" outlineLevel="1" x14ac:dyDescent="0.35">
      <c r="A380" s="208" t="s">
        <v>621</v>
      </c>
      <c r="B380" s="308"/>
      <c r="C380" s="532"/>
      <c r="D380" s="532"/>
      <c r="E380" s="532"/>
      <c r="F380" s="532"/>
      <c r="G380" s="532"/>
      <c r="H380" s="532"/>
      <c r="I380" s="532"/>
      <c r="J380" s="532"/>
      <c r="K380" s="532"/>
      <c r="L380" s="532"/>
      <c r="M380" s="532"/>
      <c r="N380" s="532"/>
      <c r="O380" s="532"/>
      <c r="P380" s="532"/>
      <c r="Q380" s="532"/>
      <c r="R380" s="532"/>
      <c r="S380" s="532"/>
      <c r="T380" s="532"/>
      <c r="U380" s="532"/>
      <c r="V380" s="532"/>
      <c r="W380" s="532"/>
      <c r="X380" s="532"/>
      <c r="Y380" s="532"/>
      <c r="Z380" s="532"/>
      <c r="AA380" s="532"/>
      <c r="AB380" s="532"/>
      <c r="AC380" s="532"/>
      <c r="AD380" s="532"/>
      <c r="AE380" s="532"/>
      <c r="AF380" s="532"/>
      <c r="AG380" s="532"/>
      <c r="AH380" s="532"/>
      <c r="AI380" s="532"/>
      <c r="AJ380" s="532"/>
      <c r="AK380" s="532"/>
      <c r="AL380" s="532"/>
      <c r="AM380" s="532"/>
      <c r="AN380" s="532"/>
      <c r="AO380" s="532"/>
      <c r="AP380" s="532"/>
      <c r="AQ380" s="638">
        <v>-1.409</v>
      </c>
      <c r="AR380" s="638">
        <v>-1.409</v>
      </c>
      <c r="AS380" s="638">
        <v>-1.409</v>
      </c>
      <c r="AT380" s="532">
        <f t="shared" si="443"/>
        <v>-1.409</v>
      </c>
      <c r="AU380" s="534"/>
      <c r="AV380" s="532"/>
      <c r="AW380" s="532"/>
      <c r="AX380" s="532">
        <f t="shared" si="444"/>
        <v>0</v>
      </c>
      <c r="AY380" s="532"/>
      <c r="AZ380" s="156"/>
      <c r="BA380" s="156"/>
      <c r="BB380" s="156"/>
      <c r="BC380" s="156"/>
      <c r="BD380" s="156"/>
      <c r="BE380" s="156"/>
      <c r="BF380" s="156"/>
      <c r="BG380" s="156"/>
      <c r="BH380" s="156"/>
      <c r="BI380" s="156"/>
      <c r="BJ380" s="156"/>
      <c r="BK380" s="156"/>
      <c r="BL380" s="156"/>
      <c r="BM380" s="156"/>
      <c r="BN380" s="748">
        <v>-1.409</v>
      </c>
      <c r="BO380" s="156"/>
      <c r="BP380" s="156"/>
      <c r="BQ380" s="156"/>
      <c r="BR380" s="156"/>
      <c r="BS380" s="156"/>
      <c r="BT380" s="533"/>
    </row>
    <row r="381" spans="1:72" s="17" customFormat="1" hidden="1" outlineLevel="1" x14ac:dyDescent="0.35">
      <c r="A381" s="208" t="s">
        <v>155</v>
      </c>
      <c r="B381" s="308"/>
      <c r="C381" s="532"/>
      <c r="D381" s="532"/>
      <c r="E381" s="532"/>
      <c r="F381" s="533">
        <f>BD381</f>
        <v>0</v>
      </c>
      <c r="G381" s="532"/>
      <c r="H381" s="532"/>
      <c r="I381" s="532"/>
      <c r="J381" s="533">
        <f>BE381</f>
        <v>0</v>
      </c>
      <c r="K381" s="532"/>
      <c r="L381" s="532"/>
      <c r="M381" s="532"/>
      <c r="N381" s="533">
        <f>BF381</f>
        <v>0</v>
      </c>
      <c r="O381" s="532"/>
      <c r="P381" s="532"/>
      <c r="Q381" s="532"/>
      <c r="R381" s="533">
        <f>BG381</f>
        <v>0</v>
      </c>
      <c r="S381" s="532"/>
      <c r="T381" s="532"/>
      <c r="U381" s="532"/>
      <c r="V381" s="533">
        <f>BH381</f>
        <v>0</v>
      </c>
      <c r="W381" s="532"/>
      <c r="X381" s="532"/>
      <c r="Y381" s="532"/>
      <c r="Z381" s="533">
        <f>BI381</f>
        <v>0</v>
      </c>
      <c r="AA381" s="638">
        <v>-11.651999999999999</v>
      </c>
      <c r="AB381" s="638">
        <v>-11.651999999999999</v>
      </c>
      <c r="AC381" s="638">
        <v>-11.651999999999999</v>
      </c>
      <c r="AD381" s="533">
        <f>BJ381</f>
        <v>-13.092000000000001</v>
      </c>
      <c r="AE381" s="638">
        <v>-1.2769999999999999</v>
      </c>
      <c r="AF381" s="638">
        <v>-4.1139999999999999</v>
      </c>
      <c r="AG381" s="638">
        <v>-4.2770000000000001</v>
      </c>
      <c r="AH381" s="533">
        <f>BK381</f>
        <v>-4.3730000000000002</v>
      </c>
      <c r="AI381" s="638">
        <v>-3.113</v>
      </c>
      <c r="AJ381" s="638">
        <v>-0.188</v>
      </c>
      <c r="AK381" s="638">
        <v>-1.008</v>
      </c>
      <c r="AL381" s="533">
        <f>BL381</f>
        <v>-1.7230000000000001</v>
      </c>
      <c r="AM381" s="638">
        <v>-0.192</v>
      </c>
      <c r="AN381" s="638">
        <v>-3.956</v>
      </c>
      <c r="AO381" s="638">
        <v>-3.6539999999999999</v>
      </c>
      <c r="AP381" s="533">
        <f>BM381</f>
        <v>-3.899</v>
      </c>
      <c r="AQ381" s="638">
        <v>-0.21299999999999999</v>
      </c>
      <c r="AR381" s="638">
        <v>-0.76700000000000002</v>
      </c>
      <c r="AS381" s="638">
        <v>-1.377</v>
      </c>
      <c r="AT381" s="533">
        <f t="shared" si="443"/>
        <v>-1.6519999999999999</v>
      </c>
      <c r="AU381" s="643">
        <v>-0.16600000000000001</v>
      </c>
      <c r="AV381" s="532"/>
      <c r="AW381" s="532"/>
      <c r="AX381" s="532">
        <f t="shared" si="444"/>
        <v>0</v>
      </c>
      <c r="AY381" s="532"/>
      <c r="AZ381" s="156"/>
      <c r="BA381" s="156"/>
      <c r="BB381" s="156"/>
      <c r="BC381" s="156"/>
      <c r="BD381" s="156"/>
      <c r="BE381" s="156"/>
      <c r="BF381" s="156"/>
      <c r="BG381" s="156"/>
      <c r="BH381" s="156"/>
      <c r="BI381" s="156"/>
      <c r="BJ381" s="729">
        <v>-13.092000000000001</v>
      </c>
      <c r="BK381" s="729">
        <v>-4.3730000000000002</v>
      </c>
      <c r="BL381" s="729">
        <v>-1.7230000000000001</v>
      </c>
      <c r="BM381" s="729">
        <v>-3.899</v>
      </c>
      <c r="BN381" s="748">
        <v>-1.6519999999999999</v>
      </c>
      <c r="BO381" s="156"/>
      <c r="BP381" s="156"/>
      <c r="BQ381" s="156"/>
      <c r="BR381" s="156"/>
      <c r="BS381" s="156"/>
      <c r="BT381" s="533"/>
    </row>
    <row r="382" spans="1:72" s="17" customFormat="1" hidden="1" outlineLevel="1" x14ac:dyDescent="0.35">
      <c r="A382" s="208" t="s">
        <v>583</v>
      </c>
      <c r="B382" s="308"/>
      <c r="C382" s="532"/>
      <c r="D382" s="532"/>
      <c r="E382" s="532"/>
      <c r="F382" s="532"/>
      <c r="G382" s="532"/>
      <c r="H382" s="532"/>
      <c r="I382" s="532"/>
      <c r="J382" s="532"/>
      <c r="K382" s="532"/>
      <c r="L382" s="532"/>
      <c r="M382" s="532"/>
      <c r="N382" s="532"/>
      <c r="O382" s="532"/>
      <c r="P382" s="532"/>
      <c r="Q382" s="532"/>
      <c r="R382" s="532"/>
      <c r="S382" s="532"/>
      <c r="T382" s="532"/>
      <c r="U382" s="532"/>
      <c r="V382" s="532"/>
      <c r="W382" s="532"/>
      <c r="X382" s="532"/>
      <c r="Y382" s="532"/>
      <c r="Z382" s="532"/>
      <c r="AA382" s="532"/>
      <c r="AB382" s="532"/>
      <c r="AC382" s="532"/>
      <c r="AD382" s="532"/>
      <c r="AE382" s="532"/>
      <c r="AF382" s="532"/>
      <c r="AG382" s="532"/>
      <c r="AH382" s="532"/>
      <c r="AI382" s="532"/>
      <c r="AJ382" s="532"/>
      <c r="AK382" s="532"/>
      <c r="AL382" s="532"/>
      <c r="AM382" s="638">
        <v>1.5009999999999999</v>
      </c>
      <c r="AN382" s="638">
        <v>7.2480000000000002</v>
      </c>
      <c r="AO382" s="638">
        <v>19.904</v>
      </c>
      <c r="AP382" s="533">
        <f>BM382</f>
        <v>40.162999999999997</v>
      </c>
      <c r="AQ382" s="638">
        <v>12.044</v>
      </c>
      <c r="AR382" s="638">
        <v>36.728999999999999</v>
      </c>
      <c r="AS382" s="638">
        <v>66.203999999999994</v>
      </c>
      <c r="AT382" s="533">
        <f t="shared" si="443"/>
        <v>91.879000000000005</v>
      </c>
      <c r="AU382" s="643">
        <v>40.734000000000002</v>
      </c>
      <c r="AV382" s="532"/>
      <c r="AW382" s="532"/>
      <c r="AX382" s="532">
        <f t="shared" si="444"/>
        <v>0</v>
      </c>
      <c r="AY382" s="532"/>
      <c r="AZ382" s="156"/>
      <c r="BA382" s="156"/>
      <c r="BB382" s="156"/>
      <c r="BC382" s="156"/>
      <c r="BD382" s="156"/>
      <c r="BE382" s="156"/>
      <c r="BF382" s="156"/>
      <c r="BG382" s="156"/>
      <c r="BH382" s="156"/>
      <c r="BI382" s="156"/>
      <c r="BJ382" s="156"/>
      <c r="BK382" s="156"/>
      <c r="BL382" s="156"/>
      <c r="BM382" s="729">
        <v>40.162999999999997</v>
      </c>
      <c r="BN382" s="748">
        <v>91.879000000000005</v>
      </c>
      <c r="BO382" s="156"/>
      <c r="BP382" s="156"/>
      <c r="BQ382" s="156"/>
      <c r="BR382" s="156"/>
      <c r="BS382" s="156"/>
      <c r="BT382" s="533"/>
    </row>
    <row r="383" spans="1:72" s="17" customFormat="1" hidden="1" outlineLevel="1" x14ac:dyDescent="0.35">
      <c r="A383" s="208" t="s">
        <v>560</v>
      </c>
      <c r="B383" s="308"/>
      <c r="C383" s="532"/>
      <c r="D383" s="532"/>
      <c r="E383" s="532"/>
      <c r="F383" s="532"/>
      <c r="G383" s="532"/>
      <c r="H383" s="532"/>
      <c r="I383" s="532"/>
      <c r="J383" s="532"/>
      <c r="K383" s="532"/>
      <c r="L383" s="532"/>
      <c r="M383" s="532"/>
      <c r="N383" s="532"/>
      <c r="O383" s="532"/>
      <c r="P383" s="532"/>
      <c r="Q383" s="532"/>
      <c r="R383" s="532"/>
      <c r="S383" s="532"/>
      <c r="T383" s="532"/>
      <c r="U383" s="532"/>
      <c r="V383" s="532"/>
      <c r="W383" s="532"/>
      <c r="X383" s="532"/>
      <c r="Y383" s="532"/>
      <c r="Z383" s="532"/>
      <c r="AA383" s="532"/>
      <c r="AB383" s="532"/>
      <c r="AC383" s="532"/>
      <c r="AD383" s="532"/>
      <c r="AE383" s="532"/>
      <c r="AF383" s="532"/>
      <c r="AG383" s="532"/>
      <c r="AH383" s="532"/>
      <c r="AI383" s="532"/>
      <c r="AJ383" s="532"/>
      <c r="AK383" s="532"/>
      <c r="AL383" s="533">
        <f>BL383</f>
        <v>-40.542000000000002</v>
      </c>
      <c r="AM383" s="638">
        <v>-9.1959999999999997</v>
      </c>
      <c r="AN383" s="638">
        <v>-38.72</v>
      </c>
      <c r="AO383" s="638">
        <v>-64.150999999999996</v>
      </c>
      <c r="AP383" s="533">
        <f>BM383</f>
        <v>-84.656999999999996</v>
      </c>
      <c r="AQ383" s="638">
        <v>-20.126000000000001</v>
      </c>
      <c r="AR383" s="638">
        <v>-55.878999999999998</v>
      </c>
      <c r="AS383" s="638">
        <v>-85.289000000000001</v>
      </c>
      <c r="AT383" s="533">
        <f t="shared" si="443"/>
        <v>-140.57</v>
      </c>
      <c r="AU383" s="643">
        <v>-31.484000000000002</v>
      </c>
      <c r="AV383" s="532"/>
      <c r="AW383" s="532"/>
      <c r="AX383" s="532">
        <f t="shared" si="444"/>
        <v>0</v>
      </c>
      <c r="AY383" s="532"/>
      <c r="AZ383" s="156"/>
      <c r="BA383" s="156"/>
      <c r="BB383" s="156"/>
      <c r="BC383" s="156"/>
      <c r="BD383" s="156"/>
      <c r="BE383" s="156"/>
      <c r="BF383" s="156"/>
      <c r="BG383" s="156"/>
      <c r="BH383" s="156"/>
      <c r="BI383" s="156"/>
      <c r="BJ383" s="156"/>
      <c r="BK383" s="156"/>
      <c r="BL383" s="729">
        <v>-40.542000000000002</v>
      </c>
      <c r="BM383" s="729">
        <v>-84.656999999999996</v>
      </c>
      <c r="BN383" s="748">
        <v>-140.57</v>
      </c>
      <c r="BO383" s="156"/>
      <c r="BP383" s="156"/>
      <c r="BQ383" s="156"/>
      <c r="BR383" s="156"/>
      <c r="BS383" s="156"/>
      <c r="BT383" s="533"/>
    </row>
    <row r="384" spans="1:72" s="17" customFormat="1" hidden="1" outlineLevel="1" x14ac:dyDescent="0.35">
      <c r="A384" s="208" t="s">
        <v>156</v>
      </c>
      <c r="B384" s="308"/>
      <c r="C384" s="532"/>
      <c r="D384" s="532"/>
      <c r="E384" s="532"/>
      <c r="F384" s="533">
        <f>BD384</f>
        <v>0</v>
      </c>
      <c r="G384" s="532"/>
      <c r="H384" s="532"/>
      <c r="I384" s="532"/>
      <c r="J384" s="533">
        <f>BE384</f>
        <v>0</v>
      </c>
      <c r="K384" s="532"/>
      <c r="L384" s="532"/>
      <c r="M384" s="532"/>
      <c r="N384" s="533">
        <f>BF384</f>
        <v>0</v>
      </c>
      <c r="O384" s="532"/>
      <c r="P384" s="532"/>
      <c r="Q384" s="532"/>
      <c r="R384" s="533">
        <f>BG384</f>
        <v>0</v>
      </c>
      <c r="S384" s="532"/>
      <c r="T384" s="532"/>
      <c r="U384" s="532"/>
      <c r="V384" s="533">
        <f>BH384</f>
        <v>0</v>
      </c>
      <c r="W384" s="532"/>
      <c r="X384" s="532"/>
      <c r="Y384" s="532"/>
      <c r="Z384" s="533">
        <f>BI384</f>
        <v>0</v>
      </c>
      <c r="AA384" s="532"/>
      <c r="AB384" s="532"/>
      <c r="AC384" s="532"/>
      <c r="AD384" s="533">
        <f>BJ384</f>
        <v>0</v>
      </c>
      <c r="AE384" s="532"/>
      <c r="AF384" s="532"/>
      <c r="AG384" s="532"/>
      <c r="AH384" s="533">
        <f>BK384</f>
        <v>0</v>
      </c>
      <c r="AI384" s="532"/>
      <c r="AJ384" s="532"/>
      <c r="AK384" s="532"/>
      <c r="AL384" s="533">
        <f>BL384</f>
        <v>0</v>
      </c>
      <c r="AM384" s="532"/>
      <c r="AN384" s="532"/>
      <c r="AO384" s="532"/>
      <c r="AP384" s="533">
        <f>BM384</f>
        <v>0</v>
      </c>
      <c r="AQ384" s="532"/>
      <c r="AR384" s="532"/>
      <c r="AS384" s="532"/>
      <c r="AT384" s="533">
        <f t="shared" si="443"/>
        <v>0</v>
      </c>
      <c r="AU384" s="534"/>
      <c r="AV384" s="532"/>
      <c r="AW384" s="532"/>
      <c r="AX384" s="532">
        <f t="shared" si="444"/>
        <v>0</v>
      </c>
      <c r="AY384" s="532"/>
      <c r="AZ384" s="156"/>
      <c r="BA384" s="156"/>
      <c r="BB384" s="729">
        <v>-10</v>
      </c>
      <c r="BC384" s="156"/>
      <c r="BD384" s="156"/>
      <c r="BE384" s="156"/>
      <c r="BF384" s="156"/>
      <c r="BG384" s="156"/>
      <c r="BH384" s="156"/>
      <c r="BI384" s="156"/>
      <c r="BJ384" s="156"/>
      <c r="BK384" s="156"/>
      <c r="BL384" s="156"/>
      <c r="BM384" s="156"/>
      <c r="BN384" s="730"/>
      <c r="BO384" s="156"/>
      <c r="BP384" s="156"/>
      <c r="BQ384" s="156"/>
      <c r="BR384" s="156"/>
      <c r="BS384" s="156"/>
      <c r="BT384" s="533"/>
    </row>
    <row r="385" spans="1:72" s="1" customFormat="1" hidden="1" outlineLevel="1" x14ac:dyDescent="0.35">
      <c r="A385" s="47" t="s">
        <v>157</v>
      </c>
      <c r="B385" s="360"/>
      <c r="C385" s="573">
        <f t="shared" ref="C385:AH385" si="454">SUM(C360:C384)</f>
        <v>-15.244</v>
      </c>
      <c r="D385" s="573">
        <f t="shared" si="454"/>
        <v>-25.785</v>
      </c>
      <c r="E385" s="573">
        <f t="shared" si="454"/>
        <v>-36.728999999999999</v>
      </c>
      <c r="F385" s="573">
        <f t="shared" si="454"/>
        <v>-50.344999999999999</v>
      </c>
      <c r="G385" s="573">
        <f t="shared" si="454"/>
        <v>-14.702</v>
      </c>
      <c r="H385" s="573">
        <f t="shared" si="454"/>
        <v>-25.71</v>
      </c>
      <c r="I385" s="573">
        <f t="shared" si="454"/>
        <v>-38.233000000000004</v>
      </c>
      <c r="J385" s="573">
        <f t="shared" si="454"/>
        <v>-45.804000000000002</v>
      </c>
      <c r="K385" s="573">
        <f t="shared" si="454"/>
        <v>-25.106000000000002</v>
      </c>
      <c r="L385" s="573">
        <f t="shared" si="454"/>
        <v>-37.558999999999997</v>
      </c>
      <c r="M385" s="573">
        <f t="shared" si="454"/>
        <v>-51.792000000000002</v>
      </c>
      <c r="N385" s="573">
        <f t="shared" si="454"/>
        <v>-68.25200000000001</v>
      </c>
      <c r="O385" s="573">
        <f t="shared" si="454"/>
        <v>-14.191000000000001</v>
      </c>
      <c r="P385" s="573">
        <f t="shared" si="454"/>
        <v>-25.816000000000003</v>
      </c>
      <c r="Q385" s="573">
        <f t="shared" si="454"/>
        <v>-40.984999999999999</v>
      </c>
      <c r="R385" s="573">
        <f t="shared" si="454"/>
        <v>-82.853000000000009</v>
      </c>
      <c r="S385" s="573">
        <f t="shared" si="454"/>
        <v>-14.028</v>
      </c>
      <c r="T385" s="573">
        <f t="shared" si="454"/>
        <v>-32.997</v>
      </c>
      <c r="U385" s="573">
        <f t="shared" si="454"/>
        <v>-42.296999999999997</v>
      </c>
      <c r="V385" s="573">
        <f t="shared" si="454"/>
        <v>-57.198000000000008</v>
      </c>
      <c r="W385" s="573">
        <f t="shared" si="454"/>
        <v>-15.522</v>
      </c>
      <c r="X385" s="573">
        <f t="shared" si="454"/>
        <v>-25.939</v>
      </c>
      <c r="Y385" s="573">
        <f t="shared" si="454"/>
        <v>-36.475999999999999</v>
      </c>
      <c r="Z385" s="573">
        <f t="shared" si="454"/>
        <v>-50.477000000000004</v>
      </c>
      <c r="AA385" s="573">
        <f t="shared" si="454"/>
        <v>-29.391999999999996</v>
      </c>
      <c r="AB385" s="573">
        <f t="shared" si="454"/>
        <v>-38.927999999999997</v>
      </c>
      <c r="AC385" s="573">
        <f t="shared" si="454"/>
        <v>-47.985999999999997</v>
      </c>
      <c r="AD385" s="573">
        <f t="shared" si="454"/>
        <v>-61.109000000000002</v>
      </c>
      <c r="AE385" s="573">
        <f t="shared" si="454"/>
        <v>-18.247</v>
      </c>
      <c r="AF385" s="573">
        <f t="shared" si="454"/>
        <v>-30.420999999999999</v>
      </c>
      <c r="AG385" s="573">
        <f t="shared" si="454"/>
        <v>-208.053</v>
      </c>
      <c r="AH385" s="573">
        <f t="shared" si="454"/>
        <v>-217.36500000000001</v>
      </c>
      <c r="AI385" s="573">
        <f t="shared" ref="AI385:AX385" si="455">SUM(AI360:AI384)</f>
        <v>-15.688000000000001</v>
      </c>
      <c r="AJ385" s="573">
        <f t="shared" si="455"/>
        <v>-94.275000000000006</v>
      </c>
      <c r="AK385" s="573">
        <f t="shared" si="455"/>
        <v>-106.508</v>
      </c>
      <c r="AL385" s="573">
        <f t="shared" si="455"/>
        <v>-165.44300000000001</v>
      </c>
      <c r="AM385" s="573">
        <f t="shared" si="455"/>
        <v>-23.231000000000002</v>
      </c>
      <c r="AN385" s="573">
        <f t="shared" si="455"/>
        <v>-59.662999999999997</v>
      </c>
      <c r="AO385" s="573">
        <f t="shared" si="455"/>
        <v>-90.572000000000003</v>
      </c>
      <c r="AP385" s="573">
        <f t="shared" si="455"/>
        <v>-110.758</v>
      </c>
      <c r="AQ385" s="573">
        <f t="shared" si="455"/>
        <v>-26.495000000000001</v>
      </c>
      <c r="AR385" s="573">
        <f t="shared" si="455"/>
        <v>-55.015000000000001</v>
      </c>
      <c r="AS385" s="573">
        <f t="shared" si="455"/>
        <v>-70.762</v>
      </c>
      <c r="AT385" s="573">
        <f t="shared" si="455"/>
        <v>-118.24</v>
      </c>
      <c r="AU385" s="577">
        <f t="shared" si="455"/>
        <v>-7.0650000000000013</v>
      </c>
      <c r="AV385" s="572">
        <f t="shared" si="455"/>
        <v>0</v>
      </c>
      <c r="AW385" s="572">
        <f t="shared" si="455"/>
        <v>0</v>
      </c>
      <c r="AX385" s="572">
        <f t="shared" si="455"/>
        <v>0</v>
      </c>
      <c r="AY385" s="572"/>
      <c r="AZ385" s="735">
        <f t="shared" ref="AZ385:BS385" si="456">SUM(AZ360:AZ384)</f>
        <v>-27.885999999999996</v>
      </c>
      <c r="BA385" s="735">
        <f t="shared" si="456"/>
        <v>-24.260999999999999</v>
      </c>
      <c r="BB385" s="735">
        <f t="shared" si="456"/>
        <v>-83.031000000000006</v>
      </c>
      <c r="BC385" s="735">
        <f t="shared" si="456"/>
        <v>-61.241000000000007</v>
      </c>
      <c r="BD385" s="735">
        <f t="shared" si="456"/>
        <v>-50.344999999999999</v>
      </c>
      <c r="BE385" s="735">
        <f t="shared" si="456"/>
        <v>-45.804000000000002</v>
      </c>
      <c r="BF385" s="735">
        <f t="shared" si="456"/>
        <v>-68.25200000000001</v>
      </c>
      <c r="BG385" s="735">
        <f t="shared" si="456"/>
        <v>-82.853000000000009</v>
      </c>
      <c r="BH385" s="735">
        <f t="shared" si="456"/>
        <v>-57.198000000000008</v>
      </c>
      <c r="BI385" s="735">
        <f t="shared" si="456"/>
        <v>-50.477000000000004</v>
      </c>
      <c r="BJ385" s="735">
        <f t="shared" si="456"/>
        <v>-61.109000000000002</v>
      </c>
      <c r="BK385" s="735">
        <f t="shared" si="456"/>
        <v>-217.36500000000001</v>
      </c>
      <c r="BL385" s="735">
        <f t="shared" si="456"/>
        <v>-165.44300000000001</v>
      </c>
      <c r="BM385" s="735">
        <f t="shared" si="456"/>
        <v>-110.758</v>
      </c>
      <c r="BN385" s="749">
        <f t="shared" si="456"/>
        <v>-118.24</v>
      </c>
      <c r="BO385" s="734">
        <f t="shared" si="456"/>
        <v>0</v>
      </c>
      <c r="BP385" s="734">
        <f t="shared" si="456"/>
        <v>0</v>
      </c>
      <c r="BQ385" s="734">
        <f t="shared" si="456"/>
        <v>0</v>
      </c>
      <c r="BR385" s="734">
        <f t="shared" si="456"/>
        <v>0</v>
      </c>
      <c r="BS385" s="734">
        <f t="shared" si="456"/>
        <v>0</v>
      </c>
      <c r="BT385" s="530"/>
    </row>
    <row r="386" spans="1:72" s="1" customFormat="1" hidden="1" outlineLevel="1" x14ac:dyDescent="0.35">
      <c r="A386" s="354"/>
      <c r="B386" s="307"/>
      <c r="C386" s="529"/>
      <c r="D386" s="529"/>
      <c r="E386" s="529"/>
      <c r="F386" s="529"/>
      <c r="G386" s="529"/>
      <c r="H386" s="529"/>
      <c r="I386" s="529"/>
      <c r="J386" s="529"/>
      <c r="K386" s="529"/>
      <c r="L386" s="529"/>
      <c r="M386" s="529"/>
      <c r="N386" s="529"/>
      <c r="O386" s="529"/>
      <c r="P386" s="529"/>
      <c r="Q386" s="529"/>
      <c r="R386" s="529"/>
      <c r="S386" s="529"/>
      <c r="T386" s="529"/>
      <c r="U386" s="529"/>
      <c r="V386" s="529"/>
      <c r="W386" s="529"/>
      <c r="X386" s="529"/>
      <c r="Y386" s="529"/>
      <c r="Z386" s="529"/>
      <c r="AA386" s="529"/>
      <c r="AB386" s="529"/>
      <c r="AC386" s="529"/>
      <c r="AD386" s="529"/>
      <c r="AE386" s="529"/>
      <c r="AF386" s="529"/>
      <c r="AG386" s="529"/>
      <c r="AH386" s="529"/>
      <c r="AI386" s="529"/>
      <c r="AJ386" s="529"/>
      <c r="AK386" s="529"/>
      <c r="AL386" s="529"/>
      <c r="AM386" s="529"/>
      <c r="AN386" s="529"/>
      <c r="AO386" s="529"/>
      <c r="AP386" s="529"/>
      <c r="AQ386" s="529"/>
      <c r="AR386" s="529"/>
      <c r="AS386" s="529"/>
      <c r="AT386" s="529"/>
      <c r="AU386" s="531"/>
      <c r="AV386" s="529"/>
      <c r="AW386" s="529"/>
      <c r="AX386" s="529"/>
      <c r="AY386" s="529"/>
      <c r="AZ386" s="726"/>
      <c r="BA386" s="726"/>
      <c r="BB386" s="726"/>
      <c r="BC386" s="726"/>
      <c r="BD386" s="726"/>
      <c r="BE386" s="726"/>
      <c r="BF386" s="726"/>
      <c r="BG386" s="726"/>
      <c r="BH386" s="726"/>
      <c r="BI386" s="726"/>
      <c r="BJ386" s="726"/>
      <c r="BK386" s="726"/>
      <c r="BL386" s="726"/>
      <c r="BM386" s="726"/>
      <c r="BN386" s="728"/>
      <c r="BO386" s="726"/>
      <c r="BP386" s="726"/>
      <c r="BQ386" s="726"/>
      <c r="BR386" s="726"/>
      <c r="BS386" s="726"/>
      <c r="BT386" s="530"/>
    </row>
    <row r="387" spans="1:72" s="1" customFormat="1" hidden="1" outlineLevel="1" x14ac:dyDescent="0.35">
      <c r="A387" s="51" t="s">
        <v>158</v>
      </c>
      <c r="B387" s="307"/>
      <c r="C387" s="529"/>
      <c r="D387" s="529"/>
      <c r="E387" s="529"/>
      <c r="F387" s="529"/>
      <c r="G387" s="529"/>
      <c r="H387" s="529"/>
      <c r="I387" s="529"/>
      <c r="J387" s="529"/>
      <c r="K387" s="529"/>
      <c r="L387" s="529"/>
      <c r="M387" s="529"/>
      <c r="N387" s="529"/>
      <c r="O387" s="529"/>
      <c r="P387" s="529"/>
      <c r="Q387" s="529"/>
      <c r="R387" s="529"/>
      <c r="S387" s="529"/>
      <c r="T387" s="529"/>
      <c r="U387" s="529"/>
      <c r="V387" s="529"/>
      <c r="W387" s="529"/>
      <c r="X387" s="529"/>
      <c r="Y387" s="529"/>
      <c r="Z387" s="529"/>
      <c r="AA387" s="529"/>
      <c r="AB387" s="529"/>
      <c r="AC387" s="529"/>
      <c r="AD387" s="529"/>
      <c r="AE387" s="529"/>
      <c r="AF387" s="529"/>
      <c r="AG387" s="529"/>
      <c r="AH387" s="529"/>
      <c r="AI387" s="529"/>
      <c r="AJ387" s="529"/>
      <c r="AK387" s="529"/>
      <c r="AL387" s="529"/>
      <c r="AM387" s="529"/>
      <c r="AN387" s="529"/>
      <c r="AO387" s="529"/>
      <c r="AP387" s="529"/>
      <c r="AQ387" s="529"/>
      <c r="AR387" s="529"/>
      <c r="AS387" s="529"/>
      <c r="AT387" s="529"/>
      <c r="AU387" s="531"/>
      <c r="AV387" s="529"/>
      <c r="AW387" s="529"/>
      <c r="AX387" s="529"/>
      <c r="AY387" s="529"/>
      <c r="AZ387" s="726"/>
      <c r="BA387" s="726"/>
      <c r="BB387" s="726"/>
      <c r="BC387" s="726"/>
      <c r="BD387" s="726"/>
      <c r="BE387" s="726"/>
      <c r="BF387" s="726"/>
      <c r="BG387" s="726"/>
      <c r="BH387" s="726"/>
      <c r="BI387" s="726"/>
      <c r="BJ387" s="726"/>
      <c r="BK387" s="726"/>
      <c r="BL387" s="726"/>
      <c r="BM387" s="726"/>
      <c r="BN387" s="728"/>
      <c r="BO387" s="726"/>
      <c r="BP387" s="726"/>
      <c r="BQ387" s="726"/>
      <c r="BR387" s="726"/>
      <c r="BS387" s="726"/>
      <c r="BT387" s="530"/>
    </row>
    <row r="388" spans="1:72" s="17" customFormat="1" hidden="1" outlineLevel="1" x14ac:dyDescent="0.35">
      <c r="A388" s="208" t="s">
        <v>395</v>
      </c>
      <c r="B388" s="308"/>
      <c r="C388" s="638">
        <v>-4.6219999999999999</v>
      </c>
      <c r="D388" s="638">
        <v>-9.8510000000000009</v>
      </c>
      <c r="E388" s="638">
        <v>-14.673999999999999</v>
      </c>
      <c r="F388" s="533">
        <f>BD388</f>
        <v>-20.274999999999999</v>
      </c>
      <c r="G388" s="638">
        <v>-5.556</v>
      </c>
      <c r="H388" s="638">
        <v>-11.145</v>
      </c>
      <c r="I388" s="638">
        <v>-16.988</v>
      </c>
      <c r="J388" s="533">
        <f>BE388</f>
        <v>-22.693999999999999</v>
      </c>
      <c r="K388" s="638">
        <v>-5.899</v>
      </c>
      <c r="L388" s="638">
        <v>-11.487</v>
      </c>
      <c r="M388" s="638">
        <v>-16.742999999999999</v>
      </c>
      <c r="N388" s="533">
        <f>BF388</f>
        <v>-21.939</v>
      </c>
      <c r="O388" s="638">
        <v>-4.9409999999999998</v>
      </c>
      <c r="P388" s="638">
        <v>-9.3699999999999992</v>
      </c>
      <c r="Q388" s="638">
        <v>-13.428000000000001</v>
      </c>
      <c r="R388" s="533">
        <f>BG388</f>
        <v>-17.402000000000001</v>
      </c>
      <c r="S388" s="638">
        <v>-3.9769999999999999</v>
      </c>
      <c r="T388" s="638">
        <v>-8.1159999999999997</v>
      </c>
      <c r="U388" s="638">
        <v>-11.879</v>
      </c>
      <c r="V388" s="533">
        <f>BH388</f>
        <v>-15.696999999999999</v>
      </c>
      <c r="W388" s="638">
        <v>-3.7429999999999999</v>
      </c>
      <c r="X388" s="638">
        <v>-6.9870000000000001</v>
      </c>
      <c r="Y388" s="638">
        <v>-10.313000000000001</v>
      </c>
      <c r="Z388" s="533">
        <f>BI388</f>
        <v>-13.301</v>
      </c>
      <c r="AA388" s="638">
        <v>-3.5179999999999998</v>
      </c>
      <c r="AB388" s="638">
        <v>-6.9379999999999997</v>
      </c>
      <c r="AC388" s="638">
        <v>-13.898</v>
      </c>
      <c r="AD388" s="533">
        <f>BJ388</f>
        <v>-21.033999999999999</v>
      </c>
      <c r="AE388" s="638">
        <v>-7.46</v>
      </c>
      <c r="AF388" s="638">
        <v>-14.959</v>
      </c>
      <c r="AG388" s="638">
        <v>-21.603000000000002</v>
      </c>
      <c r="AH388" s="533">
        <f>BK388</f>
        <v>-27.675000000000001</v>
      </c>
      <c r="AI388" s="638">
        <v>-5.6689999999999996</v>
      </c>
      <c r="AJ388" s="638">
        <v>-11.455</v>
      </c>
      <c r="AK388" s="638">
        <v>-17.103000000000002</v>
      </c>
      <c r="AL388" s="533">
        <f>BL388</f>
        <v>-24.315000000000001</v>
      </c>
      <c r="AM388" s="638">
        <v>-7.02</v>
      </c>
      <c r="AN388" s="638">
        <v>-14.744</v>
      </c>
      <c r="AO388" s="638">
        <v>-23.919</v>
      </c>
      <c r="AP388" s="533">
        <f t="shared" ref="AP388:AP406" si="457">BM388</f>
        <v>-33.011000000000003</v>
      </c>
      <c r="AQ388" s="638">
        <v>-9.3140000000000001</v>
      </c>
      <c r="AR388" s="638">
        <v>-19.937999999999999</v>
      </c>
      <c r="AS388" s="638">
        <v>-31.238</v>
      </c>
      <c r="AT388" s="533">
        <f t="shared" ref="AT388:AT406" si="458">BN388</f>
        <v>-42.956000000000003</v>
      </c>
      <c r="AU388" s="643">
        <v>-11.721</v>
      </c>
      <c r="AV388" s="532"/>
      <c r="AW388" s="532"/>
      <c r="AX388" s="532">
        <f t="shared" ref="AX388:AX406" si="459">BO388</f>
        <v>0</v>
      </c>
      <c r="AY388" s="532"/>
      <c r="AZ388" s="729">
        <v>-9.1329999999999991</v>
      </c>
      <c r="BA388" s="729">
        <v>-12.945</v>
      </c>
      <c r="BB388" s="729">
        <v>-15.135</v>
      </c>
      <c r="BC388" s="729">
        <v>-16.600000000000001</v>
      </c>
      <c r="BD388" s="729">
        <v>-20.274999999999999</v>
      </c>
      <c r="BE388" s="729">
        <v>-22.693999999999999</v>
      </c>
      <c r="BF388" s="729">
        <v>-21.939</v>
      </c>
      <c r="BG388" s="729">
        <v>-17.402000000000001</v>
      </c>
      <c r="BH388" s="729">
        <v>-15.696999999999999</v>
      </c>
      <c r="BI388" s="729">
        <v>-13.301</v>
      </c>
      <c r="BJ388" s="729">
        <v>-21.033999999999999</v>
      </c>
      <c r="BK388" s="729">
        <v>-27.675000000000001</v>
      </c>
      <c r="BL388" s="729">
        <v>-24.315000000000001</v>
      </c>
      <c r="BM388" s="729">
        <v>-33.011000000000003</v>
      </c>
      <c r="BN388" s="748">
        <v>-42.956000000000003</v>
      </c>
      <c r="BO388" s="156"/>
      <c r="BP388" s="156"/>
      <c r="BQ388" s="156"/>
      <c r="BR388" s="156"/>
      <c r="BS388" s="156"/>
      <c r="BT388" s="533"/>
    </row>
    <row r="389" spans="1:72" s="17" customFormat="1" hidden="1" outlineLevel="1" x14ac:dyDescent="0.35">
      <c r="A389" s="208" t="s">
        <v>159</v>
      </c>
      <c r="B389" s="308"/>
      <c r="C389" s="532"/>
      <c r="D389" s="532"/>
      <c r="E389" s="532"/>
      <c r="F389" s="532"/>
      <c r="G389" s="532"/>
      <c r="H389" s="532"/>
      <c r="I389" s="532"/>
      <c r="J389" s="532"/>
      <c r="K389" s="532"/>
      <c r="L389" s="532"/>
      <c r="M389" s="532"/>
      <c r="N389" s="532"/>
      <c r="O389" s="532"/>
      <c r="P389" s="532"/>
      <c r="Q389" s="532"/>
      <c r="R389" s="532"/>
      <c r="S389" s="532"/>
      <c r="T389" s="532"/>
      <c r="U389" s="532"/>
      <c r="V389" s="532"/>
      <c r="W389" s="532"/>
      <c r="X389" s="532"/>
      <c r="Y389" s="532"/>
      <c r="Z389" s="532"/>
      <c r="AA389" s="532"/>
      <c r="AB389" s="638">
        <v>-0.98699999999999999</v>
      </c>
      <c r="AC389" s="638">
        <v>-1.0269999999999999</v>
      </c>
      <c r="AD389" s="533">
        <f>BJ389</f>
        <v>-1.0269999999999999</v>
      </c>
      <c r="AE389" s="532"/>
      <c r="AF389" s="532"/>
      <c r="AG389" s="532"/>
      <c r="AH389" s="533">
        <f>BK389</f>
        <v>0</v>
      </c>
      <c r="AI389" s="532"/>
      <c r="AJ389" s="532"/>
      <c r="AK389" s="532"/>
      <c r="AL389" s="533">
        <f>BL389</f>
        <v>0</v>
      </c>
      <c r="AM389" s="532"/>
      <c r="AN389" s="532"/>
      <c r="AO389" s="532"/>
      <c r="AP389" s="533">
        <f t="shared" si="457"/>
        <v>0</v>
      </c>
      <c r="AQ389" s="638">
        <v>-7.024</v>
      </c>
      <c r="AR389" s="638">
        <v>-7.024</v>
      </c>
      <c r="AS389" s="638">
        <v>-7.024</v>
      </c>
      <c r="AT389" s="533">
        <f t="shared" si="458"/>
        <v>-7.024</v>
      </c>
      <c r="AU389" s="534"/>
      <c r="AV389" s="532"/>
      <c r="AW389" s="532"/>
      <c r="AX389" s="532">
        <f t="shared" si="459"/>
        <v>0</v>
      </c>
      <c r="AY389" s="532"/>
      <c r="AZ389" s="156"/>
      <c r="BA389" s="156"/>
      <c r="BB389" s="156"/>
      <c r="BC389" s="156"/>
      <c r="BD389" s="156"/>
      <c r="BE389" s="156"/>
      <c r="BF389" s="156"/>
      <c r="BG389" s="156"/>
      <c r="BH389" s="156"/>
      <c r="BI389" s="156"/>
      <c r="BJ389" s="729">
        <v>-1.0269999999999999</v>
      </c>
      <c r="BK389" s="156"/>
      <c r="BL389" s="156"/>
      <c r="BM389" s="156"/>
      <c r="BN389" s="748">
        <v>-7.024</v>
      </c>
      <c r="BO389" s="156"/>
      <c r="BP389" s="156"/>
      <c r="BQ389" s="156"/>
      <c r="BR389" s="156"/>
      <c r="BS389" s="156"/>
      <c r="BT389" s="533"/>
    </row>
    <row r="390" spans="1:72" s="17" customFormat="1" hidden="1" outlineLevel="1" x14ac:dyDescent="0.35">
      <c r="A390" s="208" t="s">
        <v>598</v>
      </c>
      <c r="B390" s="308"/>
      <c r="C390" s="532"/>
      <c r="D390" s="532"/>
      <c r="E390" s="532"/>
      <c r="F390" s="532"/>
      <c r="G390" s="532"/>
      <c r="H390" s="532"/>
      <c r="I390" s="532"/>
      <c r="J390" s="532"/>
      <c r="K390" s="532"/>
      <c r="L390" s="532"/>
      <c r="M390" s="532"/>
      <c r="N390" s="532"/>
      <c r="O390" s="532"/>
      <c r="P390" s="532"/>
      <c r="Q390" s="532"/>
      <c r="R390" s="532"/>
      <c r="S390" s="532"/>
      <c r="T390" s="532"/>
      <c r="U390" s="532"/>
      <c r="V390" s="532"/>
      <c r="W390" s="532"/>
      <c r="X390" s="532"/>
      <c r="Y390" s="532"/>
      <c r="Z390" s="532"/>
      <c r="AA390" s="532"/>
      <c r="AB390" s="532"/>
      <c r="AC390" s="532"/>
      <c r="AD390" s="532"/>
      <c r="AE390" s="532"/>
      <c r="AF390" s="532"/>
      <c r="AG390" s="532"/>
      <c r="AH390" s="532"/>
      <c r="AI390" s="532"/>
      <c r="AJ390" s="532"/>
      <c r="AK390" s="532"/>
      <c r="AL390" s="532"/>
      <c r="AM390" s="532"/>
      <c r="AN390" s="638">
        <v>-7.8579999999999997</v>
      </c>
      <c r="AO390" s="638">
        <v>-7.8579999999999997</v>
      </c>
      <c r="AP390" s="533">
        <f t="shared" si="457"/>
        <v>-22.858000000000001</v>
      </c>
      <c r="AQ390" s="532"/>
      <c r="AR390" s="532"/>
      <c r="AS390" s="532"/>
      <c r="AT390" s="533">
        <f t="shared" si="458"/>
        <v>0</v>
      </c>
      <c r="AU390" s="534"/>
      <c r="AV390" s="532"/>
      <c r="AW390" s="532"/>
      <c r="AX390" s="532">
        <f t="shared" si="459"/>
        <v>0</v>
      </c>
      <c r="AY390" s="532"/>
      <c r="AZ390" s="156"/>
      <c r="BA390" s="156"/>
      <c r="BB390" s="156"/>
      <c r="BC390" s="156"/>
      <c r="BD390" s="156"/>
      <c r="BE390" s="156"/>
      <c r="BF390" s="156"/>
      <c r="BG390" s="156"/>
      <c r="BH390" s="156"/>
      <c r="BI390" s="156"/>
      <c r="BJ390" s="156"/>
      <c r="BK390" s="156"/>
      <c r="BL390" s="156"/>
      <c r="BM390" s="729">
        <v>-22.858000000000001</v>
      </c>
      <c r="BN390" s="730"/>
      <c r="BO390" s="156"/>
      <c r="BP390" s="156"/>
      <c r="BQ390" s="156"/>
      <c r="BR390" s="156"/>
      <c r="BS390" s="156"/>
      <c r="BT390" s="533"/>
    </row>
    <row r="391" spans="1:72" s="17" customFormat="1" hidden="1" outlineLevel="1" x14ac:dyDescent="0.35">
      <c r="A391" s="208" t="s">
        <v>160</v>
      </c>
      <c r="B391" s="308"/>
      <c r="C391" s="638">
        <v>-0.38</v>
      </c>
      <c r="D391" s="638">
        <v>-0.78500000000000003</v>
      </c>
      <c r="E391" s="638">
        <v>-1.177</v>
      </c>
      <c r="F391" s="533">
        <f t="shared" ref="F391:F397" si="460">BD391</f>
        <v>-1.5329999999999999</v>
      </c>
      <c r="G391" s="638">
        <v>-0.39</v>
      </c>
      <c r="H391" s="638">
        <v>-0.39</v>
      </c>
      <c r="I391" s="638">
        <v>-0.39</v>
      </c>
      <c r="J391" s="533">
        <f t="shared" ref="J391:J397" si="461">BE391</f>
        <v>-0.39</v>
      </c>
      <c r="K391" s="532"/>
      <c r="L391" s="532"/>
      <c r="M391" s="532"/>
      <c r="N391" s="533">
        <f t="shared" ref="N391:N397" si="462">BF391</f>
        <v>0</v>
      </c>
      <c r="O391" s="532"/>
      <c r="P391" s="532"/>
      <c r="Q391" s="532"/>
      <c r="R391" s="533">
        <f t="shared" ref="R391:R397" si="463">BG391</f>
        <v>0</v>
      </c>
      <c r="S391" s="532"/>
      <c r="T391" s="532"/>
      <c r="U391" s="532"/>
      <c r="V391" s="533">
        <f t="shared" ref="V391:V397" si="464">BH391</f>
        <v>0</v>
      </c>
      <c r="W391" s="532"/>
      <c r="X391" s="532"/>
      <c r="Y391" s="532"/>
      <c r="Z391" s="533">
        <f t="shared" ref="Z391:Z397" si="465">BI391</f>
        <v>0</v>
      </c>
      <c r="AA391" s="532"/>
      <c r="AB391" s="532"/>
      <c r="AC391" s="532"/>
      <c r="AD391" s="533">
        <f t="shared" ref="AD391:AD397" si="466">BJ391</f>
        <v>0</v>
      </c>
      <c r="AE391" s="532"/>
      <c r="AF391" s="532"/>
      <c r="AG391" s="532"/>
      <c r="AH391" s="533">
        <f t="shared" ref="AH391:AH397" si="467">BK391</f>
        <v>0</v>
      </c>
      <c r="AI391" s="532"/>
      <c r="AJ391" s="532"/>
      <c r="AK391" s="532"/>
      <c r="AL391" s="533">
        <f t="shared" ref="AL391:AL406" si="468">BL391</f>
        <v>0</v>
      </c>
      <c r="AM391" s="532"/>
      <c r="AN391" s="532"/>
      <c r="AO391" s="532"/>
      <c r="AP391" s="533">
        <f t="shared" si="457"/>
        <v>0</v>
      </c>
      <c r="AQ391" s="532"/>
      <c r="AR391" s="532"/>
      <c r="AS391" s="532"/>
      <c r="AT391" s="533">
        <f t="shared" si="458"/>
        <v>0</v>
      </c>
      <c r="AU391" s="534"/>
      <c r="AV391" s="532"/>
      <c r="AW391" s="532"/>
      <c r="AX391" s="532">
        <f t="shared" si="459"/>
        <v>0</v>
      </c>
      <c r="AY391" s="532"/>
      <c r="AZ391" s="729">
        <v>-0.80400000000000005</v>
      </c>
      <c r="BA391" s="729">
        <v>-1.0289999999999999</v>
      </c>
      <c r="BB391" s="729">
        <v>-1.9690000000000001</v>
      </c>
      <c r="BC391" s="729">
        <v>-1.8199999999999998</v>
      </c>
      <c r="BD391" s="729">
        <v>-1.5329999999999999</v>
      </c>
      <c r="BE391" s="729">
        <v>-0.39</v>
      </c>
      <c r="BF391" s="156"/>
      <c r="BG391" s="156"/>
      <c r="BH391" s="156"/>
      <c r="BI391" s="156"/>
      <c r="BJ391" s="156"/>
      <c r="BK391" s="156"/>
      <c r="BL391" s="156"/>
      <c r="BM391" s="156"/>
      <c r="BN391" s="730"/>
      <c r="BO391" s="156"/>
      <c r="BP391" s="156"/>
      <c r="BQ391" s="156"/>
      <c r="BR391" s="156"/>
      <c r="BS391" s="156"/>
      <c r="BT391" s="533"/>
    </row>
    <row r="392" spans="1:72" s="17" customFormat="1" hidden="1" outlineLevel="1" x14ac:dyDescent="0.35">
      <c r="A392" s="208" t="s">
        <v>161</v>
      </c>
      <c r="B392" s="308"/>
      <c r="C392" s="532"/>
      <c r="D392" s="532"/>
      <c r="E392" s="532"/>
      <c r="F392" s="533">
        <f t="shared" si="460"/>
        <v>0</v>
      </c>
      <c r="G392" s="532"/>
      <c r="H392" s="638">
        <v>-5.883</v>
      </c>
      <c r="I392" s="638">
        <v>-26.623999999999999</v>
      </c>
      <c r="J392" s="533">
        <f t="shared" si="461"/>
        <v>-48.548000000000002</v>
      </c>
      <c r="K392" s="638">
        <v>-26.452000000000002</v>
      </c>
      <c r="L392" s="638">
        <v>-26.452000000000002</v>
      </c>
      <c r="M392" s="638">
        <v>-26.452000000000002</v>
      </c>
      <c r="N392" s="533">
        <f t="shared" si="462"/>
        <v>-26.452000000000002</v>
      </c>
      <c r="O392" s="532"/>
      <c r="P392" s="532"/>
      <c r="Q392" s="532"/>
      <c r="R392" s="533">
        <f t="shared" si="463"/>
        <v>0</v>
      </c>
      <c r="S392" s="532"/>
      <c r="T392" s="532"/>
      <c r="U392" s="532"/>
      <c r="V392" s="533">
        <f t="shared" si="464"/>
        <v>0</v>
      </c>
      <c r="W392" s="532"/>
      <c r="X392" s="532"/>
      <c r="Y392" s="532"/>
      <c r="Z392" s="533">
        <f t="shared" si="465"/>
        <v>-27.481999999999999</v>
      </c>
      <c r="AA392" s="532"/>
      <c r="AB392" s="532"/>
      <c r="AC392" s="532"/>
      <c r="AD392" s="533">
        <f t="shared" si="466"/>
        <v>0</v>
      </c>
      <c r="AE392" s="532"/>
      <c r="AF392" s="532"/>
      <c r="AG392" s="532"/>
      <c r="AH392" s="533">
        <f t="shared" si="467"/>
        <v>0</v>
      </c>
      <c r="AI392" s="532"/>
      <c r="AJ392" s="532"/>
      <c r="AK392" s="532"/>
      <c r="AL392" s="533">
        <f t="shared" si="468"/>
        <v>0</v>
      </c>
      <c r="AM392" s="532"/>
      <c r="AN392" s="532"/>
      <c r="AO392" s="532"/>
      <c r="AP392" s="533">
        <f t="shared" si="457"/>
        <v>0</v>
      </c>
      <c r="AQ392" s="532"/>
      <c r="AR392" s="532"/>
      <c r="AS392" s="532"/>
      <c r="AT392" s="533">
        <f t="shared" si="458"/>
        <v>0</v>
      </c>
      <c r="AU392" s="534"/>
      <c r="AV392" s="532"/>
      <c r="AW392" s="532"/>
      <c r="AX392" s="532">
        <f t="shared" si="459"/>
        <v>0</v>
      </c>
      <c r="AY392" s="532"/>
      <c r="AZ392" s="156"/>
      <c r="BA392" s="156"/>
      <c r="BB392" s="156"/>
      <c r="BC392" s="156"/>
      <c r="BD392" s="156"/>
      <c r="BE392" s="729">
        <v>-48.548000000000002</v>
      </c>
      <c r="BF392" s="729">
        <v>-26.452000000000002</v>
      </c>
      <c r="BG392" s="156"/>
      <c r="BH392" s="156"/>
      <c r="BI392" s="729">
        <v>-27.481999999999999</v>
      </c>
      <c r="BJ392" s="156"/>
      <c r="BK392" s="156"/>
      <c r="BL392" s="156"/>
      <c r="BM392" s="156"/>
      <c r="BN392" s="730"/>
      <c r="BO392" s="156"/>
      <c r="BP392" s="156"/>
      <c r="BQ392" s="156"/>
      <c r="BR392" s="156"/>
      <c r="BS392" s="156"/>
      <c r="BT392" s="533"/>
    </row>
    <row r="393" spans="1:72" s="17" customFormat="1" hidden="1" outlineLevel="1" x14ac:dyDescent="0.35">
      <c r="A393" s="208" t="s">
        <v>162</v>
      </c>
      <c r="B393" s="308"/>
      <c r="C393" s="638">
        <v>5.6000000000000001E-2</v>
      </c>
      <c r="D393" s="638">
        <v>0.60699999999999998</v>
      </c>
      <c r="E393" s="638">
        <v>3.0270000000000001</v>
      </c>
      <c r="F393" s="533">
        <f t="shared" si="460"/>
        <v>7.2530000000000001</v>
      </c>
      <c r="G393" s="638">
        <v>7.1059999999999999</v>
      </c>
      <c r="H393" s="638">
        <v>7.617</v>
      </c>
      <c r="I393" s="638">
        <v>8.4440000000000008</v>
      </c>
      <c r="J393" s="533">
        <f t="shared" si="461"/>
        <v>10.294</v>
      </c>
      <c r="K393" s="638">
        <v>0.161</v>
      </c>
      <c r="L393" s="638">
        <v>0.161</v>
      </c>
      <c r="M393" s="638">
        <v>0.51300000000000001</v>
      </c>
      <c r="N393" s="533">
        <f t="shared" si="462"/>
        <v>0.55300000000000005</v>
      </c>
      <c r="O393" s="638">
        <v>1.4E-2</v>
      </c>
      <c r="P393" s="638">
        <v>1.4E-2</v>
      </c>
      <c r="Q393" s="638">
        <v>1.4E-2</v>
      </c>
      <c r="R393" s="533">
        <f t="shared" si="463"/>
        <v>1.4E-2</v>
      </c>
      <c r="S393" s="638">
        <v>0.437</v>
      </c>
      <c r="T393" s="638">
        <v>0.437</v>
      </c>
      <c r="U393" s="638">
        <v>1.518</v>
      </c>
      <c r="V393" s="533">
        <f t="shared" si="464"/>
        <v>6.9530000000000003</v>
      </c>
      <c r="W393" s="638">
        <v>5.8000000000000003E-2</v>
      </c>
      <c r="X393" s="638">
        <v>5.8000000000000003E-2</v>
      </c>
      <c r="Y393" s="638">
        <v>0.184</v>
      </c>
      <c r="Z393" s="533">
        <f t="shared" si="465"/>
        <v>0.19600000000000001</v>
      </c>
      <c r="AA393" s="638">
        <v>0.01</v>
      </c>
      <c r="AB393" s="638">
        <v>1.0349999999999999</v>
      </c>
      <c r="AC393" s="638">
        <v>2.1829999999999998</v>
      </c>
      <c r="AD393" s="533">
        <f t="shared" si="466"/>
        <v>3.03</v>
      </c>
      <c r="AE393" s="638">
        <v>4.2000000000000003E-2</v>
      </c>
      <c r="AF393" s="638">
        <v>4.8000000000000001E-2</v>
      </c>
      <c r="AG393" s="638">
        <v>4.8000000000000001E-2</v>
      </c>
      <c r="AH393" s="533">
        <f t="shared" si="467"/>
        <v>6.4000000000000001E-2</v>
      </c>
      <c r="AI393" s="638">
        <v>3.2000000000000001E-2</v>
      </c>
      <c r="AJ393" s="638">
        <v>0.30299999999999999</v>
      </c>
      <c r="AK393" s="638">
        <v>0.72399999999999998</v>
      </c>
      <c r="AL393" s="533">
        <f t="shared" si="468"/>
        <v>0.748</v>
      </c>
      <c r="AM393" s="638">
        <v>0.246</v>
      </c>
      <c r="AN393" s="638">
        <v>0.246</v>
      </c>
      <c r="AO393" s="638">
        <v>0.39100000000000001</v>
      </c>
      <c r="AP393" s="533">
        <f t="shared" si="457"/>
        <v>0.41399999999999998</v>
      </c>
      <c r="AQ393" s="638">
        <v>0.01</v>
      </c>
      <c r="AR393" s="638">
        <v>0.01</v>
      </c>
      <c r="AS393" s="638">
        <v>0.02</v>
      </c>
      <c r="AT393" s="533">
        <f t="shared" si="458"/>
        <v>0.02</v>
      </c>
      <c r="AU393" s="534"/>
      <c r="AV393" s="532"/>
      <c r="AW393" s="532"/>
      <c r="AX393" s="532">
        <f t="shared" si="459"/>
        <v>0</v>
      </c>
      <c r="AY393" s="532"/>
      <c r="AZ393" s="729">
        <v>9.8239999999999998</v>
      </c>
      <c r="BA393" s="729">
        <v>8.5440000000000005</v>
      </c>
      <c r="BB393" s="729">
        <v>13.364000000000001</v>
      </c>
      <c r="BC393" s="729">
        <v>3.38</v>
      </c>
      <c r="BD393" s="729">
        <v>7.2530000000000001</v>
      </c>
      <c r="BE393" s="729">
        <v>10.294</v>
      </c>
      <c r="BF393" s="729">
        <v>0.55300000000000005</v>
      </c>
      <c r="BG393" s="729">
        <v>1.4E-2</v>
      </c>
      <c r="BH393" s="729">
        <v>6.9530000000000003</v>
      </c>
      <c r="BI393" s="729">
        <v>0.19600000000000001</v>
      </c>
      <c r="BJ393" s="729">
        <v>3.03</v>
      </c>
      <c r="BK393" s="729">
        <v>6.4000000000000001E-2</v>
      </c>
      <c r="BL393" s="729">
        <v>0.748</v>
      </c>
      <c r="BM393" s="729">
        <v>0.41399999999999998</v>
      </c>
      <c r="BN393" s="748">
        <v>0.02</v>
      </c>
      <c r="BO393" s="156"/>
      <c r="BP393" s="156"/>
      <c r="BQ393" s="156"/>
      <c r="BR393" s="156"/>
      <c r="BS393" s="156"/>
      <c r="BT393" s="533"/>
    </row>
    <row r="394" spans="1:72" s="17" customFormat="1" hidden="1" outlineLevel="1" x14ac:dyDescent="0.35">
      <c r="A394" s="208" t="s">
        <v>163</v>
      </c>
      <c r="B394" s="308"/>
      <c r="C394" s="532"/>
      <c r="D394" s="532"/>
      <c r="E394" s="532"/>
      <c r="F394" s="533">
        <f t="shared" si="460"/>
        <v>0</v>
      </c>
      <c r="G394" s="532"/>
      <c r="H394" s="532"/>
      <c r="I394" s="532"/>
      <c r="J394" s="533">
        <f t="shared" si="461"/>
        <v>1.2749999999999999</v>
      </c>
      <c r="K394" s="532"/>
      <c r="L394" s="532"/>
      <c r="M394" s="532"/>
      <c r="N394" s="533">
        <f t="shared" si="462"/>
        <v>0</v>
      </c>
      <c r="O394" s="532"/>
      <c r="P394" s="532"/>
      <c r="Q394" s="532"/>
      <c r="R394" s="533">
        <f t="shared" si="463"/>
        <v>0</v>
      </c>
      <c r="S394" s="532"/>
      <c r="T394" s="532"/>
      <c r="U394" s="532"/>
      <c r="V394" s="533">
        <f t="shared" si="464"/>
        <v>0</v>
      </c>
      <c r="W394" s="532"/>
      <c r="X394" s="532"/>
      <c r="Y394" s="532"/>
      <c r="Z394" s="533">
        <f t="shared" si="465"/>
        <v>0</v>
      </c>
      <c r="AA394" s="532"/>
      <c r="AB394" s="532"/>
      <c r="AC394" s="532"/>
      <c r="AD394" s="533">
        <f t="shared" si="466"/>
        <v>0</v>
      </c>
      <c r="AE394" s="532"/>
      <c r="AF394" s="532"/>
      <c r="AG394" s="532"/>
      <c r="AH394" s="533">
        <f t="shared" si="467"/>
        <v>0</v>
      </c>
      <c r="AI394" s="532"/>
      <c r="AJ394" s="532"/>
      <c r="AK394" s="532"/>
      <c r="AL394" s="533">
        <f t="shared" si="468"/>
        <v>0</v>
      </c>
      <c r="AM394" s="532"/>
      <c r="AN394" s="532"/>
      <c r="AO394" s="532"/>
      <c r="AP394" s="533">
        <f t="shared" si="457"/>
        <v>0</v>
      </c>
      <c r="AQ394" s="532"/>
      <c r="AR394" s="532"/>
      <c r="AS394" s="532"/>
      <c r="AT394" s="533">
        <f t="shared" si="458"/>
        <v>0</v>
      </c>
      <c r="AU394" s="534"/>
      <c r="AV394" s="532"/>
      <c r="AW394" s="532"/>
      <c r="AX394" s="532">
        <f t="shared" si="459"/>
        <v>0</v>
      </c>
      <c r="AY394" s="532"/>
      <c r="AZ394" s="729">
        <v>5</v>
      </c>
      <c r="BA394" s="729">
        <v>3.3740000000000001</v>
      </c>
      <c r="BB394" s="156"/>
      <c r="BC394" s="156"/>
      <c r="BD394" s="156"/>
      <c r="BE394" s="729">
        <v>1.2749999999999999</v>
      </c>
      <c r="BF394" s="156"/>
      <c r="BG394" s="156"/>
      <c r="BH394" s="156"/>
      <c r="BI394" s="156"/>
      <c r="BJ394" s="156"/>
      <c r="BK394" s="156"/>
      <c r="BL394" s="156"/>
      <c r="BM394" s="156"/>
      <c r="BN394" s="730"/>
      <c r="BO394" s="156"/>
      <c r="BP394" s="156"/>
      <c r="BQ394" s="156"/>
      <c r="BR394" s="156"/>
      <c r="BS394" s="156"/>
      <c r="BT394" s="533"/>
    </row>
    <row r="395" spans="1:72" s="17" customFormat="1" hidden="1" outlineLevel="1" x14ac:dyDescent="0.35">
      <c r="A395" s="208" t="s">
        <v>164</v>
      </c>
      <c r="B395" s="308"/>
      <c r="C395" s="532"/>
      <c r="D395" s="532"/>
      <c r="E395" s="532"/>
      <c r="F395" s="533">
        <f t="shared" si="460"/>
        <v>0</v>
      </c>
      <c r="G395" s="532"/>
      <c r="H395" s="532"/>
      <c r="I395" s="532"/>
      <c r="J395" s="533">
        <f t="shared" si="461"/>
        <v>0</v>
      </c>
      <c r="K395" s="532"/>
      <c r="L395" s="532"/>
      <c r="M395" s="532"/>
      <c r="N395" s="533">
        <f t="shared" si="462"/>
        <v>0</v>
      </c>
      <c r="O395" s="532"/>
      <c r="P395" s="532"/>
      <c r="Q395" s="532"/>
      <c r="R395" s="533">
        <f t="shared" si="463"/>
        <v>0</v>
      </c>
      <c r="S395" s="532"/>
      <c r="T395" s="532"/>
      <c r="U395" s="532"/>
      <c r="V395" s="533">
        <f t="shared" si="464"/>
        <v>0</v>
      </c>
      <c r="W395" s="532"/>
      <c r="X395" s="532"/>
      <c r="Y395" s="532"/>
      <c r="Z395" s="533">
        <f t="shared" si="465"/>
        <v>0</v>
      </c>
      <c r="AA395" s="532"/>
      <c r="AB395" s="532"/>
      <c r="AC395" s="532"/>
      <c r="AD395" s="533">
        <f t="shared" si="466"/>
        <v>0</v>
      </c>
      <c r="AE395" s="532"/>
      <c r="AF395" s="532"/>
      <c r="AG395" s="532"/>
      <c r="AH395" s="533">
        <f t="shared" si="467"/>
        <v>0</v>
      </c>
      <c r="AI395" s="532"/>
      <c r="AJ395" s="532"/>
      <c r="AK395" s="532"/>
      <c r="AL395" s="533">
        <f t="shared" si="468"/>
        <v>0</v>
      </c>
      <c r="AM395" s="532"/>
      <c r="AN395" s="532"/>
      <c r="AO395" s="532"/>
      <c r="AP395" s="533">
        <f t="shared" si="457"/>
        <v>0</v>
      </c>
      <c r="AQ395" s="532"/>
      <c r="AR395" s="532"/>
      <c r="AS395" s="532"/>
      <c r="AT395" s="533">
        <f t="shared" si="458"/>
        <v>0</v>
      </c>
      <c r="AU395" s="534"/>
      <c r="AV395" s="532"/>
      <c r="AW395" s="532"/>
      <c r="AX395" s="532">
        <f t="shared" si="459"/>
        <v>0</v>
      </c>
      <c r="AY395" s="532"/>
      <c r="AZ395" s="156"/>
      <c r="BA395" s="729">
        <v>0.05</v>
      </c>
      <c r="BB395" s="156"/>
      <c r="BC395" s="156"/>
      <c r="BD395" s="156"/>
      <c r="BE395" s="156"/>
      <c r="BF395" s="156"/>
      <c r="BG395" s="156"/>
      <c r="BH395" s="156"/>
      <c r="BI395" s="156"/>
      <c r="BJ395" s="156"/>
      <c r="BK395" s="156"/>
      <c r="BL395" s="156"/>
      <c r="BM395" s="156"/>
      <c r="BN395" s="730"/>
      <c r="BO395" s="156"/>
      <c r="BP395" s="156"/>
      <c r="BQ395" s="156"/>
      <c r="BR395" s="156"/>
      <c r="BS395" s="156"/>
      <c r="BT395" s="533"/>
    </row>
    <row r="396" spans="1:72" s="17" customFormat="1" hidden="1" outlineLevel="1" x14ac:dyDescent="0.35">
      <c r="A396" s="208" t="s">
        <v>165</v>
      </c>
      <c r="B396" s="308"/>
      <c r="C396" s="532"/>
      <c r="D396" s="532"/>
      <c r="E396" s="532"/>
      <c r="F396" s="533">
        <f t="shared" si="460"/>
        <v>0</v>
      </c>
      <c r="G396" s="532"/>
      <c r="H396" s="532"/>
      <c r="I396" s="532"/>
      <c r="J396" s="533">
        <f t="shared" si="461"/>
        <v>0</v>
      </c>
      <c r="K396" s="532"/>
      <c r="L396" s="532"/>
      <c r="M396" s="532"/>
      <c r="N396" s="533">
        <f t="shared" si="462"/>
        <v>0</v>
      </c>
      <c r="O396" s="532"/>
      <c r="P396" s="532"/>
      <c r="Q396" s="532"/>
      <c r="R396" s="533">
        <f t="shared" si="463"/>
        <v>0</v>
      </c>
      <c r="S396" s="532"/>
      <c r="T396" s="532"/>
      <c r="U396" s="532"/>
      <c r="V396" s="533">
        <f t="shared" si="464"/>
        <v>0</v>
      </c>
      <c r="W396" s="532"/>
      <c r="X396" s="532"/>
      <c r="Y396" s="532"/>
      <c r="Z396" s="533">
        <f t="shared" si="465"/>
        <v>0</v>
      </c>
      <c r="AA396" s="532"/>
      <c r="AB396" s="532"/>
      <c r="AC396" s="532"/>
      <c r="AD396" s="533">
        <f t="shared" si="466"/>
        <v>0</v>
      </c>
      <c r="AE396" s="532"/>
      <c r="AF396" s="532"/>
      <c r="AG396" s="532"/>
      <c r="AH396" s="533">
        <f t="shared" si="467"/>
        <v>0</v>
      </c>
      <c r="AI396" s="532"/>
      <c r="AJ396" s="532"/>
      <c r="AK396" s="532"/>
      <c r="AL396" s="533">
        <f t="shared" si="468"/>
        <v>0</v>
      </c>
      <c r="AM396" s="532"/>
      <c r="AN396" s="532"/>
      <c r="AO396" s="532"/>
      <c r="AP396" s="533">
        <f t="shared" si="457"/>
        <v>0</v>
      </c>
      <c r="AQ396" s="532"/>
      <c r="AR396" s="532"/>
      <c r="AS396" s="532"/>
      <c r="AT396" s="533">
        <f t="shared" si="458"/>
        <v>0</v>
      </c>
      <c r="AU396" s="534"/>
      <c r="AV396" s="532"/>
      <c r="AW396" s="532"/>
      <c r="AX396" s="532">
        <f t="shared" si="459"/>
        <v>0</v>
      </c>
      <c r="AY396" s="532"/>
      <c r="AZ396" s="156"/>
      <c r="BA396" s="156"/>
      <c r="BB396" s="156"/>
      <c r="BC396" s="729">
        <v>-0.313</v>
      </c>
      <c r="BD396" s="156"/>
      <c r="BE396" s="156"/>
      <c r="BF396" s="156"/>
      <c r="BG396" s="156"/>
      <c r="BH396" s="156"/>
      <c r="BI396" s="156"/>
      <c r="BJ396" s="156"/>
      <c r="BK396" s="156"/>
      <c r="BL396" s="156"/>
      <c r="BM396" s="156"/>
      <c r="BN396" s="730"/>
      <c r="BO396" s="156"/>
      <c r="BP396" s="156"/>
      <c r="BQ396" s="156"/>
      <c r="BR396" s="156"/>
      <c r="BS396" s="156"/>
      <c r="BT396" s="533"/>
    </row>
    <row r="397" spans="1:72" s="17" customFormat="1" hidden="1" outlineLevel="1" x14ac:dyDescent="0.35">
      <c r="A397" s="208" t="s">
        <v>118</v>
      </c>
      <c r="B397" s="308"/>
      <c r="C397" s="638">
        <v>1.0860000000000001</v>
      </c>
      <c r="D397" s="638">
        <v>2.532</v>
      </c>
      <c r="E397" s="638">
        <v>4.4130000000000003</v>
      </c>
      <c r="F397" s="533">
        <f t="shared" si="460"/>
        <v>8.8889999999999993</v>
      </c>
      <c r="G397" s="638">
        <v>0.38500000000000001</v>
      </c>
      <c r="H397" s="638">
        <v>-1.2170000000000001</v>
      </c>
      <c r="I397" s="638">
        <v>-0.47199999999999998</v>
      </c>
      <c r="J397" s="533">
        <f t="shared" si="461"/>
        <v>1.679</v>
      </c>
      <c r="K397" s="638">
        <v>7.0000000000000001E-3</v>
      </c>
      <c r="L397" s="638">
        <v>7.0000000000000001E-3</v>
      </c>
      <c r="M397" s="638">
        <v>8.0000000000000002E-3</v>
      </c>
      <c r="N397" s="533">
        <f t="shared" si="462"/>
        <v>0.11799999999999999</v>
      </c>
      <c r="O397" s="638">
        <v>6.0000000000000001E-3</v>
      </c>
      <c r="P397" s="638">
        <v>6.0000000000000001E-3</v>
      </c>
      <c r="Q397" s="638">
        <v>6.0000000000000001E-3</v>
      </c>
      <c r="R397" s="533">
        <f t="shared" si="463"/>
        <v>6.0000000000000001E-3</v>
      </c>
      <c r="S397" s="638">
        <v>0.10299999999999999</v>
      </c>
      <c r="T397" s="638">
        <v>0.25</v>
      </c>
      <c r="U397" s="638">
        <v>0.25</v>
      </c>
      <c r="V397" s="533">
        <f t="shared" si="464"/>
        <v>0.29099999999999998</v>
      </c>
      <c r="W397" s="532"/>
      <c r="X397" s="638">
        <v>0</v>
      </c>
      <c r="Y397" s="532"/>
      <c r="Z397" s="533">
        <f t="shared" si="465"/>
        <v>0</v>
      </c>
      <c r="AA397" s="532"/>
      <c r="AB397" s="532"/>
      <c r="AC397" s="532"/>
      <c r="AD397" s="533">
        <f t="shared" si="466"/>
        <v>0</v>
      </c>
      <c r="AE397" s="532"/>
      <c r="AF397" s="532"/>
      <c r="AG397" s="532"/>
      <c r="AH397" s="533">
        <f t="shared" si="467"/>
        <v>0</v>
      </c>
      <c r="AI397" s="532"/>
      <c r="AJ397" s="532"/>
      <c r="AK397" s="532"/>
      <c r="AL397" s="533">
        <f t="shared" si="468"/>
        <v>0</v>
      </c>
      <c r="AM397" s="532"/>
      <c r="AN397" s="532"/>
      <c r="AO397" s="532"/>
      <c r="AP397" s="533">
        <f t="shared" si="457"/>
        <v>0</v>
      </c>
      <c r="AQ397" s="532"/>
      <c r="AR397" s="532"/>
      <c r="AS397" s="532"/>
      <c r="AT397" s="533">
        <f t="shared" si="458"/>
        <v>0</v>
      </c>
      <c r="AU397" s="534"/>
      <c r="AV397" s="532"/>
      <c r="AW397" s="532"/>
      <c r="AX397" s="532">
        <f t="shared" si="459"/>
        <v>0</v>
      </c>
      <c r="AY397" s="532"/>
      <c r="AZ397" s="729">
        <v>6.9980000000000002</v>
      </c>
      <c r="BA397" s="729">
        <v>3.9350000000000001</v>
      </c>
      <c r="BB397" s="729">
        <v>4.9539999999999997</v>
      </c>
      <c r="BC397" s="729">
        <v>-3.1219999999999999</v>
      </c>
      <c r="BD397" s="729">
        <v>8.8889999999999993</v>
      </c>
      <c r="BE397" s="729">
        <v>1.679</v>
      </c>
      <c r="BF397" s="729">
        <v>0.11799999999999999</v>
      </c>
      <c r="BG397" s="729">
        <v>6.0000000000000001E-3</v>
      </c>
      <c r="BH397" s="729">
        <v>0.29099999999999998</v>
      </c>
      <c r="BI397" s="156"/>
      <c r="BJ397" s="156"/>
      <c r="BK397" s="156"/>
      <c r="BL397" s="156"/>
      <c r="BM397" s="156"/>
      <c r="BN397" s="730"/>
      <c r="BO397" s="156"/>
      <c r="BP397" s="156"/>
      <c r="BQ397" s="156"/>
      <c r="BR397" s="156"/>
      <c r="BS397" s="156"/>
      <c r="BT397" s="533"/>
    </row>
    <row r="398" spans="1:72" s="17" customFormat="1" hidden="1" outlineLevel="1" x14ac:dyDescent="0.35">
      <c r="A398" s="208" t="s">
        <v>445</v>
      </c>
      <c r="B398" s="308"/>
      <c r="C398" s="532"/>
      <c r="D398" s="532"/>
      <c r="E398" s="532"/>
      <c r="F398" s="532"/>
      <c r="G398" s="532"/>
      <c r="H398" s="532"/>
      <c r="I398" s="532"/>
      <c r="J398" s="532"/>
      <c r="K398" s="532"/>
      <c r="L398" s="532"/>
      <c r="M398" s="532"/>
      <c r="N398" s="532"/>
      <c r="O398" s="532"/>
      <c r="P398" s="532"/>
      <c r="Q398" s="532"/>
      <c r="R398" s="532"/>
      <c r="S398" s="532"/>
      <c r="T398" s="532"/>
      <c r="U398" s="532"/>
      <c r="V398" s="532"/>
      <c r="W398" s="532"/>
      <c r="X398" s="532"/>
      <c r="Y398" s="532"/>
      <c r="Z398" s="532"/>
      <c r="AA398" s="532"/>
      <c r="AB398" s="532"/>
      <c r="AC398" s="532"/>
      <c r="AD398" s="532"/>
      <c r="AE398" s="532"/>
      <c r="AF398" s="532"/>
      <c r="AG398" s="532"/>
      <c r="AH398" s="532"/>
      <c r="AI398" s="638">
        <v>-10.885</v>
      </c>
      <c r="AJ398" s="638">
        <v>-10.885</v>
      </c>
      <c r="AK398" s="638">
        <v>-10.885</v>
      </c>
      <c r="AL398" s="532">
        <f t="shared" si="468"/>
        <v>-10.885</v>
      </c>
      <c r="AM398" s="532"/>
      <c r="AN398" s="532"/>
      <c r="AO398" s="532"/>
      <c r="AP398" s="532">
        <f t="shared" si="457"/>
        <v>0</v>
      </c>
      <c r="AQ398" s="532"/>
      <c r="AR398" s="532"/>
      <c r="AS398" s="532"/>
      <c r="AT398" s="532">
        <f t="shared" si="458"/>
        <v>0</v>
      </c>
      <c r="AU398" s="534"/>
      <c r="AV398" s="532"/>
      <c r="AW398" s="532"/>
      <c r="AX398" s="532">
        <f t="shared" si="459"/>
        <v>0</v>
      </c>
      <c r="AY398" s="532"/>
      <c r="AZ398" s="156"/>
      <c r="BA398" s="156"/>
      <c r="BB398" s="156"/>
      <c r="BC398" s="156"/>
      <c r="BD398" s="156"/>
      <c r="BE398" s="156"/>
      <c r="BF398" s="156"/>
      <c r="BG398" s="156"/>
      <c r="BH398" s="156"/>
      <c r="BI398" s="156"/>
      <c r="BJ398" s="156"/>
      <c r="BK398" s="156"/>
      <c r="BL398" s="729">
        <v>-10.885</v>
      </c>
      <c r="BM398" s="156"/>
      <c r="BN398" s="730"/>
      <c r="BO398" s="156"/>
      <c r="BP398" s="156"/>
      <c r="BQ398" s="156"/>
      <c r="BR398" s="156"/>
      <c r="BS398" s="156"/>
      <c r="BT398" s="533"/>
    </row>
    <row r="399" spans="1:72" s="17" customFormat="1" hidden="1" outlineLevel="1" x14ac:dyDescent="0.35">
      <c r="A399" s="208" t="s">
        <v>166</v>
      </c>
      <c r="B399" s="308"/>
      <c r="C399" s="638">
        <v>-0.64500000000000002</v>
      </c>
      <c r="D399" s="638">
        <v>-0.80100000000000005</v>
      </c>
      <c r="E399" s="638">
        <v>-1.8169999999999999</v>
      </c>
      <c r="F399" s="533">
        <f>BD399</f>
        <v>-2.5459999999999998</v>
      </c>
      <c r="G399" s="638">
        <v>-1.508</v>
      </c>
      <c r="H399" s="638">
        <v>-3.2229999999999999</v>
      </c>
      <c r="I399" s="638">
        <v>-4.2699999999999996</v>
      </c>
      <c r="J399" s="533">
        <f>BE399</f>
        <v>-5.0179999999999998</v>
      </c>
      <c r="K399" s="638">
        <v>-1.1120000000000001</v>
      </c>
      <c r="L399" s="638">
        <v>-1.468</v>
      </c>
      <c r="M399" s="638">
        <v>-2.3879999999999999</v>
      </c>
      <c r="N399" s="533">
        <f>BF399</f>
        <v>-2.6720000000000002</v>
      </c>
      <c r="O399" s="638">
        <v>-1.9279999999999999</v>
      </c>
      <c r="P399" s="638">
        <v>-2.34</v>
      </c>
      <c r="Q399" s="638">
        <v>-3.056</v>
      </c>
      <c r="R399" s="533">
        <f>BG399</f>
        <v>-3.3940000000000001</v>
      </c>
      <c r="S399" s="638">
        <v>-1.498</v>
      </c>
      <c r="T399" s="638">
        <v>-1.65</v>
      </c>
      <c r="U399" s="638">
        <v>-4.2359999999999998</v>
      </c>
      <c r="V399" s="533">
        <f>BH399</f>
        <v>-6.1909999999999998</v>
      </c>
      <c r="W399" s="638">
        <v>-4.093</v>
      </c>
      <c r="X399" s="638">
        <v>-5.7569999999999997</v>
      </c>
      <c r="Y399" s="638">
        <v>-9.7629999999999999</v>
      </c>
      <c r="Z399" s="533">
        <f>BI399</f>
        <v>-10.314</v>
      </c>
      <c r="AA399" s="638">
        <v>-6.0720000000000001</v>
      </c>
      <c r="AB399" s="638">
        <v>-6.9050000000000002</v>
      </c>
      <c r="AC399" s="638">
        <v>-9.6560000000000006</v>
      </c>
      <c r="AD399" s="533">
        <f>BJ399</f>
        <v>-9.9580000000000002</v>
      </c>
      <c r="AE399" s="638">
        <v>-4.6980000000000004</v>
      </c>
      <c r="AF399" s="638">
        <v>-4.883</v>
      </c>
      <c r="AG399" s="638">
        <v>-6.5039999999999996</v>
      </c>
      <c r="AH399" s="533">
        <f>BK399</f>
        <v>-6.7610000000000001</v>
      </c>
      <c r="AI399" s="638">
        <v>-5.8079999999999998</v>
      </c>
      <c r="AJ399" s="638">
        <v>-6.1080000000000005</v>
      </c>
      <c r="AK399" s="638">
        <v>-8.8719999999999999</v>
      </c>
      <c r="AL399" s="533">
        <f t="shared" si="468"/>
        <v>-9.2279999999999998</v>
      </c>
      <c r="AM399" s="638">
        <v>-6.0430000000000001</v>
      </c>
      <c r="AN399" s="638">
        <v>-35.404000000000003</v>
      </c>
      <c r="AO399" s="638">
        <v>-37.463000000000001</v>
      </c>
      <c r="AP399" s="533">
        <f t="shared" si="457"/>
        <v>-37.854999999999997</v>
      </c>
      <c r="AQ399" s="638">
        <v>-8.9049999999999994</v>
      </c>
      <c r="AR399" s="638">
        <v>-10.334</v>
      </c>
      <c r="AS399" s="638">
        <v>-12.936</v>
      </c>
      <c r="AT399" s="533">
        <f t="shared" si="458"/>
        <v>-13.541</v>
      </c>
      <c r="AU399" s="643">
        <v>-2.09</v>
      </c>
      <c r="AV399" s="532"/>
      <c r="AW399" s="532"/>
      <c r="AX399" s="532">
        <f t="shared" si="459"/>
        <v>0</v>
      </c>
      <c r="AY399" s="532"/>
      <c r="AZ399" s="156"/>
      <c r="BA399" s="729">
        <v>-5.8000000000000003E-2</v>
      </c>
      <c r="BB399" s="729">
        <v>-1.627</v>
      </c>
      <c r="BC399" s="729">
        <v>-1.292</v>
      </c>
      <c r="BD399" s="729">
        <v>-2.5459999999999998</v>
      </c>
      <c r="BE399" s="729">
        <v>-5.0179999999999998</v>
      </c>
      <c r="BF399" s="729">
        <v>-2.6720000000000002</v>
      </c>
      <c r="BG399" s="729">
        <v>-3.3940000000000001</v>
      </c>
      <c r="BH399" s="729">
        <v>-6.1909999999999998</v>
      </c>
      <c r="BI399" s="729">
        <v>-10.314</v>
      </c>
      <c r="BJ399" s="729">
        <v>-9.9580000000000002</v>
      </c>
      <c r="BK399" s="729">
        <v>-6.7610000000000001</v>
      </c>
      <c r="BL399" s="729">
        <v>-9.2279999999999998</v>
      </c>
      <c r="BM399" s="729">
        <v>-37.854999999999997</v>
      </c>
      <c r="BN399" s="748">
        <v>-13.541</v>
      </c>
      <c r="BO399" s="156"/>
      <c r="BP399" s="156"/>
      <c r="BQ399" s="156"/>
      <c r="BR399" s="156"/>
      <c r="BS399" s="156"/>
      <c r="BT399" s="533"/>
    </row>
    <row r="400" spans="1:72" s="17" customFormat="1" hidden="1" outlineLevel="1" x14ac:dyDescent="0.35">
      <c r="A400" s="208" t="s">
        <v>167</v>
      </c>
      <c r="B400" s="308"/>
      <c r="C400" s="532"/>
      <c r="D400" s="532"/>
      <c r="E400" s="532"/>
      <c r="F400" s="533">
        <f>BD400</f>
        <v>0</v>
      </c>
      <c r="G400" s="532"/>
      <c r="H400" s="532"/>
      <c r="I400" s="532"/>
      <c r="J400" s="533">
        <f>BE400</f>
        <v>0</v>
      </c>
      <c r="K400" s="532"/>
      <c r="L400" s="532"/>
      <c r="M400" s="532"/>
      <c r="N400" s="533">
        <f>BF400</f>
        <v>0</v>
      </c>
      <c r="O400" s="532"/>
      <c r="P400" s="532"/>
      <c r="Q400" s="532"/>
      <c r="R400" s="533">
        <f>BG400</f>
        <v>0</v>
      </c>
      <c r="S400" s="532"/>
      <c r="T400" s="532"/>
      <c r="U400" s="532"/>
      <c r="V400" s="533">
        <f>BH400</f>
        <v>0</v>
      </c>
      <c r="W400" s="532"/>
      <c r="X400" s="532"/>
      <c r="Y400" s="532"/>
      <c r="Z400" s="533">
        <f>BI400</f>
        <v>0</v>
      </c>
      <c r="AA400" s="532"/>
      <c r="AB400" s="532"/>
      <c r="AC400" s="532"/>
      <c r="AD400" s="533">
        <f>BJ400</f>
        <v>0</v>
      </c>
      <c r="AE400" s="532"/>
      <c r="AF400" s="532"/>
      <c r="AG400" s="532"/>
      <c r="AH400" s="533">
        <f>BK400</f>
        <v>0</v>
      </c>
      <c r="AI400" s="532"/>
      <c r="AJ400" s="532"/>
      <c r="AK400" s="532"/>
      <c r="AL400" s="533">
        <f t="shared" si="468"/>
        <v>0</v>
      </c>
      <c r="AM400" s="532"/>
      <c r="AN400" s="532"/>
      <c r="AO400" s="532"/>
      <c r="AP400" s="533">
        <f t="shared" si="457"/>
        <v>0</v>
      </c>
      <c r="AQ400" s="532"/>
      <c r="AR400" s="532"/>
      <c r="AS400" s="532"/>
      <c r="AT400" s="533">
        <f t="shared" si="458"/>
        <v>0</v>
      </c>
      <c r="AU400" s="534"/>
      <c r="AV400" s="532"/>
      <c r="AW400" s="532"/>
      <c r="AX400" s="532">
        <f t="shared" si="459"/>
        <v>0</v>
      </c>
      <c r="AY400" s="532"/>
      <c r="AZ400" s="156"/>
      <c r="BA400" s="156"/>
      <c r="BB400" s="729">
        <v>125.619</v>
      </c>
      <c r="BC400" s="156"/>
      <c r="BD400" s="156"/>
      <c r="BE400" s="156"/>
      <c r="BF400" s="156"/>
      <c r="BG400" s="156"/>
      <c r="BH400" s="156"/>
      <c r="BI400" s="156"/>
      <c r="BJ400" s="156"/>
      <c r="BK400" s="156"/>
      <c r="BL400" s="156"/>
      <c r="BM400" s="156"/>
      <c r="BN400" s="730"/>
      <c r="BO400" s="156"/>
      <c r="BP400" s="156"/>
      <c r="BQ400" s="156"/>
      <c r="BR400" s="156"/>
      <c r="BS400" s="156"/>
      <c r="BT400" s="533"/>
    </row>
    <row r="401" spans="1:72" s="17" customFormat="1" hidden="1" outlineLevel="1" x14ac:dyDescent="0.35">
      <c r="A401" s="208" t="s">
        <v>168</v>
      </c>
      <c r="B401" s="308"/>
      <c r="C401" s="532"/>
      <c r="D401" s="532"/>
      <c r="E401" s="532"/>
      <c r="F401" s="533">
        <f>BD401</f>
        <v>0</v>
      </c>
      <c r="G401" s="532"/>
      <c r="H401" s="532"/>
      <c r="I401" s="532"/>
      <c r="J401" s="533">
        <f>BE401</f>
        <v>0</v>
      </c>
      <c r="K401" s="532"/>
      <c r="L401" s="532"/>
      <c r="M401" s="532"/>
      <c r="N401" s="533">
        <f>BF401</f>
        <v>0</v>
      </c>
      <c r="O401" s="532"/>
      <c r="P401" s="532"/>
      <c r="Q401" s="532"/>
      <c r="R401" s="533">
        <f>BG401</f>
        <v>0</v>
      </c>
      <c r="S401" s="532"/>
      <c r="T401" s="532"/>
      <c r="U401" s="532"/>
      <c r="V401" s="533">
        <f>BH401</f>
        <v>0</v>
      </c>
      <c r="W401" s="532"/>
      <c r="X401" s="532"/>
      <c r="Y401" s="532"/>
      <c r="Z401" s="533">
        <f>BI401</f>
        <v>0</v>
      </c>
      <c r="AA401" s="532"/>
      <c r="AB401" s="532"/>
      <c r="AC401" s="532"/>
      <c r="AD401" s="533">
        <f>BJ401</f>
        <v>0</v>
      </c>
      <c r="AE401" s="532"/>
      <c r="AF401" s="532"/>
      <c r="AG401" s="532"/>
      <c r="AH401" s="533">
        <f>BK401</f>
        <v>0</v>
      </c>
      <c r="AI401" s="532"/>
      <c r="AJ401" s="532"/>
      <c r="AK401" s="532"/>
      <c r="AL401" s="533">
        <f t="shared" si="468"/>
        <v>0</v>
      </c>
      <c r="AM401" s="532"/>
      <c r="AN401" s="532"/>
      <c r="AO401" s="532"/>
      <c r="AP401" s="533">
        <f t="shared" si="457"/>
        <v>0</v>
      </c>
      <c r="AQ401" s="532"/>
      <c r="AR401" s="532"/>
      <c r="AS401" s="532"/>
      <c r="AT401" s="533">
        <f t="shared" si="458"/>
        <v>0</v>
      </c>
      <c r="AU401" s="534"/>
      <c r="AV401" s="532"/>
      <c r="AW401" s="532"/>
      <c r="AX401" s="532">
        <f t="shared" si="459"/>
        <v>0</v>
      </c>
      <c r="AY401" s="532"/>
      <c r="AZ401" s="729">
        <v>3.1349999999999998</v>
      </c>
      <c r="BA401" s="156"/>
      <c r="BB401" s="729">
        <v>1.9319999999999999</v>
      </c>
      <c r="BC401" s="156"/>
      <c r="BD401" s="156"/>
      <c r="BE401" s="156"/>
      <c r="BF401" s="156"/>
      <c r="BG401" s="156"/>
      <c r="BH401" s="156"/>
      <c r="BI401" s="156"/>
      <c r="BJ401" s="156"/>
      <c r="BK401" s="156"/>
      <c r="BL401" s="156"/>
      <c r="BM401" s="156"/>
      <c r="BN401" s="730"/>
      <c r="BO401" s="156"/>
      <c r="BP401" s="156"/>
      <c r="BQ401" s="156"/>
      <c r="BR401" s="156"/>
      <c r="BS401" s="156"/>
      <c r="BT401" s="533"/>
    </row>
    <row r="402" spans="1:72" s="17" customFormat="1" hidden="1" outlineLevel="1" x14ac:dyDescent="0.35">
      <c r="A402" s="208" t="s">
        <v>169</v>
      </c>
      <c r="B402" s="308"/>
      <c r="C402" s="532"/>
      <c r="D402" s="532"/>
      <c r="E402" s="532"/>
      <c r="F402" s="533">
        <f>BD402</f>
        <v>0</v>
      </c>
      <c r="G402" s="532"/>
      <c r="H402" s="532"/>
      <c r="I402" s="532"/>
      <c r="J402" s="533">
        <f>BE402</f>
        <v>0</v>
      </c>
      <c r="K402" s="532"/>
      <c r="L402" s="532"/>
      <c r="M402" s="532"/>
      <c r="N402" s="533">
        <f>BF402</f>
        <v>0</v>
      </c>
      <c r="O402" s="532"/>
      <c r="P402" s="532"/>
      <c r="Q402" s="532"/>
      <c r="R402" s="533">
        <f>BG402</f>
        <v>0</v>
      </c>
      <c r="S402" s="532"/>
      <c r="T402" s="532"/>
      <c r="U402" s="532"/>
      <c r="V402" s="533">
        <f>BH402</f>
        <v>0</v>
      </c>
      <c r="W402" s="532"/>
      <c r="X402" s="532"/>
      <c r="Y402" s="532"/>
      <c r="Z402" s="533">
        <f>BI402</f>
        <v>0</v>
      </c>
      <c r="AA402" s="532"/>
      <c r="AB402" s="532"/>
      <c r="AC402" s="532"/>
      <c r="AD402" s="533">
        <f>BJ402</f>
        <v>0</v>
      </c>
      <c r="AE402" s="532"/>
      <c r="AF402" s="532"/>
      <c r="AG402" s="638">
        <v>105</v>
      </c>
      <c r="AH402" s="533">
        <f>BK402</f>
        <v>105</v>
      </c>
      <c r="AI402" s="532"/>
      <c r="AJ402" s="532"/>
      <c r="AK402" s="532"/>
      <c r="AL402" s="533">
        <f t="shared" si="468"/>
        <v>0</v>
      </c>
      <c r="AM402" s="532"/>
      <c r="AN402" s="532"/>
      <c r="AO402" s="532"/>
      <c r="AP402" s="533">
        <f t="shared" si="457"/>
        <v>0</v>
      </c>
      <c r="AQ402" s="532"/>
      <c r="AR402" s="532"/>
      <c r="AS402" s="532"/>
      <c r="AT402" s="533">
        <f t="shared" si="458"/>
        <v>0</v>
      </c>
      <c r="AU402" s="534"/>
      <c r="AV402" s="532"/>
      <c r="AW402" s="532"/>
      <c r="AX402" s="532">
        <f t="shared" si="459"/>
        <v>0</v>
      </c>
      <c r="AY402" s="532"/>
      <c r="AZ402" s="156"/>
      <c r="BA402" s="156"/>
      <c r="BB402" s="729">
        <v>15</v>
      </c>
      <c r="BC402" s="156"/>
      <c r="BD402" s="156"/>
      <c r="BE402" s="156"/>
      <c r="BF402" s="156"/>
      <c r="BG402" s="156"/>
      <c r="BH402" s="156"/>
      <c r="BI402" s="156"/>
      <c r="BJ402" s="156"/>
      <c r="BK402" s="729">
        <v>105</v>
      </c>
      <c r="BL402" s="156"/>
      <c r="BM402" s="156"/>
      <c r="BN402" s="730"/>
      <c r="BO402" s="156"/>
      <c r="BP402" s="156"/>
      <c r="BQ402" s="156"/>
      <c r="BR402" s="156"/>
      <c r="BS402" s="156"/>
      <c r="BT402" s="533"/>
    </row>
    <row r="403" spans="1:72" s="17" customFormat="1" hidden="1" outlineLevel="1" x14ac:dyDescent="0.35">
      <c r="A403" s="208" t="s">
        <v>170</v>
      </c>
      <c r="B403" s="308"/>
      <c r="C403" s="532"/>
      <c r="D403" s="532"/>
      <c r="E403" s="532"/>
      <c r="F403" s="533">
        <f>BD403</f>
        <v>0</v>
      </c>
      <c r="G403" s="532"/>
      <c r="H403" s="532"/>
      <c r="I403" s="532"/>
      <c r="J403" s="533">
        <f>BE403</f>
        <v>0</v>
      </c>
      <c r="K403" s="532"/>
      <c r="L403" s="532"/>
      <c r="M403" s="532"/>
      <c r="N403" s="533">
        <f>BF403</f>
        <v>0</v>
      </c>
      <c r="O403" s="532"/>
      <c r="P403" s="532"/>
      <c r="Q403" s="532"/>
      <c r="R403" s="533">
        <f>BG403</f>
        <v>0</v>
      </c>
      <c r="S403" s="532"/>
      <c r="T403" s="532"/>
      <c r="U403" s="532"/>
      <c r="V403" s="533">
        <f>BH403</f>
        <v>0</v>
      </c>
      <c r="W403" s="532"/>
      <c r="X403" s="532"/>
      <c r="Y403" s="532"/>
      <c r="Z403" s="533">
        <f>BI403</f>
        <v>0</v>
      </c>
      <c r="AA403" s="532"/>
      <c r="AB403" s="532"/>
      <c r="AC403" s="532"/>
      <c r="AD403" s="533">
        <f>BJ403</f>
        <v>0</v>
      </c>
      <c r="AE403" s="532"/>
      <c r="AF403" s="532"/>
      <c r="AG403" s="638">
        <v>-5</v>
      </c>
      <c r="AH403" s="533">
        <f>BK403</f>
        <v>-5</v>
      </c>
      <c r="AI403" s="638">
        <v>-100</v>
      </c>
      <c r="AJ403" s="638">
        <v>-100</v>
      </c>
      <c r="AK403" s="638">
        <v>-100</v>
      </c>
      <c r="AL403" s="533">
        <f t="shared" si="468"/>
        <v>-100</v>
      </c>
      <c r="AM403" s="532"/>
      <c r="AN403" s="532"/>
      <c r="AO403" s="532"/>
      <c r="AP403" s="533">
        <f t="shared" si="457"/>
        <v>0</v>
      </c>
      <c r="AQ403" s="532"/>
      <c r="AR403" s="532"/>
      <c r="AS403" s="532"/>
      <c r="AT403" s="533">
        <f t="shared" si="458"/>
        <v>0</v>
      </c>
      <c r="AU403" s="534"/>
      <c r="AV403" s="532"/>
      <c r="AW403" s="532"/>
      <c r="AX403" s="532">
        <f t="shared" si="459"/>
        <v>0</v>
      </c>
      <c r="AY403" s="532"/>
      <c r="AZ403" s="156"/>
      <c r="BA403" s="156"/>
      <c r="BB403" s="729">
        <v>-15</v>
      </c>
      <c r="BC403" s="156"/>
      <c r="BD403" s="156"/>
      <c r="BE403" s="156"/>
      <c r="BF403" s="156"/>
      <c r="BG403" s="156"/>
      <c r="BH403" s="156"/>
      <c r="BI403" s="156"/>
      <c r="BJ403" s="156"/>
      <c r="BK403" s="729">
        <v>-5</v>
      </c>
      <c r="BL403" s="729">
        <v>-100</v>
      </c>
      <c r="BM403" s="156"/>
      <c r="BN403" s="730"/>
      <c r="BO403" s="156"/>
      <c r="BP403" s="156"/>
      <c r="BQ403" s="156"/>
      <c r="BR403" s="156"/>
      <c r="BS403" s="156"/>
      <c r="BT403" s="533"/>
    </row>
    <row r="404" spans="1:72" s="17" customFormat="1" hidden="1" outlineLevel="1" x14ac:dyDescent="0.35">
      <c r="A404" s="208" t="s">
        <v>443</v>
      </c>
      <c r="B404" s="308"/>
      <c r="C404" s="532"/>
      <c r="D404" s="532"/>
      <c r="E404" s="532"/>
      <c r="F404" s="532"/>
      <c r="G404" s="532"/>
      <c r="H404" s="532"/>
      <c r="I404" s="532"/>
      <c r="J404" s="532"/>
      <c r="K404" s="532"/>
      <c r="L404" s="532"/>
      <c r="M404" s="532"/>
      <c r="N404" s="532"/>
      <c r="O404" s="532"/>
      <c r="P404" s="532"/>
      <c r="Q404" s="532"/>
      <c r="R404" s="532"/>
      <c r="S404" s="532"/>
      <c r="T404" s="532"/>
      <c r="U404" s="532"/>
      <c r="V404" s="532"/>
      <c r="W404" s="532"/>
      <c r="X404" s="532"/>
      <c r="Y404" s="532"/>
      <c r="Z404" s="532"/>
      <c r="AA404" s="532"/>
      <c r="AB404" s="532"/>
      <c r="AC404" s="532"/>
      <c r="AD404" s="532"/>
      <c r="AE404" s="532"/>
      <c r="AF404" s="532"/>
      <c r="AG404" s="532"/>
      <c r="AH404" s="532"/>
      <c r="AI404" s="638">
        <v>409.39</v>
      </c>
      <c r="AJ404" s="638">
        <v>408.61</v>
      </c>
      <c r="AK404" s="638">
        <v>408.61</v>
      </c>
      <c r="AL404" s="532">
        <f t="shared" si="468"/>
        <v>408.61</v>
      </c>
      <c r="AM404" s="532"/>
      <c r="AN404" s="532"/>
      <c r="AO404" s="532"/>
      <c r="AP404" s="532">
        <f t="shared" si="457"/>
        <v>0</v>
      </c>
      <c r="AQ404" s="532"/>
      <c r="AR404" s="532"/>
      <c r="AS404" s="532"/>
      <c r="AT404" s="532">
        <f t="shared" si="458"/>
        <v>0</v>
      </c>
      <c r="AU404" s="534"/>
      <c r="AV404" s="532"/>
      <c r="AW404" s="532"/>
      <c r="AX404" s="532">
        <f t="shared" si="459"/>
        <v>0</v>
      </c>
      <c r="AY404" s="532"/>
      <c r="AZ404" s="156"/>
      <c r="BA404" s="156"/>
      <c r="BB404" s="156"/>
      <c r="BC404" s="156"/>
      <c r="BD404" s="156"/>
      <c r="BE404" s="156"/>
      <c r="BF404" s="156"/>
      <c r="BG404" s="156"/>
      <c r="BH404" s="156"/>
      <c r="BI404" s="156"/>
      <c r="BJ404" s="156"/>
      <c r="BK404" s="156"/>
      <c r="BL404" s="729">
        <v>408.61</v>
      </c>
      <c r="BM404" s="156"/>
      <c r="BN404" s="730"/>
      <c r="BO404" s="156"/>
      <c r="BP404" s="156"/>
      <c r="BQ404" s="156"/>
      <c r="BR404" s="156"/>
      <c r="BS404" s="156"/>
      <c r="BT404" s="533"/>
    </row>
    <row r="405" spans="1:72" s="17" customFormat="1" hidden="1" outlineLevel="1" x14ac:dyDescent="0.35">
      <c r="A405" s="208" t="s">
        <v>444</v>
      </c>
      <c r="B405" s="308"/>
      <c r="C405" s="532"/>
      <c r="D405" s="532"/>
      <c r="E405" s="532"/>
      <c r="F405" s="532"/>
      <c r="G405" s="532"/>
      <c r="H405" s="532"/>
      <c r="I405" s="532"/>
      <c r="J405" s="532"/>
      <c r="K405" s="532"/>
      <c r="L405" s="532"/>
      <c r="M405" s="532"/>
      <c r="N405" s="532"/>
      <c r="O405" s="532"/>
      <c r="P405" s="532"/>
      <c r="Q405" s="532"/>
      <c r="R405" s="532"/>
      <c r="S405" s="532"/>
      <c r="T405" s="532"/>
      <c r="U405" s="532"/>
      <c r="V405" s="532"/>
      <c r="W405" s="532"/>
      <c r="X405" s="532"/>
      <c r="Y405" s="532"/>
      <c r="Z405" s="532"/>
      <c r="AA405" s="532"/>
      <c r="AB405" s="532"/>
      <c r="AC405" s="532"/>
      <c r="AD405" s="532"/>
      <c r="AE405" s="532"/>
      <c r="AF405" s="532"/>
      <c r="AG405" s="532"/>
      <c r="AH405" s="532"/>
      <c r="AI405" s="638">
        <v>-60.353999999999999</v>
      </c>
      <c r="AJ405" s="638">
        <v>-60.353999999999999</v>
      </c>
      <c r="AK405" s="638">
        <v>-60.353999999999999</v>
      </c>
      <c r="AL405" s="532">
        <f t="shared" si="468"/>
        <v>-60.353999999999999</v>
      </c>
      <c r="AM405" s="532"/>
      <c r="AN405" s="532"/>
      <c r="AO405" s="532"/>
      <c r="AP405" s="532">
        <f t="shared" si="457"/>
        <v>0</v>
      </c>
      <c r="AQ405" s="532"/>
      <c r="AR405" s="532"/>
      <c r="AS405" s="532"/>
      <c r="AT405" s="532">
        <f t="shared" si="458"/>
        <v>0</v>
      </c>
      <c r="AU405" s="534"/>
      <c r="AV405" s="532"/>
      <c r="AW405" s="532"/>
      <c r="AX405" s="532">
        <f t="shared" si="459"/>
        <v>0</v>
      </c>
      <c r="AY405" s="532"/>
      <c r="AZ405" s="156"/>
      <c r="BA405" s="156"/>
      <c r="BB405" s="156"/>
      <c r="BC405" s="156"/>
      <c r="BD405" s="156"/>
      <c r="BE405" s="156"/>
      <c r="BF405" s="156"/>
      <c r="BG405" s="156"/>
      <c r="BH405" s="156"/>
      <c r="BI405" s="156"/>
      <c r="BJ405" s="156"/>
      <c r="BK405" s="156"/>
      <c r="BL405" s="729">
        <v>-60.353999999999999</v>
      </c>
      <c r="BM405" s="156"/>
      <c r="BN405" s="730"/>
      <c r="BO405" s="156"/>
      <c r="BP405" s="156"/>
      <c r="BQ405" s="156"/>
      <c r="BR405" s="156"/>
      <c r="BS405" s="156"/>
      <c r="BT405" s="533"/>
    </row>
    <row r="406" spans="1:72" s="17" customFormat="1" hidden="1" outlineLevel="1" x14ac:dyDescent="0.35">
      <c r="A406" s="208" t="s">
        <v>171</v>
      </c>
      <c r="B406" s="308"/>
      <c r="C406" s="532"/>
      <c r="D406" s="532"/>
      <c r="E406" s="532"/>
      <c r="F406" s="533">
        <f>BD406</f>
        <v>0</v>
      </c>
      <c r="G406" s="532"/>
      <c r="H406" s="532"/>
      <c r="I406" s="532"/>
      <c r="J406" s="533">
        <f>BE406</f>
        <v>0</v>
      </c>
      <c r="K406" s="532"/>
      <c r="L406" s="532"/>
      <c r="M406" s="532"/>
      <c r="N406" s="533">
        <f>BF406</f>
        <v>0</v>
      </c>
      <c r="O406" s="532"/>
      <c r="P406" s="532"/>
      <c r="Q406" s="532"/>
      <c r="R406" s="533">
        <f>BG406</f>
        <v>0</v>
      </c>
      <c r="S406" s="532"/>
      <c r="T406" s="532"/>
      <c r="U406" s="532"/>
      <c r="V406" s="533">
        <f>BH406</f>
        <v>0</v>
      </c>
      <c r="W406" s="532"/>
      <c r="X406" s="532"/>
      <c r="Y406" s="532"/>
      <c r="Z406" s="533">
        <f>BI406</f>
        <v>0</v>
      </c>
      <c r="AA406" s="532"/>
      <c r="AB406" s="532"/>
      <c r="AC406" s="532"/>
      <c r="AD406" s="533">
        <f>BJ406</f>
        <v>0</v>
      </c>
      <c r="AE406" s="532"/>
      <c r="AF406" s="532"/>
      <c r="AG406" s="532"/>
      <c r="AH406" s="533">
        <f>BK406</f>
        <v>0</v>
      </c>
      <c r="AI406" s="532"/>
      <c r="AJ406" s="532"/>
      <c r="AK406" s="532"/>
      <c r="AL406" s="533">
        <f t="shared" si="468"/>
        <v>0</v>
      </c>
      <c r="AM406" s="532"/>
      <c r="AN406" s="532"/>
      <c r="AO406" s="532"/>
      <c r="AP406" s="533">
        <f t="shared" si="457"/>
        <v>0</v>
      </c>
      <c r="AQ406" s="532"/>
      <c r="AR406" s="532"/>
      <c r="AS406" s="532"/>
      <c r="AT406" s="533">
        <f t="shared" si="458"/>
        <v>0</v>
      </c>
      <c r="AU406" s="534"/>
      <c r="AV406" s="532"/>
      <c r="AW406" s="532"/>
      <c r="AX406" s="532">
        <f t="shared" si="459"/>
        <v>0</v>
      </c>
      <c r="AY406" s="532"/>
      <c r="AZ406" s="156"/>
      <c r="BA406" s="156"/>
      <c r="BB406" s="156"/>
      <c r="BC406" s="156"/>
      <c r="BD406" s="156"/>
      <c r="BE406" s="156"/>
      <c r="BF406" s="156"/>
      <c r="BG406" s="156"/>
      <c r="BH406" s="156"/>
      <c r="BI406" s="156"/>
      <c r="BJ406" s="156"/>
      <c r="BK406" s="156"/>
      <c r="BL406" s="156"/>
      <c r="BM406" s="156"/>
      <c r="BN406" s="730"/>
      <c r="BO406" s="156"/>
      <c r="BP406" s="156"/>
      <c r="BQ406" s="156"/>
      <c r="BR406" s="156"/>
      <c r="BS406" s="156"/>
      <c r="BT406" s="533"/>
    </row>
    <row r="407" spans="1:72" s="1" customFormat="1" hidden="1" outlineLevel="1" x14ac:dyDescent="0.35">
      <c r="A407" s="47" t="s">
        <v>172</v>
      </c>
      <c r="B407" s="360"/>
      <c r="C407" s="573">
        <f t="shared" ref="C407:AH407" si="469">SUM(C388:C406)</f>
        <v>-4.504999999999999</v>
      </c>
      <c r="D407" s="573">
        <f t="shared" si="469"/>
        <v>-8.2980000000000018</v>
      </c>
      <c r="E407" s="573">
        <f t="shared" si="469"/>
        <v>-10.227999999999998</v>
      </c>
      <c r="F407" s="573">
        <f t="shared" si="469"/>
        <v>-8.2119999999999997</v>
      </c>
      <c r="G407" s="573">
        <f t="shared" si="469"/>
        <v>3.7000000000000144E-2</v>
      </c>
      <c r="H407" s="573">
        <f t="shared" si="469"/>
        <v>-14.241</v>
      </c>
      <c r="I407" s="573">
        <f t="shared" si="469"/>
        <v>-40.299999999999997</v>
      </c>
      <c r="J407" s="573">
        <f t="shared" si="469"/>
        <v>-63.402000000000008</v>
      </c>
      <c r="K407" s="573">
        <f t="shared" si="469"/>
        <v>-33.295000000000002</v>
      </c>
      <c r="L407" s="573">
        <f t="shared" si="469"/>
        <v>-39.239000000000004</v>
      </c>
      <c r="M407" s="573">
        <f t="shared" si="469"/>
        <v>-45.061999999999998</v>
      </c>
      <c r="N407" s="573">
        <f t="shared" si="469"/>
        <v>-50.392000000000003</v>
      </c>
      <c r="O407" s="573">
        <f t="shared" si="469"/>
        <v>-6.8489999999999993</v>
      </c>
      <c r="P407" s="573">
        <f t="shared" si="469"/>
        <v>-11.69</v>
      </c>
      <c r="Q407" s="573">
        <f t="shared" si="469"/>
        <v>-16.464000000000002</v>
      </c>
      <c r="R407" s="573">
        <f t="shared" si="469"/>
        <v>-20.776000000000003</v>
      </c>
      <c r="S407" s="573">
        <f t="shared" si="469"/>
        <v>-4.9349999999999996</v>
      </c>
      <c r="T407" s="573">
        <f t="shared" si="469"/>
        <v>-9.0789999999999988</v>
      </c>
      <c r="U407" s="573">
        <f t="shared" si="469"/>
        <v>-14.346999999999998</v>
      </c>
      <c r="V407" s="573">
        <f t="shared" si="469"/>
        <v>-14.643999999999998</v>
      </c>
      <c r="W407" s="573">
        <f t="shared" si="469"/>
        <v>-7.7780000000000005</v>
      </c>
      <c r="X407" s="573">
        <f t="shared" si="469"/>
        <v>-12.686</v>
      </c>
      <c r="Y407" s="573">
        <f t="shared" si="469"/>
        <v>-19.892000000000003</v>
      </c>
      <c r="Z407" s="573">
        <f t="shared" si="469"/>
        <v>-50.901000000000003</v>
      </c>
      <c r="AA407" s="573">
        <f t="shared" si="469"/>
        <v>-9.58</v>
      </c>
      <c r="AB407" s="573">
        <f t="shared" si="469"/>
        <v>-13.795</v>
      </c>
      <c r="AC407" s="573">
        <f t="shared" si="469"/>
        <v>-22.398</v>
      </c>
      <c r="AD407" s="573">
        <f t="shared" si="469"/>
        <v>-28.988999999999997</v>
      </c>
      <c r="AE407" s="573">
        <f t="shared" si="469"/>
        <v>-12.116</v>
      </c>
      <c r="AF407" s="573">
        <f t="shared" si="469"/>
        <v>-19.794</v>
      </c>
      <c r="AG407" s="573">
        <f t="shared" si="469"/>
        <v>71.941000000000003</v>
      </c>
      <c r="AH407" s="573">
        <f t="shared" si="469"/>
        <v>65.628</v>
      </c>
      <c r="AI407" s="573">
        <f t="shared" ref="AI407:AX407" si="470">SUM(AI388:AI406)</f>
        <v>226.70600000000002</v>
      </c>
      <c r="AJ407" s="573">
        <f t="shared" si="470"/>
        <v>220.11100000000005</v>
      </c>
      <c r="AK407" s="573">
        <f t="shared" si="470"/>
        <v>212.12000000000006</v>
      </c>
      <c r="AL407" s="573">
        <f t="shared" si="470"/>
        <v>204.57600000000002</v>
      </c>
      <c r="AM407" s="573">
        <f t="shared" si="470"/>
        <v>-12.817</v>
      </c>
      <c r="AN407" s="573">
        <f t="shared" si="470"/>
        <v>-57.760000000000005</v>
      </c>
      <c r="AO407" s="573">
        <f t="shared" si="470"/>
        <v>-68.849000000000004</v>
      </c>
      <c r="AP407" s="573">
        <f t="shared" si="470"/>
        <v>-93.31</v>
      </c>
      <c r="AQ407" s="573">
        <f t="shared" si="470"/>
        <v>-25.232999999999997</v>
      </c>
      <c r="AR407" s="573">
        <f t="shared" si="470"/>
        <v>-37.286000000000001</v>
      </c>
      <c r="AS407" s="573">
        <f t="shared" si="470"/>
        <v>-51.177999999999997</v>
      </c>
      <c r="AT407" s="573">
        <f t="shared" si="470"/>
        <v>-63.501000000000005</v>
      </c>
      <c r="AU407" s="577">
        <f t="shared" si="470"/>
        <v>-13.811</v>
      </c>
      <c r="AV407" s="572">
        <f t="shared" si="470"/>
        <v>0</v>
      </c>
      <c r="AW407" s="572">
        <f t="shared" si="470"/>
        <v>0</v>
      </c>
      <c r="AX407" s="572">
        <f t="shared" si="470"/>
        <v>0</v>
      </c>
      <c r="AY407" s="572"/>
      <c r="AZ407" s="735">
        <f t="shared" ref="AZ407:BS407" si="471">SUM(AZ388:AZ406)</f>
        <v>15.020000000000001</v>
      </c>
      <c r="BA407" s="735">
        <f t="shared" si="471"/>
        <v>1.8710000000000002</v>
      </c>
      <c r="BB407" s="735">
        <f t="shared" si="471"/>
        <v>127.13800000000001</v>
      </c>
      <c r="BC407" s="735">
        <f t="shared" si="471"/>
        <v>-19.767000000000003</v>
      </c>
      <c r="BD407" s="735">
        <f t="shared" si="471"/>
        <v>-8.2119999999999997</v>
      </c>
      <c r="BE407" s="735">
        <f t="shared" si="471"/>
        <v>-63.402000000000008</v>
      </c>
      <c r="BF407" s="735">
        <f t="shared" si="471"/>
        <v>-50.392000000000003</v>
      </c>
      <c r="BG407" s="735">
        <f t="shared" si="471"/>
        <v>-20.776000000000003</v>
      </c>
      <c r="BH407" s="735">
        <f t="shared" si="471"/>
        <v>-14.643999999999998</v>
      </c>
      <c r="BI407" s="735">
        <f t="shared" si="471"/>
        <v>-50.901000000000003</v>
      </c>
      <c r="BJ407" s="735">
        <f t="shared" si="471"/>
        <v>-28.988999999999997</v>
      </c>
      <c r="BK407" s="735">
        <f t="shared" si="471"/>
        <v>65.628</v>
      </c>
      <c r="BL407" s="735">
        <f t="shared" si="471"/>
        <v>204.57600000000002</v>
      </c>
      <c r="BM407" s="735">
        <f t="shared" si="471"/>
        <v>-93.31</v>
      </c>
      <c r="BN407" s="749">
        <f t="shared" si="471"/>
        <v>-63.501000000000005</v>
      </c>
      <c r="BO407" s="734">
        <f t="shared" si="471"/>
        <v>0</v>
      </c>
      <c r="BP407" s="734">
        <f t="shared" si="471"/>
        <v>0</v>
      </c>
      <c r="BQ407" s="734">
        <f t="shared" si="471"/>
        <v>0</v>
      </c>
      <c r="BR407" s="734">
        <f t="shared" si="471"/>
        <v>0</v>
      </c>
      <c r="BS407" s="734">
        <f t="shared" si="471"/>
        <v>0</v>
      </c>
      <c r="BT407" s="530"/>
    </row>
    <row r="408" spans="1:72" s="1" customFormat="1" hidden="1" outlineLevel="1" x14ac:dyDescent="0.35">
      <c r="A408" s="354"/>
      <c r="B408" s="307"/>
      <c r="C408" s="529"/>
      <c r="D408" s="529"/>
      <c r="E408" s="529"/>
      <c r="F408" s="529"/>
      <c r="G408" s="529"/>
      <c r="H408" s="529"/>
      <c r="I408" s="529"/>
      <c r="J408" s="529"/>
      <c r="K408" s="529"/>
      <c r="L408" s="529"/>
      <c r="M408" s="529"/>
      <c r="N408" s="529"/>
      <c r="O408" s="529"/>
      <c r="P408" s="529"/>
      <c r="Q408" s="529"/>
      <c r="R408" s="529"/>
      <c r="S408" s="529"/>
      <c r="T408" s="529"/>
      <c r="U408" s="529"/>
      <c r="V408" s="529"/>
      <c r="W408" s="529"/>
      <c r="X408" s="529"/>
      <c r="Y408" s="529"/>
      <c r="Z408" s="529"/>
      <c r="AA408" s="529"/>
      <c r="AB408" s="529"/>
      <c r="AC408" s="529"/>
      <c r="AD408" s="529"/>
      <c r="AE408" s="529"/>
      <c r="AF408" s="529"/>
      <c r="AG408" s="529"/>
      <c r="AH408" s="529"/>
      <c r="AI408" s="529"/>
      <c r="AJ408" s="529"/>
      <c r="AK408" s="529"/>
      <c r="AL408" s="529"/>
      <c r="AM408" s="529"/>
      <c r="AN408" s="529"/>
      <c r="AO408" s="529"/>
      <c r="AP408" s="529"/>
      <c r="AQ408" s="529"/>
      <c r="AR408" s="529"/>
      <c r="AS408" s="529"/>
      <c r="AT408" s="529"/>
      <c r="AU408" s="531"/>
      <c r="AV408" s="529"/>
      <c r="AW408" s="529"/>
      <c r="AX408" s="529"/>
      <c r="AY408" s="529"/>
      <c r="AZ408" s="726"/>
      <c r="BA408" s="726"/>
      <c r="BB408" s="726"/>
      <c r="BC408" s="726"/>
      <c r="BD408" s="726"/>
      <c r="BE408" s="726"/>
      <c r="BF408" s="726"/>
      <c r="BG408" s="726"/>
      <c r="BH408" s="726"/>
      <c r="BI408" s="726"/>
      <c r="BJ408" s="726"/>
      <c r="BK408" s="726"/>
      <c r="BL408" s="726"/>
      <c r="BM408" s="726"/>
      <c r="BN408" s="728"/>
      <c r="BO408" s="726"/>
      <c r="BP408" s="726"/>
      <c r="BQ408" s="726"/>
      <c r="BR408" s="726"/>
      <c r="BS408" s="726"/>
      <c r="BT408" s="530"/>
    </row>
    <row r="409" spans="1:72" s="1" customFormat="1" hidden="1" outlineLevel="1" x14ac:dyDescent="0.35">
      <c r="A409" s="51" t="s">
        <v>173</v>
      </c>
      <c r="B409" s="307"/>
      <c r="C409" s="637">
        <v>0.249</v>
      </c>
      <c r="D409" s="637">
        <v>0.57099999999999995</v>
      </c>
      <c r="E409" s="637">
        <v>5.7000000000000002E-2</v>
      </c>
      <c r="F409" s="530">
        <f>BD409</f>
        <v>9.1999999999999998E-2</v>
      </c>
      <c r="G409" s="637">
        <v>0.57199999999999995</v>
      </c>
      <c r="H409" s="637">
        <v>0.80800000000000005</v>
      </c>
      <c r="I409" s="637">
        <v>0.879</v>
      </c>
      <c r="J409" s="530">
        <f>BE409</f>
        <v>0.96199999999999997</v>
      </c>
      <c r="K409" s="637">
        <v>-1.1020000000000001</v>
      </c>
      <c r="L409" s="637">
        <v>-2.0859999999999999</v>
      </c>
      <c r="M409" s="637">
        <v>-2.1440000000000001</v>
      </c>
      <c r="N409" s="530">
        <f>BF409</f>
        <v>-1.698</v>
      </c>
      <c r="O409" s="637">
        <v>-7.0000000000000001E-3</v>
      </c>
      <c r="P409" s="637">
        <v>-1.7999999999999999E-2</v>
      </c>
      <c r="Q409" s="637">
        <v>-1.7000000000000001E-2</v>
      </c>
      <c r="R409" s="530">
        <f>BG409</f>
        <v>-1.2E-2</v>
      </c>
      <c r="S409" s="637">
        <v>-8.0000000000000002E-3</v>
      </c>
      <c r="T409" s="637">
        <v>-1.7999999999999999E-2</v>
      </c>
      <c r="U409" s="637">
        <v>-1.2E-2</v>
      </c>
      <c r="V409" s="530">
        <f>BH409</f>
        <v>-1.0999999999999999E-2</v>
      </c>
      <c r="W409" s="637">
        <v>0</v>
      </c>
      <c r="X409" s="637">
        <v>0</v>
      </c>
      <c r="Y409" s="637">
        <v>0</v>
      </c>
      <c r="Z409" s="530">
        <f>BI409</f>
        <v>0</v>
      </c>
      <c r="AA409" s="637">
        <v>0</v>
      </c>
      <c r="AB409" s="637">
        <v>0</v>
      </c>
      <c r="AC409" s="637">
        <v>0</v>
      </c>
      <c r="AD409" s="530">
        <f>BJ409</f>
        <v>0</v>
      </c>
      <c r="AE409" s="529"/>
      <c r="AF409" s="529"/>
      <c r="AG409" s="529"/>
      <c r="AH409" s="530">
        <f>BK409</f>
        <v>0</v>
      </c>
      <c r="AI409" s="529"/>
      <c r="AJ409" s="529"/>
      <c r="AK409" s="529"/>
      <c r="AL409" s="530">
        <f>BL409</f>
        <v>0</v>
      </c>
      <c r="AM409" s="529"/>
      <c r="AN409" s="529"/>
      <c r="AO409" s="529"/>
      <c r="AP409" s="530">
        <f>BM409</f>
        <v>0</v>
      </c>
      <c r="AQ409" s="529"/>
      <c r="AR409" s="529"/>
      <c r="AS409" s="529"/>
      <c r="AT409" s="530">
        <f>BN409</f>
        <v>0</v>
      </c>
      <c r="AU409" s="531"/>
      <c r="AV409" s="529"/>
      <c r="AW409" s="529"/>
      <c r="AX409" s="529">
        <f>BO409</f>
        <v>0</v>
      </c>
      <c r="AY409" s="529"/>
      <c r="AZ409" s="726"/>
      <c r="BA409" s="726"/>
      <c r="BB409" s="727">
        <v>2.8000000000000001E-2</v>
      </c>
      <c r="BC409" s="727">
        <v>-0.43</v>
      </c>
      <c r="BD409" s="727">
        <v>9.1999999999999998E-2</v>
      </c>
      <c r="BE409" s="727">
        <v>0.96199999999999997</v>
      </c>
      <c r="BF409" s="727">
        <v>-1.698</v>
      </c>
      <c r="BG409" s="727">
        <v>-1.2E-2</v>
      </c>
      <c r="BH409" s="727">
        <v>-1.0999999999999999E-2</v>
      </c>
      <c r="BI409" s="727">
        <v>0</v>
      </c>
      <c r="BJ409" s="727">
        <v>0</v>
      </c>
      <c r="BK409" s="726"/>
      <c r="BL409" s="726"/>
      <c r="BM409" s="726"/>
      <c r="BN409" s="728"/>
      <c r="BO409" s="726"/>
      <c r="BP409" s="726"/>
      <c r="BQ409" s="726"/>
      <c r="BR409" s="726"/>
      <c r="BS409" s="726"/>
      <c r="BT409" s="530"/>
    </row>
    <row r="410" spans="1:72" s="1" customFormat="1" hidden="1" outlineLevel="1" x14ac:dyDescent="0.35">
      <c r="A410" s="51" t="s">
        <v>174</v>
      </c>
      <c r="B410" s="307"/>
      <c r="C410" s="530">
        <f t="shared" ref="C410:AH410" si="472">C407+C385+C357+C409</f>
        <v>-36.713999999999999</v>
      </c>
      <c r="D410" s="530">
        <f t="shared" si="472"/>
        <v>-1.4599999999999775</v>
      </c>
      <c r="E410" s="530">
        <f t="shared" si="472"/>
        <v>12.315999999999994</v>
      </c>
      <c r="F410" s="530">
        <f t="shared" si="472"/>
        <v>36.827999999999975</v>
      </c>
      <c r="G410" s="530">
        <f t="shared" si="472"/>
        <v>-18.006000000000025</v>
      </c>
      <c r="H410" s="530">
        <f t="shared" si="472"/>
        <v>-18.591000000000005</v>
      </c>
      <c r="I410" s="530">
        <f t="shared" si="472"/>
        <v>3.851999999999999</v>
      </c>
      <c r="J410" s="530">
        <f t="shared" si="472"/>
        <v>14.628999999999987</v>
      </c>
      <c r="K410" s="530">
        <f t="shared" si="472"/>
        <v>-86.913000000000011</v>
      </c>
      <c r="L410" s="530">
        <f t="shared" si="472"/>
        <v>-71.874999999999986</v>
      </c>
      <c r="M410" s="530">
        <f t="shared" si="472"/>
        <v>-53.259</v>
      </c>
      <c r="N410" s="530">
        <f t="shared" si="472"/>
        <v>-0.25699999999998324</v>
      </c>
      <c r="O410" s="530">
        <f t="shared" si="472"/>
        <v>-44.987999999999992</v>
      </c>
      <c r="P410" s="530">
        <f t="shared" si="472"/>
        <v>-24.575000000000017</v>
      </c>
      <c r="Q410" s="530">
        <f t="shared" si="472"/>
        <v>3.6559999999999877</v>
      </c>
      <c r="R410" s="530">
        <f t="shared" si="472"/>
        <v>18.136999999999972</v>
      </c>
      <c r="S410" s="530">
        <f t="shared" si="472"/>
        <v>-78.900999999999996</v>
      </c>
      <c r="T410" s="530">
        <f t="shared" si="472"/>
        <v>-31.842999999999989</v>
      </c>
      <c r="U410" s="530">
        <f t="shared" si="472"/>
        <v>-19.280999999999992</v>
      </c>
      <c r="V410" s="530">
        <f t="shared" si="472"/>
        <v>16.874999999999982</v>
      </c>
      <c r="W410" s="530">
        <f t="shared" si="472"/>
        <v>-83.52200000000002</v>
      </c>
      <c r="X410" s="530">
        <f t="shared" si="472"/>
        <v>-41.361999999999995</v>
      </c>
      <c r="Y410" s="530">
        <f t="shared" si="472"/>
        <v>-2.9570000000000149</v>
      </c>
      <c r="Z410" s="530">
        <f t="shared" si="472"/>
        <v>2.248999999999981</v>
      </c>
      <c r="AA410" s="530">
        <f t="shared" si="472"/>
        <v>-88.063999999999993</v>
      </c>
      <c r="AB410" s="530">
        <f t="shared" si="472"/>
        <v>-27.837999999999994</v>
      </c>
      <c r="AC410" s="530">
        <f t="shared" si="472"/>
        <v>2.9120000000000061</v>
      </c>
      <c r="AD410" s="530">
        <f t="shared" si="472"/>
        <v>51.507999999999996</v>
      </c>
      <c r="AE410" s="530">
        <f t="shared" si="472"/>
        <v>-117.17699999999999</v>
      </c>
      <c r="AF410" s="530">
        <f t="shared" si="472"/>
        <v>-71.480000000000018</v>
      </c>
      <c r="AG410" s="530">
        <f t="shared" si="472"/>
        <v>-133.08699999999999</v>
      </c>
      <c r="AH410" s="530">
        <f t="shared" si="472"/>
        <v>-71.322000000000031</v>
      </c>
      <c r="AI410" s="530">
        <f t="shared" ref="AI410:AX410" si="473">AI407+AI385+AI357+AI409</f>
        <v>96.485000000000028</v>
      </c>
      <c r="AJ410" s="530">
        <f t="shared" si="473"/>
        <v>45.879000000000048</v>
      </c>
      <c r="AK410" s="530">
        <f t="shared" si="473"/>
        <v>116.73400000000002</v>
      </c>
      <c r="AL410" s="530">
        <f t="shared" si="473"/>
        <v>173.28300000000002</v>
      </c>
      <c r="AM410" s="530">
        <f t="shared" si="473"/>
        <v>-167.55799999999999</v>
      </c>
      <c r="AN410" s="530">
        <f t="shared" si="473"/>
        <v>-129.09100000000001</v>
      </c>
      <c r="AO410" s="530">
        <f t="shared" si="473"/>
        <v>-78.017999999999972</v>
      </c>
      <c r="AP410" s="530">
        <f t="shared" si="473"/>
        <v>2.8159999999999741</v>
      </c>
      <c r="AQ410" s="530">
        <f t="shared" si="473"/>
        <v>-194.87399999999997</v>
      </c>
      <c r="AR410" s="530">
        <f t="shared" si="473"/>
        <v>-71.118999999999971</v>
      </c>
      <c r="AS410" s="530">
        <f t="shared" si="473"/>
        <v>-15.719999999999985</v>
      </c>
      <c r="AT410" s="530">
        <f t="shared" si="473"/>
        <v>21.409000000000049</v>
      </c>
      <c r="AU410" s="575">
        <f t="shared" si="473"/>
        <v>-156.18100000000004</v>
      </c>
      <c r="AV410" s="529">
        <f t="shared" si="473"/>
        <v>0</v>
      </c>
      <c r="AW410" s="529">
        <f t="shared" si="473"/>
        <v>0</v>
      </c>
      <c r="AX410" s="529">
        <f t="shared" si="473"/>
        <v>0</v>
      </c>
      <c r="AY410" s="529"/>
      <c r="AZ410" s="750">
        <f t="shared" ref="AZ410:BS410" si="474">AZ407+AZ385+AZ357+AZ409</f>
        <v>-22.220999999999997</v>
      </c>
      <c r="BA410" s="750">
        <f t="shared" si="474"/>
        <v>32.29</v>
      </c>
      <c r="BB410" s="750">
        <f t="shared" si="474"/>
        <v>111.348</v>
      </c>
      <c r="BC410" s="750">
        <f t="shared" si="474"/>
        <v>-48.447000000000024</v>
      </c>
      <c r="BD410" s="750">
        <f t="shared" si="474"/>
        <v>36.827999999999975</v>
      </c>
      <c r="BE410" s="750">
        <f t="shared" si="474"/>
        <v>14.628999999999987</v>
      </c>
      <c r="BF410" s="750">
        <f t="shared" si="474"/>
        <v>-0.25699999999998324</v>
      </c>
      <c r="BG410" s="750">
        <f t="shared" si="474"/>
        <v>18.136999999999972</v>
      </c>
      <c r="BH410" s="750">
        <f t="shared" si="474"/>
        <v>16.874999999999982</v>
      </c>
      <c r="BI410" s="750">
        <f t="shared" si="474"/>
        <v>2.248999999999981</v>
      </c>
      <c r="BJ410" s="750">
        <f t="shared" si="474"/>
        <v>51.507999999999996</v>
      </c>
      <c r="BK410" s="750">
        <f t="shared" si="474"/>
        <v>-71.322000000000031</v>
      </c>
      <c r="BL410" s="750">
        <f t="shared" si="474"/>
        <v>173.28300000000002</v>
      </c>
      <c r="BM410" s="750">
        <f t="shared" si="474"/>
        <v>2.8159999999999741</v>
      </c>
      <c r="BN410" s="751">
        <f t="shared" si="474"/>
        <v>21.409000000000049</v>
      </c>
      <c r="BO410" s="726">
        <f t="shared" si="474"/>
        <v>0</v>
      </c>
      <c r="BP410" s="726">
        <f t="shared" si="474"/>
        <v>0</v>
      </c>
      <c r="BQ410" s="726">
        <f t="shared" si="474"/>
        <v>0</v>
      </c>
      <c r="BR410" s="726">
        <f t="shared" si="474"/>
        <v>0</v>
      </c>
      <c r="BS410" s="726">
        <f t="shared" si="474"/>
        <v>0</v>
      </c>
      <c r="BT410" s="530"/>
    </row>
    <row r="411" spans="1:72" s="1" customFormat="1" hidden="1" outlineLevel="1" x14ac:dyDescent="0.35">
      <c r="A411" s="354"/>
      <c r="B411" s="307"/>
      <c r="C411" s="529"/>
      <c r="D411" s="529"/>
      <c r="E411" s="529"/>
      <c r="F411" s="529"/>
      <c r="G411" s="529"/>
      <c r="H411" s="529"/>
      <c r="I411" s="529"/>
      <c r="J411" s="529"/>
      <c r="K411" s="529"/>
      <c r="L411" s="529"/>
      <c r="M411" s="529"/>
      <c r="N411" s="529"/>
      <c r="O411" s="529"/>
      <c r="P411" s="529"/>
      <c r="Q411" s="529"/>
      <c r="R411" s="529"/>
      <c r="S411" s="529"/>
      <c r="T411" s="529"/>
      <c r="U411" s="529"/>
      <c r="V411" s="529"/>
      <c r="W411" s="529"/>
      <c r="X411" s="529"/>
      <c r="Y411" s="529"/>
      <c r="Z411" s="529"/>
      <c r="AA411" s="529"/>
      <c r="AB411" s="529"/>
      <c r="AC411" s="529"/>
      <c r="AD411" s="529"/>
      <c r="AE411" s="529"/>
      <c r="AF411" s="529"/>
      <c r="AG411" s="529"/>
      <c r="AH411" s="529"/>
      <c r="AI411" s="529"/>
      <c r="AJ411" s="529"/>
      <c r="AK411" s="529"/>
      <c r="AL411" s="529"/>
      <c r="AM411" s="529"/>
      <c r="AN411" s="529"/>
      <c r="AO411" s="529"/>
      <c r="AP411" s="529"/>
      <c r="AQ411" s="529"/>
      <c r="AR411" s="529"/>
      <c r="AS411" s="529"/>
      <c r="AT411" s="529"/>
      <c r="AU411" s="531"/>
      <c r="AV411" s="529"/>
      <c r="AW411" s="529"/>
      <c r="AX411" s="529"/>
      <c r="AY411" s="529"/>
      <c r="AZ411" s="726"/>
      <c r="BA411" s="726"/>
      <c r="BB411" s="726"/>
      <c r="BC411" s="726"/>
      <c r="BD411" s="726"/>
      <c r="BE411" s="726"/>
      <c r="BF411" s="726"/>
      <c r="BG411" s="726"/>
      <c r="BH411" s="726"/>
      <c r="BI411" s="726"/>
      <c r="BJ411" s="726"/>
      <c r="BK411" s="726"/>
      <c r="BL411" s="726"/>
      <c r="BM411" s="726"/>
      <c r="BN411" s="728"/>
      <c r="BO411" s="726"/>
      <c r="BP411" s="726"/>
      <c r="BQ411" s="726"/>
      <c r="BR411" s="726"/>
      <c r="BS411" s="726"/>
      <c r="BT411" s="530"/>
    </row>
    <row r="412" spans="1:72" s="1" customFormat="1" hidden="1" outlineLevel="1" x14ac:dyDescent="0.35">
      <c r="A412" s="51" t="s">
        <v>175</v>
      </c>
      <c r="B412" s="307"/>
      <c r="C412" s="530">
        <f>BC413</f>
        <v>144.65199999999996</v>
      </c>
      <c r="D412" s="530">
        <f>C412</f>
        <v>144.65199999999996</v>
      </c>
      <c r="E412" s="530">
        <f>D412</f>
        <v>144.65199999999996</v>
      </c>
      <c r="F412" s="530">
        <f>E412</f>
        <v>144.65199999999996</v>
      </c>
      <c r="G412" s="530">
        <f>BD413</f>
        <v>181.47999999999993</v>
      </c>
      <c r="H412" s="530">
        <f>G412</f>
        <v>181.47999999999993</v>
      </c>
      <c r="I412" s="530">
        <f>H412</f>
        <v>181.47999999999993</v>
      </c>
      <c r="J412" s="530">
        <f>I412</f>
        <v>181.47999999999993</v>
      </c>
      <c r="K412" s="530">
        <f>BE413</f>
        <v>196.10899999999992</v>
      </c>
      <c r="L412" s="530">
        <f>K412</f>
        <v>196.10899999999992</v>
      </c>
      <c r="M412" s="530">
        <f>L412</f>
        <v>196.10899999999992</v>
      </c>
      <c r="N412" s="530">
        <f>M412</f>
        <v>196.10899999999992</v>
      </c>
      <c r="O412" s="530">
        <f>BF413</f>
        <v>195.85199999999995</v>
      </c>
      <c r="P412" s="530">
        <f>O412</f>
        <v>195.85199999999995</v>
      </c>
      <c r="Q412" s="530">
        <f>P412</f>
        <v>195.85199999999995</v>
      </c>
      <c r="R412" s="530">
        <f>Q412</f>
        <v>195.85199999999995</v>
      </c>
      <c r="S412" s="530">
        <f>BG413</f>
        <v>213.98899999999992</v>
      </c>
      <c r="T412" s="530">
        <f>S412</f>
        <v>213.98899999999992</v>
      </c>
      <c r="U412" s="530">
        <f>T412</f>
        <v>213.98899999999992</v>
      </c>
      <c r="V412" s="530">
        <f>U412</f>
        <v>213.98899999999992</v>
      </c>
      <c r="W412" s="530">
        <f>BH413</f>
        <v>230.86399999999989</v>
      </c>
      <c r="X412" s="530">
        <f>W412</f>
        <v>230.86399999999989</v>
      </c>
      <c r="Y412" s="530">
        <f>X412</f>
        <v>230.86399999999989</v>
      </c>
      <c r="Z412" s="530">
        <f>Y412</f>
        <v>230.86399999999989</v>
      </c>
      <c r="AA412" s="530">
        <f>BI413</f>
        <v>233.11299999999989</v>
      </c>
      <c r="AB412" s="530">
        <f>AA412</f>
        <v>233.11299999999989</v>
      </c>
      <c r="AC412" s="530">
        <f>AB412</f>
        <v>233.11299999999989</v>
      </c>
      <c r="AD412" s="530">
        <f>AC412</f>
        <v>233.11299999999989</v>
      </c>
      <c r="AE412" s="530">
        <f>BJ413</f>
        <v>284.62099999999987</v>
      </c>
      <c r="AF412" s="530">
        <f>AE412</f>
        <v>284.62099999999987</v>
      </c>
      <c r="AG412" s="530">
        <f>AF412</f>
        <v>284.62099999999987</v>
      </c>
      <c r="AH412" s="530">
        <f>AG412</f>
        <v>284.62099999999987</v>
      </c>
      <c r="AI412" s="530">
        <f>BK413</f>
        <v>213.29899999999984</v>
      </c>
      <c r="AJ412" s="530">
        <f>AI412</f>
        <v>213.29899999999984</v>
      </c>
      <c r="AK412" s="530">
        <f>AJ412</f>
        <v>213.29899999999984</v>
      </c>
      <c r="AL412" s="530">
        <f>AK412</f>
        <v>213.29899999999984</v>
      </c>
      <c r="AM412" s="530">
        <f>BL413</f>
        <v>386.58199999999988</v>
      </c>
      <c r="AN412" s="530">
        <f>AM412</f>
        <v>386.58199999999988</v>
      </c>
      <c r="AO412" s="530">
        <f>AN412</f>
        <v>386.58199999999988</v>
      </c>
      <c r="AP412" s="530">
        <f>AO412</f>
        <v>386.58199999999988</v>
      </c>
      <c r="AQ412" s="530">
        <f>BM413</f>
        <v>389.39799999999985</v>
      </c>
      <c r="AR412" s="530">
        <f>AQ412</f>
        <v>389.39799999999985</v>
      </c>
      <c r="AS412" s="530">
        <f>AR412</f>
        <v>389.39799999999985</v>
      </c>
      <c r="AT412" s="530">
        <f>AS412</f>
        <v>389.39799999999985</v>
      </c>
      <c r="AU412" s="575">
        <f>BN413</f>
        <v>410.8069999999999</v>
      </c>
      <c r="AV412" s="529"/>
      <c r="AW412" s="529"/>
      <c r="AX412" s="529"/>
      <c r="AY412" s="529"/>
      <c r="AZ412" s="727">
        <v>71.682000000000002</v>
      </c>
      <c r="BA412" s="750">
        <f>AZ413</f>
        <v>49.461000000000006</v>
      </c>
      <c r="BB412" s="750">
        <f>BA413</f>
        <v>81.751000000000005</v>
      </c>
      <c r="BC412" s="750">
        <f>BB413</f>
        <v>193.09899999999999</v>
      </c>
      <c r="BD412" s="750">
        <f>F412</f>
        <v>144.65199999999996</v>
      </c>
      <c r="BE412" s="750">
        <f>J412</f>
        <v>181.47999999999993</v>
      </c>
      <c r="BF412" s="750">
        <f>N412</f>
        <v>196.10899999999992</v>
      </c>
      <c r="BG412" s="750">
        <f>R412</f>
        <v>195.85199999999995</v>
      </c>
      <c r="BH412" s="750">
        <f>V412</f>
        <v>213.98899999999992</v>
      </c>
      <c r="BI412" s="750">
        <f>Z412</f>
        <v>230.86399999999989</v>
      </c>
      <c r="BJ412" s="750">
        <f>AD412</f>
        <v>233.11299999999989</v>
      </c>
      <c r="BK412" s="750">
        <f>AH412</f>
        <v>284.62099999999987</v>
      </c>
      <c r="BL412" s="750">
        <f>AL412</f>
        <v>213.29899999999984</v>
      </c>
      <c r="BM412" s="750">
        <f>AP412</f>
        <v>386.58199999999988</v>
      </c>
      <c r="BN412" s="751">
        <f>AT412</f>
        <v>389.39799999999985</v>
      </c>
      <c r="BO412" s="726"/>
      <c r="BP412" s="726"/>
      <c r="BQ412" s="726"/>
      <c r="BR412" s="726"/>
      <c r="BS412" s="726"/>
      <c r="BT412" s="530"/>
    </row>
    <row r="413" spans="1:72" s="1" customFormat="1" hidden="1" outlineLevel="1" x14ac:dyDescent="0.35">
      <c r="A413" s="51" t="s">
        <v>176</v>
      </c>
      <c r="B413" s="307"/>
      <c r="C413" s="530">
        <f t="shared" ref="C413:AU413" si="475">C410+C412</f>
        <v>107.93799999999996</v>
      </c>
      <c r="D413" s="530">
        <f t="shared" si="475"/>
        <v>143.19199999999998</v>
      </c>
      <c r="E413" s="530">
        <f t="shared" si="475"/>
        <v>156.96799999999996</v>
      </c>
      <c r="F413" s="530">
        <f t="shared" si="475"/>
        <v>181.47999999999993</v>
      </c>
      <c r="G413" s="530">
        <f t="shared" si="475"/>
        <v>163.4739999999999</v>
      </c>
      <c r="H413" s="530">
        <f t="shared" si="475"/>
        <v>162.88899999999992</v>
      </c>
      <c r="I413" s="530">
        <f t="shared" si="475"/>
        <v>185.33199999999994</v>
      </c>
      <c r="J413" s="530">
        <f t="shared" si="475"/>
        <v>196.10899999999992</v>
      </c>
      <c r="K413" s="530">
        <f t="shared" si="475"/>
        <v>109.19599999999991</v>
      </c>
      <c r="L413" s="530">
        <f t="shared" si="475"/>
        <v>124.23399999999994</v>
      </c>
      <c r="M413" s="530">
        <f t="shared" si="475"/>
        <v>142.84999999999991</v>
      </c>
      <c r="N413" s="530">
        <f t="shared" si="475"/>
        <v>195.85199999999995</v>
      </c>
      <c r="O413" s="530">
        <f t="shared" si="475"/>
        <v>150.86399999999995</v>
      </c>
      <c r="P413" s="530">
        <f t="shared" si="475"/>
        <v>171.27699999999993</v>
      </c>
      <c r="Q413" s="530">
        <f t="shared" si="475"/>
        <v>199.50799999999992</v>
      </c>
      <c r="R413" s="530">
        <f t="shared" si="475"/>
        <v>213.98899999999992</v>
      </c>
      <c r="S413" s="530">
        <f t="shared" si="475"/>
        <v>135.08799999999991</v>
      </c>
      <c r="T413" s="530">
        <f t="shared" si="475"/>
        <v>182.14599999999993</v>
      </c>
      <c r="U413" s="530">
        <f t="shared" si="475"/>
        <v>194.70799999999991</v>
      </c>
      <c r="V413" s="530">
        <f t="shared" si="475"/>
        <v>230.86399999999989</v>
      </c>
      <c r="W413" s="530">
        <f t="shared" si="475"/>
        <v>147.34199999999987</v>
      </c>
      <c r="X413" s="530">
        <f t="shared" si="475"/>
        <v>189.5019999999999</v>
      </c>
      <c r="Y413" s="530">
        <f t="shared" si="475"/>
        <v>227.90699999999987</v>
      </c>
      <c r="Z413" s="530">
        <f t="shared" si="475"/>
        <v>233.11299999999989</v>
      </c>
      <c r="AA413" s="530">
        <f t="shared" si="475"/>
        <v>145.04899999999989</v>
      </c>
      <c r="AB413" s="530">
        <f t="shared" si="475"/>
        <v>205.27499999999989</v>
      </c>
      <c r="AC413" s="530">
        <f t="shared" si="475"/>
        <v>236.02499999999989</v>
      </c>
      <c r="AD413" s="530">
        <f t="shared" si="475"/>
        <v>284.62099999999987</v>
      </c>
      <c r="AE413" s="530">
        <f t="shared" si="475"/>
        <v>167.44399999999987</v>
      </c>
      <c r="AF413" s="530">
        <f t="shared" si="475"/>
        <v>213.14099999999985</v>
      </c>
      <c r="AG413" s="530">
        <f t="shared" si="475"/>
        <v>151.53399999999988</v>
      </c>
      <c r="AH413" s="530">
        <f t="shared" si="475"/>
        <v>213.29899999999984</v>
      </c>
      <c r="AI413" s="530">
        <f t="shared" si="475"/>
        <v>309.78399999999988</v>
      </c>
      <c r="AJ413" s="530">
        <f t="shared" si="475"/>
        <v>259.17799999999988</v>
      </c>
      <c r="AK413" s="530">
        <f t="shared" si="475"/>
        <v>330.03299999999984</v>
      </c>
      <c r="AL413" s="530">
        <f t="shared" si="475"/>
        <v>386.58199999999988</v>
      </c>
      <c r="AM413" s="530">
        <f t="shared" si="475"/>
        <v>219.02399999999989</v>
      </c>
      <c r="AN413" s="530">
        <f t="shared" si="475"/>
        <v>257.49099999999987</v>
      </c>
      <c r="AO413" s="530">
        <f t="shared" si="475"/>
        <v>308.56399999999991</v>
      </c>
      <c r="AP413" s="530">
        <f t="shared" si="475"/>
        <v>389.39799999999985</v>
      </c>
      <c r="AQ413" s="530">
        <f t="shared" si="475"/>
        <v>194.52399999999989</v>
      </c>
      <c r="AR413" s="530">
        <f t="shared" si="475"/>
        <v>318.27899999999988</v>
      </c>
      <c r="AS413" s="530">
        <f t="shared" si="475"/>
        <v>373.67799999999988</v>
      </c>
      <c r="AT413" s="530">
        <f t="shared" si="475"/>
        <v>410.8069999999999</v>
      </c>
      <c r="AU413" s="575">
        <f t="shared" si="475"/>
        <v>254.62599999999986</v>
      </c>
      <c r="AV413" s="529"/>
      <c r="AW413" s="529"/>
      <c r="AX413" s="529"/>
      <c r="AY413" s="529"/>
      <c r="AZ413" s="750">
        <f t="shared" ref="AZ413:BN413" si="476">AZ410+AZ412</f>
        <v>49.461000000000006</v>
      </c>
      <c r="BA413" s="750">
        <f t="shared" si="476"/>
        <v>81.751000000000005</v>
      </c>
      <c r="BB413" s="750">
        <f t="shared" si="476"/>
        <v>193.09899999999999</v>
      </c>
      <c r="BC413" s="750">
        <f t="shared" si="476"/>
        <v>144.65199999999996</v>
      </c>
      <c r="BD413" s="750">
        <f t="shared" si="476"/>
        <v>181.47999999999993</v>
      </c>
      <c r="BE413" s="750">
        <f t="shared" si="476"/>
        <v>196.10899999999992</v>
      </c>
      <c r="BF413" s="750">
        <f t="shared" si="476"/>
        <v>195.85199999999995</v>
      </c>
      <c r="BG413" s="750">
        <f t="shared" si="476"/>
        <v>213.98899999999992</v>
      </c>
      <c r="BH413" s="750">
        <f t="shared" si="476"/>
        <v>230.86399999999989</v>
      </c>
      <c r="BI413" s="750">
        <f t="shared" si="476"/>
        <v>233.11299999999989</v>
      </c>
      <c r="BJ413" s="750">
        <f t="shared" si="476"/>
        <v>284.62099999999987</v>
      </c>
      <c r="BK413" s="750">
        <f t="shared" si="476"/>
        <v>213.29899999999984</v>
      </c>
      <c r="BL413" s="750">
        <f t="shared" si="476"/>
        <v>386.58199999999988</v>
      </c>
      <c r="BM413" s="750">
        <f t="shared" si="476"/>
        <v>389.39799999999985</v>
      </c>
      <c r="BN413" s="751">
        <f t="shared" si="476"/>
        <v>410.8069999999999</v>
      </c>
      <c r="BO413" s="726"/>
      <c r="BP413" s="726"/>
      <c r="BQ413" s="726"/>
      <c r="BR413" s="726"/>
      <c r="BS413" s="726"/>
      <c r="BT413" s="530"/>
    </row>
    <row r="414" spans="1:72" s="1" customFormat="1" hidden="1" outlineLevel="1" x14ac:dyDescent="0.35">
      <c r="A414" s="354"/>
      <c r="B414" s="307"/>
      <c r="C414" s="529"/>
      <c r="D414" s="529"/>
      <c r="E414" s="529"/>
      <c r="F414" s="529"/>
      <c r="G414" s="529"/>
      <c r="H414" s="529"/>
      <c r="I414" s="529"/>
      <c r="J414" s="529"/>
      <c r="K414" s="529"/>
      <c r="L414" s="529"/>
      <c r="M414" s="529"/>
      <c r="N414" s="529"/>
      <c r="O414" s="529"/>
      <c r="P414" s="529"/>
      <c r="Q414" s="529"/>
      <c r="R414" s="529"/>
      <c r="S414" s="529"/>
      <c r="T414" s="529"/>
      <c r="U414" s="529"/>
      <c r="V414" s="529"/>
      <c r="W414" s="529"/>
      <c r="X414" s="529"/>
      <c r="Y414" s="529"/>
      <c r="Z414" s="529"/>
      <c r="AA414" s="529"/>
      <c r="AB414" s="529"/>
      <c r="AC414" s="529"/>
      <c r="AD414" s="529"/>
      <c r="AE414" s="529"/>
      <c r="AF414" s="529"/>
      <c r="AG414" s="529"/>
      <c r="AH414" s="529"/>
      <c r="AI414" s="529"/>
      <c r="AJ414" s="529"/>
      <c r="AK414" s="529"/>
      <c r="AL414" s="529"/>
      <c r="AM414" s="529"/>
      <c r="AN414" s="529"/>
      <c r="AO414" s="529"/>
      <c r="AP414" s="529"/>
      <c r="AQ414" s="529"/>
      <c r="AR414" s="529"/>
      <c r="AS414" s="529"/>
      <c r="AT414" s="529"/>
      <c r="AU414" s="531"/>
      <c r="AV414" s="529"/>
      <c r="AW414" s="529"/>
      <c r="AX414" s="529"/>
      <c r="AY414" s="529"/>
      <c r="AZ414" s="726"/>
      <c r="BA414" s="726"/>
      <c r="BB414" s="726"/>
      <c r="BC414" s="726"/>
      <c r="BD414" s="726"/>
      <c r="BE414" s="726"/>
      <c r="BF414" s="726"/>
      <c r="BG414" s="726"/>
      <c r="BH414" s="726"/>
      <c r="BI414" s="726"/>
      <c r="BJ414" s="726"/>
      <c r="BK414" s="726"/>
      <c r="BL414" s="726"/>
      <c r="BM414" s="726"/>
      <c r="BN414" s="728"/>
      <c r="BO414" s="726"/>
      <c r="BP414" s="726"/>
      <c r="BQ414" s="726"/>
      <c r="BR414" s="726"/>
      <c r="BS414" s="726"/>
      <c r="BT414" s="530"/>
    </row>
    <row r="415" spans="1:72" s="17" customFormat="1" hidden="1" outlineLevel="1" x14ac:dyDescent="0.35">
      <c r="A415" s="48" t="s">
        <v>563</v>
      </c>
      <c r="B415" s="308"/>
      <c r="C415" s="638">
        <v>0.24299999999999999</v>
      </c>
      <c r="D415" s="638">
        <v>0.51500000000000001</v>
      </c>
      <c r="E415" s="638">
        <v>0.89500000000000002</v>
      </c>
      <c r="F415" s="533">
        <f>BD415</f>
        <v>1.2370000000000001</v>
      </c>
      <c r="G415" s="638">
        <v>0.27200000000000002</v>
      </c>
      <c r="H415" s="638">
        <v>0.56899999999999995</v>
      </c>
      <c r="I415" s="638">
        <v>0.879</v>
      </c>
      <c r="J415" s="533">
        <f>BE415</f>
        <v>1.054</v>
      </c>
      <c r="K415" s="638">
        <v>0.22</v>
      </c>
      <c r="L415" s="638">
        <v>0.42799999999999999</v>
      </c>
      <c r="M415" s="638">
        <v>0.628</v>
      </c>
      <c r="N415" s="533">
        <f>BF415</f>
        <v>1.0509999999999999</v>
      </c>
      <c r="O415" s="638">
        <v>0.22</v>
      </c>
      <c r="P415" s="638">
        <v>0.42</v>
      </c>
      <c r="Q415" s="638">
        <v>0.60299999999999998</v>
      </c>
      <c r="R415" s="533">
        <f>BG415</f>
        <v>0.79</v>
      </c>
      <c r="S415" s="638">
        <v>0.20300000000000001</v>
      </c>
      <c r="T415" s="638">
        <v>0.33700000000000002</v>
      </c>
      <c r="U415" s="638">
        <v>0.57499999999999996</v>
      </c>
      <c r="V415" s="533">
        <f>BH415</f>
        <v>0.75</v>
      </c>
      <c r="W415" s="638">
        <v>0.184</v>
      </c>
      <c r="X415" s="638">
        <v>0.35</v>
      </c>
      <c r="Y415" s="638">
        <v>0.54600000000000004</v>
      </c>
      <c r="Z415" s="533">
        <f>BI415</f>
        <v>0.77800000000000002</v>
      </c>
      <c r="AA415" s="638">
        <v>0.26300000000000001</v>
      </c>
      <c r="AB415" s="638">
        <v>0.57299999999999995</v>
      </c>
      <c r="AC415" s="638">
        <v>0.86199999999999999</v>
      </c>
      <c r="AD415" s="533">
        <f>BJ415</f>
        <v>1.1080000000000001</v>
      </c>
      <c r="AE415" s="638">
        <v>0.20300000000000001</v>
      </c>
      <c r="AF415" s="638">
        <v>0.38100000000000001</v>
      </c>
      <c r="AG415" s="638">
        <v>0.66</v>
      </c>
      <c r="AH415" s="533">
        <f>BK415</f>
        <v>1.2869999999999999</v>
      </c>
      <c r="AI415" s="638">
        <v>1.0109999999999999</v>
      </c>
      <c r="AJ415" s="638">
        <v>1.1759999999999999</v>
      </c>
      <c r="AK415" s="638">
        <v>4.024</v>
      </c>
      <c r="AL415" s="533">
        <f>BL415</f>
        <v>4.5039999999999996</v>
      </c>
      <c r="AM415" s="638">
        <v>2.8109999999999999</v>
      </c>
      <c r="AN415" s="638">
        <v>3.286</v>
      </c>
      <c r="AO415" s="638">
        <v>6.1820000000000004</v>
      </c>
      <c r="AP415" s="532">
        <f>BM415</f>
        <v>6.641</v>
      </c>
      <c r="AQ415" s="638">
        <v>2.7959999999999998</v>
      </c>
      <c r="AR415" s="638">
        <v>3.3279999999999998</v>
      </c>
      <c r="AS415" s="638">
        <v>6.3419999999999996</v>
      </c>
      <c r="AT415" s="532">
        <f>BN415</f>
        <v>6.9459999999999997</v>
      </c>
      <c r="AU415" s="643">
        <v>2.911</v>
      </c>
      <c r="AV415" s="532"/>
      <c r="AW415" s="532"/>
      <c r="AX415" s="532"/>
      <c r="AY415" s="532"/>
      <c r="AZ415" s="729">
        <v>1.4279999999999999</v>
      </c>
      <c r="BA415" s="729">
        <v>1.282</v>
      </c>
      <c r="BB415" s="729">
        <v>1.216</v>
      </c>
      <c r="BC415" s="729">
        <v>0.98099999999999998</v>
      </c>
      <c r="BD415" s="729">
        <v>1.2370000000000001</v>
      </c>
      <c r="BE415" s="729">
        <v>1.054</v>
      </c>
      <c r="BF415" s="729">
        <v>1.0509999999999999</v>
      </c>
      <c r="BG415" s="729">
        <v>0.79</v>
      </c>
      <c r="BH415" s="729">
        <v>0.75</v>
      </c>
      <c r="BI415" s="729">
        <v>0.77800000000000002</v>
      </c>
      <c r="BJ415" s="729">
        <v>1.1080000000000001</v>
      </c>
      <c r="BK415" s="729">
        <v>1.2869999999999999</v>
      </c>
      <c r="BL415" s="729">
        <v>4.5039999999999996</v>
      </c>
      <c r="BM415" s="729">
        <v>6.641</v>
      </c>
      <c r="BN415" s="748">
        <v>6.9459999999999997</v>
      </c>
      <c r="BO415" s="156"/>
      <c r="BP415" s="156"/>
      <c r="BQ415" s="156"/>
      <c r="BR415" s="156"/>
      <c r="BS415" s="156"/>
      <c r="BT415" s="533"/>
    </row>
    <row r="416" spans="1:72" s="17" customFormat="1" hidden="1" outlineLevel="1" x14ac:dyDescent="0.35">
      <c r="A416" s="48" t="s">
        <v>564</v>
      </c>
      <c r="B416" s="308"/>
      <c r="C416" s="638">
        <v>0.189</v>
      </c>
      <c r="D416" s="638">
        <v>0.43</v>
      </c>
      <c r="E416" s="638">
        <v>0.51</v>
      </c>
      <c r="F416" s="533">
        <f>BD416</f>
        <v>1.5169999999999999</v>
      </c>
      <c r="G416" s="638">
        <v>2.7469999999999999</v>
      </c>
      <c r="H416" s="638">
        <v>2.7469999999999999</v>
      </c>
      <c r="I416" s="638">
        <v>4.8650000000000002</v>
      </c>
      <c r="J416" s="533">
        <f>BE416</f>
        <v>9.1340000000000003</v>
      </c>
      <c r="K416" s="638">
        <v>7.53</v>
      </c>
      <c r="L416" s="638">
        <v>8.1880000000000006</v>
      </c>
      <c r="M416" s="638">
        <v>8.2910000000000004</v>
      </c>
      <c r="N416" s="533">
        <f>BF416</f>
        <v>19.39</v>
      </c>
      <c r="O416" s="638">
        <v>0.55600000000000005</v>
      </c>
      <c r="P416" s="638">
        <v>0.78700000000000003</v>
      </c>
      <c r="Q416" s="638">
        <v>1.0169999999999999</v>
      </c>
      <c r="R416" s="533">
        <f>BG416</f>
        <v>1.125</v>
      </c>
      <c r="S416" s="638">
        <v>3.4460000000000002</v>
      </c>
      <c r="T416" s="638">
        <v>4.6360000000000001</v>
      </c>
      <c r="U416" s="638">
        <v>4.7409999999999997</v>
      </c>
      <c r="V416" s="533">
        <f>BH416</f>
        <v>8.0519999999999996</v>
      </c>
      <c r="W416" s="638">
        <v>9.9339999999999993</v>
      </c>
      <c r="X416" s="638">
        <v>10.61</v>
      </c>
      <c r="Y416" s="638">
        <v>11.211</v>
      </c>
      <c r="Z416" s="533">
        <f>BI416</f>
        <v>12.21</v>
      </c>
      <c r="AA416" s="638">
        <v>0.54100000000000004</v>
      </c>
      <c r="AB416" s="638">
        <v>0.90200000000000002</v>
      </c>
      <c r="AC416" s="638">
        <v>1.01</v>
      </c>
      <c r="AD416" s="533">
        <f>BJ416</f>
        <v>4.4530000000000003</v>
      </c>
      <c r="AE416" s="638">
        <v>2.1680000000000001</v>
      </c>
      <c r="AF416" s="638">
        <v>2.6280000000000001</v>
      </c>
      <c r="AG416" s="638">
        <v>2.7959999999999998</v>
      </c>
      <c r="AH416" s="533">
        <f>BK416</f>
        <v>3.3839999999999999</v>
      </c>
      <c r="AI416" s="638">
        <v>8.2919999999999998</v>
      </c>
      <c r="AJ416" s="638">
        <v>8.4789999999999992</v>
      </c>
      <c r="AK416" s="638">
        <v>15.212</v>
      </c>
      <c r="AL416" s="533">
        <f>BL416</f>
        <v>18.716999999999999</v>
      </c>
      <c r="AM416" s="638">
        <v>12.593</v>
      </c>
      <c r="AN416" s="638">
        <v>13.099</v>
      </c>
      <c r="AO416" s="638">
        <v>32.64</v>
      </c>
      <c r="AP416" s="532">
        <f>BM416</f>
        <v>35.972000000000001</v>
      </c>
      <c r="AQ416" s="638">
        <v>21.295999999999999</v>
      </c>
      <c r="AR416" s="638">
        <v>22.434000000000001</v>
      </c>
      <c r="AS416" s="638">
        <v>34.015000000000001</v>
      </c>
      <c r="AT416" s="532">
        <f>BN416</f>
        <v>37.131</v>
      </c>
      <c r="AU416" s="643">
        <v>36.274999999999999</v>
      </c>
      <c r="AV416" s="532"/>
      <c r="AW416" s="532"/>
      <c r="AX416" s="532"/>
      <c r="AY416" s="532"/>
      <c r="AZ416" s="729">
        <v>6.5000000000000002E-2</v>
      </c>
      <c r="BA416" s="729">
        <v>0.872</v>
      </c>
      <c r="BB416" s="729">
        <v>4.6159999999999997</v>
      </c>
      <c r="BC416" s="729">
        <v>0.29399999999999998</v>
      </c>
      <c r="BD416" s="729">
        <v>1.5169999999999999</v>
      </c>
      <c r="BE416" s="729">
        <v>9.1340000000000003</v>
      </c>
      <c r="BF416" s="729">
        <v>19.39</v>
      </c>
      <c r="BG416" s="729">
        <v>1.125</v>
      </c>
      <c r="BH416" s="729">
        <v>8.0519999999999996</v>
      </c>
      <c r="BI416" s="729">
        <v>12.21</v>
      </c>
      <c r="BJ416" s="729">
        <v>4.4530000000000003</v>
      </c>
      <c r="BK416" s="729">
        <v>3.3839999999999999</v>
      </c>
      <c r="BL416" s="729">
        <v>18.716999999999999</v>
      </c>
      <c r="BM416" s="729">
        <v>35.972000000000001</v>
      </c>
      <c r="BN416" s="748">
        <v>37.131</v>
      </c>
      <c r="BO416" s="156"/>
      <c r="BP416" s="156"/>
      <c r="BQ416" s="156"/>
      <c r="BR416" s="156"/>
      <c r="BS416" s="156"/>
      <c r="BT416" s="533"/>
    </row>
    <row r="417" spans="1:72" s="1" customFormat="1" collapsed="1" x14ac:dyDescent="0.35">
      <c r="A417" s="354"/>
      <c r="B417" s="307"/>
      <c r="C417" s="529"/>
      <c r="D417" s="529"/>
      <c r="E417" s="529"/>
      <c r="F417" s="529"/>
      <c r="G417" s="529"/>
      <c r="H417" s="529"/>
      <c r="I417" s="529"/>
      <c r="J417" s="529"/>
      <c r="K417" s="529"/>
      <c r="L417" s="529"/>
      <c r="M417" s="529"/>
      <c r="N417" s="529"/>
      <c r="O417" s="529"/>
      <c r="P417" s="529"/>
      <c r="Q417" s="529"/>
      <c r="R417" s="529"/>
      <c r="S417" s="529"/>
      <c r="T417" s="529"/>
      <c r="U417" s="529"/>
      <c r="V417" s="529"/>
      <c r="W417" s="529"/>
      <c r="X417" s="529"/>
      <c r="Y417" s="529"/>
      <c r="Z417" s="529"/>
      <c r="AA417" s="529"/>
      <c r="AB417" s="529"/>
      <c r="AC417" s="529"/>
      <c r="AD417" s="529"/>
      <c r="AE417" s="529"/>
      <c r="AF417" s="529"/>
      <c r="AG417" s="529"/>
      <c r="AH417" s="529"/>
      <c r="AI417" s="529"/>
      <c r="AJ417" s="529"/>
      <c r="AK417" s="529"/>
      <c r="AL417" s="529"/>
      <c r="AM417" s="529"/>
      <c r="AN417" s="529"/>
      <c r="AO417" s="529"/>
      <c r="AP417" s="529"/>
      <c r="AQ417" s="529"/>
      <c r="AR417" s="529"/>
      <c r="AS417" s="529"/>
      <c r="AT417" s="529"/>
      <c r="AU417" s="531"/>
      <c r="AV417" s="529"/>
      <c r="AW417" s="529"/>
      <c r="AX417" s="529"/>
      <c r="AY417" s="529"/>
      <c r="AZ417" s="726"/>
      <c r="BA417" s="726"/>
      <c r="BB417" s="726"/>
      <c r="BC417" s="726"/>
      <c r="BD417" s="726"/>
      <c r="BE417" s="726"/>
      <c r="BF417" s="726"/>
      <c r="BG417" s="726"/>
      <c r="BH417" s="726"/>
      <c r="BI417" s="726"/>
      <c r="BJ417" s="726"/>
      <c r="BK417" s="726"/>
      <c r="BL417" s="726"/>
      <c r="BM417" s="726"/>
      <c r="BN417" s="728"/>
      <c r="BO417" s="726"/>
      <c r="BP417" s="726"/>
      <c r="BQ417" s="726"/>
      <c r="BR417" s="726"/>
      <c r="BS417" s="726"/>
      <c r="BT417" s="530"/>
    </row>
    <row r="418" spans="1:72" s="1" customFormat="1" x14ac:dyDescent="0.35">
      <c r="A418" s="527" t="s">
        <v>177</v>
      </c>
      <c r="B418" s="527"/>
      <c r="C418" s="527"/>
      <c r="D418" s="527"/>
      <c r="E418" s="527"/>
      <c r="F418" s="527"/>
      <c r="G418" s="527"/>
      <c r="H418" s="527"/>
      <c r="I418" s="527"/>
      <c r="J418" s="527"/>
      <c r="K418" s="527"/>
      <c r="L418" s="527"/>
      <c r="M418" s="527"/>
      <c r="N418" s="527"/>
      <c r="O418" s="527"/>
      <c r="P418" s="527"/>
      <c r="Q418" s="527"/>
      <c r="R418" s="527"/>
      <c r="S418" s="527"/>
      <c r="T418" s="527"/>
      <c r="U418" s="527"/>
      <c r="V418" s="527"/>
      <c r="W418" s="527"/>
      <c r="X418" s="527"/>
      <c r="Y418" s="527"/>
      <c r="Z418" s="527"/>
      <c r="AA418" s="527"/>
      <c r="AB418" s="527"/>
      <c r="AC418" s="527"/>
      <c r="AD418" s="527"/>
      <c r="AE418" s="527"/>
      <c r="AF418" s="527"/>
      <c r="AG418" s="527"/>
      <c r="AH418" s="527"/>
      <c r="AI418" s="527"/>
      <c r="AJ418" s="527"/>
      <c r="AK418" s="527"/>
      <c r="AL418" s="527"/>
      <c r="AM418" s="527"/>
      <c r="AN418" s="527"/>
      <c r="AO418" s="527"/>
      <c r="AP418" s="527"/>
      <c r="AQ418" s="527"/>
      <c r="AR418" s="527"/>
      <c r="AS418" s="527"/>
      <c r="AT418" s="527"/>
      <c r="AU418" s="547"/>
      <c r="AV418" s="527"/>
      <c r="AW418" s="527"/>
      <c r="AX418" s="527"/>
      <c r="AY418" s="527"/>
      <c r="AZ418" s="527"/>
      <c r="BA418" s="527"/>
      <c r="BB418" s="527"/>
      <c r="BC418" s="527"/>
      <c r="BD418" s="527"/>
      <c r="BE418" s="527"/>
      <c r="BF418" s="527"/>
      <c r="BG418" s="527"/>
      <c r="BH418" s="527"/>
      <c r="BI418" s="527"/>
      <c r="BJ418" s="527"/>
      <c r="BK418" s="527"/>
      <c r="BL418" s="527"/>
      <c r="BM418" s="527"/>
      <c r="BN418" s="547"/>
      <c r="BO418" s="527"/>
      <c r="BP418" s="527"/>
      <c r="BQ418" s="527"/>
      <c r="BR418" s="527"/>
      <c r="BS418" s="527"/>
      <c r="BT418" s="530"/>
    </row>
    <row r="419" spans="1:72" s="1" customFormat="1" x14ac:dyDescent="0.35">
      <c r="A419" s="51" t="str">
        <f t="shared" ref="A419:A449" si="477">A327</f>
        <v>CFO</v>
      </c>
      <c r="B419" s="307"/>
      <c r="C419" s="529"/>
      <c r="D419" s="529"/>
      <c r="E419" s="529"/>
      <c r="F419" s="529"/>
      <c r="G419" s="529"/>
      <c r="H419" s="529"/>
      <c r="I419" s="529"/>
      <c r="J419" s="529"/>
      <c r="K419" s="529"/>
      <c r="L419" s="529"/>
      <c r="M419" s="529"/>
      <c r="N419" s="529"/>
      <c r="O419" s="529"/>
      <c r="P419" s="529"/>
      <c r="Q419" s="529"/>
      <c r="R419" s="529"/>
      <c r="S419" s="529"/>
      <c r="T419" s="529"/>
      <c r="U419" s="529"/>
      <c r="V419" s="529"/>
      <c r="W419" s="529"/>
      <c r="X419" s="529"/>
      <c r="Y419" s="529"/>
      <c r="Z419" s="529"/>
      <c r="AA419" s="529"/>
      <c r="AB419" s="529"/>
      <c r="AC419" s="529"/>
      <c r="AD419" s="529"/>
      <c r="AE419" s="529"/>
      <c r="AF419" s="529"/>
      <c r="AG419" s="529"/>
      <c r="AH419" s="529"/>
      <c r="AI419" s="529"/>
      <c r="AJ419" s="529"/>
      <c r="AK419" s="529"/>
      <c r="AL419" s="529"/>
      <c r="AM419" s="529"/>
      <c r="AN419" s="529"/>
      <c r="AO419" s="529"/>
      <c r="AP419" s="529"/>
      <c r="AQ419" s="529"/>
      <c r="AR419" s="529"/>
      <c r="AS419" s="529"/>
      <c r="AT419" s="529"/>
      <c r="AU419" s="531"/>
      <c r="AV419" s="529"/>
      <c r="AW419" s="529"/>
      <c r="AX419" s="529"/>
      <c r="AY419" s="529"/>
      <c r="AZ419" s="726"/>
      <c r="BA419" s="726"/>
      <c r="BB419" s="726"/>
      <c r="BC419" s="726"/>
      <c r="BD419" s="726"/>
      <c r="BE419" s="726"/>
      <c r="BF419" s="726"/>
      <c r="BG419" s="726"/>
      <c r="BH419" s="726"/>
      <c r="BI419" s="726"/>
      <c r="BJ419" s="726"/>
      <c r="BK419" s="726"/>
      <c r="BL419" s="726"/>
      <c r="BM419" s="726"/>
      <c r="BN419" s="728"/>
      <c r="BO419" s="726"/>
      <c r="BP419" s="726"/>
      <c r="BQ419" s="726"/>
      <c r="BR419" s="726"/>
      <c r="BS419" s="726"/>
      <c r="BT419" s="530"/>
    </row>
    <row r="420" spans="1:72" s="17" customFormat="1" x14ac:dyDescent="0.35">
      <c r="A420" s="208" t="str">
        <f t="shared" si="477"/>
        <v>Net income</v>
      </c>
      <c r="B420" s="308"/>
      <c r="C420" s="533">
        <f t="shared" ref="C420:C434" si="478">C328</f>
        <v>4.5439999999999996</v>
      </c>
      <c r="D420" s="533">
        <f t="shared" ref="D420:F434" si="479">D328-C328</f>
        <v>9.32</v>
      </c>
      <c r="E420" s="533">
        <f t="shared" si="479"/>
        <v>11.419</v>
      </c>
      <c r="F420" s="533">
        <f t="shared" si="479"/>
        <v>1.2509999999999977</v>
      </c>
      <c r="G420" s="533">
        <f t="shared" ref="G420:G434" si="480">G328</f>
        <v>-5.0979999999999999</v>
      </c>
      <c r="H420" s="533">
        <f t="shared" ref="H420:J434" si="481">H328-G328</f>
        <v>-4.2500000000000009</v>
      </c>
      <c r="I420" s="533">
        <f t="shared" si="481"/>
        <v>15.512</v>
      </c>
      <c r="J420" s="533">
        <f t="shared" si="481"/>
        <v>11.952</v>
      </c>
      <c r="K420" s="533">
        <f t="shared" ref="K420:K434" si="482">K328</f>
        <v>-6.5890000000000004</v>
      </c>
      <c r="L420" s="533">
        <f t="shared" ref="L420:N434" si="483">L328-K328</f>
        <v>11.963000000000001</v>
      </c>
      <c r="M420" s="533">
        <f t="shared" si="483"/>
        <v>16.527000000000001</v>
      </c>
      <c r="N420" s="533">
        <f t="shared" si="483"/>
        <v>-12.574999999999999</v>
      </c>
      <c r="O420" s="533">
        <f t="shared" ref="O420:O434" si="484">O328</f>
        <v>-12.664</v>
      </c>
      <c r="P420" s="533">
        <f t="shared" ref="P420:R434" si="485">P328-O328</f>
        <v>7.8839999999999995</v>
      </c>
      <c r="Q420" s="533">
        <f t="shared" si="485"/>
        <v>13.664999999999999</v>
      </c>
      <c r="R420" s="533">
        <f t="shared" si="485"/>
        <v>-0.33399999999999963</v>
      </c>
      <c r="S420" s="533">
        <f t="shared" ref="S420:S434" si="486">S328</f>
        <v>-13.637</v>
      </c>
      <c r="T420" s="533">
        <f t="shared" ref="T420:V434" si="487">T328-S328</f>
        <v>10.899000000000001</v>
      </c>
      <c r="U420" s="533">
        <f t="shared" si="487"/>
        <v>8.8819999999999997</v>
      </c>
      <c r="V420" s="533">
        <f t="shared" si="487"/>
        <v>-6.6029999999999998</v>
      </c>
      <c r="W420" s="533">
        <f t="shared" ref="W420:W434" si="488">W328</f>
        <v>-8.1590000000000007</v>
      </c>
      <c r="X420" s="533">
        <f t="shared" ref="X420:Z434" si="489">X328-W328</f>
        <v>13.189</v>
      </c>
      <c r="Y420" s="533">
        <f t="shared" si="489"/>
        <v>13.042999999999999</v>
      </c>
      <c r="Z420" s="533">
        <f t="shared" si="489"/>
        <v>9.3470000000000013</v>
      </c>
      <c r="AA420" s="533">
        <f t="shared" ref="AA420:AA434" si="490">AA328</f>
        <v>-8.282</v>
      </c>
      <c r="AB420" s="533">
        <f t="shared" ref="AB420:AD434" si="491">AB328-AA328</f>
        <v>23.712</v>
      </c>
      <c r="AC420" s="533">
        <f t="shared" si="491"/>
        <v>18.462000000000003</v>
      </c>
      <c r="AD420" s="533">
        <f t="shared" si="491"/>
        <v>3.3170000000000002</v>
      </c>
      <c r="AE420" s="533">
        <f t="shared" ref="AE420:AE434" si="492">AE328</f>
        <v>-9.73</v>
      </c>
      <c r="AF420" s="533">
        <f t="shared" ref="AF420:AH434" si="493">AF328-AE328</f>
        <v>20.594000000000001</v>
      </c>
      <c r="AG420" s="533">
        <f t="shared" si="493"/>
        <v>8.7539999999999978</v>
      </c>
      <c r="AH420" s="533">
        <f t="shared" si="493"/>
        <v>4.8880000000000017</v>
      </c>
      <c r="AI420" s="533">
        <f t="shared" ref="AI420:AI434" si="494">AI328</f>
        <v>12.666</v>
      </c>
      <c r="AJ420" s="533">
        <f t="shared" ref="AJ420:AL432" si="495">AJ328-AI328</f>
        <v>24.501000000000001</v>
      </c>
      <c r="AK420" s="533">
        <f t="shared" si="495"/>
        <v>23.789000000000001</v>
      </c>
      <c r="AL420" s="533">
        <f t="shared" si="495"/>
        <v>10.49499999999999</v>
      </c>
      <c r="AM420" s="533">
        <f t="shared" ref="AM420:AM434" si="496">AM328</f>
        <v>-5.883</v>
      </c>
      <c r="AN420" s="533">
        <f t="shared" ref="AN420:AP434" si="497">AN328-AM328</f>
        <v>42.004000000000005</v>
      </c>
      <c r="AO420" s="533">
        <f t="shared" si="497"/>
        <v>42.919000000000004</v>
      </c>
      <c r="AP420" s="533">
        <f t="shared" si="497"/>
        <v>28.089999999999989</v>
      </c>
      <c r="AQ420" s="533">
        <f t="shared" ref="AQ420:AQ434" si="498">AQ328</f>
        <v>-22.672000000000001</v>
      </c>
      <c r="AR420" s="533">
        <f t="shared" ref="AR420:AT434" si="499">AR328-AQ328</f>
        <v>50.704999999999998</v>
      </c>
      <c r="AS420" s="533">
        <f t="shared" si="499"/>
        <v>55.462000000000003</v>
      </c>
      <c r="AT420" s="533">
        <f t="shared" si="499"/>
        <v>43.372</v>
      </c>
      <c r="AU420" s="576">
        <f t="shared" ref="AU420:AU434" si="500">AU328</f>
        <v>4.8780000000000001</v>
      </c>
      <c r="AV420" s="532">
        <f t="shared" ref="AV420:AX420" si="501">AV215-AV216</f>
        <v>53.638758729713643</v>
      </c>
      <c r="AW420" s="532">
        <f t="shared" ca="1" si="501"/>
        <v>58.213964557222106</v>
      </c>
      <c r="AX420" s="532">
        <f t="shared" ca="1" si="501"/>
        <v>45.946863927589206</v>
      </c>
      <c r="AY420" s="532"/>
      <c r="AZ420" s="755">
        <f t="shared" ref="AZ420:BN420" si="502">AZ328</f>
        <v>11.728999999999999</v>
      </c>
      <c r="BA420" s="755">
        <f t="shared" si="502"/>
        <v>20.887</v>
      </c>
      <c r="BB420" s="755">
        <f t="shared" si="502"/>
        <v>11.664999999999999</v>
      </c>
      <c r="BC420" s="755">
        <f t="shared" si="502"/>
        <v>16.109000000000002</v>
      </c>
      <c r="BD420" s="755">
        <f t="shared" si="502"/>
        <v>26.533999999999999</v>
      </c>
      <c r="BE420" s="755">
        <f t="shared" si="502"/>
        <v>18.116</v>
      </c>
      <c r="BF420" s="755">
        <f t="shared" si="502"/>
        <v>9.3260000000000005</v>
      </c>
      <c r="BG420" s="755">
        <f t="shared" si="502"/>
        <v>8.5510000000000002</v>
      </c>
      <c r="BH420" s="755">
        <f t="shared" si="502"/>
        <v>-0.45900000000000002</v>
      </c>
      <c r="BI420" s="755">
        <f t="shared" si="502"/>
        <v>27.42</v>
      </c>
      <c r="BJ420" s="755">
        <f t="shared" si="502"/>
        <v>37.209000000000003</v>
      </c>
      <c r="BK420" s="755">
        <f t="shared" si="502"/>
        <v>24.506</v>
      </c>
      <c r="BL420" s="755">
        <f t="shared" si="502"/>
        <v>71.450999999999993</v>
      </c>
      <c r="BM420" s="755">
        <f t="shared" si="502"/>
        <v>107.13</v>
      </c>
      <c r="BN420" s="756">
        <f t="shared" si="502"/>
        <v>126.867</v>
      </c>
      <c r="BO420" s="156">
        <f t="shared" ref="BO420:BO434" ca="1" si="503">SUM(AU420,AV420,AW420,AX420)</f>
        <v>162.67758721452498</v>
      </c>
      <c r="BP420" s="156" t="e">
        <f>SUM(#REF!,#REF!,#REF!,#REF!)</f>
        <v>#REF!</v>
      </c>
      <c r="BQ420" s="156" t="e">
        <f>BQ215-BQ216</f>
        <v>#REF!</v>
      </c>
      <c r="BR420" s="156" t="e">
        <f>BR215-BR216</f>
        <v>#REF!</v>
      </c>
      <c r="BS420" s="156" t="e">
        <f ca="1">BS215-BS216</f>
        <v>#REF!</v>
      </c>
      <c r="BT420" s="533"/>
    </row>
    <row r="421" spans="1:72" s="17" customFormat="1" x14ac:dyDescent="0.35">
      <c r="A421" s="208" t="str">
        <f t="shared" si="477"/>
        <v>Depreciation and amortization expense</v>
      </c>
      <c r="B421" s="308"/>
      <c r="C421" s="533">
        <f t="shared" si="478"/>
        <v>15.661</v>
      </c>
      <c r="D421" s="533">
        <f t="shared" si="479"/>
        <v>16.232999999999997</v>
      </c>
      <c r="E421" s="533">
        <f t="shared" si="479"/>
        <v>16.282000000000004</v>
      </c>
      <c r="F421" s="533">
        <f t="shared" si="479"/>
        <v>17.560999999999993</v>
      </c>
      <c r="G421" s="533">
        <f t="shared" si="480"/>
        <v>16.95</v>
      </c>
      <c r="H421" s="533">
        <f t="shared" si="481"/>
        <v>34.524000000000001</v>
      </c>
      <c r="I421" s="533">
        <f t="shared" si="481"/>
        <v>18.017000000000003</v>
      </c>
      <c r="J421" s="533">
        <f t="shared" si="481"/>
        <v>16.775999999999996</v>
      </c>
      <c r="K421" s="533">
        <f t="shared" si="482"/>
        <v>16.88</v>
      </c>
      <c r="L421" s="533">
        <f t="shared" si="483"/>
        <v>17.629000000000001</v>
      </c>
      <c r="M421" s="533">
        <f t="shared" si="483"/>
        <v>17.764000000000003</v>
      </c>
      <c r="N421" s="533">
        <f t="shared" si="483"/>
        <v>31.527999999999999</v>
      </c>
      <c r="O421" s="533">
        <f t="shared" si="484"/>
        <v>16.565000000000001</v>
      </c>
      <c r="P421" s="533">
        <f t="shared" si="485"/>
        <v>16.469999999999995</v>
      </c>
      <c r="Q421" s="533">
        <f t="shared" si="485"/>
        <v>17.587000000000003</v>
      </c>
      <c r="R421" s="533">
        <f t="shared" si="485"/>
        <v>17.602999999999994</v>
      </c>
      <c r="S421" s="533">
        <f t="shared" si="486"/>
        <v>17.68</v>
      </c>
      <c r="T421" s="533">
        <f t="shared" si="487"/>
        <v>18.695</v>
      </c>
      <c r="U421" s="533">
        <f t="shared" si="487"/>
        <v>19.950000000000003</v>
      </c>
      <c r="V421" s="533">
        <f t="shared" si="487"/>
        <v>17.954999999999998</v>
      </c>
      <c r="W421" s="533">
        <f t="shared" si="488"/>
        <v>20.635999999999999</v>
      </c>
      <c r="X421" s="533">
        <f t="shared" si="489"/>
        <v>18.55</v>
      </c>
      <c r="Y421" s="533">
        <f t="shared" si="489"/>
        <v>18.426000000000002</v>
      </c>
      <c r="Z421" s="533">
        <f t="shared" si="489"/>
        <v>17.648000000000003</v>
      </c>
      <c r="AA421" s="533">
        <f t="shared" si="490"/>
        <v>18.510999999999999</v>
      </c>
      <c r="AB421" s="533">
        <f t="shared" si="491"/>
        <v>17.709999999999997</v>
      </c>
      <c r="AC421" s="533">
        <f t="shared" si="491"/>
        <v>17.038000000000004</v>
      </c>
      <c r="AD421" s="533">
        <f t="shared" si="491"/>
        <v>18.141000000000005</v>
      </c>
      <c r="AE421" s="533">
        <f t="shared" si="492"/>
        <v>17.146000000000001</v>
      </c>
      <c r="AF421" s="533">
        <f t="shared" si="493"/>
        <v>17.229999999999997</v>
      </c>
      <c r="AG421" s="533">
        <f t="shared" si="493"/>
        <v>18.414000000000001</v>
      </c>
      <c r="AH421" s="533">
        <f t="shared" si="493"/>
        <v>19.300999999999995</v>
      </c>
      <c r="AI421" s="533">
        <f t="shared" si="494"/>
        <v>18.277000000000001</v>
      </c>
      <c r="AJ421" s="533">
        <f t="shared" si="495"/>
        <v>23.161000000000001</v>
      </c>
      <c r="AK421" s="533">
        <f t="shared" si="495"/>
        <v>23.599999999999994</v>
      </c>
      <c r="AL421" s="533">
        <f t="shared" si="495"/>
        <v>25.039000000000001</v>
      </c>
      <c r="AM421" s="533">
        <f t="shared" si="496"/>
        <v>24.146999999999998</v>
      </c>
      <c r="AN421" s="533">
        <f t="shared" si="497"/>
        <v>25.18</v>
      </c>
      <c r="AO421" s="533">
        <f t="shared" si="497"/>
        <v>24.137</v>
      </c>
      <c r="AP421" s="533">
        <f t="shared" si="497"/>
        <v>24.450000000000003</v>
      </c>
      <c r="AQ421" s="533">
        <f t="shared" si="498"/>
        <v>26.251000000000001</v>
      </c>
      <c r="AR421" s="533">
        <f t="shared" si="499"/>
        <v>27.462999999999997</v>
      </c>
      <c r="AS421" s="533">
        <f t="shared" si="499"/>
        <v>26.942000000000007</v>
      </c>
      <c r="AT421" s="533">
        <f t="shared" si="499"/>
        <v>29.701999999999998</v>
      </c>
      <c r="AU421" s="576">
        <f t="shared" si="500"/>
        <v>28.016999999999999</v>
      </c>
      <c r="AV421" s="532">
        <f t="shared" ref="AV421:AX421" si="504">AV201+AV202</f>
        <v>29.301415573770491</v>
      </c>
      <c r="AW421" s="532">
        <f t="shared" si="504"/>
        <v>26.731052103395893</v>
      </c>
      <c r="AX421" s="532">
        <f t="shared" si="504"/>
        <v>25.111357626706287</v>
      </c>
      <c r="AY421" s="532"/>
      <c r="AZ421" s="755">
        <f t="shared" ref="AZ421:BN421" si="505">AZ329</f>
        <v>20.835000000000001</v>
      </c>
      <c r="BA421" s="755">
        <f t="shared" si="505"/>
        <v>25.760999999999999</v>
      </c>
      <c r="BB421" s="755">
        <f t="shared" si="505"/>
        <v>42.933999999999997</v>
      </c>
      <c r="BC421" s="755">
        <f t="shared" si="505"/>
        <v>58.033000000000001</v>
      </c>
      <c r="BD421" s="755">
        <f t="shared" si="505"/>
        <v>65.736999999999995</v>
      </c>
      <c r="BE421" s="755">
        <f t="shared" si="505"/>
        <v>86.266999999999996</v>
      </c>
      <c r="BF421" s="755">
        <f t="shared" si="505"/>
        <v>83.801000000000002</v>
      </c>
      <c r="BG421" s="755">
        <f t="shared" si="505"/>
        <v>68.224999999999994</v>
      </c>
      <c r="BH421" s="755">
        <f t="shared" si="505"/>
        <v>74.28</v>
      </c>
      <c r="BI421" s="755">
        <f t="shared" si="505"/>
        <v>75.260000000000005</v>
      </c>
      <c r="BJ421" s="755">
        <f t="shared" si="505"/>
        <v>71.400000000000006</v>
      </c>
      <c r="BK421" s="755">
        <f t="shared" si="505"/>
        <v>72.090999999999994</v>
      </c>
      <c r="BL421" s="755">
        <f t="shared" si="505"/>
        <v>90.076999999999998</v>
      </c>
      <c r="BM421" s="755">
        <f t="shared" si="505"/>
        <v>97.914000000000001</v>
      </c>
      <c r="BN421" s="756">
        <f t="shared" si="505"/>
        <v>110.358</v>
      </c>
      <c r="BO421" s="156">
        <f t="shared" si="503"/>
        <v>109.16082530387268</v>
      </c>
      <c r="BP421" s="156" t="e">
        <f>SUM(#REF!,#REF!,#REF!,#REF!)</f>
        <v>#REF!</v>
      </c>
      <c r="BQ421" s="156" t="e">
        <f>BQ201+BQ202</f>
        <v>#REF!</v>
      </c>
      <c r="BR421" s="156" t="e">
        <f>BR201+BR202</f>
        <v>#REF!</v>
      </c>
      <c r="BS421" s="156" t="e">
        <f>BS201+BS202</f>
        <v>#REF!</v>
      </c>
      <c r="BT421" s="533"/>
    </row>
    <row r="422" spans="1:72" s="17" customFormat="1" x14ac:dyDescent="0.35">
      <c r="A422" s="208" t="str">
        <f t="shared" si="477"/>
        <v>Stock-based compensation expense</v>
      </c>
      <c r="B422" s="308"/>
      <c r="C422" s="533">
        <f t="shared" si="478"/>
        <v>2.8719999999999999</v>
      </c>
      <c r="D422" s="533">
        <f t="shared" si="479"/>
        <v>2.9080000000000004</v>
      </c>
      <c r="E422" s="533">
        <f t="shared" si="479"/>
        <v>4.0529999999999999</v>
      </c>
      <c r="F422" s="533">
        <f t="shared" si="479"/>
        <v>4.5410000000000004</v>
      </c>
      <c r="G422" s="533">
        <f t="shared" si="480"/>
        <v>3.68</v>
      </c>
      <c r="H422" s="533">
        <f t="shared" si="481"/>
        <v>8.5300000000000011</v>
      </c>
      <c r="I422" s="533">
        <f t="shared" si="481"/>
        <v>3.9890000000000008</v>
      </c>
      <c r="J422" s="533">
        <f t="shared" si="481"/>
        <v>6.6289999999999978</v>
      </c>
      <c r="K422" s="533">
        <f t="shared" si="482"/>
        <v>4.173</v>
      </c>
      <c r="L422" s="533">
        <f t="shared" si="483"/>
        <v>4.7959999999999994</v>
      </c>
      <c r="M422" s="533">
        <f t="shared" si="483"/>
        <v>4.5020000000000007</v>
      </c>
      <c r="N422" s="533">
        <f t="shared" si="483"/>
        <v>7.8279999999999994</v>
      </c>
      <c r="O422" s="533">
        <f t="shared" si="484"/>
        <v>4.5869999999999997</v>
      </c>
      <c r="P422" s="533">
        <f t="shared" si="485"/>
        <v>4.9540000000000006</v>
      </c>
      <c r="Q422" s="533">
        <f t="shared" si="485"/>
        <v>4.218</v>
      </c>
      <c r="R422" s="533">
        <f t="shared" si="485"/>
        <v>4.8569999999999993</v>
      </c>
      <c r="S422" s="533">
        <f t="shared" si="486"/>
        <v>4.694</v>
      </c>
      <c r="T422" s="533">
        <f t="shared" si="487"/>
        <v>4.5979999999999999</v>
      </c>
      <c r="U422" s="533">
        <f t="shared" si="487"/>
        <v>5.2650000000000006</v>
      </c>
      <c r="V422" s="533">
        <f t="shared" si="487"/>
        <v>8.0409999999999986</v>
      </c>
      <c r="W422" s="533">
        <f t="shared" si="488"/>
        <v>3.0790000000000002</v>
      </c>
      <c r="X422" s="533">
        <f t="shared" si="489"/>
        <v>7.2169999999999987</v>
      </c>
      <c r="Y422" s="533">
        <f t="shared" si="489"/>
        <v>4.5570000000000004</v>
      </c>
      <c r="Z422" s="533">
        <f t="shared" si="489"/>
        <v>5.9640000000000004</v>
      </c>
      <c r="AA422" s="533">
        <f t="shared" si="490"/>
        <v>4.024</v>
      </c>
      <c r="AB422" s="533">
        <f t="shared" si="491"/>
        <v>4.1399999999999997</v>
      </c>
      <c r="AC422" s="533">
        <f t="shared" si="491"/>
        <v>3.9500000000000011</v>
      </c>
      <c r="AD422" s="533">
        <f t="shared" si="491"/>
        <v>4.5619999999999976</v>
      </c>
      <c r="AE422" s="533">
        <f t="shared" si="492"/>
        <v>5.5220000000000002</v>
      </c>
      <c r="AF422" s="533">
        <f t="shared" si="493"/>
        <v>6.1769999999999996</v>
      </c>
      <c r="AG422" s="533">
        <f t="shared" si="493"/>
        <v>6.0860000000000003</v>
      </c>
      <c r="AH422" s="533">
        <f t="shared" si="493"/>
        <v>5.8240000000000016</v>
      </c>
      <c r="AI422" s="533">
        <f t="shared" si="494"/>
        <v>8.8930000000000007</v>
      </c>
      <c r="AJ422" s="533">
        <f t="shared" si="495"/>
        <v>9.0739999999999981</v>
      </c>
      <c r="AK422" s="533">
        <f t="shared" si="495"/>
        <v>12.854000000000003</v>
      </c>
      <c r="AL422" s="533">
        <f t="shared" si="495"/>
        <v>8.5119999999999969</v>
      </c>
      <c r="AM422" s="533">
        <f t="shared" si="496"/>
        <v>8.2859999999999996</v>
      </c>
      <c r="AN422" s="533">
        <f t="shared" si="497"/>
        <v>0.60200000000000031</v>
      </c>
      <c r="AO422" s="533">
        <f t="shared" si="497"/>
        <v>5.5760000000000005</v>
      </c>
      <c r="AP422" s="533">
        <f t="shared" si="497"/>
        <v>4.1059999999999999</v>
      </c>
      <c r="AQ422" s="533">
        <f t="shared" si="498"/>
        <v>5.51</v>
      </c>
      <c r="AR422" s="533">
        <f t="shared" si="499"/>
        <v>4.9410000000000007</v>
      </c>
      <c r="AS422" s="533">
        <f t="shared" si="499"/>
        <v>4.7449999999999992</v>
      </c>
      <c r="AT422" s="533">
        <f t="shared" si="499"/>
        <v>5.1240000000000006</v>
      </c>
      <c r="AU422" s="576">
        <f t="shared" si="500"/>
        <v>8.4260000000000002</v>
      </c>
      <c r="AV422" s="532">
        <f t="shared" ref="AV422:AX422" si="506">AV203</f>
        <v>7</v>
      </c>
      <c r="AW422" s="532">
        <f t="shared" si="506"/>
        <v>7.6</v>
      </c>
      <c r="AX422" s="532">
        <f t="shared" si="506"/>
        <v>7.5</v>
      </c>
      <c r="AY422" s="532"/>
      <c r="AZ422" s="755">
        <f t="shared" ref="AZ422:BN422" si="507">AZ330</f>
        <v>2.79</v>
      </c>
      <c r="BA422" s="755">
        <f t="shared" si="507"/>
        <v>5.9340000000000002</v>
      </c>
      <c r="BB422" s="755">
        <f t="shared" si="507"/>
        <v>9.4659999999999993</v>
      </c>
      <c r="BC422" s="755">
        <f t="shared" si="507"/>
        <v>10.067</v>
      </c>
      <c r="BD422" s="755">
        <f t="shared" si="507"/>
        <v>14.374000000000001</v>
      </c>
      <c r="BE422" s="755">
        <f t="shared" si="507"/>
        <v>22.827999999999999</v>
      </c>
      <c r="BF422" s="755">
        <f t="shared" si="507"/>
        <v>21.298999999999999</v>
      </c>
      <c r="BG422" s="755">
        <f t="shared" si="507"/>
        <v>18.616</v>
      </c>
      <c r="BH422" s="755">
        <f t="shared" si="507"/>
        <v>22.597999999999999</v>
      </c>
      <c r="BI422" s="755">
        <f t="shared" si="507"/>
        <v>20.817</v>
      </c>
      <c r="BJ422" s="755">
        <f t="shared" si="507"/>
        <v>16.675999999999998</v>
      </c>
      <c r="BK422" s="755">
        <f t="shared" si="507"/>
        <v>23.609000000000002</v>
      </c>
      <c r="BL422" s="755">
        <f t="shared" si="507"/>
        <v>39.332999999999998</v>
      </c>
      <c r="BM422" s="755">
        <f t="shared" si="507"/>
        <v>18.57</v>
      </c>
      <c r="BN422" s="756">
        <f t="shared" si="507"/>
        <v>20.32</v>
      </c>
      <c r="BO422" s="156">
        <f t="shared" si="503"/>
        <v>30.526</v>
      </c>
      <c r="BP422" s="156" t="e">
        <f>SUM(#REF!,#REF!,#REF!,#REF!)</f>
        <v>#REF!</v>
      </c>
      <c r="BQ422" s="156">
        <f>BQ203</f>
        <v>26</v>
      </c>
      <c r="BR422" s="156">
        <f>BR203</f>
        <v>26</v>
      </c>
      <c r="BS422" s="156">
        <f>BS203</f>
        <v>26</v>
      </c>
      <c r="BT422" s="533"/>
    </row>
    <row r="423" spans="1:72" s="17" customFormat="1" x14ac:dyDescent="0.35">
      <c r="A423" s="208" t="str">
        <f t="shared" si="477"/>
        <v>Excess tax benefit from stock-based compensation</v>
      </c>
      <c r="B423" s="308"/>
      <c r="C423" s="533">
        <f t="shared" si="478"/>
        <v>-1.0860000000000001</v>
      </c>
      <c r="D423" s="533">
        <f t="shared" si="479"/>
        <v>-1.446</v>
      </c>
      <c r="E423" s="533">
        <f t="shared" si="479"/>
        <v>-1.8810000000000002</v>
      </c>
      <c r="F423" s="533">
        <f t="shared" si="479"/>
        <v>-4.4759999999999991</v>
      </c>
      <c r="G423" s="533">
        <f t="shared" si="480"/>
        <v>-0.38500000000000001</v>
      </c>
      <c r="H423" s="533">
        <f t="shared" si="481"/>
        <v>1.6020000000000001</v>
      </c>
      <c r="I423" s="533">
        <f t="shared" si="481"/>
        <v>-0.74500000000000011</v>
      </c>
      <c r="J423" s="533">
        <f t="shared" si="481"/>
        <v>-2.1509999999999998</v>
      </c>
      <c r="K423" s="533">
        <f t="shared" si="482"/>
        <v>-7.0000000000000001E-3</v>
      </c>
      <c r="L423" s="533">
        <f t="shared" si="483"/>
        <v>0</v>
      </c>
      <c r="M423" s="533">
        <f t="shared" si="483"/>
        <v>-1E-3</v>
      </c>
      <c r="N423" s="533">
        <f t="shared" si="483"/>
        <v>-0.10999999999999999</v>
      </c>
      <c r="O423" s="533">
        <f t="shared" si="484"/>
        <v>-6.0000000000000001E-3</v>
      </c>
      <c r="P423" s="533">
        <f t="shared" si="485"/>
        <v>0</v>
      </c>
      <c r="Q423" s="533">
        <f t="shared" si="485"/>
        <v>0</v>
      </c>
      <c r="R423" s="533">
        <f t="shared" si="485"/>
        <v>0</v>
      </c>
      <c r="S423" s="533">
        <f t="shared" si="486"/>
        <v>-0.10299999999999999</v>
      </c>
      <c r="T423" s="533">
        <f t="shared" si="487"/>
        <v>-0.14700000000000002</v>
      </c>
      <c r="U423" s="533">
        <f t="shared" si="487"/>
        <v>0</v>
      </c>
      <c r="V423" s="533">
        <f t="shared" si="487"/>
        <v>-4.0999999999999981E-2</v>
      </c>
      <c r="W423" s="533">
        <f t="shared" si="488"/>
        <v>0</v>
      </c>
      <c r="X423" s="533">
        <f t="shared" si="489"/>
        <v>0</v>
      </c>
      <c r="Y423" s="533">
        <f t="shared" si="489"/>
        <v>0</v>
      </c>
      <c r="Z423" s="533">
        <f t="shared" si="489"/>
        <v>0</v>
      </c>
      <c r="AA423" s="533">
        <f t="shared" si="490"/>
        <v>0</v>
      </c>
      <c r="AB423" s="533">
        <f t="shared" si="491"/>
        <v>0</v>
      </c>
      <c r="AC423" s="533">
        <f t="shared" si="491"/>
        <v>0</v>
      </c>
      <c r="AD423" s="533">
        <f t="shared" si="491"/>
        <v>0</v>
      </c>
      <c r="AE423" s="533">
        <f t="shared" si="492"/>
        <v>0</v>
      </c>
      <c r="AF423" s="533">
        <f t="shared" si="493"/>
        <v>0</v>
      </c>
      <c r="AG423" s="533">
        <f t="shared" si="493"/>
        <v>0</v>
      </c>
      <c r="AH423" s="533">
        <f t="shared" si="493"/>
        <v>0</v>
      </c>
      <c r="AI423" s="533">
        <f t="shared" si="494"/>
        <v>0</v>
      </c>
      <c r="AJ423" s="533">
        <f t="shared" si="495"/>
        <v>0</v>
      </c>
      <c r="AK423" s="533">
        <f t="shared" si="495"/>
        <v>0</v>
      </c>
      <c r="AL423" s="533">
        <f t="shared" si="495"/>
        <v>0</v>
      </c>
      <c r="AM423" s="533">
        <f t="shared" si="496"/>
        <v>0</v>
      </c>
      <c r="AN423" s="533">
        <f t="shared" si="497"/>
        <v>0</v>
      </c>
      <c r="AO423" s="533">
        <f t="shared" si="497"/>
        <v>0</v>
      </c>
      <c r="AP423" s="533">
        <f t="shared" si="497"/>
        <v>0</v>
      </c>
      <c r="AQ423" s="533">
        <f t="shared" si="498"/>
        <v>0</v>
      </c>
      <c r="AR423" s="533">
        <f t="shared" si="499"/>
        <v>0</v>
      </c>
      <c r="AS423" s="533">
        <f t="shared" si="499"/>
        <v>0</v>
      </c>
      <c r="AT423" s="533">
        <f t="shared" si="499"/>
        <v>0</v>
      </c>
      <c r="AU423" s="576">
        <f t="shared" si="500"/>
        <v>0</v>
      </c>
      <c r="AV423" s="532"/>
      <c r="AW423" s="532"/>
      <c r="AX423" s="532"/>
      <c r="AY423" s="532"/>
      <c r="AZ423" s="755">
        <f t="shared" ref="AZ423:BN423" si="508">AZ331</f>
        <v>-6.9980000000000002</v>
      </c>
      <c r="BA423" s="755">
        <f t="shared" si="508"/>
        <v>-3.9350000000000001</v>
      </c>
      <c r="BB423" s="755">
        <f t="shared" si="508"/>
        <v>-4.9539999999999997</v>
      </c>
      <c r="BC423" s="755">
        <f t="shared" si="508"/>
        <v>3.1219999999999999</v>
      </c>
      <c r="BD423" s="755">
        <f t="shared" si="508"/>
        <v>-8.8889999999999993</v>
      </c>
      <c r="BE423" s="755">
        <f t="shared" si="508"/>
        <v>-1.679</v>
      </c>
      <c r="BF423" s="755">
        <f t="shared" si="508"/>
        <v>-0.11799999999999999</v>
      </c>
      <c r="BG423" s="755">
        <f t="shared" si="508"/>
        <v>-6.0000000000000001E-3</v>
      </c>
      <c r="BH423" s="755">
        <f t="shared" si="508"/>
        <v>-0.29099999999999998</v>
      </c>
      <c r="BI423" s="755">
        <f t="shared" si="508"/>
        <v>0</v>
      </c>
      <c r="BJ423" s="755">
        <f t="shared" si="508"/>
        <v>0</v>
      </c>
      <c r="BK423" s="755">
        <f t="shared" si="508"/>
        <v>0</v>
      </c>
      <c r="BL423" s="755">
        <f t="shared" si="508"/>
        <v>0</v>
      </c>
      <c r="BM423" s="755">
        <f t="shared" si="508"/>
        <v>0</v>
      </c>
      <c r="BN423" s="756">
        <f t="shared" si="508"/>
        <v>0</v>
      </c>
      <c r="BO423" s="156">
        <f t="shared" si="503"/>
        <v>0</v>
      </c>
      <c r="BP423" s="156" t="e">
        <f>SUM(#REF!,#REF!,#REF!,#REF!)</f>
        <v>#REF!</v>
      </c>
      <c r="BQ423" s="156"/>
      <c r="BR423" s="156"/>
      <c r="BS423" s="156"/>
      <c r="BT423" s="533"/>
    </row>
    <row r="424" spans="1:72" s="17" customFormat="1" x14ac:dyDescent="0.35">
      <c r="A424" s="208" t="str">
        <f t="shared" si="477"/>
        <v>Deferred income taxes</v>
      </c>
      <c r="B424" s="308"/>
      <c r="C424" s="533">
        <f t="shared" si="478"/>
        <v>3.488</v>
      </c>
      <c r="D424" s="533">
        <f t="shared" si="479"/>
        <v>5.9939999999999998</v>
      </c>
      <c r="E424" s="533">
        <f t="shared" si="479"/>
        <v>6.8659999999999997</v>
      </c>
      <c r="F424" s="533">
        <f t="shared" si="479"/>
        <v>-0.5779999999999994</v>
      </c>
      <c r="G424" s="533">
        <f t="shared" si="480"/>
        <v>-3.45</v>
      </c>
      <c r="H424" s="533">
        <f t="shared" si="481"/>
        <v>-4.6840000000000002</v>
      </c>
      <c r="I424" s="533">
        <f t="shared" si="481"/>
        <v>8.2560000000000002</v>
      </c>
      <c r="J424" s="533">
        <f t="shared" si="481"/>
        <v>-5.8759999999999994</v>
      </c>
      <c r="K424" s="533">
        <f t="shared" si="482"/>
        <v>7.258</v>
      </c>
      <c r="L424" s="533">
        <f t="shared" si="483"/>
        <v>-2.0549999999999997</v>
      </c>
      <c r="M424" s="533">
        <f t="shared" si="483"/>
        <v>-1.0750000000000002</v>
      </c>
      <c r="N424" s="533">
        <f t="shared" si="483"/>
        <v>-7.2219999999999995</v>
      </c>
      <c r="O424" s="533">
        <f t="shared" si="484"/>
        <v>7.1890000000000001</v>
      </c>
      <c r="P424" s="533">
        <f t="shared" si="485"/>
        <v>-1.444</v>
      </c>
      <c r="Q424" s="533">
        <f t="shared" si="485"/>
        <v>-6.2970000000000006</v>
      </c>
      <c r="R424" s="533">
        <f t="shared" si="485"/>
        <v>-3.266</v>
      </c>
      <c r="S424" s="533">
        <f t="shared" si="486"/>
        <v>8.2910000000000004</v>
      </c>
      <c r="T424" s="533">
        <f t="shared" si="487"/>
        <v>-4.1680000000000001</v>
      </c>
      <c r="U424" s="533">
        <f t="shared" si="487"/>
        <v>-4.3820000000000006</v>
      </c>
      <c r="V424" s="533">
        <f t="shared" si="487"/>
        <v>-6.806</v>
      </c>
      <c r="W424" s="533">
        <f t="shared" si="488"/>
        <v>7.7649999999999997</v>
      </c>
      <c r="X424" s="533">
        <f t="shared" si="489"/>
        <v>-7.8159999999999998</v>
      </c>
      <c r="Y424" s="533">
        <f t="shared" si="489"/>
        <v>-4.9269999999999996</v>
      </c>
      <c r="Z424" s="533">
        <f t="shared" si="489"/>
        <v>0.96300000000000008</v>
      </c>
      <c r="AA424" s="533">
        <f t="shared" si="490"/>
        <v>5.8650000000000002</v>
      </c>
      <c r="AB424" s="533">
        <f t="shared" si="491"/>
        <v>0.46899999999999942</v>
      </c>
      <c r="AC424" s="533">
        <f t="shared" si="491"/>
        <v>-1.0069999999999997</v>
      </c>
      <c r="AD424" s="533">
        <f t="shared" si="491"/>
        <v>-1.6339999999999999</v>
      </c>
      <c r="AE424" s="533">
        <f t="shared" si="492"/>
        <v>3.7759999999999998</v>
      </c>
      <c r="AF424" s="533">
        <f t="shared" si="493"/>
        <v>-3.4299999999999997</v>
      </c>
      <c r="AG424" s="533">
        <f t="shared" si="493"/>
        <v>0.80500000000000005</v>
      </c>
      <c r="AH424" s="533">
        <f t="shared" si="493"/>
        <v>-2.456</v>
      </c>
      <c r="AI424" s="533">
        <f t="shared" si="494"/>
        <v>8.0649999999999995</v>
      </c>
      <c r="AJ424" s="533">
        <f t="shared" si="495"/>
        <v>-2.6899999999999995</v>
      </c>
      <c r="AK424" s="533">
        <f t="shared" si="495"/>
        <v>-3.1190000000000002</v>
      </c>
      <c r="AL424" s="533">
        <f t="shared" si="495"/>
        <v>0.29300000000000015</v>
      </c>
      <c r="AM424" s="533">
        <f t="shared" si="496"/>
        <v>5.484</v>
      </c>
      <c r="AN424" s="533">
        <f t="shared" si="497"/>
        <v>0.52400000000000002</v>
      </c>
      <c r="AO424" s="533">
        <f t="shared" si="497"/>
        <v>0.56400000000000006</v>
      </c>
      <c r="AP424" s="533">
        <f t="shared" si="497"/>
        <v>-5.3819999999999997</v>
      </c>
      <c r="AQ424" s="533">
        <f t="shared" si="498"/>
        <v>17.222999999999999</v>
      </c>
      <c r="AR424" s="533">
        <f t="shared" si="499"/>
        <v>-9.227999999999998</v>
      </c>
      <c r="AS424" s="533">
        <f t="shared" si="499"/>
        <v>-5.0129999999999999</v>
      </c>
      <c r="AT424" s="533">
        <f t="shared" si="499"/>
        <v>-13.355</v>
      </c>
      <c r="AU424" s="576">
        <f t="shared" si="500"/>
        <v>7.9009999999999998</v>
      </c>
      <c r="AV424" s="532">
        <f t="shared" ref="AV424:AX424" si="509">AV214</f>
        <v>0</v>
      </c>
      <c r="AW424" s="532">
        <f t="shared" ca="1" si="509"/>
        <v>0</v>
      </c>
      <c r="AX424" s="532">
        <f t="shared" ca="1" si="509"/>
        <v>0</v>
      </c>
      <c r="AY424" s="532"/>
      <c r="AZ424" s="755">
        <f t="shared" ref="AZ424:BN424" si="510">AZ332</f>
        <v>9.5839999999999996</v>
      </c>
      <c r="BA424" s="755">
        <f t="shared" si="510"/>
        <v>11.858000000000001</v>
      </c>
      <c r="BB424" s="755">
        <f t="shared" si="510"/>
        <v>10.978</v>
      </c>
      <c r="BC424" s="755">
        <f t="shared" si="510"/>
        <v>10.297000000000001</v>
      </c>
      <c r="BD424" s="755">
        <f t="shared" si="510"/>
        <v>15.77</v>
      </c>
      <c r="BE424" s="755">
        <f t="shared" si="510"/>
        <v>-5.7539999999999996</v>
      </c>
      <c r="BF424" s="755">
        <f t="shared" si="510"/>
        <v>-3.0939999999999999</v>
      </c>
      <c r="BG424" s="755">
        <f t="shared" si="510"/>
        <v>-3.8180000000000001</v>
      </c>
      <c r="BH424" s="755">
        <f t="shared" si="510"/>
        <v>-7.0650000000000004</v>
      </c>
      <c r="BI424" s="755">
        <f t="shared" si="510"/>
        <v>-4.0149999999999997</v>
      </c>
      <c r="BJ424" s="755">
        <f t="shared" si="510"/>
        <v>3.6930000000000001</v>
      </c>
      <c r="BK424" s="755">
        <f t="shared" si="510"/>
        <v>-1.3049999999999999</v>
      </c>
      <c r="BL424" s="755">
        <f t="shared" si="510"/>
        <v>2.5489999999999999</v>
      </c>
      <c r="BM424" s="755">
        <f t="shared" si="510"/>
        <v>1.19</v>
      </c>
      <c r="BN424" s="756">
        <f t="shared" si="510"/>
        <v>-10.372999999999999</v>
      </c>
      <c r="BO424" s="156">
        <f t="shared" ca="1" si="503"/>
        <v>7.9009999999999998</v>
      </c>
      <c r="BP424" s="156" t="e">
        <f>SUM(#REF!,#REF!,#REF!,#REF!)</f>
        <v>#REF!</v>
      </c>
      <c r="BQ424" s="156" t="e">
        <f>BQ214</f>
        <v>#REF!</v>
      </c>
      <c r="BR424" s="156" t="e">
        <f>BR214</f>
        <v>#REF!</v>
      </c>
      <c r="BS424" s="156" t="e">
        <f ca="1">BS214</f>
        <v>#REF!</v>
      </c>
      <c r="BT424" s="533"/>
    </row>
    <row r="425" spans="1:72" s="17" customFormat="1" x14ac:dyDescent="0.35">
      <c r="A425" s="208" t="str">
        <f t="shared" si="477"/>
        <v>(Recovery of) Provision for doubtful accounts</v>
      </c>
      <c r="B425" s="308"/>
      <c r="C425" s="533">
        <f t="shared" si="478"/>
        <v>0.39700000000000002</v>
      </c>
      <c r="D425" s="533">
        <f t="shared" si="479"/>
        <v>0.38700000000000001</v>
      </c>
      <c r="E425" s="533">
        <f t="shared" si="479"/>
        <v>1.03</v>
      </c>
      <c r="F425" s="533">
        <f t="shared" si="479"/>
        <v>0.25599999999999978</v>
      </c>
      <c r="G425" s="533">
        <f t="shared" si="480"/>
        <v>0.30199999999999999</v>
      </c>
      <c r="H425" s="533">
        <f t="shared" si="481"/>
        <v>0.41499999999999998</v>
      </c>
      <c r="I425" s="533">
        <f t="shared" si="481"/>
        <v>0.48899999999999999</v>
      </c>
      <c r="J425" s="533">
        <f t="shared" si="481"/>
        <v>0.2330000000000001</v>
      </c>
      <c r="K425" s="533">
        <f t="shared" si="482"/>
        <v>0.28299999999999997</v>
      </c>
      <c r="L425" s="533">
        <f t="shared" si="483"/>
        <v>0.55299999999999994</v>
      </c>
      <c r="M425" s="533">
        <f t="shared" si="483"/>
        <v>0.60599999999999998</v>
      </c>
      <c r="N425" s="533">
        <f t="shared" si="483"/>
        <v>7.8580000000000005</v>
      </c>
      <c r="O425" s="533">
        <f t="shared" si="484"/>
        <v>2.335</v>
      </c>
      <c r="P425" s="533">
        <f t="shared" si="485"/>
        <v>0.43100000000000005</v>
      </c>
      <c r="Q425" s="533">
        <f t="shared" si="485"/>
        <v>0.129</v>
      </c>
      <c r="R425" s="533">
        <f t="shared" si="485"/>
        <v>1.7150000000000003</v>
      </c>
      <c r="S425" s="533">
        <f t="shared" si="486"/>
        <v>0.23899999999999999</v>
      </c>
      <c r="T425" s="533">
        <f t="shared" si="487"/>
        <v>3.400000000000003E-2</v>
      </c>
      <c r="U425" s="533">
        <f t="shared" si="487"/>
        <v>3.9229999999999996</v>
      </c>
      <c r="V425" s="533">
        <f t="shared" si="487"/>
        <v>0.31599999999999984</v>
      </c>
      <c r="W425" s="533">
        <f t="shared" si="488"/>
        <v>0.12</v>
      </c>
      <c r="X425" s="533">
        <f t="shared" si="489"/>
        <v>0.34800000000000003</v>
      </c>
      <c r="Y425" s="533">
        <f t="shared" si="489"/>
        <v>0.13699999999999996</v>
      </c>
      <c r="Z425" s="533">
        <f t="shared" si="489"/>
        <v>3.4840000000000004</v>
      </c>
      <c r="AA425" s="533">
        <f t="shared" si="490"/>
        <v>0.44600000000000001</v>
      </c>
      <c r="AB425" s="533">
        <f t="shared" si="491"/>
        <v>0.29399999999999998</v>
      </c>
      <c r="AC425" s="533">
        <f t="shared" si="491"/>
        <v>2.1139999999999999</v>
      </c>
      <c r="AD425" s="533">
        <f t="shared" si="491"/>
        <v>3.4710000000000001</v>
      </c>
      <c r="AE425" s="533">
        <f t="shared" si="492"/>
        <v>-0.28000000000000003</v>
      </c>
      <c r="AF425" s="533">
        <f t="shared" si="493"/>
        <v>-6.3999999999999946E-2</v>
      </c>
      <c r="AG425" s="533">
        <f t="shared" si="493"/>
        <v>0.25600000000000001</v>
      </c>
      <c r="AH425" s="533">
        <f t="shared" si="493"/>
        <v>2.97</v>
      </c>
      <c r="AI425" s="533">
        <f t="shared" si="494"/>
        <v>4.875</v>
      </c>
      <c r="AJ425" s="533">
        <f t="shared" si="495"/>
        <v>1.5070000000000006</v>
      </c>
      <c r="AK425" s="533">
        <f t="shared" si="495"/>
        <v>1.2529999999999992</v>
      </c>
      <c r="AL425" s="533">
        <f t="shared" si="495"/>
        <v>-1.0739999999999998</v>
      </c>
      <c r="AM425" s="533">
        <f t="shared" si="496"/>
        <v>0.152</v>
      </c>
      <c r="AN425" s="533">
        <f t="shared" si="497"/>
        <v>4.5780000000000003</v>
      </c>
      <c r="AO425" s="533">
        <f t="shared" si="497"/>
        <v>2.3169999999999993</v>
      </c>
      <c r="AP425" s="533">
        <f t="shared" si="497"/>
        <v>8.6260000000000012</v>
      </c>
      <c r="AQ425" s="533">
        <f t="shared" si="498"/>
        <v>1.5029999999999999</v>
      </c>
      <c r="AR425" s="533">
        <f t="shared" si="499"/>
        <v>0.67000000000000015</v>
      </c>
      <c r="AS425" s="533">
        <f t="shared" si="499"/>
        <v>3.766</v>
      </c>
      <c r="AT425" s="533">
        <f t="shared" si="499"/>
        <v>3.2189999999999994</v>
      </c>
      <c r="AU425" s="576">
        <f t="shared" si="500"/>
        <v>9.35</v>
      </c>
      <c r="AV425" s="532"/>
      <c r="AW425" s="532"/>
      <c r="AX425" s="532"/>
      <c r="AY425" s="532"/>
      <c r="AZ425" s="755">
        <f t="shared" ref="AZ425:BN425" si="511">AZ333</f>
        <v>-0.40300000000000002</v>
      </c>
      <c r="BA425" s="755">
        <f t="shared" si="511"/>
        <v>0.308</v>
      </c>
      <c r="BB425" s="755">
        <f t="shared" si="511"/>
        <v>1.472</v>
      </c>
      <c r="BC425" s="755">
        <f t="shared" si="511"/>
        <v>0.20399999999999999</v>
      </c>
      <c r="BD425" s="755">
        <f t="shared" si="511"/>
        <v>2.0699999999999998</v>
      </c>
      <c r="BE425" s="755">
        <f t="shared" si="511"/>
        <v>1.4390000000000001</v>
      </c>
      <c r="BF425" s="755">
        <f t="shared" si="511"/>
        <v>9.3000000000000007</v>
      </c>
      <c r="BG425" s="755">
        <f t="shared" si="511"/>
        <v>4.6100000000000003</v>
      </c>
      <c r="BH425" s="755">
        <f t="shared" si="511"/>
        <v>4.5119999999999996</v>
      </c>
      <c r="BI425" s="755">
        <f t="shared" si="511"/>
        <v>4.0890000000000004</v>
      </c>
      <c r="BJ425" s="755">
        <f t="shared" si="511"/>
        <v>6.3250000000000002</v>
      </c>
      <c r="BK425" s="755">
        <f t="shared" si="511"/>
        <v>2.8820000000000001</v>
      </c>
      <c r="BL425" s="755">
        <f t="shared" si="511"/>
        <v>6.5609999999999999</v>
      </c>
      <c r="BM425" s="755">
        <f t="shared" si="511"/>
        <v>15.673</v>
      </c>
      <c r="BN425" s="756">
        <f t="shared" si="511"/>
        <v>9.1579999999999995</v>
      </c>
      <c r="BO425" s="156">
        <f t="shared" si="503"/>
        <v>9.35</v>
      </c>
      <c r="BP425" s="156" t="e">
        <f>SUM(#REF!,#REF!,#REF!,#REF!)</f>
        <v>#REF!</v>
      </c>
      <c r="BQ425" s="156"/>
      <c r="BR425" s="156"/>
      <c r="BS425" s="156"/>
      <c r="BT425" s="533"/>
    </row>
    <row r="426" spans="1:72" s="17" customFormat="1" x14ac:dyDescent="0.35">
      <c r="A426" s="208" t="str">
        <f t="shared" si="477"/>
        <v>Amortization of discount and fees on debt</v>
      </c>
      <c r="B426" s="308"/>
      <c r="C426" s="533">
        <f t="shared" si="478"/>
        <v>0</v>
      </c>
      <c r="D426" s="533">
        <f t="shared" si="479"/>
        <v>0</v>
      </c>
      <c r="E426" s="533">
        <f t="shared" si="479"/>
        <v>0</v>
      </c>
      <c r="F426" s="533">
        <f t="shared" si="479"/>
        <v>0</v>
      </c>
      <c r="G426" s="533">
        <f t="shared" si="480"/>
        <v>0</v>
      </c>
      <c r="H426" s="533">
        <f t="shared" si="481"/>
        <v>0</v>
      </c>
      <c r="I426" s="533">
        <f t="shared" si="481"/>
        <v>0</v>
      </c>
      <c r="J426" s="533">
        <f t="shared" si="481"/>
        <v>0</v>
      </c>
      <c r="K426" s="533">
        <f t="shared" si="482"/>
        <v>0</v>
      </c>
      <c r="L426" s="533">
        <f t="shared" si="483"/>
        <v>0</v>
      </c>
      <c r="M426" s="533">
        <f t="shared" si="483"/>
        <v>0</v>
      </c>
      <c r="N426" s="533">
        <f t="shared" si="483"/>
        <v>0</v>
      </c>
      <c r="O426" s="533">
        <f t="shared" si="484"/>
        <v>0</v>
      </c>
      <c r="P426" s="533">
        <f t="shared" si="485"/>
        <v>0</v>
      </c>
      <c r="Q426" s="533">
        <f t="shared" si="485"/>
        <v>0</v>
      </c>
      <c r="R426" s="533">
        <f t="shared" si="485"/>
        <v>0</v>
      </c>
      <c r="S426" s="533">
        <f t="shared" si="486"/>
        <v>0</v>
      </c>
      <c r="T426" s="533">
        <f t="shared" si="487"/>
        <v>0</v>
      </c>
      <c r="U426" s="533">
        <f t="shared" si="487"/>
        <v>0</v>
      </c>
      <c r="V426" s="533">
        <f t="shared" si="487"/>
        <v>0</v>
      </c>
      <c r="W426" s="533">
        <f t="shared" si="488"/>
        <v>0</v>
      </c>
      <c r="X426" s="533">
        <f t="shared" si="489"/>
        <v>0</v>
      </c>
      <c r="Y426" s="533">
        <f t="shared" si="489"/>
        <v>0</v>
      </c>
      <c r="Z426" s="533">
        <f t="shared" si="489"/>
        <v>0</v>
      </c>
      <c r="AA426" s="533">
        <f t="shared" si="490"/>
        <v>0</v>
      </c>
      <c r="AB426" s="533">
        <f t="shared" si="491"/>
        <v>0</v>
      </c>
      <c r="AC426" s="533">
        <f t="shared" si="491"/>
        <v>0</v>
      </c>
      <c r="AD426" s="533">
        <f t="shared" si="491"/>
        <v>0</v>
      </c>
      <c r="AE426" s="533">
        <f t="shared" si="492"/>
        <v>0</v>
      </c>
      <c r="AF426" s="533">
        <f t="shared" si="493"/>
        <v>0</v>
      </c>
      <c r="AG426" s="533">
        <f t="shared" si="493"/>
        <v>0</v>
      </c>
      <c r="AH426" s="533">
        <f t="shared" si="493"/>
        <v>0</v>
      </c>
      <c r="AI426" s="533">
        <f t="shared" si="494"/>
        <v>1.2190000000000001</v>
      </c>
      <c r="AJ426" s="533">
        <f t="shared" si="495"/>
        <v>3.7539999999999996</v>
      </c>
      <c r="AK426" s="533">
        <f t="shared" si="495"/>
        <v>3.7640000000000002</v>
      </c>
      <c r="AL426" s="533">
        <f t="shared" si="495"/>
        <v>3.8829999999999991</v>
      </c>
      <c r="AM426" s="533">
        <f t="shared" si="496"/>
        <v>0.40400000000000003</v>
      </c>
      <c r="AN426" s="533">
        <f t="shared" si="497"/>
        <v>0.40500000000000003</v>
      </c>
      <c r="AO426" s="533">
        <f t="shared" si="497"/>
        <v>0.37299999999999989</v>
      </c>
      <c r="AP426" s="533">
        <f t="shared" si="497"/>
        <v>0.39100000000000001</v>
      </c>
      <c r="AQ426" s="533">
        <f t="shared" si="498"/>
        <v>0.41</v>
      </c>
      <c r="AR426" s="533">
        <f t="shared" si="499"/>
        <v>0.41199999999999998</v>
      </c>
      <c r="AS426" s="533">
        <f t="shared" si="499"/>
        <v>0.378</v>
      </c>
      <c r="AT426" s="533">
        <f t="shared" si="499"/>
        <v>0.39700000000000002</v>
      </c>
      <c r="AU426" s="576">
        <f t="shared" si="500"/>
        <v>0.41599999999999998</v>
      </c>
      <c r="AV426" s="532"/>
      <c r="AW426" s="532"/>
      <c r="AX426" s="532"/>
      <c r="AY426" s="532"/>
      <c r="AZ426" s="755">
        <f t="shared" ref="AZ426:BN426" si="512">AZ334</f>
        <v>0</v>
      </c>
      <c r="BA426" s="755">
        <f t="shared" si="512"/>
        <v>0</v>
      </c>
      <c r="BB426" s="755">
        <f t="shared" si="512"/>
        <v>0</v>
      </c>
      <c r="BC426" s="755">
        <f t="shared" si="512"/>
        <v>0</v>
      </c>
      <c r="BD426" s="755">
        <f t="shared" si="512"/>
        <v>0</v>
      </c>
      <c r="BE426" s="755">
        <f t="shared" si="512"/>
        <v>0</v>
      </c>
      <c r="BF426" s="755">
        <f t="shared" si="512"/>
        <v>0</v>
      </c>
      <c r="BG426" s="755">
        <f t="shared" si="512"/>
        <v>0</v>
      </c>
      <c r="BH426" s="755">
        <f t="shared" si="512"/>
        <v>0</v>
      </c>
      <c r="BI426" s="755">
        <f t="shared" si="512"/>
        <v>0</v>
      </c>
      <c r="BJ426" s="755">
        <f t="shared" si="512"/>
        <v>0</v>
      </c>
      <c r="BK426" s="755">
        <f t="shared" si="512"/>
        <v>0</v>
      </c>
      <c r="BL426" s="755">
        <f t="shared" si="512"/>
        <v>12.62</v>
      </c>
      <c r="BM426" s="755">
        <f t="shared" si="512"/>
        <v>1.573</v>
      </c>
      <c r="BN426" s="756">
        <f t="shared" si="512"/>
        <v>1.597</v>
      </c>
      <c r="BO426" s="156">
        <f t="shared" si="503"/>
        <v>0.41599999999999998</v>
      </c>
      <c r="BP426" s="156" t="e">
        <f>SUM(#REF!,#REF!,#REF!,#REF!)</f>
        <v>#REF!</v>
      </c>
      <c r="BQ426" s="156"/>
      <c r="BR426" s="156"/>
      <c r="BS426" s="156"/>
      <c r="BT426" s="533"/>
    </row>
    <row r="427" spans="1:72" s="17" customFormat="1" x14ac:dyDescent="0.35">
      <c r="A427" s="208" t="str">
        <f t="shared" si="477"/>
        <v>Provision for excess and obsolete inventory</v>
      </c>
      <c r="B427" s="308"/>
      <c r="C427" s="533">
        <f t="shared" si="478"/>
        <v>4.2000000000000003E-2</v>
      </c>
      <c r="D427" s="533">
        <f t="shared" si="479"/>
        <v>0.158</v>
      </c>
      <c r="E427" s="533">
        <f t="shared" si="479"/>
        <v>7.2000000000000008E-2</v>
      </c>
      <c r="F427" s="533">
        <f t="shared" si="479"/>
        <v>0.11499999999999999</v>
      </c>
      <c r="G427" s="533">
        <f t="shared" si="480"/>
        <v>8.0000000000000002E-3</v>
      </c>
      <c r="H427" s="533">
        <f t="shared" si="481"/>
        <v>4.1159999999999997</v>
      </c>
      <c r="I427" s="533">
        <f t="shared" si="481"/>
        <v>3.6999999999999922E-2</v>
      </c>
      <c r="J427" s="533">
        <f t="shared" si="481"/>
        <v>0.13200000000000056</v>
      </c>
      <c r="K427" s="533">
        <f t="shared" si="482"/>
        <v>0.17699999999999999</v>
      </c>
      <c r="L427" s="533">
        <f t="shared" si="483"/>
        <v>0.28200000000000003</v>
      </c>
      <c r="M427" s="533">
        <f t="shared" si="483"/>
        <v>8.2000000000000017E-2</v>
      </c>
      <c r="N427" s="533">
        <f t="shared" si="483"/>
        <v>0.86499999999999988</v>
      </c>
      <c r="O427" s="533">
        <f t="shared" si="484"/>
        <v>0.21299999999999999</v>
      </c>
      <c r="P427" s="533">
        <f t="shared" si="485"/>
        <v>0.24300000000000002</v>
      </c>
      <c r="Q427" s="533">
        <f t="shared" si="485"/>
        <v>8.7000000000000022E-2</v>
      </c>
      <c r="R427" s="533">
        <f t="shared" si="485"/>
        <v>0.14799999999999991</v>
      </c>
      <c r="S427" s="533">
        <f t="shared" si="486"/>
        <v>0.23499999999999999</v>
      </c>
      <c r="T427" s="533">
        <f t="shared" si="487"/>
        <v>0.26200000000000001</v>
      </c>
      <c r="U427" s="533">
        <f t="shared" si="487"/>
        <v>-0.10199999999999998</v>
      </c>
      <c r="V427" s="533">
        <f t="shared" si="487"/>
        <v>7.999999999999996E-2</v>
      </c>
      <c r="W427" s="533">
        <f t="shared" si="488"/>
        <v>0.308</v>
      </c>
      <c r="X427" s="533">
        <f t="shared" si="489"/>
        <v>0.65100000000000002</v>
      </c>
      <c r="Y427" s="533">
        <f t="shared" si="489"/>
        <v>0.36</v>
      </c>
      <c r="Z427" s="533">
        <f t="shared" si="489"/>
        <v>-1.319</v>
      </c>
      <c r="AA427" s="533">
        <f t="shared" si="490"/>
        <v>0</v>
      </c>
      <c r="AB427" s="533">
        <f t="shared" si="491"/>
        <v>0</v>
      </c>
      <c r="AC427" s="533">
        <f t="shared" si="491"/>
        <v>0</v>
      </c>
      <c r="AD427" s="533">
        <f t="shared" si="491"/>
        <v>0</v>
      </c>
      <c r="AE427" s="533">
        <f t="shared" si="492"/>
        <v>0</v>
      </c>
      <c r="AF427" s="533">
        <f t="shared" si="493"/>
        <v>0</v>
      </c>
      <c r="AG427" s="533">
        <f t="shared" si="493"/>
        <v>0</v>
      </c>
      <c r="AH427" s="533">
        <f t="shared" si="493"/>
        <v>0</v>
      </c>
      <c r="AI427" s="533">
        <f t="shared" si="494"/>
        <v>0</v>
      </c>
      <c r="AJ427" s="533">
        <f t="shared" si="495"/>
        <v>0</v>
      </c>
      <c r="AK427" s="533">
        <f t="shared" si="495"/>
        <v>0</v>
      </c>
      <c r="AL427" s="533">
        <f t="shared" si="495"/>
        <v>0</v>
      </c>
      <c r="AM427" s="533">
        <f t="shared" si="496"/>
        <v>0</v>
      </c>
      <c r="AN427" s="533">
        <f t="shared" si="497"/>
        <v>0</v>
      </c>
      <c r="AO427" s="533">
        <f t="shared" si="497"/>
        <v>0</v>
      </c>
      <c r="AP427" s="533">
        <f t="shared" si="497"/>
        <v>0</v>
      </c>
      <c r="AQ427" s="533">
        <f t="shared" si="498"/>
        <v>0</v>
      </c>
      <c r="AR427" s="533">
        <f t="shared" si="499"/>
        <v>0</v>
      </c>
      <c r="AS427" s="533">
        <f t="shared" si="499"/>
        <v>0</v>
      </c>
      <c r="AT427" s="533">
        <f t="shared" si="499"/>
        <v>0</v>
      </c>
      <c r="AU427" s="576">
        <f t="shared" si="500"/>
        <v>0</v>
      </c>
      <c r="AV427" s="532"/>
      <c r="AW427" s="532"/>
      <c r="AX427" s="532"/>
      <c r="AY427" s="532"/>
      <c r="AZ427" s="755">
        <f t="shared" ref="AZ427:BN427" si="513">AZ335</f>
        <v>0.14899999999999999</v>
      </c>
      <c r="BA427" s="755">
        <f t="shared" si="513"/>
        <v>1.0189999999999999</v>
      </c>
      <c r="BB427" s="755">
        <f t="shared" si="513"/>
        <v>1.06</v>
      </c>
      <c r="BC427" s="755">
        <f t="shared" si="513"/>
        <v>1.6180000000000001</v>
      </c>
      <c r="BD427" s="755">
        <f t="shared" si="513"/>
        <v>0.38700000000000001</v>
      </c>
      <c r="BE427" s="755">
        <f t="shared" si="513"/>
        <v>4.2930000000000001</v>
      </c>
      <c r="BF427" s="755">
        <f t="shared" si="513"/>
        <v>1.4059999999999999</v>
      </c>
      <c r="BG427" s="755">
        <f t="shared" si="513"/>
        <v>0.69099999999999995</v>
      </c>
      <c r="BH427" s="755">
        <f t="shared" si="513"/>
        <v>0.47499999999999998</v>
      </c>
      <c r="BI427" s="755">
        <f t="shared" si="513"/>
        <v>0</v>
      </c>
      <c r="BJ427" s="755">
        <f t="shared" si="513"/>
        <v>0</v>
      </c>
      <c r="BK427" s="755">
        <f t="shared" si="513"/>
        <v>0</v>
      </c>
      <c r="BL427" s="755">
        <f t="shared" si="513"/>
        <v>0</v>
      </c>
      <c r="BM427" s="755">
        <f t="shared" si="513"/>
        <v>0</v>
      </c>
      <c r="BN427" s="756">
        <f t="shared" si="513"/>
        <v>0</v>
      </c>
      <c r="BO427" s="156">
        <f t="shared" si="503"/>
        <v>0</v>
      </c>
      <c r="BP427" s="156" t="e">
        <f>SUM(#REF!,#REF!,#REF!,#REF!)</f>
        <v>#REF!</v>
      </c>
      <c r="BQ427" s="156"/>
      <c r="BR427" s="156"/>
      <c r="BS427" s="156"/>
      <c r="BT427" s="533"/>
    </row>
    <row r="428" spans="1:72" s="17" customFormat="1" x14ac:dyDescent="0.35">
      <c r="A428" s="208" t="str">
        <f t="shared" si="477"/>
        <v>Provision for student computer shrinkage and obsolescence</v>
      </c>
      <c r="B428" s="308"/>
      <c r="C428" s="533">
        <f t="shared" si="478"/>
        <v>0.373</v>
      </c>
      <c r="D428" s="533">
        <f t="shared" si="479"/>
        <v>0.129</v>
      </c>
      <c r="E428" s="533">
        <f t="shared" si="479"/>
        <v>-6.3E-2</v>
      </c>
      <c r="F428" s="533">
        <f t="shared" si="479"/>
        <v>4.2999999999999983E-2</v>
      </c>
      <c r="G428" s="533">
        <f t="shared" si="480"/>
        <v>-0.26</v>
      </c>
      <c r="H428" s="533">
        <f t="shared" si="481"/>
        <v>-0.191</v>
      </c>
      <c r="I428" s="533">
        <f t="shared" si="481"/>
        <v>-0.10400000000000004</v>
      </c>
      <c r="J428" s="533">
        <f t="shared" si="481"/>
        <v>2.9000000000000026E-2</v>
      </c>
      <c r="K428" s="533">
        <f t="shared" si="482"/>
        <v>1.0999999999999999E-2</v>
      </c>
      <c r="L428" s="533">
        <f t="shared" si="483"/>
        <v>-0.23700000000000002</v>
      </c>
      <c r="M428" s="533">
        <f t="shared" si="483"/>
        <v>-3.6000000000000004E-2</v>
      </c>
      <c r="N428" s="533">
        <f t="shared" si="483"/>
        <v>-0.16799999999999998</v>
      </c>
      <c r="O428" s="533">
        <f t="shared" si="484"/>
        <v>-0.28399999999999997</v>
      </c>
      <c r="P428" s="533">
        <f t="shared" si="485"/>
        <v>-0.10500000000000004</v>
      </c>
      <c r="Q428" s="533">
        <f t="shared" si="485"/>
        <v>-3.2999999999999974E-2</v>
      </c>
      <c r="R428" s="533">
        <f t="shared" si="485"/>
        <v>-3.7000000000000033E-2</v>
      </c>
      <c r="S428" s="533">
        <f t="shared" si="486"/>
        <v>0.224</v>
      </c>
      <c r="T428" s="533">
        <f t="shared" si="487"/>
        <v>4.1000000000000009E-2</v>
      </c>
      <c r="U428" s="533">
        <f t="shared" si="487"/>
        <v>-9.000000000000008E-3</v>
      </c>
      <c r="V428" s="533">
        <f t="shared" si="487"/>
        <v>-1.0000000000000009E-2</v>
      </c>
      <c r="W428" s="533">
        <f t="shared" si="488"/>
        <v>2.3E-2</v>
      </c>
      <c r="X428" s="533">
        <f t="shared" si="489"/>
        <v>-2.8000000000000001E-2</v>
      </c>
      <c r="Y428" s="533">
        <f t="shared" si="489"/>
        <v>0.108</v>
      </c>
      <c r="Z428" s="533">
        <f t="shared" si="489"/>
        <v>-0.10299999999999999</v>
      </c>
      <c r="AA428" s="533">
        <f t="shared" si="490"/>
        <v>0</v>
      </c>
      <c r="AB428" s="533">
        <f t="shared" si="491"/>
        <v>0</v>
      </c>
      <c r="AC428" s="533">
        <f t="shared" si="491"/>
        <v>0</v>
      </c>
      <c r="AD428" s="533">
        <f t="shared" si="491"/>
        <v>0</v>
      </c>
      <c r="AE428" s="533">
        <f t="shared" si="492"/>
        <v>0</v>
      </c>
      <c r="AF428" s="533">
        <f t="shared" si="493"/>
        <v>0</v>
      </c>
      <c r="AG428" s="533">
        <f t="shared" si="493"/>
        <v>0</v>
      </c>
      <c r="AH428" s="533">
        <f t="shared" si="493"/>
        <v>0</v>
      </c>
      <c r="AI428" s="533">
        <f t="shared" si="494"/>
        <v>0</v>
      </c>
      <c r="AJ428" s="533">
        <f t="shared" si="495"/>
        <v>0</v>
      </c>
      <c r="AK428" s="533">
        <f t="shared" si="495"/>
        <v>0</v>
      </c>
      <c r="AL428" s="533">
        <f t="shared" si="495"/>
        <v>0</v>
      </c>
      <c r="AM428" s="533">
        <f t="shared" si="496"/>
        <v>0</v>
      </c>
      <c r="AN428" s="533">
        <f t="shared" si="497"/>
        <v>0</v>
      </c>
      <c r="AO428" s="533">
        <f t="shared" si="497"/>
        <v>0</v>
      </c>
      <c r="AP428" s="533">
        <f t="shared" si="497"/>
        <v>0</v>
      </c>
      <c r="AQ428" s="533">
        <f t="shared" si="498"/>
        <v>0</v>
      </c>
      <c r="AR428" s="533">
        <f t="shared" si="499"/>
        <v>0</v>
      </c>
      <c r="AS428" s="533">
        <f t="shared" si="499"/>
        <v>0</v>
      </c>
      <c r="AT428" s="533">
        <f t="shared" si="499"/>
        <v>0</v>
      </c>
      <c r="AU428" s="576">
        <f t="shared" si="500"/>
        <v>0</v>
      </c>
      <c r="AV428" s="532"/>
      <c r="AW428" s="532"/>
      <c r="AX428" s="532"/>
      <c r="AY428" s="532"/>
      <c r="AZ428" s="755">
        <f t="shared" ref="AZ428:BN428" si="514">AZ336</f>
        <v>0.24299999999999999</v>
      </c>
      <c r="BA428" s="755">
        <f t="shared" si="514"/>
        <v>-0.17799999999999999</v>
      </c>
      <c r="BB428" s="755">
        <f t="shared" si="514"/>
        <v>0.219</v>
      </c>
      <c r="BC428" s="755">
        <f t="shared" si="514"/>
        <v>1.038</v>
      </c>
      <c r="BD428" s="755">
        <f t="shared" si="514"/>
        <v>0.48199999999999998</v>
      </c>
      <c r="BE428" s="755">
        <f t="shared" si="514"/>
        <v>-0.52600000000000002</v>
      </c>
      <c r="BF428" s="755">
        <f t="shared" si="514"/>
        <v>-0.43</v>
      </c>
      <c r="BG428" s="755">
        <f t="shared" si="514"/>
        <v>-0.45900000000000002</v>
      </c>
      <c r="BH428" s="755">
        <f t="shared" si="514"/>
        <v>0.246</v>
      </c>
      <c r="BI428" s="755">
        <f t="shared" si="514"/>
        <v>0</v>
      </c>
      <c r="BJ428" s="755">
        <f t="shared" si="514"/>
        <v>0</v>
      </c>
      <c r="BK428" s="755">
        <f t="shared" si="514"/>
        <v>0</v>
      </c>
      <c r="BL428" s="755">
        <f t="shared" si="514"/>
        <v>0</v>
      </c>
      <c r="BM428" s="755">
        <f t="shared" si="514"/>
        <v>0</v>
      </c>
      <c r="BN428" s="756">
        <f t="shared" si="514"/>
        <v>0</v>
      </c>
      <c r="BO428" s="156">
        <f t="shared" si="503"/>
        <v>0</v>
      </c>
      <c r="BP428" s="156" t="e">
        <f>SUM(#REF!,#REF!,#REF!,#REF!)</f>
        <v>#REF!</v>
      </c>
      <c r="BQ428" s="156"/>
      <c r="BR428" s="156"/>
      <c r="BS428" s="156"/>
      <c r="BT428" s="533"/>
    </row>
    <row r="429" spans="1:72" s="17" customFormat="1" x14ac:dyDescent="0.35">
      <c r="A429" s="208" t="str">
        <f t="shared" si="477"/>
        <v>Impairment loss on other assets</v>
      </c>
      <c r="B429" s="308"/>
      <c r="C429" s="533">
        <f t="shared" si="478"/>
        <v>0</v>
      </c>
      <c r="D429" s="533">
        <f t="shared" si="479"/>
        <v>0</v>
      </c>
      <c r="E429" s="533">
        <f t="shared" si="479"/>
        <v>0</v>
      </c>
      <c r="F429" s="533">
        <f t="shared" si="479"/>
        <v>0</v>
      </c>
      <c r="G429" s="533">
        <f t="shared" si="480"/>
        <v>0</v>
      </c>
      <c r="H429" s="533">
        <f t="shared" si="481"/>
        <v>0</v>
      </c>
      <c r="I429" s="533">
        <f t="shared" si="481"/>
        <v>0</v>
      </c>
      <c r="J429" s="533">
        <f t="shared" si="481"/>
        <v>0</v>
      </c>
      <c r="K429" s="533">
        <f t="shared" si="482"/>
        <v>0</v>
      </c>
      <c r="L429" s="533">
        <f t="shared" si="483"/>
        <v>0</v>
      </c>
      <c r="M429" s="533">
        <f t="shared" si="483"/>
        <v>0</v>
      </c>
      <c r="N429" s="533">
        <f t="shared" si="483"/>
        <v>3.2</v>
      </c>
      <c r="O429" s="533">
        <f t="shared" si="484"/>
        <v>0</v>
      </c>
      <c r="P429" s="533">
        <f t="shared" si="485"/>
        <v>0</v>
      </c>
      <c r="Q429" s="533">
        <f t="shared" si="485"/>
        <v>0</v>
      </c>
      <c r="R429" s="533">
        <f t="shared" si="485"/>
        <v>0.2</v>
      </c>
      <c r="S429" s="533">
        <f t="shared" si="486"/>
        <v>0</v>
      </c>
      <c r="T429" s="533">
        <f t="shared" si="487"/>
        <v>0</v>
      </c>
      <c r="U429" s="533">
        <f t="shared" si="487"/>
        <v>0.58599999999999997</v>
      </c>
      <c r="V429" s="533">
        <f t="shared" si="487"/>
        <v>0</v>
      </c>
      <c r="W429" s="533">
        <f t="shared" si="488"/>
        <v>0</v>
      </c>
      <c r="X429" s="533">
        <f t="shared" si="489"/>
        <v>0</v>
      </c>
      <c r="Y429" s="533">
        <f t="shared" si="489"/>
        <v>0</v>
      </c>
      <c r="Z429" s="533">
        <f t="shared" si="489"/>
        <v>0</v>
      </c>
      <c r="AA429" s="533">
        <f t="shared" si="490"/>
        <v>0</v>
      </c>
      <c r="AB429" s="533">
        <f t="shared" si="491"/>
        <v>0</v>
      </c>
      <c r="AC429" s="533">
        <f t="shared" si="491"/>
        <v>0</v>
      </c>
      <c r="AD429" s="533">
        <f t="shared" si="491"/>
        <v>0</v>
      </c>
      <c r="AE429" s="533">
        <f t="shared" si="492"/>
        <v>0</v>
      </c>
      <c r="AF429" s="533">
        <f t="shared" si="493"/>
        <v>0</v>
      </c>
      <c r="AG429" s="533">
        <f t="shared" si="493"/>
        <v>0</v>
      </c>
      <c r="AH429" s="533">
        <f t="shared" si="493"/>
        <v>0</v>
      </c>
      <c r="AI429" s="533">
        <f t="shared" si="494"/>
        <v>0</v>
      </c>
      <c r="AJ429" s="533">
        <f t="shared" si="495"/>
        <v>0</v>
      </c>
      <c r="AK429" s="533">
        <f t="shared" si="495"/>
        <v>0</v>
      </c>
      <c r="AL429" s="533">
        <f t="shared" si="495"/>
        <v>0</v>
      </c>
      <c r="AM429" s="533">
        <f t="shared" si="496"/>
        <v>0</v>
      </c>
      <c r="AN429" s="533">
        <f t="shared" si="497"/>
        <v>0</v>
      </c>
      <c r="AO429" s="533">
        <f t="shared" si="497"/>
        <v>0</v>
      </c>
      <c r="AP429" s="533">
        <f t="shared" si="497"/>
        <v>0</v>
      </c>
      <c r="AQ429" s="533">
        <f t="shared" si="498"/>
        <v>0</v>
      </c>
      <c r="AR429" s="533">
        <f t="shared" si="499"/>
        <v>0</v>
      </c>
      <c r="AS429" s="533">
        <f t="shared" si="499"/>
        <v>0</v>
      </c>
      <c r="AT429" s="533">
        <f t="shared" si="499"/>
        <v>0</v>
      </c>
      <c r="AU429" s="576">
        <f t="shared" si="500"/>
        <v>0</v>
      </c>
      <c r="AV429" s="532"/>
      <c r="AW429" s="532"/>
      <c r="AX429" s="532"/>
      <c r="AY429" s="532"/>
      <c r="AZ429" s="755">
        <f t="shared" ref="AZ429:BN429" si="515">AZ337</f>
        <v>0.26100000000000001</v>
      </c>
      <c r="BA429" s="755">
        <f t="shared" si="515"/>
        <v>0</v>
      </c>
      <c r="BB429" s="755">
        <f t="shared" si="515"/>
        <v>0</v>
      </c>
      <c r="BC429" s="755">
        <f t="shared" si="515"/>
        <v>0</v>
      </c>
      <c r="BD429" s="755">
        <f t="shared" si="515"/>
        <v>0</v>
      </c>
      <c r="BE429" s="755">
        <f t="shared" si="515"/>
        <v>0</v>
      </c>
      <c r="BF429" s="755">
        <f t="shared" si="515"/>
        <v>3.2</v>
      </c>
      <c r="BG429" s="755">
        <f t="shared" si="515"/>
        <v>0.2</v>
      </c>
      <c r="BH429" s="755">
        <f t="shared" si="515"/>
        <v>0.58599999999999997</v>
      </c>
      <c r="BI429" s="755">
        <f t="shared" si="515"/>
        <v>0</v>
      </c>
      <c r="BJ429" s="755">
        <f t="shared" si="515"/>
        <v>0</v>
      </c>
      <c r="BK429" s="755">
        <f t="shared" si="515"/>
        <v>0</v>
      </c>
      <c r="BL429" s="755">
        <f t="shared" si="515"/>
        <v>0</v>
      </c>
      <c r="BM429" s="755">
        <f t="shared" si="515"/>
        <v>0</v>
      </c>
      <c r="BN429" s="756">
        <f t="shared" si="515"/>
        <v>0</v>
      </c>
      <c r="BO429" s="156">
        <f t="shared" si="503"/>
        <v>0</v>
      </c>
      <c r="BP429" s="156" t="e">
        <f>SUM(#REF!,#REF!,#REF!,#REF!)</f>
        <v>#REF!</v>
      </c>
      <c r="BQ429" s="156"/>
      <c r="BR429" s="156"/>
      <c r="BS429" s="156"/>
      <c r="BT429" s="533"/>
    </row>
    <row r="430" spans="1:72" s="17" customFormat="1" x14ac:dyDescent="0.35">
      <c r="A430" s="208" t="str">
        <f t="shared" si="477"/>
        <v>Realized gain on sale of assets</v>
      </c>
      <c r="B430" s="308"/>
      <c r="C430" s="533">
        <f t="shared" si="478"/>
        <v>0</v>
      </c>
      <c r="D430" s="533">
        <f t="shared" si="479"/>
        <v>0</v>
      </c>
      <c r="E430" s="533">
        <f t="shared" si="479"/>
        <v>0</v>
      </c>
      <c r="F430" s="533">
        <f t="shared" si="479"/>
        <v>0</v>
      </c>
      <c r="G430" s="533">
        <f t="shared" si="480"/>
        <v>0</v>
      </c>
      <c r="H430" s="533">
        <f t="shared" si="481"/>
        <v>0</v>
      </c>
      <c r="I430" s="533">
        <f t="shared" si="481"/>
        <v>0</v>
      </c>
      <c r="J430" s="533">
        <f t="shared" si="481"/>
        <v>-6.4039999999999999</v>
      </c>
      <c r="K430" s="533">
        <f t="shared" si="482"/>
        <v>0</v>
      </c>
      <c r="L430" s="533">
        <f t="shared" si="483"/>
        <v>0</v>
      </c>
      <c r="M430" s="533">
        <f t="shared" si="483"/>
        <v>0</v>
      </c>
      <c r="N430" s="533">
        <f t="shared" si="483"/>
        <v>0</v>
      </c>
      <c r="O430" s="533">
        <f t="shared" si="484"/>
        <v>0</v>
      </c>
      <c r="P430" s="533">
        <f t="shared" si="485"/>
        <v>0</v>
      </c>
      <c r="Q430" s="533">
        <f t="shared" si="485"/>
        <v>0</v>
      </c>
      <c r="R430" s="533">
        <f t="shared" si="485"/>
        <v>0</v>
      </c>
      <c r="S430" s="533">
        <f t="shared" si="486"/>
        <v>0</v>
      </c>
      <c r="T430" s="533">
        <f t="shared" si="487"/>
        <v>0</v>
      </c>
      <c r="U430" s="533">
        <f t="shared" si="487"/>
        <v>0</v>
      </c>
      <c r="V430" s="533">
        <f t="shared" si="487"/>
        <v>0</v>
      </c>
      <c r="W430" s="533">
        <f t="shared" si="488"/>
        <v>0</v>
      </c>
      <c r="X430" s="533">
        <f t="shared" si="489"/>
        <v>0</v>
      </c>
      <c r="Y430" s="533">
        <f t="shared" si="489"/>
        <v>0</v>
      </c>
      <c r="Z430" s="533">
        <f t="shared" si="489"/>
        <v>0</v>
      </c>
      <c r="AA430" s="533">
        <f t="shared" si="490"/>
        <v>0</v>
      </c>
      <c r="AB430" s="533">
        <f t="shared" si="491"/>
        <v>0</v>
      </c>
      <c r="AC430" s="533">
        <f t="shared" si="491"/>
        <v>0</v>
      </c>
      <c r="AD430" s="533">
        <f t="shared" si="491"/>
        <v>0</v>
      </c>
      <c r="AE430" s="533">
        <f t="shared" si="492"/>
        <v>0</v>
      </c>
      <c r="AF430" s="533">
        <f t="shared" si="493"/>
        <v>0</v>
      </c>
      <c r="AG430" s="533">
        <f t="shared" si="493"/>
        <v>0</v>
      </c>
      <c r="AH430" s="533">
        <f t="shared" si="493"/>
        <v>0</v>
      </c>
      <c r="AI430" s="533">
        <f t="shared" si="494"/>
        <v>0</v>
      </c>
      <c r="AJ430" s="533">
        <f t="shared" si="495"/>
        <v>0</v>
      </c>
      <c r="AK430" s="533">
        <f t="shared" si="495"/>
        <v>0</v>
      </c>
      <c r="AL430" s="533">
        <f t="shared" si="495"/>
        <v>0</v>
      </c>
      <c r="AM430" s="533">
        <f t="shared" si="496"/>
        <v>0</v>
      </c>
      <c r="AN430" s="533">
        <f t="shared" si="497"/>
        <v>0</v>
      </c>
      <c r="AO430" s="533">
        <f t="shared" si="497"/>
        <v>0</v>
      </c>
      <c r="AP430" s="533">
        <f t="shared" si="497"/>
        <v>0</v>
      </c>
      <c r="AQ430" s="533">
        <f t="shared" si="498"/>
        <v>0</v>
      </c>
      <c r="AR430" s="533">
        <f t="shared" si="499"/>
        <v>0</v>
      </c>
      <c r="AS430" s="533">
        <f t="shared" si="499"/>
        <v>0</v>
      </c>
      <c r="AT430" s="533">
        <f t="shared" si="499"/>
        <v>0</v>
      </c>
      <c r="AU430" s="576">
        <f t="shared" si="500"/>
        <v>0</v>
      </c>
      <c r="AV430" s="532"/>
      <c r="AW430" s="532"/>
      <c r="AX430" s="532"/>
      <c r="AY430" s="532"/>
      <c r="AZ430" s="755">
        <f t="shared" ref="AZ430:BN430" si="516">AZ338</f>
        <v>0</v>
      </c>
      <c r="BA430" s="755">
        <f t="shared" si="516"/>
        <v>0</v>
      </c>
      <c r="BB430" s="755">
        <f t="shared" si="516"/>
        <v>0</v>
      </c>
      <c r="BC430" s="755">
        <f t="shared" si="516"/>
        <v>0</v>
      </c>
      <c r="BD430" s="755">
        <f t="shared" si="516"/>
        <v>0</v>
      </c>
      <c r="BE430" s="755">
        <f t="shared" si="516"/>
        <v>-6.4039999999999999</v>
      </c>
      <c r="BF430" s="755">
        <f t="shared" si="516"/>
        <v>0</v>
      </c>
      <c r="BG430" s="755">
        <f t="shared" si="516"/>
        <v>0</v>
      </c>
      <c r="BH430" s="755">
        <f t="shared" si="516"/>
        <v>0</v>
      </c>
      <c r="BI430" s="755">
        <f t="shared" si="516"/>
        <v>0</v>
      </c>
      <c r="BJ430" s="755">
        <f t="shared" si="516"/>
        <v>0</v>
      </c>
      <c r="BK430" s="755">
        <f t="shared" si="516"/>
        <v>0</v>
      </c>
      <c r="BL430" s="755">
        <f t="shared" si="516"/>
        <v>0</v>
      </c>
      <c r="BM430" s="755">
        <f t="shared" si="516"/>
        <v>0</v>
      </c>
      <c r="BN430" s="756">
        <f t="shared" si="516"/>
        <v>0</v>
      </c>
      <c r="BO430" s="156">
        <f t="shared" si="503"/>
        <v>0</v>
      </c>
      <c r="BP430" s="156" t="e">
        <f>SUM(#REF!,#REF!,#REF!,#REF!)</f>
        <v>#REF!</v>
      </c>
      <c r="BQ430" s="156"/>
      <c r="BR430" s="156"/>
      <c r="BS430" s="156"/>
      <c r="BT430" s="533"/>
    </row>
    <row r="431" spans="1:72" s="17" customFormat="1" x14ac:dyDescent="0.35">
      <c r="A431" s="208" t="str">
        <f t="shared" si="477"/>
        <v>Expensed leased computer peripherals</v>
      </c>
      <c r="B431" s="308"/>
      <c r="C431" s="533">
        <f t="shared" si="478"/>
        <v>0</v>
      </c>
      <c r="D431" s="533">
        <f t="shared" si="479"/>
        <v>0</v>
      </c>
      <c r="E431" s="533">
        <f t="shared" si="479"/>
        <v>0</v>
      </c>
      <c r="F431" s="533">
        <f t="shared" si="479"/>
        <v>0</v>
      </c>
      <c r="G431" s="533">
        <f t="shared" si="480"/>
        <v>0</v>
      </c>
      <c r="H431" s="533">
        <f t="shared" si="481"/>
        <v>0</v>
      </c>
      <c r="I431" s="533">
        <f t="shared" si="481"/>
        <v>0</v>
      </c>
      <c r="J431" s="533">
        <f t="shared" si="481"/>
        <v>0</v>
      </c>
      <c r="K431" s="533">
        <f t="shared" si="482"/>
        <v>0</v>
      </c>
      <c r="L431" s="533">
        <f t="shared" si="483"/>
        <v>0</v>
      </c>
      <c r="M431" s="533">
        <f t="shared" si="483"/>
        <v>0</v>
      </c>
      <c r="N431" s="533">
        <f t="shared" si="483"/>
        <v>0</v>
      </c>
      <c r="O431" s="533">
        <f t="shared" si="484"/>
        <v>1.3520000000000001</v>
      </c>
      <c r="P431" s="533">
        <f t="shared" si="485"/>
        <v>0.64300000000000002</v>
      </c>
      <c r="Q431" s="533">
        <f t="shared" si="485"/>
        <v>0.53699999999999992</v>
      </c>
      <c r="R431" s="533">
        <f t="shared" si="485"/>
        <v>9.2999999999999972E-2</v>
      </c>
      <c r="S431" s="533">
        <f t="shared" si="486"/>
        <v>1.925</v>
      </c>
      <c r="T431" s="533">
        <f t="shared" si="487"/>
        <v>0.80400000000000005</v>
      </c>
      <c r="U431" s="533">
        <f t="shared" si="487"/>
        <v>0.68299999999999983</v>
      </c>
      <c r="V431" s="533">
        <f t="shared" si="487"/>
        <v>0.11299999999999999</v>
      </c>
      <c r="W431" s="533">
        <f t="shared" si="488"/>
        <v>2.0920000000000001</v>
      </c>
      <c r="X431" s="533">
        <f t="shared" si="489"/>
        <v>0.43900000000000006</v>
      </c>
      <c r="Y431" s="533">
        <f t="shared" si="489"/>
        <v>0.80399999999999983</v>
      </c>
      <c r="Z431" s="533">
        <f t="shared" si="489"/>
        <v>-3.335</v>
      </c>
      <c r="AA431" s="533">
        <f t="shared" si="490"/>
        <v>0</v>
      </c>
      <c r="AB431" s="533">
        <f t="shared" si="491"/>
        <v>0</v>
      </c>
      <c r="AC431" s="533">
        <f t="shared" si="491"/>
        <v>0</v>
      </c>
      <c r="AD431" s="533">
        <f t="shared" si="491"/>
        <v>0</v>
      </c>
      <c r="AE431" s="533">
        <f t="shared" si="492"/>
        <v>0</v>
      </c>
      <c r="AF431" s="533">
        <f t="shared" si="493"/>
        <v>0</v>
      </c>
      <c r="AG431" s="533">
        <f t="shared" si="493"/>
        <v>0</v>
      </c>
      <c r="AH431" s="533">
        <f t="shared" si="493"/>
        <v>0</v>
      </c>
      <c r="AI431" s="533">
        <f t="shared" si="494"/>
        <v>0</v>
      </c>
      <c r="AJ431" s="533">
        <f t="shared" si="495"/>
        <v>0</v>
      </c>
      <c r="AK431" s="533">
        <f t="shared" si="495"/>
        <v>0</v>
      </c>
      <c r="AL431" s="533">
        <f t="shared" si="495"/>
        <v>0</v>
      </c>
      <c r="AM431" s="533">
        <f t="shared" si="496"/>
        <v>0</v>
      </c>
      <c r="AN431" s="533">
        <f t="shared" si="497"/>
        <v>0</v>
      </c>
      <c r="AO431" s="533">
        <f t="shared" si="497"/>
        <v>0</v>
      </c>
      <c r="AP431" s="533">
        <f t="shared" si="497"/>
        <v>0</v>
      </c>
      <c r="AQ431" s="533">
        <f t="shared" si="498"/>
        <v>0</v>
      </c>
      <c r="AR431" s="533">
        <f t="shared" si="499"/>
        <v>0</v>
      </c>
      <c r="AS431" s="533">
        <f t="shared" si="499"/>
        <v>0</v>
      </c>
      <c r="AT431" s="533">
        <f t="shared" si="499"/>
        <v>0</v>
      </c>
      <c r="AU431" s="576">
        <f t="shared" si="500"/>
        <v>0</v>
      </c>
      <c r="AV431" s="532"/>
      <c r="AW431" s="532"/>
      <c r="AX431" s="532"/>
      <c r="AY431" s="532"/>
      <c r="AZ431" s="755">
        <f t="shared" ref="AZ431:BN431" si="517">AZ339</f>
        <v>0</v>
      </c>
      <c r="BA431" s="755">
        <f t="shared" si="517"/>
        <v>0</v>
      </c>
      <c r="BB431" s="755">
        <f t="shared" si="517"/>
        <v>0</v>
      </c>
      <c r="BC431" s="755">
        <f t="shared" si="517"/>
        <v>0</v>
      </c>
      <c r="BD431" s="755">
        <f t="shared" si="517"/>
        <v>0</v>
      </c>
      <c r="BE431" s="755">
        <f t="shared" si="517"/>
        <v>0</v>
      </c>
      <c r="BF431" s="755">
        <f t="shared" si="517"/>
        <v>0</v>
      </c>
      <c r="BG431" s="755">
        <f t="shared" si="517"/>
        <v>2.625</v>
      </c>
      <c r="BH431" s="755">
        <f t="shared" si="517"/>
        <v>3.5249999999999999</v>
      </c>
      <c r="BI431" s="755">
        <f t="shared" si="517"/>
        <v>0</v>
      </c>
      <c r="BJ431" s="755">
        <f t="shared" si="517"/>
        <v>0</v>
      </c>
      <c r="BK431" s="755">
        <f t="shared" si="517"/>
        <v>0</v>
      </c>
      <c r="BL431" s="755">
        <f t="shared" si="517"/>
        <v>0</v>
      </c>
      <c r="BM431" s="755">
        <f t="shared" si="517"/>
        <v>0</v>
      </c>
      <c r="BN431" s="756">
        <f t="shared" si="517"/>
        <v>0</v>
      </c>
      <c r="BO431" s="156">
        <f t="shared" si="503"/>
        <v>0</v>
      </c>
      <c r="BP431" s="156" t="e">
        <f>SUM(#REF!,#REF!,#REF!,#REF!)</f>
        <v>#REF!</v>
      </c>
      <c r="BQ431" s="156"/>
      <c r="BR431" s="156"/>
      <c r="BS431" s="156"/>
      <c r="BT431" s="533"/>
    </row>
    <row r="432" spans="1:72" s="17" customFormat="1" x14ac:dyDescent="0.35">
      <c r="A432" s="208" t="str">
        <f t="shared" si="477"/>
        <v>Impairment of investment in Web International Education</v>
      </c>
      <c r="B432" s="308"/>
      <c r="C432" s="533">
        <f t="shared" si="478"/>
        <v>0</v>
      </c>
      <c r="D432" s="533">
        <f t="shared" si="479"/>
        <v>0</v>
      </c>
      <c r="E432" s="533">
        <f t="shared" si="479"/>
        <v>0</v>
      </c>
      <c r="F432" s="533">
        <f t="shared" si="479"/>
        <v>0</v>
      </c>
      <c r="G432" s="533">
        <f t="shared" si="480"/>
        <v>0</v>
      </c>
      <c r="H432" s="533">
        <f t="shared" si="481"/>
        <v>0</v>
      </c>
      <c r="I432" s="533">
        <f t="shared" si="481"/>
        <v>0</v>
      </c>
      <c r="J432" s="533">
        <f t="shared" si="481"/>
        <v>0</v>
      </c>
      <c r="K432" s="533">
        <f t="shared" si="482"/>
        <v>0</v>
      </c>
      <c r="L432" s="533">
        <f t="shared" si="483"/>
        <v>0</v>
      </c>
      <c r="M432" s="533">
        <f t="shared" si="483"/>
        <v>0</v>
      </c>
      <c r="N432" s="533">
        <f t="shared" si="483"/>
        <v>0</v>
      </c>
      <c r="O432" s="533">
        <f t="shared" si="484"/>
        <v>0</v>
      </c>
      <c r="P432" s="533">
        <f t="shared" si="485"/>
        <v>0</v>
      </c>
      <c r="Q432" s="533">
        <f t="shared" si="485"/>
        <v>0</v>
      </c>
      <c r="R432" s="533">
        <f t="shared" si="485"/>
        <v>0</v>
      </c>
      <c r="S432" s="533">
        <f t="shared" si="486"/>
        <v>0</v>
      </c>
      <c r="T432" s="533">
        <f t="shared" si="487"/>
        <v>0</v>
      </c>
      <c r="U432" s="533">
        <f t="shared" si="487"/>
        <v>0</v>
      </c>
      <c r="V432" s="533">
        <f t="shared" si="487"/>
        <v>10</v>
      </c>
      <c r="W432" s="533">
        <f t="shared" si="488"/>
        <v>0</v>
      </c>
      <c r="X432" s="533">
        <f t="shared" si="489"/>
        <v>0</v>
      </c>
      <c r="Y432" s="533">
        <f t="shared" si="489"/>
        <v>0</v>
      </c>
      <c r="Z432" s="533">
        <f t="shared" si="489"/>
        <v>0</v>
      </c>
      <c r="AA432" s="533">
        <f t="shared" si="490"/>
        <v>0</v>
      </c>
      <c r="AB432" s="533">
        <f t="shared" si="491"/>
        <v>0</v>
      </c>
      <c r="AC432" s="533">
        <f t="shared" si="491"/>
        <v>0</v>
      </c>
      <c r="AD432" s="533">
        <f t="shared" si="491"/>
        <v>0</v>
      </c>
      <c r="AE432" s="533">
        <f t="shared" si="492"/>
        <v>0</v>
      </c>
      <c r="AF432" s="533">
        <f t="shared" si="493"/>
        <v>0</v>
      </c>
      <c r="AG432" s="533">
        <f t="shared" si="493"/>
        <v>0</v>
      </c>
      <c r="AH432" s="533">
        <f t="shared" si="493"/>
        <v>0</v>
      </c>
      <c r="AI432" s="533">
        <f t="shared" si="494"/>
        <v>0</v>
      </c>
      <c r="AJ432" s="533">
        <f t="shared" si="495"/>
        <v>0</v>
      </c>
      <c r="AK432" s="533">
        <f t="shared" si="495"/>
        <v>0</v>
      </c>
      <c r="AL432" s="533">
        <f t="shared" si="495"/>
        <v>0</v>
      </c>
      <c r="AM432" s="533">
        <f t="shared" si="496"/>
        <v>0</v>
      </c>
      <c r="AN432" s="533">
        <f t="shared" si="497"/>
        <v>0</v>
      </c>
      <c r="AO432" s="533">
        <f t="shared" si="497"/>
        <v>0</v>
      </c>
      <c r="AP432" s="533">
        <f t="shared" si="497"/>
        <v>0</v>
      </c>
      <c r="AQ432" s="533">
        <f t="shared" si="498"/>
        <v>0</v>
      </c>
      <c r="AR432" s="533">
        <f t="shared" si="499"/>
        <v>0</v>
      </c>
      <c r="AS432" s="533">
        <f t="shared" si="499"/>
        <v>0</v>
      </c>
      <c r="AT432" s="533">
        <f t="shared" si="499"/>
        <v>0</v>
      </c>
      <c r="AU432" s="576">
        <f t="shared" si="500"/>
        <v>0</v>
      </c>
      <c r="AV432" s="532"/>
      <c r="AW432" s="532"/>
      <c r="AX432" s="532"/>
      <c r="AY432" s="532"/>
      <c r="AZ432" s="755">
        <f t="shared" ref="AZ432:BN432" si="518">AZ340</f>
        <v>0</v>
      </c>
      <c r="BA432" s="755">
        <f t="shared" si="518"/>
        <v>0</v>
      </c>
      <c r="BB432" s="755">
        <f t="shared" si="518"/>
        <v>0</v>
      </c>
      <c r="BC432" s="755">
        <f t="shared" si="518"/>
        <v>0</v>
      </c>
      <c r="BD432" s="755">
        <f t="shared" si="518"/>
        <v>0</v>
      </c>
      <c r="BE432" s="755">
        <f t="shared" si="518"/>
        <v>0</v>
      </c>
      <c r="BF432" s="755">
        <f t="shared" si="518"/>
        <v>0</v>
      </c>
      <c r="BG432" s="755">
        <f t="shared" si="518"/>
        <v>0</v>
      </c>
      <c r="BH432" s="755">
        <f t="shared" si="518"/>
        <v>10</v>
      </c>
      <c r="BI432" s="755">
        <f t="shared" si="518"/>
        <v>0</v>
      </c>
      <c r="BJ432" s="755">
        <f t="shared" si="518"/>
        <v>0</v>
      </c>
      <c r="BK432" s="755">
        <f t="shared" si="518"/>
        <v>0</v>
      </c>
      <c r="BL432" s="755">
        <f t="shared" si="518"/>
        <v>0</v>
      </c>
      <c r="BM432" s="755">
        <f t="shared" si="518"/>
        <v>0</v>
      </c>
      <c r="BN432" s="756">
        <f t="shared" si="518"/>
        <v>0</v>
      </c>
      <c r="BO432" s="156">
        <f t="shared" si="503"/>
        <v>0</v>
      </c>
      <c r="BP432" s="156" t="e">
        <f>SUM(#REF!,#REF!,#REF!,#REF!)</f>
        <v>#REF!</v>
      </c>
      <c r="BQ432" s="156"/>
      <c r="BR432" s="156"/>
      <c r="BS432" s="156"/>
      <c r="BT432" s="533"/>
    </row>
    <row r="433" spans="1:72" s="17" customFormat="1" x14ac:dyDescent="0.35">
      <c r="A433" s="208" t="str">
        <f t="shared" si="477"/>
        <v>Noncash operating lease expense</v>
      </c>
      <c r="B433" s="308"/>
      <c r="C433" s="533">
        <f t="shared" si="478"/>
        <v>0</v>
      </c>
      <c r="D433" s="533">
        <f t="shared" si="479"/>
        <v>0</v>
      </c>
      <c r="E433" s="533">
        <f t="shared" si="479"/>
        <v>0</v>
      </c>
      <c r="F433" s="533">
        <f t="shared" si="479"/>
        <v>0</v>
      </c>
      <c r="G433" s="533">
        <f t="shared" si="480"/>
        <v>0</v>
      </c>
      <c r="H433" s="533">
        <f t="shared" si="481"/>
        <v>0</v>
      </c>
      <c r="I433" s="533">
        <f t="shared" si="481"/>
        <v>0</v>
      </c>
      <c r="J433" s="533">
        <f t="shared" si="481"/>
        <v>0</v>
      </c>
      <c r="K433" s="533">
        <f t="shared" si="482"/>
        <v>0</v>
      </c>
      <c r="L433" s="533">
        <f t="shared" si="483"/>
        <v>0</v>
      </c>
      <c r="M433" s="533">
        <f t="shared" si="483"/>
        <v>0</v>
      </c>
      <c r="N433" s="533">
        <f t="shared" si="483"/>
        <v>0</v>
      </c>
      <c r="O433" s="533">
        <f t="shared" si="484"/>
        <v>0</v>
      </c>
      <c r="P433" s="533">
        <f t="shared" si="485"/>
        <v>0</v>
      </c>
      <c r="Q433" s="533">
        <f t="shared" si="485"/>
        <v>0</v>
      </c>
      <c r="R433" s="533">
        <f t="shared" si="485"/>
        <v>0</v>
      </c>
      <c r="S433" s="533">
        <f t="shared" si="486"/>
        <v>0</v>
      </c>
      <c r="T433" s="533">
        <f t="shared" si="487"/>
        <v>0</v>
      </c>
      <c r="U433" s="533">
        <f t="shared" si="487"/>
        <v>0</v>
      </c>
      <c r="V433" s="533">
        <f t="shared" si="487"/>
        <v>0</v>
      </c>
      <c r="W433" s="533">
        <f t="shared" si="488"/>
        <v>0</v>
      </c>
      <c r="X433" s="533">
        <f t="shared" si="489"/>
        <v>0</v>
      </c>
      <c r="Y433" s="533">
        <f t="shared" si="489"/>
        <v>0</v>
      </c>
      <c r="Z433" s="533">
        <f t="shared" si="489"/>
        <v>0</v>
      </c>
      <c r="AA433" s="533">
        <f t="shared" si="490"/>
        <v>0</v>
      </c>
      <c r="AB433" s="533">
        <f t="shared" si="491"/>
        <v>0</v>
      </c>
      <c r="AC433" s="533">
        <f t="shared" si="491"/>
        <v>0</v>
      </c>
      <c r="AD433" s="533">
        <f t="shared" si="491"/>
        <v>0</v>
      </c>
      <c r="AE433" s="533">
        <f t="shared" si="492"/>
        <v>0</v>
      </c>
      <c r="AF433" s="533">
        <f t="shared" si="493"/>
        <v>0</v>
      </c>
      <c r="AG433" s="533">
        <f t="shared" si="493"/>
        <v>0</v>
      </c>
      <c r="AH433" s="533">
        <f t="shared" si="493"/>
        <v>0</v>
      </c>
      <c r="AI433" s="533">
        <f t="shared" si="494"/>
        <v>0</v>
      </c>
      <c r="AJ433" s="533">
        <f>AJ341-AI341</f>
        <v>0</v>
      </c>
      <c r="AK433" s="533">
        <f>AK341-AJ341</f>
        <v>0</v>
      </c>
      <c r="AL433" s="532"/>
      <c r="AM433" s="533">
        <f t="shared" si="496"/>
        <v>5.0049999999999999</v>
      </c>
      <c r="AN433" s="533">
        <f t="shared" si="497"/>
        <v>5.069</v>
      </c>
      <c r="AO433" s="533">
        <f t="shared" si="497"/>
        <v>5.01</v>
      </c>
      <c r="AP433" s="533">
        <f t="shared" si="497"/>
        <v>4.7259999999999991</v>
      </c>
      <c r="AQ433" s="533">
        <f t="shared" si="498"/>
        <v>3.8660000000000001</v>
      </c>
      <c r="AR433" s="533">
        <f t="shared" si="499"/>
        <v>3.5029999999999997</v>
      </c>
      <c r="AS433" s="533">
        <f t="shared" si="499"/>
        <v>3.67</v>
      </c>
      <c r="AT433" s="533">
        <f t="shared" si="499"/>
        <v>3.6890000000000001</v>
      </c>
      <c r="AU433" s="576">
        <f t="shared" si="500"/>
        <v>4.3719999999999999</v>
      </c>
      <c r="AV433" s="532"/>
      <c r="AW433" s="532"/>
      <c r="AX433" s="532"/>
      <c r="AY433" s="532"/>
      <c r="AZ433" s="755">
        <f t="shared" ref="AZ433:BN433" si="519">AZ341</f>
        <v>0</v>
      </c>
      <c r="BA433" s="755">
        <f t="shared" si="519"/>
        <v>0</v>
      </c>
      <c r="BB433" s="755">
        <f t="shared" si="519"/>
        <v>0</v>
      </c>
      <c r="BC433" s="755">
        <f t="shared" si="519"/>
        <v>0</v>
      </c>
      <c r="BD433" s="755">
        <f t="shared" si="519"/>
        <v>0</v>
      </c>
      <c r="BE433" s="755">
        <f t="shared" si="519"/>
        <v>0</v>
      </c>
      <c r="BF433" s="755">
        <f t="shared" si="519"/>
        <v>0</v>
      </c>
      <c r="BG433" s="755">
        <f t="shared" si="519"/>
        <v>0</v>
      </c>
      <c r="BH433" s="755">
        <f t="shared" si="519"/>
        <v>0</v>
      </c>
      <c r="BI433" s="755">
        <f t="shared" si="519"/>
        <v>0</v>
      </c>
      <c r="BJ433" s="755">
        <f t="shared" si="519"/>
        <v>0</v>
      </c>
      <c r="BK433" s="755">
        <f t="shared" si="519"/>
        <v>0</v>
      </c>
      <c r="BL433" s="755">
        <f t="shared" si="519"/>
        <v>19.567</v>
      </c>
      <c r="BM433" s="755">
        <f t="shared" si="519"/>
        <v>19.809999999999999</v>
      </c>
      <c r="BN433" s="756">
        <f t="shared" si="519"/>
        <v>14.728</v>
      </c>
      <c r="BO433" s="156">
        <f t="shared" si="503"/>
        <v>4.3719999999999999</v>
      </c>
      <c r="BP433" s="156" t="e">
        <f>SUM(#REF!,#REF!,#REF!,#REF!)</f>
        <v>#REF!</v>
      </c>
      <c r="BQ433" s="156"/>
      <c r="BR433" s="156"/>
      <c r="BS433" s="156"/>
      <c r="BT433" s="533"/>
    </row>
    <row r="434" spans="1:72" s="17" customFormat="1" x14ac:dyDescent="0.35">
      <c r="A434" s="267" t="str">
        <f t="shared" si="477"/>
        <v>Other</v>
      </c>
      <c r="B434" s="362"/>
      <c r="C434" s="571">
        <f t="shared" si="478"/>
        <v>0</v>
      </c>
      <c r="D434" s="571">
        <f t="shared" si="479"/>
        <v>0</v>
      </c>
      <c r="E434" s="571">
        <f t="shared" si="479"/>
        <v>0</v>
      </c>
      <c r="F434" s="571">
        <f t="shared" si="479"/>
        <v>0</v>
      </c>
      <c r="G434" s="571">
        <f t="shared" si="480"/>
        <v>0</v>
      </c>
      <c r="H434" s="571">
        <f t="shared" si="481"/>
        <v>0</v>
      </c>
      <c r="I434" s="571">
        <f t="shared" si="481"/>
        <v>0</v>
      </c>
      <c r="J434" s="571">
        <f t="shared" si="481"/>
        <v>0</v>
      </c>
      <c r="K434" s="571">
        <f t="shared" si="482"/>
        <v>0</v>
      </c>
      <c r="L434" s="571">
        <f t="shared" si="483"/>
        <v>0</v>
      </c>
      <c r="M434" s="571">
        <f t="shared" si="483"/>
        <v>0</v>
      </c>
      <c r="N434" s="571">
        <f t="shared" si="483"/>
        <v>0</v>
      </c>
      <c r="O434" s="571">
        <f t="shared" si="484"/>
        <v>0</v>
      </c>
      <c r="P434" s="571">
        <f t="shared" si="485"/>
        <v>0</v>
      </c>
      <c r="Q434" s="571">
        <f t="shared" si="485"/>
        <v>0</v>
      </c>
      <c r="R434" s="571">
        <f t="shared" si="485"/>
        <v>0</v>
      </c>
      <c r="S434" s="571">
        <f t="shared" si="486"/>
        <v>0</v>
      </c>
      <c r="T434" s="571">
        <f t="shared" si="487"/>
        <v>0</v>
      </c>
      <c r="U434" s="571">
        <f t="shared" si="487"/>
        <v>0</v>
      </c>
      <c r="V434" s="571">
        <f t="shared" si="487"/>
        <v>-0.255</v>
      </c>
      <c r="W434" s="571">
        <f t="shared" si="488"/>
        <v>0</v>
      </c>
      <c r="X434" s="571">
        <f t="shared" si="489"/>
        <v>0</v>
      </c>
      <c r="Y434" s="571">
        <f t="shared" si="489"/>
        <v>0</v>
      </c>
      <c r="Z434" s="571">
        <f t="shared" si="489"/>
        <v>4.8220000000000001</v>
      </c>
      <c r="AA434" s="571">
        <f t="shared" si="490"/>
        <v>2.9319999999999999</v>
      </c>
      <c r="AB434" s="571">
        <f t="shared" si="491"/>
        <v>1.0390000000000001</v>
      </c>
      <c r="AC434" s="571">
        <f t="shared" si="491"/>
        <v>1.3200000000000003</v>
      </c>
      <c r="AD434" s="571">
        <f t="shared" si="491"/>
        <v>-1.3060000000000005</v>
      </c>
      <c r="AE434" s="571">
        <f t="shared" si="492"/>
        <v>4.141</v>
      </c>
      <c r="AF434" s="571">
        <f t="shared" si="493"/>
        <v>2.9749999999999996</v>
      </c>
      <c r="AG434" s="571">
        <f t="shared" si="493"/>
        <v>4.4890000000000008</v>
      </c>
      <c r="AH434" s="571">
        <f t="shared" si="493"/>
        <v>7.972999999999999</v>
      </c>
      <c r="AI434" s="571">
        <f t="shared" si="494"/>
        <v>10.792</v>
      </c>
      <c r="AJ434" s="571">
        <f>AJ342-AI342</f>
        <v>6.0789999999999988</v>
      </c>
      <c r="AK434" s="571">
        <f>AK342-AJ342</f>
        <v>5.5850000000000009</v>
      </c>
      <c r="AL434" s="571">
        <f>AL341+AL342-AK342</f>
        <v>6.8769999999999989</v>
      </c>
      <c r="AM434" s="571">
        <f t="shared" si="496"/>
        <v>4.3250000000000002</v>
      </c>
      <c r="AN434" s="571">
        <f t="shared" si="497"/>
        <v>1.2249999999999996</v>
      </c>
      <c r="AO434" s="571">
        <f t="shared" si="497"/>
        <v>-0.875</v>
      </c>
      <c r="AP434" s="571">
        <f t="shared" si="497"/>
        <v>5.274</v>
      </c>
      <c r="AQ434" s="571">
        <f t="shared" si="498"/>
        <v>-3.9180000000000001</v>
      </c>
      <c r="AR434" s="571">
        <f t="shared" si="499"/>
        <v>1.0489999999999999</v>
      </c>
      <c r="AS434" s="571">
        <f t="shared" si="499"/>
        <v>0.85400000000000009</v>
      </c>
      <c r="AT434" s="571">
        <f t="shared" si="499"/>
        <v>4.9000000000000155E-2</v>
      </c>
      <c r="AU434" s="583">
        <f t="shared" si="500"/>
        <v>0.85299999999999998</v>
      </c>
      <c r="AV434" s="535"/>
      <c r="AW434" s="535"/>
      <c r="AX434" s="535"/>
      <c r="AY434" s="535"/>
      <c r="AZ434" s="760">
        <f t="shared" ref="AZ434:BN434" si="520">AZ342</f>
        <v>0</v>
      </c>
      <c r="BA434" s="760">
        <f t="shared" si="520"/>
        <v>0</v>
      </c>
      <c r="BB434" s="760">
        <f t="shared" si="520"/>
        <v>0</v>
      </c>
      <c r="BC434" s="760">
        <f t="shared" si="520"/>
        <v>0</v>
      </c>
      <c r="BD434" s="760">
        <f t="shared" si="520"/>
        <v>0</v>
      </c>
      <c r="BE434" s="760">
        <f t="shared" si="520"/>
        <v>0</v>
      </c>
      <c r="BF434" s="760">
        <f t="shared" si="520"/>
        <v>0</v>
      </c>
      <c r="BG434" s="760">
        <f t="shared" si="520"/>
        <v>0</v>
      </c>
      <c r="BH434" s="760">
        <f t="shared" si="520"/>
        <v>-0.255</v>
      </c>
      <c r="BI434" s="760">
        <f t="shared" si="520"/>
        <v>4.8220000000000001</v>
      </c>
      <c r="BJ434" s="760">
        <f t="shared" si="520"/>
        <v>3.9849999999999999</v>
      </c>
      <c r="BK434" s="760">
        <f t="shared" si="520"/>
        <v>19.577999999999999</v>
      </c>
      <c r="BL434" s="760">
        <f t="shared" si="520"/>
        <v>9.766</v>
      </c>
      <c r="BM434" s="760">
        <f t="shared" si="520"/>
        <v>9.9489999999999998</v>
      </c>
      <c r="BN434" s="761">
        <f t="shared" si="520"/>
        <v>-1.966</v>
      </c>
      <c r="BO434" s="731">
        <f t="shared" si="503"/>
        <v>0.85299999999999998</v>
      </c>
      <c r="BP434" s="731" t="e">
        <f>SUM(#REF!,#REF!,#REF!,#REF!)</f>
        <v>#REF!</v>
      </c>
      <c r="BQ434" s="731"/>
      <c r="BR434" s="731"/>
      <c r="BS434" s="731"/>
      <c r="BT434" s="533"/>
    </row>
    <row r="435" spans="1:72" s="1" customFormat="1" x14ac:dyDescent="0.35">
      <c r="A435" s="47" t="str">
        <f t="shared" si="477"/>
        <v>CFO before WC</v>
      </c>
      <c r="B435" s="360"/>
      <c r="C435" s="573">
        <f t="shared" ref="C435:AH435" si="521">SUM(C420:C434)</f>
        <v>26.291</v>
      </c>
      <c r="D435" s="573">
        <f t="shared" si="521"/>
        <v>33.683</v>
      </c>
      <c r="E435" s="573">
        <f t="shared" si="521"/>
        <v>37.778000000000006</v>
      </c>
      <c r="F435" s="573">
        <f t="shared" si="521"/>
        <v>18.71299999999999</v>
      </c>
      <c r="G435" s="573">
        <f t="shared" si="521"/>
        <v>11.746999999999998</v>
      </c>
      <c r="H435" s="573">
        <f t="shared" si="521"/>
        <v>40.061999999999998</v>
      </c>
      <c r="I435" s="573">
        <f t="shared" si="521"/>
        <v>45.451000000000001</v>
      </c>
      <c r="J435" s="573">
        <f t="shared" si="521"/>
        <v>21.319999999999993</v>
      </c>
      <c r="K435" s="573">
        <f t="shared" si="521"/>
        <v>22.186</v>
      </c>
      <c r="L435" s="573">
        <f t="shared" si="521"/>
        <v>32.931000000000004</v>
      </c>
      <c r="M435" s="573">
        <f t="shared" si="521"/>
        <v>38.369000000000007</v>
      </c>
      <c r="N435" s="573">
        <f t="shared" si="521"/>
        <v>31.203999999999997</v>
      </c>
      <c r="O435" s="573">
        <f t="shared" si="521"/>
        <v>19.287000000000003</v>
      </c>
      <c r="P435" s="573">
        <f t="shared" si="521"/>
        <v>29.075999999999997</v>
      </c>
      <c r="Q435" s="573">
        <f t="shared" si="521"/>
        <v>29.892999999999997</v>
      </c>
      <c r="R435" s="573">
        <f t="shared" si="521"/>
        <v>20.978999999999992</v>
      </c>
      <c r="S435" s="573">
        <f t="shared" si="521"/>
        <v>19.547999999999998</v>
      </c>
      <c r="T435" s="573">
        <f t="shared" si="521"/>
        <v>31.018000000000001</v>
      </c>
      <c r="U435" s="573">
        <f t="shared" si="521"/>
        <v>34.795999999999999</v>
      </c>
      <c r="V435" s="573">
        <f t="shared" si="521"/>
        <v>22.789999999999996</v>
      </c>
      <c r="W435" s="573">
        <f t="shared" si="521"/>
        <v>25.863999999999997</v>
      </c>
      <c r="X435" s="573">
        <f t="shared" si="521"/>
        <v>32.550000000000004</v>
      </c>
      <c r="Y435" s="573">
        <f t="shared" si="521"/>
        <v>32.508000000000003</v>
      </c>
      <c r="Z435" s="573">
        <f t="shared" si="521"/>
        <v>37.471000000000004</v>
      </c>
      <c r="AA435" s="573">
        <f t="shared" si="521"/>
        <v>23.496000000000002</v>
      </c>
      <c r="AB435" s="573">
        <f t="shared" si="521"/>
        <v>47.363999999999997</v>
      </c>
      <c r="AC435" s="573">
        <f t="shared" si="521"/>
        <v>41.87700000000001</v>
      </c>
      <c r="AD435" s="573">
        <f t="shared" si="521"/>
        <v>26.551000000000002</v>
      </c>
      <c r="AE435" s="573">
        <f t="shared" si="521"/>
        <v>20.574999999999996</v>
      </c>
      <c r="AF435" s="573">
        <f t="shared" si="521"/>
        <v>43.481999999999999</v>
      </c>
      <c r="AG435" s="573">
        <f t="shared" si="521"/>
        <v>38.804000000000002</v>
      </c>
      <c r="AH435" s="573">
        <f t="shared" si="521"/>
        <v>38.5</v>
      </c>
      <c r="AI435" s="573">
        <f t="shared" ref="AI435:AX435" si="522">SUM(AI420:AI434)</f>
        <v>64.786999999999992</v>
      </c>
      <c r="AJ435" s="573">
        <f t="shared" si="522"/>
        <v>65.385999999999996</v>
      </c>
      <c r="AK435" s="573">
        <f t="shared" si="522"/>
        <v>67.725999999999999</v>
      </c>
      <c r="AL435" s="573">
        <f t="shared" si="522"/>
        <v>54.024999999999991</v>
      </c>
      <c r="AM435" s="573">
        <f t="shared" si="522"/>
        <v>41.920000000000009</v>
      </c>
      <c r="AN435" s="573">
        <f t="shared" si="522"/>
        <v>79.587000000000003</v>
      </c>
      <c r="AO435" s="573">
        <f t="shared" si="522"/>
        <v>80.021000000000001</v>
      </c>
      <c r="AP435" s="573">
        <f t="shared" si="522"/>
        <v>70.281000000000006</v>
      </c>
      <c r="AQ435" s="573">
        <f t="shared" si="522"/>
        <v>28.173000000000002</v>
      </c>
      <c r="AR435" s="573">
        <f t="shared" si="522"/>
        <v>79.515000000000015</v>
      </c>
      <c r="AS435" s="573">
        <f t="shared" si="522"/>
        <v>90.804000000000016</v>
      </c>
      <c r="AT435" s="573">
        <f t="shared" si="522"/>
        <v>72.197000000000003</v>
      </c>
      <c r="AU435" s="577">
        <f t="shared" si="522"/>
        <v>64.212999999999994</v>
      </c>
      <c r="AV435" s="572">
        <f t="shared" si="522"/>
        <v>89.940174303484127</v>
      </c>
      <c r="AW435" s="572">
        <f t="shared" ca="1" si="522"/>
        <v>92.545016660617989</v>
      </c>
      <c r="AX435" s="572">
        <f t="shared" ca="1" si="522"/>
        <v>78.5582215542955</v>
      </c>
      <c r="AY435" s="572"/>
      <c r="AZ435" s="735">
        <f t="shared" ref="AZ435:BS435" si="523">SUM(AZ420:AZ434)</f>
        <v>38.190000000000005</v>
      </c>
      <c r="BA435" s="735">
        <f t="shared" si="523"/>
        <v>61.653999999999996</v>
      </c>
      <c r="BB435" s="735">
        <f t="shared" si="523"/>
        <v>72.839999999999989</v>
      </c>
      <c r="BC435" s="735">
        <f t="shared" si="523"/>
        <v>100.48799999999999</v>
      </c>
      <c r="BD435" s="735">
        <f t="shared" si="523"/>
        <v>116.46499999999997</v>
      </c>
      <c r="BE435" s="735">
        <f t="shared" si="523"/>
        <v>118.58</v>
      </c>
      <c r="BF435" s="735">
        <f t="shared" si="523"/>
        <v>124.69000000000003</v>
      </c>
      <c r="BG435" s="735">
        <f t="shared" si="523"/>
        <v>99.234999999999999</v>
      </c>
      <c r="BH435" s="735">
        <f t="shared" si="523"/>
        <v>108.152</v>
      </c>
      <c r="BI435" s="735">
        <f t="shared" si="523"/>
        <v>128.393</v>
      </c>
      <c r="BJ435" s="735">
        <f t="shared" si="523"/>
        <v>139.28800000000001</v>
      </c>
      <c r="BK435" s="735">
        <f t="shared" si="523"/>
        <v>141.36099999999999</v>
      </c>
      <c r="BL435" s="735">
        <f t="shared" si="523"/>
        <v>251.92400000000001</v>
      </c>
      <c r="BM435" s="735">
        <f t="shared" si="523"/>
        <v>271.80899999999997</v>
      </c>
      <c r="BN435" s="749">
        <f t="shared" si="523"/>
        <v>270.68900000000002</v>
      </c>
      <c r="BO435" s="734">
        <f t="shared" ca="1" si="523"/>
        <v>325.25641251839772</v>
      </c>
      <c r="BP435" s="734" t="e">
        <f t="shared" si="523"/>
        <v>#REF!</v>
      </c>
      <c r="BQ435" s="734" t="e">
        <f t="shared" si="523"/>
        <v>#REF!</v>
      </c>
      <c r="BR435" s="734" t="e">
        <f t="shared" si="523"/>
        <v>#REF!</v>
      </c>
      <c r="BS435" s="734" t="e">
        <f t="shared" ca="1" si="523"/>
        <v>#REF!</v>
      </c>
      <c r="BT435" s="530"/>
    </row>
    <row r="436" spans="1:72" s="17" customFormat="1" x14ac:dyDescent="0.35">
      <c r="A436" s="56" t="str">
        <f t="shared" si="477"/>
        <v>Accounts receivable</v>
      </c>
      <c r="B436" s="308"/>
      <c r="C436" s="533">
        <f t="shared" ref="C436:C447" si="524">C344</f>
        <v>-98.296999999999997</v>
      </c>
      <c r="D436" s="533">
        <f t="shared" ref="D436:F447" si="525">D344-C344</f>
        <v>34.958999999999996</v>
      </c>
      <c r="E436" s="533">
        <f t="shared" si="525"/>
        <v>-12.211000000000006</v>
      </c>
      <c r="F436" s="533">
        <f t="shared" si="525"/>
        <v>47.841000000000008</v>
      </c>
      <c r="G436" s="533">
        <f t="shared" ref="G436:G447" si="526">G344</f>
        <v>-85.659000000000006</v>
      </c>
      <c r="H436" s="533">
        <f t="shared" ref="H436:J447" si="527">H344-G344</f>
        <v>16.874000000000009</v>
      </c>
      <c r="I436" s="533">
        <f t="shared" si="527"/>
        <v>17.238</v>
      </c>
      <c r="J436" s="533">
        <f t="shared" si="527"/>
        <v>39.29</v>
      </c>
      <c r="K436" s="533">
        <f t="shared" ref="K436:K447" si="528">K344</f>
        <v>-90.552000000000007</v>
      </c>
      <c r="L436" s="533">
        <f t="shared" ref="L436:N447" si="529">L344-K344</f>
        <v>18.137</v>
      </c>
      <c r="M436" s="533">
        <f t="shared" si="529"/>
        <v>-9.0060000000000002</v>
      </c>
      <c r="N436" s="533">
        <f t="shared" si="529"/>
        <v>79.529000000000011</v>
      </c>
      <c r="O436" s="533">
        <f t="shared" ref="O436:O447" si="530">O344</f>
        <v>-74.840999999999994</v>
      </c>
      <c r="P436" s="533">
        <f t="shared" ref="P436:R447" si="531">P344-O344</f>
        <v>30.736999999999995</v>
      </c>
      <c r="Q436" s="533">
        <f t="shared" si="531"/>
        <v>6.5829999999999984</v>
      </c>
      <c r="R436" s="533">
        <f t="shared" si="531"/>
        <v>51.984000000000002</v>
      </c>
      <c r="S436" s="533">
        <f t="shared" ref="S436:S447" si="532">S344</f>
        <v>-94.870999999999995</v>
      </c>
      <c r="T436" s="533">
        <f t="shared" ref="T436:V447" si="533">T344-S344</f>
        <v>45.421999999999997</v>
      </c>
      <c r="U436" s="533">
        <f t="shared" si="533"/>
        <v>-11.551000000000002</v>
      </c>
      <c r="V436" s="533">
        <f t="shared" si="533"/>
        <v>33.254999999999995</v>
      </c>
      <c r="W436" s="533">
        <f t="shared" ref="W436:W447" si="534">W344</f>
        <v>-90.703999999999994</v>
      </c>
      <c r="X436" s="533">
        <f>X344-W344</f>
        <v>38.501999999999995</v>
      </c>
      <c r="Y436" s="533">
        <f>Y344-X344</f>
        <v>35.981999999999999</v>
      </c>
      <c r="Z436" s="533">
        <f>Z344-Y344</f>
        <v>28.207000000000001</v>
      </c>
      <c r="AA436" s="533">
        <f t="shared" ref="AA436:AA447" si="535">AA344</f>
        <v>-92.584000000000003</v>
      </c>
      <c r="AB436" s="533">
        <f t="shared" ref="AB436:AD447" si="536">AB344-AA344</f>
        <v>28.468000000000004</v>
      </c>
      <c r="AC436" s="533">
        <f t="shared" si="536"/>
        <v>-1.0310000000000059</v>
      </c>
      <c r="AD436" s="533">
        <f t="shared" si="536"/>
        <v>43.510000000000005</v>
      </c>
      <c r="AE436" s="533">
        <f t="shared" ref="AE436:AE447" si="537">AE344</f>
        <v>-75.765000000000001</v>
      </c>
      <c r="AF436" s="533">
        <f t="shared" ref="AF436:AH447" si="538">AF344-AE344</f>
        <v>16.115000000000002</v>
      </c>
      <c r="AG436" s="533">
        <f t="shared" si="538"/>
        <v>-16.536999999999999</v>
      </c>
      <c r="AH436" s="533">
        <f t="shared" si="538"/>
        <v>38.414999999999999</v>
      </c>
      <c r="AI436" s="533">
        <f t="shared" ref="AI436:AI447" si="539">AI344</f>
        <v>-196.953</v>
      </c>
      <c r="AJ436" s="533">
        <f t="shared" ref="AJ436:AL447" si="540">AJ344-AI344</f>
        <v>-11.917000000000002</v>
      </c>
      <c r="AK436" s="533">
        <f t="shared" si="540"/>
        <v>11.211000000000013</v>
      </c>
      <c r="AL436" s="533">
        <f t="shared" si="540"/>
        <v>54.585999999999984</v>
      </c>
      <c r="AM436" s="533">
        <f t="shared" ref="AM436:AM447" si="541">AM344</f>
        <v>-150.26300000000001</v>
      </c>
      <c r="AN436" s="533">
        <f t="shared" ref="AN436:AP447" si="542">AN344-AM344</f>
        <v>84.657000000000011</v>
      </c>
      <c r="AO436" s="533">
        <f t="shared" si="542"/>
        <v>9.5339999999999918</v>
      </c>
      <c r="AP436" s="533">
        <f t="shared" si="542"/>
        <v>-1.4289999999999949</v>
      </c>
      <c r="AQ436" s="533">
        <f t="shared" ref="AQ436:AQ447" si="543">AQ344</f>
        <v>-126.521</v>
      </c>
      <c r="AR436" s="533">
        <f t="shared" ref="AR436:AT447" si="544">AR344-AQ344</f>
        <v>100.84100000000001</v>
      </c>
      <c r="AS436" s="533">
        <f t="shared" si="544"/>
        <v>-36.268999999999998</v>
      </c>
      <c r="AT436" s="533">
        <f t="shared" si="544"/>
        <v>7.0409999999999968</v>
      </c>
      <c r="AU436" s="576">
        <f t="shared" ref="AU436:AU447" si="545">AU344</f>
        <v>-175.215</v>
      </c>
      <c r="AV436" s="532">
        <f t="shared" ref="AV436:AX437" si="546">AU552-AV552</f>
        <v>144.04986531572905</v>
      </c>
      <c r="AW436" s="532">
        <f t="shared" si="546"/>
        <v>-30.275115447218752</v>
      </c>
      <c r="AX436" s="532">
        <f t="shared" si="546"/>
        <v>11.58492502846974</v>
      </c>
      <c r="AY436" s="532"/>
      <c r="AZ436" s="755">
        <f t="shared" ref="AZ436:BN436" si="547">AZ344</f>
        <v>-21.998999999999999</v>
      </c>
      <c r="BA436" s="755">
        <f t="shared" si="547"/>
        <v>-18.46</v>
      </c>
      <c r="BB436" s="755">
        <f t="shared" si="547"/>
        <v>-15.81</v>
      </c>
      <c r="BC436" s="755">
        <f t="shared" si="547"/>
        <v>-64.27</v>
      </c>
      <c r="BD436" s="755">
        <f t="shared" si="547"/>
        <v>-27.707999999999998</v>
      </c>
      <c r="BE436" s="755">
        <f t="shared" si="547"/>
        <v>-12.257</v>
      </c>
      <c r="BF436" s="755">
        <f t="shared" si="547"/>
        <v>-1.8919999999999999</v>
      </c>
      <c r="BG436" s="755">
        <f t="shared" si="547"/>
        <v>14.462999999999999</v>
      </c>
      <c r="BH436" s="755">
        <f t="shared" si="547"/>
        <v>-27.745000000000001</v>
      </c>
      <c r="BI436" s="755">
        <f t="shared" si="547"/>
        <v>11.987</v>
      </c>
      <c r="BJ436" s="755">
        <f t="shared" si="547"/>
        <v>-21.637</v>
      </c>
      <c r="BK436" s="755">
        <f t="shared" si="547"/>
        <v>-37.771999999999998</v>
      </c>
      <c r="BL436" s="755">
        <f t="shared" si="547"/>
        <v>-143.07300000000001</v>
      </c>
      <c r="BM436" s="755">
        <f t="shared" si="547"/>
        <v>-57.500999999999998</v>
      </c>
      <c r="BN436" s="756">
        <f t="shared" si="547"/>
        <v>-54.908000000000001</v>
      </c>
      <c r="BO436" s="156">
        <f t="shared" ref="BO436:BO447" si="548">SUM(AU436,AV436,AW436,AX436)</f>
        <v>-49.855325103019965</v>
      </c>
      <c r="BP436" s="156" t="e">
        <f>SUM(#REF!,#REF!,#REF!,#REF!)</f>
        <v>#REF!</v>
      </c>
      <c r="BQ436" s="156" t="e">
        <f t="shared" ref="BQ436:BS437" si="549">BP552-BQ552</f>
        <v>#REF!</v>
      </c>
      <c r="BR436" s="156" t="e">
        <f t="shared" si="549"/>
        <v>#REF!</v>
      </c>
      <c r="BS436" s="156" t="e">
        <f t="shared" si="549"/>
        <v>#REF!</v>
      </c>
      <c r="BT436" s="533"/>
    </row>
    <row r="437" spans="1:72" s="17" customFormat="1" x14ac:dyDescent="0.35">
      <c r="A437" s="56" t="str">
        <f t="shared" si="477"/>
        <v>Inventories</v>
      </c>
      <c r="B437" s="308"/>
      <c r="C437" s="533">
        <f t="shared" si="524"/>
        <v>9.6989999999999998</v>
      </c>
      <c r="D437" s="533">
        <f t="shared" si="525"/>
        <v>-1.516</v>
      </c>
      <c r="E437" s="533">
        <f t="shared" si="525"/>
        <v>5.400000000000027E-2</v>
      </c>
      <c r="F437" s="533">
        <f t="shared" si="525"/>
        <v>-15.166</v>
      </c>
      <c r="G437" s="533">
        <f t="shared" si="526"/>
        <v>16.373999999999999</v>
      </c>
      <c r="H437" s="533">
        <f t="shared" si="527"/>
        <v>0.53400000000000247</v>
      </c>
      <c r="I437" s="533">
        <f t="shared" si="527"/>
        <v>2.0329999999999977</v>
      </c>
      <c r="J437" s="533">
        <f t="shared" si="527"/>
        <v>-12.668999999999999</v>
      </c>
      <c r="K437" s="533">
        <f t="shared" si="528"/>
        <v>15.686</v>
      </c>
      <c r="L437" s="533">
        <f t="shared" si="529"/>
        <v>-1.83</v>
      </c>
      <c r="M437" s="533">
        <f t="shared" si="529"/>
        <v>1.6760000000000002</v>
      </c>
      <c r="N437" s="533">
        <f t="shared" si="529"/>
        <v>-12.679</v>
      </c>
      <c r="O437" s="533">
        <f t="shared" si="530"/>
        <v>12.644</v>
      </c>
      <c r="P437" s="533">
        <f t="shared" si="531"/>
        <v>-1.3870000000000005</v>
      </c>
      <c r="Q437" s="533">
        <f t="shared" si="531"/>
        <v>1.625</v>
      </c>
      <c r="R437" s="533">
        <f t="shared" si="531"/>
        <v>-14.632999999999999</v>
      </c>
      <c r="S437" s="533">
        <f t="shared" si="532"/>
        <v>14.067</v>
      </c>
      <c r="T437" s="533">
        <f t="shared" si="533"/>
        <v>-1.343</v>
      </c>
      <c r="U437" s="533">
        <f t="shared" si="533"/>
        <v>-1.277000000000001</v>
      </c>
      <c r="V437" s="533">
        <f t="shared" si="533"/>
        <v>-11.795</v>
      </c>
      <c r="W437" s="533">
        <f t="shared" si="534"/>
        <v>11.606999999999999</v>
      </c>
      <c r="X437" s="533">
        <f t="shared" ref="X437:Y447" si="550">X345-W345</f>
        <v>-0.45099999999999874</v>
      </c>
      <c r="Y437" s="533">
        <f t="shared" si="550"/>
        <v>-2.2000000000000242E-2</v>
      </c>
      <c r="Z437" s="533">
        <f>Z345-Y345-Y346-Y347</f>
        <v>-5.556</v>
      </c>
      <c r="AA437" s="533">
        <f t="shared" si="535"/>
        <v>-5.774</v>
      </c>
      <c r="AB437" s="533">
        <f t="shared" si="536"/>
        <v>9.7089999999999996</v>
      </c>
      <c r="AC437" s="533">
        <f t="shared" si="536"/>
        <v>0.68500000000000005</v>
      </c>
      <c r="AD437" s="533">
        <f t="shared" si="536"/>
        <v>-7.9410000000000007</v>
      </c>
      <c r="AE437" s="533">
        <f t="shared" si="537"/>
        <v>-8.9420000000000002</v>
      </c>
      <c r="AF437" s="533">
        <f t="shared" si="538"/>
        <v>11.498000000000001</v>
      </c>
      <c r="AG437" s="533">
        <f t="shared" si="538"/>
        <v>-2.3159999999999998</v>
      </c>
      <c r="AH437" s="533">
        <f t="shared" si="538"/>
        <v>-16.420999999999999</v>
      </c>
      <c r="AI437" s="533">
        <f t="shared" si="539"/>
        <v>-23.975000000000001</v>
      </c>
      <c r="AJ437" s="533">
        <f t="shared" si="540"/>
        <v>0.74399999999999977</v>
      </c>
      <c r="AK437" s="533">
        <f t="shared" si="540"/>
        <v>-4.5669999999999966</v>
      </c>
      <c r="AL437" s="533">
        <f t="shared" si="540"/>
        <v>-11.366000000000003</v>
      </c>
      <c r="AM437" s="533">
        <f t="shared" si="541"/>
        <v>1.26</v>
      </c>
      <c r="AN437" s="533">
        <f t="shared" si="542"/>
        <v>10.684000000000001</v>
      </c>
      <c r="AO437" s="533">
        <f t="shared" si="542"/>
        <v>-3.9770000000000012</v>
      </c>
      <c r="AP437" s="533">
        <f t="shared" si="542"/>
        <v>-3.1689999999999996</v>
      </c>
      <c r="AQ437" s="533">
        <f t="shared" si="543"/>
        <v>-34.695</v>
      </c>
      <c r="AR437" s="533">
        <f t="shared" si="544"/>
        <v>25.518000000000001</v>
      </c>
      <c r="AS437" s="533">
        <f t="shared" si="544"/>
        <v>-0.7889999999999997</v>
      </c>
      <c r="AT437" s="533">
        <f t="shared" si="544"/>
        <v>-9.423</v>
      </c>
      <c r="AU437" s="576">
        <f t="shared" si="545"/>
        <v>-14.33</v>
      </c>
      <c r="AV437" s="532">
        <f t="shared" si="546"/>
        <v>-4.5588905411884539</v>
      </c>
      <c r="AW437" s="532">
        <f t="shared" si="546"/>
        <v>1.4424153830046222</v>
      </c>
      <c r="AX437" s="532">
        <f t="shared" si="546"/>
        <v>-15.055634063467249</v>
      </c>
      <c r="AY437" s="532"/>
      <c r="AZ437" s="755">
        <f t="shared" ref="AZ437:BN437" si="551">AZ345</f>
        <v>-11.529</v>
      </c>
      <c r="BA437" s="755">
        <f t="shared" si="551"/>
        <v>4.84</v>
      </c>
      <c r="BB437" s="755">
        <f t="shared" si="551"/>
        <v>-4.6210000000000004</v>
      </c>
      <c r="BC437" s="755">
        <f t="shared" si="551"/>
        <v>-8.9179999999999993</v>
      </c>
      <c r="BD437" s="755">
        <f t="shared" si="551"/>
        <v>-6.9290000000000003</v>
      </c>
      <c r="BE437" s="755">
        <f t="shared" si="551"/>
        <v>6.2720000000000002</v>
      </c>
      <c r="BF437" s="755">
        <f t="shared" si="551"/>
        <v>2.8530000000000002</v>
      </c>
      <c r="BG437" s="755">
        <f t="shared" si="551"/>
        <v>-1.7509999999999999</v>
      </c>
      <c r="BH437" s="755">
        <f t="shared" si="551"/>
        <v>-0.34799999999999998</v>
      </c>
      <c r="BI437" s="755">
        <f t="shared" si="551"/>
        <v>-3.8010000000000002</v>
      </c>
      <c r="BJ437" s="755">
        <f t="shared" si="551"/>
        <v>-3.3210000000000002</v>
      </c>
      <c r="BK437" s="755">
        <f t="shared" si="551"/>
        <v>-16.181000000000001</v>
      </c>
      <c r="BL437" s="755">
        <f t="shared" si="551"/>
        <v>-39.164000000000001</v>
      </c>
      <c r="BM437" s="755">
        <f t="shared" si="551"/>
        <v>4.798</v>
      </c>
      <c r="BN437" s="756">
        <f t="shared" si="551"/>
        <v>-19.388999999999999</v>
      </c>
      <c r="BO437" s="156">
        <f t="shared" si="548"/>
        <v>-32.502109221651082</v>
      </c>
      <c r="BP437" s="156" t="e">
        <f>SUM(#REF!,#REF!,#REF!,#REF!)</f>
        <v>#REF!</v>
      </c>
      <c r="BQ437" s="156" t="e">
        <f t="shared" si="549"/>
        <v>#REF!</v>
      </c>
      <c r="BR437" s="156" t="e">
        <f t="shared" si="549"/>
        <v>#REF!</v>
      </c>
      <c r="BS437" s="156" t="e">
        <f t="shared" si="549"/>
        <v>#REF!</v>
      </c>
      <c r="BT437" s="533"/>
    </row>
    <row r="438" spans="1:72" s="17" customFormat="1" x14ac:dyDescent="0.35">
      <c r="A438" s="56" t="str">
        <f t="shared" si="477"/>
        <v>Prepaid expenses</v>
      </c>
      <c r="B438" s="308"/>
      <c r="C438" s="533">
        <f t="shared" si="524"/>
        <v>-3.431</v>
      </c>
      <c r="D438" s="533">
        <f t="shared" si="525"/>
        <v>-5.1990000000000007</v>
      </c>
      <c r="E438" s="533">
        <f t="shared" si="525"/>
        <v>-1.2889999999999997</v>
      </c>
      <c r="F438" s="533">
        <f t="shared" si="525"/>
        <v>10.762</v>
      </c>
      <c r="G438" s="533">
        <f t="shared" si="526"/>
        <v>-0.86099999999999999</v>
      </c>
      <c r="H438" s="533">
        <f t="shared" si="527"/>
        <v>2.1179999999999999</v>
      </c>
      <c r="I438" s="533">
        <f t="shared" si="527"/>
        <v>-1.2959999999999998</v>
      </c>
      <c r="J438" s="533">
        <f t="shared" si="527"/>
        <v>2.774</v>
      </c>
      <c r="K438" s="533">
        <f t="shared" si="528"/>
        <v>-15.553000000000001</v>
      </c>
      <c r="L438" s="533">
        <f t="shared" si="529"/>
        <v>11.298000000000002</v>
      </c>
      <c r="M438" s="533">
        <f t="shared" si="529"/>
        <v>2.8999999999999915E-2</v>
      </c>
      <c r="N438" s="533">
        <f t="shared" si="529"/>
        <v>0.15299999999999958</v>
      </c>
      <c r="O438" s="533">
        <f t="shared" si="530"/>
        <v>-18.03</v>
      </c>
      <c r="P438" s="533">
        <f t="shared" si="531"/>
        <v>8.2180000000000017</v>
      </c>
      <c r="Q438" s="533">
        <f t="shared" si="531"/>
        <v>4.4029999999999996</v>
      </c>
      <c r="R438" s="533">
        <f t="shared" si="531"/>
        <v>7.2690000000000001</v>
      </c>
      <c r="S438" s="533">
        <f t="shared" si="532"/>
        <v>-21.901</v>
      </c>
      <c r="T438" s="533">
        <f t="shared" si="533"/>
        <v>13.424999999999999</v>
      </c>
      <c r="U438" s="533">
        <f t="shared" si="533"/>
        <v>2.6620000000000008</v>
      </c>
      <c r="V438" s="533">
        <f t="shared" si="533"/>
        <v>7.4420000000000002</v>
      </c>
      <c r="W438" s="533">
        <f t="shared" si="534"/>
        <v>-25.82</v>
      </c>
      <c r="X438" s="533">
        <f t="shared" si="550"/>
        <v>11.838000000000001</v>
      </c>
      <c r="Y438" s="533">
        <f t="shared" si="550"/>
        <v>7.5659999999999989</v>
      </c>
      <c r="Z438" s="532"/>
      <c r="AA438" s="533">
        <f t="shared" si="535"/>
        <v>0</v>
      </c>
      <c r="AB438" s="533">
        <f t="shared" si="536"/>
        <v>0</v>
      </c>
      <c r="AC438" s="533">
        <f t="shared" si="536"/>
        <v>0</v>
      </c>
      <c r="AD438" s="533">
        <f t="shared" si="536"/>
        <v>0</v>
      </c>
      <c r="AE438" s="533">
        <f t="shared" si="537"/>
        <v>0</v>
      </c>
      <c r="AF438" s="533">
        <f t="shared" si="538"/>
        <v>0</v>
      </c>
      <c r="AG438" s="533">
        <f t="shared" si="538"/>
        <v>0</v>
      </c>
      <c r="AH438" s="533">
        <f t="shared" si="538"/>
        <v>0</v>
      </c>
      <c r="AI438" s="533">
        <f t="shared" si="539"/>
        <v>0</v>
      </c>
      <c r="AJ438" s="533">
        <f t="shared" si="540"/>
        <v>0</v>
      </c>
      <c r="AK438" s="533">
        <f t="shared" si="540"/>
        <v>0</v>
      </c>
      <c r="AL438" s="533">
        <f t="shared" si="540"/>
        <v>0</v>
      </c>
      <c r="AM438" s="533">
        <f t="shared" si="541"/>
        <v>0</v>
      </c>
      <c r="AN438" s="533">
        <f t="shared" si="542"/>
        <v>0</v>
      </c>
      <c r="AO438" s="533">
        <f t="shared" si="542"/>
        <v>0</v>
      </c>
      <c r="AP438" s="533">
        <f t="shared" si="542"/>
        <v>0</v>
      </c>
      <c r="AQ438" s="533">
        <f t="shared" si="543"/>
        <v>0</v>
      </c>
      <c r="AR438" s="533">
        <f t="shared" si="544"/>
        <v>0</v>
      </c>
      <c r="AS438" s="533">
        <f t="shared" si="544"/>
        <v>0</v>
      </c>
      <c r="AT438" s="533">
        <f t="shared" si="544"/>
        <v>0</v>
      </c>
      <c r="AU438" s="576">
        <f t="shared" si="545"/>
        <v>0</v>
      </c>
      <c r="AV438" s="532"/>
      <c r="AW438" s="532"/>
      <c r="AX438" s="532"/>
      <c r="AY438" s="532"/>
      <c r="AZ438" s="755">
        <f t="shared" ref="AZ438:BN438" si="552">AZ346</f>
        <v>-5.5289999999999999</v>
      </c>
      <c r="BA438" s="755">
        <f t="shared" si="552"/>
        <v>0.32700000000000001</v>
      </c>
      <c r="BB438" s="755">
        <f t="shared" si="552"/>
        <v>0.36299999999999999</v>
      </c>
      <c r="BC438" s="755">
        <f t="shared" si="552"/>
        <v>-0.78400000000000003</v>
      </c>
      <c r="BD438" s="755">
        <f t="shared" si="552"/>
        <v>0.84299999999999997</v>
      </c>
      <c r="BE438" s="755">
        <f t="shared" si="552"/>
        <v>2.7349999999999999</v>
      </c>
      <c r="BF438" s="755">
        <f t="shared" si="552"/>
        <v>-4.0730000000000004</v>
      </c>
      <c r="BG438" s="755">
        <f t="shared" si="552"/>
        <v>1.8599999999999999</v>
      </c>
      <c r="BH438" s="755">
        <f t="shared" si="552"/>
        <v>1.6279999999999999</v>
      </c>
      <c r="BI438" s="755">
        <f t="shared" si="552"/>
        <v>0</v>
      </c>
      <c r="BJ438" s="755">
        <f t="shared" si="552"/>
        <v>0</v>
      </c>
      <c r="BK438" s="755">
        <f t="shared" si="552"/>
        <v>0</v>
      </c>
      <c r="BL438" s="755">
        <f t="shared" si="552"/>
        <v>0</v>
      </c>
      <c r="BM438" s="755">
        <f t="shared" si="552"/>
        <v>0</v>
      </c>
      <c r="BN438" s="756">
        <f t="shared" si="552"/>
        <v>0</v>
      </c>
      <c r="BO438" s="156">
        <f t="shared" si="548"/>
        <v>0</v>
      </c>
      <c r="BP438" s="156" t="e">
        <f>SUM(#REF!,#REF!,#REF!,#REF!)</f>
        <v>#REF!</v>
      </c>
      <c r="BQ438" s="156"/>
      <c r="BR438" s="156"/>
      <c r="BS438" s="156"/>
      <c r="BT438" s="533"/>
    </row>
    <row r="439" spans="1:72" s="17" customFormat="1" x14ac:dyDescent="0.35">
      <c r="A439" s="56" t="str">
        <f t="shared" si="477"/>
        <v>Other current assets</v>
      </c>
      <c r="B439" s="308"/>
      <c r="C439" s="533">
        <f t="shared" si="524"/>
        <v>-5.8419999999999996</v>
      </c>
      <c r="D439" s="533">
        <f t="shared" si="525"/>
        <v>4.4399999999999995</v>
      </c>
      <c r="E439" s="533">
        <f t="shared" si="525"/>
        <v>2.3940000000000001</v>
      </c>
      <c r="F439" s="533">
        <f t="shared" si="525"/>
        <v>-0.30999999999999994</v>
      </c>
      <c r="G439" s="533">
        <f t="shared" si="526"/>
        <v>-8.5239999999999991</v>
      </c>
      <c r="H439" s="533">
        <f t="shared" si="527"/>
        <v>5.0159999999999991</v>
      </c>
      <c r="I439" s="533">
        <f t="shared" si="527"/>
        <v>-0.39800000000000013</v>
      </c>
      <c r="J439" s="533">
        <f t="shared" si="527"/>
        <v>2.2610000000000001</v>
      </c>
      <c r="K439" s="533">
        <f t="shared" si="528"/>
        <v>-6.1050000000000004</v>
      </c>
      <c r="L439" s="533">
        <f t="shared" si="529"/>
        <v>2.5470000000000006</v>
      </c>
      <c r="M439" s="533">
        <f t="shared" si="529"/>
        <v>-0.16100000000000003</v>
      </c>
      <c r="N439" s="533">
        <f t="shared" si="529"/>
        <v>1.1399999999999997</v>
      </c>
      <c r="O439" s="533">
        <f t="shared" si="530"/>
        <v>-2.661</v>
      </c>
      <c r="P439" s="533">
        <f t="shared" si="531"/>
        <v>2.4329999999999998</v>
      </c>
      <c r="Q439" s="533">
        <f t="shared" si="531"/>
        <v>0.307</v>
      </c>
      <c r="R439" s="533">
        <f t="shared" si="531"/>
        <v>2.7509999999999999</v>
      </c>
      <c r="S439" s="533">
        <f t="shared" si="532"/>
        <v>-3.077</v>
      </c>
      <c r="T439" s="533">
        <f t="shared" si="533"/>
        <v>1.7469999999999999</v>
      </c>
      <c r="U439" s="533">
        <f t="shared" si="533"/>
        <v>-1.4510000000000001</v>
      </c>
      <c r="V439" s="533">
        <f t="shared" si="533"/>
        <v>2.8240000000000003</v>
      </c>
      <c r="W439" s="533">
        <f t="shared" si="534"/>
        <v>-3.6739999999999999</v>
      </c>
      <c r="X439" s="533">
        <f t="shared" si="550"/>
        <v>0.92599999999999971</v>
      </c>
      <c r="Y439" s="533">
        <f t="shared" si="550"/>
        <v>-0.21499999999999986</v>
      </c>
      <c r="Z439" s="532"/>
      <c r="AA439" s="533">
        <f t="shared" si="535"/>
        <v>0</v>
      </c>
      <c r="AB439" s="533">
        <f t="shared" si="536"/>
        <v>0</v>
      </c>
      <c r="AC439" s="533">
        <f t="shared" si="536"/>
        <v>0</v>
      </c>
      <c r="AD439" s="533">
        <f t="shared" si="536"/>
        <v>0</v>
      </c>
      <c r="AE439" s="533">
        <f t="shared" si="537"/>
        <v>0</v>
      </c>
      <c r="AF439" s="533">
        <f t="shared" si="538"/>
        <v>0</v>
      </c>
      <c r="AG439" s="533">
        <f t="shared" si="538"/>
        <v>0</v>
      </c>
      <c r="AH439" s="533">
        <f t="shared" si="538"/>
        <v>0</v>
      </c>
      <c r="AI439" s="533">
        <f t="shared" si="539"/>
        <v>0</v>
      </c>
      <c r="AJ439" s="533">
        <f t="shared" si="540"/>
        <v>0</v>
      </c>
      <c r="AK439" s="533">
        <f t="shared" si="540"/>
        <v>0</v>
      </c>
      <c r="AL439" s="533">
        <f t="shared" si="540"/>
        <v>0</v>
      </c>
      <c r="AM439" s="533">
        <f t="shared" si="541"/>
        <v>0</v>
      </c>
      <c r="AN439" s="533">
        <f t="shared" si="542"/>
        <v>0</v>
      </c>
      <c r="AO439" s="533">
        <f t="shared" si="542"/>
        <v>0</v>
      </c>
      <c r="AP439" s="533">
        <f t="shared" si="542"/>
        <v>0</v>
      </c>
      <c r="AQ439" s="533">
        <f t="shared" si="543"/>
        <v>0</v>
      </c>
      <c r="AR439" s="533">
        <f t="shared" si="544"/>
        <v>0</v>
      </c>
      <c r="AS439" s="533">
        <f t="shared" si="544"/>
        <v>0</v>
      </c>
      <c r="AT439" s="533">
        <f t="shared" si="544"/>
        <v>0</v>
      </c>
      <c r="AU439" s="576">
        <f t="shared" si="545"/>
        <v>0</v>
      </c>
      <c r="AV439" s="532"/>
      <c r="AW439" s="532"/>
      <c r="AX439" s="532"/>
      <c r="AY439" s="532"/>
      <c r="AZ439" s="755">
        <f t="shared" ref="AZ439:BN439" si="553">AZ347</f>
        <v>-1.859</v>
      </c>
      <c r="BA439" s="755">
        <f t="shared" si="553"/>
        <v>-5.1989999999999998</v>
      </c>
      <c r="BB439" s="755">
        <f t="shared" si="553"/>
        <v>-1.825</v>
      </c>
      <c r="BC439" s="755">
        <f t="shared" si="553"/>
        <v>-5.26</v>
      </c>
      <c r="BD439" s="755">
        <f t="shared" si="553"/>
        <v>0.68200000000000005</v>
      </c>
      <c r="BE439" s="755">
        <f t="shared" si="553"/>
        <v>-1.645</v>
      </c>
      <c r="BF439" s="755">
        <f t="shared" si="553"/>
        <v>-2.5790000000000002</v>
      </c>
      <c r="BG439" s="755">
        <f t="shared" si="553"/>
        <v>2.83</v>
      </c>
      <c r="BH439" s="755">
        <f t="shared" si="553"/>
        <v>4.2999999999999997E-2</v>
      </c>
      <c r="BI439" s="755">
        <f t="shared" si="553"/>
        <v>0</v>
      </c>
      <c r="BJ439" s="755">
        <f t="shared" si="553"/>
        <v>0</v>
      </c>
      <c r="BK439" s="755">
        <f t="shared" si="553"/>
        <v>0</v>
      </c>
      <c r="BL439" s="755">
        <f t="shared" si="553"/>
        <v>0</v>
      </c>
      <c r="BM439" s="755">
        <f t="shared" si="553"/>
        <v>0</v>
      </c>
      <c r="BN439" s="756">
        <f t="shared" si="553"/>
        <v>0</v>
      </c>
      <c r="BO439" s="156">
        <f t="shared" si="548"/>
        <v>0</v>
      </c>
      <c r="BP439" s="156" t="e">
        <f>SUM(#REF!,#REF!,#REF!,#REF!)</f>
        <v>#REF!</v>
      </c>
      <c r="BQ439" s="156"/>
      <c r="BR439" s="156"/>
      <c r="BS439" s="156"/>
      <c r="BT439" s="533"/>
    </row>
    <row r="440" spans="1:72" s="17" customFormat="1" x14ac:dyDescent="0.35">
      <c r="A440" s="56" t="str">
        <f t="shared" si="477"/>
        <v>Deposits and other assets</v>
      </c>
      <c r="B440" s="308"/>
      <c r="C440" s="533">
        <f t="shared" si="524"/>
        <v>0.29899999999999999</v>
      </c>
      <c r="D440" s="533">
        <f t="shared" si="525"/>
        <v>-0.51600000000000001</v>
      </c>
      <c r="E440" s="533">
        <f t="shared" si="525"/>
        <v>7.5000000000000011E-2</v>
      </c>
      <c r="F440" s="533">
        <f t="shared" si="525"/>
        <v>-0.32400000000000007</v>
      </c>
      <c r="G440" s="533">
        <f t="shared" si="526"/>
        <v>-0.22</v>
      </c>
      <c r="H440" s="533">
        <f t="shared" si="527"/>
        <v>-7.0000000000000062E-3</v>
      </c>
      <c r="I440" s="533">
        <f t="shared" si="527"/>
        <v>-0.12399999999999997</v>
      </c>
      <c r="J440" s="533">
        <f t="shared" si="527"/>
        <v>0.13899999999999998</v>
      </c>
      <c r="K440" s="533">
        <f t="shared" si="528"/>
        <v>-0.22800000000000001</v>
      </c>
      <c r="L440" s="533">
        <f t="shared" si="529"/>
        <v>-0.23800000000000002</v>
      </c>
      <c r="M440" s="533">
        <f t="shared" si="529"/>
        <v>4.1000000000000036E-2</v>
      </c>
      <c r="N440" s="533">
        <f t="shared" si="529"/>
        <v>-1.0149999999999999</v>
      </c>
      <c r="O440" s="533">
        <f t="shared" si="530"/>
        <v>-0.14199999999999999</v>
      </c>
      <c r="P440" s="533">
        <f t="shared" si="531"/>
        <v>9.9999999999999978E-2</v>
      </c>
      <c r="Q440" s="533">
        <f t="shared" si="531"/>
        <v>-0.11699999999999999</v>
      </c>
      <c r="R440" s="533">
        <f t="shared" si="531"/>
        <v>-8.7509999999999994</v>
      </c>
      <c r="S440" s="533">
        <f t="shared" si="532"/>
        <v>2.4470000000000001</v>
      </c>
      <c r="T440" s="533">
        <f t="shared" si="533"/>
        <v>3.2059999999999995</v>
      </c>
      <c r="U440" s="533">
        <f t="shared" si="533"/>
        <v>4.1580000000000004</v>
      </c>
      <c r="V440" s="533">
        <f t="shared" si="533"/>
        <v>0.20899999999999963</v>
      </c>
      <c r="W440" s="533">
        <f t="shared" si="534"/>
        <v>-1.22</v>
      </c>
      <c r="X440" s="533">
        <f t="shared" si="550"/>
        <v>-0.96500000000000008</v>
      </c>
      <c r="Y440" s="533">
        <f t="shared" si="550"/>
        <v>-23.708000000000002</v>
      </c>
      <c r="Z440" s="533">
        <f t="shared" ref="Z440:Z447" si="554">Z348-Y348</f>
        <v>1.2029999999999994</v>
      </c>
      <c r="AA440" s="533">
        <f t="shared" si="535"/>
        <v>0</v>
      </c>
      <c r="AB440" s="533">
        <f t="shared" si="536"/>
        <v>0</v>
      </c>
      <c r="AC440" s="533">
        <f t="shared" si="536"/>
        <v>0</v>
      </c>
      <c r="AD440" s="533">
        <f t="shared" si="536"/>
        <v>0</v>
      </c>
      <c r="AE440" s="533">
        <f t="shared" si="537"/>
        <v>0</v>
      </c>
      <c r="AF440" s="533">
        <f t="shared" si="538"/>
        <v>0</v>
      </c>
      <c r="AG440" s="533">
        <f t="shared" si="538"/>
        <v>0</v>
      </c>
      <c r="AH440" s="533">
        <f t="shared" si="538"/>
        <v>0</v>
      </c>
      <c r="AI440" s="533">
        <f t="shared" si="539"/>
        <v>0</v>
      </c>
      <c r="AJ440" s="533">
        <f t="shared" si="540"/>
        <v>0</v>
      </c>
      <c r="AK440" s="533">
        <f t="shared" si="540"/>
        <v>0</v>
      </c>
      <c r="AL440" s="533">
        <f t="shared" si="540"/>
        <v>0</v>
      </c>
      <c r="AM440" s="533">
        <f t="shared" si="541"/>
        <v>0</v>
      </c>
      <c r="AN440" s="533">
        <f t="shared" si="542"/>
        <v>0</v>
      </c>
      <c r="AO440" s="533">
        <f t="shared" si="542"/>
        <v>0</v>
      </c>
      <c r="AP440" s="533">
        <f t="shared" si="542"/>
        <v>0</v>
      </c>
      <c r="AQ440" s="533">
        <f t="shared" si="543"/>
        <v>0</v>
      </c>
      <c r="AR440" s="533">
        <f t="shared" si="544"/>
        <v>0</v>
      </c>
      <c r="AS440" s="533">
        <f t="shared" si="544"/>
        <v>0</v>
      </c>
      <c r="AT440" s="533">
        <f t="shared" si="544"/>
        <v>0</v>
      </c>
      <c r="AU440" s="576">
        <f t="shared" si="545"/>
        <v>0</v>
      </c>
      <c r="AV440" s="532"/>
      <c r="AW440" s="532"/>
      <c r="AX440" s="532"/>
      <c r="AY440" s="532"/>
      <c r="AZ440" s="755">
        <f t="shared" ref="AZ440:BN440" si="555">AZ348</f>
        <v>-1.8280000000000001</v>
      </c>
      <c r="BA440" s="755">
        <f t="shared" si="555"/>
        <v>0.03</v>
      </c>
      <c r="BB440" s="755">
        <f t="shared" si="555"/>
        <v>-1.0369999999999999</v>
      </c>
      <c r="BC440" s="755">
        <f t="shared" si="555"/>
        <v>0.76400000000000001</v>
      </c>
      <c r="BD440" s="755">
        <f t="shared" si="555"/>
        <v>-0.46600000000000003</v>
      </c>
      <c r="BE440" s="755">
        <f t="shared" si="555"/>
        <v>-0.21199999999999999</v>
      </c>
      <c r="BF440" s="755">
        <f t="shared" si="555"/>
        <v>-1.44</v>
      </c>
      <c r="BG440" s="755">
        <f t="shared" si="555"/>
        <v>-8.91</v>
      </c>
      <c r="BH440" s="755">
        <f t="shared" si="555"/>
        <v>10.02</v>
      </c>
      <c r="BI440" s="755">
        <f t="shared" si="555"/>
        <v>-24.69</v>
      </c>
      <c r="BJ440" s="755">
        <f t="shared" si="555"/>
        <v>0</v>
      </c>
      <c r="BK440" s="755">
        <f t="shared" si="555"/>
        <v>0</v>
      </c>
      <c r="BL440" s="755">
        <f t="shared" si="555"/>
        <v>0</v>
      </c>
      <c r="BM440" s="755">
        <f t="shared" si="555"/>
        <v>0</v>
      </c>
      <c r="BN440" s="756">
        <f t="shared" si="555"/>
        <v>0</v>
      </c>
      <c r="BO440" s="156">
        <f t="shared" si="548"/>
        <v>0</v>
      </c>
      <c r="BP440" s="156" t="e">
        <f>SUM(#REF!,#REF!,#REF!,#REF!)</f>
        <v>#REF!</v>
      </c>
      <c r="BQ440" s="156"/>
      <c r="BR440" s="156"/>
      <c r="BS440" s="156"/>
      <c r="BT440" s="533"/>
    </row>
    <row r="441" spans="1:72" s="17" customFormat="1" x14ac:dyDescent="0.35">
      <c r="A441" s="56" t="str">
        <f t="shared" si="477"/>
        <v>Accounts payable</v>
      </c>
      <c r="B441" s="308"/>
      <c r="C441" s="533">
        <f t="shared" si="524"/>
        <v>9.4190000000000005</v>
      </c>
      <c r="D441" s="533">
        <f t="shared" si="525"/>
        <v>-13.257000000000001</v>
      </c>
      <c r="E441" s="533">
        <f t="shared" si="525"/>
        <v>-0.1379999999999999</v>
      </c>
      <c r="F441" s="533">
        <f t="shared" si="525"/>
        <v>1.8609999999999998</v>
      </c>
      <c r="G441" s="533">
        <f t="shared" si="526"/>
        <v>28.773</v>
      </c>
      <c r="H441" s="533">
        <f t="shared" si="527"/>
        <v>-34.082999999999998</v>
      </c>
      <c r="I441" s="533">
        <f t="shared" si="527"/>
        <v>8.0689999999999991</v>
      </c>
      <c r="J441" s="533">
        <f t="shared" si="527"/>
        <v>7.0190000000000001</v>
      </c>
      <c r="K441" s="533">
        <f t="shared" si="528"/>
        <v>10.63</v>
      </c>
      <c r="L441" s="533">
        <f t="shared" si="529"/>
        <v>-25.007000000000001</v>
      </c>
      <c r="M441" s="533">
        <f t="shared" si="529"/>
        <v>3.3980000000000015</v>
      </c>
      <c r="N441" s="533">
        <f t="shared" si="529"/>
        <v>9.786999999999999</v>
      </c>
      <c r="O441" s="533">
        <f t="shared" si="530"/>
        <v>12.488</v>
      </c>
      <c r="P441" s="533">
        <f t="shared" si="531"/>
        <v>-25.546999999999997</v>
      </c>
      <c r="Q441" s="533">
        <f t="shared" si="531"/>
        <v>-1.0150000000000006</v>
      </c>
      <c r="R441" s="533">
        <f t="shared" si="531"/>
        <v>10.173999999999999</v>
      </c>
      <c r="S441" s="533">
        <f t="shared" si="532"/>
        <v>5.2770000000000001</v>
      </c>
      <c r="T441" s="533">
        <f t="shared" si="533"/>
        <v>-12.817</v>
      </c>
      <c r="U441" s="533">
        <f t="shared" si="533"/>
        <v>-2.2730000000000006</v>
      </c>
      <c r="V441" s="533">
        <f t="shared" si="533"/>
        <v>15.13</v>
      </c>
      <c r="W441" s="533">
        <f t="shared" si="534"/>
        <v>8.1679999999999993</v>
      </c>
      <c r="X441" s="533">
        <f t="shared" si="550"/>
        <v>-17.274000000000001</v>
      </c>
      <c r="Y441" s="533">
        <f t="shared" si="550"/>
        <v>-0.10899999999999999</v>
      </c>
      <c r="Z441" s="533">
        <f t="shared" si="554"/>
        <v>6.8789999999999996</v>
      </c>
      <c r="AA441" s="533">
        <f t="shared" si="535"/>
        <v>15.997999999999999</v>
      </c>
      <c r="AB441" s="533">
        <f t="shared" si="536"/>
        <v>-19.425999999999998</v>
      </c>
      <c r="AC441" s="533">
        <f t="shared" si="536"/>
        <v>0.29400000000000004</v>
      </c>
      <c r="AD441" s="533">
        <f t="shared" si="536"/>
        <v>23.308</v>
      </c>
      <c r="AE441" s="533">
        <f t="shared" si="537"/>
        <v>-2.3959999999999999</v>
      </c>
      <c r="AF441" s="533">
        <f t="shared" si="538"/>
        <v>-11.745000000000001</v>
      </c>
      <c r="AG441" s="533">
        <f t="shared" si="538"/>
        <v>-5.9249999999999989</v>
      </c>
      <c r="AH441" s="533">
        <f t="shared" si="538"/>
        <v>13.852999999999998</v>
      </c>
      <c r="AI441" s="533">
        <f t="shared" si="539"/>
        <v>30.893000000000001</v>
      </c>
      <c r="AJ441" s="533">
        <f t="shared" si="540"/>
        <v>-38.094999999999999</v>
      </c>
      <c r="AK441" s="533">
        <f t="shared" si="540"/>
        <v>6.2889999999999997</v>
      </c>
      <c r="AL441" s="533">
        <f t="shared" si="540"/>
        <v>19.843</v>
      </c>
      <c r="AM441" s="533">
        <f t="shared" si="541"/>
        <v>-1.256</v>
      </c>
      <c r="AN441" s="533">
        <f t="shared" si="542"/>
        <v>-25.553999999999998</v>
      </c>
      <c r="AO441" s="533">
        <f t="shared" si="542"/>
        <v>4.8999999999999488E-2</v>
      </c>
      <c r="AP441" s="533">
        <f t="shared" si="542"/>
        <v>26.771999999999998</v>
      </c>
      <c r="AQ441" s="533">
        <f t="shared" si="543"/>
        <v>8.4250000000000007</v>
      </c>
      <c r="AR441" s="533">
        <f t="shared" si="544"/>
        <v>-34.484000000000002</v>
      </c>
      <c r="AS441" s="533">
        <f t="shared" si="544"/>
        <v>-4.1999999999998039E-2</v>
      </c>
      <c r="AT441" s="533">
        <f t="shared" si="544"/>
        <v>14.101999999999999</v>
      </c>
      <c r="AU441" s="576">
        <f t="shared" si="545"/>
        <v>28.747</v>
      </c>
      <c r="AV441" s="532">
        <f t="shared" ref="AV441:AX443" si="556">AV580-AU580</f>
        <v>-38.557869458854263</v>
      </c>
      <c r="AW441" s="532">
        <f t="shared" si="556"/>
        <v>2.2808838914838958</v>
      </c>
      <c r="AX441" s="532">
        <f t="shared" si="556"/>
        <v>14.813668645988464</v>
      </c>
      <c r="AY441" s="532"/>
      <c r="AZ441" s="755">
        <f t="shared" ref="AZ441:BN441" si="557">AZ349</f>
        <v>-4.0220000000000002</v>
      </c>
      <c r="BA441" s="755">
        <f t="shared" si="557"/>
        <v>2.3260000000000001</v>
      </c>
      <c r="BB441" s="755">
        <f t="shared" si="557"/>
        <v>2.726</v>
      </c>
      <c r="BC441" s="755">
        <f t="shared" si="557"/>
        <v>2.794</v>
      </c>
      <c r="BD441" s="755">
        <f t="shared" si="557"/>
        <v>-2.1150000000000002</v>
      </c>
      <c r="BE441" s="755">
        <f t="shared" si="557"/>
        <v>9.7780000000000005</v>
      </c>
      <c r="BF441" s="755">
        <f t="shared" si="557"/>
        <v>-1.1919999999999999</v>
      </c>
      <c r="BG441" s="755">
        <f t="shared" si="557"/>
        <v>-3.9</v>
      </c>
      <c r="BH441" s="755">
        <f t="shared" si="557"/>
        <v>5.3170000000000002</v>
      </c>
      <c r="BI441" s="755">
        <f t="shared" si="557"/>
        <v>-2.3359999999999999</v>
      </c>
      <c r="BJ441" s="755">
        <f t="shared" si="557"/>
        <v>20.173999999999999</v>
      </c>
      <c r="BK441" s="755">
        <f t="shared" si="557"/>
        <v>-6.2130000000000001</v>
      </c>
      <c r="BL441" s="755">
        <f t="shared" si="557"/>
        <v>18.93</v>
      </c>
      <c r="BM441" s="755">
        <f t="shared" si="557"/>
        <v>1.0999999999999999E-2</v>
      </c>
      <c r="BN441" s="756">
        <f t="shared" si="557"/>
        <v>-11.999000000000001</v>
      </c>
      <c r="BO441" s="156">
        <f t="shared" si="548"/>
        <v>7.2836830786180968</v>
      </c>
      <c r="BP441" s="156" t="e">
        <f>SUM(#REF!,#REF!,#REF!,#REF!)</f>
        <v>#REF!</v>
      </c>
      <c r="BQ441" s="156" t="e">
        <f t="shared" ref="BQ441:BS443" si="558">BQ580-BP580</f>
        <v>#REF!</v>
      </c>
      <c r="BR441" s="156" t="e">
        <f t="shared" si="558"/>
        <v>#REF!</v>
      </c>
      <c r="BS441" s="156" t="e">
        <f t="shared" si="558"/>
        <v>#REF!</v>
      </c>
      <c r="BT441" s="533"/>
    </row>
    <row r="442" spans="1:72" s="17" customFormat="1" x14ac:dyDescent="0.35">
      <c r="A442" s="56" t="str">
        <f t="shared" si="477"/>
        <v>Accrued liabilities</v>
      </c>
      <c r="B442" s="308"/>
      <c r="C442" s="533">
        <f t="shared" si="524"/>
        <v>2.3679999999999999</v>
      </c>
      <c r="D442" s="533">
        <f t="shared" si="525"/>
        <v>6.0350000000000001</v>
      </c>
      <c r="E442" s="533">
        <f t="shared" si="525"/>
        <v>3.8259999999999987</v>
      </c>
      <c r="F442" s="533">
        <f t="shared" si="525"/>
        <v>-9.0030000000000001</v>
      </c>
      <c r="G442" s="533">
        <f t="shared" si="526"/>
        <v>-1.353</v>
      </c>
      <c r="H442" s="533">
        <f t="shared" si="527"/>
        <v>-1.131</v>
      </c>
      <c r="I442" s="533">
        <f t="shared" si="527"/>
        <v>0.31899999999999995</v>
      </c>
      <c r="J442" s="533">
        <f t="shared" si="527"/>
        <v>7.6390000000000002</v>
      </c>
      <c r="K442" s="533">
        <f t="shared" si="528"/>
        <v>-10.026999999999999</v>
      </c>
      <c r="L442" s="533">
        <f t="shared" si="529"/>
        <v>-0.65600000000000058</v>
      </c>
      <c r="M442" s="533">
        <f t="shared" si="529"/>
        <v>8.7089999999999996</v>
      </c>
      <c r="N442" s="533">
        <f t="shared" si="529"/>
        <v>-5.88</v>
      </c>
      <c r="O442" s="533">
        <f t="shared" si="530"/>
        <v>-1.7410000000000001</v>
      </c>
      <c r="P442" s="533">
        <f t="shared" si="531"/>
        <v>-0.32200000000000006</v>
      </c>
      <c r="Q442" s="533">
        <f t="shared" si="531"/>
        <v>5.5460000000000003</v>
      </c>
      <c r="R442" s="533">
        <f t="shared" si="531"/>
        <v>12.013999999999999</v>
      </c>
      <c r="S442" s="533">
        <f t="shared" si="532"/>
        <v>-12.86</v>
      </c>
      <c r="T442" s="533">
        <f t="shared" si="533"/>
        <v>-0.33100000000000129</v>
      </c>
      <c r="U442" s="533">
        <f t="shared" si="533"/>
        <v>5.5830000000000011</v>
      </c>
      <c r="V442" s="533">
        <f t="shared" si="533"/>
        <v>2.6449999999999996</v>
      </c>
      <c r="W442" s="533">
        <f t="shared" si="534"/>
        <v>-10.795</v>
      </c>
      <c r="X442" s="533">
        <f t="shared" si="550"/>
        <v>-0.28299999999999947</v>
      </c>
      <c r="Y442" s="533">
        <f t="shared" si="550"/>
        <v>1.8949999999999996</v>
      </c>
      <c r="Z442" s="533">
        <f t="shared" si="554"/>
        <v>1.0909999999999993</v>
      </c>
      <c r="AA442" s="533">
        <f t="shared" si="535"/>
        <v>-0.39800000000000002</v>
      </c>
      <c r="AB442" s="533">
        <f t="shared" si="536"/>
        <v>1.167</v>
      </c>
      <c r="AC442" s="533">
        <f t="shared" si="536"/>
        <v>4.4420000000000002</v>
      </c>
      <c r="AD442" s="533">
        <f t="shared" si="536"/>
        <v>3.0839999999999996</v>
      </c>
      <c r="AE442" s="533">
        <f t="shared" si="537"/>
        <v>-0.26600000000000001</v>
      </c>
      <c r="AF442" s="533">
        <f t="shared" si="538"/>
        <v>0.95599999999999996</v>
      </c>
      <c r="AG442" s="533">
        <f t="shared" si="538"/>
        <v>5.57</v>
      </c>
      <c r="AH442" s="533">
        <f t="shared" si="538"/>
        <v>1.1640000000000006</v>
      </c>
      <c r="AI442" s="533">
        <f t="shared" si="539"/>
        <v>-1.883</v>
      </c>
      <c r="AJ442" s="533">
        <f t="shared" si="540"/>
        <v>6.2290000000000001</v>
      </c>
      <c r="AK442" s="533">
        <f t="shared" si="540"/>
        <v>4.5039999999999996</v>
      </c>
      <c r="AL442" s="533">
        <f t="shared" si="540"/>
        <v>7.0489999999999995</v>
      </c>
      <c r="AM442" s="533">
        <f t="shared" si="541"/>
        <v>-2.464</v>
      </c>
      <c r="AN442" s="533">
        <f t="shared" si="542"/>
        <v>-6.1059999999999999</v>
      </c>
      <c r="AO442" s="533">
        <f t="shared" si="542"/>
        <v>-6.0600000000000005</v>
      </c>
      <c r="AP442" s="533">
        <f t="shared" si="542"/>
        <v>22.228000000000002</v>
      </c>
      <c r="AQ442" s="533">
        <f t="shared" si="543"/>
        <v>-9.9710000000000001</v>
      </c>
      <c r="AR442" s="533">
        <f t="shared" si="544"/>
        <v>-0.70999999999999908</v>
      </c>
      <c r="AS442" s="533">
        <f t="shared" si="544"/>
        <v>4.2259999999999991</v>
      </c>
      <c r="AT442" s="533">
        <f t="shared" si="544"/>
        <v>30.587000000000003</v>
      </c>
      <c r="AU442" s="576">
        <f t="shared" si="545"/>
        <v>-26.895</v>
      </c>
      <c r="AV442" s="532">
        <f t="shared" si="556"/>
        <v>-5.9111193176344656</v>
      </c>
      <c r="AW442" s="532">
        <f t="shared" si="556"/>
        <v>4.7890750994522904</v>
      </c>
      <c r="AX442" s="532">
        <f t="shared" si="556"/>
        <v>33.60934264988051</v>
      </c>
      <c r="AY442" s="532"/>
      <c r="AZ442" s="755">
        <f t="shared" ref="AZ442:BN442" si="559">AZ350</f>
        <v>3.145</v>
      </c>
      <c r="BA442" s="755">
        <f t="shared" si="559"/>
        <v>1.012</v>
      </c>
      <c r="BB442" s="755">
        <f t="shared" si="559"/>
        <v>0.61499999999999999</v>
      </c>
      <c r="BC442" s="755">
        <f t="shared" si="559"/>
        <v>-0.29199999999999998</v>
      </c>
      <c r="BD442" s="755">
        <f t="shared" si="559"/>
        <v>3.226</v>
      </c>
      <c r="BE442" s="755">
        <f t="shared" si="559"/>
        <v>5.4740000000000002</v>
      </c>
      <c r="BF442" s="755">
        <f t="shared" si="559"/>
        <v>-7.8540000000000001</v>
      </c>
      <c r="BG442" s="755">
        <f t="shared" si="559"/>
        <v>15.497</v>
      </c>
      <c r="BH442" s="755">
        <f t="shared" si="559"/>
        <v>-4.9630000000000001</v>
      </c>
      <c r="BI442" s="755">
        <f t="shared" si="559"/>
        <v>-8.0920000000000005</v>
      </c>
      <c r="BJ442" s="755">
        <f t="shared" si="559"/>
        <v>8.2949999999999999</v>
      </c>
      <c r="BK442" s="755">
        <f t="shared" si="559"/>
        <v>7.4240000000000004</v>
      </c>
      <c r="BL442" s="755">
        <f t="shared" si="559"/>
        <v>15.898999999999999</v>
      </c>
      <c r="BM442" s="755">
        <f t="shared" si="559"/>
        <v>7.5979999999999999</v>
      </c>
      <c r="BN442" s="756">
        <f t="shared" si="559"/>
        <v>24.132000000000001</v>
      </c>
      <c r="BO442" s="156">
        <f t="shared" si="548"/>
        <v>5.5922984316983317</v>
      </c>
      <c r="BP442" s="156" t="e">
        <f>SUM(#REF!,#REF!,#REF!,#REF!)</f>
        <v>#REF!</v>
      </c>
      <c r="BQ442" s="156" t="e">
        <f t="shared" si="558"/>
        <v>#REF!</v>
      </c>
      <c r="BR442" s="156" t="e">
        <f t="shared" si="558"/>
        <v>#REF!</v>
      </c>
      <c r="BS442" s="156" t="e">
        <f t="shared" si="558"/>
        <v>#REF!</v>
      </c>
      <c r="BT442" s="533"/>
    </row>
    <row r="443" spans="1:72" s="17" customFormat="1" x14ac:dyDescent="0.35">
      <c r="A443" s="56" t="str">
        <f t="shared" si="477"/>
        <v>Accrued compensation and benefits</v>
      </c>
      <c r="B443" s="308"/>
      <c r="C443" s="533">
        <f t="shared" si="524"/>
        <v>-5.1340000000000003</v>
      </c>
      <c r="D443" s="533">
        <f t="shared" si="525"/>
        <v>1.0760000000000005</v>
      </c>
      <c r="E443" s="533">
        <f t="shared" si="525"/>
        <v>6.391</v>
      </c>
      <c r="F443" s="533">
        <f t="shared" si="525"/>
        <v>2.2829999999999995</v>
      </c>
      <c r="G443" s="533">
        <f t="shared" si="526"/>
        <v>-9.907</v>
      </c>
      <c r="H443" s="533">
        <f t="shared" si="527"/>
        <v>8.4719999999999995</v>
      </c>
      <c r="I443" s="533">
        <f t="shared" si="527"/>
        <v>-1.1000000000000001</v>
      </c>
      <c r="J443" s="533">
        <f t="shared" si="527"/>
        <v>-1.6790000000000003</v>
      </c>
      <c r="K443" s="533">
        <f t="shared" si="528"/>
        <v>-4.93</v>
      </c>
      <c r="L443" s="533">
        <f t="shared" si="529"/>
        <v>6.6139999999999999</v>
      </c>
      <c r="M443" s="533">
        <f t="shared" si="529"/>
        <v>2.9349999999999996</v>
      </c>
      <c r="N443" s="533">
        <f t="shared" si="529"/>
        <v>4.7699999999999996</v>
      </c>
      <c r="O443" s="533">
        <f t="shared" si="530"/>
        <v>-9.9610000000000003</v>
      </c>
      <c r="P443" s="533">
        <f t="shared" si="531"/>
        <v>0.47300000000000075</v>
      </c>
      <c r="Q443" s="533">
        <f t="shared" si="531"/>
        <v>9.597999999999999</v>
      </c>
      <c r="R443" s="533">
        <f t="shared" si="531"/>
        <v>4.1449999999999996</v>
      </c>
      <c r="S443" s="533">
        <f t="shared" si="532"/>
        <v>-14.646000000000001</v>
      </c>
      <c r="T443" s="533">
        <f t="shared" si="533"/>
        <v>4.495000000000001</v>
      </c>
      <c r="U443" s="533">
        <f t="shared" si="533"/>
        <v>4.2290000000000001</v>
      </c>
      <c r="V443" s="533">
        <f t="shared" si="533"/>
        <v>4.2479999999999993</v>
      </c>
      <c r="W443" s="533">
        <f t="shared" si="534"/>
        <v>-15.086</v>
      </c>
      <c r="X443" s="533">
        <f t="shared" si="550"/>
        <v>5.375</v>
      </c>
      <c r="Y443" s="533">
        <f t="shared" si="550"/>
        <v>9.822000000000001</v>
      </c>
      <c r="Z443" s="533">
        <f t="shared" si="554"/>
        <v>6.5609999999999999</v>
      </c>
      <c r="AA443" s="533">
        <f t="shared" si="535"/>
        <v>-17.321000000000002</v>
      </c>
      <c r="AB443" s="533">
        <f t="shared" si="536"/>
        <v>9.3910000000000018</v>
      </c>
      <c r="AC443" s="533">
        <f t="shared" si="536"/>
        <v>2.4289999999999994</v>
      </c>
      <c r="AD443" s="533">
        <f t="shared" si="536"/>
        <v>11.449000000000002</v>
      </c>
      <c r="AE443" s="533">
        <f t="shared" si="537"/>
        <v>-23.038</v>
      </c>
      <c r="AF443" s="533">
        <f t="shared" si="538"/>
        <v>9.0950000000000006</v>
      </c>
      <c r="AG443" s="533">
        <f t="shared" si="538"/>
        <v>-1.5999999999999996</v>
      </c>
      <c r="AH443" s="533">
        <f t="shared" si="538"/>
        <v>18.646000000000001</v>
      </c>
      <c r="AI443" s="533">
        <f t="shared" si="539"/>
        <v>-19.629000000000001</v>
      </c>
      <c r="AJ443" s="533">
        <f t="shared" si="540"/>
        <v>14.228000000000002</v>
      </c>
      <c r="AK443" s="533">
        <f t="shared" si="540"/>
        <v>20.314</v>
      </c>
      <c r="AL443" s="533">
        <f t="shared" si="540"/>
        <v>17.523999999999997</v>
      </c>
      <c r="AM443" s="533">
        <f t="shared" si="541"/>
        <v>-44.395000000000003</v>
      </c>
      <c r="AN443" s="533">
        <f t="shared" si="542"/>
        <v>5.2380000000000067</v>
      </c>
      <c r="AO443" s="533">
        <f t="shared" si="542"/>
        <v>18.504999999999995</v>
      </c>
      <c r="AP443" s="533">
        <f t="shared" si="542"/>
        <v>13.187000000000001</v>
      </c>
      <c r="AQ443" s="533">
        <f t="shared" si="543"/>
        <v>-32.805</v>
      </c>
      <c r="AR443" s="533">
        <f t="shared" si="544"/>
        <v>-6.0009999999999977</v>
      </c>
      <c r="AS443" s="533">
        <f t="shared" si="544"/>
        <v>19.675999999999998</v>
      </c>
      <c r="AT443" s="533">
        <f t="shared" si="544"/>
        <v>3.6569999999999983</v>
      </c>
      <c r="AU443" s="576">
        <f t="shared" si="545"/>
        <v>-17.402000000000001</v>
      </c>
      <c r="AV443" s="532">
        <f t="shared" si="556"/>
        <v>-2.586868016889575</v>
      </c>
      <c r="AW443" s="532">
        <f t="shared" si="556"/>
        <v>20.995962448768651</v>
      </c>
      <c r="AX443" s="532">
        <f t="shared" si="556"/>
        <v>4.0205785216707497</v>
      </c>
      <c r="AY443" s="532"/>
      <c r="AZ443" s="755">
        <f t="shared" ref="AZ443:BN443" si="560">AZ351</f>
        <v>-1.758</v>
      </c>
      <c r="BA443" s="755">
        <f t="shared" si="560"/>
        <v>2.2709999999999999</v>
      </c>
      <c r="BB443" s="755">
        <f t="shared" si="560"/>
        <v>1.976</v>
      </c>
      <c r="BC443" s="755">
        <f t="shared" si="560"/>
        <v>4.2750000000000004</v>
      </c>
      <c r="BD443" s="755">
        <f t="shared" si="560"/>
        <v>4.6159999999999997</v>
      </c>
      <c r="BE443" s="755">
        <f t="shared" si="560"/>
        <v>-4.2140000000000004</v>
      </c>
      <c r="BF443" s="755">
        <f t="shared" si="560"/>
        <v>9.3889999999999993</v>
      </c>
      <c r="BG443" s="755">
        <f t="shared" si="560"/>
        <v>4.2549999999999999</v>
      </c>
      <c r="BH443" s="755">
        <f t="shared" si="560"/>
        <v>-1.6739999999999999</v>
      </c>
      <c r="BI443" s="755">
        <f t="shared" si="560"/>
        <v>6.6719999999999997</v>
      </c>
      <c r="BJ443" s="755">
        <f t="shared" si="560"/>
        <v>5.9480000000000004</v>
      </c>
      <c r="BK443" s="755">
        <f t="shared" si="560"/>
        <v>3.1030000000000002</v>
      </c>
      <c r="BL443" s="755">
        <f t="shared" si="560"/>
        <v>32.436999999999998</v>
      </c>
      <c r="BM443" s="755">
        <f t="shared" si="560"/>
        <v>-7.4649999999999999</v>
      </c>
      <c r="BN443" s="756">
        <f t="shared" si="560"/>
        <v>-15.473000000000001</v>
      </c>
      <c r="BO443" s="156">
        <f t="shared" si="548"/>
        <v>5.0276729535498248</v>
      </c>
      <c r="BP443" s="156" t="e">
        <f>SUM(#REF!,#REF!,#REF!,#REF!)</f>
        <v>#REF!</v>
      </c>
      <c r="BQ443" s="156" t="e">
        <f t="shared" si="558"/>
        <v>#REF!</v>
      </c>
      <c r="BR443" s="156" t="e">
        <f t="shared" si="558"/>
        <v>#REF!</v>
      </c>
      <c r="BS443" s="156" t="e">
        <f t="shared" si="558"/>
        <v>#REF!</v>
      </c>
      <c r="BT443" s="533"/>
    </row>
    <row r="444" spans="1:72" s="17" customFormat="1" x14ac:dyDescent="0.35">
      <c r="A444" s="56" t="str">
        <f t="shared" si="477"/>
        <v>Operating lease liability</v>
      </c>
      <c r="B444" s="308"/>
      <c r="C444" s="533">
        <f t="shared" si="524"/>
        <v>0</v>
      </c>
      <c r="D444" s="533">
        <f t="shared" si="525"/>
        <v>0</v>
      </c>
      <c r="E444" s="533">
        <f t="shared" si="525"/>
        <v>0</v>
      </c>
      <c r="F444" s="533">
        <f t="shared" si="525"/>
        <v>0</v>
      </c>
      <c r="G444" s="533">
        <f t="shared" si="526"/>
        <v>0</v>
      </c>
      <c r="H444" s="533">
        <f t="shared" si="527"/>
        <v>0</v>
      </c>
      <c r="I444" s="533">
        <f t="shared" si="527"/>
        <v>0</v>
      </c>
      <c r="J444" s="533">
        <f t="shared" si="527"/>
        <v>0</v>
      </c>
      <c r="K444" s="533">
        <f t="shared" si="528"/>
        <v>0</v>
      </c>
      <c r="L444" s="533">
        <f t="shared" si="529"/>
        <v>0</v>
      </c>
      <c r="M444" s="533">
        <f t="shared" si="529"/>
        <v>0</v>
      </c>
      <c r="N444" s="533">
        <f t="shared" si="529"/>
        <v>0</v>
      </c>
      <c r="O444" s="533">
        <f t="shared" si="530"/>
        <v>0</v>
      </c>
      <c r="P444" s="533">
        <f t="shared" si="531"/>
        <v>0</v>
      </c>
      <c r="Q444" s="533">
        <f t="shared" si="531"/>
        <v>0</v>
      </c>
      <c r="R444" s="533">
        <f t="shared" si="531"/>
        <v>0</v>
      </c>
      <c r="S444" s="533">
        <f t="shared" si="532"/>
        <v>0</v>
      </c>
      <c r="T444" s="533">
        <f t="shared" si="533"/>
        <v>0</v>
      </c>
      <c r="U444" s="533">
        <f t="shared" si="533"/>
        <v>0</v>
      </c>
      <c r="V444" s="533">
        <f t="shared" si="533"/>
        <v>0</v>
      </c>
      <c r="W444" s="533">
        <f t="shared" si="534"/>
        <v>0</v>
      </c>
      <c r="X444" s="533">
        <f t="shared" si="550"/>
        <v>0</v>
      </c>
      <c r="Y444" s="533">
        <f t="shared" si="550"/>
        <v>0</v>
      </c>
      <c r="Z444" s="533">
        <f t="shared" si="554"/>
        <v>0</v>
      </c>
      <c r="AA444" s="533">
        <f t="shared" si="535"/>
        <v>0</v>
      </c>
      <c r="AB444" s="533">
        <f t="shared" si="536"/>
        <v>0</v>
      </c>
      <c r="AC444" s="533">
        <f t="shared" si="536"/>
        <v>0</v>
      </c>
      <c r="AD444" s="533">
        <f t="shared" si="536"/>
        <v>0</v>
      </c>
      <c r="AE444" s="533">
        <f t="shared" si="537"/>
        <v>-2.073</v>
      </c>
      <c r="AF444" s="533">
        <f t="shared" si="538"/>
        <v>-2.0160000000000005</v>
      </c>
      <c r="AG444" s="533">
        <f t="shared" si="538"/>
        <v>-4.0619999999999994</v>
      </c>
      <c r="AH444" s="533">
        <f t="shared" si="538"/>
        <v>-4.9730000000000008</v>
      </c>
      <c r="AI444" s="533">
        <f t="shared" si="539"/>
        <v>-5.165</v>
      </c>
      <c r="AJ444" s="533">
        <f t="shared" si="540"/>
        <v>-5.1990000000000007</v>
      </c>
      <c r="AK444" s="533">
        <f t="shared" si="540"/>
        <v>-5.2859999999999996</v>
      </c>
      <c r="AL444" s="533">
        <f t="shared" si="540"/>
        <v>-5.3749999999999982</v>
      </c>
      <c r="AM444" s="533">
        <f t="shared" si="541"/>
        <v>-5.3209999999999997</v>
      </c>
      <c r="AN444" s="533">
        <f t="shared" si="542"/>
        <v>-5.3410000000000011</v>
      </c>
      <c r="AO444" s="533">
        <f t="shared" si="542"/>
        <v>-5.2369999999999983</v>
      </c>
      <c r="AP444" s="533">
        <f t="shared" si="542"/>
        <v>-4.8430000000000017</v>
      </c>
      <c r="AQ444" s="533">
        <f t="shared" si="543"/>
        <v>-2.605</v>
      </c>
      <c r="AR444" s="533">
        <f t="shared" si="544"/>
        <v>-3.3610000000000002</v>
      </c>
      <c r="AS444" s="533">
        <f t="shared" si="544"/>
        <v>-2.6360000000000001</v>
      </c>
      <c r="AT444" s="533">
        <f t="shared" si="544"/>
        <v>-3.641</v>
      </c>
      <c r="AU444" s="576">
        <f t="shared" si="545"/>
        <v>-3.6190000000000002</v>
      </c>
      <c r="AV444" s="532">
        <f>AV588-AU588</f>
        <v>0</v>
      </c>
      <c r="AW444" s="532">
        <f>AW588-AV588</f>
        <v>0</v>
      </c>
      <c r="AX444" s="532">
        <f>AX588-AW588</f>
        <v>0</v>
      </c>
      <c r="AY444" s="532"/>
      <c r="AZ444" s="755">
        <f t="shared" ref="AZ444:BN444" si="561">AZ352</f>
        <v>0</v>
      </c>
      <c r="BA444" s="755">
        <f t="shared" si="561"/>
        <v>0</v>
      </c>
      <c r="BB444" s="755">
        <f t="shared" si="561"/>
        <v>0</v>
      </c>
      <c r="BC444" s="755">
        <f t="shared" si="561"/>
        <v>0</v>
      </c>
      <c r="BD444" s="755">
        <f t="shared" si="561"/>
        <v>0</v>
      </c>
      <c r="BE444" s="755">
        <f t="shared" si="561"/>
        <v>0</v>
      </c>
      <c r="BF444" s="755">
        <f t="shared" si="561"/>
        <v>0</v>
      </c>
      <c r="BG444" s="755">
        <f t="shared" si="561"/>
        <v>0</v>
      </c>
      <c r="BH444" s="755">
        <f t="shared" si="561"/>
        <v>0</v>
      </c>
      <c r="BI444" s="755">
        <f t="shared" si="561"/>
        <v>0</v>
      </c>
      <c r="BJ444" s="755">
        <f t="shared" si="561"/>
        <v>0</v>
      </c>
      <c r="BK444" s="755">
        <f t="shared" si="561"/>
        <v>-13.124000000000001</v>
      </c>
      <c r="BL444" s="755">
        <f t="shared" si="561"/>
        <v>-21.024999999999999</v>
      </c>
      <c r="BM444" s="755">
        <f t="shared" si="561"/>
        <v>-20.742000000000001</v>
      </c>
      <c r="BN444" s="756">
        <f t="shared" si="561"/>
        <v>-12.243</v>
      </c>
      <c r="BO444" s="156">
        <f t="shared" si="548"/>
        <v>-3.6190000000000002</v>
      </c>
      <c r="BP444" s="156" t="e">
        <f>SUM(#REF!,#REF!,#REF!,#REF!)</f>
        <v>#REF!</v>
      </c>
      <c r="BQ444" s="156" t="e">
        <f>BQ588-BP588</f>
        <v>#REF!</v>
      </c>
      <c r="BR444" s="156" t="e">
        <f>BR588-BQ588</f>
        <v>#REF!</v>
      </c>
      <c r="BS444" s="156" t="e">
        <f>BS588-BR588</f>
        <v>#REF!</v>
      </c>
      <c r="BT444" s="533"/>
    </row>
    <row r="445" spans="1:72" s="17" customFormat="1" x14ac:dyDescent="0.35">
      <c r="A445" s="56" t="str">
        <f t="shared" si="477"/>
        <v>Deferred revenue and other liabilities</v>
      </c>
      <c r="B445" s="308"/>
      <c r="C445" s="533">
        <f t="shared" si="524"/>
        <v>44.308</v>
      </c>
      <c r="D445" s="533">
        <f t="shared" si="525"/>
        <v>-10.778999999999996</v>
      </c>
      <c r="E445" s="533">
        <f t="shared" si="525"/>
        <v>-9.4370000000000047</v>
      </c>
      <c r="F445" s="533">
        <f t="shared" si="525"/>
        <v>-20.972999999999999</v>
      </c>
      <c r="G445" s="533">
        <f t="shared" si="526"/>
        <v>45.542000000000002</v>
      </c>
      <c r="H445" s="533">
        <f t="shared" si="527"/>
        <v>-13.393000000000001</v>
      </c>
      <c r="I445" s="533">
        <f t="shared" si="527"/>
        <v>-8.6060000000000016</v>
      </c>
      <c r="J445" s="533">
        <f t="shared" si="527"/>
        <v>-24.971999999999998</v>
      </c>
      <c r="K445" s="533">
        <f t="shared" si="528"/>
        <v>48.835000000000001</v>
      </c>
      <c r="L445" s="533">
        <f t="shared" si="529"/>
        <v>-9.2049999999999983</v>
      </c>
      <c r="M445" s="533">
        <f t="shared" si="529"/>
        <v>-7.294000000000004</v>
      </c>
      <c r="N445" s="533">
        <f t="shared" si="529"/>
        <v>-31.715</v>
      </c>
      <c r="O445" s="533">
        <f t="shared" si="530"/>
        <v>39.39</v>
      </c>
      <c r="P445" s="533">
        <f t="shared" si="531"/>
        <v>-7.2340000000000018</v>
      </c>
      <c r="Q445" s="533">
        <f t="shared" si="531"/>
        <v>-6.1849999999999987</v>
      </c>
      <c r="R445" s="533">
        <f t="shared" si="531"/>
        <v>-25.335000000000001</v>
      </c>
      <c r="S445" s="533">
        <f t="shared" si="532"/>
        <v>45.79</v>
      </c>
      <c r="T445" s="533">
        <f t="shared" si="533"/>
        <v>-12.528999999999996</v>
      </c>
      <c r="U445" s="533">
        <f t="shared" si="533"/>
        <v>-8.4280000000000044</v>
      </c>
      <c r="V445" s="533">
        <f t="shared" si="533"/>
        <v>-25.968</v>
      </c>
      <c r="W445" s="533">
        <f t="shared" si="534"/>
        <v>40.939</v>
      </c>
      <c r="X445" s="533">
        <f t="shared" si="550"/>
        <v>-11.184000000000001</v>
      </c>
      <c r="Y445" s="533">
        <f t="shared" si="550"/>
        <v>-5.907</v>
      </c>
      <c r="Z445" s="533">
        <f t="shared" si="554"/>
        <v>-25.924999999999997</v>
      </c>
      <c r="AA445" s="533">
        <f t="shared" si="535"/>
        <v>27.491</v>
      </c>
      <c r="AB445" s="533">
        <f t="shared" si="536"/>
        <v>-2.695999999999998</v>
      </c>
      <c r="AC445" s="533">
        <f t="shared" si="536"/>
        <v>-0.28500000000000014</v>
      </c>
      <c r="AD445" s="533">
        <f t="shared" si="536"/>
        <v>-31.651000000000003</v>
      </c>
      <c r="AE445" s="533">
        <f t="shared" si="537"/>
        <v>5.0910000000000002</v>
      </c>
      <c r="AF445" s="533">
        <f t="shared" si="538"/>
        <v>-1.8360000000000003</v>
      </c>
      <c r="AG445" s="533">
        <f t="shared" si="538"/>
        <v>10.356000000000002</v>
      </c>
      <c r="AH445" s="533">
        <f t="shared" si="538"/>
        <v>-11.794</v>
      </c>
      <c r="AI445" s="533">
        <f t="shared" si="539"/>
        <v>37.392000000000003</v>
      </c>
      <c r="AJ445" s="533">
        <f t="shared" si="540"/>
        <v>3.1999999999999957</v>
      </c>
      <c r="AK445" s="533">
        <f t="shared" si="540"/>
        <v>-9.1119999999999983</v>
      </c>
      <c r="AL445" s="533">
        <f t="shared" si="540"/>
        <v>-13.257999999999999</v>
      </c>
      <c r="AM445" s="533">
        <f t="shared" si="541"/>
        <v>29.009</v>
      </c>
      <c r="AN445" s="533">
        <f t="shared" si="542"/>
        <v>-23.323</v>
      </c>
      <c r="AO445" s="533">
        <f t="shared" si="542"/>
        <v>0.23599999999999977</v>
      </c>
      <c r="AP445" s="533">
        <f t="shared" si="542"/>
        <v>2.4539999999999997</v>
      </c>
      <c r="AQ445" s="533">
        <f t="shared" si="543"/>
        <v>26.853000000000002</v>
      </c>
      <c r="AR445" s="533">
        <f t="shared" si="544"/>
        <v>3.009999999999998</v>
      </c>
      <c r="AS445" s="533">
        <f t="shared" si="544"/>
        <v>10.067999999999998</v>
      </c>
      <c r="AT445" s="533">
        <f t="shared" si="544"/>
        <v>-17.589999999999996</v>
      </c>
      <c r="AU445" s="576">
        <f t="shared" si="545"/>
        <v>9.1959999999999997</v>
      </c>
      <c r="AV445" s="532">
        <f>AV583-AU583</f>
        <v>8.101131738775095</v>
      </c>
      <c r="AW445" s="532">
        <f>AW583-AV583</f>
        <v>10.502102109039029</v>
      </c>
      <c r="AX445" s="532">
        <f>AX583-AW583</f>
        <v>-19.709740160818683</v>
      </c>
      <c r="AY445" s="532"/>
      <c r="AZ445" s="755">
        <f t="shared" ref="AZ445:BN445" si="562">AZ353</f>
        <v>0.27500000000000002</v>
      </c>
      <c r="BA445" s="755">
        <f t="shared" si="562"/>
        <v>6.2030000000000003</v>
      </c>
      <c r="BB445" s="755">
        <f t="shared" si="562"/>
        <v>6.76</v>
      </c>
      <c r="BC445" s="755">
        <f t="shared" si="562"/>
        <v>3.351</v>
      </c>
      <c r="BD445" s="755">
        <f t="shared" si="562"/>
        <v>3.1190000000000002</v>
      </c>
      <c r="BE445" s="755">
        <f t="shared" si="562"/>
        <v>-1.429</v>
      </c>
      <c r="BF445" s="755">
        <f t="shared" si="562"/>
        <v>0.621</v>
      </c>
      <c r="BG445" s="755">
        <f t="shared" si="562"/>
        <v>0.63600000000000001</v>
      </c>
      <c r="BH445" s="755">
        <f t="shared" si="562"/>
        <v>-1.135</v>
      </c>
      <c r="BI445" s="755">
        <f t="shared" si="562"/>
        <v>-2.077</v>
      </c>
      <c r="BJ445" s="755">
        <f t="shared" si="562"/>
        <v>-7.141</v>
      </c>
      <c r="BK445" s="755">
        <f t="shared" si="562"/>
        <v>1.8169999999999999</v>
      </c>
      <c r="BL445" s="755">
        <f t="shared" si="562"/>
        <v>18.222000000000001</v>
      </c>
      <c r="BM445" s="755">
        <f t="shared" si="562"/>
        <v>8.3759999999999994</v>
      </c>
      <c r="BN445" s="756">
        <f t="shared" si="562"/>
        <v>22.341000000000001</v>
      </c>
      <c r="BO445" s="156">
        <f t="shared" si="548"/>
        <v>8.0894936869954392</v>
      </c>
      <c r="BP445" s="156" t="e">
        <f>SUM(#REF!,#REF!,#REF!,#REF!)</f>
        <v>#REF!</v>
      </c>
      <c r="BQ445" s="156" t="e">
        <f>BQ583-BP583</f>
        <v>#REF!</v>
      </c>
      <c r="BR445" s="156" t="e">
        <f>BR583-BQ583</f>
        <v>#REF!</v>
      </c>
      <c r="BS445" s="156" t="e">
        <f>BS583-BR583</f>
        <v>#REF!</v>
      </c>
      <c r="BT445" s="533"/>
    </row>
    <row r="446" spans="1:72" s="17" customFormat="1" x14ac:dyDescent="0.35">
      <c r="A446" s="56" t="str">
        <f t="shared" si="477"/>
        <v>Restricted cash</v>
      </c>
      <c r="B446" s="308"/>
      <c r="C446" s="533">
        <f t="shared" si="524"/>
        <v>1.5009999999999999</v>
      </c>
      <c r="D446" s="533">
        <f t="shared" si="525"/>
        <v>0</v>
      </c>
      <c r="E446" s="533">
        <f t="shared" si="525"/>
        <v>0</v>
      </c>
      <c r="F446" s="533">
        <f t="shared" si="525"/>
        <v>0</v>
      </c>
      <c r="G446" s="533">
        <f t="shared" si="526"/>
        <v>0</v>
      </c>
      <c r="H446" s="533">
        <f t="shared" si="527"/>
        <v>0</v>
      </c>
      <c r="I446" s="533">
        <f t="shared" si="527"/>
        <v>0</v>
      </c>
      <c r="J446" s="533">
        <f t="shared" si="527"/>
        <v>0</v>
      </c>
      <c r="K446" s="533">
        <f t="shared" si="528"/>
        <v>0</v>
      </c>
      <c r="L446" s="533">
        <f t="shared" si="529"/>
        <v>0</v>
      </c>
      <c r="M446" s="533">
        <f t="shared" si="529"/>
        <v>0</v>
      </c>
      <c r="N446" s="533">
        <f t="shared" si="529"/>
        <v>0</v>
      </c>
      <c r="O446" s="533">
        <f t="shared" si="530"/>
        <v>0</v>
      </c>
      <c r="P446" s="533">
        <f t="shared" si="531"/>
        <v>0</v>
      </c>
      <c r="Q446" s="533">
        <f t="shared" si="531"/>
        <v>0</v>
      </c>
      <c r="R446" s="533">
        <f t="shared" si="531"/>
        <v>0</v>
      </c>
      <c r="S446" s="533">
        <f t="shared" si="532"/>
        <v>0</v>
      </c>
      <c r="T446" s="533">
        <f t="shared" si="533"/>
        <v>0</v>
      </c>
      <c r="U446" s="533">
        <f t="shared" si="533"/>
        <v>0</v>
      </c>
      <c r="V446" s="533">
        <f t="shared" si="533"/>
        <v>0</v>
      </c>
      <c r="W446" s="533">
        <f t="shared" si="534"/>
        <v>0</v>
      </c>
      <c r="X446" s="533">
        <f t="shared" si="550"/>
        <v>0</v>
      </c>
      <c r="Y446" s="533">
        <f t="shared" si="550"/>
        <v>0</v>
      </c>
      <c r="Z446" s="533">
        <f t="shared" si="554"/>
        <v>0</v>
      </c>
      <c r="AA446" s="533">
        <f t="shared" si="535"/>
        <v>0</v>
      </c>
      <c r="AB446" s="533">
        <f t="shared" si="536"/>
        <v>0</v>
      </c>
      <c r="AC446" s="533">
        <f t="shared" si="536"/>
        <v>0</v>
      </c>
      <c r="AD446" s="533">
        <f t="shared" si="536"/>
        <v>0</v>
      </c>
      <c r="AE446" s="533">
        <f t="shared" si="537"/>
        <v>0</v>
      </c>
      <c r="AF446" s="533">
        <f t="shared" si="538"/>
        <v>0</v>
      </c>
      <c r="AG446" s="533">
        <f t="shared" si="538"/>
        <v>0</v>
      </c>
      <c r="AH446" s="533">
        <f t="shared" si="538"/>
        <v>0</v>
      </c>
      <c r="AI446" s="533">
        <f t="shared" si="539"/>
        <v>0</v>
      </c>
      <c r="AJ446" s="533">
        <f t="shared" si="540"/>
        <v>0</v>
      </c>
      <c r="AK446" s="533">
        <f t="shared" si="540"/>
        <v>0</v>
      </c>
      <c r="AL446" s="533">
        <f t="shared" si="540"/>
        <v>0</v>
      </c>
      <c r="AM446" s="533">
        <f t="shared" si="541"/>
        <v>0</v>
      </c>
      <c r="AN446" s="533">
        <f t="shared" si="542"/>
        <v>0</v>
      </c>
      <c r="AO446" s="533">
        <f t="shared" si="542"/>
        <v>0</v>
      </c>
      <c r="AP446" s="533">
        <f t="shared" si="542"/>
        <v>0</v>
      </c>
      <c r="AQ446" s="533">
        <f t="shared" si="543"/>
        <v>0</v>
      </c>
      <c r="AR446" s="533">
        <f t="shared" si="544"/>
        <v>0</v>
      </c>
      <c r="AS446" s="533">
        <f t="shared" si="544"/>
        <v>0</v>
      </c>
      <c r="AT446" s="533">
        <f t="shared" si="544"/>
        <v>0</v>
      </c>
      <c r="AU446" s="576">
        <f t="shared" si="545"/>
        <v>0</v>
      </c>
      <c r="AV446" s="532"/>
      <c r="AW446" s="532"/>
      <c r="AX446" s="532"/>
      <c r="AY446" s="532"/>
      <c r="AZ446" s="755">
        <f t="shared" ref="AZ446:BN446" si="563">AZ354</f>
        <v>-2.5</v>
      </c>
      <c r="BA446" s="755">
        <f t="shared" si="563"/>
        <v>-0.84299999999999997</v>
      </c>
      <c r="BB446" s="755">
        <f t="shared" si="563"/>
        <v>1.8420000000000001</v>
      </c>
      <c r="BC446" s="755">
        <f t="shared" si="563"/>
        <v>0</v>
      </c>
      <c r="BD446" s="755">
        <f t="shared" si="563"/>
        <v>1.5009999999999999</v>
      </c>
      <c r="BE446" s="755">
        <f t="shared" si="563"/>
        <v>0</v>
      </c>
      <c r="BF446" s="755">
        <f t="shared" si="563"/>
        <v>0</v>
      </c>
      <c r="BG446" s="755">
        <f t="shared" si="563"/>
        <v>0</v>
      </c>
      <c r="BH446" s="755">
        <f t="shared" si="563"/>
        <v>0</v>
      </c>
      <c r="BI446" s="755">
        <f t="shared" si="563"/>
        <v>0</v>
      </c>
      <c r="BJ446" s="755">
        <f t="shared" si="563"/>
        <v>0</v>
      </c>
      <c r="BK446" s="755">
        <f t="shared" si="563"/>
        <v>0</v>
      </c>
      <c r="BL446" s="755">
        <f t="shared" si="563"/>
        <v>0</v>
      </c>
      <c r="BM446" s="755">
        <f t="shared" si="563"/>
        <v>0</v>
      </c>
      <c r="BN446" s="756">
        <f t="shared" si="563"/>
        <v>0</v>
      </c>
      <c r="BO446" s="156">
        <f t="shared" si="548"/>
        <v>0</v>
      </c>
      <c r="BP446" s="156" t="e">
        <f>SUM(#REF!,#REF!,#REF!,#REF!)</f>
        <v>#REF!</v>
      </c>
      <c r="BQ446" s="156"/>
      <c r="BR446" s="156"/>
      <c r="BS446" s="156"/>
      <c r="BT446" s="533"/>
    </row>
    <row r="447" spans="1:72" s="17" customFormat="1" x14ac:dyDescent="0.35">
      <c r="A447" s="266" t="str">
        <f t="shared" si="477"/>
        <v>Deferred rent and other liabilities</v>
      </c>
      <c r="B447" s="362"/>
      <c r="C447" s="571">
        <f t="shared" si="524"/>
        <v>1.605</v>
      </c>
      <c r="D447" s="571">
        <f t="shared" si="525"/>
        <v>0.34000000000000008</v>
      </c>
      <c r="E447" s="571">
        <f t="shared" si="525"/>
        <v>-0.27900000000000014</v>
      </c>
      <c r="F447" s="571">
        <f t="shared" si="525"/>
        <v>0.39300000000000024</v>
      </c>
      <c r="G447" s="571">
        <f t="shared" si="526"/>
        <v>0.17499999999999999</v>
      </c>
      <c r="H447" s="571">
        <f t="shared" si="527"/>
        <v>3.0000000000000027E-3</v>
      </c>
      <c r="I447" s="571">
        <f t="shared" si="527"/>
        <v>-0.63200000000000001</v>
      </c>
      <c r="J447" s="571">
        <f t="shared" si="527"/>
        <v>0.24500000000000002</v>
      </c>
      <c r="K447" s="571">
        <f t="shared" si="528"/>
        <v>2.6480000000000001</v>
      </c>
      <c r="L447" s="571">
        <f t="shared" si="529"/>
        <v>-0.17200000000000015</v>
      </c>
      <c r="M447" s="571">
        <f t="shared" si="529"/>
        <v>3.3999999999999808E-2</v>
      </c>
      <c r="N447" s="571">
        <f t="shared" si="529"/>
        <v>-0.94799999999999973</v>
      </c>
      <c r="O447" s="571">
        <f t="shared" si="530"/>
        <v>-0.374</v>
      </c>
      <c r="P447" s="571">
        <f t="shared" si="531"/>
        <v>0.34299999999999997</v>
      </c>
      <c r="Q447" s="571">
        <f t="shared" si="531"/>
        <v>-2.4649999999999999</v>
      </c>
      <c r="R447" s="571">
        <f t="shared" si="531"/>
        <v>5.9000000000000163E-2</v>
      </c>
      <c r="S447" s="571">
        <f t="shared" si="532"/>
        <v>0.29599999999999999</v>
      </c>
      <c r="T447" s="571">
        <f t="shared" si="533"/>
        <v>-2.1120000000000001</v>
      </c>
      <c r="U447" s="571">
        <f t="shared" si="533"/>
        <v>0.67600000000000016</v>
      </c>
      <c r="V447" s="571">
        <f t="shared" si="533"/>
        <v>0.57299999999999995</v>
      </c>
      <c r="W447" s="571">
        <f t="shared" si="534"/>
        <v>0.499</v>
      </c>
      <c r="X447" s="571">
        <f t="shared" si="550"/>
        <v>-1.5489999999999999</v>
      </c>
      <c r="Y447" s="571">
        <f t="shared" si="550"/>
        <v>-1.6639999999999999</v>
      </c>
      <c r="Z447" s="571">
        <f t="shared" si="554"/>
        <v>0.28500000000000014</v>
      </c>
      <c r="AA447" s="571">
        <f t="shared" si="535"/>
        <v>0</v>
      </c>
      <c r="AB447" s="571">
        <f t="shared" si="536"/>
        <v>0</v>
      </c>
      <c r="AC447" s="571">
        <f t="shared" si="536"/>
        <v>0</v>
      </c>
      <c r="AD447" s="571">
        <f t="shared" si="536"/>
        <v>0</v>
      </c>
      <c r="AE447" s="571">
        <f t="shared" si="537"/>
        <v>0</v>
      </c>
      <c r="AF447" s="571">
        <f t="shared" si="538"/>
        <v>0</v>
      </c>
      <c r="AG447" s="571">
        <f t="shared" si="538"/>
        <v>0</v>
      </c>
      <c r="AH447" s="571">
        <f t="shared" si="538"/>
        <v>0</v>
      </c>
      <c r="AI447" s="571">
        <f t="shared" si="539"/>
        <v>0</v>
      </c>
      <c r="AJ447" s="571">
        <f t="shared" si="540"/>
        <v>0</v>
      </c>
      <c r="AK447" s="571">
        <f t="shared" si="540"/>
        <v>0</v>
      </c>
      <c r="AL447" s="571">
        <f t="shared" si="540"/>
        <v>0</v>
      </c>
      <c r="AM447" s="571">
        <f t="shared" si="541"/>
        <v>0</v>
      </c>
      <c r="AN447" s="571">
        <f t="shared" si="542"/>
        <v>0</v>
      </c>
      <c r="AO447" s="571">
        <f t="shared" si="542"/>
        <v>0</v>
      </c>
      <c r="AP447" s="571">
        <f t="shared" si="542"/>
        <v>0</v>
      </c>
      <c r="AQ447" s="571">
        <f t="shared" si="543"/>
        <v>0</v>
      </c>
      <c r="AR447" s="571">
        <f t="shared" si="544"/>
        <v>0</v>
      </c>
      <c r="AS447" s="571">
        <f t="shared" si="544"/>
        <v>0</v>
      </c>
      <c r="AT447" s="571">
        <f t="shared" si="544"/>
        <v>0</v>
      </c>
      <c r="AU447" s="583">
        <f t="shared" si="545"/>
        <v>0</v>
      </c>
      <c r="AV447" s="535"/>
      <c r="AW447" s="535"/>
      <c r="AX447" s="535"/>
      <c r="AY447" s="535"/>
      <c r="AZ447" s="760">
        <f t="shared" ref="AZ447:BN447" si="564">AZ355</f>
        <v>5.8999999999999997E-2</v>
      </c>
      <c r="BA447" s="760">
        <f t="shared" si="564"/>
        <v>0.51900000000000002</v>
      </c>
      <c r="BB447" s="760">
        <f t="shared" si="564"/>
        <v>3.3839999999999999</v>
      </c>
      <c r="BC447" s="760">
        <f t="shared" si="564"/>
        <v>0.84299999999999997</v>
      </c>
      <c r="BD447" s="760">
        <f t="shared" si="564"/>
        <v>2.0590000000000002</v>
      </c>
      <c r="BE447" s="760">
        <f t="shared" si="564"/>
        <v>-0.20899999999999999</v>
      </c>
      <c r="BF447" s="760">
        <f t="shared" si="564"/>
        <v>1.5620000000000001</v>
      </c>
      <c r="BG447" s="760">
        <f t="shared" si="564"/>
        <v>-2.4369999999999998</v>
      </c>
      <c r="BH447" s="760">
        <f t="shared" si="564"/>
        <v>-0.56699999999999995</v>
      </c>
      <c r="BI447" s="760">
        <f t="shared" si="564"/>
        <v>-2.4289999999999998</v>
      </c>
      <c r="BJ447" s="760">
        <f t="shared" si="564"/>
        <v>0</v>
      </c>
      <c r="BK447" s="760">
        <f t="shared" si="564"/>
        <v>0</v>
      </c>
      <c r="BL447" s="760">
        <f t="shared" si="564"/>
        <v>0</v>
      </c>
      <c r="BM447" s="760">
        <f t="shared" si="564"/>
        <v>0</v>
      </c>
      <c r="BN447" s="761">
        <f t="shared" si="564"/>
        <v>0</v>
      </c>
      <c r="BO447" s="731">
        <f t="shared" si="548"/>
        <v>0</v>
      </c>
      <c r="BP447" s="731" t="e">
        <f>SUM(#REF!,#REF!,#REF!,#REF!)</f>
        <v>#REF!</v>
      </c>
      <c r="BQ447" s="731"/>
      <c r="BR447" s="731"/>
      <c r="BS447" s="731"/>
      <c r="BT447" s="533"/>
    </row>
    <row r="448" spans="1:72" s="17" customFormat="1" x14ac:dyDescent="0.35">
      <c r="A448" s="208" t="str">
        <f t="shared" si="477"/>
        <v>Change in working capital</v>
      </c>
      <c r="B448" s="308"/>
      <c r="C448" s="533">
        <f t="shared" ref="C448:AH448" si="565">SUM(C436:C447)</f>
        <v>-43.505000000000003</v>
      </c>
      <c r="D448" s="533">
        <f t="shared" si="565"/>
        <v>15.583000000000002</v>
      </c>
      <c r="E448" s="533">
        <f t="shared" si="565"/>
        <v>-10.614000000000011</v>
      </c>
      <c r="F448" s="533">
        <f t="shared" si="565"/>
        <v>17.364000000000011</v>
      </c>
      <c r="G448" s="533">
        <f t="shared" si="565"/>
        <v>-15.660000000000021</v>
      </c>
      <c r="H448" s="533">
        <f t="shared" si="565"/>
        <v>-15.596999999999992</v>
      </c>
      <c r="I448" s="533">
        <f t="shared" si="565"/>
        <v>15.502999999999995</v>
      </c>
      <c r="J448" s="533">
        <f t="shared" si="565"/>
        <v>20.047000000000004</v>
      </c>
      <c r="K448" s="533">
        <f t="shared" si="565"/>
        <v>-49.596000000000004</v>
      </c>
      <c r="L448" s="533">
        <f t="shared" si="565"/>
        <v>1.4880000000000035</v>
      </c>
      <c r="M448" s="533">
        <f t="shared" si="565"/>
        <v>0.3609999999999971</v>
      </c>
      <c r="N448" s="533">
        <f t="shared" si="565"/>
        <v>43.142000000000017</v>
      </c>
      <c r="O448" s="533">
        <f t="shared" si="565"/>
        <v>-43.228000000000002</v>
      </c>
      <c r="P448" s="533">
        <f t="shared" si="565"/>
        <v>7.8140000000000018</v>
      </c>
      <c r="Q448" s="533">
        <f t="shared" si="565"/>
        <v>18.279999999999998</v>
      </c>
      <c r="R448" s="533">
        <f t="shared" si="565"/>
        <v>39.676999999999985</v>
      </c>
      <c r="S448" s="533">
        <f t="shared" si="565"/>
        <v>-79.477999999999994</v>
      </c>
      <c r="T448" s="533">
        <f t="shared" si="565"/>
        <v>39.16299999999999</v>
      </c>
      <c r="U448" s="533">
        <f t="shared" si="565"/>
        <v>-7.6720000000000059</v>
      </c>
      <c r="V448" s="533">
        <f t="shared" si="565"/>
        <v>28.562999999999992</v>
      </c>
      <c r="W448" s="533">
        <f t="shared" si="565"/>
        <v>-86.086000000000013</v>
      </c>
      <c r="X448" s="533">
        <f t="shared" si="565"/>
        <v>24.934999999999992</v>
      </c>
      <c r="Y448" s="533">
        <f t="shared" si="565"/>
        <v>23.63999999999999</v>
      </c>
      <c r="Z448" s="533">
        <f t="shared" si="565"/>
        <v>12.745000000000001</v>
      </c>
      <c r="AA448" s="533">
        <f t="shared" si="565"/>
        <v>-72.587999999999994</v>
      </c>
      <c r="AB448" s="533">
        <f t="shared" si="565"/>
        <v>26.613000000000014</v>
      </c>
      <c r="AC448" s="533">
        <f t="shared" si="565"/>
        <v>6.5339999999999936</v>
      </c>
      <c r="AD448" s="533">
        <f t="shared" si="565"/>
        <v>41.758999999999993</v>
      </c>
      <c r="AE448" s="533">
        <f t="shared" si="565"/>
        <v>-107.389</v>
      </c>
      <c r="AF448" s="533">
        <f t="shared" si="565"/>
        <v>22.067</v>
      </c>
      <c r="AG448" s="533">
        <f t="shared" si="565"/>
        <v>-14.513999999999996</v>
      </c>
      <c r="AH448" s="533">
        <f t="shared" si="565"/>
        <v>38.89</v>
      </c>
      <c r="AI448" s="533">
        <f t="shared" ref="AI448:AX448" si="566">SUM(AI436:AI447)</f>
        <v>-179.32</v>
      </c>
      <c r="AJ448" s="533">
        <f t="shared" si="566"/>
        <v>-30.810000000000002</v>
      </c>
      <c r="AK448" s="533">
        <f t="shared" si="566"/>
        <v>23.353000000000019</v>
      </c>
      <c r="AL448" s="533">
        <f t="shared" si="566"/>
        <v>69.003</v>
      </c>
      <c r="AM448" s="533">
        <f t="shared" si="566"/>
        <v>-173.43</v>
      </c>
      <c r="AN448" s="533">
        <f t="shared" si="566"/>
        <v>40.25500000000001</v>
      </c>
      <c r="AO448" s="533">
        <f t="shared" si="566"/>
        <v>13.049999999999986</v>
      </c>
      <c r="AP448" s="533">
        <f t="shared" si="566"/>
        <v>55.199999999999996</v>
      </c>
      <c r="AQ448" s="533">
        <f t="shared" si="566"/>
        <v>-171.31899999999999</v>
      </c>
      <c r="AR448" s="533">
        <f t="shared" si="566"/>
        <v>84.813000000000017</v>
      </c>
      <c r="AS448" s="533">
        <f t="shared" si="566"/>
        <v>-5.7659999999999982</v>
      </c>
      <c r="AT448" s="533">
        <f t="shared" si="566"/>
        <v>24.733000000000004</v>
      </c>
      <c r="AU448" s="576">
        <f t="shared" si="566"/>
        <v>-199.51800000000003</v>
      </c>
      <c r="AV448" s="532">
        <f t="shared" si="566"/>
        <v>100.53624971993737</v>
      </c>
      <c r="AW448" s="532">
        <f t="shared" si="566"/>
        <v>9.7353234845297365</v>
      </c>
      <c r="AX448" s="532">
        <f t="shared" si="566"/>
        <v>29.263140621723529</v>
      </c>
      <c r="AY448" s="532"/>
      <c r="AZ448" s="755">
        <f t="shared" ref="AZ448:BS448" si="567">SUM(AZ436:AZ447)</f>
        <v>-47.545000000000009</v>
      </c>
      <c r="BA448" s="755">
        <f t="shared" si="567"/>
        <v>-6.9739999999999975</v>
      </c>
      <c r="BB448" s="755">
        <f t="shared" si="567"/>
        <v>-5.6270000000000024</v>
      </c>
      <c r="BC448" s="755">
        <f t="shared" si="567"/>
        <v>-67.497</v>
      </c>
      <c r="BD448" s="755">
        <f t="shared" si="567"/>
        <v>-21.171999999999997</v>
      </c>
      <c r="BE448" s="755">
        <f t="shared" si="567"/>
        <v>4.293000000000001</v>
      </c>
      <c r="BF448" s="755">
        <f t="shared" si="567"/>
        <v>-4.6049999999999995</v>
      </c>
      <c r="BG448" s="755">
        <f t="shared" si="567"/>
        <v>22.542999999999996</v>
      </c>
      <c r="BH448" s="755">
        <f t="shared" si="567"/>
        <v>-19.424000000000003</v>
      </c>
      <c r="BI448" s="755">
        <f t="shared" si="567"/>
        <v>-24.766000000000002</v>
      </c>
      <c r="BJ448" s="755">
        <f t="shared" si="567"/>
        <v>2.3179999999999978</v>
      </c>
      <c r="BK448" s="755">
        <f t="shared" si="567"/>
        <v>-60.946000000000005</v>
      </c>
      <c r="BL448" s="755">
        <f t="shared" si="567"/>
        <v>-117.774</v>
      </c>
      <c r="BM448" s="755">
        <f t="shared" si="567"/>
        <v>-64.924999999999997</v>
      </c>
      <c r="BN448" s="756">
        <f t="shared" si="567"/>
        <v>-67.538999999999987</v>
      </c>
      <c r="BO448" s="156">
        <f t="shared" si="567"/>
        <v>-59.983286173809347</v>
      </c>
      <c r="BP448" s="156" t="e">
        <f t="shared" si="567"/>
        <v>#REF!</v>
      </c>
      <c r="BQ448" s="156" t="e">
        <f t="shared" si="567"/>
        <v>#REF!</v>
      </c>
      <c r="BR448" s="156" t="e">
        <f t="shared" si="567"/>
        <v>#REF!</v>
      </c>
      <c r="BS448" s="156" t="e">
        <f t="shared" si="567"/>
        <v>#REF!</v>
      </c>
      <c r="BT448" s="533"/>
    </row>
    <row r="449" spans="1:72" s="1" customFormat="1" x14ac:dyDescent="0.35">
      <c r="A449" s="47" t="str">
        <f t="shared" si="477"/>
        <v>Net CFO</v>
      </c>
      <c r="B449" s="360"/>
      <c r="C449" s="573">
        <f t="shared" ref="C449:AH449" si="568">C448+C435</f>
        <v>-17.214000000000002</v>
      </c>
      <c r="D449" s="573">
        <f t="shared" si="568"/>
        <v>49.266000000000005</v>
      </c>
      <c r="E449" s="573">
        <f t="shared" si="568"/>
        <v>27.163999999999994</v>
      </c>
      <c r="F449" s="573">
        <f t="shared" si="568"/>
        <v>36.076999999999998</v>
      </c>
      <c r="G449" s="573">
        <f t="shared" si="568"/>
        <v>-3.9130000000000233</v>
      </c>
      <c r="H449" s="573">
        <f t="shared" si="568"/>
        <v>24.465000000000003</v>
      </c>
      <c r="I449" s="573">
        <f t="shared" si="568"/>
        <v>60.953999999999994</v>
      </c>
      <c r="J449" s="573">
        <f t="shared" si="568"/>
        <v>41.366999999999997</v>
      </c>
      <c r="K449" s="573">
        <f t="shared" si="568"/>
        <v>-27.410000000000004</v>
      </c>
      <c r="L449" s="573">
        <f t="shared" si="568"/>
        <v>34.419000000000011</v>
      </c>
      <c r="M449" s="573">
        <f t="shared" si="568"/>
        <v>38.730000000000004</v>
      </c>
      <c r="N449" s="573">
        <f t="shared" si="568"/>
        <v>74.346000000000018</v>
      </c>
      <c r="O449" s="573">
        <f t="shared" si="568"/>
        <v>-23.940999999999999</v>
      </c>
      <c r="P449" s="573">
        <f t="shared" si="568"/>
        <v>36.89</v>
      </c>
      <c r="Q449" s="573">
        <f t="shared" si="568"/>
        <v>48.172999999999995</v>
      </c>
      <c r="R449" s="573">
        <f t="shared" si="568"/>
        <v>60.655999999999977</v>
      </c>
      <c r="S449" s="573">
        <f t="shared" si="568"/>
        <v>-59.929999999999993</v>
      </c>
      <c r="T449" s="573">
        <f t="shared" si="568"/>
        <v>70.180999999999983</v>
      </c>
      <c r="U449" s="573">
        <f t="shared" si="568"/>
        <v>27.123999999999995</v>
      </c>
      <c r="V449" s="573">
        <f t="shared" si="568"/>
        <v>51.352999999999987</v>
      </c>
      <c r="W449" s="573">
        <f t="shared" si="568"/>
        <v>-60.222000000000016</v>
      </c>
      <c r="X449" s="573">
        <f t="shared" si="568"/>
        <v>57.484999999999999</v>
      </c>
      <c r="Y449" s="573">
        <f t="shared" si="568"/>
        <v>56.147999999999996</v>
      </c>
      <c r="Z449" s="573">
        <f t="shared" si="568"/>
        <v>50.216000000000008</v>
      </c>
      <c r="AA449" s="573">
        <f t="shared" si="568"/>
        <v>-49.091999999999992</v>
      </c>
      <c r="AB449" s="573">
        <f t="shared" si="568"/>
        <v>73.977000000000004</v>
      </c>
      <c r="AC449" s="573">
        <f t="shared" si="568"/>
        <v>48.411000000000001</v>
      </c>
      <c r="AD449" s="573">
        <f t="shared" si="568"/>
        <v>68.31</v>
      </c>
      <c r="AE449" s="573">
        <f t="shared" si="568"/>
        <v>-86.813999999999993</v>
      </c>
      <c r="AF449" s="573">
        <f t="shared" si="568"/>
        <v>65.549000000000007</v>
      </c>
      <c r="AG449" s="573">
        <f t="shared" si="568"/>
        <v>24.290000000000006</v>
      </c>
      <c r="AH449" s="573">
        <f t="shared" si="568"/>
        <v>77.39</v>
      </c>
      <c r="AI449" s="573">
        <f t="shared" ref="AI449:AX449" si="569">AI448+AI435</f>
        <v>-114.533</v>
      </c>
      <c r="AJ449" s="573">
        <f t="shared" si="569"/>
        <v>34.575999999999993</v>
      </c>
      <c r="AK449" s="573">
        <f t="shared" si="569"/>
        <v>91.079000000000022</v>
      </c>
      <c r="AL449" s="573">
        <f t="shared" si="569"/>
        <v>123.02799999999999</v>
      </c>
      <c r="AM449" s="573">
        <f t="shared" si="569"/>
        <v>-131.51</v>
      </c>
      <c r="AN449" s="573">
        <f t="shared" si="569"/>
        <v>119.84200000000001</v>
      </c>
      <c r="AO449" s="573">
        <f t="shared" si="569"/>
        <v>93.070999999999984</v>
      </c>
      <c r="AP449" s="573">
        <f t="shared" si="569"/>
        <v>125.48099999999999</v>
      </c>
      <c r="AQ449" s="573">
        <f t="shared" si="569"/>
        <v>-143.14599999999999</v>
      </c>
      <c r="AR449" s="573">
        <f t="shared" si="569"/>
        <v>164.32800000000003</v>
      </c>
      <c r="AS449" s="573">
        <f t="shared" si="569"/>
        <v>85.038000000000011</v>
      </c>
      <c r="AT449" s="573">
        <f t="shared" si="569"/>
        <v>96.93</v>
      </c>
      <c r="AU449" s="577">
        <f t="shared" si="569"/>
        <v>-135.30500000000004</v>
      </c>
      <c r="AV449" s="572">
        <f t="shared" si="569"/>
        <v>190.47642402342149</v>
      </c>
      <c r="AW449" s="572">
        <f t="shared" ca="1" si="569"/>
        <v>102.28034014514773</v>
      </c>
      <c r="AX449" s="572">
        <f t="shared" ca="1" si="569"/>
        <v>107.82136217601902</v>
      </c>
      <c r="AY449" s="572"/>
      <c r="AZ449" s="735">
        <f t="shared" ref="AZ449:BS449" si="570">AZ448+AZ435</f>
        <v>-9.355000000000004</v>
      </c>
      <c r="BA449" s="735">
        <f t="shared" si="570"/>
        <v>54.68</v>
      </c>
      <c r="BB449" s="735">
        <f t="shared" si="570"/>
        <v>67.212999999999994</v>
      </c>
      <c r="BC449" s="735">
        <f t="shared" si="570"/>
        <v>32.990999999999985</v>
      </c>
      <c r="BD449" s="735">
        <f t="shared" si="570"/>
        <v>95.292999999999978</v>
      </c>
      <c r="BE449" s="735">
        <f t="shared" si="570"/>
        <v>122.873</v>
      </c>
      <c r="BF449" s="735">
        <f t="shared" si="570"/>
        <v>120.08500000000002</v>
      </c>
      <c r="BG449" s="735">
        <f t="shared" si="570"/>
        <v>121.77799999999999</v>
      </c>
      <c r="BH449" s="735">
        <f t="shared" si="570"/>
        <v>88.727999999999994</v>
      </c>
      <c r="BI449" s="735">
        <f t="shared" si="570"/>
        <v>103.627</v>
      </c>
      <c r="BJ449" s="735">
        <f t="shared" si="570"/>
        <v>141.60599999999999</v>
      </c>
      <c r="BK449" s="735">
        <f t="shared" si="570"/>
        <v>80.414999999999992</v>
      </c>
      <c r="BL449" s="735">
        <f t="shared" si="570"/>
        <v>134.15</v>
      </c>
      <c r="BM449" s="735">
        <f t="shared" si="570"/>
        <v>206.88399999999996</v>
      </c>
      <c r="BN449" s="749">
        <f t="shared" si="570"/>
        <v>203.15000000000003</v>
      </c>
      <c r="BO449" s="734">
        <f t="shared" ca="1" si="570"/>
        <v>265.27312634458838</v>
      </c>
      <c r="BP449" s="734" t="e">
        <f t="shared" si="570"/>
        <v>#REF!</v>
      </c>
      <c r="BQ449" s="734" t="e">
        <f t="shared" si="570"/>
        <v>#REF!</v>
      </c>
      <c r="BR449" s="734" t="e">
        <f t="shared" si="570"/>
        <v>#REF!</v>
      </c>
      <c r="BS449" s="734" t="e">
        <f t="shared" ca="1" si="570"/>
        <v>#REF!</v>
      </c>
      <c r="BT449" s="530"/>
    </row>
    <row r="450" spans="1:72" s="1" customFormat="1" x14ac:dyDescent="0.35">
      <c r="A450" s="354"/>
      <c r="B450" s="307"/>
      <c r="C450" s="529"/>
      <c r="D450" s="529"/>
      <c r="E450" s="529"/>
      <c r="F450" s="529"/>
      <c r="G450" s="529"/>
      <c r="H450" s="529"/>
      <c r="I450" s="529"/>
      <c r="J450" s="529"/>
      <c r="K450" s="529"/>
      <c r="L450" s="529"/>
      <c r="M450" s="529"/>
      <c r="N450" s="529"/>
      <c r="O450" s="529"/>
      <c r="P450" s="529"/>
      <c r="Q450" s="529"/>
      <c r="R450" s="529"/>
      <c r="S450" s="529"/>
      <c r="T450" s="529"/>
      <c r="U450" s="529"/>
      <c r="V450" s="529"/>
      <c r="W450" s="529"/>
      <c r="X450" s="529"/>
      <c r="Y450" s="529"/>
      <c r="Z450" s="529"/>
      <c r="AA450" s="529"/>
      <c r="AB450" s="529"/>
      <c r="AC450" s="529"/>
      <c r="AD450" s="529"/>
      <c r="AE450" s="529"/>
      <c r="AF450" s="529"/>
      <c r="AG450" s="529"/>
      <c r="AH450" s="529"/>
      <c r="AI450" s="529"/>
      <c r="AJ450" s="529"/>
      <c r="AK450" s="529"/>
      <c r="AL450" s="529"/>
      <c r="AM450" s="529"/>
      <c r="AN450" s="529"/>
      <c r="AO450" s="529"/>
      <c r="AP450" s="529"/>
      <c r="AQ450" s="529"/>
      <c r="AR450" s="529"/>
      <c r="AS450" s="529"/>
      <c r="AT450" s="529"/>
      <c r="AU450" s="531"/>
      <c r="AV450" s="529"/>
      <c r="AW450" s="529"/>
      <c r="AX450" s="529"/>
      <c r="AY450" s="529"/>
      <c r="AZ450" s="726"/>
      <c r="BA450" s="726"/>
      <c r="BB450" s="726"/>
      <c r="BC450" s="726"/>
      <c r="BD450" s="726"/>
      <c r="BE450" s="726"/>
      <c r="BF450" s="726"/>
      <c r="BG450" s="726"/>
      <c r="BH450" s="726"/>
      <c r="BI450" s="726"/>
      <c r="BJ450" s="726"/>
      <c r="BK450" s="726"/>
      <c r="BL450" s="726"/>
      <c r="BM450" s="726"/>
      <c r="BN450" s="728"/>
      <c r="BO450" s="726"/>
      <c r="BP450" s="726"/>
      <c r="BQ450" s="726"/>
      <c r="BR450" s="726"/>
      <c r="BS450" s="726"/>
      <c r="BT450" s="530"/>
    </row>
    <row r="451" spans="1:72" s="1" customFormat="1" x14ac:dyDescent="0.35">
      <c r="A451" s="51" t="str">
        <f t="shared" ref="A451:A458" si="571">A359</f>
        <v>CFI</v>
      </c>
      <c r="B451" s="307"/>
      <c r="C451" s="529"/>
      <c r="D451" s="529"/>
      <c r="E451" s="529"/>
      <c r="F451" s="529"/>
      <c r="G451" s="529"/>
      <c r="H451" s="529"/>
      <c r="I451" s="529"/>
      <c r="J451" s="529"/>
      <c r="K451" s="529"/>
      <c r="L451" s="529"/>
      <c r="M451" s="529"/>
      <c r="N451" s="529"/>
      <c r="O451" s="529"/>
      <c r="P451" s="529"/>
      <c r="Q451" s="529"/>
      <c r="R451" s="529"/>
      <c r="S451" s="529"/>
      <c r="T451" s="529"/>
      <c r="U451" s="529"/>
      <c r="V451" s="529"/>
      <c r="W451" s="529"/>
      <c r="X451" s="529"/>
      <c r="Y451" s="529"/>
      <c r="Z451" s="529"/>
      <c r="AA451" s="529"/>
      <c r="AB451" s="529"/>
      <c r="AC451" s="529"/>
      <c r="AD451" s="529"/>
      <c r="AE451" s="529"/>
      <c r="AF451" s="529"/>
      <c r="AG451" s="529"/>
      <c r="AH451" s="529"/>
      <c r="AI451" s="529"/>
      <c r="AJ451" s="529"/>
      <c r="AK451" s="529"/>
      <c r="AL451" s="529"/>
      <c r="AM451" s="529"/>
      <c r="AN451" s="529"/>
      <c r="AO451" s="529"/>
      <c r="AP451" s="529"/>
      <c r="AQ451" s="529"/>
      <c r="AR451" s="529"/>
      <c r="AS451" s="529"/>
      <c r="AT451" s="529"/>
      <c r="AU451" s="531"/>
      <c r="AV451" s="529"/>
      <c r="AW451" s="529"/>
      <c r="AX451" s="529"/>
      <c r="AY451" s="529"/>
      <c r="AZ451" s="726"/>
      <c r="BA451" s="726"/>
      <c r="BB451" s="726"/>
      <c r="BC451" s="726"/>
      <c r="BD451" s="726"/>
      <c r="BE451" s="726"/>
      <c r="BF451" s="726"/>
      <c r="BG451" s="726"/>
      <c r="BH451" s="726"/>
      <c r="BI451" s="726"/>
      <c r="BJ451" s="726"/>
      <c r="BK451" s="726"/>
      <c r="BL451" s="726"/>
      <c r="BM451" s="726"/>
      <c r="BN451" s="728"/>
      <c r="BO451" s="726"/>
      <c r="BP451" s="726"/>
      <c r="BQ451" s="726"/>
      <c r="BR451" s="726"/>
      <c r="BS451" s="726"/>
      <c r="BT451" s="530"/>
    </row>
    <row r="452" spans="1:72" s="17" customFormat="1" x14ac:dyDescent="0.35">
      <c r="A452" s="178" t="str">
        <f t="shared" si="571"/>
        <v>Purchase of property and equipment</v>
      </c>
      <c r="B452" s="532"/>
      <c r="C452" s="532">
        <f t="shared" ref="C452:C476" si="572">C360</f>
        <v>-3.863</v>
      </c>
      <c r="D452" s="532">
        <f t="shared" ref="D452:F476" si="573">D360-C360</f>
        <v>-0.66100000000000003</v>
      </c>
      <c r="E452" s="532">
        <f t="shared" si="573"/>
        <v>-0.74099999999999966</v>
      </c>
      <c r="F452" s="532">
        <f t="shared" si="573"/>
        <v>-3.0740000000000007</v>
      </c>
      <c r="G452" s="532">
        <f t="shared" ref="G452:G476" si="574">G360</f>
        <v>-4.274</v>
      </c>
      <c r="H452" s="532">
        <f t="shared" ref="H452:J476" si="575">H360-G360</f>
        <v>-1.0549999999999997</v>
      </c>
      <c r="I452" s="532">
        <f t="shared" si="575"/>
        <v>-0.99400000000000066</v>
      </c>
      <c r="J452" s="532">
        <f t="shared" si="575"/>
        <v>-1.0819999999999999</v>
      </c>
      <c r="K452" s="532">
        <f t="shared" ref="K452:K476" si="576">K360</f>
        <v>-6.3330000000000002</v>
      </c>
      <c r="L452" s="532">
        <f t="shared" ref="L452:N476" si="577">L360-K360</f>
        <v>-0.35400000000000009</v>
      </c>
      <c r="M452" s="532">
        <f t="shared" si="577"/>
        <v>-0.96899999999999942</v>
      </c>
      <c r="N452" s="532">
        <f t="shared" si="577"/>
        <v>-2.2720000000000011</v>
      </c>
      <c r="O452" s="532">
        <f t="shared" ref="O452:O476" si="578">O360</f>
        <v>-0.97699999999999998</v>
      </c>
      <c r="P452" s="532">
        <f t="shared" ref="P452:R476" si="579">P360-O360</f>
        <v>-1.0470000000000002</v>
      </c>
      <c r="Q452" s="532">
        <f t="shared" si="579"/>
        <v>-0.43400000000000016</v>
      </c>
      <c r="R452" s="532">
        <f t="shared" si="579"/>
        <v>-2.5499999999999998</v>
      </c>
      <c r="S452" s="532">
        <f t="shared" ref="S452:S476" si="580">S360</f>
        <v>-0.96</v>
      </c>
      <c r="T452" s="532">
        <f t="shared" ref="T452:V476" si="581">T360-S360</f>
        <v>-0.31600000000000006</v>
      </c>
      <c r="U452" s="532">
        <f t="shared" si="581"/>
        <v>-0.11499999999999999</v>
      </c>
      <c r="V452" s="532">
        <f t="shared" si="581"/>
        <v>-0.78299999999999992</v>
      </c>
      <c r="W452" s="532">
        <f t="shared" ref="W452:W476" si="582">W360</f>
        <v>-5.1429999999999998</v>
      </c>
      <c r="X452" s="532">
        <f t="shared" ref="X452:Z476" si="583">X360-W360</f>
        <v>-0.77400000000000002</v>
      </c>
      <c r="Y452" s="532">
        <f t="shared" si="583"/>
        <v>-0.66300000000000026</v>
      </c>
      <c r="Z452" s="532">
        <f t="shared" si="583"/>
        <v>-2.1630000000000003</v>
      </c>
      <c r="AA452" s="532">
        <f t="shared" ref="AA452:AA476" si="584">AA360</f>
        <v>-1.738</v>
      </c>
      <c r="AB452" s="532">
        <f t="shared" ref="AB452:AD476" si="585">AB360-AA360</f>
        <v>-0.17599999999999993</v>
      </c>
      <c r="AC452" s="532">
        <f t="shared" si="585"/>
        <v>-0.48299999999999987</v>
      </c>
      <c r="AD452" s="532">
        <f t="shared" si="585"/>
        <v>-3.0800000000000005</v>
      </c>
      <c r="AE452" s="532">
        <f t="shared" ref="AE452:AE476" si="586">AE360</f>
        <v>-1.246</v>
      </c>
      <c r="AF452" s="532">
        <f t="shared" ref="AF452:AH476" si="587">AF360-AE360</f>
        <v>-9.2000000000000082E-2</v>
      </c>
      <c r="AG452" s="532">
        <f t="shared" si="587"/>
        <v>-0.15500000000000003</v>
      </c>
      <c r="AH452" s="532">
        <f t="shared" si="587"/>
        <v>-0.18399999999999994</v>
      </c>
      <c r="AI452" s="532">
        <f t="shared" ref="AI452:AI476" si="588">AI360</f>
        <v>-1.1060000000000001</v>
      </c>
      <c r="AJ452" s="532">
        <f t="shared" ref="AJ452:AL476" si="589">AJ360-AI360</f>
        <v>-0.86299999999999999</v>
      </c>
      <c r="AK452" s="532">
        <f t="shared" si="589"/>
        <v>-0.998</v>
      </c>
      <c r="AL452" s="532">
        <f t="shared" si="589"/>
        <v>-0.60000000000000009</v>
      </c>
      <c r="AM452" s="532">
        <f t="shared" ref="AM452:AM476" si="590">AM360</f>
        <v>-1.278</v>
      </c>
      <c r="AN452" s="532">
        <f t="shared" ref="AN452:AP476" si="591">AN360-AM360</f>
        <v>-1.427</v>
      </c>
      <c r="AO452" s="532">
        <f t="shared" si="591"/>
        <v>-2.0289999999999999</v>
      </c>
      <c r="AP452" s="532">
        <f t="shared" si="591"/>
        <v>-5.0139999999999993</v>
      </c>
      <c r="AQ452" s="532">
        <f t="shared" ref="AQ452:AQ476" si="592">AQ360</f>
        <v>-0.91300000000000003</v>
      </c>
      <c r="AR452" s="532">
        <f t="shared" ref="AR452:AT476" si="593">AR360-AQ360</f>
        <v>-1.91</v>
      </c>
      <c r="AS452" s="532">
        <f t="shared" si="593"/>
        <v>-0.75600000000000023</v>
      </c>
      <c r="AT452" s="532">
        <f t="shared" si="593"/>
        <v>-0.75700000000000012</v>
      </c>
      <c r="AU452" s="534">
        <f t="shared" ref="AU452:AU476" si="594">AU360</f>
        <v>-1.694</v>
      </c>
      <c r="AV452" s="532">
        <f t="shared" ref="AV452:AX452" si="595">-AV530</f>
        <v>-1.6499999999999997</v>
      </c>
      <c r="AW452" s="532">
        <f t="shared" si="595"/>
        <v>-1.8299999999999996</v>
      </c>
      <c r="AX452" s="532">
        <f t="shared" si="595"/>
        <v>-1.8999999999999995</v>
      </c>
      <c r="AY452" s="532"/>
      <c r="AZ452" s="156">
        <f t="shared" ref="AZ452:BN452" si="596">AZ360</f>
        <v>-13.939</v>
      </c>
      <c r="BA452" s="156">
        <f t="shared" si="596"/>
        <v>-10.356999999999999</v>
      </c>
      <c r="BB452" s="156">
        <f t="shared" si="596"/>
        <v>-29.562999999999999</v>
      </c>
      <c r="BC452" s="156">
        <f t="shared" si="596"/>
        <v>-10.483000000000001</v>
      </c>
      <c r="BD452" s="156">
        <f t="shared" si="596"/>
        <v>-8.3390000000000004</v>
      </c>
      <c r="BE452" s="156">
        <f t="shared" si="596"/>
        <v>-7.4050000000000002</v>
      </c>
      <c r="BF452" s="156">
        <f t="shared" si="596"/>
        <v>-9.9280000000000008</v>
      </c>
      <c r="BG452" s="156">
        <f t="shared" si="596"/>
        <v>-5.008</v>
      </c>
      <c r="BH452" s="156">
        <f t="shared" si="596"/>
        <v>-2.1739999999999999</v>
      </c>
      <c r="BI452" s="156">
        <f t="shared" si="596"/>
        <v>-8.7430000000000003</v>
      </c>
      <c r="BJ452" s="156">
        <f t="shared" si="596"/>
        <v>-5.4770000000000003</v>
      </c>
      <c r="BK452" s="156">
        <f t="shared" si="596"/>
        <v>-1.677</v>
      </c>
      <c r="BL452" s="156">
        <f t="shared" si="596"/>
        <v>-3.5670000000000002</v>
      </c>
      <c r="BM452" s="156">
        <f t="shared" si="596"/>
        <v>-9.7479999999999993</v>
      </c>
      <c r="BN452" s="730">
        <f t="shared" si="596"/>
        <v>-4.3360000000000003</v>
      </c>
      <c r="BO452" s="156">
        <f t="shared" ref="BO452:BO476" si="597">SUM(AU452,AV452,AW452,AX452)</f>
        <v>-7.073999999999999</v>
      </c>
      <c r="BP452" s="156" t="e">
        <f>SUM(#REF!,#REF!,#REF!,#REF!)</f>
        <v>#REF!</v>
      </c>
      <c r="BQ452" s="156">
        <f>-BQ530</f>
        <v>-14.399999999999997</v>
      </c>
      <c r="BR452" s="156">
        <f>-BR530</f>
        <v>-14.399999999999997</v>
      </c>
      <c r="BS452" s="156">
        <f>-BS530</f>
        <v>-14.399999999999997</v>
      </c>
      <c r="BT452" s="533"/>
    </row>
    <row r="453" spans="1:72" s="17" customFormat="1" x14ac:dyDescent="0.35">
      <c r="A453" s="178" t="str">
        <f t="shared" si="571"/>
        <v>Capitalized software development costs</v>
      </c>
      <c r="B453" s="532"/>
      <c r="C453" s="532">
        <f t="shared" si="572"/>
        <v>-6.2889999999999997</v>
      </c>
      <c r="D453" s="532">
        <f t="shared" si="573"/>
        <v>-5.3439999999999994</v>
      </c>
      <c r="E453" s="532">
        <f t="shared" si="573"/>
        <v>-6.2340000000000018</v>
      </c>
      <c r="F453" s="532">
        <f t="shared" si="573"/>
        <v>-5.5790000000000006</v>
      </c>
      <c r="G453" s="532">
        <f t="shared" si="574"/>
        <v>-5.0060000000000002</v>
      </c>
      <c r="H453" s="532">
        <f t="shared" si="575"/>
        <v>-5.6259999999999994</v>
      </c>
      <c r="I453" s="532">
        <f t="shared" si="575"/>
        <v>-7.854000000000001</v>
      </c>
      <c r="J453" s="532">
        <f t="shared" si="575"/>
        <v>-8.0670000000000002</v>
      </c>
      <c r="K453" s="532">
        <f t="shared" si="576"/>
        <v>-8.8859999999999992</v>
      </c>
      <c r="L453" s="532">
        <f t="shared" si="577"/>
        <v>-8.2070000000000007</v>
      </c>
      <c r="M453" s="532">
        <f t="shared" si="577"/>
        <v>-8.3369999999999997</v>
      </c>
      <c r="N453" s="532">
        <f t="shared" si="577"/>
        <v>-8.3250000000000028</v>
      </c>
      <c r="O453" s="532">
        <f t="shared" si="578"/>
        <v>-9.5150000000000006</v>
      </c>
      <c r="P453" s="532">
        <f t="shared" si="579"/>
        <v>-7.41</v>
      </c>
      <c r="Q453" s="532">
        <f t="shared" si="579"/>
        <v>-9.3960000000000008</v>
      </c>
      <c r="R453" s="532">
        <f t="shared" si="579"/>
        <v>-9.9439999999999991</v>
      </c>
      <c r="S453" s="532">
        <f t="shared" si="580"/>
        <v>-7.2220000000000004</v>
      </c>
      <c r="T453" s="532">
        <f t="shared" si="581"/>
        <v>-6.2239999999999993</v>
      </c>
      <c r="U453" s="532">
        <f t="shared" si="581"/>
        <v>-5.8989999999999991</v>
      </c>
      <c r="V453" s="532">
        <f t="shared" si="581"/>
        <v>-7.5730000000000004</v>
      </c>
      <c r="W453" s="532">
        <f t="shared" si="582"/>
        <v>-7.9340000000000002</v>
      </c>
      <c r="X453" s="532">
        <f t="shared" si="583"/>
        <v>-5.444</v>
      </c>
      <c r="Y453" s="532">
        <f t="shared" si="583"/>
        <v>-5.4740000000000002</v>
      </c>
      <c r="Z453" s="532">
        <f t="shared" si="583"/>
        <v>-5.6810000000000009</v>
      </c>
      <c r="AA453" s="532">
        <f t="shared" si="584"/>
        <v>-9.3170000000000002</v>
      </c>
      <c r="AB453" s="532">
        <f t="shared" si="585"/>
        <v>-5.9459999999999997</v>
      </c>
      <c r="AC453" s="532">
        <f t="shared" si="585"/>
        <v>-5.3169999999999984</v>
      </c>
      <c r="AD453" s="532">
        <f t="shared" si="585"/>
        <v>-5.7380000000000031</v>
      </c>
      <c r="AE453" s="532">
        <f t="shared" si="586"/>
        <v>-7.1959999999999997</v>
      </c>
      <c r="AF453" s="532">
        <f t="shared" si="587"/>
        <v>-5.782</v>
      </c>
      <c r="AG453" s="532">
        <f t="shared" si="587"/>
        <v>-5.8469999999999995</v>
      </c>
      <c r="AH453" s="532">
        <f t="shared" si="587"/>
        <v>-5.1630000000000003</v>
      </c>
      <c r="AI453" s="532">
        <f t="shared" si="588"/>
        <v>-7.2039999999999997</v>
      </c>
      <c r="AJ453" s="532">
        <f t="shared" si="589"/>
        <v>-6.8570000000000002</v>
      </c>
      <c r="AK453" s="532">
        <f t="shared" si="589"/>
        <v>-6.1280000000000001</v>
      </c>
      <c r="AL453" s="532">
        <f t="shared" si="589"/>
        <v>-11.074999999999999</v>
      </c>
      <c r="AM453" s="532">
        <f t="shared" si="590"/>
        <v>-9.69</v>
      </c>
      <c r="AN453" s="532">
        <f t="shared" si="591"/>
        <v>-9.6399999999999988</v>
      </c>
      <c r="AO453" s="532">
        <f t="shared" si="591"/>
        <v>-11.507000000000001</v>
      </c>
      <c r="AP453" s="532">
        <f t="shared" si="591"/>
        <v>-11.354000000000003</v>
      </c>
      <c r="AQ453" s="532">
        <f t="shared" si="592"/>
        <v>-9.7929999999999993</v>
      </c>
      <c r="AR453" s="532">
        <f t="shared" si="593"/>
        <v>-11.606000000000002</v>
      </c>
      <c r="AS453" s="532">
        <f t="shared" si="593"/>
        <v>-11.174999999999997</v>
      </c>
      <c r="AT453" s="532">
        <f t="shared" si="593"/>
        <v>-12.399000000000001</v>
      </c>
      <c r="AU453" s="534">
        <f t="shared" si="594"/>
        <v>-10.041</v>
      </c>
      <c r="AV453" s="532">
        <f t="shared" ref="AV453:AX453" si="598">-AV536</f>
        <v>-14.85</v>
      </c>
      <c r="AW453" s="532">
        <f t="shared" si="598"/>
        <v>-16.470000000000002</v>
      </c>
      <c r="AX453" s="532">
        <f t="shared" si="598"/>
        <v>-17.100000000000001</v>
      </c>
      <c r="AY453" s="532"/>
      <c r="AZ453" s="156">
        <f t="shared" ref="AZ453:BN453" si="599">AZ361</f>
        <v>0</v>
      </c>
      <c r="BA453" s="156">
        <f t="shared" si="599"/>
        <v>0</v>
      </c>
      <c r="BB453" s="156">
        <f t="shared" si="599"/>
        <v>0</v>
      </c>
      <c r="BC453" s="156">
        <f t="shared" si="599"/>
        <v>-21.994</v>
      </c>
      <c r="BD453" s="156">
        <f t="shared" si="599"/>
        <v>-23.446000000000002</v>
      </c>
      <c r="BE453" s="156">
        <f t="shared" si="599"/>
        <v>-26.553000000000001</v>
      </c>
      <c r="BF453" s="156">
        <f t="shared" si="599"/>
        <v>-33.755000000000003</v>
      </c>
      <c r="BG453" s="156">
        <f t="shared" si="599"/>
        <v>-36.265000000000001</v>
      </c>
      <c r="BH453" s="156">
        <f t="shared" si="599"/>
        <v>-26.917999999999999</v>
      </c>
      <c r="BI453" s="156">
        <f t="shared" si="599"/>
        <v>-24.533000000000001</v>
      </c>
      <c r="BJ453" s="156">
        <f t="shared" si="599"/>
        <v>-26.318000000000001</v>
      </c>
      <c r="BK453" s="156">
        <f t="shared" si="599"/>
        <v>-23.988</v>
      </c>
      <c r="BL453" s="156">
        <f t="shared" si="599"/>
        <v>-31.263999999999999</v>
      </c>
      <c r="BM453" s="156">
        <f t="shared" si="599"/>
        <v>-42.191000000000003</v>
      </c>
      <c r="BN453" s="730">
        <f t="shared" si="599"/>
        <v>-44.972999999999999</v>
      </c>
      <c r="BO453" s="156">
        <f t="shared" si="597"/>
        <v>-58.461000000000006</v>
      </c>
      <c r="BP453" s="156" t="e">
        <f>SUM(#REF!,#REF!,#REF!,#REF!)</f>
        <v>#REF!</v>
      </c>
      <c r="BQ453" s="156">
        <f>-BQ536</f>
        <v>-57.6</v>
      </c>
      <c r="BR453" s="156">
        <f>-BR536</f>
        <v>-57.6</v>
      </c>
      <c r="BS453" s="156">
        <f>-BS536</f>
        <v>-57.6</v>
      </c>
      <c r="BT453" s="533"/>
    </row>
    <row r="454" spans="1:72" s="17" customFormat="1" x14ac:dyDescent="0.35">
      <c r="A454" s="208" t="str">
        <f t="shared" si="571"/>
        <v>Capitalized curriculum development costs</v>
      </c>
      <c r="B454" s="532"/>
      <c r="C454" s="533">
        <f t="shared" si="572"/>
        <v>-5.0919999999999996</v>
      </c>
      <c r="D454" s="533">
        <f t="shared" si="573"/>
        <v>-4.5360000000000005</v>
      </c>
      <c r="E454" s="533">
        <f t="shared" si="573"/>
        <v>-3.9689999999999994</v>
      </c>
      <c r="F454" s="533">
        <f t="shared" si="573"/>
        <v>-4.9629999999999992</v>
      </c>
      <c r="G454" s="533">
        <f t="shared" si="574"/>
        <v>-3.3220000000000001</v>
      </c>
      <c r="H454" s="533">
        <f t="shared" si="575"/>
        <v>-4.327</v>
      </c>
      <c r="I454" s="533">
        <f t="shared" si="575"/>
        <v>-3.6749999999999998</v>
      </c>
      <c r="J454" s="533">
        <f t="shared" si="575"/>
        <v>-4.0869999999999997</v>
      </c>
      <c r="K454" s="533">
        <f t="shared" si="576"/>
        <v>-3.375</v>
      </c>
      <c r="L454" s="533">
        <f t="shared" si="577"/>
        <v>-3.8920000000000003</v>
      </c>
      <c r="M454" s="533">
        <f t="shared" si="577"/>
        <v>-4.9270000000000005</v>
      </c>
      <c r="N454" s="533">
        <f t="shared" si="577"/>
        <v>-5.8629999999999978</v>
      </c>
      <c r="O454" s="533">
        <f t="shared" si="578"/>
        <v>-3.6989999999999998</v>
      </c>
      <c r="P454" s="533">
        <f t="shared" si="579"/>
        <v>-3.1680000000000001</v>
      </c>
      <c r="Q454" s="533">
        <f t="shared" si="579"/>
        <v>-5.3389999999999995</v>
      </c>
      <c r="R454" s="533">
        <f t="shared" si="579"/>
        <v>-9.4209999999999994</v>
      </c>
      <c r="S454" s="533">
        <f t="shared" si="580"/>
        <v>-5.8460000000000001</v>
      </c>
      <c r="T454" s="533">
        <f t="shared" si="581"/>
        <v>-3.2949999999999999</v>
      </c>
      <c r="U454" s="533">
        <f t="shared" si="581"/>
        <v>-3.2859999999999996</v>
      </c>
      <c r="V454" s="533">
        <f t="shared" si="581"/>
        <v>-6.7050000000000018</v>
      </c>
      <c r="W454" s="533">
        <f t="shared" si="582"/>
        <v>-2.4449999999999998</v>
      </c>
      <c r="X454" s="533">
        <f t="shared" si="583"/>
        <v>-2.0290000000000004</v>
      </c>
      <c r="Y454" s="533">
        <f t="shared" si="583"/>
        <v>-3.2959999999999994</v>
      </c>
      <c r="Z454" s="533">
        <f t="shared" si="583"/>
        <v>-2.157</v>
      </c>
      <c r="AA454" s="533">
        <f t="shared" si="584"/>
        <v>-6.6849999999999996</v>
      </c>
      <c r="AB454" s="533">
        <f t="shared" si="585"/>
        <v>-3.4140000000000006</v>
      </c>
      <c r="AC454" s="533">
        <f t="shared" si="585"/>
        <v>-3.6470000000000002</v>
      </c>
      <c r="AD454" s="533">
        <f t="shared" si="585"/>
        <v>-2.8650000000000002</v>
      </c>
      <c r="AE454" s="533">
        <f t="shared" si="586"/>
        <v>-8.5280000000000005</v>
      </c>
      <c r="AF454" s="533">
        <f t="shared" si="587"/>
        <v>-3.4629999999999992</v>
      </c>
      <c r="AG454" s="533">
        <f t="shared" si="587"/>
        <v>-3.4719999999999995</v>
      </c>
      <c r="AH454" s="533">
        <f t="shared" si="587"/>
        <v>-3.8690000000000015</v>
      </c>
      <c r="AI454" s="533">
        <f t="shared" si="588"/>
        <v>-4.4880000000000004</v>
      </c>
      <c r="AJ454" s="533">
        <f t="shared" si="589"/>
        <v>-3.0359999999999996</v>
      </c>
      <c r="AK454" s="533">
        <f t="shared" si="589"/>
        <v>-4.2180000000000009</v>
      </c>
      <c r="AL454" s="533">
        <f t="shared" si="589"/>
        <v>-5.6899999999999977</v>
      </c>
      <c r="AM454" s="533">
        <f t="shared" si="590"/>
        <v>-4.3760000000000003</v>
      </c>
      <c r="AN454" s="533">
        <f t="shared" si="591"/>
        <v>-3.085</v>
      </c>
      <c r="AO454" s="533">
        <f t="shared" si="591"/>
        <v>-4.9000000000000004</v>
      </c>
      <c r="AP454" s="533">
        <f t="shared" si="591"/>
        <v>-3.3259999999999987</v>
      </c>
      <c r="AQ454" s="533">
        <f t="shared" si="592"/>
        <v>-6.1449999999999996</v>
      </c>
      <c r="AR454" s="533">
        <f t="shared" si="593"/>
        <v>-3.3819999999999997</v>
      </c>
      <c r="AS454" s="533">
        <f t="shared" si="593"/>
        <v>-3.2710000000000008</v>
      </c>
      <c r="AT454" s="533">
        <f t="shared" si="593"/>
        <v>-4.4410000000000007</v>
      </c>
      <c r="AU454" s="576">
        <f t="shared" si="594"/>
        <v>-4.4139999999999997</v>
      </c>
      <c r="AV454" s="532"/>
      <c r="AW454" s="532"/>
      <c r="AX454" s="532"/>
      <c r="AY454" s="532"/>
      <c r="AZ454" s="755">
        <f t="shared" ref="AZ454:BN454" si="600">AZ362</f>
        <v>-13.930999999999999</v>
      </c>
      <c r="BA454" s="755">
        <f t="shared" si="600"/>
        <v>-13.904</v>
      </c>
      <c r="BB454" s="755">
        <f t="shared" si="600"/>
        <v>-18.085999999999999</v>
      </c>
      <c r="BC454" s="755">
        <f t="shared" si="600"/>
        <v>-16.123000000000001</v>
      </c>
      <c r="BD454" s="755">
        <f t="shared" si="600"/>
        <v>-18.559999999999999</v>
      </c>
      <c r="BE454" s="755">
        <f t="shared" si="600"/>
        <v>-15.411</v>
      </c>
      <c r="BF454" s="755">
        <f t="shared" si="600"/>
        <v>-18.056999999999999</v>
      </c>
      <c r="BG454" s="755">
        <f t="shared" si="600"/>
        <v>-21.626999999999999</v>
      </c>
      <c r="BH454" s="755">
        <f t="shared" si="600"/>
        <v>-19.132000000000001</v>
      </c>
      <c r="BI454" s="755">
        <f t="shared" si="600"/>
        <v>-9.9269999999999996</v>
      </c>
      <c r="BJ454" s="755">
        <f t="shared" si="600"/>
        <v>-16.611000000000001</v>
      </c>
      <c r="BK454" s="755">
        <f t="shared" si="600"/>
        <v>-19.332000000000001</v>
      </c>
      <c r="BL454" s="755">
        <f t="shared" si="600"/>
        <v>-17.431999999999999</v>
      </c>
      <c r="BM454" s="755">
        <f t="shared" si="600"/>
        <v>-15.686999999999999</v>
      </c>
      <c r="BN454" s="756">
        <f t="shared" si="600"/>
        <v>-17.239000000000001</v>
      </c>
      <c r="BO454" s="156">
        <f t="shared" si="597"/>
        <v>-4.4139999999999997</v>
      </c>
      <c r="BP454" s="156" t="e">
        <f>SUM(#REF!,#REF!,#REF!,#REF!)</f>
        <v>#REF!</v>
      </c>
      <c r="BQ454" s="156"/>
      <c r="BR454" s="156"/>
      <c r="BS454" s="156"/>
      <c r="BT454" s="533"/>
    </row>
    <row r="455" spans="1:72" s="17" customFormat="1" x14ac:dyDescent="0.35">
      <c r="A455" s="208" t="str">
        <f t="shared" si="571"/>
        <v>Purchase of noncontrolling interest</v>
      </c>
      <c r="B455" s="532"/>
      <c r="C455" s="533">
        <f t="shared" si="572"/>
        <v>0</v>
      </c>
      <c r="D455" s="533">
        <f t="shared" si="573"/>
        <v>0</v>
      </c>
      <c r="E455" s="533">
        <f t="shared" si="573"/>
        <v>0</v>
      </c>
      <c r="F455" s="533">
        <f t="shared" si="573"/>
        <v>0</v>
      </c>
      <c r="G455" s="533">
        <f t="shared" si="574"/>
        <v>0</v>
      </c>
      <c r="H455" s="533">
        <f t="shared" si="575"/>
        <v>0</v>
      </c>
      <c r="I455" s="533">
        <f t="shared" si="575"/>
        <v>0</v>
      </c>
      <c r="J455" s="533">
        <f t="shared" si="575"/>
        <v>0</v>
      </c>
      <c r="K455" s="533">
        <f t="shared" si="576"/>
        <v>0</v>
      </c>
      <c r="L455" s="533">
        <f t="shared" si="577"/>
        <v>0</v>
      </c>
      <c r="M455" s="533">
        <f t="shared" si="577"/>
        <v>0</v>
      </c>
      <c r="N455" s="533">
        <f t="shared" si="577"/>
        <v>0</v>
      </c>
      <c r="O455" s="533">
        <f t="shared" si="578"/>
        <v>0</v>
      </c>
      <c r="P455" s="533">
        <f t="shared" si="579"/>
        <v>0</v>
      </c>
      <c r="Q455" s="533">
        <f t="shared" si="579"/>
        <v>0</v>
      </c>
      <c r="R455" s="533">
        <f t="shared" si="579"/>
        <v>0</v>
      </c>
      <c r="S455" s="533">
        <f t="shared" si="580"/>
        <v>0</v>
      </c>
      <c r="T455" s="533">
        <f t="shared" si="581"/>
        <v>-9.1340000000000003</v>
      </c>
      <c r="U455" s="533">
        <f t="shared" si="581"/>
        <v>0</v>
      </c>
      <c r="V455" s="533">
        <f t="shared" si="581"/>
        <v>0</v>
      </c>
      <c r="W455" s="533">
        <f t="shared" si="582"/>
        <v>0</v>
      </c>
      <c r="X455" s="533">
        <f t="shared" si="583"/>
        <v>0</v>
      </c>
      <c r="Y455" s="533">
        <f t="shared" si="583"/>
        <v>-0.5</v>
      </c>
      <c r="Z455" s="533">
        <f t="shared" si="583"/>
        <v>-6.774</v>
      </c>
      <c r="AA455" s="533">
        <f t="shared" si="584"/>
        <v>0</v>
      </c>
      <c r="AB455" s="533">
        <f t="shared" si="585"/>
        <v>0</v>
      </c>
      <c r="AC455" s="533">
        <f t="shared" si="585"/>
        <v>0</v>
      </c>
      <c r="AD455" s="533">
        <f t="shared" si="585"/>
        <v>0</v>
      </c>
      <c r="AE455" s="533">
        <f t="shared" si="586"/>
        <v>0</v>
      </c>
      <c r="AF455" s="533">
        <f t="shared" si="587"/>
        <v>0</v>
      </c>
      <c r="AG455" s="533">
        <f t="shared" si="587"/>
        <v>0</v>
      </c>
      <c r="AH455" s="533">
        <f t="shared" si="587"/>
        <v>0</v>
      </c>
      <c r="AI455" s="533">
        <f t="shared" si="588"/>
        <v>0</v>
      </c>
      <c r="AJ455" s="533">
        <f t="shared" si="589"/>
        <v>0</v>
      </c>
      <c r="AK455" s="533">
        <f t="shared" si="589"/>
        <v>0</v>
      </c>
      <c r="AL455" s="533">
        <f t="shared" si="589"/>
        <v>0</v>
      </c>
      <c r="AM455" s="533">
        <f t="shared" si="590"/>
        <v>0</v>
      </c>
      <c r="AN455" s="533">
        <f t="shared" si="591"/>
        <v>0</v>
      </c>
      <c r="AO455" s="533">
        <f t="shared" si="591"/>
        <v>0</v>
      </c>
      <c r="AP455" s="533">
        <f t="shared" si="591"/>
        <v>0</v>
      </c>
      <c r="AQ455" s="533">
        <f t="shared" si="592"/>
        <v>0</v>
      </c>
      <c r="AR455" s="533">
        <f t="shared" si="593"/>
        <v>0</v>
      </c>
      <c r="AS455" s="533">
        <f t="shared" si="593"/>
        <v>0</v>
      </c>
      <c r="AT455" s="533">
        <f t="shared" si="593"/>
        <v>0</v>
      </c>
      <c r="AU455" s="576">
        <f t="shared" si="594"/>
        <v>0</v>
      </c>
      <c r="AV455" s="532"/>
      <c r="AW455" s="532"/>
      <c r="AX455" s="532"/>
      <c r="AY455" s="532"/>
      <c r="AZ455" s="755">
        <f t="shared" ref="AZ455:BN455" si="601">AZ363</f>
        <v>0</v>
      </c>
      <c r="BA455" s="755">
        <f t="shared" si="601"/>
        <v>0</v>
      </c>
      <c r="BB455" s="755">
        <f t="shared" si="601"/>
        <v>0</v>
      </c>
      <c r="BC455" s="755">
        <f t="shared" si="601"/>
        <v>0</v>
      </c>
      <c r="BD455" s="755">
        <f t="shared" si="601"/>
        <v>0</v>
      </c>
      <c r="BE455" s="755">
        <f t="shared" si="601"/>
        <v>0</v>
      </c>
      <c r="BF455" s="755">
        <f t="shared" si="601"/>
        <v>0</v>
      </c>
      <c r="BG455" s="755">
        <f t="shared" si="601"/>
        <v>0</v>
      </c>
      <c r="BH455" s="755">
        <f t="shared" si="601"/>
        <v>-9.1340000000000003</v>
      </c>
      <c r="BI455" s="755">
        <f t="shared" si="601"/>
        <v>-7.274</v>
      </c>
      <c r="BJ455" s="755">
        <f t="shared" si="601"/>
        <v>0</v>
      </c>
      <c r="BK455" s="755">
        <f t="shared" si="601"/>
        <v>0</v>
      </c>
      <c r="BL455" s="755">
        <f t="shared" si="601"/>
        <v>0</v>
      </c>
      <c r="BM455" s="755">
        <f t="shared" si="601"/>
        <v>0</v>
      </c>
      <c r="BN455" s="756">
        <f t="shared" si="601"/>
        <v>0</v>
      </c>
      <c r="BO455" s="156">
        <f t="shared" si="597"/>
        <v>0</v>
      </c>
      <c r="BP455" s="156" t="e">
        <f>SUM(#REF!,#REF!,#REF!,#REF!)</f>
        <v>#REF!</v>
      </c>
      <c r="BQ455" s="156"/>
      <c r="BR455" s="156"/>
      <c r="BS455" s="156"/>
      <c r="BT455" s="533"/>
    </row>
    <row r="456" spans="1:72" s="17" customFormat="1" x14ac:dyDescent="0.35">
      <c r="A456" s="208" t="str">
        <f t="shared" si="571"/>
        <v>Sale of trade name</v>
      </c>
      <c r="B456" s="532"/>
      <c r="C456" s="533">
        <f t="shared" si="572"/>
        <v>0</v>
      </c>
      <c r="D456" s="533">
        <f t="shared" si="573"/>
        <v>0</v>
      </c>
      <c r="E456" s="533">
        <f t="shared" si="573"/>
        <v>0</v>
      </c>
      <c r="F456" s="533">
        <f t="shared" si="573"/>
        <v>0</v>
      </c>
      <c r="G456" s="533">
        <f t="shared" si="574"/>
        <v>0</v>
      </c>
      <c r="H456" s="533">
        <f t="shared" si="575"/>
        <v>0</v>
      </c>
      <c r="I456" s="533">
        <f t="shared" si="575"/>
        <v>0</v>
      </c>
      <c r="J456" s="533">
        <f t="shared" si="575"/>
        <v>0</v>
      </c>
      <c r="K456" s="533">
        <f t="shared" si="576"/>
        <v>0</v>
      </c>
      <c r="L456" s="533">
        <f t="shared" si="577"/>
        <v>0</v>
      </c>
      <c r="M456" s="533">
        <f t="shared" si="577"/>
        <v>0</v>
      </c>
      <c r="N456" s="533">
        <f t="shared" si="577"/>
        <v>0</v>
      </c>
      <c r="O456" s="533">
        <f t="shared" si="578"/>
        <v>0</v>
      </c>
      <c r="P456" s="533">
        <f t="shared" si="579"/>
        <v>0</v>
      </c>
      <c r="Q456" s="533">
        <f t="shared" si="579"/>
        <v>0</v>
      </c>
      <c r="R456" s="533">
        <f t="shared" si="579"/>
        <v>0</v>
      </c>
      <c r="S456" s="533">
        <f t="shared" si="580"/>
        <v>0</v>
      </c>
      <c r="T456" s="533">
        <f t="shared" si="581"/>
        <v>0</v>
      </c>
      <c r="U456" s="533">
        <f t="shared" si="581"/>
        <v>0</v>
      </c>
      <c r="V456" s="533">
        <f t="shared" si="581"/>
        <v>8.8999999999999996E-2</v>
      </c>
      <c r="W456" s="533">
        <f t="shared" si="582"/>
        <v>0</v>
      </c>
      <c r="X456" s="533">
        <f t="shared" si="583"/>
        <v>0</v>
      </c>
      <c r="Y456" s="533">
        <f t="shared" si="583"/>
        <v>0</v>
      </c>
      <c r="Z456" s="533">
        <f t="shared" si="583"/>
        <v>0</v>
      </c>
      <c r="AA456" s="533">
        <f t="shared" si="584"/>
        <v>0</v>
      </c>
      <c r="AB456" s="533">
        <f t="shared" si="585"/>
        <v>0</v>
      </c>
      <c r="AC456" s="533">
        <f t="shared" si="585"/>
        <v>0</v>
      </c>
      <c r="AD456" s="533">
        <f t="shared" si="585"/>
        <v>0</v>
      </c>
      <c r="AE456" s="533">
        <f t="shared" si="586"/>
        <v>0</v>
      </c>
      <c r="AF456" s="533">
        <f t="shared" si="587"/>
        <v>0</v>
      </c>
      <c r="AG456" s="533">
        <f t="shared" si="587"/>
        <v>0</v>
      </c>
      <c r="AH456" s="533">
        <f t="shared" si="587"/>
        <v>0</v>
      </c>
      <c r="AI456" s="533">
        <f t="shared" si="588"/>
        <v>0</v>
      </c>
      <c r="AJ456" s="533">
        <f t="shared" si="589"/>
        <v>0</v>
      </c>
      <c r="AK456" s="533">
        <f t="shared" si="589"/>
        <v>0</v>
      </c>
      <c r="AL456" s="533">
        <f t="shared" si="589"/>
        <v>0</v>
      </c>
      <c r="AM456" s="533">
        <f t="shared" si="590"/>
        <v>0</v>
      </c>
      <c r="AN456" s="533">
        <f t="shared" si="591"/>
        <v>0</v>
      </c>
      <c r="AO456" s="533">
        <f t="shared" si="591"/>
        <v>0</v>
      </c>
      <c r="AP456" s="533">
        <f t="shared" si="591"/>
        <v>0</v>
      </c>
      <c r="AQ456" s="533">
        <f t="shared" si="592"/>
        <v>0</v>
      </c>
      <c r="AR456" s="533">
        <f t="shared" si="593"/>
        <v>0</v>
      </c>
      <c r="AS456" s="533">
        <f t="shared" si="593"/>
        <v>0</v>
      </c>
      <c r="AT456" s="533">
        <f t="shared" si="593"/>
        <v>0</v>
      </c>
      <c r="AU456" s="576">
        <f t="shared" si="594"/>
        <v>0</v>
      </c>
      <c r="AV456" s="532"/>
      <c r="AW456" s="532"/>
      <c r="AX456" s="532"/>
      <c r="AY456" s="532"/>
      <c r="AZ456" s="755">
        <f t="shared" ref="AZ456:BN456" si="602">AZ364</f>
        <v>0</v>
      </c>
      <c r="BA456" s="755">
        <f t="shared" si="602"/>
        <v>0</v>
      </c>
      <c r="BB456" s="755">
        <f t="shared" si="602"/>
        <v>0</v>
      </c>
      <c r="BC456" s="755">
        <f t="shared" si="602"/>
        <v>0</v>
      </c>
      <c r="BD456" s="755">
        <f t="shared" si="602"/>
        <v>0</v>
      </c>
      <c r="BE456" s="755">
        <f t="shared" si="602"/>
        <v>0</v>
      </c>
      <c r="BF456" s="755">
        <f t="shared" si="602"/>
        <v>0</v>
      </c>
      <c r="BG456" s="755">
        <f t="shared" si="602"/>
        <v>0</v>
      </c>
      <c r="BH456" s="755">
        <f t="shared" si="602"/>
        <v>8.8999999999999996E-2</v>
      </c>
      <c r="BI456" s="755">
        <f t="shared" si="602"/>
        <v>0</v>
      </c>
      <c r="BJ456" s="755">
        <f t="shared" si="602"/>
        <v>0</v>
      </c>
      <c r="BK456" s="755">
        <f t="shared" si="602"/>
        <v>0</v>
      </c>
      <c r="BL456" s="755">
        <f t="shared" si="602"/>
        <v>0</v>
      </c>
      <c r="BM456" s="755">
        <f t="shared" si="602"/>
        <v>0</v>
      </c>
      <c r="BN456" s="756">
        <f t="shared" si="602"/>
        <v>0</v>
      </c>
      <c r="BO456" s="156">
        <f t="shared" si="597"/>
        <v>0</v>
      </c>
      <c r="BP456" s="156" t="e">
        <f>SUM(#REF!,#REF!,#REF!,#REF!)</f>
        <v>#REF!</v>
      </c>
      <c r="BQ456" s="156"/>
      <c r="BR456" s="156"/>
      <c r="BS456" s="156"/>
      <c r="BT456" s="533"/>
    </row>
    <row r="457" spans="1:72" s="17" customFormat="1" x14ac:dyDescent="0.35">
      <c r="A457" s="208" t="str">
        <f t="shared" si="571"/>
        <v>Mortgage note to managed school partner</v>
      </c>
      <c r="B457" s="532"/>
      <c r="C457" s="533">
        <f t="shared" si="572"/>
        <v>0</v>
      </c>
      <c r="D457" s="533">
        <f t="shared" si="573"/>
        <v>0</v>
      </c>
      <c r="E457" s="533">
        <f t="shared" si="573"/>
        <v>0</v>
      </c>
      <c r="F457" s="533">
        <f t="shared" si="573"/>
        <v>0</v>
      </c>
      <c r="G457" s="533">
        <f t="shared" si="574"/>
        <v>-2.1</v>
      </c>
      <c r="H457" s="533">
        <f t="shared" si="575"/>
        <v>0</v>
      </c>
      <c r="I457" s="533">
        <f t="shared" si="575"/>
        <v>0</v>
      </c>
      <c r="J457" s="533">
        <f t="shared" si="575"/>
        <v>0</v>
      </c>
      <c r="K457" s="533">
        <f t="shared" si="576"/>
        <v>0</v>
      </c>
      <c r="L457" s="533">
        <f t="shared" si="577"/>
        <v>0</v>
      </c>
      <c r="M457" s="533">
        <f t="shared" si="577"/>
        <v>0</v>
      </c>
      <c r="N457" s="533">
        <f t="shared" si="577"/>
        <v>0</v>
      </c>
      <c r="O457" s="533">
        <f t="shared" si="578"/>
        <v>0</v>
      </c>
      <c r="P457" s="533">
        <f t="shared" si="579"/>
        <v>0</v>
      </c>
      <c r="Q457" s="533">
        <f t="shared" si="579"/>
        <v>0</v>
      </c>
      <c r="R457" s="533">
        <f t="shared" si="579"/>
        <v>0</v>
      </c>
      <c r="S457" s="533">
        <f t="shared" si="580"/>
        <v>0</v>
      </c>
      <c r="T457" s="533">
        <f t="shared" si="581"/>
        <v>0</v>
      </c>
      <c r="U457" s="533">
        <f t="shared" si="581"/>
        <v>0</v>
      </c>
      <c r="V457" s="533">
        <f t="shared" si="581"/>
        <v>0</v>
      </c>
      <c r="W457" s="533">
        <f t="shared" si="582"/>
        <v>0</v>
      </c>
      <c r="X457" s="533">
        <f t="shared" si="583"/>
        <v>0</v>
      </c>
      <c r="Y457" s="533">
        <f t="shared" si="583"/>
        <v>0</v>
      </c>
      <c r="Z457" s="533">
        <f t="shared" si="583"/>
        <v>0</v>
      </c>
      <c r="AA457" s="533">
        <f t="shared" si="584"/>
        <v>0</v>
      </c>
      <c r="AB457" s="533">
        <f t="shared" si="585"/>
        <v>0</v>
      </c>
      <c r="AC457" s="533">
        <f t="shared" si="585"/>
        <v>0</v>
      </c>
      <c r="AD457" s="533">
        <f t="shared" si="585"/>
        <v>0</v>
      </c>
      <c r="AE457" s="533">
        <f t="shared" si="586"/>
        <v>0</v>
      </c>
      <c r="AF457" s="533">
        <f t="shared" si="587"/>
        <v>0</v>
      </c>
      <c r="AG457" s="533">
        <f t="shared" si="587"/>
        <v>0</v>
      </c>
      <c r="AH457" s="533">
        <f t="shared" si="587"/>
        <v>0</v>
      </c>
      <c r="AI457" s="533">
        <f t="shared" si="588"/>
        <v>0</v>
      </c>
      <c r="AJ457" s="533">
        <f t="shared" si="589"/>
        <v>0</v>
      </c>
      <c r="AK457" s="533">
        <f t="shared" si="589"/>
        <v>0</v>
      </c>
      <c r="AL457" s="533">
        <f t="shared" si="589"/>
        <v>0</v>
      </c>
      <c r="AM457" s="533">
        <f t="shared" si="590"/>
        <v>0</v>
      </c>
      <c r="AN457" s="533">
        <f t="shared" si="591"/>
        <v>0</v>
      </c>
      <c r="AO457" s="533">
        <f t="shared" si="591"/>
        <v>0</v>
      </c>
      <c r="AP457" s="533">
        <f t="shared" si="591"/>
        <v>0</v>
      </c>
      <c r="AQ457" s="533">
        <f t="shared" si="592"/>
        <v>0</v>
      </c>
      <c r="AR457" s="533">
        <f t="shared" si="593"/>
        <v>0</v>
      </c>
      <c r="AS457" s="533">
        <f t="shared" si="593"/>
        <v>0</v>
      </c>
      <c r="AT457" s="533">
        <f t="shared" si="593"/>
        <v>0</v>
      </c>
      <c r="AU457" s="576">
        <f t="shared" si="594"/>
        <v>0</v>
      </c>
      <c r="AV457" s="532"/>
      <c r="AW457" s="532"/>
      <c r="AX457" s="532"/>
      <c r="AY457" s="532"/>
      <c r="AZ457" s="755">
        <f t="shared" ref="AZ457:BN457" si="603">AZ365</f>
        <v>0</v>
      </c>
      <c r="BA457" s="755">
        <f t="shared" si="603"/>
        <v>0</v>
      </c>
      <c r="BB457" s="755">
        <f t="shared" si="603"/>
        <v>0</v>
      </c>
      <c r="BC457" s="755">
        <f t="shared" si="603"/>
        <v>0</v>
      </c>
      <c r="BD457" s="755">
        <f t="shared" si="603"/>
        <v>0</v>
      </c>
      <c r="BE457" s="755">
        <f t="shared" si="603"/>
        <v>-2.1</v>
      </c>
      <c r="BF457" s="755">
        <f t="shared" si="603"/>
        <v>0</v>
      </c>
      <c r="BG457" s="755">
        <f t="shared" si="603"/>
        <v>0</v>
      </c>
      <c r="BH457" s="755">
        <f t="shared" si="603"/>
        <v>0</v>
      </c>
      <c r="BI457" s="755">
        <f t="shared" si="603"/>
        <v>0</v>
      </c>
      <c r="BJ457" s="755">
        <f t="shared" si="603"/>
        <v>0</v>
      </c>
      <c r="BK457" s="755">
        <f t="shared" si="603"/>
        <v>0</v>
      </c>
      <c r="BL457" s="755">
        <f t="shared" si="603"/>
        <v>0</v>
      </c>
      <c r="BM457" s="755">
        <f t="shared" si="603"/>
        <v>0</v>
      </c>
      <c r="BN457" s="756">
        <f t="shared" si="603"/>
        <v>0</v>
      </c>
      <c r="BO457" s="156">
        <f t="shared" si="597"/>
        <v>0</v>
      </c>
      <c r="BP457" s="156" t="e">
        <f>SUM(#REF!,#REF!,#REF!,#REF!)</f>
        <v>#REF!</v>
      </c>
      <c r="BQ457" s="156"/>
      <c r="BR457" s="156"/>
      <c r="BS457" s="156"/>
      <c r="BT457" s="533"/>
    </row>
    <row r="458" spans="1:72" s="17" customFormat="1" x14ac:dyDescent="0.35">
      <c r="A458" s="208" t="str">
        <f t="shared" si="571"/>
        <v>Acquisition of LTS Education Systems, net of cash acquired</v>
      </c>
      <c r="B458" s="532"/>
      <c r="C458" s="533">
        <f t="shared" si="572"/>
        <v>0</v>
      </c>
      <c r="D458" s="533">
        <f t="shared" si="573"/>
        <v>0</v>
      </c>
      <c r="E458" s="533">
        <f t="shared" si="573"/>
        <v>0</v>
      </c>
      <c r="F458" s="533">
        <f t="shared" si="573"/>
        <v>0</v>
      </c>
      <c r="G458" s="533">
        <f t="shared" si="574"/>
        <v>0</v>
      </c>
      <c r="H458" s="533">
        <f t="shared" si="575"/>
        <v>0</v>
      </c>
      <c r="I458" s="533">
        <f t="shared" si="575"/>
        <v>0</v>
      </c>
      <c r="J458" s="533">
        <f t="shared" si="575"/>
        <v>0</v>
      </c>
      <c r="K458" s="533">
        <f t="shared" si="576"/>
        <v>0</v>
      </c>
      <c r="L458" s="533">
        <f t="shared" si="577"/>
        <v>0</v>
      </c>
      <c r="M458" s="533">
        <f t="shared" si="577"/>
        <v>0</v>
      </c>
      <c r="N458" s="533">
        <f t="shared" si="577"/>
        <v>0</v>
      </c>
      <c r="O458" s="533">
        <f t="shared" si="578"/>
        <v>0</v>
      </c>
      <c r="P458" s="533">
        <f t="shared" si="579"/>
        <v>0</v>
      </c>
      <c r="Q458" s="533">
        <f t="shared" si="579"/>
        <v>0</v>
      </c>
      <c r="R458" s="533">
        <f t="shared" si="579"/>
        <v>-19.952999999999999</v>
      </c>
      <c r="S458" s="533">
        <f t="shared" si="580"/>
        <v>0</v>
      </c>
      <c r="T458" s="533">
        <f t="shared" si="581"/>
        <v>0</v>
      </c>
      <c r="U458" s="533">
        <f t="shared" si="581"/>
        <v>0</v>
      </c>
      <c r="V458" s="533">
        <f t="shared" si="581"/>
        <v>7.0999999999999994E-2</v>
      </c>
      <c r="W458" s="533">
        <f t="shared" si="582"/>
        <v>0</v>
      </c>
      <c r="X458" s="533">
        <f t="shared" si="583"/>
        <v>0</v>
      </c>
      <c r="Y458" s="533">
        <f t="shared" si="583"/>
        <v>0</v>
      </c>
      <c r="Z458" s="533">
        <f t="shared" si="583"/>
        <v>0</v>
      </c>
      <c r="AA458" s="533">
        <f t="shared" si="584"/>
        <v>0</v>
      </c>
      <c r="AB458" s="533">
        <f t="shared" si="585"/>
        <v>0</v>
      </c>
      <c r="AC458" s="533">
        <f t="shared" si="585"/>
        <v>0</v>
      </c>
      <c r="AD458" s="533">
        <f t="shared" si="585"/>
        <v>0</v>
      </c>
      <c r="AE458" s="533">
        <f t="shared" si="586"/>
        <v>0</v>
      </c>
      <c r="AF458" s="533">
        <f t="shared" si="587"/>
        <v>0</v>
      </c>
      <c r="AG458" s="533">
        <f t="shared" si="587"/>
        <v>0</v>
      </c>
      <c r="AH458" s="533">
        <f t="shared" si="587"/>
        <v>0</v>
      </c>
      <c r="AI458" s="533">
        <f t="shared" si="588"/>
        <v>0</v>
      </c>
      <c r="AJ458" s="533">
        <f t="shared" si="589"/>
        <v>0</v>
      </c>
      <c r="AK458" s="533">
        <f t="shared" si="589"/>
        <v>0</v>
      </c>
      <c r="AL458" s="533">
        <f t="shared" si="589"/>
        <v>0</v>
      </c>
      <c r="AM458" s="533">
        <f t="shared" si="590"/>
        <v>0</v>
      </c>
      <c r="AN458" s="533">
        <f t="shared" si="591"/>
        <v>0</v>
      </c>
      <c r="AO458" s="533">
        <f t="shared" si="591"/>
        <v>0</v>
      </c>
      <c r="AP458" s="533">
        <f t="shared" si="591"/>
        <v>0</v>
      </c>
      <c r="AQ458" s="533">
        <f t="shared" si="592"/>
        <v>0</v>
      </c>
      <c r="AR458" s="533">
        <f t="shared" si="593"/>
        <v>0</v>
      </c>
      <c r="AS458" s="533">
        <f t="shared" si="593"/>
        <v>0</v>
      </c>
      <c r="AT458" s="533">
        <f t="shared" si="593"/>
        <v>0</v>
      </c>
      <c r="AU458" s="576">
        <f t="shared" si="594"/>
        <v>0</v>
      </c>
      <c r="AV458" s="532"/>
      <c r="AW458" s="532"/>
      <c r="AX458" s="532"/>
      <c r="AY458" s="532"/>
      <c r="AZ458" s="755">
        <f t="shared" ref="AZ458:BN458" si="604">AZ366</f>
        <v>0</v>
      </c>
      <c r="BA458" s="755">
        <f t="shared" si="604"/>
        <v>0</v>
      </c>
      <c r="BB458" s="755">
        <f t="shared" si="604"/>
        <v>0</v>
      </c>
      <c r="BC458" s="755">
        <f t="shared" si="604"/>
        <v>0</v>
      </c>
      <c r="BD458" s="755">
        <f t="shared" si="604"/>
        <v>0</v>
      </c>
      <c r="BE458" s="755">
        <f t="shared" si="604"/>
        <v>0</v>
      </c>
      <c r="BF458" s="755">
        <f t="shared" si="604"/>
        <v>0</v>
      </c>
      <c r="BG458" s="755">
        <f t="shared" si="604"/>
        <v>-19.952999999999999</v>
      </c>
      <c r="BH458" s="755">
        <f t="shared" si="604"/>
        <v>7.0999999999999994E-2</v>
      </c>
      <c r="BI458" s="755">
        <f t="shared" si="604"/>
        <v>0</v>
      </c>
      <c r="BJ458" s="755">
        <f t="shared" si="604"/>
        <v>0</v>
      </c>
      <c r="BK458" s="755">
        <f t="shared" si="604"/>
        <v>0</v>
      </c>
      <c r="BL458" s="755">
        <f t="shared" si="604"/>
        <v>0</v>
      </c>
      <c r="BM458" s="755">
        <f t="shared" si="604"/>
        <v>0</v>
      </c>
      <c r="BN458" s="756">
        <f t="shared" si="604"/>
        <v>0</v>
      </c>
      <c r="BO458" s="156">
        <f t="shared" si="597"/>
        <v>0</v>
      </c>
      <c r="BP458" s="156" t="e">
        <f>SUM(#REF!,#REF!,#REF!,#REF!)</f>
        <v>#REF!</v>
      </c>
      <c r="BQ458" s="156"/>
      <c r="BR458" s="156"/>
      <c r="BS458" s="156"/>
      <c r="BT458" s="533"/>
    </row>
    <row r="459" spans="1:72" s="17" customFormat="1" x14ac:dyDescent="0.35">
      <c r="A459" s="208" t="s">
        <v>146</v>
      </c>
      <c r="B459" s="532"/>
      <c r="C459" s="533">
        <f t="shared" si="572"/>
        <v>0</v>
      </c>
      <c r="D459" s="533">
        <f t="shared" si="573"/>
        <v>0</v>
      </c>
      <c r="E459" s="533">
        <f t="shared" si="573"/>
        <v>0</v>
      </c>
      <c r="F459" s="533">
        <f t="shared" si="573"/>
        <v>0</v>
      </c>
      <c r="G459" s="533">
        <f t="shared" si="574"/>
        <v>0</v>
      </c>
      <c r="H459" s="533">
        <f t="shared" si="575"/>
        <v>0</v>
      </c>
      <c r="I459" s="533">
        <f t="shared" si="575"/>
        <v>0</v>
      </c>
      <c r="J459" s="533">
        <f t="shared" si="575"/>
        <v>0</v>
      </c>
      <c r="K459" s="533">
        <f t="shared" si="576"/>
        <v>0</v>
      </c>
      <c r="L459" s="533">
        <f t="shared" si="577"/>
        <v>0</v>
      </c>
      <c r="M459" s="533">
        <f t="shared" si="577"/>
        <v>0</v>
      </c>
      <c r="N459" s="533">
        <f t="shared" si="577"/>
        <v>0</v>
      </c>
      <c r="O459" s="533">
        <f t="shared" si="578"/>
        <v>0</v>
      </c>
      <c r="P459" s="533">
        <f t="shared" si="579"/>
        <v>0</v>
      </c>
      <c r="Q459" s="533">
        <f t="shared" si="579"/>
        <v>0</v>
      </c>
      <c r="R459" s="533">
        <f t="shared" si="579"/>
        <v>0</v>
      </c>
      <c r="S459" s="533">
        <f t="shared" si="580"/>
        <v>0</v>
      </c>
      <c r="T459" s="533">
        <f t="shared" si="581"/>
        <v>0</v>
      </c>
      <c r="U459" s="533">
        <f t="shared" si="581"/>
        <v>0</v>
      </c>
      <c r="V459" s="533">
        <f t="shared" si="581"/>
        <v>0</v>
      </c>
      <c r="W459" s="533">
        <f t="shared" si="582"/>
        <v>0</v>
      </c>
      <c r="X459" s="533">
        <f t="shared" si="583"/>
        <v>-2.17</v>
      </c>
      <c r="Y459" s="533">
        <f t="shared" si="583"/>
        <v>-0.60400000000000009</v>
      </c>
      <c r="Z459" s="533">
        <f t="shared" si="583"/>
        <v>2.774</v>
      </c>
      <c r="AA459" s="533">
        <f t="shared" si="584"/>
        <v>0</v>
      </c>
      <c r="AB459" s="533">
        <f t="shared" si="585"/>
        <v>0</v>
      </c>
      <c r="AC459" s="533">
        <f t="shared" si="585"/>
        <v>0</v>
      </c>
      <c r="AD459" s="533">
        <f t="shared" si="585"/>
        <v>0</v>
      </c>
      <c r="AE459" s="533">
        <f t="shared" si="586"/>
        <v>0</v>
      </c>
      <c r="AF459" s="533">
        <f t="shared" si="587"/>
        <v>0</v>
      </c>
      <c r="AG459" s="533">
        <f t="shared" si="587"/>
        <v>0</v>
      </c>
      <c r="AH459" s="533">
        <f t="shared" si="587"/>
        <v>0</v>
      </c>
      <c r="AI459" s="533">
        <f t="shared" si="588"/>
        <v>0</v>
      </c>
      <c r="AJ459" s="533">
        <f t="shared" si="589"/>
        <v>0</v>
      </c>
      <c r="AK459" s="533">
        <f t="shared" si="589"/>
        <v>0</v>
      </c>
      <c r="AL459" s="533">
        <f t="shared" si="589"/>
        <v>0</v>
      </c>
      <c r="AM459" s="533">
        <f t="shared" si="590"/>
        <v>0</v>
      </c>
      <c r="AN459" s="533">
        <f t="shared" si="591"/>
        <v>0</v>
      </c>
      <c r="AO459" s="533">
        <f t="shared" si="591"/>
        <v>0</v>
      </c>
      <c r="AP459" s="533">
        <f t="shared" si="591"/>
        <v>0</v>
      </c>
      <c r="AQ459" s="533">
        <f t="shared" si="592"/>
        <v>0</v>
      </c>
      <c r="AR459" s="533">
        <f t="shared" si="593"/>
        <v>0</v>
      </c>
      <c r="AS459" s="533">
        <f t="shared" si="593"/>
        <v>0</v>
      </c>
      <c r="AT459" s="533">
        <f t="shared" si="593"/>
        <v>0</v>
      </c>
      <c r="AU459" s="576">
        <f t="shared" si="594"/>
        <v>0</v>
      </c>
      <c r="AV459" s="532"/>
      <c r="AW459" s="532"/>
      <c r="AX459" s="532"/>
      <c r="AY459" s="532"/>
      <c r="AZ459" s="755">
        <f t="shared" ref="AZ459:BN459" si="605">AZ367</f>
        <v>0</v>
      </c>
      <c r="BA459" s="755">
        <f t="shared" si="605"/>
        <v>0</v>
      </c>
      <c r="BB459" s="755">
        <f t="shared" si="605"/>
        <v>0</v>
      </c>
      <c r="BC459" s="755">
        <f t="shared" si="605"/>
        <v>0</v>
      </c>
      <c r="BD459" s="755">
        <f t="shared" si="605"/>
        <v>0</v>
      </c>
      <c r="BE459" s="755">
        <f t="shared" si="605"/>
        <v>0</v>
      </c>
      <c r="BF459" s="755">
        <f t="shared" si="605"/>
        <v>0</v>
      </c>
      <c r="BG459" s="755">
        <f t="shared" si="605"/>
        <v>0</v>
      </c>
      <c r="BH459" s="755">
        <f t="shared" si="605"/>
        <v>0</v>
      </c>
      <c r="BI459" s="755">
        <f t="shared" si="605"/>
        <v>0</v>
      </c>
      <c r="BJ459" s="755">
        <f t="shared" si="605"/>
        <v>0</v>
      </c>
      <c r="BK459" s="755">
        <f t="shared" si="605"/>
        <v>0</v>
      </c>
      <c r="BL459" s="755">
        <f t="shared" si="605"/>
        <v>0</v>
      </c>
      <c r="BM459" s="755">
        <f t="shared" si="605"/>
        <v>0</v>
      </c>
      <c r="BN459" s="756">
        <f t="shared" si="605"/>
        <v>0</v>
      </c>
      <c r="BO459" s="156">
        <f t="shared" si="597"/>
        <v>0</v>
      </c>
      <c r="BP459" s="156" t="e">
        <f>SUM(#REF!,#REF!,#REF!,#REF!)</f>
        <v>#REF!</v>
      </c>
      <c r="BQ459" s="156"/>
      <c r="BR459" s="156"/>
      <c r="BS459" s="156"/>
      <c r="BT459" s="533"/>
    </row>
    <row r="460" spans="1:72" s="17" customFormat="1" x14ac:dyDescent="0.35">
      <c r="A460" s="208" t="str">
        <f t="shared" ref="A460:A477" si="606">A368</f>
        <v>Acquisition of Galvanize, Inc., net of cash acquired</v>
      </c>
      <c r="B460" s="532"/>
      <c r="C460" s="533">
        <f t="shared" si="572"/>
        <v>0</v>
      </c>
      <c r="D460" s="533">
        <f t="shared" si="573"/>
        <v>0</v>
      </c>
      <c r="E460" s="533">
        <f t="shared" si="573"/>
        <v>0</v>
      </c>
      <c r="F460" s="533">
        <f t="shared" si="573"/>
        <v>0</v>
      </c>
      <c r="G460" s="533">
        <f t="shared" si="574"/>
        <v>0</v>
      </c>
      <c r="H460" s="533">
        <f t="shared" si="575"/>
        <v>0</v>
      </c>
      <c r="I460" s="533">
        <f t="shared" si="575"/>
        <v>0</v>
      </c>
      <c r="J460" s="533">
        <f t="shared" si="575"/>
        <v>0</v>
      </c>
      <c r="K460" s="533">
        <f t="shared" si="576"/>
        <v>0</v>
      </c>
      <c r="L460" s="533">
        <f t="shared" si="577"/>
        <v>0</v>
      </c>
      <c r="M460" s="533">
        <f t="shared" si="577"/>
        <v>0</v>
      </c>
      <c r="N460" s="533">
        <f t="shared" si="577"/>
        <v>0</v>
      </c>
      <c r="O460" s="533">
        <f t="shared" si="578"/>
        <v>0</v>
      </c>
      <c r="P460" s="533">
        <f t="shared" si="579"/>
        <v>0</v>
      </c>
      <c r="Q460" s="533">
        <f t="shared" si="579"/>
        <v>0</v>
      </c>
      <c r="R460" s="533">
        <f t="shared" si="579"/>
        <v>0</v>
      </c>
      <c r="S460" s="533">
        <f t="shared" si="580"/>
        <v>0</v>
      </c>
      <c r="T460" s="533">
        <f t="shared" si="581"/>
        <v>0</v>
      </c>
      <c r="U460" s="533">
        <f t="shared" si="581"/>
        <v>0</v>
      </c>
      <c r="V460" s="533">
        <f t="shared" si="581"/>
        <v>0</v>
      </c>
      <c r="W460" s="533">
        <f t="shared" si="582"/>
        <v>0</v>
      </c>
      <c r="X460" s="533">
        <f t="shared" si="583"/>
        <v>0</v>
      </c>
      <c r="Y460" s="533">
        <f t="shared" si="583"/>
        <v>0</v>
      </c>
      <c r="Z460" s="533">
        <f t="shared" si="583"/>
        <v>0</v>
      </c>
      <c r="AA460" s="533">
        <f t="shared" si="584"/>
        <v>0</v>
      </c>
      <c r="AB460" s="533">
        <f t="shared" si="585"/>
        <v>0</v>
      </c>
      <c r="AC460" s="533">
        <f t="shared" si="585"/>
        <v>0</v>
      </c>
      <c r="AD460" s="533">
        <f t="shared" si="585"/>
        <v>0</v>
      </c>
      <c r="AE460" s="533">
        <f t="shared" si="586"/>
        <v>0</v>
      </c>
      <c r="AF460" s="533">
        <f t="shared" si="587"/>
        <v>0</v>
      </c>
      <c r="AG460" s="533">
        <f t="shared" si="587"/>
        <v>-167.995</v>
      </c>
      <c r="AH460" s="533">
        <f t="shared" si="587"/>
        <v>0</v>
      </c>
      <c r="AI460" s="533">
        <f t="shared" si="588"/>
        <v>0</v>
      </c>
      <c r="AJ460" s="533">
        <f t="shared" si="589"/>
        <v>0</v>
      </c>
      <c r="AK460" s="533">
        <f t="shared" si="589"/>
        <v>0</v>
      </c>
      <c r="AL460" s="533">
        <f t="shared" si="589"/>
        <v>0</v>
      </c>
      <c r="AM460" s="533">
        <f t="shared" si="590"/>
        <v>0</v>
      </c>
      <c r="AN460" s="533">
        <f t="shared" si="591"/>
        <v>0</v>
      </c>
      <c r="AO460" s="533">
        <f t="shared" si="591"/>
        <v>0</v>
      </c>
      <c r="AP460" s="533">
        <f t="shared" si="591"/>
        <v>0</v>
      </c>
      <c r="AQ460" s="533">
        <f t="shared" si="592"/>
        <v>0</v>
      </c>
      <c r="AR460" s="533">
        <f t="shared" si="593"/>
        <v>0</v>
      </c>
      <c r="AS460" s="533">
        <f t="shared" si="593"/>
        <v>0</v>
      </c>
      <c r="AT460" s="533">
        <f t="shared" si="593"/>
        <v>0</v>
      </c>
      <c r="AU460" s="576">
        <f t="shared" si="594"/>
        <v>0</v>
      </c>
      <c r="AV460" s="532"/>
      <c r="AW460" s="532"/>
      <c r="AX460" s="532"/>
      <c r="AY460" s="532"/>
      <c r="AZ460" s="755">
        <f t="shared" ref="AZ460:BN460" si="607">AZ368</f>
        <v>0</v>
      </c>
      <c r="BA460" s="755">
        <f t="shared" si="607"/>
        <v>0</v>
      </c>
      <c r="BB460" s="755">
        <f t="shared" si="607"/>
        <v>0</v>
      </c>
      <c r="BC460" s="755">
        <f t="shared" si="607"/>
        <v>0</v>
      </c>
      <c r="BD460" s="755">
        <f t="shared" si="607"/>
        <v>0</v>
      </c>
      <c r="BE460" s="755">
        <f t="shared" si="607"/>
        <v>0</v>
      </c>
      <c r="BF460" s="755">
        <f t="shared" si="607"/>
        <v>0</v>
      </c>
      <c r="BG460" s="755">
        <f t="shared" si="607"/>
        <v>0</v>
      </c>
      <c r="BH460" s="755">
        <f t="shared" si="607"/>
        <v>0</v>
      </c>
      <c r="BI460" s="755">
        <f t="shared" si="607"/>
        <v>0</v>
      </c>
      <c r="BJ460" s="755">
        <f t="shared" si="607"/>
        <v>0</v>
      </c>
      <c r="BK460" s="755">
        <f t="shared" si="607"/>
        <v>-167.995</v>
      </c>
      <c r="BL460" s="755">
        <f t="shared" si="607"/>
        <v>0</v>
      </c>
      <c r="BM460" s="755">
        <f t="shared" si="607"/>
        <v>0</v>
      </c>
      <c r="BN460" s="756">
        <f t="shared" si="607"/>
        <v>0</v>
      </c>
      <c r="BO460" s="156">
        <f t="shared" si="597"/>
        <v>0</v>
      </c>
      <c r="BP460" s="156" t="e">
        <f>SUM(#REF!,#REF!,#REF!,#REF!)</f>
        <v>#REF!</v>
      </c>
      <c r="BQ460" s="156"/>
      <c r="BR460" s="156"/>
      <c r="BS460" s="156"/>
      <c r="BT460" s="533"/>
    </row>
    <row r="461" spans="1:72" s="17" customFormat="1" x14ac:dyDescent="0.35">
      <c r="A461" s="208" t="str">
        <f t="shared" si="606"/>
        <v>Acquisition of MedCerts, LLC, net of cash acquired</v>
      </c>
      <c r="B461" s="532"/>
      <c r="C461" s="533">
        <f t="shared" si="572"/>
        <v>0</v>
      </c>
      <c r="D461" s="533">
        <f t="shared" si="573"/>
        <v>0</v>
      </c>
      <c r="E461" s="533">
        <f t="shared" si="573"/>
        <v>0</v>
      </c>
      <c r="F461" s="533">
        <f t="shared" si="573"/>
        <v>0</v>
      </c>
      <c r="G461" s="533">
        <f t="shared" si="574"/>
        <v>0</v>
      </c>
      <c r="H461" s="533">
        <f t="shared" si="575"/>
        <v>0</v>
      </c>
      <c r="I461" s="533">
        <f t="shared" si="575"/>
        <v>0</v>
      </c>
      <c r="J461" s="533">
        <f t="shared" si="575"/>
        <v>0</v>
      </c>
      <c r="K461" s="533">
        <f t="shared" si="576"/>
        <v>0</v>
      </c>
      <c r="L461" s="533">
        <f t="shared" si="577"/>
        <v>0</v>
      </c>
      <c r="M461" s="533">
        <f t="shared" si="577"/>
        <v>0</v>
      </c>
      <c r="N461" s="533">
        <f t="shared" si="577"/>
        <v>0</v>
      </c>
      <c r="O461" s="533">
        <f t="shared" si="578"/>
        <v>0</v>
      </c>
      <c r="P461" s="533">
        <f t="shared" si="579"/>
        <v>0</v>
      </c>
      <c r="Q461" s="533">
        <f t="shared" si="579"/>
        <v>0</v>
      </c>
      <c r="R461" s="533">
        <f t="shared" si="579"/>
        <v>0</v>
      </c>
      <c r="S461" s="533">
        <f t="shared" si="580"/>
        <v>0</v>
      </c>
      <c r="T461" s="533">
        <f t="shared" si="581"/>
        <v>0</v>
      </c>
      <c r="U461" s="533">
        <f t="shared" si="581"/>
        <v>0</v>
      </c>
      <c r="V461" s="533">
        <f t="shared" si="581"/>
        <v>0</v>
      </c>
      <c r="W461" s="533">
        <f t="shared" si="582"/>
        <v>0</v>
      </c>
      <c r="X461" s="533">
        <f t="shared" si="583"/>
        <v>0</v>
      </c>
      <c r="Y461" s="533">
        <f t="shared" si="583"/>
        <v>0</v>
      </c>
      <c r="Z461" s="533">
        <f t="shared" si="583"/>
        <v>0</v>
      </c>
      <c r="AA461" s="533">
        <f t="shared" si="584"/>
        <v>0</v>
      </c>
      <c r="AB461" s="533">
        <f t="shared" si="585"/>
        <v>0</v>
      </c>
      <c r="AC461" s="533">
        <f t="shared" si="585"/>
        <v>0</v>
      </c>
      <c r="AD461" s="533">
        <f t="shared" si="585"/>
        <v>0</v>
      </c>
      <c r="AE461" s="533">
        <f t="shared" si="586"/>
        <v>0</v>
      </c>
      <c r="AF461" s="533">
        <f t="shared" si="587"/>
        <v>0</v>
      </c>
      <c r="AG461" s="533">
        <f t="shared" si="587"/>
        <v>0</v>
      </c>
      <c r="AH461" s="533">
        <f t="shared" si="587"/>
        <v>0</v>
      </c>
      <c r="AI461" s="533">
        <f t="shared" si="588"/>
        <v>0</v>
      </c>
      <c r="AJ461" s="533">
        <f t="shared" si="589"/>
        <v>-54.774999999999999</v>
      </c>
      <c r="AK461" s="533">
        <f t="shared" si="589"/>
        <v>-2.0000000000003126E-2</v>
      </c>
      <c r="AL461" s="533">
        <f t="shared" si="589"/>
        <v>-0.2359999999999971</v>
      </c>
      <c r="AM461" s="533">
        <f t="shared" si="590"/>
        <v>0</v>
      </c>
      <c r="AN461" s="533">
        <f t="shared" si="591"/>
        <v>0</v>
      </c>
      <c r="AO461" s="533">
        <f t="shared" si="591"/>
        <v>0</v>
      </c>
      <c r="AP461" s="533">
        <f t="shared" si="591"/>
        <v>0</v>
      </c>
      <c r="AQ461" s="533">
        <f t="shared" si="592"/>
        <v>0</v>
      </c>
      <c r="AR461" s="533">
        <f t="shared" si="593"/>
        <v>0</v>
      </c>
      <c r="AS461" s="533">
        <f t="shared" si="593"/>
        <v>0</v>
      </c>
      <c r="AT461" s="533">
        <f t="shared" si="593"/>
        <v>0</v>
      </c>
      <c r="AU461" s="576">
        <f t="shared" si="594"/>
        <v>0</v>
      </c>
      <c r="AV461" s="532"/>
      <c r="AW461" s="532"/>
      <c r="AX461" s="532"/>
      <c r="AY461" s="532"/>
      <c r="AZ461" s="755">
        <f t="shared" ref="AZ461:BN461" si="608">AZ369</f>
        <v>0</v>
      </c>
      <c r="BA461" s="755">
        <f t="shared" si="608"/>
        <v>0</v>
      </c>
      <c r="BB461" s="755">
        <f t="shared" si="608"/>
        <v>0</v>
      </c>
      <c r="BC461" s="755">
        <f t="shared" si="608"/>
        <v>0</v>
      </c>
      <c r="BD461" s="755">
        <f t="shared" si="608"/>
        <v>0</v>
      </c>
      <c r="BE461" s="755">
        <f t="shared" si="608"/>
        <v>0</v>
      </c>
      <c r="BF461" s="755">
        <f t="shared" si="608"/>
        <v>0</v>
      </c>
      <c r="BG461" s="755">
        <f t="shared" si="608"/>
        <v>0</v>
      </c>
      <c r="BH461" s="755">
        <f t="shared" si="608"/>
        <v>0</v>
      </c>
      <c r="BI461" s="755">
        <f t="shared" si="608"/>
        <v>0</v>
      </c>
      <c r="BJ461" s="755">
        <f t="shared" si="608"/>
        <v>0</v>
      </c>
      <c r="BK461" s="755">
        <f t="shared" si="608"/>
        <v>0</v>
      </c>
      <c r="BL461" s="755">
        <f t="shared" si="608"/>
        <v>-55.030999999999999</v>
      </c>
      <c r="BM461" s="755">
        <f t="shared" si="608"/>
        <v>0</v>
      </c>
      <c r="BN461" s="756">
        <f t="shared" si="608"/>
        <v>0</v>
      </c>
      <c r="BO461" s="156">
        <f t="shared" si="597"/>
        <v>0</v>
      </c>
      <c r="BP461" s="156" t="e">
        <f>SUM(#REF!,#REF!,#REF!,#REF!)</f>
        <v>#REF!</v>
      </c>
      <c r="BQ461" s="156"/>
      <c r="BR461" s="156"/>
      <c r="BS461" s="156"/>
      <c r="BT461" s="533"/>
    </row>
    <row r="462" spans="1:72" s="17" customFormat="1" x14ac:dyDescent="0.35">
      <c r="A462" s="208" t="str">
        <f t="shared" si="606"/>
        <v>Acquisition of Tech Elevator, Inc., net of cash acquired</v>
      </c>
      <c r="B462" s="532"/>
      <c r="C462" s="533">
        <f t="shared" si="572"/>
        <v>0</v>
      </c>
      <c r="D462" s="533">
        <f t="shared" si="573"/>
        <v>0</v>
      </c>
      <c r="E462" s="533">
        <f t="shared" si="573"/>
        <v>0</v>
      </c>
      <c r="F462" s="533">
        <f t="shared" si="573"/>
        <v>0</v>
      </c>
      <c r="G462" s="533">
        <f t="shared" si="574"/>
        <v>0</v>
      </c>
      <c r="H462" s="533">
        <f t="shared" si="575"/>
        <v>0</v>
      </c>
      <c r="I462" s="533">
        <f t="shared" si="575"/>
        <v>0</v>
      </c>
      <c r="J462" s="533">
        <f t="shared" si="575"/>
        <v>0</v>
      </c>
      <c r="K462" s="533">
        <f t="shared" si="576"/>
        <v>0</v>
      </c>
      <c r="L462" s="533">
        <f t="shared" si="577"/>
        <v>0</v>
      </c>
      <c r="M462" s="533">
        <f t="shared" si="577"/>
        <v>0</v>
      </c>
      <c r="N462" s="533">
        <f t="shared" si="577"/>
        <v>0</v>
      </c>
      <c r="O462" s="533">
        <f t="shared" si="578"/>
        <v>0</v>
      </c>
      <c r="P462" s="533">
        <f t="shared" si="579"/>
        <v>0</v>
      </c>
      <c r="Q462" s="533">
        <f t="shared" si="579"/>
        <v>0</v>
      </c>
      <c r="R462" s="533">
        <f t="shared" si="579"/>
        <v>0</v>
      </c>
      <c r="S462" s="533">
        <f t="shared" si="580"/>
        <v>0</v>
      </c>
      <c r="T462" s="533">
        <f t="shared" si="581"/>
        <v>0</v>
      </c>
      <c r="U462" s="533">
        <f t="shared" si="581"/>
        <v>0</v>
      </c>
      <c r="V462" s="533">
        <f t="shared" si="581"/>
        <v>0</v>
      </c>
      <c r="W462" s="533">
        <f t="shared" si="582"/>
        <v>0</v>
      </c>
      <c r="X462" s="533">
        <f t="shared" si="583"/>
        <v>0</v>
      </c>
      <c r="Y462" s="533">
        <f t="shared" si="583"/>
        <v>0</v>
      </c>
      <c r="Z462" s="533">
        <f t="shared" si="583"/>
        <v>0</v>
      </c>
      <c r="AA462" s="533">
        <f t="shared" si="584"/>
        <v>0</v>
      </c>
      <c r="AB462" s="533">
        <f t="shared" si="585"/>
        <v>0</v>
      </c>
      <c r="AC462" s="533">
        <f t="shared" si="585"/>
        <v>0</v>
      </c>
      <c r="AD462" s="533">
        <f t="shared" si="585"/>
        <v>0</v>
      </c>
      <c r="AE462" s="533">
        <f t="shared" si="586"/>
        <v>0</v>
      </c>
      <c r="AF462" s="533">
        <f t="shared" si="587"/>
        <v>0</v>
      </c>
      <c r="AG462" s="533">
        <f t="shared" si="587"/>
        <v>0</v>
      </c>
      <c r="AH462" s="533">
        <f t="shared" si="587"/>
        <v>0</v>
      </c>
      <c r="AI462" s="533">
        <f t="shared" si="588"/>
        <v>0</v>
      </c>
      <c r="AJ462" s="533">
        <f t="shared" si="589"/>
        <v>-15.981</v>
      </c>
      <c r="AK462" s="533">
        <f t="shared" si="589"/>
        <v>-4.9000000000001265E-2</v>
      </c>
      <c r="AL462" s="533">
        <f t="shared" si="589"/>
        <v>-7.6999999999998181E-2</v>
      </c>
      <c r="AM462" s="533">
        <f t="shared" si="590"/>
        <v>0</v>
      </c>
      <c r="AN462" s="533">
        <f t="shared" si="591"/>
        <v>0</v>
      </c>
      <c r="AO462" s="533">
        <f t="shared" si="591"/>
        <v>0</v>
      </c>
      <c r="AP462" s="533">
        <f t="shared" si="591"/>
        <v>0</v>
      </c>
      <c r="AQ462" s="533">
        <f t="shared" si="592"/>
        <v>0</v>
      </c>
      <c r="AR462" s="533">
        <f t="shared" si="593"/>
        <v>0</v>
      </c>
      <c r="AS462" s="533">
        <f t="shared" si="593"/>
        <v>0</v>
      </c>
      <c r="AT462" s="533">
        <f t="shared" si="593"/>
        <v>0</v>
      </c>
      <c r="AU462" s="576">
        <f t="shared" si="594"/>
        <v>0</v>
      </c>
      <c r="AV462" s="532"/>
      <c r="AW462" s="532"/>
      <c r="AX462" s="532"/>
      <c r="AY462" s="532"/>
      <c r="AZ462" s="755">
        <f t="shared" ref="AZ462:BN462" si="609">AZ370</f>
        <v>0</v>
      </c>
      <c r="BA462" s="755">
        <f t="shared" si="609"/>
        <v>0</v>
      </c>
      <c r="BB462" s="755">
        <f t="shared" si="609"/>
        <v>0</v>
      </c>
      <c r="BC462" s="755">
        <f t="shared" si="609"/>
        <v>0</v>
      </c>
      <c r="BD462" s="755">
        <f t="shared" si="609"/>
        <v>0</v>
      </c>
      <c r="BE462" s="755">
        <f t="shared" si="609"/>
        <v>0</v>
      </c>
      <c r="BF462" s="755">
        <f t="shared" si="609"/>
        <v>0</v>
      </c>
      <c r="BG462" s="755">
        <f t="shared" si="609"/>
        <v>0</v>
      </c>
      <c r="BH462" s="755">
        <f t="shared" si="609"/>
        <v>0</v>
      </c>
      <c r="BI462" s="755">
        <f t="shared" si="609"/>
        <v>0</v>
      </c>
      <c r="BJ462" s="755">
        <f t="shared" si="609"/>
        <v>0</v>
      </c>
      <c r="BK462" s="755">
        <f t="shared" si="609"/>
        <v>0</v>
      </c>
      <c r="BL462" s="755">
        <f t="shared" si="609"/>
        <v>-16.106999999999999</v>
      </c>
      <c r="BM462" s="755">
        <f t="shared" si="609"/>
        <v>0</v>
      </c>
      <c r="BN462" s="756">
        <f t="shared" si="609"/>
        <v>0</v>
      </c>
      <c r="BO462" s="156">
        <f t="shared" si="597"/>
        <v>0</v>
      </c>
      <c r="BP462" s="156" t="e">
        <f>SUM(#REF!,#REF!,#REF!,#REF!)</f>
        <v>#REF!</v>
      </c>
      <c r="BQ462" s="156"/>
      <c r="BR462" s="156"/>
      <c r="BS462" s="156"/>
      <c r="BT462" s="533"/>
    </row>
    <row r="463" spans="1:72" s="17" customFormat="1" x14ac:dyDescent="0.35">
      <c r="A463" s="208" t="str">
        <f t="shared" si="606"/>
        <v>Net cash received on sale of assets</v>
      </c>
      <c r="B463" s="532"/>
      <c r="C463" s="533">
        <f t="shared" si="572"/>
        <v>0</v>
      </c>
      <c r="D463" s="533">
        <f t="shared" si="573"/>
        <v>0</v>
      </c>
      <c r="E463" s="533">
        <f t="shared" si="573"/>
        <v>0</v>
      </c>
      <c r="F463" s="533">
        <f t="shared" si="573"/>
        <v>0</v>
      </c>
      <c r="G463" s="533">
        <f t="shared" si="574"/>
        <v>0</v>
      </c>
      <c r="H463" s="533">
        <f t="shared" si="575"/>
        <v>0</v>
      </c>
      <c r="I463" s="533">
        <f t="shared" si="575"/>
        <v>0</v>
      </c>
      <c r="J463" s="533">
        <f t="shared" si="575"/>
        <v>5.665</v>
      </c>
      <c r="K463" s="533">
        <f t="shared" si="576"/>
        <v>0</v>
      </c>
      <c r="L463" s="533">
        <f t="shared" si="577"/>
        <v>0</v>
      </c>
      <c r="M463" s="533">
        <f t="shared" si="577"/>
        <v>0</v>
      </c>
      <c r="N463" s="533">
        <f t="shared" si="577"/>
        <v>0</v>
      </c>
      <c r="O463" s="533">
        <f t="shared" si="578"/>
        <v>0</v>
      </c>
      <c r="P463" s="533">
        <f t="shared" si="579"/>
        <v>0</v>
      </c>
      <c r="Q463" s="533">
        <f t="shared" si="579"/>
        <v>0</v>
      </c>
      <c r="R463" s="533">
        <f t="shared" si="579"/>
        <v>0</v>
      </c>
      <c r="S463" s="533">
        <f t="shared" si="580"/>
        <v>0</v>
      </c>
      <c r="T463" s="533">
        <f t="shared" si="581"/>
        <v>0</v>
      </c>
      <c r="U463" s="533">
        <f t="shared" si="581"/>
        <v>0</v>
      </c>
      <c r="V463" s="533">
        <f t="shared" si="581"/>
        <v>0</v>
      </c>
      <c r="W463" s="533">
        <f t="shared" si="582"/>
        <v>0</v>
      </c>
      <c r="X463" s="533">
        <f t="shared" si="583"/>
        <v>0</v>
      </c>
      <c r="Y463" s="533">
        <f t="shared" si="583"/>
        <v>0</v>
      </c>
      <c r="Z463" s="533">
        <f t="shared" si="583"/>
        <v>0</v>
      </c>
      <c r="AA463" s="533">
        <f t="shared" si="584"/>
        <v>0</v>
      </c>
      <c r="AB463" s="533">
        <f t="shared" si="585"/>
        <v>0</v>
      </c>
      <c r="AC463" s="533">
        <f t="shared" si="585"/>
        <v>0.38900000000000001</v>
      </c>
      <c r="AD463" s="533">
        <f t="shared" si="585"/>
        <v>0</v>
      </c>
      <c r="AE463" s="533">
        <f t="shared" si="586"/>
        <v>0</v>
      </c>
      <c r="AF463" s="533">
        <f t="shared" si="587"/>
        <v>0</v>
      </c>
      <c r="AG463" s="533">
        <f t="shared" si="587"/>
        <v>0</v>
      </c>
      <c r="AH463" s="533">
        <f t="shared" si="587"/>
        <v>0</v>
      </c>
      <c r="AI463" s="533">
        <f t="shared" si="588"/>
        <v>0.223</v>
      </c>
      <c r="AJ463" s="533">
        <f t="shared" si="589"/>
        <v>0</v>
      </c>
      <c r="AK463" s="533">
        <f t="shared" si="589"/>
        <v>0</v>
      </c>
      <c r="AL463" s="533">
        <f t="shared" si="589"/>
        <v>0</v>
      </c>
      <c r="AM463" s="533">
        <f t="shared" si="590"/>
        <v>0</v>
      </c>
      <c r="AN463" s="533">
        <f t="shared" si="591"/>
        <v>0</v>
      </c>
      <c r="AO463" s="533">
        <f t="shared" si="591"/>
        <v>0</v>
      </c>
      <c r="AP463" s="533">
        <f t="shared" si="591"/>
        <v>0</v>
      </c>
      <c r="AQ463" s="533">
        <f t="shared" si="592"/>
        <v>0</v>
      </c>
      <c r="AR463" s="533">
        <f t="shared" si="593"/>
        <v>0</v>
      </c>
      <c r="AS463" s="533">
        <f t="shared" si="593"/>
        <v>0</v>
      </c>
      <c r="AT463" s="533">
        <f t="shared" si="593"/>
        <v>0</v>
      </c>
      <c r="AU463" s="576">
        <f t="shared" si="594"/>
        <v>0</v>
      </c>
      <c r="AV463" s="532">
        <f t="shared" ref="AV463:AX463" si="610">AV266</f>
        <v>0</v>
      </c>
      <c r="AW463" s="532">
        <f t="shared" si="610"/>
        <v>0</v>
      </c>
      <c r="AX463" s="532">
        <f t="shared" si="610"/>
        <v>0</v>
      </c>
      <c r="AY463" s="532"/>
      <c r="AZ463" s="755">
        <f t="shared" ref="AZ463:BN463" si="611">AZ371</f>
        <v>0</v>
      </c>
      <c r="BA463" s="755">
        <f t="shared" si="611"/>
        <v>0</v>
      </c>
      <c r="BB463" s="755">
        <f t="shared" si="611"/>
        <v>0</v>
      </c>
      <c r="BC463" s="755">
        <f t="shared" si="611"/>
        <v>0</v>
      </c>
      <c r="BD463" s="755">
        <f t="shared" si="611"/>
        <v>0</v>
      </c>
      <c r="BE463" s="755">
        <f t="shared" si="611"/>
        <v>5.665</v>
      </c>
      <c r="BF463" s="755">
        <f t="shared" si="611"/>
        <v>0</v>
      </c>
      <c r="BG463" s="755">
        <f t="shared" si="611"/>
        <v>0</v>
      </c>
      <c r="BH463" s="755">
        <f t="shared" si="611"/>
        <v>0</v>
      </c>
      <c r="BI463" s="755">
        <f t="shared" si="611"/>
        <v>0</v>
      </c>
      <c r="BJ463" s="755">
        <f t="shared" si="611"/>
        <v>0.38900000000000001</v>
      </c>
      <c r="BK463" s="755">
        <f t="shared" si="611"/>
        <v>0</v>
      </c>
      <c r="BL463" s="755">
        <f t="shared" si="611"/>
        <v>0.223</v>
      </c>
      <c r="BM463" s="755">
        <f t="shared" si="611"/>
        <v>0</v>
      </c>
      <c r="BN463" s="756">
        <f t="shared" si="611"/>
        <v>0</v>
      </c>
      <c r="BO463" s="156">
        <f t="shared" si="597"/>
        <v>0</v>
      </c>
      <c r="BP463" s="156" t="e">
        <f>SUM(#REF!,#REF!,#REF!,#REF!)</f>
        <v>#REF!</v>
      </c>
      <c r="BQ463" s="156">
        <f>BQ266</f>
        <v>0</v>
      </c>
      <c r="BR463" s="156">
        <f>BR266</f>
        <v>0</v>
      </c>
      <c r="BS463" s="156">
        <f>BS266</f>
        <v>0</v>
      </c>
      <c r="BT463" s="533"/>
    </row>
    <row r="464" spans="1:72" s="17" customFormat="1" x14ac:dyDescent="0.35">
      <c r="A464" s="208" t="str">
        <f t="shared" si="606"/>
        <v>Sale of other investments</v>
      </c>
      <c r="B464" s="532"/>
      <c r="C464" s="533">
        <f t="shared" si="572"/>
        <v>0</v>
      </c>
      <c r="D464" s="533">
        <f t="shared" si="573"/>
        <v>0</v>
      </c>
      <c r="E464" s="533">
        <f t="shared" si="573"/>
        <v>0</v>
      </c>
      <c r="F464" s="533">
        <f t="shared" si="573"/>
        <v>0</v>
      </c>
      <c r="G464" s="533">
        <f t="shared" si="574"/>
        <v>0</v>
      </c>
      <c r="H464" s="533">
        <f t="shared" si="575"/>
        <v>0</v>
      </c>
      <c r="I464" s="533">
        <f t="shared" si="575"/>
        <v>0</v>
      </c>
      <c r="J464" s="533">
        <f t="shared" si="575"/>
        <v>0</v>
      </c>
      <c r="K464" s="533">
        <f t="shared" si="576"/>
        <v>0</v>
      </c>
      <c r="L464" s="533">
        <f t="shared" si="577"/>
        <v>0</v>
      </c>
      <c r="M464" s="533">
        <f t="shared" si="577"/>
        <v>0</v>
      </c>
      <c r="N464" s="533">
        <f t="shared" si="577"/>
        <v>0</v>
      </c>
      <c r="O464" s="533">
        <f t="shared" si="578"/>
        <v>0</v>
      </c>
      <c r="P464" s="533">
        <f t="shared" si="579"/>
        <v>0</v>
      </c>
      <c r="Q464" s="533">
        <f t="shared" si="579"/>
        <v>0</v>
      </c>
      <c r="R464" s="533">
        <f t="shared" si="579"/>
        <v>0</v>
      </c>
      <c r="S464" s="533">
        <f t="shared" si="580"/>
        <v>0</v>
      </c>
      <c r="T464" s="533">
        <f t="shared" si="581"/>
        <v>0</v>
      </c>
      <c r="U464" s="533">
        <f t="shared" si="581"/>
        <v>0</v>
      </c>
      <c r="V464" s="533">
        <f t="shared" si="581"/>
        <v>0</v>
      </c>
      <c r="W464" s="533">
        <f t="shared" si="582"/>
        <v>0</v>
      </c>
      <c r="X464" s="533">
        <f t="shared" si="583"/>
        <v>0</v>
      </c>
      <c r="Y464" s="533">
        <f t="shared" si="583"/>
        <v>0</v>
      </c>
      <c r="Z464" s="533">
        <f t="shared" si="583"/>
        <v>0</v>
      </c>
      <c r="AA464" s="533">
        <f t="shared" si="584"/>
        <v>0</v>
      </c>
      <c r="AB464" s="533">
        <f t="shared" si="585"/>
        <v>0</v>
      </c>
      <c r="AC464" s="533">
        <f t="shared" si="585"/>
        <v>0</v>
      </c>
      <c r="AD464" s="533">
        <f t="shared" si="585"/>
        <v>0</v>
      </c>
      <c r="AE464" s="533">
        <f t="shared" si="586"/>
        <v>0</v>
      </c>
      <c r="AF464" s="533">
        <f t="shared" si="587"/>
        <v>0</v>
      </c>
      <c r="AG464" s="533">
        <f t="shared" si="587"/>
        <v>0</v>
      </c>
      <c r="AH464" s="533">
        <f t="shared" si="587"/>
        <v>0</v>
      </c>
      <c r="AI464" s="533">
        <f t="shared" si="588"/>
        <v>0</v>
      </c>
      <c r="AJ464" s="533">
        <f t="shared" si="589"/>
        <v>0</v>
      </c>
      <c r="AK464" s="533">
        <f t="shared" si="589"/>
        <v>0</v>
      </c>
      <c r="AL464" s="533">
        <f t="shared" si="589"/>
        <v>0</v>
      </c>
      <c r="AM464" s="533">
        <f t="shared" si="590"/>
        <v>0</v>
      </c>
      <c r="AN464" s="533">
        <f t="shared" si="591"/>
        <v>5.2610000000000001</v>
      </c>
      <c r="AO464" s="533">
        <f t="shared" si="591"/>
        <v>0</v>
      </c>
      <c r="AP464" s="533">
        <f t="shared" si="591"/>
        <v>0</v>
      </c>
      <c r="AQ464" s="533">
        <f t="shared" si="592"/>
        <v>0.06</v>
      </c>
      <c r="AR464" s="533">
        <f t="shared" si="593"/>
        <v>0</v>
      </c>
      <c r="AS464" s="533">
        <f t="shared" si="593"/>
        <v>0</v>
      </c>
      <c r="AT464" s="533">
        <f t="shared" si="593"/>
        <v>0</v>
      </c>
      <c r="AU464" s="576">
        <f t="shared" si="594"/>
        <v>0</v>
      </c>
      <c r="AV464" s="532"/>
      <c r="AW464" s="532"/>
      <c r="AX464" s="532"/>
      <c r="AY464" s="532"/>
      <c r="AZ464" s="755">
        <f t="shared" ref="AZ464:BN464" si="612">AZ372</f>
        <v>0</v>
      </c>
      <c r="BA464" s="755">
        <f t="shared" si="612"/>
        <v>0</v>
      </c>
      <c r="BB464" s="755">
        <f t="shared" si="612"/>
        <v>0</v>
      </c>
      <c r="BC464" s="755">
        <f t="shared" si="612"/>
        <v>0</v>
      </c>
      <c r="BD464" s="755">
        <f t="shared" si="612"/>
        <v>0</v>
      </c>
      <c r="BE464" s="755">
        <f t="shared" si="612"/>
        <v>0</v>
      </c>
      <c r="BF464" s="755">
        <f t="shared" si="612"/>
        <v>0</v>
      </c>
      <c r="BG464" s="755">
        <f t="shared" si="612"/>
        <v>0</v>
      </c>
      <c r="BH464" s="755">
        <f t="shared" si="612"/>
        <v>0</v>
      </c>
      <c r="BI464" s="755">
        <f t="shared" si="612"/>
        <v>0</v>
      </c>
      <c r="BJ464" s="755">
        <f t="shared" si="612"/>
        <v>0</v>
      </c>
      <c r="BK464" s="755">
        <f t="shared" si="612"/>
        <v>0</v>
      </c>
      <c r="BL464" s="755">
        <f t="shared" si="612"/>
        <v>0</v>
      </c>
      <c r="BM464" s="755">
        <f t="shared" si="612"/>
        <v>5.2610000000000001</v>
      </c>
      <c r="BN464" s="756">
        <f t="shared" si="612"/>
        <v>0.06</v>
      </c>
      <c r="BO464" s="156">
        <f t="shared" si="597"/>
        <v>0</v>
      </c>
      <c r="BP464" s="156" t="e">
        <f>SUM(#REF!,#REF!,#REF!,#REF!)</f>
        <v>#REF!</v>
      </c>
      <c r="BQ464" s="156"/>
      <c r="BR464" s="156"/>
      <c r="BS464" s="156"/>
      <c r="BT464" s="533"/>
    </row>
    <row r="465" spans="1:72" s="17" customFormat="1" x14ac:dyDescent="0.35">
      <c r="A465" s="208" t="str">
        <f t="shared" si="606"/>
        <v>Purchase of Kaplan/Insight assets</v>
      </c>
      <c r="B465" s="532"/>
      <c r="C465" s="533">
        <f t="shared" si="572"/>
        <v>0</v>
      </c>
      <c r="D465" s="533">
        <f t="shared" si="573"/>
        <v>0</v>
      </c>
      <c r="E465" s="533">
        <f t="shared" si="573"/>
        <v>0</v>
      </c>
      <c r="F465" s="533">
        <f t="shared" si="573"/>
        <v>0</v>
      </c>
      <c r="G465" s="533">
        <f t="shared" si="574"/>
        <v>0</v>
      </c>
      <c r="H465" s="533">
        <f t="shared" si="575"/>
        <v>0</v>
      </c>
      <c r="I465" s="533">
        <f t="shared" si="575"/>
        <v>0</v>
      </c>
      <c r="J465" s="533">
        <f t="shared" si="575"/>
        <v>0</v>
      </c>
      <c r="K465" s="533">
        <f t="shared" si="576"/>
        <v>0</v>
      </c>
      <c r="L465" s="533">
        <f t="shared" si="577"/>
        <v>0</v>
      </c>
      <c r="M465" s="533">
        <f t="shared" si="577"/>
        <v>0</v>
      </c>
      <c r="N465" s="533">
        <f t="shared" si="577"/>
        <v>0</v>
      </c>
      <c r="O465" s="533">
        <f t="shared" si="578"/>
        <v>0</v>
      </c>
      <c r="P465" s="533">
        <f t="shared" si="579"/>
        <v>0</v>
      </c>
      <c r="Q465" s="533">
        <f t="shared" si="579"/>
        <v>0</v>
      </c>
      <c r="R465" s="533">
        <f t="shared" si="579"/>
        <v>0</v>
      </c>
      <c r="S465" s="533">
        <f t="shared" si="580"/>
        <v>0</v>
      </c>
      <c r="T465" s="533">
        <f t="shared" si="581"/>
        <v>0</v>
      </c>
      <c r="U465" s="533">
        <f t="shared" si="581"/>
        <v>0</v>
      </c>
      <c r="V465" s="533">
        <f t="shared" si="581"/>
        <v>0</v>
      </c>
      <c r="W465" s="533">
        <f t="shared" si="582"/>
        <v>0</v>
      </c>
      <c r="X465" s="533">
        <f t="shared" si="583"/>
        <v>0</v>
      </c>
      <c r="Y465" s="533">
        <f t="shared" si="583"/>
        <v>0</v>
      </c>
      <c r="Z465" s="533">
        <f t="shared" si="583"/>
        <v>0</v>
      </c>
      <c r="AA465" s="533">
        <f t="shared" si="584"/>
        <v>0</v>
      </c>
      <c r="AB465" s="533">
        <f t="shared" si="585"/>
        <v>0</v>
      </c>
      <c r="AC465" s="533">
        <f t="shared" si="585"/>
        <v>0</v>
      </c>
      <c r="AD465" s="533">
        <f t="shared" si="585"/>
        <v>0</v>
      </c>
      <c r="AE465" s="533">
        <f t="shared" si="586"/>
        <v>0</v>
      </c>
      <c r="AF465" s="533">
        <f t="shared" si="587"/>
        <v>0</v>
      </c>
      <c r="AG465" s="533">
        <f t="shared" si="587"/>
        <v>0</v>
      </c>
      <c r="AH465" s="533">
        <f t="shared" si="587"/>
        <v>0</v>
      </c>
      <c r="AI465" s="533">
        <f t="shared" si="588"/>
        <v>0</v>
      </c>
      <c r="AJ465" s="533">
        <f t="shared" si="589"/>
        <v>0</v>
      </c>
      <c r="AK465" s="533">
        <f t="shared" si="589"/>
        <v>0</v>
      </c>
      <c r="AL465" s="533">
        <f t="shared" si="589"/>
        <v>0</v>
      </c>
      <c r="AM465" s="533">
        <f t="shared" si="590"/>
        <v>0</v>
      </c>
      <c r="AN465" s="533">
        <f t="shared" si="591"/>
        <v>0</v>
      </c>
      <c r="AO465" s="533">
        <f t="shared" si="591"/>
        <v>0</v>
      </c>
      <c r="AP465" s="533">
        <f t="shared" si="591"/>
        <v>0</v>
      </c>
      <c r="AQ465" s="533">
        <f t="shared" si="592"/>
        <v>0</v>
      </c>
      <c r="AR465" s="533">
        <f t="shared" si="593"/>
        <v>0</v>
      </c>
      <c r="AS465" s="533">
        <f t="shared" si="593"/>
        <v>0</v>
      </c>
      <c r="AT465" s="533">
        <f t="shared" si="593"/>
        <v>0</v>
      </c>
      <c r="AU465" s="576">
        <f t="shared" si="594"/>
        <v>0</v>
      </c>
      <c r="AV465" s="532"/>
      <c r="AW465" s="532"/>
      <c r="AX465" s="532"/>
      <c r="AY465" s="532"/>
      <c r="AZ465" s="755">
        <f t="shared" ref="AZ465:BN465" si="613">AZ373</f>
        <v>0</v>
      </c>
      <c r="BA465" s="755">
        <f t="shared" si="613"/>
        <v>0</v>
      </c>
      <c r="BB465" s="755">
        <f t="shared" si="613"/>
        <v>0</v>
      </c>
      <c r="BC465" s="755">
        <f t="shared" si="613"/>
        <v>-12.641</v>
      </c>
      <c r="BD465" s="755">
        <f t="shared" si="613"/>
        <v>0</v>
      </c>
      <c r="BE465" s="755">
        <f t="shared" si="613"/>
        <v>0</v>
      </c>
      <c r="BF465" s="755">
        <f t="shared" si="613"/>
        <v>0</v>
      </c>
      <c r="BG465" s="755">
        <f t="shared" si="613"/>
        <v>0</v>
      </c>
      <c r="BH465" s="755">
        <f t="shared" si="613"/>
        <v>0</v>
      </c>
      <c r="BI465" s="755">
        <f t="shared" si="613"/>
        <v>0</v>
      </c>
      <c r="BJ465" s="755">
        <f t="shared" si="613"/>
        <v>0</v>
      </c>
      <c r="BK465" s="755">
        <f t="shared" si="613"/>
        <v>0</v>
      </c>
      <c r="BL465" s="755">
        <f t="shared" si="613"/>
        <v>0</v>
      </c>
      <c r="BM465" s="755">
        <f t="shared" si="613"/>
        <v>0</v>
      </c>
      <c r="BN465" s="756">
        <f t="shared" si="613"/>
        <v>0</v>
      </c>
      <c r="BO465" s="156">
        <f t="shared" si="597"/>
        <v>0</v>
      </c>
      <c r="BP465" s="156" t="e">
        <f>SUM(#REF!,#REF!,#REF!,#REF!)</f>
        <v>#REF!</v>
      </c>
      <c r="BQ465" s="156"/>
      <c r="BR465" s="156"/>
      <c r="BS465" s="156"/>
      <c r="BT465" s="533"/>
    </row>
    <row r="466" spans="1:72" s="17" customFormat="1" x14ac:dyDescent="0.35">
      <c r="A466" s="208" t="str">
        <f t="shared" si="606"/>
        <v>Investment in LearnBop, Inc.</v>
      </c>
      <c r="B466" s="532"/>
      <c r="C466" s="533">
        <f t="shared" si="572"/>
        <v>0</v>
      </c>
      <c r="D466" s="533">
        <f t="shared" si="573"/>
        <v>0</v>
      </c>
      <c r="E466" s="533">
        <f t="shared" si="573"/>
        <v>0</v>
      </c>
      <c r="F466" s="533">
        <f t="shared" si="573"/>
        <v>0</v>
      </c>
      <c r="G466" s="533">
        <f t="shared" si="574"/>
        <v>0</v>
      </c>
      <c r="H466" s="533">
        <f t="shared" si="575"/>
        <v>0</v>
      </c>
      <c r="I466" s="533">
        <f t="shared" si="575"/>
        <v>0</v>
      </c>
      <c r="J466" s="533">
        <f t="shared" si="575"/>
        <v>0</v>
      </c>
      <c r="K466" s="533">
        <f t="shared" si="576"/>
        <v>-6.5119999999999996</v>
      </c>
      <c r="L466" s="533">
        <f t="shared" si="577"/>
        <v>0</v>
      </c>
      <c r="M466" s="533">
        <f t="shared" si="577"/>
        <v>0</v>
      </c>
      <c r="N466" s="533">
        <f t="shared" si="577"/>
        <v>0</v>
      </c>
      <c r="O466" s="533">
        <f t="shared" si="578"/>
        <v>0</v>
      </c>
      <c r="P466" s="533">
        <f t="shared" si="579"/>
        <v>0</v>
      </c>
      <c r="Q466" s="533">
        <f t="shared" si="579"/>
        <v>0</v>
      </c>
      <c r="R466" s="533">
        <f t="shared" si="579"/>
        <v>0</v>
      </c>
      <c r="S466" s="533">
        <f t="shared" si="580"/>
        <v>0</v>
      </c>
      <c r="T466" s="533">
        <f t="shared" si="581"/>
        <v>0</v>
      </c>
      <c r="U466" s="533">
        <f t="shared" si="581"/>
        <v>0</v>
      </c>
      <c r="V466" s="533">
        <f t="shared" si="581"/>
        <v>0</v>
      </c>
      <c r="W466" s="533">
        <f t="shared" si="582"/>
        <v>0</v>
      </c>
      <c r="X466" s="533">
        <f t="shared" si="583"/>
        <v>0</v>
      </c>
      <c r="Y466" s="533">
        <f t="shared" si="583"/>
        <v>0</v>
      </c>
      <c r="Z466" s="533">
        <f t="shared" si="583"/>
        <v>0</v>
      </c>
      <c r="AA466" s="533">
        <f t="shared" si="584"/>
        <v>0</v>
      </c>
      <c r="AB466" s="533">
        <f t="shared" si="585"/>
        <v>0</v>
      </c>
      <c r="AC466" s="533">
        <f t="shared" si="585"/>
        <v>0</v>
      </c>
      <c r="AD466" s="533">
        <f t="shared" si="585"/>
        <v>0</v>
      </c>
      <c r="AE466" s="533">
        <f t="shared" si="586"/>
        <v>0</v>
      </c>
      <c r="AF466" s="533">
        <f t="shared" si="587"/>
        <v>0</v>
      </c>
      <c r="AG466" s="533">
        <f t="shared" si="587"/>
        <v>0</v>
      </c>
      <c r="AH466" s="533">
        <f t="shared" si="587"/>
        <v>0</v>
      </c>
      <c r="AI466" s="533">
        <f t="shared" si="588"/>
        <v>0</v>
      </c>
      <c r="AJ466" s="533">
        <f t="shared" si="589"/>
        <v>0</v>
      </c>
      <c r="AK466" s="533">
        <f t="shared" si="589"/>
        <v>0</v>
      </c>
      <c r="AL466" s="533">
        <f t="shared" si="589"/>
        <v>0</v>
      </c>
      <c r="AM466" s="533">
        <f t="shared" si="590"/>
        <v>0</v>
      </c>
      <c r="AN466" s="533">
        <f t="shared" si="591"/>
        <v>0</v>
      </c>
      <c r="AO466" s="533">
        <f t="shared" si="591"/>
        <v>0</v>
      </c>
      <c r="AP466" s="533">
        <f t="shared" si="591"/>
        <v>0</v>
      </c>
      <c r="AQ466" s="533">
        <f t="shared" si="592"/>
        <v>0</v>
      </c>
      <c r="AR466" s="533">
        <f t="shared" si="593"/>
        <v>0</v>
      </c>
      <c r="AS466" s="533">
        <f t="shared" si="593"/>
        <v>0</v>
      </c>
      <c r="AT466" s="533">
        <f t="shared" si="593"/>
        <v>0</v>
      </c>
      <c r="AU466" s="576">
        <f t="shared" si="594"/>
        <v>0</v>
      </c>
      <c r="AV466" s="532"/>
      <c r="AW466" s="532"/>
      <c r="AX466" s="532"/>
      <c r="AY466" s="532"/>
      <c r="AZ466" s="755">
        <f t="shared" ref="AZ466:BN466" si="614">AZ374</f>
        <v>0</v>
      </c>
      <c r="BA466" s="755">
        <f t="shared" si="614"/>
        <v>0</v>
      </c>
      <c r="BB466" s="755">
        <f t="shared" si="614"/>
        <v>0</v>
      </c>
      <c r="BC466" s="755">
        <f t="shared" si="614"/>
        <v>0</v>
      </c>
      <c r="BD466" s="755">
        <f t="shared" si="614"/>
        <v>0</v>
      </c>
      <c r="BE466" s="755">
        <f t="shared" si="614"/>
        <v>0</v>
      </c>
      <c r="BF466" s="755">
        <f t="shared" si="614"/>
        <v>-6.5119999999999996</v>
      </c>
      <c r="BG466" s="755">
        <f t="shared" si="614"/>
        <v>0</v>
      </c>
      <c r="BH466" s="755">
        <f t="shared" si="614"/>
        <v>0</v>
      </c>
      <c r="BI466" s="755">
        <f t="shared" si="614"/>
        <v>0</v>
      </c>
      <c r="BJ466" s="755">
        <f t="shared" si="614"/>
        <v>0</v>
      </c>
      <c r="BK466" s="755">
        <f t="shared" si="614"/>
        <v>0</v>
      </c>
      <c r="BL466" s="755">
        <f t="shared" si="614"/>
        <v>0</v>
      </c>
      <c r="BM466" s="755">
        <f t="shared" si="614"/>
        <v>0</v>
      </c>
      <c r="BN466" s="756">
        <f t="shared" si="614"/>
        <v>0</v>
      </c>
      <c r="BO466" s="156">
        <f t="shared" si="597"/>
        <v>0</v>
      </c>
      <c r="BP466" s="156" t="e">
        <f>SUM(#REF!,#REF!,#REF!,#REF!)</f>
        <v>#REF!</v>
      </c>
      <c r="BQ466" s="156"/>
      <c r="BR466" s="156"/>
      <c r="BS466" s="156"/>
      <c r="BT466" s="533"/>
    </row>
    <row r="467" spans="1:72" s="17" customFormat="1" x14ac:dyDescent="0.35">
      <c r="A467" s="208" t="str">
        <f t="shared" si="606"/>
        <v>Purchase of domain name</v>
      </c>
      <c r="B467" s="532"/>
      <c r="C467" s="533">
        <f t="shared" si="572"/>
        <v>0</v>
      </c>
      <c r="D467" s="533">
        <f t="shared" si="573"/>
        <v>0</v>
      </c>
      <c r="E467" s="533">
        <f t="shared" si="573"/>
        <v>0</v>
      </c>
      <c r="F467" s="533">
        <f t="shared" si="573"/>
        <v>0</v>
      </c>
      <c r="G467" s="533">
        <f t="shared" si="574"/>
        <v>0</v>
      </c>
      <c r="H467" s="533">
        <f t="shared" si="575"/>
        <v>0</v>
      </c>
      <c r="I467" s="533">
        <f t="shared" si="575"/>
        <v>0</v>
      </c>
      <c r="J467" s="533">
        <f t="shared" si="575"/>
        <v>0</v>
      </c>
      <c r="K467" s="533">
        <f t="shared" si="576"/>
        <v>0</v>
      </c>
      <c r="L467" s="533">
        <f t="shared" si="577"/>
        <v>0</v>
      </c>
      <c r="M467" s="533">
        <f t="shared" si="577"/>
        <v>0</v>
      </c>
      <c r="N467" s="533">
        <f t="shared" si="577"/>
        <v>0</v>
      </c>
      <c r="O467" s="533">
        <f t="shared" si="578"/>
        <v>0</v>
      </c>
      <c r="P467" s="533">
        <f t="shared" si="579"/>
        <v>0</v>
      </c>
      <c r="Q467" s="533">
        <f t="shared" si="579"/>
        <v>0</v>
      </c>
      <c r="R467" s="533">
        <f t="shared" si="579"/>
        <v>0</v>
      </c>
      <c r="S467" s="533">
        <f t="shared" si="580"/>
        <v>0</v>
      </c>
      <c r="T467" s="533">
        <f t="shared" si="581"/>
        <v>0</v>
      </c>
      <c r="U467" s="533">
        <f t="shared" si="581"/>
        <v>0</v>
      </c>
      <c r="V467" s="533">
        <f t="shared" si="581"/>
        <v>0</v>
      </c>
      <c r="W467" s="533">
        <f t="shared" si="582"/>
        <v>0</v>
      </c>
      <c r="X467" s="533">
        <f t="shared" si="583"/>
        <v>0</v>
      </c>
      <c r="Y467" s="533">
        <f t="shared" si="583"/>
        <v>0</v>
      </c>
      <c r="Z467" s="533">
        <f t="shared" si="583"/>
        <v>0</v>
      </c>
      <c r="AA467" s="533">
        <f t="shared" si="584"/>
        <v>0</v>
      </c>
      <c r="AB467" s="533">
        <f t="shared" si="585"/>
        <v>0</v>
      </c>
      <c r="AC467" s="533">
        <f t="shared" si="585"/>
        <v>0</v>
      </c>
      <c r="AD467" s="533">
        <f t="shared" si="585"/>
        <v>0</v>
      </c>
      <c r="AE467" s="533">
        <f t="shared" si="586"/>
        <v>0</v>
      </c>
      <c r="AF467" s="533">
        <f t="shared" si="587"/>
        <v>0</v>
      </c>
      <c r="AG467" s="533">
        <f t="shared" si="587"/>
        <v>0</v>
      </c>
      <c r="AH467" s="533">
        <f t="shared" si="587"/>
        <v>0</v>
      </c>
      <c r="AI467" s="533">
        <f t="shared" si="588"/>
        <v>0</v>
      </c>
      <c r="AJ467" s="533">
        <f t="shared" si="589"/>
        <v>0</v>
      </c>
      <c r="AK467" s="533">
        <f t="shared" si="589"/>
        <v>0</v>
      </c>
      <c r="AL467" s="533">
        <f t="shared" si="589"/>
        <v>0</v>
      </c>
      <c r="AM467" s="533">
        <f t="shared" si="590"/>
        <v>0</v>
      </c>
      <c r="AN467" s="533">
        <f t="shared" si="591"/>
        <v>0</v>
      </c>
      <c r="AO467" s="533">
        <f t="shared" si="591"/>
        <v>0</v>
      </c>
      <c r="AP467" s="533">
        <f t="shared" si="591"/>
        <v>0</v>
      </c>
      <c r="AQ467" s="533">
        <f t="shared" si="592"/>
        <v>0</v>
      </c>
      <c r="AR467" s="533">
        <f t="shared" si="593"/>
        <v>0</v>
      </c>
      <c r="AS467" s="533">
        <f t="shared" si="593"/>
        <v>0</v>
      </c>
      <c r="AT467" s="533">
        <f t="shared" si="593"/>
        <v>0</v>
      </c>
      <c r="AU467" s="576">
        <f t="shared" si="594"/>
        <v>0</v>
      </c>
      <c r="AV467" s="532"/>
      <c r="AW467" s="532"/>
      <c r="AX467" s="532"/>
      <c r="AY467" s="532"/>
      <c r="AZ467" s="755">
        <f t="shared" ref="AZ467:BN467" si="615">AZ375</f>
        <v>-1.6E-2</v>
      </c>
      <c r="BA467" s="755">
        <f t="shared" si="615"/>
        <v>0</v>
      </c>
      <c r="BB467" s="755">
        <f t="shared" si="615"/>
        <v>0</v>
      </c>
      <c r="BC467" s="755">
        <f t="shared" si="615"/>
        <v>0</v>
      </c>
      <c r="BD467" s="755">
        <f t="shared" si="615"/>
        <v>0</v>
      </c>
      <c r="BE467" s="755">
        <f t="shared" si="615"/>
        <v>0</v>
      </c>
      <c r="BF467" s="755">
        <f t="shared" si="615"/>
        <v>0</v>
      </c>
      <c r="BG467" s="755">
        <f t="shared" si="615"/>
        <v>0</v>
      </c>
      <c r="BH467" s="755">
        <f t="shared" si="615"/>
        <v>0</v>
      </c>
      <c r="BI467" s="755">
        <f t="shared" si="615"/>
        <v>0</v>
      </c>
      <c r="BJ467" s="755">
        <f t="shared" si="615"/>
        <v>0</v>
      </c>
      <c r="BK467" s="755">
        <f t="shared" si="615"/>
        <v>0</v>
      </c>
      <c r="BL467" s="755">
        <f t="shared" si="615"/>
        <v>0</v>
      </c>
      <c r="BM467" s="755">
        <f t="shared" si="615"/>
        <v>0</v>
      </c>
      <c r="BN467" s="756">
        <f t="shared" si="615"/>
        <v>0</v>
      </c>
      <c r="BO467" s="156">
        <f t="shared" si="597"/>
        <v>0</v>
      </c>
      <c r="BP467" s="156" t="e">
        <f>SUM(#REF!,#REF!,#REF!,#REF!)</f>
        <v>#REF!</v>
      </c>
      <c r="BQ467" s="156"/>
      <c r="BR467" s="156"/>
      <c r="BS467" s="156"/>
      <c r="BT467" s="533"/>
    </row>
    <row r="468" spans="1:72" s="17" customFormat="1" x14ac:dyDescent="0.35">
      <c r="A468" s="208" t="str">
        <f t="shared" si="606"/>
        <v>Purchase of AEC, net of cash acquired of $3,841</v>
      </c>
      <c r="B468" s="532"/>
      <c r="C468" s="533">
        <f t="shared" si="572"/>
        <v>0</v>
      </c>
      <c r="D468" s="533">
        <f t="shared" si="573"/>
        <v>0</v>
      </c>
      <c r="E468" s="533">
        <f t="shared" si="573"/>
        <v>0</v>
      </c>
      <c r="F468" s="533">
        <f t="shared" si="573"/>
        <v>0</v>
      </c>
      <c r="G468" s="533">
        <f t="shared" si="574"/>
        <v>0</v>
      </c>
      <c r="H468" s="533">
        <f t="shared" si="575"/>
        <v>0</v>
      </c>
      <c r="I468" s="533">
        <f t="shared" si="575"/>
        <v>0</v>
      </c>
      <c r="J468" s="533">
        <f t="shared" si="575"/>
        <v>0</v>
      </c>
      <c r="K468" s="533">
        <f t="shared" si="576"/>
        <v>0</v>
      </c>
      <c r="L468" s="533">
        <f t="shared" si="577"/>
        <v>0</v>
      </c>
      <c r="M468" s="533">
        <f t="shared" si="577"/>
        <v>0</v>
      </c>
      <c r="N468" s="533">
        <f t="shared" si="577"/>
        <v>0</v>
      </c>
      <c r="O468" s="533">
        <f t="shared" si="578"/>
        <v>0</v>
      </c>
      <c r="P468" s="533">
        <f t="shared" si="579"/>
        <v>0</v>
      </c>
      <c r="Q468" s="533">
        <f t="shared" si="579"/>
        <v>0</v>
      </c>
      <c r="R468" s="533">
        <f t="shared" si="579"/>
        <v>0</v>
      </c>
      <c r="S468" s="533">
        <f t="shared" si="580"/>
        <v>0</v>
      </c>
      <c r="T468" s="533">
        <f t="shared" si="581"/>
        <v>0</v>
      </c>
      <c r="U468" s="533">
        <f t="shared" si="581"/>
        <v>0</v>
      </c>
      <c r="V468" s="533">
        <f t="shared" si="581"/>
        <v>0</v>
      </c>
      <c r="W468" s="533">
        <f t="shared" si="582"/>
        <v>0</v>
      </c>
      <c r="X468" s="533">
        <f t="shared" si="583"/>
        <v>0</v>
      </c>
      <c r="Y468" s="533">
        <f t="shared" si="583"/>
        <v>0</v>
      </c>
      <c r="Z468" s="533">
        <f t="shared" si="583"/>
        <v>0</v>
      </c>
      <c r="AA468" s="533">
        <f t="shared" si="584"/>
        <v>0</v>
      </c>
      <c r="AB468" s="533">
        <f t="shared" si="585"/>
        <v>0</v>
      </c>
      <c r="AC468" s="533">
        <f t="shared" si="585"/>
        <v>0</v>
      </c>
      <c r="AD468" s="533">
        <f t="shared" si="585"/>
        <v>0</v>
      </c>
      <c r="AE468" s="533">
        <f t="shared" si="586"/>
        <v>0</v>
      </c>
      <c r="AF468" s="533">
        <f t="shared" si="587"/>
        <v>0</v>
      </c>
      <c r="AG468" s="533">
        <f t="shared" si="587"/>
        <v>0</v>
      </c>
      <c r="AH468" s="533">
        <f t="shared" si="587"/>
        <v>0</v>
      </c>
      <c r="AI468" s="533">
        <f t="shared" si="588"/>
        <v>0</v>
      </c>
      <c r="AJ468" s="533">
        <f t="shared" si="589"/>
        <v>0</v>
      </c>
      <c r="AK468" s="533">
        <f t="shared" si="589"/>
        <v>0</v>
      </c>
      <c r="AL468" s="533">
        <f t="shared" si="589"/>
        <v>0</v>
      </c>
      <c r="AM468" s="533">
        <f t="shared" si="590"/>
        <v>0</v>
      </c>
      <c r="AN468" s="533">
        <f t="shared" si="591"/>
        <v>0</v>
      </c>
      <c r="AO468" s="533">
        <f t="shared" si="591"/>
        <v>0</v>
      </c>
      <c r="AP468" s="533">
        <f t="shared" si="591"/>
        <v>0</v>
      </c>
      <c r="AQ468" s="533">
        <f t="shared" si="592"/>
        <v>0</v>
      </c>
      <c r="AR468" s="533">
        <f t="shared" si="593"/>
        <v>0</v>
      </c>
      <c r="AS468" s="533">
        <f t="shared" si="593"/>
        <v>0</v>
      </c>
      <c r="AT468" s="533">
        <f t="shared" si="593"/>
        <v>0</v>
      </c>
      <c r="AU468" s="576">
        <f t="shared" si="594"/>
        <v>0</v>
      </c>
      <c r="AV468" s="532"/>
      <c r="AW468" s="532"/>
      <c r="AX468" s="532"/>
      <c r="AY468" s="532"/>
      <c r="AZ468" s="755">
        <f t="shared" ref="AZ468:BN468" si="616">AZ376</f>
        <v>0</v>
      </c>
      <c r="BA468" s="755">
        <f t="shared" si="616"/>
        <v>0</v>
      </c>
      <c r="BB468" s="755">
        <f t="shared" si="616"/>
        <v>-24.542999999999999</v>
      </c>
      <c r="BC468" s="755">
        <f t="shared" si="616"/>
        <v>0</v>
      </c>
      <c r="BD468" s="755">
        <f t="shared" si="616"/>
        <v>0</v>
      </c>
      <c r="BE468" s="755">
        <f t="shared" si="616"/>
        <v>0</v>
      </c>
      <c r="BF468" s="755">
        <f t="shared" si="616"/>
        <v>0</v>
      </c>
      <c r="BG468" s="755">
        <f t="shared" si="616"/>
        <v>0</v>
      </c>
      <c r="BH468" s="755">
        <f t="shared" si="616"/>
        <v>0</v>
      </c>
      <c r="BI468" s="755">
        <f t="shared" si="616"/>
        <v>0</v>
      </c>
      <c r="BJ468" s="755">
        <f t="shared" si="616"/>
        <v>0</v>
      </c>
      <c r="BK468" s="755">
        <f t="shared" si="616"/>
        <v>0</v>
      </c>
      <c r="BL468" s="755">
        <f t="shared" si="616"/>
        <v>0</v>
      </c>
      <c r="BM468" s="755">
        <f t="shared" si="616"/>
        <v>0</v>
      </c>
      <c r="BN468" s="756">
        <f t="shared" si="616"/>
        <v>0</v>
      </c>
      <c r="BO468" s="156">
        <f t="shared" si="597"/>
        <v>0</v>
      </c>
      <c r="BP468" s="156" t="e">
        <f>SUM(#REF!,#REF!,#REF!,#REF!)</f>
        <v>#REF!</v>
      </c>
      <c r="BQ468" s="156"/>
      <c r="BR468" s="156"/>
      <c r="BS468" s="156"/>
      <c r="BT468" s="533"/>
    </row>
    <row r="469" spans="1:72" s="17" customFormat="1" x14ac:dyDescent="0.35">
      <c r="A469" s="208" t="str">
        <f t="shared" si="606"/>
        <v>Purchase of IS Berne, net of cash acquired of $1,563</v>
      </c>
      <c r="B469" s="532"/>
      <c r="C469" s="533">
        <f t="shared" si="572"/>
        <v>0</v>
      </c>
      <c r="D469" s="533">
        <f t="shared" si="573"/>
        <v>0</v>
      </c>
      <c r="E469" s="533">
        <f t="shared" si="573"/>
        <v>0</v>
      </c>
      <c r="F469" s="533">
        <f t="shared" si="573"/>
        <v>0</v>
      </c>
      <c r="G469" s="533">
        <f t="shared" si="574"/>
        <v>0</v>
      </c>
      <c r="H469" s="533">
        <f t="shared" si="575"/>
        <v>0</v>
      </c>
      <c r="I469" s="533">
        <f t="shared" si="575"/>
        <v>0</v>
      </c>
      <c r="J469" s="533">
        <f t="shared" si="575"/>
        <v>0</v>
      </c>
      <c r="K469" s="533">
        <f t="shared" si="576"/>
        <v>0</v>
      </c>
      <c r="L469" s="533">
        <f t="shared" si="577"/>
        <v>0</v>
      </c>
      <c r="M469" s="533">
        <f t="shared" si="577"/>
        <v>0</v>
      </c>
      <c r="N469" s="533">
        <f t="shared" si="577"/>
        <v>0</v>
      </c>
      <c r="O469" s="533">
        <f t="shared" si="578"/>
        <v>0</v>
      </c>
      <c r="P469" s="533">
        <f t="shared" si="579"/>
        <v>0</v>
      </c>
      <c r="Q469" s="533">
        <f t="shared" si="579"/>
        <v>0</v>
      </c>
      <c r="R469" s="533">
        <f t="shared" si="579"/>
        <v>0</v>
      </c>
      <c r="S469" s="533">
        <f t="shared" si="580"/>
        <v>0</v>
      </c>
      <c r="T469" s="533">
        <f t="shared" si="581"/>
        <v>0</v>
      </c>
      <c r="U469" s="533">
        <f t="shared" si="581"/>
        <v>0</v>
      </c>
      <c r="V469" s="533">
        <f t="shared" si="581"/>
        <v>0</v>
      </c>
      <c r="W469" s="533">
        <f t="shared" si="582"/>
        <v>0</v>
      </c>
      <c r="X469" s="533">
        <f t="shared" si="583"/>
        <v>0</v>
      </c>
      <c r="Y469" s="533">
        <f t="shared" si="583"/>
        <v>0</v>
      </c>
      <c r="Z469" s="533">
        <f t="shared" si="583"/>
        <v>0</v>
      </c>
      <c r="AA469" s="533">
        <f t="shared" si="584"/>
        <v>0</v>
      </c>
      <c r="AB469" s="533">
        <f t="shared" si="585"/>
        <v>0</v>
      </c>
      <c r="AC469" s="533">
        <f t="shared" si="585"/>
        <v>0</v>
      </c>
      <c r="AD469" s="533">
        <f t="shared" si="585"/>
        <v>0</v>
      </c>
      <c r="AE469" s="533">
        <f t="shared" si="586"/>
        <v>0</v>
      </c>
      <c r="AF469" s="533">
        <f t="shared" si="587"/>
        <v>0</v>
      </c>
      <c r="AG469" s="533">
        <f t="shared" si="587"/>
        <v>0</v>
      </c>
      <c r="AH469" s="533">
        <f t="shared" si="587"/>
        <v>0</v>
      </c>
      <c r="AI469" s="533">
        <f t="shared" si="588"/>
        <v>0</v>
      </c>
      <c r="AJ469" s="533">
        <f t="shared" si="589"/>
        <v>0</v>
      </c>
      <c r="AK469" s="533">
        <f t="shared" si="589"/>
        <v>0</v>
      </c>
      <c r="AL469" s="533">
        <f t="shared" si="589"/>
        <v>0</v>
      </c>
      <c r="AM469" s="533">
        <f t="shared" si="590"/>
        <v>0</v>
      </c>
      <c r="AN469" s="533">
        <f t="shared" si="591"/>
        <v>0</v>
      </c>
      <c r="AO469" s="533">
        <f t="shared" si="591"/>
        <v>0</v>
      </c>
      <c r="AP469" s="533">
        <f t="shared" si="591"/>
        <v>0</v>
      </c>
      <c r="AQ469" s="533">
        <f t="shared" si="592"/>
        <v>0</v>
      </c>
      <c r="AR469" s="533">
        <f t="shared" si="593"/>
        <v>0</v>
      </c>
      <c r="AS469" s="533">
        <f t="shared" si="593"/>
        <v>0</v>
      </c>
      <c r="AT469" s="533">
        <f t="shared" si="593"/>
        <v>0</v>
      </c>
      <c r="AU469" s="576">
        <f t="shared" si="594"/>
        <v>0</v>
      </c>
      <c r="AV469" s="532"/>
      <c r="AW469" s="532"/>
      <c r="AX469" s="532"/>
      <c r="AY469" s="532"/>
      <c r="AZ469" s="755">
        <f t="shared" ref="AZ469:BN469" si="617">AZ377</f>
        <v>0</v>
      </c>
      <c r="BA469" s="755">
        <f t="shared" si="617"/>
        <v>0</v>
      </c>
      <c r="BB469" s="755">
        <f t="shared" si="617"/>
        <v>-0.83899999999999997</v>
      </c>
      <c r="BC469" s="755">
        <f t="shared" si="617"/>
        <v>0</v>
      </c>
      <c r="BD469" s="755">
        <f t="shared" si="617"/>
        <v>0</v>
      </c>
      <c r="BE469" s="755">
        <f t="shared" si="617"/>
        <v>0</v>
      </c>
      <c r="BF469" s="755">
        <f t="shared" si="617"/>
        <v>0</v>
      </c>
      <c r="BG469" s="755">
        <f t="shared" si="617"/>
        <v>0</v>
      </c>
      <c r="BH469" s="755">
        <f t="shared" si="617"/>
        <v>0</v>
      </c>
      <c r="BI469" s="755">
        <f t="shared" si="617"/>
        <v>0</v>
      </c>
      <c r="BJ469" s="755">
        <f t="shared" si="617"/>
        <v>0</v>
      </c>
      <c r="BK469" s="755">
        <f t="shared" si="617"/>
        <v>0</v>
      </c>
      <c r="BL469" s="755">
        <f t="shared" si="617"/>
        <v>0</v>
      </c>
      <c r="BM469" s="755">
        <f t="shared" si="617"/>
        <v>0</v>
      </c>
      <c r="BN469" s="756">
        <f t="shared" si="617"/>
        <v>0</v>
      </c>
      <c r="BO469" s="156">
        <f t="shared" si="597"/>
        <v>0</v>
      </c>
      <c r="BP469" s="156" t="e">
        <f>SUM(#REF!,#REF!,#REF!,#REF!)</f>
        <v>#REF!</v>
      </c>
      <c r="BQ469" s="156"/>
      <c r="BR469" s="156"/>
      <c r="BS469" s="156"/>
      <c r="BT469" s="533"/>
    </row>
    <row r="470" spans="1:72" s="17" customFormat="1" x14ac:dyDescent="0.35">
      <c r="A470" s="208" t="str">
        <f t="shared" si="606"/>
        <v>Cash advanced for AEC performance escrow</v>
      </c>
      <c r="B470" s="532"/>
      <c r="C470" s="533">
        <f t="shared" si="572"/>
        <v>0</v>
      </c>
      <c r="D470" s="533">
        <f t="shared" si="573"/>
        <v>0</v>
      </c>
      <c r="E470" s="533">
        <f t="shared" si="573"/>
        <v>0</v>
      </c>
      <c r="F470" s="533">
        <f t="shared" si="573"/>
        <v>0</v>
      </c>
      <c r="G470" s="533">
        <f t="shared" si="574"/>
        <v>0</v>
      </c>
      <c r="H470" s="533">
        <f t="shared" si="575"/>
        <v>0</v>
      </c>
      <c r="I470" s="533">
        <f t="shared" si="575"/>
        <v>0</v>
      </c>
      <c r="J470" s="533">
        <f t="shared" si="575"/>
        <v>0</v>
      </c>
      <c r="K470" s="533">
        <f t="shared" si="576"/>
        <v>0</v>
      </c>
      <c r="L470" s="533">
        <f t="shared" si="577"/>
        <v>0</v>
      </c>
      <c r="M470" s="533">
        <f t="shared" si="577"/>
        <v>0</v>
      </c>
      <c r="N470" s="533">
        <f t="shared" si="577"/>
        <v>0</v>
      </c>
      <c r="O470" s="533">
        <f t="shared" si="578"/>
        <v>0</v>
      </c>
      <c r="P470" s="533">
        <f t="shared" si="579"/>
        <v>0</v>
      </c>
      <c r="Q470" s="533">
        <f t="shared" si="579"/>
        <v>0</v>
      </c>
      <c r="R470" s="533">
        <f t="shared" si="579"/>
        <v>0</v>
      </c>
      <c r="S470" s="533">
        <f t="shared" si="580"/>
        <v>0</v>
      </c>
      <c r="T470" s="533">
        <f t="shared" si="581"/>
        <v>0</v>
      </c>
      <c r="U470" s="533">
        <f t="shared" si="581"/>
        <v>0</v>
      </c>
      <c r="V470" s="533">
        <f t="shared" si="581"/>
        <v>0</v>
      </c>
      <c r="W470" s="533">
        <f t="shared" si="582"/>
        <v>0</v>
      </c>
      <c r="X470" s="533">
        <f t="shared" si="583"/>
        <v>0</v>
      </c>
      <c r="Y470" s="533">
        <f t="shared" si="583"/>
        <v>0</v>
      </c>
      <c r="Z470" s="533">
        <f t="shared" si="583"/>
        <v>0</v>
      </c>
      <c r="AA470" s="533">
        <f t="shared" si="584"/>
        <v>0</v>
      </c>
      <c r="AB470" s="533">
        <f t="shared" si="585"/>
        <v>0</v>
      </c>
      <c r="AC470" s="533">
        <f t="shared" si="585"/>
        <v>0</v>
      </c>
      <c r="AD470" s="533">
        <f t="shared" si="585"/>
        <v>0</v>
      </c>
      <c r="AE470" s="533">
        <f t="shared" si="586"/>
        <v>0</v>
      </c>
      <c r="AF470" s="533">
        <f t="shared" si="587"/>
        <v>0</v>
      </c>
      <c r="AG470" s="533">
        <f t="shared" si="587"/>
        <v>0</v>
      </c>
      <c r="AH470" s="533">
        <f t="shared" si="587"/>
        <v>0</v>
      </c>
      <c r="AI470" s="533">
        <f t="shared" si="588"/>
        <v>0</v>
      </c>
      <c r="AJ470" s="533">
        <f t="shared" si="589"/>
        <v>0</v>
      </c>
      <c r="AK470" s="533">
        <f t="shared" si="589"/>
        <v>0</v>
      </c>
      <c r="AL470" s="533">
        <f t="shared" si="589"/>
        <v>0</v>
      </c>
      <c r="AM470" s="533">
        <f t="shared" si="590"/>
        <v>0</v>
      </c>
      <c r="AN470" s="533">
        <f t="shared" si="591"/>
        <v>0</v>
      </c>
      <c r="AO470" s="533">
        <f t="shared" si="591"/>
        <v>0</v>
      </c>
      <c r="AP470" s="533">
        <f t="shared" si="591"/>
        <v>0</v>
      </c>
      <c r="AQ470" s="533">
        <f t="shared" si="592"/>
        <v>0</v>
      </c>
      <c r="AR470" s="533">
        <f t="shared" si="593"/>
        <v>0</v>
      </c>
      <c r="AS470" s="533">
        <f t="shared" si="593"/>
        <v>0</v>
      </c>
      <c r="AT470" s="533">
        <f t="shared" si="593"/>
        <v>0</v>
      </c>
      <c r="AU470" s="576">
        <f t="shared" si="594"/>
        <v>0</v>
      </c>
      <c r="AV470" s="532"/>
      <c r="AW470" s="532"/>
      <c r="AX470" s="532"/>
      <c r="AY470" s="532"/>
      <c r="AZ470" s="755">
        <f t="shared" ref="AZ470:BN470" si="618">AZ378</f>
        <v>0</v>
      </c>
      <c r="BA470" s="755">
        <f t="shared" si="618"/>
        <v>0</v>
      </c>
      <c r="BB470" s="755">
        <f t="shared" si="618"/>
        <v>-6.8250000000000002</v>
      </c>
      <c r="BC470" s="755">
        <f t="shared" si="618"/>
        <v>0</v>
      </c>
      <c r="BD470" s="755">
        <f t="shared" si="618"/>
        <v>0</v>
      </c>
      <c r="BE470" s="755">
        <f t="shared" si="618"/>
        <v>0</v>
      </c>
      <c r="BF470" s="755">
        <f t="shared" si="618"/>
        <v>0</v>
      </c>
      <c r="BG470" s="755">
        <f t="shared" si="618"/>
        <v>0</v>
      </c>
      <c r="BH470" s="755">
        <f t="shared" si="618"/>
        <v>0</v>
      </c>
      <c r="BI470" s="755">
        <f t="shared" si="618"/>
        <v>0</v>
      </c>
      <c r="BJ470" s="755">
        <f t="shared" si="618"/>
        <v>0</v>
      </c>
      <c r="BK470" s="755">
        <f t="shared" si="618"/>
        <v>0</v>
      </c>
      <c r="BL470" s="755">
        <f t="shared" si="618"/>
        <v>0</v>
      </c>
      <c r="BM470" s="755">
        <f t="shared" si="618"/>
        <v>0</v>
      </c>
      <c r="BN470" s="756">
        <f t="shared" si="618"/>
        <v>0</v>
      </c>
      <c r="BO470" s="156">
        <f t="shared" si="597"/>
        <v>0</v>
      </c>
      <c r="BP470" s="156" t="e">
        <f>SUM(#REF!,#REF!,#REF!,#REF!)</f>
        <v>#REF!</v>
      </c>
      <c r="BQ470" s="156"/>
      <c r="BR470" s="156"/>
      <c r="BS470" s="156"/>
      <c r="BT470" s="533"/>
    </row>
    <row r="471" spans="1:72" s="17" customFormat="1" x14ac:dyDescent="0.35">
      <c r="A471" s="208" t="str">
        <f t="shared" si="606"/>
        <v>Cash returned for AEC performance escrow</v>
      </c>
      <c r="B471" s="532"/>
      <c r="C471" s="533">
        <f t="shared" si="572"/>
        <v>0</v>
      </c>
      <c r="D471" s="533">
        <f t="shared" si="573"/>
        <v>0</v>
      </c>
      <c r="E471" s="533">
        <f t="shared" si="573"/>
        <v>0</v>
      </c>
      <c r="F471" s="533">
        <f t="shared" si="573"/>
        <v>0</v>
      </c>
      <c r="G471" s="533">
        <f t="shared" si="574"/>
        <v>0</v>
      </c>
      <c r="H471" s="533">
        <f t="shared" si="575"/>
        <v>0</v>
      </c>
      <c r="I471" s="533">
        <f t="shared" si="575"/>
        <v>0</v>
      </c>
      <c r="J471" s="533">
        <f t="shared" si="575"/>
        <v>0</v>
      </c>
      <c r="K471" s="533">
        <f t="shared" si="576"/>
        <v>0</v>
      </c>
      <c r="L471" s="533">
        <f t="shared" si="577"/>
        <v>0</v>
      </c>
      <c r="M471" s="533">
        <f t="shared" si="577"/>
        <v>0</v>
      </c>
      <c r="N471" s="533">
        <f t="shared" si="577"/>
        <v>0</v>
      </c>
      <c r="O471" s="533">
        <f t="shared" si="578"/>
        <v>0</v>
      </c>
      <c r="P471" s="533">
        <f t="shared" si="579"/>
        <v>0</v>
      </c>
      <c r="Q471" s="533">
        <f t="shared" si="579"/>
        <v>0</v>
      </c>
      <c r="R471" s="533">
        <f t="shared" si="579"/>
        <v>0</v>
      </c>
      <c r="S471" s="533">
        <f t="shared" si="580"/>
        <v>0</v>
      </c>
      <c r="T471" s="533">
        <f t="shared" si="581"/>
        <v>0</v>
      </c>
      <c r="U471" s="533">
        <f t="shared" si="581"/>
        <v>0</v>
      </c>
      <c r="V471" s="533">
        <f t="shared" si="581"/>
        <v>0</v>
      </c>
      <c r="W471" s="533">
        <f t="shared" si="582"/>
        <v>0</v>
      </c>
      <c r="X471" s="533">
        <f t="shared" si="583"/>
        <v>0</v>
      </c>
      <c r="Y471" s="533">
        <f t="shared" si="583"/>
        <v>0</v>
      </c>
      <c r="Z471" s="533">
        <f t="shared" si="583"/>
        <v>0</v>
      </c>
      <c r="AA471" s="533">
        <f t="shared" si="584"/>
        <v>0</v>
      </c>
      <c r="AB471" s="533">
        <f t="shared" si="585"/>
        <v>0</v>
      </c>
      <c r="AC471" s="533">
        <f t="shared" si="585"/>
        <v>0</v>
      </c>
      <c r="AD471" s="533">
        <f t="shared" si="585"/>
        <v>0</v>
      </c>
      <c r="AE471" s="533">
        <f t="shared" si="586"/>
        <v>0</v>
      </c>
      <c r="AF471" s="533">
        <f t="shared" si="587"/>
        <v>0</v>
      </c>
      <c r="AG471" s="533">
        <f t="shared" si="587"/>
        <v>0</v>
      </c>
      <c r="AH471" s="533">
        <f t="shared" si="587"/>
        <v>0</v>
      </c>
      <c r="AI471" s="533">
        <f t="shared" si="588"/>
        <v>0</v>
      </c>
      <c r="AJ471" s="533">
        <f t="shared" si="589"/>
        <v>0</v>
      </c>
      <c r="AK471" s="533">
        <f t="shared" si="589"/>
        <v>0</v>
      </c>
      <c r="AL471" s="533">
        <f t="shared" si="589"/>
        <v>0</v>
      </c>
      <c r="AM471" s="533">
        <f t="shared" si="590"/>
        <v>0</v>
      </c>
      <c r="AN471" s="533">
        <f t="shared" si="591"/>
        <v>0</v>
      </c>
      <c r="AO471" s="533">
        <f t="shared" si="591"/>
        <v>0</v>
      </c>
      <c r="AP471" s="533">
        <f t="shared" si="591"/>
        <v>0</v>
      </c>
      <c r="AQ471" s="533">
        <f t="shared" si="592"/>
        <v>0</v>
      </c>
      <c r="AR471" s="533">
        <f t="shared" si="593"/>
        <v>0</v>
      </c>
      <c r="AS471" s="533">
        <f t="shared" si="593"/>
        <v>0</v>
      </c>
      <c r="AT471" s="533">
        <f t="shared" si="593"/>
        <v>0</v>
      </c>
      <c r="AU471" s="576">
        <f t="shared" si="594"/>
        <v>0</v>
      </c>
      <c r="AV471" s="532"/>
      <c r="AW471" s="532"/>
      <c r="AX471" s="532"/>
      <c r="AY471" s="532"/>
      <c r="AZ471" s="755">
        <f t="shared" ref="AZ471:BN471" si="619">AZ379</f>
        <v>0</v>
      </c>
      <c r="BA471" s="755">
        <f t="shared" si="619"/>
        <v>0</v>
      </c>
      <c r="BB471" s="755">
        <f t="shared" si="619"/>
        <v>6.8250000000000002</v>
      </c>
      <c r="BC471" s="755">
        <f t="shared" si="619"/>
        <v>0</v>
      </c>
      <c r="BD471" s="755">
        <f t="shared" si="619"/>
        <v>0</v>
      </c>
      <c r="BE471" s="755">
        <f t="shared" si="619"/>
        <v>0</v>
      </c>
      <c r="BF471" s="755">
        <f t="shared" si="619"/>
        <v>0</v>
      </c>
      <c r="BG471" s="755">
        <f t="shared" si="619"/>
        <v>0</v>
      </c>
      <c r="BH471" s="755">
        <f t="shared" si="619"/>
        <v>0</v>
      </c>
      <c r="BI471" s="755">
        <f t="shared" si="619"/>
        <v>0</v>
      </c>
      <c r="BJ471" s="755">
        <f t="shared" si="619"/>
        <v>0</v>
      </c>
      <c r="BK471" s="755">
        <f t="shared" si="619"/>
        <v>0</v>
      </c>
      <c r="BL471" s="755">
        <f t="shared" si="619"/>
        <v>0</v>
      </c>
      <c r="BM471" s="755">
        <f t="shared" si="619"/>
        <v>0</v>
      </c>
      <c r="BN471" s="756">
        <f t="shared" si="619"/>
        <v>0</v>
      </c>
      <c r="BO471" s="156">
        <f t="shared" si="597"/>
        <v>0</v>
      </c>
      <c r="BP471" s="156" t="e">
        <f>SUM(#REF!,#REF!,#REF!,#REF!)</f>
        <v>#REF!</v>
      </c>
      <c r="BQ471" s="156"/>
      <c r="BR471" s="156"/>
      <c r="BS471" s="156"/>
      <c r="BT471" s="533"/>
    </row>
    <row r="472" spans="1:72" s="17" customFormat="1" x14ac:dyDescent="0.35">
      <c r="A472" s="208" t="str">
        <f t="shared" si="606"/>
        <v>Acquisition of assets</v>
      </c>
      <c r="B472" s="532"/>
      <c r="C472" s="533">
        <f t="shared" si="572"/>
        <v>0</v>
      </c>
      <c r="D472" s="533">
        <f t="shared" si="573"/>
        <v>0</v>
      </c>
      <c r="E472" s="533">
        <f t="shared" si="573"/>
        <v>0</v>
      </c>
      <c r="F472" s="533">
        <f t="shared" si="573"/>
        <v>0</v>
      </c>
      <c r="G472" s="533">
        <f t="shared" si="574"/>
        <v>0</v>
      </c>
      <c r="H472" s="533">
        <f t="shared" si="575"/>
        <v>0</v>
      </c>
      <c r="I472" s="533">
        <f t="shared" si="575"/>
        <v>0</v>
      </c>
      <c r="J472" s="533">
        <f t="shared" si="575"/>
        <v>0</v>
      </c>
      <c r="K472" s="533">
        <f t="shared" si="576"/>
        <v>0</v>
      </c>
      <c r="L472" s="533">
        <f t="shared" si="577"/>
        <v>0</v>
      </c>
      <c r="M472" s="533">
        <f t="shared" si="577"/>
        <v>0</v>
      </c>
      <c r="N472" s="533">
        <f t="shared" si="577"/>
        <v>0</v>
      </c>
      <c r="O472" s="533">
        <f t="shared" si="578"/>
        <v>0</v>
      </c>
      <c r="P472" s="533">
        <f t="shared" si="579"/>
        <v>0</v>
      </c>
      <c r="Q472" s="533">
        <f t="shared" si="579"/>
        <v>0</v>
      </c>
      <c r="R472" s="533">
        <f t="shared" si="579"/>
        <v>0</v>
      </c>
      <c r="S472" s="533">
        <f t="shared" si="580"/>
        <v>0</v>
      </c>
      <c r="T472" s="533">
        <f t="shared" si="581"/>
        <v>0</v>
      </c>
      <c r="U472" s="533">
        <f t="shared" si="581"/>
        <v>0</v>
      </c>
      <c r="V472" s="533">
        <f t="shared" si="581"/>
        <v>0</v>
      </c>
      <c r="W472" s="533">
        <f t="shared" si="582"/>
        <v>0</v>
      </c>
      <c r="X472" s="533">
        <f t="shared" si="583"/>
        <v>0</v>
      </c>
      <c r="Y472" s="533">
        <f t="shared" si="583"/>
        <v>0</v>
      </c>
      <c r="Z472" s="533">
        <f t="shared" si="583"/>
        <v>0</v>
      </c>
      <c r="AA472" s="533">
        <f t="shared" si="584"/>
        <v>0</v>
      </c>
      <c r="AB472" s="533">
        <f t="shared" si="585"/>
        <v>0</v>
      </c>
      <c r="AC472" s="533">
        <f t="shared" si="585"/>
        <v>0</v>
      </c>
      <c r="AD472" s="533">
        <f t="shared" si="585"/>
        <v>0</v>
      </c>
      <c r="AE472" s="533">
        <f t="shared" si="586"/>
        <v>0</v>
      </c>
      <c r="AF472" s="533">
        <f t="shared" si="587"/>
        <v>0</v>
      </c>
      <c r="AG472" s="533">
        <f t="shared" si="587"/>
        <v>0</v>
      </c>
      <c r="AH472" s="533">
        <f t="shared" si="587"/>
        <v>0</v>
      </c>
      <c r="AI472" s="533">
        <f t="shared" si="588"/>
        <v>0</v>
      </c>
      <c r="AJ472" s="533">
        <f t="shared" si="589"/>
        <v>0</v>
      </c>
      <c r="AK472" s="533">
        <f t="shared" si="589"/>
        <v>0</v>
      </c>
      <c r="AL472" s="533">
        <f t="shared" si="589"/>
        <v>0</v>
      </c>
      <c r="AM472" s="533">
        <f t="shared" si="590"/>
        <v>0</v>
      </c>
      <c r="AN472" s="533">
        <f t="shared" si="591"/>
        <v>0</v>
      </c>
      <c r="AO472" s="533">
        <f t="shared" si="591"/>
        <v>0</v>
      </c>
      <c r="AP472" s="533">
        <f t="shared" si="591"/>
        <v>0</v>
      </c>
      <c r="AQ472" s="533">
        <f t="shared" si="592"/>
        <v>-1.409</v>
      </c>
      <c r="AR472" s="533">
        <f t="shared" si="593"/>
        <v>0</v>
      </c>
      <c r="AS472" s="533">
        <f t="shared" si="593"/>
        <v>0</v>
      </c>
      <c r="AT472" s="533">
        <f t="shared" si="593"/>
        <v>0</v>
      </c>
      <c r="AU472" s="576">
        <f t="shared" si="594"/>
        <v>0</v>
      </c>
      <c r="AV472" s="532"/>
      <c r="AW472" s="532"/>
      <c r="AX472" s="532"/>
      <c r="AY472" s="532"/>
      <c r="AZ472" s="755">
        <f t="shared" ref="AZ472:BN472" si="620">AZ380</f>
        <v>0</v>
      </c>
      <c r="BA472" s="755">
        <f t="shared" si="620"/>
        <v>0</v>
      </c>
      <c r="BB472" s="755">
        <f t="shared" si="620"/>
        <v>0</v>
      </c>
      <c r="BC472" s="755">
        <f t="shared" si="620"/>
        <v>0</v>
      </c>
      <c r="BD472" s="755">
        <f t="shared" si="620"/>
        <v>0</v>
      </c>
      <c r="BE472" s="755">
        <f t="shared" si="620"/>
        <v>0</v>
      </c>
      <c r="BF472" s="755">
        <f t="shared" si="620"/>
        <v>0</v>
      </c>
      <c r="BG472" s="755">
        <f t="shared" si="620"/>
        <v>0</v>
      </c>
      <c r="BH472" s="755">
        <f t="shared" si="620"/>
        <v>0</v>
      </c>
      <c r="BI472" s="755">
        <f t="shared" si="620"/>
        <v>0</v>
      </c>
      <c r="BJ472" s="755">
        <f t="shared" si="620"/>
        <v>0</v>
      </c>
      <c r="BK472" s="755">
        <f t="shared" si="620"/>
        <v>0</v>
      </c>
      <c r="BL472" s="755">
        <f t="shared" si="620"/>
        <v>0</v>
      </c>
      <c r="BM472" s="755">
        <f t="shared" si="620"/>
        <v>0</v>
      </c>
      <c r="BN472" s="756">
        <f t="shared" si="620"/>
        <v>-1.409</v>
      </c>
      <c r="BO472" s="156">
        <f t="shared" si="597"/>
        <v>0</v>
      </c>
      <c r="BP472" s="156" t="e">
        <f>SUM(#REF!,#REF!,#REF!,#REF!)</f>
        <v>#REF!</v>
      </c>
      <c r="BQ472" s="156"/>
      <c r="BR472" s="156"/>
      <c r="BS472" s="156"/>
      <c r="BT472" s="533"/>
    </row>
    <row r="473" spans="1:72" s="17" customFormat="1" x14ac:dyDescent="0.35">
      <c r="A473" s="208" t="str">
        <f t="shared" si="606"/>
        <v>Acquisitions and investments</v>
      </c>
      <c r="B473" s="532"/>
      <c r="C473" s="533">
        <f t="shared" si="572"/>
        <v>0</v>
      </c>
      <c r="D473" s="533">
        <f t="shared" si="573"/>
        <v>0</v>
      </c>
      <c r="E473" s="533">
        <f t="shared" si="573"/>
        <v>0</v>
      </c>
      <c r="F473" s="533">
        <f t="shared" si="573"/>
        <v>0</v>
      </c>
      <c r="G473" s="533">
        <f t="shared" si="574"/>
        <v>0</v>
      </c>
      <c r="H473" s="533">
        <f t="shared" si="575"/>
        <v>0</v>
      </c>
      <c r="I473" s="533">
        <f t="shared" si="575"/>
        <v>0</v>
      </c>
      <c r="J473" s="533">
        <f t="shared" si="575"/>
        <v>0</v>
      </c>
      <c r="K473" s="533">
        <f t="shared" si="576"/>
        <v>0</v>
      </c>
      <c r="L473" s="533">
        <f t="shared" si="577"/>
        <v>0</v>
      </c>
      <c r="M473" s="533">
        <f t="shared" si="577"/>
        <v>0</v>
      </c>
      <c r="N473" s="533">
        <f t="shared" si="577"/>
        <v>0</v>
      </c>
      <c r="O473" s="533">
        <f t="shared" si="578"/>
        <v>0</v>
      </c>
      <c r="P473" s="533">
        <f t="shared" si="579"/>
        <v>0</v>
      </c>
      <c r="Q473" s="533">
        <f t="shared" si="579"/>
        <v>0</v>
      </c>
      <c r="R473" s="533">
        <f t="shared" si="579"/>
        <v>0</v>
      </c>
      <c r="S473" s="533">
        <f t="shared" si="580"/>
        <v>0</v>
      </c>
      <c r="T473" s="533">
        <f t="shared" si="581"/>
        <v>0</v>
      </c>
      <c r="U473" s="533">
        <f t="shared" si="581"/>
        <v>0</v>
      </c>
      <c r="V473" s="533">
        <f t="shared" si="581"/>
        <v>0</v>
      </c>
      <c r="W473" s="533">
        <f t="shared" si="582"/>
        <v>0</v>
      </c>
      <c r="X473" s="533">
        <f t="shared" si="583"/>
        <v>0</v>
      </c>
      <c r="Y473" s="533">
        <f t="shared" si="583"/>
        <v>0</v>
      </c>
      <c r="Z473" s="533">
        <f t="shared" si="583"/>
        <v>0</v>
      </c>
      <c r="AA473" s="533">
        <f t="shared" si="584"/>
        <v>-11.651999999999999</v>
      </c>
      <c r="AB473" s="533">
        <f t="shared" si="585"/>
        <v>0</v>
      </c>
      <c r="AC473" s="533">
        <f t="shared" si="585"/>
        <v>0</v>
      </c>
      <c r="AD473" s="533">
        <f t="shared" si="585"/>
        <v>-1.4400000000000013</v>
      </c>
      <c r="AE473" s="533">
        <f t="shared" si="586"/>
        <v>-1.2769999999999999</v>
      </c>
      <c r="AF473" s="533">
        <f t="shared" si="587"/>
        <v>-2.8369999999999997</v>
      </c>
      <c r="AG473" s="533">
        <f t="shared" si="587"/>
        <v>-0.16300000000000026</v>
      </c>
      <c r="AH473" s="533">
        <f t="shared" si="587"/>
        <v>-9.6000000000000085E-2</v>
      </c>
      <c r="AI473" s="533">
        <f t="shared" si="588"/>
        <v>-3.113</v>
      </c>
      <c r="AJ473" s="533">
        <f t="shared" si="589"/>
        <v>2.9249999999999998</v>
      </c>
      <c r="AK473" s="533">
        <f t="shared" si="589"/>
        <v>-0.82000000000000006</v>
      </c>
      <c r="AL473" s="533">
        <f t="shared" si="589"/>
        <v>-0.71500000000000008</v>
      </c>
      <c r="AM473" s="533">
        <f t="shared" si="590"/>
        <v>-0.192</v>
      </c>
      <c r="AN473" s="533">
        <f t="shared" si="591"/>
        <v>-3.7639999999999998</v>
      </c>
      <c r="AO473" s="533">
        <f t="shared" si="591"/>
        <v>0.30200000000000005</v>
      </c>
      <c r="AP473" s="533">
        <f t="shared" si="591"/>
        <v>-0.24500000000000011</v>
      </c>
      <c r="AQ473" s="533">
        <f t="shared" si="592"/>
        <v>-0.21299999999999999</v>
      </c>
      <c r="AR473" s="533">
        <f t="shared" si="593"/>
        <v>-0.55400000000000005</v>
      </c>
      <c r="AS473" s="533">
        <f t="shared" si="593"/>
        <v>-0.61</v>
      </c>
      <c r="AT473" s="533">
        <f t="shared" si="593"/>
        <v>-0.27499999999999991</v>
      </c>
      <c r="AU473" s="576">
        <f t="shared" si="594"/>
        <v>-0.16600000000000001</v>
      </c>
      <c r="AV473" s="532">
        <f t="shared" ref="AV473:AX473" si="621">AV265</f>
        <v>0</v>
      </c>
      <c r="AW473" s="532">
        <f t="shared" si="621"/>
        <v>0</v>
      </c>
      <c r="AX473" s="532">
        <f t="shared" si="621"/>
        <v>0</v>
      </c>
      <c r="AY473" s="532"/>
      <c r="AZ473" s="755">
        <f t="shared" ref="AZ473:BN473" si="622">AZ381</f>
        <v>0</v>
      </c>
      <c r="BA473" s="755">
        <f t="shared" si="622"/>
        <v>0</v>
      </c>
      <c r="BB473" s="755">
        <f t="shared" si="622"/>
        <v>0</v>
      </c>
      <c r="BC473" s="755">
        <f t="shared" si="622"/>
        <v>0</v>
      </c>
      <c r="BD473" s="755">
        <f t="shared" si="622"/>
        <v>0</v>
      </c>
      <c r="BE473" s="755">
        <f t="shared" si="622"/>
        <v>0</v>
      </c>
      <c r="BF473" s="755">
        <f t="shared" si="622"/>
        <v>0</v>
      </c>
      <c r="BG473" s="755">
        <f t="shared" si="622"/>
        <v>0</v>
      </c>
      <c r="BH473" s="755">
        <f t="shared" si="622"/>
        <v>0</v>
      </c>
      <c r="BI473" s="755">
        <f t="shared" si="622"/>
        <v>0</v>
      </c>
      <c r="BJ473" s="755">
        <f t="shared" si="622"/>
        <v>-13.092000000000001</v>
      </c>
      <c r="BK473" s="755">
        <f t="shared" si="622"/>
        <v>-4.3730000000000002</v>
      </c>
      <c r="BL473" s="755">
        <f t="shared" si="622"/>
        <v>-1.7230000000000001</v>
      </c>
      <c r="BM473" s="755">
        <f t="shared" si="622"/>
        <v>-3.899</v>
      </c>
      <c r="BN473" s="756">
        <f t="shared" si="622"/>
        <v>-1.6519999999999999</v>
      </c>
      <c r="BO473" s="156">
        <f t="shared" si="597"/>
        <v>-0.16600000000000001</v>
      </c>
      <c r="BP473" s="156" t="e">
        <f>SUM(#REF!,#REF!,#REF!,#REF!)</f>
        <v>#REF!</v>
      </c>
      <c r="BQ473" s="156">
        <f>BQ265</f>
        <v>0</v>
      </c>
      <c r="BR473" s="156">
        <f>BR265</f>
        <v>0</v>
      </c>
      <c r="BS473" s="156">
        <f>BS265</f>
        <v>0</v>
      </c>
      <c r="BT473" s="533"/>
    </row>
    <row r="474" spans="1:72" s="17" customFormat="1" x14ac:dyDescent="0.35">
      <c r="A474" s="208" t="str">
        <f t="shared" si="606"/>
        <v>Proceeds from the maturity of marketable securities</v>
      </c>
      <c r="B474" s="532"/>
      <c r="C474" s="533">
        <f t="shared" si="572"/>
        <v>0</v>
      </c>
      <c r="D474" s="533">
        <f t="shared" si="573"/>
        <v>0</v>
      </c>
      <c r="E474" s="533">
        <f t="shared" si="573"/>
        <v>0</v>
      </c>
      <c r="F474" s="533">
        <f t="shared" si="573"/>
        <v>0</v>
      </c>
      <c r="G474" s="533">
        <f t="shared" si="574"/>
        <v>0</v>
      </c>
      <c r="H474" s="533">
        <f t="shared" si="575"/>
        <v>0</v>
      </c>
      <c r="I474" s="533">
        <f t="shared" si="575"/>
        <v>0</v>
      </c>
      <c r="J474" s="533">
        <f t="shared" si="575"/>
        <v>0</v>
      </c>
      <c r="K474" s="533">
        <f t="shared" si="576"/>
        <v>0</v>
      </c>
      <c r="L474" s="533">
        <f t="shared" si="577"/>
        <v>0</v>
      </c>
      <c r="M474" s="533">
        <f t="shared" si="577"/>
        <v>0</v>
      </c>
      <c r="N474" s="533">
        <f t="shared" si="577"/>
        <v>0</v>
      </c>
      <c r="O474" s="533">
        <f t="shared" si="578"/>
        <v>0</v>
      </c>
      <c r="P474" s="533">
        <f t="shared" si="579"/>
        <v>0</v>
      </c>
      <c r="Q474" s="533">
        <f t="shared" si="579"/>
        <v>0</v>
      </c>
      <c r="R474" s="533">
        <f t="shared" si="579"/>
        <v>0</v>
      </c>
      <c r="S474" s="533">
        <f t="shared" si="580"/>
        <v>0</v>
      </c>
      <c r="T474" s="533">
        <f t="shared" si="581"/>
        <v>0</v>
      </c>
      <c r="U474" s="533">
        <f t="shared" si="581"/>
        <v>0</v>
      </c>
      <c r="V474" s="533">
        <f t="shared" si="581"/>
        <v>0</v>
      </c>
      <c r="W474" s="533">
        <f t="shared" si="582"/>
        <v>0</v>
      </c>
      <c r="X474" s="533">
        <f t="shared" si="583"/>
        <v>0</v>
      </c>
      <c r="Y474" s="533">
        <f t="shared" si="583"/>
        <v>0</v>
      </c>
      <c r="Z474" s="533">
        <f t="shared" si="583"/>
        <v>0</v>
      </c>
      <c r="AA474" s="533">
        <f t="shared" si="584"/>
        <v>0</v>
      </c>
      <c r="AB474" s="533">
        <f t="shared" si="585"/>
        <v>0</v>
      </c>
      <c r="AC474" s="533">
        <f t="shared" si="585"/>
        <v>0</v>
      </c>
      <c r="AD474" s="533">
        <f t="shared" si="585"/>
        <v>0</v>
      </c>
      <c r="AE474" s="533">
        <f t="shared" si="586"/>
        <v>0</v>
      </c>
      <c r="AF474" s="533">
        <f t="shared" si="587"/>
        <v>0</v>
      </c>
      <c r="AG474" s="533">
        <f t="shared" si="587"/>
        <v>0</v>
      </c>
      <c r="AH474" s="533">
        <f t="shared" si="587"/>
        <v>0</v>
      </c>
      <c r="AI474" s="533">
        <f t="shared" si="588"/>
        <v>0</v>
      </c>
      <c r="AJ474" s="533">
        <f t="shared" si="589"/>
        <v>0</v>
      </c>
      <c r="AK474" s="533">
        <f t="shared" si="589"/>
        <v>0</v>
      </c>
      <c r="AL474" s="533">
        <f t="shared" si="589"/>
        <v>0</v>
      </c>
      <c r="AM474" s="533">
        <f t="shared" si="590"/>
        <v>1.5009999999999999</v>
      </c>
      <c r="AN474" s="533">
        <f t="shared" si="591"/>
        <v>5.7469999999999999</v>
      </c>
      <c r="AO474" s="533">
        <f t="shared" si="591"/>
        <v>12.655999999999999</v>
      </c>
      <c r="AP474" s="533">
        <f t="shared" si="591"/>
        <v>20.258999999999997</v>
      </c>
      <c r="AQ474" s="533">
        <f t="shared" si="592"/>
        <v>12.044</v>
      </c>
      <c r="AR474" s="533">
        <f t="shared" si="593"/>
        <v>24.684999999999999</v>
      </c>
      <c r="AS474" s="533">
        <f t="shared" si="593"/>
        <v>29.474999999999994</v>
      </c>
      <c r="AT474" s="533">
        <f t="shared" si="593"/>
        <v>25.675000000000011</v>
      </c>
      <c r="AU474" s="576">
        <f t="shared" si="594"/>
        <v>40.734000000000002</v>
      </c>
      <c r="AV474" s="532"/>
      <c r="AW474" s="532"/>
      <c r="AX474" s="532"/>
      <c r="AY474" s="532"/>
      <c r="AZ474" s="755">
        <f t="shared" ref="AZ474:BN474" si="623">AZ382</f>
        <v>0</v>
      </c>
      <c r="BA474" s="755">
        <f t="shared" si="623"/>
        <v>0</v>
      </c>
      <c r="BB474" s="755">
        <f t="shared" si="623"/>
        <v>0</v>
      </c>
      <c r="BC474" s="755">
        <f t="shared" si="623"/>
        <v>0</v>
      </c>
      <c r="BD474" s="755">
        <f t="shared" si="623"/>
        <v>0</v>
      </c>
      <c r="BE474" s="755">
        <f t="shared" si="623"/>
        <v>0</v>
      </c>
      <c r="BF474" s="755">
        <f t="shared" si="623"/>
        <v>0</v>
      </c>
      <c r="BG474" s="755">
        <f t="shared" si="623"/>
        <v>0</v>
      </c>
      <c r="BH474" s="755">
        <f t="shared" si="623"/>
        <v>0</v>
      </c>
      <c r="BI474" s="755">
        <f t="shared" si="623"/>
        <v>0</v>
      </c>
      <c r="BJ474" s="755">
        <f t="shared" si="623"/>
        <v>0</v>
      </c>
      <c r="BK474" s="755">
        <f t="shared" si="623"/>
        <v>0</v>
      </c>
      <c r="BL474" s="755">
        <f t="shared" si="623"/>
        <v>0</v>
      </c>
      <c r="BM474" s="755">
        <f t="shared" si="623"/>
        <v>40.162999999999997</v>
      </c>
      <c r="BN474" s="756">
        <f t="shared" si="623"/>
        <v>91.879000000000005</v>
      </c>
      <c r="BO474" s="156">
        <f t="shared" si="597"/>
        <v>40.734000000000002</v>
      </c>
      <c r="BP474" s="156" t="e">
        <f>SUM(#REF!,#REF!,#REF!,#REF!)</f>
        <v>#REF!</v>
      </c>
      <c r="BQ474" s="156"/>
      <c r="BR474" s="156"/>
      <c r="BS474" s="156"/>
      <c r="BT474" s="533"/>
    </row>
    <row r="475" spans="1:72" s="17" customFormat="1" x14ac:dyDescent="0.35">
      <c r="A475" s="208" t="str">
        <f t="shared" si="606"/>
        <v>Purchases of marketable securities</v>
      </c>
      <c r="B475" s="532"/>
      <c r="C475" s="533">
        <f t="shared" si="572"/>
        <v>0</v>
      </c>
      <c r="D475" s="533">
        <f t="shared" si="573"/>
        <v>0</v>
      </c>
      <c r="E475" s="533">
        <f t="shared" si="573"/>
        <v>0</v>
      </c>
      <c r="F475" s="533">
        <f t="shared" si="573"/>
        <v>0</v>
      </c>
      <c r="G475" s="533">
        <f t="shared" si="574"/>
        <v>0</v>
      </c>
      <c r="H475" s="533">
        <f t="shared" si="575"/>
        <v>0</v>
      </c>
      <c r="I475" s="533">
        <f t="shared" si="575"/>
        <v>0</v>
      </c>
      <c r="J475" s="533">
        <f t="shared" si="575"/>
        <v>0</v>
      </c>
      <c r="K475" s="533">
        <f t="shared" si="576"/>
        <v>0</v>
      </c>
      <c r="L475" s="533">
        <f t="shared" si="577"/>
        <v>0</v>
      </c>
      <c r="M475" s="533">
        <f t="shared" si="577"/>
        <v>0</v>
      </c>
      <c r="N475" s="533">
        <f t="shared" si="577"/>
        <v>0</v>
      </c>
      <c r="O475" s="533">
        <f t="shared" si="578"/>
        <v>0</v>
      </c>
      <c r="P475" s="533">
        <f t="shared" si="579"/>
        <v>0</v>
      </c>
      <c r="Q475" s="533">
        <f t="shared" si="579"/>
        <v>0</v>
      </c>
      <c r="R475" s="533">
        <f t="shared" si="579"/>
        <v>0</v>
      </c>
      <c r="S475" s="533">
        <f t="shared" si="580"/>
        <v>0</v>
      </c>
      <c r="T475" s="533">
        <f t="shared" si="581"/>
        <v>0</v>
      </c>
      <c r="U475" s="533">
        <f t="shared" si="581"/>
        <v>0</v>
      </c>
      <c r="V475" s="533">
        <f t="shared" si="581"/>
        <v>0</v>
      </c>
      <c r="W475" s="533">
        <f t="shared" si="582"/>
        <v>0</v>
      </c>
      <c r="X475" s="533">
        <f t="shared" si="583"/>
        <v>0</v>
      </c>
      <c r="Y475" s="533">
        <f t="shared" si="583"/>
        <v>0</v>
      </c>
      <c r="Z475" s="533">
        <f t="shared" si="583"/>
        <v>0</v>
      </c>
      <c r="AA475" s="533">
        <f t="shared" si="584"/>
        <v>0</v>
      </c>
      <c r="AB475" s="533">
        <f t="shared" si="585"/>
        <v>0</v>
      </c>
      <c r="AC475" s="533">
        <f t="shared" si="585"/>
        <v>0</v>
      </c>
      <c r="AD475" s="533">
        <f t="shared" si="585"/>
        <v>0</v>
      </c>
      <c r="AE475" s="533">
        <f t="shared" si="586"/>
        <v>0</v>
      </c>
      <c r="AF475" s="533">
        <f t="shared" si="587"/>
        <v>0</v>
      </c>
      <c r="AG475" s="533">
        <f t="shared" si="587"/>
        <v>0</v>
      </c>
      <c r="AH475" s="533">
        <f t="shared" si="587"/>
        <v>0</v>
      </c>
      <c r="AI475" s="533">
        <f t="shared" si="588"/>
        <v>0</v>
      </c>
      <c r="AJ475" s="533">
        <f t="shared" si="589"/>
        <v>0</v>
      </c>
      <c r="AK475" s="533">
        <f t="shared" si="589"/>
        <v>0</v>
      </c>
      <c r="AL475" s="533">
        <f t="shared" si="589"/>
        <v>-40.542000000000002</v>
      </c>
      <c r="AM475" s="533">
        <f t="shared" si="590"/>
        <v>-9.1959999999999997</v>
      </c>
      <c r="AN475" s="533">
        <f t="shared" si="591"/>
        <v>-29.524000000000001</v>
      </c>
      <c r="AO475" s="533">
        <f t="shared" si="591"/>
        <v>-25.430999999999997</v>
      </c>
      <c r="AP475" s="533">
        <f t="shared" si="591"/>
        <v>-20.506</v>
      </c>
      <c r="AQ475" s="533">
        <f t="shared" si="592"/>
        <v>-20.126000000000001</v>
      </c>
      <c r="AR475" s="533">
        <f t="shared" si="593"/>
        <v>-35.753</v>
      </c>
      <c r="AS475" s="533">
        <f t="shared" si="593"/>
        <v>-29.410000000000004</v>
      </c>
      <c r="AT475" s="533">
        <f t="shared" si="593"/>
        <v>-55.280999999999992</v>
      </c>
      <c r="AU475" s="576">
        <f t="shared" si="594"/>
        <v>-31.484000000000002</v>
      </c>
      <c r="AV475" s="532"/>
      <c r="AW475" s="532"/>
      <c r="AX475" s="532"/>
      <c r="AY475" s="532"/>
      <c r="AZ475" s="755">
        <f t="shared" ref="AZ475:BN475" si="624">AZ383</f>
        <v>0</v>
      </c>
      <c r="BA475" s="755">
        <f t="shared" si="624"/>
        <v>0</v>
      </c>
      <c r="BB475" s="755">
        <f t="shared" si="624"/>
        <v>0</v>
      </c>
      <c r="BC475" s="755">
        <f t="shared" si="624"/>
        <v>0</v>
      </c>
      <c r="BD475" s="755">
        <f t="shared" si="624"/>
        <v>0</v>
      </c>
      <c r="BE475" s="755">
        <f t="shared" si="624"/>
        <v>0</v>
      </c>
      <c r="BF475" s="755">
        <f t="shared" si="624"/>
        <v>0</v>
      </c>
      <c r="BG475" s="755">
        <f t="shared" si="624"/>
        <v>0</v>
      </c>
      <c r="BH475" s="755">
        <f t="shared" si="624"/>
        <v>0</v>
      </c>
      <c r="BI475" s="755">
        <f t="shared" si="624"/>
        <v>0</v>
      </c>
      <c r="BJ475" s="755">
        <f t="shared" si="624"/>
        <v>0</v>
      </c>
      <c r="BK475" s="755">
        <f t="shared" si="624"/>
        <v>0</v>
      </c>
      <c r="BL475" s="755">
        <f t="shared" si="624"/>
        <v>-40.542000000000002</v>
      </c>
      <c r="BM475" s="755">
        <f t="shared" si="624"/>
        <v>-84.656999999999996</v>
      </c>
      <c r="BN475" s="756">
        <f t="shared" si="624"/>
        <v>-140.57</v>
      </c>
      <c r="BO475" s="156">
        <f t="shared" si="597"/>
        <v>-31.484000000000002</v>
      </c>
      <c r="BP475" s="156" t="e">
        <f>SUM(#REF!,#REF!,#REF!,#REF!)</f>
        <v>#REF!</v>
      </c>
      <c r="BQ475" s="156"/>
      <c r="BR475" s="156"/>
      <c r="BS475" s="156"/>
      <c r="BT475" s="533"/>
    </row>
    <row r="476" spans="1:72" s="17" customFormat="1" x14ac:dyDescent="0.35">
      <c r="A476" s="267" t="str">
        <f t="shared" si="606"/>
        <v>Cash paid for investment in Web</v>
      </c>
      <c r="B476" s="535"/>
      <c r="C476" s="571">
        <f t="shared" si="572"/>
        <v>0</v>
      </c>
      <c r="D476" s="571">
        <f t="shared" si="573"/>
        <v>0</v>
      </c>
      <c r="E476" s="571">
        <f t="shared" si="573"/>
        <v>0</v>
      </c>
      <c r="F476" s="571">
        <f t="shared" si="573"/>
        <v>0</v>
      </c>
      <c r="G476" s="571">
        <f t="shared" si="574"/>
        <v>0</v>
      </c>
      <c r="H476" s="571">
        <f t="shared" si="575"/>
        <v>0</v>
      </c>
      <c r="I476" s="571">
        <f t="shared" si="575"/>
        <v>0</v>
      </c>
      <c r="J476" s="571">
        <f t="shared" si="575"/>
        <v>0</v>
      </c>
      <c r="K476" s="571">
        <f t="shared" si="576"/>
        <v>0</v>
      </c>
      <c r="L476" s="571">
        <f t="shared" si="577"/>
        <v>0</v>
      </c>
      <c r="M476" s="571">
        <f t="shared" si="577"/>
        <v>0</v>
      </c>
      <c r="N476" s="571">
        <f t="shared" si="577"/>
        <v>0</v>
      </c>
      <c r="O476" s="571">
        <f t="shared" si="578"/>
        <v>0</v>
      </c>
      <c r="P476" s="571">
        <f t="shared" si="579"/>
        <v>0</v>
      </c>
      <c r="Q476" s="571">
        <f t="shared" si="579"/>
        <v>0</v>
      </c>
      <c r="R476" s="571">
        <f t="shared" si="579"/>
        <v>0</v>
      </c>
      <c r="S476" s="571">
        <f t="shared" si="580"/>
        <v>0</v>
      </c>
      <c r="T476" s="571">
        <f t="shared" si="581"/>
        <v>0</v>
      </c>
      <c r="U476" s="571">
        <f t="shared" si="581"/>
        <v>0</v>
      </c>
      <c r="V476" s="571">
        <f t="shared" si="581"/>
        <v>0</v>
      </c>
      <c r="W476" s="571">
        <f t="shared" si="582"/>
        <v>0</v>
      </c>
      <c r="X476" s="571">
        <f t="shared" si="583"/>
        <v>0</v>
      </c>
      <c r="Y476" s="571">
        <f t="shared" si="583"/>
        <v>0</v>
      </c>
      <c r="Z476" s="571">
        <f t="shared" si="583"/>
        <v>0</v>
      </c>
      <c r="AA476" s="571">
        <f t="shared" si="584"/>
        <v>0</v>
      </c>
      <c r="AB476" s="571">
        <f t="shared" si="585"/>
        <v>0</v>
      </c>
      <c r="AC476" s="571">
        <f t="shared" si="585"/>
        <v>0</v>
      </c>
      <c r="AD476" s="571">
        <f t="shared" si="585"/>
        <v>0</v>
      </c>
      <c r="AE476" s="571">
        <f t="shared" si="586"/>
        <v>0</v>
      </c>
      <c r="AF476" s="571">
        <f t="shared" si="587"/>
        <v>0</v>
      </c>
      <c r="AG476" s="571">
        <f t="shared" si="587"/>
        <v>0</v>
      </c>
      <c r="AH476" s="571">
        <f t="shared" si="587"/>
        <v>0</v>
      </c>
      <c r="AI476" s="571">
        <f t="shared" si="588"/>
        <v>0</v>
      </c>
      <c r="AJ476" s="571">
        <f t="shared" si="589"/>
        <v>0</v>
      </c>
      <c r="AK476" s="571">
        <f t="shared" si="589"/>
        <v>0</v>
      </c>
      <c r="AL476" s="571">
        <f t="shared" si="589"/>
        <v>0</v>
      </c>
      <c r="AM476" s="571">
        <f t="shared" si="590"/>
        <v>0</v>
      </c>
      <c r="AN476" s="571">
        <f t="shared" si="591"/>
        <v>0</v>
      </c>
      <c r="AO476" s="571">
        <f t="shared" si="591"/>
        <v>0</v>
      </c>
      <c r="AP476" s="571">
        <f t="shared" si="591"/>
        <v>0</v>
      </c>
      <c r="AQ476" s="571">
        <f t="shared" si="592"/>
        <v>0</v>
      </c>
      <c r="AR476" s="571">
        <f t="shared" si="593"/>
        <v>0</v>
      </c>
      <c r="AS476" s="571">
        <f t="shared" si="593"/>
        <v>0</v>
      </c>
      <c r="AT476" s="571">
        <f t="shared" si="593"/>
        <v>0</v>
      </c>
      <c r="AU476" s="583">
        <f t="shared" si="594"/>
        <v>0</v>
      </c>
      <c r="AV476" s="535"/>
      <c r="AW476" s="535"/>
      <c r="AX476" s="535"/>
      <c r="AY476" s="535"/>
      <c r="AZ476" s="760">
        <f t="shared" ref="AZ476:BN476" si="625">AZ384</f>
        <v>0</v>
      </c>
      <c r="BA476" s="760">
        <f t="shared" si="625"/>
        <v>0</v>
      </c>
      <c r="BB476" s="760">
        <f t="shared" si="625"/>
        <v>-10</v>
      </c>
      <c r="BC476" s="760">
        <f t="shared" si="625"/>
        <v>0</v>
      </c>
      <c r="BD476" s="760">
        <f t="shared" si="625"/>
        <v>0</v>
      </c>
      <c r="BE476" s="760">
        <f t="shared" si="625"/>
        <v>0</v>
      </c>
      <c r="BF476" s="760">
        <f t="shared" si="625"/>
        <v>0</v>
      </c>
      <c r="BG476" s="760">
        <f t="shared" si="625"/>
        <v>0</v>
      </c>
      <c r="BH476" s="760">
        <f t="shared" si="625"/>
        <v>0</v>
      </c>
      <c r="BI476" s="760">
        <f t="shared" si="625"/>
        <v>0</v>
      </c>
      <c r="BJ476" s="760">
        <f t="shared" si="625"/>
        <v>0</v>
      </c>
      <c r="BK476" s="760">
        <f t="shared" si="625"/>
        <v>0</v>
      </c>
      <c r="BL476" s="760">
        <f t="shared" si="625"/>
        <v>0</v>
      </c>
      <c r="BM476" s="760">
        <f t="shared" si="625"/>
        <v>0</v>
      </c>
      <c r="BN476" s="761">
        <f t="shared" si="625"/>
        <v>0</v>
      </c>
      <c r="BO476" s="731">
        <f t="shared" si="597"/>
        <v>0</v>
      </c>
      <c r="BP476" s="731" t="e">
        <f>SUM(#REF!,#REF!,#REF!,#REF!)</f>
        <v>#REF!</v>
      </c>
      <c r="BQ476" s="731"/>
      <c r="BR476" s="731"/>
      <c r="BS476" s="731"/>
      <c r="BT476" s="533"/>
    </row>
    <row r="477" spans="1:72" s="1" customFormat="1" x14ac:dyDescent="0.35">
      <c r="A477" s="47" t="str">
        <f t="shared" si="606"/>
        <v>Net CFI</v>
      </c>
      <c r="B477" s="360"/>
      <c r="C477" s="573">
        <f t="shared" ref="C477:AH477" si="626">SUM(C452:C476)</f>
        <v>-15.244</v>
      </c>
      <c r="D477" s="573">
        <f t="shared" si="626"/>
        <v>-10.541</v>
      </c>
      <c r="E477" s="573">
        <f t="shared" si="626"/>
        <v>-10.944000000000001</v>
      </c>
      <c r="F477" s="573">
        <f t="shared" si="626"/>
        <v>-13.616000000000001</v>
      </c>
      <c r="G477" s="573">
        <f t="shared" si="626"/>
        <v>-14.702</v>
      </c>
      <c r="H477" s="573">
        <f t="shared" si="626"/>
        <v>-11.007999999999999</v>
      </c>
      <c r="I477" s="573">
        <f t="shared" si="626"/>
        <v>-12.523000000000003</v>
      </c>
      <c r="J477" s="573">
        <f t="shared" si="626"/>
        <v>-7.5710000000000006</v>
      </c>
      <c r="K477" s="573">
        <f t="shared" si="626"/>
        <v>-25.106000000000002</v>
      </c>
      <c r="L477" s="573">
        <f t="shared" si="626"/>
        <v>-12.452999999999999</v>
      </c>
      <c r="M477" s="573">
        <f t="shared" si="626"/>
        <v>-14.233000000000001</v>
      </c>
      <c r="N477" s="573">
        <f t="shared" si="626"/>
        <v>-16.46</v>
      </c>
      <c r="O477" s="573">
        <f t="shared" si="626"/>
        <v>-14.191000000000001</v>
      </c>
      <c r="P477" s="573">
        <f t="shared" si="626"/>
        <v>-11.625</v>
      </c>
      <c r="Q477" s="573">
        <f t="shared" si="626"/>
        <v>-15.169</v>
      </c>
      <c r="R477" s="573">
        <f t="shared" si="626"/>
        <v>-41.867999999999995</v>
      </c>
      <c r="S477" s="573">
        <f t="shared" si="626"/>
        <v>-14.028</v>
      </c>
      <c r="T477" s="573">
        <f t="shared" si="626"/>
        <v>-18.969000000000001</v>
      </c>
      <c r="U477" s="573">
        <f t="shared" si="626"/>
        <v>-9.2999999999999989</v>
      </c>
      <c r="V477" s="573">
        <f t="shared" si="626"/>
        <v>-14.901000000000002</v>
      </c>
      <c r="W477" s="573">
        <f t="shared" si="626"/>
        <v>-15.522</v>
      </c>
      <c r="X477" s="573">
        <f t="shared" si="626"/>
        <v>-10.417</v>
      </c>
      <c r="Y477" s="573">
        <f t="shared" si="626"/>
        <v>-10.536999999999999</v>
      </c>
      <c r="Z477" s="573">
        <f t="shared" si="626"/>
        <v>-14.001000000000001</v>
      </c>
      <c r="AA477" s="573">
        <f t="shared" si="626"/>
        <v>-29.391999999999996</v>
      </c>
      <c r="AB477" s="573">
        <f t="shared" si="626"/>
        <v>-9.5360000000000014</v>
      </c>
      <c r="AC477" s="573">
        <f t="shared" si="626"/>
        <v>-9.0579999999999998</v>
      </c>
      <c r="AD477" s="573">
        <f t="shared" si="626"/>
        <v>-13.123000000000005</v>
      </c>
      <c r="AE477" s="573">
        <f t="shared" si="626"/>
        <v>-18.247</v>
      </c>
      <c r="AF477" s="573">
        <f t="shared" si="626"/>
        <v>-12.173999999999999</v>
      </c>
      <c r="AG477" s="573">
        <f t="shared" si="626"/>
        <v>-177.63200000000001</v>
      </c>
      <c r="AH477" s="573">
        <f t="shared" si="626"/>
        <v>-9.3120000000000012</v>
      </c>
      <c r="AI477" s="573">
        <f t="shared" ref="AI477:AX477" si="627">SUM(AI452:AI476)</f>
        <v>-15.688000000000001</v>
      </c>
      <c r="AJ477" s="573">
        <f t="shared" si="627"/>
        <v>-78.587000000000003</v>
      </c>
      <c r="AK477" s="573">
        <f t="shared" si="627"/>
        <v>-12.233000000000006</v>
      </c>
      <c r="AL477" s="573">
        <f t="shared" si="627"/>
        <v>-58.934999999999988</v>
      </c>
      <c r="AM477" s="573">
        <f t="shared" si="627"/>
        <v>-23.231000000000002</v>
      </c>
      <c r="AN477" s="573">
        <f t="shared" si="627"/>
        <v>-36.432000000000002</v>
      </c>
      <c r="AO477" s="573">
        <f t="shared" si="627"/>
        <v>-30.908999999999999</v>
      </c>
      <c r="AP477" s="573">
        <f t="shared" si="627"/>
        <v>-20.186000000000007</v>
      </c>
      <c r="AQ477" s="573">
        <f t="shared" si="627"/>
        <v>-26.495000000000001</v>
      </c>
      <c r="AR477" s="573">
        <f t="shared" si="627"/>
        <v>-28.520000000000003</v>
      </c>
      <c r="AS477" s="573">
        <f t="shared" si="627"/>
        <v>-15.747000000000007</v>
      </c>
      <c r="AT477" s="573">
        <f t="shared" si="627"/>
        <v>-47.47799999999998</v>
      </c>
      <c r="AU477" s="577">
        <f t="shared" si="627"/>
        <v>-7.0650000000000013</v>
      </c>
      <c r="AV477" s="572">
        <f t="shared" si="627"/>
        <v>-16.5</v>
      </c>
      <c r="AW477" s="572">
        <f t="shared" si="627"/>
        <v>-18.3</v>
      </c>
      <c r="AX477" s="572">
        <f t="shared" si="627"/>
        <v>-19</v>
      </c>
      <c r="AY477" s="572"/>
      <c r="AZ477" s="735">
        <f t="shared" ref="AZ477:BS477" si="628">SUM(AZ452:AZ476)</f>
        <v>-27.885999999999996</v>
      </c>
      <c r="BA477" s="735">
        <f t="shared" si="628"/>
        <v>-24.260999999999999</v>
      </c>
      <c r="BB477" s="735">
        <f t="shared" si="628"/>
        <v>-83.031000000000006</v>
      </c>
      <c r="BC477" s="735">
        <f t="shared" si="628"/>
        <v>-61.241000000000007</v>
      </c>
      <c r="BD477" s="735">
        <f t="shared" si="628"/>
        <v>-50.344999999999999</v>
      </c>
      <c r="BE477" s="735">
        <f t="shared" si="628"/>
        <v>-45.804000000000002</v>
      </c>
      <c r="BF477" s="735">
        <f t="shared" si="628"/>
        <v>-68.25200000000001</v>
      </c>
      <c r="BG477" s="735">
        <f t="shared" si="628"/>
        <v>-82.853000000000009</v>
      </c>
      <c r="BH477" s="735">
        <f t="shared" si="628"/>
        <v>-57.198000000000008</v>
      </c>
      <c r="BI477" s="735">
        <f t="shared" si="628"/>
        <v>-50.477000000000004</v>
      </c>
      <c r="BJ477" s="735">
        <f t="shared" si="628"/>
        <v>-61.109000000000002</v>
      </c>
      <c r="BK477" s="735">
        <f t="shared" si="628"/>
        <v>-217.36500000000001</v>
      </c>
      <c r="BL477" s="735">
        <f t="shared" si="628"/>
        <v>-165.44300000000001</v>
      </c>
      <c r="BM477" s="735">
        <f t="shared" si="628"/>
        <v>-110.758</v>
      </c>
      <c r="BN477" s="749">
        <f t="shared" si="628"/>
        <v>-118.24</v>
      </c>
      <c r="BO477" s="734">
        <f t="shared" si="628"/>
        <v>-60.865000000000009</v>
      </c>
      <c r="BP477" s="734" t="e">
        <f t="shared" si="628"/>
        <v>#REF!</v>
      </c>
      <c r="BQ477" s="734">
        <f t="shared" si="628"/>
        <v>-72</v>
      </c>
      <c r="BR477" s="734">
        <f t="shared" si="628"/>
        <v>-72</v>
      </c>
      <c r="BS477" s="734">
        <f t="shared" si="628"/>
        <v>-72</v>
      </c>
      <c r="BT477" s="530"/>
    </row>
    <row r="478" spans="1:72" s="1" customFormat="1" x14ac:dyDescent="0.35">
      <c r="A478" s="354"/>
      <c r="B478" s="307"/>
      <c r="C478" s="529"/>
      <c r="D478" s="529"/>
      <c r="E478" s="529"/>
      <c r="F478" s="529"/>
      <c r="G478" s="529"/>
      <c r="H478" s="529"/>
      <c r="I478" s="529"/>
      <c r="J478" s="529"/>
      <c r="K478" s="529"/>
      <c r="L478" s="529"/>
      <c r="M478" s="529"/>
      <c r="N478" s="529"/>
      <c r="O478" s="529"/>
      <c r="P478" s="529"/>
      <c r="Q478" s="529"/>
      <c r="R478" s="529"/>
      <c r="S478" s="529"/>
      <c r="T478" s="529"/>
      <c r="U478" s="529"/>
      <c r="V478" s="529"/>
      <c r="W478" s="529"/>
      <c r="X478" s="529"/>
      <c r="Y478" s="529"/>
      <c r="Z478" s="529"/>
      <c r="AA478" s="529"/>
      <c r="AB478" s="529"/>
      <c r="AC478" s="529"/>
      <c r="AD478" s="529"/>
      <c r="AE478" s="529"/>
      <c r="AF478" s="529"/>
      <c r="AG478" s="529"/>
      <c r="AH478" s="529"/>
      <c r="AI478" s="529"/>
      <c r="AJ478" s="529"/>
      <c r="AK478" s="529"/>
      <c r="AL478" s="529"/>
      <c r="AM478" s="529"/>
      <c r="AN478" s="529"/>
      <c r="AO478" s="529"/>
      <c r="AP478" s="529"/>
      <c r="AQ478" s="529"/>
      <c r="AR478" s="529"/>
      <c r="AS478" s="529"/>
      <c r="AT478" s="529"/>
      <c r="AU478" s="531"/>
      <c r="AV478" s="529"/>
      <c r="AW478" s="529"/>
      <c r="AX478" s="529"/>
      <c r="AY478" s="529"/>
      <c r="AZ478" s="726"/>
      <c r="BA478" s="726"/>
      <c r="BB478" s="726"/>
      <c r="BC478" s="726"/>
      <c r="BD478" s="726"/>
      <c r="BE478" s="726"/>
      <c r="BF478" s="726"/>
      <c r="BG478" s="726"/>
      <c r="BH478" s="726"/>
      <c r="BI478" s="726"/>
      <c r="BJ478" s="726"/>
      <c r="BK478" s="726"/>
      <c r="BL478" s="726"/>
      <c r="BM478" s="726"/>
      <c r="BN478" s="728"/>
      <c r="BO478" s="726"/>
      <c r="BP478" s="726"/>
      <c r="BQ478" s="726"/>
      <c r="BR478" s="726"/>
      <c r="BS478" s="726"/>
      <c r="BT478" s="530"/>
    </row>
    <row r="479" spans="1:72" s="1" customFormat="1" x14ac:dyDescent="0.35">
      <c r="A479" s="51" t="str">
        <f t="shared" ref="A479:A499" si="629">A387</f>
        <v>CFF</v>
      </c>
      <c r="B479" s="307"/>
      <c r="C479" s="529"/>
      <c r="D479" s="529"/>
      <c r="E479" s="529"/>
      <c r="F479" s="529"/>
      <c r="G479" s="529"/>
      <c r="H479" s="529"/>
      <c r="I479" s="529"/>
      <c r="J479" s="529"/>
      <c r="K479" s="529"/>
      <c r="L479" s="529"/>
      <c r="M479" s="529"/>
      <c r="N479" s="529"/>
      <c r="O479" s="529"/>
      <c r="P479" s="529"/>
      <c r="Q479" s="529"/>
      <c r="R479" s="529"/>
      <c r="S479" s="529"/>
      <c r="T479" s="529"/>
      <c r="U479" s="529"/>
      <c r="V479" s="529"/>
      <c r="W479" s="529"/>
      <c r="X479" s="529"/>
      <c r="Y479" s="529"/>
      <c r="Z479" s="529"/>
      <c r="AA479" s="529"/>
      <c r="AB479" s="529"/>
      <c r="AC479" s="529"/>
      <c r="AD479" s="529"/>
      <c r="AE479" s="529"/>
      <c r="AF479" s="529"/>
      <c r="AG479" s="529"/>
      <c r="AH479" s="529"/>
      <c r="AI479" s="529"/>
      <c r="AJ479" s="529"/>
      <c r="AK479" s="529"/>
      <c r="AL479" s="529"/>
      <c r="AM479" s="529"/>
      <c r="AN479" s="529"/>
      <c r="AO479" s="529"/>
      <c r="AP479" s="529"/>
      <c r="AQ479" s="529"/>
      <c r="AR479" s="529"/>
      <c r="AS479" s="529"/>
      <c r="AT479" s="529"/>
      <c r="AU479" s="531"/>
      <c r="AV479" s="529"/>
      <c r="AW479" s="529"/>
      <c r="AX479" s="529"/>
      <c r="AY479" s="529"/>
      <c r="AZ479" s="726"/>
      <c r="BA479" s="726"/>
      <c r="BB479" s="726"/>
      <c r="BC479" s="726"/>
      <c r="BD479" s="726"/>
      <c r="BE479" s="726"/>
      <c r="BF479" s="726"/>
      <c r="BG479" s="726"/>
      <c r="BH479" s="726"/>
      <c r="BI479" s="726"/>
      <c r="BJ479" s="726"/>
      <c r="BK479" s="726"/>
      <c r="BL479" s="726"/>
      <c r="BM479" s="726"/>
      <c r="BN479" s="728"/>
      <c r="BO479" s="726"/>
      <c r="BP479" s="726"/>
      <c r="BQ479" s="726"/>
      <c r="BR479" s="726"/>
      <c r="BS479" s="726"/>
      <c r="BT479" s="530"/>
    </row>
    <row r="480" spans="1:72" s="17" customFormat="1" x14ac:dyDescent="0.35">
      <c r="A480" s="208" t="str">
        <f t="shared" si="629"/>
        <v>Repayments on finance lease obligations</v>
      </c>
      <c r="B480" s="532"/>
      <c r="C480" s="533">
        <f t="shared" ref="C480:C498" si="630">C388</f>
        <v>-4.6219999999999999</v>
      </c>
      <c r="D480" s="533">
        <f t="shared" ref="D480:F498" si="631">D388-C388</f>
        <v>-5.229000000000001</v>
      </c>
      <c r="E480" s="533">
        <f t="shared" si="631"/>
        <v>-4.8229999999999986</v>
      </c>
      <c r="F480" s="533">
        <f t="shared" si="631"/>
        <v>-5.6009999999999991</v>
      </c>
      <c r="G480" s="533">
        <f t="shared" ref="G480:G498" si="632">G388</f>
        <v>-5.556</v>
      </c>
      <c r="H480" s="533">
        <f t="shared" ref="H480:J498" si="633">H388-G388</f>
        <v>-5.5889999999999995</v>
      </c>
      <c r="I480" s="533">
        <f t="shared" si="633"/>
        <v>-5.843</v>
      </c>
      <c r="J480" s="533">
        <f t="shared" si="633"/>
        <v>-5.7059999999999995</v>
      </c>
      <c r="K480" s="533">
        <f t="shared" ref="K480:K498" si="634">K388</f>
        <v>-5.899</v>
      </c>
      <c r="L480" s="533">
        <f t="shared" ref="L480:N498" si="635">L388-K388</f>
        <v>-5.5880000000000001</v>
      </c>
      <c r="M480" s="533">
        <f t="shared" si="635"/>
        <v>-5.2559999999999985</v>
      </c>
      <c r="N480" s="533">
        <f t="shared" si="635"/>
        <v>-5.1960000000000015</v>
      </c>
      <c r="O480" s="533">
        <f t="shared" ref="O480:O498" si="636">O388</f>
        <v>-4.9409999999999998</v>
      </c>
      <c r="P480" s="533">
        <f t="shared" ref="P480:R498" si="637">P388-O388</f>
        <v>-4.4289999999999994</v>
      </c>
      <c r="Q480" s="533">
        <f t="shared" si="637"/>
        <v>-4.0580000000000016</v>
      </c>
      <c r="R480" s="533">
        <f t="shared" si="637"/>
        <v>-3.9740000000000002</v>
      </c>
      <c r="S480" s="533">
        <f t="shared" ref="S480:S498" si="638">S388</f>
        <v>-3.9769999999999999</v>
      </c>
      <c r="T480" s="533">
        <f t="shared" ref="T480:V498" si="639">T388-S388</f>
        <v>-4.1389999999999993</v>
      </c>
      <c r="U480" s="533">
        <f t="shared" si="639"/>
        <v>-3.7629999999999999</v>
      </c>
      <c r="V480" s="533">
        <f t="shared" si="639"/>
        <v>-3.8179999999999996</v>
      </c>
      <c r="W480" s="533">
        <f t="shared" ref="W480:W498" si="640">W388</f>
        <v>-3.7429999999999999</v>
      </c>
      <c r="X480" s="533">
        <f t="shared" ref="X480:Z498" si="641">X388-W388</f>
        <v>-3.2440000000000002</v>
      </c>
      <c r="Y480" s="533">
        <f t="shared" si="641"/>
        <v>-3.3260000000000005</v>
      </c>
      <c r="Z480" s="533">
        <f t="shared" si="641"/>
        <v>-2.9879999999999995</v>
      </c>
      <c r="AA480" s="533">
        <f t="shared" ref="AA480:AA498" si="642">AA388</f>
        <v>-3.5179999999999998</v>
      </c>
      <c r="AB480" s="533">
        <f t="shared" ref="AB480:AD498" si="643">AB388-AA388</f>
        <v>-3.42</v>
      </c>
      <c r="AC480" s="533">
        <f t="shared" si="643"/>
        <v>-6.96</v>
      </c>
      <c r="AD480" s="533">
        <f t="shared" si="643"/>
        <v>-7.1359999999999992</v>
      </c>
      <c r="AE480" s="533">
        <f t="shared" ref="AE480:AE498" si="644">AE388</f>
        <v>-7.46</v>
      </c>
      <c r="AF480" s="533">
        <f t="shared" ref="AF480:AH498" si="645">AF388-AE388</f>
        <v>-7.4989999999999997</v>
      </c>
      <c r="AG480" s="533">
        <f t="shared" si="645"/>
        <v>-6.6440000000000019</v>
      </c>
      <c r="AH480" s="533">
        <f t="shared" si="645"/>
        <v>-6.0719999999999992</v>
      </c>
      <c r="AI480" s="533">
        <f t="shared" ref="AI480:AI498" si="646">AI388</f>
        <v>-5.6689999999999996</v>
      </c>
      <c r="AJ480" s="533">
        <f t="shared" ref="AJ480:AL498" si="647">AJ388-AI388</f>
        <v>-5.7860000000000005</v>
      </c>
      <c r="AK480" s="533">
        <f t="shared" si="647"/>
        <v>-5.6480000000000015</v>
      </c>
      <c r="AL480" s="533">
        <f t="shared" si="647"/>
        <v>-7.2119999999999997</v>
      </c>
      <c r="AM480" s="533">
        <f t="shared" ref="AM480:AM498" si="648">AM388</f>
        <v>-7.02</v>
      </c>
      <c r="AN480" s="533">
        <f t="shared" ref="AN480:AP498" si="649">AN388-AM388</f>
        <v>-7.7240000000000002</v>
      </c>
      <c r="AO480" s="533">
        <f t="shared" si="649"/>
        <v>-9.1750000000000007</v>
      </c>
      <c r="AP480" s="533">
        <f t="shared" si="649"/>
        <v>-9.0920000000000023</v>
      </c>
      <c r="AQ480" s="533">
        <f t="shared" ref="AQ480:AQ498" si="650">AQ388</f>
        <v>-9.3140000000000001</v>
      </c>
      <c r="AR480" s="533">
        <f t="shared" ref="AR480:AT498" si="651">AR388-AQ388</f>
        <v>-10.623999999999999</v>
      </c>
      <c r="AS480" s="533">
        <f t="shared" si="651"/>
        <v>-11.3</v>
      </c>
      <c r="AT480" s="533">
        <f t="shared" si="651"/>
        <v>-11.718000000000004</v>
      </c>
      <c r="AU480" s="576">
        <f t="shared" ref="AU480:AU498" si="652">AU388</f>
        <v>-11.721</v>
      </c>
      <c r="AV480" s="532"/>
      <c r="AW480" s="532"/>
      <c r="AX480" s="532"/>
      <c r="AY480" s="532"/>
      <c r="AZ480" s="755">
        <f t="shared" ref="AZ480:BN480" si="653">AZ388</f>
        <v>-9.1329999999999991</v>
      </c>
      <c r="BA480" s="755">
        <f t="shared" si="653"/>
        <v>-12.945</v>
      </c>
      <c r="BB480" s="755">
        <f t="shared" si="653"/>
        <v>-15.135</v>
      </c>
      <c r="BC480" s="755">
        <f t="shared" si="653"/>
        <v>-16.600000000000001</v>
      </c>
      <c r="BD480" s="755">
        <f t="shared" si="653"/>
        <v>-20.274999999999999</v>
      </c>
      <c r="BE480" s="755">
        <f t="shared" si="653"/>
        <v>-22.693999999999999</v>
      </c>
      <c r="BF480" s="755">
        <f t="shared" si="653"/>
        <v>-21.939</v>
      </c>
      <c r="BG480" s="755">
        <f t="shared" si="653"/>
        <v>-17.402000000000001</v>
      </c>
      <c r="BH480" s="755">
        <f t="shared" si="653"/>
        <v>-15.696999999999999</v>
      </c>
      <c r="BI480" s="755">
        <f t="shared" si="653"/>
        <v>-13.301</v>
      </c>
      <c r="BJ480" s="755">
        <f t="shared" si="653"/>
        <v>-21.033999999999999</v>
      </c>
      <c r="BK480" s="755">
        <f t="shared" si="653"/>
        <v>-27.675000000000001</v>
      </c>
      <c r="BL480" s="755">
        <f t="shared" si="653"/>
        <v>-24.315000000000001</v>
      </c>
      <c r="BM480" s="755">
        <f t="shared" si="653"/>
        <v>-33.011000000000003</v>
      </c>
      <c r="BN480" s="756">
        <f t="shared" si="653"/>
        <v>-42.956000000000003</v>
      </c>
      <c r="BO480" s="156">
        <f t="shared" ref="BO480:BO498" si="654">SUM(AU480,AV480,AW480,AX480)</f>
        <v>-11.721</v>
      </c>
      <c r="BP480" s="156" t="e">
        <f>SUM(#REF!,#REF!,#REF!,#REF!)</f>
        <v>#REF!</v>
      </c>
      <c r="BQ480" s="156"/>
      <c r="BR480" s="156"/>
      <c r="BS480" s="156"/>
      <c r="BT480" s="533"/>
    </row>
    <row r="481" spans="1:72" s="17" customFormat="1" x14ac:dyDescent="0.35">
      <c r="A481" s="208" t="str">
        <f t="shared" si="629"/>
        <v>Payments of contingent consideration</v>
      </c>
      <c r="B481" s="532"/>
      <c r="C481" s="533">
        <f t="shared" si="630"/>
        <v>0</v>
      </c>
      <c r="D481" s="533">
        <f t="shared" si="631"/>
        <v>0</v>
      </c>
      <c r="E481" s="533">
        <f t="shared" si="631"/>
        <v>0</v>
      </c>
      <c r="F481" s="533">
        <f t="shared" si="631"/>
        <v>0</v>
      </c>
      <c r="G481" s="533">
        <f t="shared" si="632"/>
        <v>0</v>
      </c>
      <c r="H481" s="533">
        <f t="shared" si="633"/>
        <v>0</v>
      </c>
      <c r="I481" s="533">
        <f t="shared" si="633"/>
        <v>0</v>
      </c>
      <c r="J481" s="533">
        <f t="shared" si="633"/>
        <v>0</v>
      </c>
      <c r="K481" s="533">
        <f t="shared" si="634"/>
        <v>0</v>
      </c>
      <c r="L481" s="533">
        <f t="shared" si="635"/>
        <v>0</v>
      </c>
      <c r="M481" s="533">
        <f t="shared" si="635"/>
        <v>0</v>
      </c>
      <c r="N481" s="533">
        <f t="shared" si="635"/>
        <v>0</v>
      </c>
      <c r="O481" s="533">
        <f t="shared" si="636"/>
        <v>0</v>
      </c>
      <c r="P481" s="533">
        <f t="shared" si="637"/>
        <v>0</v>
      </c>
      <c r="Q481" s="533">
        <f t="shared" si="637"/>
        <v>0</v>
      </c>
      <c r="R481" s="533">
        <f t="shared" si="637"/>
        <v>0</v>
      </c>
      <c r="S481" s="533">
        <f t="shared" si="638"/>
        <v>0</v>
      </c>
      <c r="T481" s="533">
        <f t="shared" si="639"/>
        <v>0</v>
      </c>
      <c r="U481" s="533">
        <f t="shared" si="639"/>
        <v>0</v>
      </c>
      <c r="V481" s="533">
        <f t="shared" si="639"/>
        <v>0</v>
      </c>
      <c r="W481" s="533">
        <f t="shared" si="640"/>
        <v>0</v>
      </c>
      <c r="X481" s="533">
        <f t="shared" si="641"/>
        <v>0</v>
      </c>
      <c r="Y481" s="533">
        <f t="shared" si="641"/>
        <v>0</v>
      </c>
      <c r="Z481" s="533">
        <f t="shared" si="641"/>
        <v>0</v>
      </c>
      <c r="AA481" s="533">
        <f t="shared" si="642"/>
        <v>0</v>
      </c>
      <c r="AB481" s="533">
        <f t="shared" si="643"/>
        <v>-0.98699999999999999</v>
      </c>
      <c r="AC481" s="533">
        <f t="shared" si="643"/>
        <v>-3.9999999999999925E-2</v>
      </c>
      <c r="AD481" s="533">
        <f t="shared" si="643"/>
        <v>0</v>
      </c>
      <c r="AE481" s="533">
        <f t="shared" si="644"/>
        <v>0</v>
      </c>
      <c r="AF481" s="533">
        <f t="shared" si="645"/>
        <v>0</v>
      </c>
      <c r="AG481" s="533">
        <f t="shared" si="645"/>
        <v>0</v>
      </c>
      <c r="AH481" s="533">
        <f t="shared" si="645"/>
        <v>0</v>
      </c>
      <c r="AI481" s="533">
        <f t="shared" si="646"/>
        <v>0</v>
      </c>
      <c r="AJ481" s="533">
        <f t="shared" si="647"/>
        <v>0</v>
      </c>
      <c r="AK481" s="533">
        <f t="shared" si="647"/>
        <v>0</v>
      </c>
      <c r="AL481" s="533">
        <f t="shared" si="647"/>
        <v>0</v>
      </c>
      <c r="AM481" s="533">
        <f t="shared" si="648"/>
        <v>0</v>
      </c>
      <c r="AN481" s="533">
        <f t="shared" si="649"/>
        <v>0</v>
      </c>
      <c r="AO481" s="533">
        <f t="shared" si="649"/>
        <v>0</v>
      </c>
      <c r="AP481" s="533">
        <f t="shared" si="649"/>
        <v>0</v>
      </c>
      <c r="AQ481" s="533">
        <f t="shared" si="650"/>
        <v>-7.024</v>
      </c>
      <c r="AR481" s="533">
        <f t="shared" si="651"/>
        <v>0</v>
      </c>
      <c r="AS481" s="533">
        <f t="shared" si="651"/>
        <v>0</v>
      </c>
      <c r="AT481" s="533">
        <f t="shared" si="651"/>
        <v>0</v>
      </c>
      <c r="AU481" s="576">
        <f t="shared" si="652"/>
        <v>0</v>
      </c>
      <c r="AV481" s="532"/>
      <c r="AW481" s="532"/>
      <c r="AX481" s="532"/>
      <c r="AY481" s="532"/>
      <c r="AZ481" s="755">
        <f t="shared" ref="AZ481:BN481" si="655">AZ389</f>
        <v>0</v>
      </c>
      <c r="BA481" s="755">
        <f t="shared" si="655"/>
        <v>0</v>
      </c>
      <c r="BB481" s="755">
        <f t="shared" si="655"/>
        <v>0</v>
      </c>
      <c r="BC481" s="755">
        <f t="shared" si="655"/>
        <v>0</v>
      </c>
      <c r="BD481" s="755">
        <f t="shared" si="655"/>
        <v>0</v>
      </c>
      <c r="BE481" s="755">
        <f t="shared" si="655"/>
        <v>0</v>
      </c>
      <c r="BF481" s="755">
        <f t="shared" si="655"/>
        <v>0</v>
      </c>
      <c r="BG481" s="755">
        <f t="shared" si="655"/>
        <v>0</v>
      </c>
      <c r="BH481" s="755">
        <f t="shared" si="655"/>
        <v>0</v>
      </c>
      <c r="BI481" s="755">
        <f t="shared" si="655"/>
        <v>0</v>
      </c>
      <c r="BJ481" s="755">
        <f t="shared" si="655"/>
        <v>-1.0269999999999999</v>
      </c>
      <c r="BK481" s="755">
        <f t="shared" si="655"/>
        <v>0</v>
      </c>
      <c r="BL481" s="755">
        <f t="shared" si="655"/>
        <v>0</v>
      </c>
      <c r="BM481" s="755">
        <f t="shared" si="655"/>
        <v>0</v>
      </c>
      <c r="BN481" s="756">
        <f t="shared" si="655"/>
        <v>-7.024</v>
      </c>
      <c r="BO481" s="156">
        <f t="shared" si="654"/>
        <v>0</v>
      </c>
      <c r="BP481" s="156" t="e">
        <f>SUM(#REF!,#REF!,#REF!,#REF!)</f>
        <v>#REF!</v>
      </c>
      <c r="BQ481" s="156"/>
      <c r="BR481" s="156"/>
      <c r="BS481" s="156"/>
      <c r="BT481" s="533"/>
    </row>
    <row r="482" spans="1:72" s="17" customFormat="1" x14ac:dyDescent="0.35">
      <c r="A482" s="208" t="str">
        <f t="shared" si="629"/>
        <v>Payments of deferred purchase consideration</v>
      </c>
      <c r="B482" s="532"/>
      <c r="C482" s="533">
        <f t="shared" si="630"/>
        <v>0</v>
      </c>
      <c r="D482" s="533">
        <f t="shared" si="631"/>
        <v>0</v>
      </c>
      <c r="E482" s="533">
        <f t="shared" si="631"/>
        <v>0</v>
      </c>
      <c r="F482" s="533">
        <f t="shared" si="631"/>
        <v>0</v>
      </c>
      <c r="G482" s="533">
        <f t="shared" si="632"/>
        <v>0</v>
      </c>
      <c r="H482" s="533">
        <f t="shared" si="633"/>
        <v>0</v>
      </c>
      <c r="I482" s="533">
        <f t="shared" si="633"/>
        <v>0</v>
      </c>
      <c r="J482" s="533">
        <f t="shared" si="633"/>
        <v>0</v>
      </c>
      <c r="K482" s="533">
        <f t="shared" si="634"/>
        <v>0</v>
      </c>
      <c r="L482" s="533">
        <f t="shared" si="635"/>
        <v>0</v>
      </c>
      <c r="M482" s="533">
        <f t="shared" si="635"/>
        <v>0</v>
      </c>
      <c r="N482" s="533">
        <f t="shared" si="635"/>
        <v>0</v>
      </c>
      <c r="O482" s="533">
        <f t="shared" si="636"/>
        <v>0</v>
      </c>
      <c r="P482" s="533">
        <f t="shared" si="637"/>
        <v>0</v>
      </c>
      <c r="Q482" s="533">
        <f t="shared" si="637"/>
        <v>0</v>
      </c>
      <c r="R482" s="533">
        <f t="shared" si="637"/>
        <v>0</v>
      </c>
      <c r="S482" s="533">
        <f t="shared" si="638"/>
        <v>0</v>
      </c>
      <c r="T482" s="533">
        <f t="shared" si="639"/>
        <v>0</v>
      </c>
      <c r="U482" s="533">
        <f t="shared" si="639"/>
        <v>0</v>
      </c>
      <c r="V482" s="533">
        <f t="shared" si="639"/>
        <v>0</v>
      </c>
      <c r="W482" s="533">
        <f t="shared" si="640"/>
        <v>0</v>
      </c>
      <c r="X482" s="533">
        <f t="shared" si="641"/>
        <v>0</v>
      </c>
      <c r="Y482" s="533">
        <f t="shared" si="641"/>
        <v>0</v>
      </c>
      <c r="Z482" s="533">
        <f t="shared" si="641"/>
        <v>0</v>
      </c>
      <c r="AA482" s="533">
        <f t="shared" si="642"/>
        <v>0</v>
      </c>
      <c r="AB482" s="533">
        <f t="shared" si="643"/>
        <v>0</v>
      </c>
      <c r="AC482" s="533">
        <f t="shared" si="643"/>
        <v>0</v>
      </c>
      <c r="AD482" s="533">
        <f t="shared" si="643"/>
        <v>0</v>
      </c>
      <c r="AE482" s="533">
        <f t="shared" si="644"/>
        <v>0</v>
      </c>
      <c r="AF482" s="533">
        <f t="shared" si="645"/>
        <v>0</v>
      </c>
      <c r="AG482" s="533">
        <f t="shared" si="645"/>
        <v>0</v>
      </c>
      <c r="AH482" s="533">
        <f t="shared" si="645"/>
        <v>0</v>
      </c>
      <c r="AI482" s="533">
        <f t="shared" si="646"/>
        <v>0</v>
      </c>
      <c r="AJ482" s="533">
        <f t="shared" si="647"/>
        <v>0</v>
      </c>
      <c r="AK482" s="533">
        <f t="shared" si="647"/>
        <v>0</v>
      </c>
      <c r="AL482" s="533">
        <f t="shared" si="647"/>
        <v>0</v>
      </c>
      <c r="AM482" s="533">
        <f t="shared" si="648"/>
        <v>0</v>
      </c>
      <c r="AN482" s="533">
        <f t="shared" si="649"/>
        <v>-7.8579999999999997</v>
      </c>
      <c r="AO482" s="533">
        <f t="shared" si="649"/>
        <v>0</v>
      </c>
      <c r="AP482" s="533">
        <f t="shared" si="649"/>
        <v>-15</v>
      </c>
      <c r="AQ482" s="533">
        <f t="shared" si="650"/>
        <v>0</v>
      </c>
      <c r="AR482" s="533">
        <f t="shared" si="651"/>
        <v>0</v>
      </c>
      <c r="AS482" s="533">
        <f t="shared" si="651"/>
        <v>0</v>
      </c>
      <c r="AT482" s="533">
        <f t="shared" si="651"/>
        <v>0</v>
      </c>
      <c r="AU482" s="576">
        <f t="shared" si="652"/>
        <v>0</v>
      </c>
      <c r="AV482" s="532"/>
      <c r="AW482" s="532"/>
      <c r="AX482" s="532"/>
      <c r="AY482" s="532"/>
      <c r="AZ482" s="755">
        <f t="shared" ref="AZ482:BN482" si="656">AZ390</f>
        <v>0</v>
      </c>
      <c r="BA482" s="755">
        <f t="shared" si="656"/>
        <v>0</v>
      </c>
      <c r="BB482" s="755">
        <f t="shared" si="656"/>
        <v>0</v>
      </c>
      <c r="BC482" s="755">
        <f t="shared" si="656"/>
        <v>0</v>
      </c>
      <c r="BD482" s="755">
        <f t="shared" si="656"/>
        <v>0</v>
      </c>
      <c r="BE482" s="755">
        <f t="shared" si="656"/>
        <v>0</v>
      </c>
      <c r="BF482" s="755">
        <f t="shared" si="656"/>
        <v>0</v>
      </c>
      <c r="BG482" s="755">
        <f t="shared" si="656"/>
        <v>0</v>
      </c>
      <c r="BH482" s="755">
        <f t="shared" si="656"/>
        <v>0</v>
      </c>
      <c r="BI482" s="755">
        <f t="shared" si="656"/>
        <v>0</v>
      </c>
      <c r="BJ482" s="755">
        <f t="shared" si="656"/>
        <v>0</v>
      </c>
      <c r="BK482" s="755">
        <f t="shared" si="656"/>
        <v>0</v>
      </c>
      <c r="BL482" s="755">
        <f t="shared" si="656"/>
        <v>0</v>
      </c>
      <c r="BM482" s="755">
        <f t="shared" si="656"/>
        <v>-22.858000000000001</v>
      </c>
      <c r="BN482" s="756">
        <f t="shared" si="656"/>
        <v>0</v>
      </c>
      <c r="BO482" s="156">
        <f t="shared" si="654"/>
        <v>0</v>
      </c>
      <c r="BP482" s="156" t="e">
        <f>SUM(#REF!,#REF!,#REF!,#REF!)</f>
        <v>#REF!</v>
      </c>
      <c r="BQ482" s="156"/>
      <c r="BR482" s="156"/>
      <c r="BS482" s="156"/>
      <c r="BT482" s="533"/>
    </row>
    <row r="483" spans="1:72" s="17" customFormat="1" x14ac:dyDescent="0.35">
      <c r="A483" s="208" t="str">
        <f t="shared" si="629"/>
        <v>Repayments on notes payable</v>
      </c>
      <c r="B483" s="532"/>
      <c r="C483" s="533">
        <f t="shared" si="630"/>
        <v>-0.38</v>
      </c>
      <c r="D483" s="533">
        <f t="shared" si="631"/>
        <v>-0.40500000000000003</v>
      </c>
      <c r="E483" s="533">
        <f t="shared" si="631"/>
        <v>-0.39200000000000002</v>
      </c>
      <c r="F483" s="533">
        <f t="shared" si="631"/>
        <v>-0.35599999999999987</v>
      </c>
      <c r="G483" s="533">
        <f t="shared" si="632"/>
        <v>-0.39</v>
      </c>
      <c r="H483" s="533">
        <f t="shared" si="633"/>
        <v>0</v>
      </c>
      <c r="I483" s="533">
        <f t="shared" si="633"/>
        <v>0</v>
      </c>
      <c r="J483" s="533">
        <f t="shared" si="633"/>
        <v>0</v>
      </c>
      <c r="K483" s="533">
        <f t="shared" si="634"/>
        <v>0</v>
      </c>
      <c r="L483" s="533">
        <f t="shared" si="635"/>
        <v>0</v>
      </c>
      <c r="M483" s="533">
        <f t="shared" si="635"/>
        <v>0</v>
      </c>
      <c r="N483" s="533">
        <f t="shared" si="635"/>
        <v>0</v>
      </c>
      <c r="O483" s="533">
        <f t="shared" si="636"/>
        <v>0</v>
      </c>
      <c r="P483" s="533">
        <f t="shared" si="637"/>
        <v>0</v>
      </c>
      <c r="Q483" s="533">
        <f t="shared" si="637"/>
        <v>0</v>
      </c>
      <c r="R483" s="533">
        <f t="shared" si="637"/>
        <v>0</v>
      </c>
      <c r="S483" s="533">
        <f t="shared" si="638"/>
        <v>0</v>
      </c>
      <c r="T483" s="533">
        <f t="shared" si="639"/>
        <v>0</v>
      </c>
      <c r="U483" s="533">
        <f t="shared" si="639"/>
        <v>0</v>
      </c>
      <c r="V483" s="533">
        <f t="shared" si="639"/>
        <v>0</v>
      </c>
      <c r="W483" s="533">
        <f t="shared" si="640"/>
        <v>0</v>
      </c>
      <c r="X483" s="533">
        <f t="shared" si="641"/>
        <v>0</v>
      </c>
      <c r="Y483" s="533">
        <f t="shared" si="641"/>
        <v>0</v>
      </c>
      <c r="Z483" s="533">
        <f t="shared" si="641"/>
        <v>0</v>
      </c>
      <c r="AA483" s="533">
        <f t="shared" si="642"/>
        <v>0</v>
      </c>
      <c r="AB483" s="533">
        <f t="shared" si="643"/>
        <v>0</v>
      </c>
      <c r="AC483" s="533">
        <f t="shared" si="643"/>
        <v>0</v>
      </c>
      <c r="AD483" s="533">
        <f t="shared" si="643"/>
        <v>0</v>
      </c>
      <c r="AE483" s="533">
        <f t="shared" si="644"/>
        <v>0</v>
      </c>
      <c r="AF483" s="533">
        <f t="shared" si="645"/>
        <v>0</v>
      </c>
      <c r="AG483" s="533">
        <f t="shared" si="645"/>
        <v>0</v>
      </c>
      <c r="AH483" s="533">
        <f t="shared" si="645"/>
        <v>0</v>
      </c>
      <c r="AI483" s="533">
        <f t="shared" si="646"/>
        <v>0</v>
      </c>
      <c r="AJ483" s="533">
        <f t="shared" si="647"/>
        <v>0</v>
      </c>
      <c r="AK483" s="533">
        <f t="shared" si="647"/>
        <v>0</v>
      </c>
      <c r="AL483" s="533">
        <f t="shared" si="647"/>
        <v>0</v>
      </c>
      <c r="AM483" s="533">
        <f t="shared" si="648"/>
        <v>0</v>
      </c>
      <c r="AN483" s="533">
        <f t="shared" si="649"/>
        <v>0</v>
      </c>
      <c r="AO483" s="533">
        <f t="shared" si="649"/>
        <v>0</v>
      </c>
      <c r="AP483" s="533">
        <f t="shared" si="649"/>
        <v>0</v>
      </c>
      <c r="AQ483" s="533">
        <f t="shared" si="650"/>
        <v>0</v>
      </c>
      <c r="AR483" s="533">
        <f t="shared" si="651"/>
        <v>0</v>
      </c>
      <c r="AS483" s="533">
        <f t="shared" si="651"/>
        <v>0</v>
      </c>
      <c r="AT483" s="533">
        <f t="shared" si="651"/>
        <v>0</v>
      </c>
      <c r="AU483" s="576">
        <f t="shared" si="652"/>
        <v>0</v>
      </c>
      <c r="AV483" s="532"/>
      <c r="AW483" s="532"/>
      <c r="AX483" s="532"/>
      <c r="AY483" s="532"/>
      <c r="AZ483" s="755">
        <f t="shared" ref="AZ483:BN483" si="657">AZ391</f>
        <v>-0.80400000000000005</v>
      </c>
      <c r="BA483" s="755">
        <f t="shared" si="657"/>
        <v>-1.0289999999999999</v>
      </c>
      <c r="BB483" s="755">
        <f t="shared" si="657"/>
        <v>-1.9690000000000001</v>
      </c>
      <c r="BC483" s="755">
        <f t="shared" si="657"/>
        <v>-1.8199999999999998</v>
      </c>
      <c r="BD483" s="755">
        <f t="shared" si="657"/>
        <v>-1.5329999999999999</v>
      </c>
      <c r="BE483" s="755">
        <f t="shared" si="657"/>
        <v>-0.39</v>
      </c>
      <c r="BF483" s="755">
        <f t="shared" si="657"/>
        <v>0</v>
      </c>
      <c r="BG483" s="755">
        <f t="shared" si="657"/>
        <v>0</v>
      </c>
      <c r="BH483" s="755">
        <f t="shared" si="657"/>
        <v>0</v>
      </c>
      <c r="BI483" s="755">
        <f t="shared" si="657"/>
        <v>0</v>
      </c>
      <c r="BJ483" s="755">
        <f t="shared" si="657"/>
        <v>0</v>
      </c>
      <c r="BK483" s="755">
        <f t="shared" si="657"/>
        <v>0</v>
      </c>
      <c r="BL483" s="755">
        <f t="shared" si="657"/>
        <v>0</v>
      </c>
      <c r="BM483" s="755">
        <f t="shared" si="657"/>
        <v>0</v>
      </c>
      <c r="BN483" s="756">
        <f t="shared" si="657"/>
        <v>0</v>
      </c>
      <c r="BO483" s="156">
        <f t="shared" si="654"/>
        <v>0</v>
      </c>
      <c r="BP483" s="156" t="e">
        <f>SUM(#REF!,#REF!,#REF!,#REF!)</f>
        <v>#REF!</v>
      </c>
      <c r="BQ483" s="156"/>
      <c r="BR483" s="156"/>
      <c r="BS483" s="156"/>
      <c r="BT483" s="533"/>
    </row>
    <row r="484" spans="1:72" s="17" customFormat="1" x14ac:dyDescent="0.35">
      <c r="A484" s="178" t="str">
        <f t="shared" si="629"/>
        <v>Purchase of treasury stock</v>
      </c>
      <c r="B484" s="532"/>
      <c r="C484" s="532">
        <f t="shared" si="630"/>
        <v>0</v>
      </c>
      <c r="D484" s="532">
        <f t="shared" si="631"/>
        <v>0</v>
      </c>
      <c r="E484" s="532">
        <f t="shared" si="631"/>
        <v>0</v>
      </c>
      <c r="F484" s="532">
        <f t="shared" si="631"/>
        <v>0</v>
      </c>
      <c r="G484" s="532">
        <f t="shared" si="632"/>
        <v>0</v>
      </c>
      <c r="H484" s="532">
        <f t="shared" si="633"/>
        <v>-5.883</v>
      </c>
      <c r="I484" s="532">
        <f t="shared" si="633"/>
        <v>-20.741</v>
      </c>
      <c r="J484" s="532">
        <f t="shared" si="633"/>
        <v>-21.924000000000003</v>
      </c>
      <c r="K484" s="532">
        <f t="shared" si="634"/>
        <v>-26.452000000000002</v>
      </c>
      <c r="L484" s="532">
        <f t="shared" si="635"/>
        <v>0</v>
      </c>
      <c r="M484" s="532">
        <f t="shared" si="635"/>
        <v>0</v>
      </c>
      <c r="N484" s="532">
        <f t="shared" si="635"/>
        <v>0</v>
      </c>
      <c r="O484" s="532">
        <f t="shared" si="636"/>
        <v>0</v>
      </c>
      <c r="P484" s="532">
        <f t="shared" si="637"/>
        <v>0</v>
      </c>
      <c r="Q484" s="532">
        <f t="shared" si="637"/>
        <v>0</v>
      </c>
      <c r="R484" s="532">
        <f t="shared" si="637"/>
        <v>0</v>
      </c>
      <c r="S484" s="532">
        <f t="shared" si="638"/>
        <v>0</v>
      </c>
      <c r="T484" s="532">
        <f t="shared" si="639"/>
        <v>0</v>
      </c>
      <c r="U484" s="532">
        <f t="shared" si="639"/>
        <v>0</v>
      </c>
      <c r="V484" s="532">
        <f t="shared" si="639"/>
        <v>0</v>
      </c>
      <c r="W484" s="532">
        <f t="shared" si="640"/>
        <v>0</v>
      </c>
      <c r="X484" s="532">
        <f t="shared" si="641"/>
        <v>0</v>
      </c>
      <c r="Y484" s="532">
        <f t="shared" si="641"/>
        <v>0</v>
      </c>
      <c r="Z484" s="532">
        <f t="shared" si="641"/>
        <v>-27.481999999999999</v>
      </c>
      <c r="AA484" s="532">
        <f t="shared" si="642"/>
        <v>0</v>
      </c>
      <c r="AB484" s="532">
        <f t="shared" si="643"/>
        <v>0</v>
      </c>
      <c r="AC484" s="532">
        <f t="shared" si="643"/>
        <v>0</v>
      </c>
      <c r="AD484" s="532">
        <f t="shared" si="643"/>
        <v>0</v>
      </c>
      <c r="AE484" s="532">
        <f t="shared" si="644"/>
        <v>0</v>
      </c>
      <c r="AF484" s="532">
        <f t="shared" si="645"/>
        <v>0</v>
      </c>
      <c r="AG484" s="532">
        <f t="shared" si="645"/>
        <v>0</v>
      </c>
      <c r="AH484" s="532">
        <f t="shared" si="645"/>
        <v>0</v>
      </c>
      <c r="AI484" s="532">
        <f t="shared" si="646"/>
        <v>0</v>
      </c>
      <c r="AJ484" s="532">
        <f t="shared" si="647"/>
        <v>0</v>
      </c>
      <c r="AK484" s="532">
        <f t="shared" si="647"/>
        <v>0</v>
      </c>
      <c r="AL484" s="532">
        <f t="shared" si="647"/>
        <v>0</v>
      </c>
      <c r="AM484" s="532">
        <f t="shared" si="648"/>
        <v>0</v>
      </c>
      <c r="AN484" s="532">
        <f t="shared" si="649"/>
        <v>0</v>
      </c>
      <c r="AO484" s="532">
        <f t="shared" si="649"/>
        <v>0</v>
      </c>
      <c r="AP484" s="532">
        <f t="shared" si="649"/>
        <v>0</v>
      </c>
      <c r="AQ484" s="532">
        <f t="shared" si="650"/>
        <v>0</v>
      </c>
      <c r="AR484" s="532">
        <f t="shared" si="651"/>
        <v>0</v>
      </c>
      <c r="AS484" s="532">
        <f t="shared" si="651"/>
        <v>0</v>
      </c>
      <c r="AT484" s="532">
        <f t="shared" si="651"/>
        <v>0</v>
      </c>
      <c r="AU484" s="534">
        <f t="shared" si="652"/>
        <v>0</v>
      </c>
      <c r="AV484" s="532">
        <f t="shared" ref="AV484:AX484" si="658">AV271</f>
        <v>0</v>
      </c>
      <c r="AW484" s="532">
        <f t="shared" si="658"/>
        <v>0</v>
      </c>
      <c r="AX484" s="532">
        <f t="shared" si="658"/>
        <v>0</v>
      </c>
      <c r="AY484" s="532"/>
      <c r="AZ484" s="156">
        <f t="shared" ref="AZ484:BN484" si="659">AZ392</f>
        <v>0</v>
      </c>
      <c r="BA484" s="156">
        <f t="shared" si="659"/>
        <v>0</v>
      </c>
      <c r="BB484" s="156">
        <f t="shared" si="659"/>
        <v>0</v>
      </c>
      <c r="BC484" s="156">
        <f t="shared" si="659"/>
        <v>0</v>
      </c>
      <c r="BD484" s="156">
        <f t="shared" si="659"/>
        <v>0</v>
      </c>
      <c r="BE484" s="156">
        <f t="shared" si="659"/>
        <v>-48.548000000000002</v>
      </c>
      <c r="BF484" s="156">
        <f t="shared" si="659"/>
        <v>-26.452000000000002</v>
      </c>
      <c r="BG484" s="156">
        <f t="shared" si="659"/>
        <v>0</v>
      </c>
      <c r="BH484" s="156">
        <f t="shared" si="659"/>
        <v>0</v>
      </c>
      <c r="BI484" s="156">
        <f t="shared" si="659"/>
        <v>-27.481999999999999</v>
      </c>
      <c r="BJ484" s="156">
        <f t="shared" si="659"/>
        <v>0</v>
      </c>
      <c r="BK484" s="156">
        <f t="shared" si="659"/>
        <v>0</v>
      </c>
      <c r="BL484" s="156">
        <f t="shared" si="659"/>
        <v>0</v>
      </c>
      <c r="BM484" s="156">
        <f t="shared" si="659"/>
        <v>0</v>
      </c>
      <c r="BN484" s="730">
        <f t="shared" si="659"/>
        <v>0</v>
      </c>
      <c r="BO484" s="156">
        <f t="shared" si="654"/>
        <v>0</v>
      </c>
      <c r="BP484" s="156" t="e">
        <f>SUM(#REF!,#REF!,#REF!,#REF!)</f>
        <v>#REF!</v>
      </c>
      <c r="BQ484" s="156">
        <f>BQ271</f>
        <v>0</v>
      </c>
      <c r="BR484" s="156">
        <f>BR271</f>
        <v>0</v>
      </c>
      <c r="BS484" s="156">
        <f>BS271</f>
        <v>0</v>
      </c>
      <c r="BT484" s="533"/>
    </row>
    <row r="485" spans="1:72" s="17" customFormat="1" x14ac:dyDescent="0.35">
      <c r="A485" s="208" t="str">
        <f t="shared" si="629"/>
        <v>Proceeds from exercise of stock options</v>
      </c>
      <c r="B485" s="532"/>
      <c r="C485" s="533">
        <f t="shared" si="630"/>
        <v>5.6000000000000001E-2</v>
      </c>
      <c r="D485" s="533">
        <f t="shared" si="631"/>
        <v>0.55099999999999993</v>
      </c>
      <c r="E485" s="533">
        <f t="shared" si="631"/>
        <v>2.42</v>
      </c>
      <c r="F485" s="533">
        <f t="shared" si="631"/>
        <v>4.226</v>
      </c>
      <c r="G485" s="533">
        <f t="shared" si="632"/>
        <v>7.1059999999999999</v>
      </c>
      <c r="H485" s="533">
        <f t="shared" si="633"/>
        <v>0.51100000000000012</v>
      </c>
      <c r="I485" s="533">
        <f t="shared" si="633"/>
        <v>0.82700000000000085</v>
      </c>
      <c r="J485" s="533">
        <f t="shared" si="633"/>
        <v>1.8499999999999996</v>
      </c>
      <c r="K485" s="533">
        <f t="shared" si="634"/>
        <v>0.161</v>
      </c>
      <c r="L485" s="533">
        <f t="shared" si="635"/>
        <v>0</v>
      </c>
      <c r="M485" s="533">
        <f t="shared" si="635"/>
        <v>0.35199999999999998</v>
      </c>
      <c r="N485" s="533">
        <f t="shared" si="635"/>
        <v>4.0000000000000036E-2</v>
      </c>
      <c r="O485" s="533">
        <f t="shared" si="636"/>
        <v>1.4E-2</v>
      </c>
      <c r="P485" s="533">
        <f t="shared" si="637"/>
        <v>0</v>
      </c>
      <c r="Q485" s="533">
        <f t="shared" si="637"/>
        <v>0</v>
      </c>
      <c r="R485" s="533">
        <f t="shared" si="637"/>
        <v>0</v>
      </c>
      <c r="S485" s="533">
        <f t="shared" si="638"/>
        <v>0.437</v>
      </c>
      <c r="T485" s="533">
        <f t="shared" si="639"/>
        <v>0</v>
      </c>
      <c r="U485" s="533">
        <f t="shared" si="639"/>
        <v>1.081</v>
      </c>
      <c r="V485" s="533">
        <f t="shared" si="639"/>
        <v>5.4350000000000005</v>
      </c>
      <c r="W485" s="533">
        <f t="shared" si="640"/>
        <v>5.8000000000000003E-2</v>
      </c>
      <c r="X485" s="533">
        <f t="shared" si="641"/>
        <v>0</v>
      </c>
      <c r="Y485" s="533">
        <f t="shared" si="641"/>
        <v>0.126</v>
      </c>
      <c r="Z485" s="533">
        <f t="shared" si="641"/>
        <v>1.2000000000000011E-2</v>
      </c>
      <c r="AA485" s="533">
        <f t="shared" si="642"/>
        <v>0.01</v>
      </c>
      <c r="AB485" s="533">
        <f t="shared" si="643"/>
        <v>1.0249999999999999</v>
      </c>
      <c r="AC485" s="533">
        <f t="shared" si="643"/>
        <v>1.1479999999999999</v>
      </c>
      <c r="AD485" s="533">
        <f t="shared" si="643"/>
        <v>0.84699999999999998</v>
      </c>
      <c r="AE485" s="533">
        <f t="shared" si="644"/>
        <v>4.2000000000000003E-2</v>
      </c>
      <c r="AF485" s="533">
        <f t="shared" si="645"/>
        <v>5.9999999999999984E-3</v>
      </c>
      <c r="AG485" s="533">
        <f t="shared" si="645"/>
        <v>0</v>
      </c>
      <c r="AH485" s="533">
        <f t="shared" si="645"/>
        <v>1.6E-2</v>
      </c>
      <c r="AI485" s="533">
        <f t="shared" si="646"/>
        <v>3.2000000000000001E-2</v>
      </c>
      <c r="AJ485" s="533">
        <f t="shared" si="647"/>
        <v>0.27100000000000002</v>
      </c>
      <c r="AK485" s="533">
        <f t="shared" si="647"/>
        <v>0.42099999999999999</v>
      </c>
      <c r="AL485" s="533">
        <f t="shared" si="647"/>
        <v>2.4000000000000021E-2</v>
      </c>
      <c r="AM485" s="533">
        <f t="shared" si="648"/>
        <v>0.246</v>
      </c>
      <c r="AN485" s="533">
        <f t="shared" si="649"/>
        <v>0</v>
      </c>
      <c r="AO485" s="533">
        <f t="shared" si="649"/>
        <v>0.14500000000000002</v>
      </c>
      <c r="AP485" s="533">
        <f t="shared" si="649"/>
        <v>2.2999999999999965E-2</v>
      </c>
      <c r="AQ485" s="533">
        <f t="shared" si="650"/>
        <v>0.01</v>
      </c>
      <c r="AR485" s="533">
        <f t="shared" si="651"/>
        <v>0</v>
      </c>
      <c r="AS485" s="533">
        <f t="shared" si="651"/>
        <v>0.01</v>
      </c>
      <c r="AT485" s="533">
        <f t="shared" si="651"/>
        <v>0</v>
      </c>
      <c r="AU485" s="576">
        <f t="shared" si="652"/>
        <v>0</v>
      </c>
      <c r="AV485" s="532"/>
      <c r="AW485" s="532"/>
      <c r="AX485" s="532"/>
      <c r="AY485" s="532"/>
      <c r="AZ485" s="755">
        <f t="shared" ref="AZ485:BN485" si="660">AZ393</f>
        <v>9.8239999999999998</v>
      </c>
      <c r="BA485" s="755">
        <f t="shared" si="660"/>
        <v>8.5440000000000005</v>
      </c>
      <c r="BB485" s="755">
        <f t="shared" si="660"/>
        <v>13.364000000000001</v>
      </c>
      <c r="BC485" s="755">
        <f t="shared" si="660"/>
        <v>3.38</v>
      </c>
      <c r="BD485" s="755">
        <f t="shared" si="660"/>
        <v>7.2530000000000001</v>
      </c>
      <c r="BE485" s="755">
        <f t="shared" si="660"/>
        <v>10.294</v>
      </c>
      <c r="BF485" s="755">
        <f t="shared" si="660"/>
        <v>0.55300000000000005</v>
      </c>
      <c r="BG485" s="755">
        <f t="shared" si="660"/>
        <v>1.4E-2</v>
      </c>
      <c r="BH485" s="755">
        <f t="shared" si="660"/>
        <v>6.9530000000000003</v>
      </c>
      <c r="BI485" s="755">
        <f t="shared" si="660"/>
        <v>0.19600000000000001</v>
      </c>
      <c r="BJ485" s="755">
        <f t="shared" si="660"/>
        <v>3.03</v>
      </c>
      <c r="BK485" s="755">
        <f t="shared" si="660"/>
        <v>6.4000000000000001E-2</v>
      </c>
      <c r="BL485" s="755">
        <f t="shared" si="660"/>
        <v>0.748</v>
      </c>
      <c r="BM485" s="755">
        <f t="shared" si="660"/>
        <v>0.41399999999999998</v>
      </c>
      <c r="BN485" s="756">
        <f t="shared" si="660"/>
        <v>0.02</v>
      </c>
      <c r="BO485" s="156">
        <f t="shared" si="654"/>
        <v>0</v>
      </c>
      <c r="BP485" s="156" t="e">
        <f>SUM(#REF!,#REF!,#REF!,#REF!)</f>
        <v>#REF!</v>
      </c>
      <c r="BQ485" s="156"/>
      <c r="BR485" s="156"/>
      <c r="BS485" s="156"/>
      <c r="BT485" s="533"/>
    </row>
    <row r="486" spans="1:72" s="17" customFormat="1" x14ac:dyDescent="0.35">
      <c r="A486" s="208" t="str">
        <f t="shared" si="629"/>
        <v>Net proceeds from investment in noncontrolling interest</v>
      </c>
      <c r="B486" s="532"/>
      <c r="C486" s="533">
        <f t="shared" si="630"/>
        <v>0</v>
      </c>
      <c r="D486" s="533">
        <f t="shared" si="631"/>
        <v>0</v>
      </c>
      <c r="E486" s="533">
        <f t="shared" si="631"/>
        <v>0</v>
      </c>
      <c r="F486" s="533">
        <f t="shared" si="631"/>
        <v>0</v>
      </c>
      <c r="G486" s="533">
        <f t="shared" si="632"/>
        <v>0</v>
      </c>
      <c r="H486" s="533">
        <f t="shared" si="633"/>
        <v>0</v>
      </c>
      <c r="I486" s="533">
        <f t="shared" si="633"/>
        <v>0</v>
      </c>
      <c r="J486" s="533">
        <f t="shared" si="633"/>
        <v>1.2749999999999999</v>
      </c>
      <c r="K486" s="533">
        <f t="shared" si="634"/>
        <v>0</v>
      </c>
      <c r="L486" s="533">
        <f t="shared" si="635"/>
        <v>0</v>
      </c>
      <c r="M486" s="533">
        <f t="shared" si="635"/>
        <v>0</v>
      </c>
      <c r="N486" s="533">
        <f t="shared" si="635"/>
        <v>0</v>
      </c>
      <c r="O486" s="533">
        <f t="shared" si="636"/>
        <v>0</v>
      </c>
      <c r="P486" s="533">
        <f t="shared" si="637"/>
        <v>0</v>
      </c>
      <c r="Q486" s="533">
        <f t="shared" si="637"/>
        <v>0</v>
      </c>
      <c r="R486" s="533">
        <f t="shared" si="637"/>
        <v>0</v>
      </c>
      <c r="S486" s="533">
        <f t="shared" si="638"/>
        <v>0</v>
      </c>
      <c r="T486" s="533">
        <f t="shared" si="639"/>
        <v>0</v>
      </c>
      <c r="U486" s="533">
        <f t="shared" si="639"/>
        <v>0</v>
      </c>
      <c r="V486" s="533">
        <f t="shared" si="639"/>
        <v>0</v>
      </c>
      <c r="W486" s="533">
        <f t="shared" si="640"/>
        <v>0</v>
      </c>
      <c r="X486" s="533">
        <f t="shared" si="641"/>
        <v>0</v>
      </c>
      <c r="Y486" s="533">
        <f t="shared" si="641"/>
        <v>0</v>
      </c>
      <c r="Z486" s="533">
        <f t="shared" si="641"/>
        <v>0</v>
      </c>
      <c r="AA486" s="533">
        <f t="shared" si="642"/>
        <v>0</v>
      </c>
      <c r="AB486" s="533">
        <f t="shared" si="643"/>
        <v>0</v>
      </c>
      <c r="AC486" s="533">
        <f t="shared" si="643"/>
        <v>0</v>
      </c>
      <c r="AD486" s="533">
        <f t="shared" si="643"/>
        <v>0</v>
      </c>
      <c r="AE486" s="533">
        <f t="shared" si="644"/>
        <v>0</v>
      </c>
      <c r="AF486" s="533">
        <f t="shared" si="645"/>
        <v>0</v>
      </c>
      <c r="AG486" s="533">
        <f t="shared" si="645"/>
        <v>0</v>
      </c>
      <c r="AH486" s="533">
        <f t="shared" si="645"/>
        <v>0</v>
      </c>
      <c r="AI486" s="533">
        <f t="shared" si="646"/>
        <v>0</v>
      </c>
      <c r="AJ486" s="533">
        <f t="shared" si="647"/>
        <v>0</v>
      </c>
      <c r="AK486" s="533">
        <f t="shared" si="647"/>
        <v>0</v>
      </c>
      <c r="AL486" s="533">
        <f t="shared" si="647"/>
        <v>0</v>
      </c>
      <c r="AM486" s="533">
        <f t="shared" si="648"/>
        <v>0</v>
      </c>
      <c r="AN486" s="533">
        <f t="shared" si="649"/>
        <v>0</v>
      </c>
      <c r="AO486" s="533">
        <f t="shared" si="649"/>
        <v>0</v>
      </c>
      <c r="AP486" s="533">
        <f t="shared" si="649"/>
        <v>0</v>
      </c>
      <c r="AQ486" s="533">
        <f t="shared" si="650"/>
        <v>0</v>
      </c>
      <c r="AR486" s="533">
        <f t="shared" si="651"/>
        <v>0</v>
      </c>
      <c r="AS486" s="533">
        <f t="shared" si="651"/>
        <v>0</v>
      </c>
      <c r="AT486" s="533">
        <f t="shared" si="651"/>
        <v>0</v>
      </c>
      <c r="AU486" s="576">
        <f t="shared" si="652"/>
        <v>0</v>
      </c>
      <c r="AV486" s="532"/>
      <c r="AW486" s="532"/>
      <c r="AX486" s="532"/>
      <c r="AY486" s="532"/>
      <c r="AZ486" s="755">
        <f t="shared" ref="AZ486:BN486" si="661">AZ394</f>
        <v>5</v>
      </c>
      <c r="BA486" s="755">
        <f t="shared" si="661"/>
        <v>3.3740000000000001</v>
      </c>
      <c r="BB486" s="755">
        <f t="shared" si="661"/>
        <v>0</v>
      </c>
      <c r="BC486" s="755">
        <f t="shared" si="661"/>
        <v>0</v>
      </c>
      <c r="BD486" s="755">
        <f t="shared" si="661"/>
        <v>0</v>
      </c>
      <c r="BE486" s="755">
        <f t="shared" si="661"/>
        <v>1.2749999999999999</v>
      </c>
      <c r="BF486" s="755">
        <f t="shared" si="661"/>
        <v>0</v>
      </c>
      <c r="BG486" s="755">
        <f t="shared" si="661"/>
        <v>0</v>
      </c>
      <c r="BH486" s="755">
        <f t="shared" si="661"/>
        <v>0</v>
      </c>
      <c r="BI486" s="755">
        <f t="shared" si="661"/>
        <v>0</v>
      </c>
      <c r="BJ486" s="755">
        <f t="shared" si="661"/>
        <v>0</v>
      </c>
      <c r="BK486" s="755">
        <f t="shared" si="661"/>
        <v>0</v>
      </c>
      <c r="BL486" s="755">
        <f t="shared" si="661"/>
        <v>0</v>
      </c>
      <c r="BM486" s="755">
        <f t="shared" si="661"/>
        <v>0</v>
      </c>
      <c r="BN486" s="756">
        <f t="shared" si="661"/>
        <v>0</v>
      </c>
      <c r="BO486" s="156">
        <f t="shared" si="654"/>
        <v>0</v>
      </c>
      <c r="BP486" s="156" t="e">
        <f>SUM(#REF!,#REF!,#REF!,#REF!)</f>
        <v>#REF!</v>
      </c>
      <c r="BQ486" s="156"/>
      <c r="BR486" s="156"/>
      <c r="BS486" s="156"/>
      <c r="BT486" s="533"/>
    </row>
    <row r="487" spans="1:72" s="17" customFormat="1" x14ac:dyDescent="0.35">
      <c r="A487" s="208" t="str">
        <f t="shared" si="629"/>
        <v>Proceeds from exercise of stock warrants</v>
      </c>
      <c r="B487" s="532"/>
      <c r="C487" s="533">
        <f t="shared" si="630"/>
        <v>0</v>
      </c>
      <c r="D487" s="533">
        <f t="shared" si="631"/>
        <v>0</v>
      </c>
      <c r="E487" s="533">
        <f t="shared" si="631"/>
        <v>0</v>
      </c>
      <c r="F487" s="533">
        <f t="shared" si="631"/>
        <v>0</v>
      </c>
      <c r="G487" s="533">
        <f t="shared" si="632"/>
        <v>0</v>
      </c>
      <c r="H487" s="533">
        <f t="shared" si="633"/>
        <v>0</v>
      </c>
      <c r="I487" s="533">
        <f t="shared" si="633"/>
        <v>0</v>
      </c>
      <c r="J487" s="533">
        <f t="shared" si="633"/>
        <v>0</v>
      </c>
      <c r="K487" s="533">
        <f t="shared" si="634"/>
        <v>0</v>
      </c>
      <c r="L487" s="533">
        <f t="shared" si="635"/>
        <v>0</v>
      </c>
      <c r="M487" s="533">
        <f t="shared" si="635"/>
        <v>0</v>
      </c>
      <c r="N487" s="533">
        <f t="shared" si="635"/>
        <v>0</v>
      </c>
      <c r="O487" s="533">
        <f t="shared" si="636"/>
        <v>0</v>
      </c>
      <c r="P487" s="533">
        <f t="shared" si="637"/>
        <v>0</v>
      </c>
      <c r="Q487" s="533">
        <f t="shared" si="637"/>
        <v>0</v>
      </c>
      <c r="R487" s="533">
        <f t="shared" si="637"/>
        <v>0</v>
      </c>
      <c r="S487" s="533">
        <f t="shared" si="638"/>
        <v>0</v>
      </c>
      <c r="T487" s="533">
        <f t="shared" si="639"/>
        <v>0</v>
      </c>
      <c r="U487" s="533">
        <f t="shared" si="639"/>
        <v>0</v>
      </c>
      <c r="V487" s="533">
        <f t="shared" si="639"/>
        <v>0</v>
      </c>
      <c r="W487" s="533">
        <f t="shared" si="640"/>
        <v>0</v>
      </c>
      <c r="X487" s="533">
        <f t="shared" si="641"/>
        <v>0</v>
      </c>
      <c r="Y487" s="533">
        <f t="shared" si="641"/>
        <v>0</v>
      </c>
      <c r="Z487" s="533">
        <f t="shared" si="641"/>
        <v>0</v>
      </c>
      <c r="AA487" s="533">
        <f t="shared" si="642"/>
        <v>0</v>
      </c>
      <c r="AB487" s="533">
        <f t="shared" si="643"/>
        <v>0</v>
      </c>
      <c r="AC487" s="533">
        <f t="shared" si="643"/>
        <v>0</v>
      </c>
      <c r="AD487" s="533">
        <f t="shared" si="643"/>
        <v>0</v>
      </c>
      <c r="AE487" s="533">
        <f t="shared" si="644"/>
        <v>0</v>
      </c>
      <c r="AF487" s="533">
        <f t="shared" si="645"/>
        <v>0</v>
      </c>
      <c r="AG487" s="533">
        <f t="shared" si="645"/>
        <v>0</v>
      </c>
      <c r="AH487" s="533">
        <f t="shared" si="645"/>
        <v>0</v>
      </c>
      <c r="AI487" s="533">
        <f t="shared" si="646"/>
        <v>0</v>
      </c>
      <c r="AJ487" s="533">
        <f t="shared" si="647"/>
        <v>0</v>
      </c>
      <c r="AK487" s="533">
        <f t="shared" si="647"/>
        <v>0</v>
      </c>
      <c r="AL487" s="533">
        <f t="shared" si="647"/>
        <v>0</v>
      </c>
      <c r="AM487" s="533">
        <f t="shared" si="648"/>
        <v>0</v>
      </c>
      <c r="AN487" s="533">
        <f t="shared" si="649"/>
        <v>0</v>
      </c>
      <c r="AO487" s="533">
        <f t="shared" si="649"/>
        <v>0</v>
      </c>
      <c r="AP487" s="533">
        <f t="shared" si="649"/>
        <v>0</v>
      </c>
      <c r="AQ487" s="533">
        <f t="shared" si="650"/>
        <v>0</v>
      </c>
      <c r="AR487" s="533">
        <f t="shared" si="651"/>
        <v>0</v>
      </c>
      <c r="AS487" s="533">
        <f t="shared" si="651"/>
        <v>0</v>
      </c>
      <c r="AT487" s="533">
        <f t="shared" si="651"/>
        <v>0</v>
      </c>
      <c r="AU487" s="576">
        <f t="shared" si="652"/>
        <v>0</v>
      </c>
      <c r="AV487" s="532"/>
      <c r="AW487" s="532"/>
      <c r="AX487" s="532"/>
      <c r="AY487" s="532"/>
      <c r="AZ487" s="755">
        <f t="shared" ref="AZ487:BN487" si="662">AZ395</f>
        <v>0</v>
      </c>
      <c r="BA487" s="755">
        <f t="shared" si="662"/>
        <v>0.05</v>
      </c>
      <c r="BB487" s="755">
        <f t="shared" si="662"/>
        <v>0</v>
      </c>
      <c r="BC487" s="755">
        <f t="shared" si="662"/>
        <v>0</v>
      </c>
      <c r="BD487" s="755">
        <f t="shared" si="662"/>
        <v>0</v>
      </c>
      <c r="BE487" s="755">
        <f t="shared" si="662"/>
        <v>0</v>
      </c>
      <c r="BF487" s="755">
        <f t="shared" si="662"/>
        <v>0</v>
      </c>
      <c r="BG487" s="755">
        <f t="shared" si="662"/>
        <v>0</v>
      </c>
      <c r="BH487" s="755">
        <f t="shared" si="662"/>
        <v>0</v>
      </c>
      <c r="BI487" s="755">
        <f t="shared" si="662"/>
        <v>0</v>
      </c>
      <c r="BJ487" s="755">
        <f t="shared" si="662"/>
        <v>0</v>
      </c>
      <c r="BK487" s="755">
        <f t="shared" si="662"/>
        <v>0</v>
      </c>
      <c r="BL487" s="755">
        <f t="shared" si="662"/>
        <v>0</v>
      </c>
      <c r="BM487" s="755">
        <f t="shared" si="662"/>
        <v>0</v>
      </c>
      <c r="BN487" s="756">
        <f t="shared" si="662"/>
        <v>0</v>
      </c>
      <c r="BO487" s="156">
        <f t="shared" si="654"/>
        <v>0</v>
      </c>
      <c r="BP487" s="156" t="e">
        <f>SUM(#REF!,#REF!,#REF!,#REF!)</f>
        <v>#REF!</v>
      </c>
      <c r="BQ487" s="156"/>
      <c r="BR487" s="156"/>
      <c r="BS487" s="156"/>
      <c r="BT487" s="533"/>
    </row>
    <row r="488" spans="1:72" s="17" customFormat="1" x14ac:dyDescent="0.35">
      <c r="A488" s="208" t="str">
        <f t="shared" si="629"/>
        <v>Payment of stock registration expense</v>
      </c>
      <c r="B488" s="532"/>
      <c r="C488" s="533">
        <f t="shared" si="630"/>
        <v>0</v>
      </c>
      <c r="D488" s="533">
        <f t="shared" si="631"/>
        <v>0</v>
      </c>
      <c r="E488" s="533">
        <f t="shared" si="631"/>
        <v>0</v>
      </c>
      <c r="F488" s="533">
        <f t="shared" si="631"/>
        <v>0</v>
      </c>
      <c r="G488" s="533">
        <f t="shared" si="632"/>
        <v>0</v>
      </c>
      <c r="H488" s="533">
        <f t="shared" si="633"/>
        <v>0</v>
      </c>
      <c r="I488" s="533">
        <f t="shared" si="633"/>
        <v>0</v>
      </c>
      <c r="J488" s="533">
        <f t="shared" si="633"/>
        <v>0</v>
      </c>
      <c r="K488" s="533">
        <f t="shared" si="634"/>
        <v>0</v>
      </c>
      <c r="L488" s="533">
        <f t="shared" si="635"/>
        <v>0</v>
      </c>
      <c r="M488" s="533">
        <f t="shared" si="635"/>
        <v>0</v>
      </c>
      <c r="N488" s="533">
        <f t="shared" si="635"/>
        <v>0</v>
      </c>
      <c r="O488" s="533">
        <f t="shared" si="636"/>
        <v>0</v>
      </c>
      <c r="P488" s="533">
        <f t="shared" si="637"/>
        <v>0</v>
      </c>
      <c r="Q488" s="533">
        <f t="shared" si="637"/>
        <v>0</v>
      </c>
      <c r="R488" s="533">
        <f t="shared" si="637"/>
        <v>0</v>
      </c>
      <c r="S488" s="533">
        <f t="shared" si="638"/>
        <v>0</v>
      </c>
      <c r="T488" s="533">
        <f t="shared" si="639"/>
        <v>0</v>
      </c>
      <c r="U488" s="533">
        <f t="shared" si="639"/>
        <v>0</v>
      </c>
      <c r="V488" s="533">
        <f t="shared" si="639"/>
        <v>0</v>
      </c>
      <c r="W488" s="533">
        <f t="shared" si="640"/>
        <v>0</v>
      </c>
      <c r="X488" s="533">
        <f t="shared" si="641"/>
        <v>0</v>
      </c>
      <c r="Y488" s="533">
        <f t="shared" si="641"/>
        <v>0</v>
      </c>
      <c r="Z488" s="533">
        <f t="shared" si="641"/>
        <v>0</v>
      </c>
      <c r="AA488" s="533">
        <f t="shared" si="642"/>
        <v>0</v>
      </c>
      <c r="AB488" s="533">
        <f t="shared" si="643"/>
        <v>0</v>
      </c>
      <c r="AC488" s="533">
        <f t="shared" si="643"/>
        <v>0</v>
      </c>
      <c r="AD488" s="533">
        <f t="shared" si="643"/>
        <v>0</v>
      </c>
      <c r="AE488" s="533">
        <f t="shared" si="644"/>
        <v>0</v>
      </c>
      <c r="AF488" s="533">
        <f t="shared" si="645"/>
        <v>0</v>
      </c>
      <c r="AG488" s="533">
        <f t="shared" si="645"/>
        <v>0</v>
      </c>
      <c r="AH488" s="533">
        <f t="shared" si="645"/>
        <v>0</v>
      </c>
      <c r="AI488" s="533">
        <f t="shared" si="646"/>
        <v>0</v>
      </c>
      <c r="AJ488" s="533">
        <f t="shared" si="647"/>
        <v>0</v>
      </c>
      <c r="AK488" s="533">
        <f t="shared" si="647"/>
        <v>0</v>
      </c>
      <c r="AL488" s="533">
        <f t="shared" si="647"/>
        <v>0</v>
      </c>
      <c r="AM488" s="533">
        <f t="shared" si="648"/>
        <v>0</v>
      </c>
      <c r="AN488" s="533">
        <f t="shared" si="649"/>
        <v>0</v>
      </c>
      <c r="AO488" s="533">
        <f t="shared" si="649"/>
        <v>0</v>
      </c>
      <c r="AP488" s="533">
        <f t="shared" si="649"/>
        <v>0</v>
      </c>
      <c r="AQ488" s="533">
        <f t="shared" si="650"/>
        <v>0</v>
      </c>
      <c r="AR488" s="533">
        <f t="shared" si="651"/>
        <v>0</v>
      </c>
      <c r="AS488" s="533">
        <f t="shared" si="651"/>
        <v>0</v>
      </c>
      <c r="AT488" s="533">
        <f t="shared" si="651"/>
        <v>0</v>
      </c>
      <c r="AU488" s="576">
        <f t="shared" si="652"/>
        <v>0</v>
      </c>
      <c r="AV488" s="532"/>
      <c r="AW488" s="532"/>
      <c r="AX488" s="532"/>
      <c r="AY488" s="532"/>
      <c r="AZ488" s="755">
        <f t="shared" ref="AZ488:BN488" si="663">AZ396</f>
        <v>0</v>
      </c>
      <c r="BA488" s="755">
        <f t="shared" si="663"/>
        <v>0</v>
      </c>
      <c r="BB488" s="755">
        <f t="shared" si="663"/>
        <v>0</v>
      </c>
      <c r="BC488" s="755">
        <f t="shared" si="663"/>
        <v>-0.313</v>
      </c>
      <c r="BD488" s="755">
        <f t="shared" si="663"/>
        <v>0</v>
      </c>
      <c r="BE488" s="755">
        <f t="shared" si="663"/>
        <v>0</v>
      </c>
      <c r="BF488" s="755">
        <f t="shared" si="663"/>
        <v>0</v>
      </c>
      <c r="BG488" s="755">
        <f t="shared" si="663"/>
        <v>0</v>
      </c>
      <c r="BH488" s="755">
        <f t="shared" si="663"/>
        <v>0</v>
      </c>
      <c r="BI488" s="755">
        <f t="shared" si="663"/>
        <v>0</v>
      </c>
      <c r="BJ488" s="755">
        <f t="shared" si="663"/>
        <v>0</v>
      </c>
      <c r="BK488" s="755">
        <f t="shared" si="663"/>
        <v>0</v>
      </c>
      <c r="BL488" s="755">
        <f t="shared" si="663"/>
        <v>0</v>
      </c>
      <c r="BM488" s="755">
        <f t="shared" si="663"/>
        <v>0</v>
      </c>
      <c r="BN488" s="756">
        <f t="shared" si="663"/>
        <v>0</v>
      </c>
      <c r="BO488" s="156">
        <f t="shared" si="654"/>
        <v>0</v>
      </c>
      <c r="BP488" s="156" t="e">
        <f>SUM(#REF!,#REF!,#REF!,#REF!)</f>
        <v>#REF!</v>
      </c>
      <c r="BQ488" s="156"/>
      <c r="BR488" s="156"/>
      <c r="BS488" s="156"/>
      <c r="BT488" s="533"/>
    </row>
    <row r="489" spans="1:72" s="17" customFormat="1" x14ac:dyDescent="0.35">
      <c r="A489" s="208" t="str">
        <f t="shared" si="629"/>
        <v>Excess tax benefit from stock-based compensation</v>
      </c>
      <c r="B489" s="532"/>
      <c r="C489" s="533">
        <f t="shared" si="630"/>
        <v>1.0860000000000001</v>
      </c>
      <c r="D489" s="533">
        <f t="shared" si="631"/>
        <v>1.446</v>
      </c>
      <c r="E489" s="533">
        <f t="shared" si="631"/>
        <v>1.8810000000000002</v>
      </c>
      <c r="F489" s="533">
        <f t="shared" si="631"/>
        <v>4.4759999999999991</v>
      </c>
      <c r="G489" s="533">
        <f t="shared" si="632"/>
        <v>0.38500000000000001</v>
      </c>
      <c r="H489" s="533">
        <f t="shared" si="633"/>
        <v>-1.6020000000000001</v>
      </c>
      <c r="I489" s="533">
        <f t="shared" si="633"/>
        <v>0.74500000000000011</v>
      </c>
      <c r="J489" s="533">
        <f t="shared" si="633"/>
        <v>2.1509999999999998</v>
      </c>
      <c r="K489" s="533">
        <f t="shared" si="634"/>
        <v>7.0000000000000001E-3</v>
      </c>
      <c r="L489" s="533">
        <f t="shared" si="635"/>
        <v>0</v>
      </c>
      <c r="M489" s="533">
        <f t="shared" si="635"/>
        <v>1E-3</v>
      </c>
      <c r="N489" s="533">
        <f t="shared" si="635"/>
        <v>0.10999999999999999</v>
      </c>
      <c r="O489" s="533">
        <f t="shared" si="636"/>
        <v>6.0000000000000001E-3</v>
      </c>
      <c r="P489" s="533">
        <f t="shared" si="637"/>
        <v>0</v>
      </c>
      <c r="Q489" s="533">
        <f t="shared" si="637"/>
        <v>0</v>
      </c>
      <c r="R489" s="533">
        <f t="shared" si="637"/>
        <v>0</v>
      </c>
      <c r="S489" s="533">
        <f t="shared" si="638"/>
        <v>0.10299999999999999</v>
      </c>
      <c r="T489" s="533">
        <f t="shared" si="639"/>
        <v>0.14700000000000002</v>
      </c>
      <c r="U489" s="533">
        <f t="shared" si="639"/>
        <v>0</v>
      </c>
      <c r="V489" s="533">
        <f t="shared" si="639"/>
        <v>4.0999999999999981E-2</v>
      </c>
      <c r="W489" s="533">
        <f t="shared" si="640"/>
        <v>0</v>
      </c>
      <c r="X489" s="533">
        <f t="shared" si="641"/>
        <v>0</v>
      </c>
      <c r="Y489" s="533">
        <f t="shared" si="641"/>
        <v>0</v>
      </c>
      <c r="Z489" s="533">
        <f t="shared" si="641"/>
        <v>0</v>
      </c>
      <c r="AA489" s="533">
        <f t="shared" si="642"/>
        <v>0</v>
      </c>
      <c r="AB489" s="533">
        <f t="shared" si="643"/>
        <v>0</v>
      </c>
      <c r="AC489" s="533">
        <f t="shared" si="643"/>
        <v>0</v>
      </c>
      <c r="AD489" s="533">
        <f t="shared" si="643"/>
        <v>0</v>
      </c>
      <c r="AE489" s="533">
        <f t="shared" si="644"/>
        <v>0</v>
      </c>
      <c r="AF489" s="533">
        <f t="shared" si="645"/>
        <v>0</v>
      </c>
      <c r="AG489" s="533">
        <f t="shared" si="645"/>
        <v>0</v>
      </c>
      <c r="AH489" s="533">
        <f t="shared" si="645"/>
        <v>0</v>
      </c>
      <c r="AI489" s="533">
        <f t="shared" si="646"/>
        <v>0</v>
      </c>
      <c r="AJ489" s="533">
        <f t="shared" si="647"/>
        <v>0</v>
      </c>
      <c r="AK489" s="533">
        <f t="shared" si="647"/>
        <v>0</v>
      </c>
      <c r="AL489" s="533">
        <f t="shared" si="647"/>
        <v>0</v>
      </c>
      <c r="AM489" s="533">
        <f t="shared" si="648"/>
        <v>0</v>
      </c>
      <c r="AN489" s="533">
        <f t="shared" si="649"/>
        <v>0</v>
      </c>
      <c r="AO489" s="533">
        <f t="shared" si="649"/>
        <v>0</v>
      </c>
      <c r="AP489" s="533">
        <f t="shared" si="649"/>
        <v>0</v>
      </c>
      <c r="AQ489" s="533">
        <f t="shared" si="650"/>
        <v>0</v>
      </c>
      <c r="AR489" s="533">
        <f t="shared" si="651"/>
        <v>0</v>
      </c>
      <c r="AS489" s="533">
        <f t="shared" si="651"/>
        <v>0</v>
      </c>
      <c r="AT489" s="533">
        <f t="shared" si="651"/>
        <v>0</v>
      </c>
      <c r="AU489" s="576">
        <f t="shared" si="652"/>
        <v>0</v>
      </c>
      <c r="AV489" s="532"/>
      <c r="AW489" s="532"/>
      <c r="AX489" s="532"/>
      <c r="AY489" s="532"/>
      <c r="AZ489" s="755">
        <f t="shared" ref="AZ489:BN489" si="664">AZ397</f>
        <v>6.9980000000000002</v>
      </c>
      <c r="BA489" s="755">
        <f t="shared" si="664"/>
        <v>3.9350000000000001</v>
      </c>
      <c r="BB489" s="755">
        <f t="shared" si="664"/>
        <v>4.9539999999999997</v>
      </c>
      <c r="BC489" s="755">
        <f t="shared" si="664"/>
        <v>-3.1219999999999999</v>
      </c>
      <c r="BD489" s="755">
        <f t="shared" si="664"/>
        <v>8.8889999999999993</v>
      </c>
      <c r="BE489" s="755">
        <f t="shared" si="664"/>
        <v>1.679</v>
      </c>
      <c r="BF489" s="755">
        <f t="shared" si="664"/>
        <v>0.11799999999999999</v>
      </c>
      <c r="BG489" s="755">
        <f t="shared" si="664"/>
        <v>6.0000000000000001E-3</v>
      </c>
      <c r="BH489" s="755">
        <f t="shared" si="664"/>
        <v>0.29099999999999998</v>
      </c>
      <c r="BI489" s="755">
        <f t="shared" si="664"/>
        <v>0</v>
      </c>
      <c r="BJ489" s="755">
        <f t="shared" si="664"/>
        <v>0</v>
      </c>
      <c r="BK489" s="755">
        <f t="shared" si="664"/>
        <v>0</v>
      </c>
      <c r="BL489" s="755">
        <f t="shared" si="664"/>
        <v>0</v>
      </c>
      <c r="BM489" s="755">
        <f t="shared" si="664"/>
        <v>0</v>
      </c>
      <c r="BN489" s="756">
        <f t="shared" si="664"/>
        <v>0</v>
      </c>
      <c r="BO489" s="156">
        <f t="shared" si="654"/>
        <v>0</v>
      </c>
      <c r="BP489" s="156" t="e">
        <f>SUM(#REF!,#REF!,#REF!,#REF!)</f>
        <v>#REF!</v>
      </c>
      <c r="BQ489" s="156"/>
      <c r="BR489" s="156"/>
      <c r="BS489" s="156"/>
      <c r="BT489" s="533"/>
    </row>
    <row r="490" spans="1:72" s="17" customFormat="1" x14ac:dyDescent="0.35">
      <c r="A490" s="208" t="str">
        <f t="shared" si="629"/>
        <v>Withholding of stock options for tax withholding</v>
      </c>
      <c r="B490" s="532"/>
      <c r="C490" s="533">
        <f t="shared" si="630"/>
        <v>0</v>
      </c>
      <c r="D490" s="533">
        <f t="shared" si="631"/>
        <v>0</v>
      </c>
      <c r="E490" s="533">
        <f t="shared" si="631"/>
        <v>0</v>
      </c>
      <c r="F490" s="533">
        <f t="shared" si="631"/>
        <v>0</v>
      </c>
      <c r="G490" s="533">
        <f t="shared" si="632"/>
        <v>0</v>
      </c>
      <c r="H490" s="533">
        <f t="shared" si="633"/>
        <v>0</v>
      </c>
      <c r="I490" s="533">
        <f t="shared" si="633"/>
        <v>0</v>
      </c>
      <c r="J490" s="533">
        <f t="shared" si="633"/>
        <v>0</v>
      </c>
      <c r="K490" s="533">
        <f t="shared" si="634"/>
        <v>0</v>
      </c>
      <c r="L490" s="533">
        <f t="shared" si="635"/>
        <v>0</v>
      </c>
      <c r="M490" s="533">
        <f t="shared" si="635"/>
        <v>0</v>
      </c>
      <c r="N490" s="533">
        <f t="shared" si="635"/>
        <v>0</v>
      </c>
      <c r="O490" s="533">
        <f t="shared" si="636"/>
        <v>0</v>
      </c>
      <c r="P490" s="533">
        <f t="shared" si="637"/>
        <v>0</v>
      </c>
      <c r="Q490" s="533">
        <f t="shared" si="637"/>
        <v>0</v>
      </c>
      <c r="R490" s="533">
        <f t="shared" si="637"/>
        <v>0</v>
      </c>
      <c r="S490" s="533">
        <f t="shared" si="638"/>
        <v>0</v>
      </c>
      <c r="T490" s="533">
        <f t="shared" si="639"/>
        <v>0</v>
      </c>
      <c r="U490" s="533">
        <f t="shared" si="639"/>
        <v>0</v>
      </c>
      <c r="V490" s="533">
        <f t="shared" si="639"/>
        <v>0</v>
      </c>
      <c r="W490" s="533">
        <f t="shared" si="640"/>
        <v>0</v>
      </c>
      <c r="X490" s="533">
        <f t="shared" si="641"/>
        <v>0</v>
      </c>
      <c r="Y490" s="533">
        <f t="shared" si="641"/>
        <v>0</v>
      </c>
      <c r="Z490" s="533">
        <f t="shared" si="641"/>
        <v>0</v>
      </c>
      <c r="AA490" s="533">
        <f t="shared" si="642"/>
        <v>0</v>
      </c>
      <c r="AB490" s="533">
        <f t="shared" si="643"/>
        <v>0</v>
      </c>
      <c r="AC490" s="533">
        <f t="shared" si="643"/>
        <v>0</v>
      </c>
      <c r="AD490" s="533">
        <f t="shared" si="643"/>
        <v>0</v>
      </c>
      <c r="AE490" s="533">
        <f t="shared" si="644"/>
        <v>0</v>
      </c>
      <c r="AF490" s="533">
        <f t="shared" si="645"/>
        <v>0</v>
      </c>
      <c r="AG490" s="533">
        <f t="shared" si="645"/>
        <v>0</v>
      </c>
      <c r="AH490" s="533">
        <f t="shared" si="645"/>
        <v>0</v>
      </c>
      <c r="AI490" s="533">
        <f t="shared" si="646"/>
        <v>-10.885</v>
      </c>
      <c r="AJ490" s="533">
        <f t="shared" si="647"/>
        <v>0</v>
      </c>
      <c r="AK490" s="533">
        <f t="shared" si="647"/>
        <v>0</v>
      </c>
      <c r="AL490" s="533">
        <f t="shared" si="647"/>
        <v>0</v>
      </c>
      <c r="AM490" s="533">
        <f t="shared" si="648"/>
        <v>0</v>
      </c>
      <c r="AN490" s="533">
        <f t="shared" si="649"/>
        <v>0</v>
      </c>
      <c r="AO490" s="533">
        <f t="shared" si="649"/>
        <v>0</v>
      </c>
      <c r="AP490" s="533">
        <f t="shared" si="649"/>
        <v>0</v>
      </c>
      <c r="AQ490" s="533">
        <f t="shared" si="650"/>
        <v>0</v>
      </c>
      <c r="AR490" s="533">
        <f t="shared" si="651"/>
        <v>0</v>
      </c>
      <c r="AS490" s="533">
        <f t="shared" si="651"/>
        <v>0</v>
      </c>
      <c r="AT490" s="533">
        <f t="shared" si="651"/>
        <v>0</v>
      </c>
      <c r="AU490" s="576">
        <f t="shared" si="652"/>
        <v>0</v>
      </c>
      <c r="AV490" s="532"/>
      <c r="AW490" s="532"/>
      <c r="AX490" s="532"/>
      <c r="AY490" s="532"/>
      <c r="AZ490" s="755">
        <f t="shared" ref="AZ490:BN490" si="665">AZ398</f>
        <v>0</v>
      </c>
      <c r="BA490" s="755">
        <f t="shared" si="665"/>
        <v>0</v>
      </c>
      <c r="BB490" s="755">
        <f t="shared" si="665"/>
        <v>0</v>
      </c>
      <c r="BC490" s="755">
        <f t="shared" si="665"/>
        <v>0</v>
      </c>
      <c r="BD490" s="755">
        <f t="shared" si="665"/>
        <v>0</v>
      </c>
      <c r="BE490" s="755">
        <f t="shared" si="665"/>
        <v>0</v>
      </c>
      <c r="BF490" s="755">
        <f t="shared" si="665"/>
        <v>0</v>
      </c>
      <c r="BG490" s="755">
        <f t="shared" si="665"/>
        <v>0</v>
      </c>
      <c r="BH490" s="755">
        <f t="shared" si="665"/>
        <v>0</v>
      </c>
      <c r="BI490" s="755">
        <f t="shared" si="665"/>
        <v>0</v>
      </c>
      <c r="BJ490" s="755">
        <f t="shared" si="665"/>
        <v>0</v>
      </c>
      <c r="BK490" s="755">
        <f t="shared" si="665"/>
        <v>0</v>
      </c>
      <c r="BL490" s="755">
        <f t="shared" si="665"/>
        <v>-10.885</v>
      </c>
      <c r="BM490" s="755">
        <f t="shared" si="665"/>
        <v>0</v>
      </c>
      <c r="BN490" s="756">
        <f t="shared" si="665"/>
        <v>0</v>
      </c>
      <c r="BO490" s="156">
        <f t="shared" si="654"/>
        <v>0</v>
      </c>
      <c r="BP490" s="156" t="e">
        <f>SUM(#REF!,#REF!,#REF!,#REF!)</f>
        <v>#REF!</v>
      </c>
      <c r="BQ490" s="156"/>
      <c r="BR490" s="156"/>
      <c r="BS490" s="156"/>
      <c r="BT490" s="533"/>
    </row>
    <row r="491" spans="1:72" s="17" customFormat="1" x14ac:dyDescent="0.35">
      <c r="A491" s="208" t="str">
        <f t="shared" si="629"/>
        <v>Repurchase of restricted stock for income tax withholding</v>
      </c>
      <c r="B491" s="532"/>
      <c r="C491" s="533">
        <f t="shared" si="630"/>
        <v>-0.64500000000000002</v>
      </c>
      <c r="D491" s="533">
        <f t="shared" si="631"/>
        <v>-0.15600000000000003</v>
      </c>
      <c r="E491" s="533">
        <f t="shared" si="631"/>
        <v>-1.016</v>
      </c>
      <c r="F491" s="533">
        <f t="shared" si="631"/>
        <v>-0.72899999999999987</v>
      </c>
      <c r="G491" s="533">
        <f t="shared" si="632"/>
        <v>-1.508</v>
      </c>
      <c r="H491" s="533">
        <f t="shared" si="633"/>
        <v>-1.7149999999999999</v>
      </c>
      <c r="I491" s="533">
        <f t="shared" si="633"/>
        <v>-1.0469999999999997</v>
      </c>
      <c r="J491" s="533">
        <f t="shared" si="633"/>
        <v>-0.74800000000000022</v>
      </c>
      <c r="K491" s="533">
        <f t="shared" si="634"/>
        <v>-1.1120000000000001</v>
      </c>
      <c r="L491" s="533">
        <f t="shared" si="635"/>
        <v>-0.35599999999999987</v>
      </c>
      <c r="M491" s="533">
        <f t="shared" si="635"/>
        <v>-0.91999999999999993</v>
      </c>
      <c r="N491" s="533">
        <f t="shared" si="635"/>
        <v>-0.28400000000000025</v>
      </c>
      <c r="O491" s="533">
        <f t="shared" si="636"/>
        <v>-1.9279999999999999</v>
      </c>
      <c r="P491" s="533">
        <f t="shared" si="637"/>
        <v>-0.41199999999999992</v>
      </c>
      <c r="Q491" s="533">
        <f t="shared" si="637"/>
        <v>-0.71600000000000019</v>
      </c>
      <c r="R491" s="533">
        <f t="shared" si="637"/>
        <v>-0.33800000000000008</v>
      </c>
      <c r="S491" s="533">
        <f t="shared" si="638"/>
        <v>-1.498</v>
      </c>
      <c r="T491" s="533">
        <f t="shared" si="639"/>
        <v>-0.15199999999999991</v>
      </c>
      <c r="U491" s="533">
        <f t="shared" si="639"/>
        <v>-2.5859999999999999</v>
      </c>
      <c r="V491" s="533">
        <f t="shared" si="639"/>
        <v>-1.9550000000000001</v>
      </c>
      <c r="W491" s="533">
        <f t="shared" si="640"/>
        <v>-4.093</v>
      </c>
      <c r="X491" s="533">
        <f t="shared" si="641"/>
        <v>-1.6639999999999997</v>
      </c>
      <c r="Y491" s="533">
        <f t="shared" si="641"/>
        <v>-4.0060000000000002</v>
      </c>
      <c r="Z491" s="533">
        <f t="shared" si="641"/>
        <v>-0.55100000000000016</v>
      </c>
      <c r="AA491" s="533">
        <f t="shared" si="642"/>
        <v>-6.0720000000000001</v>
      </c>
      <c r="AB491" s="533">
        <f t="shared" si="643"/>
        <v>-0.83300000000000018</v>
      </c>
      <c r="AC491" s="533">
        <f t="shared" si="643"/>
        <v>-2.7510000000000003</v>
      </c>
      <c r="AD491" s="533">
        <f t="shared" si="643"/>
        <v>-0.3019999999999996</v>
      </c>
      <c r="AE491" s="533">
        <f t="shared" si="644"/>
        <v>-4.6980000000000004</v>
      </c>
      <c r="AF491" s="533">
        <f t="shared" si="645"/>
        <v>-0.18499999999999961</v>
      </c>
      <c r="AG491" s="533">
        <f t="shared" si="645"/>
        <v>-1.6209999999999996</v>
      </c>
      <c r="AH491" s="533">
        <f t="shared" si="645"/>
        <v>-0.25700000000000056</v>
      </c>
      <c r="AI491" s="533">
        <f t="shared" si="646"/>
        <v>-5.8079999999999998</v>
      </c>
      <c r="AJ491" s="533">
        <f t="shared" si="647"/>
        <v>-0.30000000000000071</v>
      </c>
      <c r="AK491" s="533">
        <f t="shared" si="647"/>
        <v>-2.7639999999999993</v>
      </c>
      <c r="AL491" s="533">
        <f t="shared" si="647"/>
        <v>-0.35599999999999987</v>
      </c>
      <c r="AM491" s="533">
        <f t="shared" si="648"/>
        <v>-6.0430000000000001</v>
      </c>
      <c r="AN491" s="533">
        <f t="shared" si="649"/>
        <v>-29.361000000000004</v>
      </c>
      <c r="AO491" s="533">
        <f t="shared" si="649"/>
        <v>-2.0589999999999975</v>
      </c>
      <c r="AP491" s="533">
        <f t="shared" si="649"/>
        <v>-0.39199999999999591</v>
      </c>
      <c r="AQ491" s="533">
        <f t="shared" si="650"/>
        <v>-8.9049999999999994</v>
      </c>
      <c r="AR491" s="533">
        <f t="shared" si="651"/>
        <v>-1.4290000000000003</v>
      </c>
      <c r="AS491" s="533">
        <f t="shared" si="651"/>
        <v>-2.6020000000000003</v>
      </c>
      <c r="AT491" s="533">
        <f t="shared" si="651"/>
        <v>-0.60500000000000043</v>
      </c>
      <c r="AU491" s="576">
        <f t="shared" si="652"/>
        <v>-2.09</v>
      </c>
      <c r="AV491" s="532"/>
      <c r="AW491" s="532"/>
      <c r="AX491" s="532"/>
      <c r="AY491" s="532"/>
      <c r="AZ491" s="755">
        <f t="shared" ref="AZ491:BN491" si="666">AZ399</f>
        <v>0</v>
      </c>
      <c r="BA491" s="755">
        <f t="shared" si="666"/>
        <v>-5.8000000000000003E-2</v>
      </c>
      <c r="BB491" s="755">
        <f t="shared" si="666"/>
        <v>-1.627</v>
      </c>
      <c r="BC491" s="755">
        <f t="shared" si="666"/>
        <v>-1.292</v>
      </c>
      <c r="BD491" s="755">
        <f t="shared" si="666"/>
        <v>-2.5459999999999998</v>
      </c>
      <c r="BE491" s="755">
        <f t="shared" si="666"/>
        <v>-5.0179999999999998</v>
      </c>
      <c r="BF491" s="755">
        <f t="shared" si="666"/>
        <v>-2.6720000000000002</v>
      </c>
      <c r="BG491" s="755">
        <f t="shared" si="666"/>
        <v>-3.3940000000000001</v>
      </c>
      <c r="BH491" s="755">
        <f t="shared" si="666"/>
        <v>-6.1909999999999998</v>
      </c>
      <c r="BI491" s="755">
        <f t="shared" si="666"/>
        <v>-10.314</v>
      </c>
      <c r="BJ491" s="755">
        <f t="shared" si="666"/>
        <v>-9.9580000000000002</v>
      </c>
      <c r="BK491" s="755">
        <f t="shared" si="666"/>
        <v>-6.7610000000000001</v>
      </c>
      <c r="BL491" s="755">
        <f t="shared" si="666"/>
        <v>-9.2279999999999998</v>
      </c>
      <c r="BM491" s="755">
        <f t="shared" si="666"/>
        <v>-37.854999999999997</v>
      </c>
      <c r="BN491" s="756">
        <f t="shared" si="666"/>
        <v>-13.541</v>
      </c>
      <c r="BO491" s="156">
        <f t="shared" si="654"/>
        <v>-2.09</v>
      </c>
      <c r="BP491" s="156" t="e">
        <f>SUM(#REF!,#REF!,#REF!,#REF!)</f>
        <v>#REF!</v>
      </c>
      <c r="BQ491" s="156"/>
      <c r="BR491" s="156"/>
      <c r="BS491" s="156"/>
      <c r="BT491" s="533"/>
    </row>
    <row r="492" spans="1:72" s="17" customFormat="1" x14ac:dyDescent="0.35">
      <c r="A492" s="208" t="str">
        <f t="shared" si="629"/>
        <v>Proceeds from issuance of common stock</v>
      </c>
      <c r="B492" s="532"/>
      <c r="C492" s="533">
        <f t="shared" si="630"/>
        <v>0</v>
      </c>
      <c r="D492" s="533">
        <f t="shared" si="631"/>
        <v>0</v>
      </c>
      <c r="E492" s="533">
        <f t="shared" si="631"/>
        <v>0</v>
      </c>
      <c r="F492" s="533">
        <f t="shared" si="631"/>
        <v>0</v>
      </c>
      <c r="G492" s="533">
        <f t="shared" si="632"/>
        <v>0</v>
      </c>
      <c r="H492" s="533">
        <f t="shared" si="633"/>
        <v>0</v>
      </c>
      <c r="I492" s="533">
        <f t="shared" si="633"/>
        <v>0</v>
      </c>
      <c r="J492" s="533">
        <f t="shared" si="633"/>
        <v>0</v>
      </c>
      <c r="K492" s="533">
        <f t="shared" si="634"/>
        <v>0</v>
      </c>
      <c r="L492" s="533">
        <f t="shared" si="635"/>
        <v>0</v>
      </c>
      <c r="M492" s="533">
        <f t="shared" si="635"/>
        <v>0</v>
      </c>
      <c r="N492" s="533">
        <f t="shared" si="635"/>
        <v>0</v>
      </c>
      <c r="O492" s="533">
        <f t="shared" si="636"/>
        <v>0</v>
      </c>
      <c r="P492" s="533">
        <f t="shared" si="637"/>
        <v>0</v>
      </c>
      <c r="Q492" s="533">
        <f t="shared" si="637"/>
        <v>0</v>
      </c>
      <c r="R492" s="533">
        <f t="shared" si="637"/>
        <v>0</v>
      </c>
      <c r="S492" s="533">
        <f t="shared" si="638"/>
        <v>0</v>
      </c>
      <c r="T492" s="533">
        <f t="shared" si="639"/>
        <v>0</v>
      </c>
      <c r="U492" s="533">
        <f t="shared" si="639"/>
        <v>0</v>
      </c>
      <c r="V492" s="533">
        <f t="shared" si="639"/>
        <v>0</v>
      </c>
      <c r="W492" s="533">
        <f t="shared" si="640"/>
        <v>0</v>
      </c>
      <c r="X492" s="533">
        <f t="shared" si="641"/>
        <v>0</v>
      </c>
      <c r="Y492" s="533">
        <f t="shared" si="641"/>
        <v>0</v>
      </c>
      <c r="Z492" s="533">
        <f t="shared" si="641"/>
        <v>0</v>
      </c>
      <c r="AA492" s="533">
        <f t="shared" si="642"/>
        <v>0</v>
      </c>
      <c r="AB492" s="533">
        <f t="shared" si="643"/>
        <v>0</v>
      </c>
      <c r="AC492" s="533">
        <f t="shared" si="643"/>
        <v>0</v>
      </c>
      <c r="AD492" s="533">
        <f t="shared" si="643"/>
        <v>0</v>
      </c>
      <c r="AE492" s="533">
        <f t="shared" si="644"/>
        <v>0</v>
      </c>
      <c r="AF492" s="533">
        <f t="shared" si="645"/>
        <v>0</v>
      </c>
      <c r="AG492" s="533">
        <f t="shared" si="645"/>
        <v>0</v>
      </c>
      <c r="AH492" s="533">
        <f t="shared" si="645"/>
        <v>0</v>
      </c>
      <c r="AI492" s="533">
        <f t="shared" si="646"/>
        <v>0</v>
      </c>
      <c r="AJ492" s="533">
        <f t="shared" si="647"/>
        <v>0</v>
      </c>
      <c r="AK492" s="533">
        <f t="shared" si="647"/>
        <v>0</v>
      </c>
      <c r="AL492" s="533">
        <f t="shared" si="647"/>
        <v>0</v>
      </c>
      <c r="AM492" s="533">
        <f t="shared" si="648"/>
        <v>0</v>
      </c>
      <c r="AN492" s="533">
        <f t="shared" si="649"/>
        <v>0</v>
      </c>
      <c r="AO492" s="533">
        <f t="shared" si="649"/>
        <v>0</v>
      </c>
      <c r="AP492" s="533">
        <f t="shared" si="649"/>
        <v>0</v>
      </c>
      <c r="AQ492" s="533">
        <f t="shared" si="650"/>
        <v>0</v>
      </c>
      <c r="AR492" s="533">
        <f t="shared" si="651"/>
        <v>0</v>
      </c>
      <c r="AS492" s="533">
        <f t="shared" si="651"/>
        <v>0</v>
      </c>
      <c r="AT492" s="533">
        <f t="shared" si="651"/>
        <v>0</v>
      </c>
      <c r="AU492" s="576">
        <f t="shared" si="652"/>
        <v>0</v>
      </c>
      <c r="AV492" s="532"/>
      <c r="AW492" s="532"/>
      <c r="AX492" s="532"/>
      <c r="AY492" s="532"/>
      <c r="AZ492" s="755">
        <f t="shared" ref="AZ492:BN492" si="667">AZ400</f>
        <v>0</v>
      </c>
      <c r="BA492" s="755">
        <f t="shared" si="667"/>
        <v>0</v>
      </c>
      <c r="BB492" s="755">
        <f t="shared" si="667"/>
        <v>125.619</v>
      </c>
      <c r="BC492" s="755">
        <f t="shared" si="667"/>
        <v>0</v>
      </c>
      <c r="BD492" s="755">
        <f t="shared" si="667"/>
        <v>0</v>
      </c>
      <c r="BE492" s="755">
        <f t="shared" si="667"/>
        <v>0</v>
      </c>
      <c r="BF492" s="755">
        <f t="shared" si="667"/>
        <v>0</v>
      </c>
      <c r="BG492" s="755">
        <f t="shared" si="667"/>
        <v>0</v>
      </c>
      <c r="BH492" s="755">
        <f t="shared" si="667"/>
        <v>0</v>
      </c>
      <c r="BI492" s="755">
        <f t="shared" si="667"/>
        <v>0</v>
      </c>
      <c r="BJ492" s="755">
        <f t="shared" si="667"/>
        <v>0</v>
      </c>
      <c r="BK492" s="755">
        <f t="shared" si="667"/>
        <v>0</v>
      </c>
      <c r="BL492" s="755">
        <f t="shared" si="667"/>
        <v>0</v>
      </c>
      <c r="BM492" s="755">
        <f t="shared" si="667"/>
        <v>0</v>
      </c>
      <c r="BN492" s="756">
        <f t="shared" si="667"/>
        <v>0</v>
      </c>
      <c r="BO492" s="156">
        <f t="shared" si="654"/>
        <v>0</v>
      </c>
      <c r="BP492" s="156" t="e">
        <f>SUM(#REF!,#REF!,#REF!,#REF!)</f>
        <v>#REF!</v>
      </c>
      <c r="BQ492" s="156"/>
      <c r="BR492" s="156"/>
      <c r="BS492" s="156"/>
      <c r="BT492" s="533"/>
    </row>
    <row r="493" spans="1:72" s="17" customFormat="1" x14ac:dyDescent="0.35">
      <c r="A493" s="178" t="str">
        <f t="shared" si="629"/>
        <v>Proceeds from notes payable</v>
      </c>
      <c r="B493" s="532"/>
      <c r="C493" s="532">
        <f t="shared" si="630"/>
        <v>0</v>
      </c>
      <c r="D493" s="532">
        <f t="shared" si="631"/>
        <v>0</v>
      </c>
      <c r="E493" s="532">
        <f t="shared" si="631"/>
        <v>0</v>
      </c>
      <c r="F493" s="532">
        <f t="shared" si="631"/>
        <v>0</v>
      </c>
      <c r="G493" s="532">
        <f t="shared" si="632"/>
        <v>0</v>
      </c>
      <c r="H493" s="532">
        <f t="shared" si="633"/>
        <v>0</v>
      </c>
      <c r="I493" s="532">
        <f t="shared" si="633"/>
        <v>0</v>
      </c>
      <c r="J493" s="532">
        <f t="shared" si="633"/>
        <v>0</v>
      </c>
      <c r="K493" s="532">
        <f t="shared" si="634"/>
        <v>0</v>
      </c>
      <c r="L493" s="532">
        <f t="shared" si="635"/>
        <v>0</v>
      </c>
      <c r="M493" s="532">
        <f t="shared" si="635"/>
        <v>0</v>
      </c>
      <c r="N493" s="532">
        <f t="shared" si="635"/>
        <v>0</v>
      </c>
      <c r="O493" s="532">
        <f t="shared" si="636"/>
        <v>0</v>
      </c>
      <c r="P493" s="532">
        <f t="shared" si="637"/>
        <v>0</v>
      </c>
      <c r="Q493" s="532">
        <f t="shared" si="637"/>
        <v>0</v>
      </c>
      <c r="R493" s="532">
        <f t="shared" si="637"/>
        <v>0</v>
      </c>
      <c r="S493" s="532">
        <f t="shared" si="638"/>
        <v>0</v>
      </c>
      <c r="T493" s="532">
        <f t="shared" si="639"/>
        <v>0</v>
      </c>
      <c r="U493" s="532">
        <f t="shared" si="639"/>
        <v>0</v>
      </c>
      <c r="V493" s="532">
        <f t="shared" si="639"/>
        <v>0</v>
      </c>
      <c r="W493" s="532">
        <f t="shared" si="640"/>
        <v>0</v>
      </c>
      <c r="X493" s="532">
        <f t="shared" si="641"/>
        <v>0</v>
      </c>
      <c r="Y493" s="532">
        <f t="shared" si="641"/>
        <v>0</v>
      </c>
      <c r="Z493" s="532">
        <f t="shared" si="641"/>
        <v>0</v>
      </c>
      <c r="AA493" s="532">
        <f t="shared" si="642"/>
        <v>0</v>
      </c>
      <c r="AB493" s="532">
        <f t="shared" si="643"/>
        <v>0</v>
      </c>
      <c r="AC493" s="532">
        <f t="shared" si="643"/>
        <v>0</v>
      </c>
      <c r="AD493" s="532">
        <f t="shared" si="643"/>
        <v>0</v>
      </c>
      <c r="AE493" s="532">
        <f t="shared" si="644"/>
        <v>0</v>
      </c>
      <c r="AF493" s="532">
        <f t="shared" si="645"/>
        <v>0</v>
      </c>
      <c r="AG493" s="532">
        <f t="shared" si="645"/>
        <v>0</v>
      </c>
      <c r="AH493" s="532">
        <f t="shared" si="645"/>
        <v>0</v>
      </c>
      <c r="AI493" s="532">
        <f t="shared" si="646"/>
        <v>0</v>
      </c>
      <c r="AJ493" s="532">
        <f t="shared" si="647"/>
        <v>0</v>
      </c>
      <c r="AK493" s="532">
        <f t="shared" si="647"/>
        <v>0</v>
      </c>
      <c r="AL493" s="532">
        <f t="shared" si="647"/>
        <v>0</v>
      </c>
      <c r="AM493" s="532">
        <f t="shared" si="648"/>
        <v>0</v>
      </c>
      <c r="AN493" s="532">
        <f t="shared" si="649"/>
        <v>0</v>
      </c>
      <c r="AO493" s="532">
        <f t="shared" si="649"/>
        <v>0</v>
      </c>
      <c r="AP493" s="532">
        <f t="shared" si="649"/>
        <v>0</v>
      </c>
      <c r="AQ493" s="532">
        <f t="shared" si="650"/>
        <v>0</v>
      </c>
      <c r="AR493" s="532">
        <f t="shared" si="651"/>
        <v>0</v>
      </c>
      <c r="AS493" s="532">
        <f t="shared" si="651"/>
        <v>0</v>
      </c>
      <c r="AT493" s="532">
        <f t="shared" si="651"/>
        <v>0</v>
      </c>
      <c r="AU493" s="534">
        <f t="shared" si="652"/>
        <v>0</v>
      </c>
      <c r="AV493" s="532">
        <f t="shared" ref="AV493:AX493" si="668">AV270</f>
        <v>0</v>
      </c>
      <c r="AW493" s="532">
        <f t="shared" si="668"/>
        <v>0</v>
      </c>
      <c r="AX493" s="532">
        <f t="shared" si="668"/>
        <v>0</v>
      </c>
      <c r="AY493" s="532"/>
      <c r="AZ493" s="156">
        <f t="shared" ref="AZ493:BN493" si="669">AZ401</f>
        <v>3.1349999999999998</v>
      </c>
      <c r="BA493" s="156">
        <f t="shared" si="669"/>
        <v>0</v>
      </c>
      <c r="BB493" s="156">
        <f t="shared" si="669"/>
        <v>1.9319999999999999</v>
      </c>
      <c r="BC493" s="156">
        <f t="shared" si="669"/>
        <v>0</v>
      </c>
      <c r="BD493" s="156">
        <f t="shared" si="669"/>
        <v>0</v>
      </c>
      <c r="BE493" s="156">
        <f t="shared" si="669"/>
        <v>0</v>
      </c>
      <c r="BF493" s="156">
        <f t="shared" si="669"/>
        <v>0</v>
      </c>
      <c r="BG493" s="156">
        <f t="shared" si="669"/>
        <v>0</v>
      </c>
      <c r="BH493" s="156">
        <f t="shared" si="669"/>
        <v>0</v>
      </c>
      <c r="BI493" s="156">
        <f t="shared" si="669"/>
        <v>0</v>
      </c>
      <c r="BJ493" s="156">
        <f t="shared" si="669"/>
        <v>0</v>
      </c>
      <c r="BK493" s="156">
        <f t="shared" si="669"/>
        <v>0</v>
      </c>
      <c r="BL493" s="156">
        <f t="shared" si="669"/>
        <v>0</v>
      </c>
      <c r="BM493" s="156">
        <f t="shared" si="669"/>
        <v>0</v>
      </c>
      <c r="BN493" s="730">
        <f t="shared" si="669"/>
        <v>0</v>
      </c>
      <c r="BO493" s="156">
        <f t="shared" si="654"/>
        <v>0</v>
      </c>
      <c r="BP493" s="156" t="e">
        <f>SUM(#REF!,#REF!,#REF!,#REF!)</f>
        <v>#REF!</v>
      </c>
      <c r="BQ493" s="156">
        <f>BQ270</f>
        <v>0</v>
      </c>
      <c r="BR493" s="156">
        <f>BR270</f>
        <v>0</v>
      </c>
      <c r="BS493" s="156">
        <f>BS270</f>
        <v>0</v>
      </c>
      <c r="BT493" s="533"/>
    </row>
    <row r="494" spans="1:72" s="17" customFormat="1" x14ac:dyDescent="0.35">
      <c r="A494" s="208" t="str">
        <f t="shared" si="629"/>
        <v>Borrowings from line of credit</v>
      </c>
      <c r="B494" s="532"/>
      <c r="C494" s="533">
        <f t="shared" si="630"/>
        <v>0</v>
      </c>
      <c r="D494" s="533">
        <f t="shared" si="631"/>
        <v>0</v>
      </c>
      <c r="E494" s="533">
        <f t="shared" si="631"/>
        <v>0</v>
      </c>
      <c r="F494" s="533">
        <f t="shared" si="631"/>
        <v>0</v>
      </c>
      <c r="G494" s="533">
        <f t="shared" si="632"/>
        <v>0</v>
      </c>
      <c r="H494" s="533">
        <f t="shared" si="633"/>
        <v>0</v>
      </c>
      <c r="I494" s="533">
        <f t="shared" si="633"/>
        <v>0</v>
      </c>
      <c r="J494" s="533">
        <f t="shared" si="633"/>
        <v>0</v>
      </c>
      <c r="K494" s="533">
        <f t="shared" si="634"/>
        <v>0</v>
      </c>
      <c r="L494" s="533">
        <f t="shared" si="635"/>
        <v>0</v>
      </c>
      <c r="M494" s="533">
        <f t="shared" si="635"/>
        <v>0</v>
      </c>
      <c r="N494" s="533">
        <f t="shared" si="635"/>
        <v>0</v>
      </c>
      <c r="O494" s="533">
        <f t="shared" si="636"/>
        <v>0</v>
      </c>
      <c r="P494" s="533">
        <f t="shared" si="637"/>
        <v>0</v>
      </c>
      <c r="Q494" s="533">
        <f t="shared" si="637"/>
        <v>0</v>
      </c>
      <c r="R494" s="533">
        <f t="shared" si="637"/>
        <v>0</v>
      </c>
      <c r="S494" s="533">
        <f t="shared" si="638"/>
        <v>0</v>
      </c>
      <c r="T494" s="533">
        <f t="shared" si="639"/>
        <v>0</v>
      </c>
      <c r="U494" s="533">
        <f t="shared" si="639"/>
        <v>0</v>
      </c>
      <c r="V494" s="533">
        <f t="shared" si="639"/>
        <v>0</v>
      </c>
      <c r="W494" s="533">
        <f t="shared" si="640"/>
        <v>0</v>
      </c>
      <c r="X494" s="533">
        <f t="shared" si="641"/>
        <v>0</v>
      </c>
      <c r="Y494" s="533">
        <f t="shared" si="641"/>
        <v>0</v>
      </c>
      <c r="Z494" s="533">
        <f t="shared" si="641"/>
        <v>0</v>
      </c>
      <c r="AA494" s="533">
        <f t="shared" si="642"/>
        <v>0</v>
      </c>
      <c r="AB494" s="533">
        <f t="shared" si="643"/>
        <v>0</v>
      </c>
      <c r="AC494" s="533">
        <f t="shared" si="643"/>
        <v>0</v>
      </c>
      <c r="AD494" s="533">
        <f t="shared" si="643"/>
        <v>0</v>
      </c>
      <c r="AE494" s="533">
        <f t="shared" si="644"/>
        <v>0</v>
      </c>
      <c r="AF494" s="533">
        <f t="shared" si="645"/>
        <v>0</v>
      </c>
      <c r="AG494" s="533">
        <f t="shared" si="645"/>
        <v>105</v>
      </c>
      <c r="AH494" s="533">
        <f t="shared" si="645"/>
        <v>0</v>
      </c>
      <c r="AI494" s="533">
        <f t="shared" si="646"/>
        <v>0</v>
      </c>
      <c r="AJ494" s="533">
        <f t="shared" si="647"/>
        <v>0</v>
      </c>
      <c r="AK494" s="533">
        <f t="shared" si="647"/>
        <v>0</v>
      </c>
      <c r="AL494" s="533">
        <f t="shared" si="647"/>
        <v>0</v>
      </c>
      <c r="AM494" s="533">
        <f t="shared" si="648"/>
        <v>0</v>
      </c>
      <c r="AN494" s="533">
        <f t="shared" si="649"/>
        <v>0</v>
      </c>
      <c r="AO494" s="533">
        <f t="shared" si="649"/>
        <v>0</v>
      </c>
      <c r="AP494" s="533">
        <f t="shared" si="649"/>
        <v>0</v>
      </c>
      <c r="AQ494" s="533">
        <f t="shared" si="650"/>
        <v>0</v>
      </c>
      <c r="AR494" s="533">
        <f t="shared" si="651"/>
        <v>0</v>
      </c>
      <c r="AS494" s="533">
        <f t="shared" si="651"/>
        <v>0</v>
      </c>
      <c r="AT494" s="533">
        <f t="shared" si="651"/>
        <v>0</v>
      </c>
      <c r="AU494" s="576">
        <f t="shared" si="652"/>
        <v>0</v>
      </c>
      <c r="AV494" s="532"/>
      <c r="AW494" s="532"/>
      <c r="AX494" s="532"/>
      <c r="AY494" s="532"/>
      <c r="AZ494" s="755">
        <f t="shared" ref="AZ494:BN494" si="670">AZ402</f>
        <v>0</v>
      </c>
      <c r="BA494" s="755">
        <f t="shared" si="670"/>
        <v>0</v>
      </c>
      <c r="BB494" s="755">
        <f t="shared" si="670"/>
        <v>15</v>
      </c>
      <c r="BC494" s="755">
        <f t="shared" si="670"/>
        <v>0</v>
      </c>
      <c r="BD494" s="755">
        <f t="shared" si="670"/>
        <v>0</v>
      </c>
      <c r="BE494" s="755">
        <f t="shared" si="670"/>
        <v>0</v>
      </c>
      <c r="BF494" s="755">
        <f t="shared" si="670"/>
        <v>0</v>
      </c>
      <c r="BG494" s="755">
        <f t="shared" si="670"/>
        <v>0</v>
      </c>
      <c r="BH494" s="755">
        <f t="shared" si="670"/>
        <v>0</v>
      </c>
      <c r="BI494" s="755">
        <f t="shared" si="670"/>
        <v>0</v>
      </c>
      <c r="BJ494" s="755">
        <f t="shared" si="670"/>
        <v>0</v>
      </c>
      <c r="BK494" s="755">
        <f t="shared" si="670"/>
        <v>105</v>
      </c>
      <c r="BL494" s="755">
        <f t="shared" si="670"/>
        <v>0</v>
      </c>
      <c r="BM494" s="755">
        <f t="shared" si="670"/>
        <v>0</v>
      </c>
      <c r="BN494" s="756">
        <f t="shared" si="670"/>
        <v>0</v>
      </c>
      <c r="BO494" s="156">
        <f t="shared" si="654"/>
        <v>0</v>
      </c>
      <c r="BP494" s="156" t="e">
        <f>SUM(#REF!,#REF!,#REF!,#REF!)</f>
        <v>#REF!</v>
      </c>
      <c r="BQ494" s="156"/>
      <c r="BR494" s="156"/>
      <c r="BS494" s="156"/>
      <c r="BT494" s="533"/>
    </row>
    <row r="495" spans="1:72" s="17" customFormat="1" x14ac:dyDescent="0.35">
      <c r="A495" s="208" t="str">
        <f t="shared" si="629"/>
        <v>Repayments under the line of credit</v>
      </c>
      <c r="B495" s="532"/>
      <c r="C495" s="533">
        <f t="shared" si="630"/>
        <v>0</v>
      </c>
      <c r="D495" s="533">
        <f t="shared" si="631"/>
        <v>0</v>
      </c>
      <c r="E495" s="533">
        <f t="shared" si="631"/>
        <v>0</v>
      </c>
      <c r="F495" s="533">
        <f t="shared" si="631"/>
        <v>0</v>
      </c>
      <c r="G495" s="533">
        <f t="shared" si="632"/>
        <v>0</v>
      </c>
      <c r="H495" s="533">
        <f t="shared" si="633"/>
        <v>0</v>
      </c>
      <c r="I495" s="533">
        <f t="shared" si="633"/>
        <v>0</v>
      </c>
      <c r="J495" s="533">
        <f t="shared" si="633"/>
        <v>0</v>
      </c>
      <c r="K495" s="533">
        <f t="shared" si="634"/>
        <v>0</v>
      </c>
      <c r="L495" s="533">
        <f t="shared" si="635"/>
        <v>0</v>
      </c>
      <c r="M495" s="533">
        <f t="shared" si="635"/>
        <v>0</v>
      </c>
      <c r="N495" s="533">
        <f t="shared" si="635"/>
        <v>0</v>
      </c>
      <c r="O495" s="533">
        <f t="shared" si="636"/>
        <v>0</v>
      </c>
      <c r="P495" s="533">
        <f t="shared" si="637"/>
        <v>0</v>
      </c>
      <c r="Q495" s="533">
        <f t="shared" si="637"/>
        <v>0</v>
      </c>
      <c r="R495" s="533">
        <f t="shared" si="637"/>
        <v>0</v>
      </c>
      <c r="S495" s="533">
        <f t="shared" si="638"/>
        <v>0</v>
      </c>
      <c r="T495" s="533">
        <f t="shared" si="639"/>
        <v>0</v>
      </c>
      <c r="U495" s="533">
        <f t="shared" si="639"/>
        <v>0</v>
      </c>
      <c r="V495" s="533">
        <f t="shared" si="639"/>
        <v>0</v>
      </c>
      <c r="W495" s="533">
        <f t="shared" si="640"/>
        <v>0</v>
      </c>
      <c r="X495" s="533">
        <f t="shared" si="641"/>
        <v>0</v>
      </c>
      <c r="Y495" s="533">
        <f t="shared" si="641"/>
        <v>0</v>
      </c>
      <c r="Z495" s="533">
        <f t="shared" si="641"/>
        <v>0</v>
      </c>
      <c r="AA495" s="533">
        <f t="shared" si="642"/>
        <v>0</v>
      </c>
      <c r="AB495" s="533">
        <f t="shared" si="643"/>
        <v>0</v>
      </c>
      <c r="AC495" s="533">
        <f t="shared" si="643"/>
        <v>0</v>
      </c>
      <c r="AD495" s="533">
        <f t="shared" si="643"/>
        <v>0</v>
      </c>
      <c r="AE495" s="533">
        <f t="shared" si="644"/>
        <v>0</v>
      </c>
      <c r="AF495" s="533">
        <f t="shared" si="645"/>
        <v>0</v>
      </c>
      <c r="AG495" s="533">
        <f t="shared" si="645"/>
        <v>-5</v>
      </c>
      <c r="AH495" s="533">
        <f t="shared" si="645"/>
        <v>0</v>
      </c>
      <c r="AI495" s="533">
        <f t="shared" si="646"/>
        <v>-100</v>
      </c>
      <c r="AJ495" s="533">
        <f t="shared" si="647"/>
        <v>0</v>
      </c>
      <c r="AK495" s="533">
        <f t="shared" si="647"/>
        <v>0</v>
      </c>
      <c r="AL495" s="533">
        <f t="shared" si="647"/>
        <v>0</v>
      </c>
      <c r="AM495" s="533">
        <f t="shared" si="648"/>
        <v>0</v>
      </c>
      <c r="AN495" s="533">
        <f t="shared" si="649"/>
        <v>0</v>
      </c>
      <c r="AO495" s="533">
        <f t="shared" si="649"/>
        <v>0</v>
      </c>
      <c r="AP495" s="533">
        <f t="shared" si="649"/>
        <v>0</v>
      </c>
      <c r="AQ495" s="533">
        <f t="shared" si="650"/>
        <v>0</v>
      </c>
      <c r="AR495" s="533">
        <f t="shared" si="651"/>
        <v>0</v>
      </c>
      <c r="AS495" s="533">
        <f t="shared" si="651"/>
        <v>0</v>
      </c>
      <c r="AT495" s="533">
        <f t="shared" si="651"/>
        <v>0</v>
      </c>
      <c r="AU495" s="576">
        <f t="shared" si="652"/>
        <v>0</v>
      </c>
      <c r="AV495" s="532"/>
      <c r="AW495" s="532"/>
      <c r="AX495" s="532"/>
      <c r="AY495" s="532"/>
      <c r="AZ495" s="755">
        <f t="shared" ref="AZ495:BN495" si="671">AZ403</f>
        <v>0</v>
      </c>
      <c r="BA495" s="755">
        <f t="shared" si="671"/>
        <v>0</v>
      </c>
      <c r="BB495" s="755">
        <f t="shared" si="671"/>
        <v>-15</v>
      </c>
      <c r="BC495" s="755">
        <f t="shared" si="671"/>
        <v>0</v>
      </c>
      <c r="BD495" s="755">
        <f t="shared" si="671"/>
        <v>0</v>
      </c>
      <c r="BE495" s="755">
        <f t="shared" si="671"/>
        <v>0</v>
      </c>
      <c r="BF495" s="755">
        <f t="shared" si="671"/>
        <v>0</v>
      </c>
      <c r="BG495" s="755">
        <f t="shared" si="671"/>
        <v>0</v>
      </c>
      <c r="BH495" s="755">
        <f t="shared" si="671"/>
        <v>0</v>
      </c>
      <c r="BI495" s="755">
        <f t="shared" si="671"/>
        <v>0</v>
      </c>
      <c r="BJ495" s="755">
        <f t="shared" si="671"/>
        <v>0</v>
      </c>
      <c r="BK495" s="755">
        <f t="shared" si="671"/>
        <v>-5</v>
      </c>
      <c r="BL495" s="755">
        <f t="shared" si="671"/>
        <v>-100</v>
      </c>
      <c r="BM495" s="755">
        <f t="shared" si="671"/>
        <v>0</v>
      </c>
      <c r="BN495" s="756">
        <f t="shared" si="671"/>
        <v>0</v>
      </c>
      <c r="BO495" s="156">
        <f t="shared" si="654"/>
        <v>0</v>
      </c>
      <c r="BP495" s="156" t="e">
        <f>SUM(#REF!,#REF!,#REF!,#REF!)</f>
        <v>#REF!</v>
      </c>
      <c r="BQ495" s="156"/>
      <c r="BR495" s="156"/>
      <c r="BS495" s="156"/>
      <c r="BT495" s="533"/>
    </row>
    <row r="496" spans="1:72" s="17" customFormat="1" x14ac:dyDescent="0.35">
      <c r="A496" s="208" t="str">
        <f t="shared" si="629"/>
        <v>Issuance of convertible senior notes</v>
      </c>
      <c r="B496" s="532"/>
      <c r="C496" s="533">
        <f t="shared" si="630"/>
        <v>0</v>
      </c>
      <c r="D496" s="533">
        <f t="shared" si="631"/>
        <v>0</v>
      </c>
      <c r="E496" s="533">
        <f t="shared" si="631"/>
        <v>0</v>
      </c>
      <c r="F496" s="533">
        <f t="shared" si="631"/>
        <v>0</v>
      </c>
      <c r="G496" s="533">
        <f t="shared" si="632"/>
        <v>0</v>
      </c>
      <c r="H496" s="533">
        <f t="shared" si="633"/>
        <v>0</v>
      </c>
      <c r="I496" s="533">
        <f t="shared" si="633"/>
        <v>0</v>
      </c>
      <c r="J496" s="533">
        <f t="shared" si="633"/>
        <v>0</v>
      </c>
      <c r="K496" s="533">
        <f t="shared" si="634"/>
        <v>0</v>
      </c>
      <c r="L496" s="533">
        <f t="shared" si="635"/>
        <v>0</v>
      </c>
      <c r="M496" s="533">
        <f t="shared" si="635"/>
        <v>0</v>
      </c>
      <c r="N496" s="533">
        <f t="shared" si="635"/>
        <v>0</v>
      </c>
      <c r="O496" s="533">
        <f t="shared" si="636"/>
        <v>0</v>
      </c>
      <c r="P496" s="533">
        <f t="shared" si="637"/>
        <v>0</v>
      </c>
      <c r="Q496" s="533">
        <f t="shared" si="637"/>
        <v>0</v>
      </c>
      <c r="R496" s="533">
        <f t="shared" si="637"/>
        <v>0</v>
      </c>
      <c r="S496" s="533">
        <f t="shared" si="638"/>
        <v>0</v>
      </c>
      <c r="T496" s="533">
        <f t="shared" si="639"/>
        <v>0</v>
      </c>
      <c r="U496" s="533">
        <f t="shared" si="639"/>
        <v>0</v>
      </c>
      <c r="V496" s="533">
        <f t="shared" si="639"/>
        <v>0</v>
      </c>
      <c r="W496" s="533">
        <f t="shared" si="640"/>
        <v>0</v>
      </c>
      <c r="X496" s="533">
        <f t="shared" si="641"/>
        <v>0</v>
      </c>
      <c r="Y496" s="533">
        <f t="shared" si="641"/>
        <v>0</v>
      </c>
      <c r="Z496" s="533">
        <f t="shared" si="641"/>
        <v>0</v>
      </c>
      <c r="AA496" s="533">
        <f t="shared" si="642"/>
        <v>0</v>
      </c>
      <c r="AB496" s="533">
        <f t="shared" si="643"/>
        <v>0</v>
      </c>
      <c r="AC496" s="533">
        <f t="shared" si="643"/>
        <v>0</v>
      </c>
      <c r="AD496" s="533">
        <f t="shared" si="643"/>
        <v>0</v>
      </c>
      <c r="AE496" s="533">
        <f t="shared" si="644"/>
        <v>0</v>
      </c>
      <c r="AF496" s="533">
        <f t="shared" si="645"/>
        <v>0</v>
      </c>
      <c r="AG496" s="533">
        <f t="shared" si="645"/>
        <v>0</v>
      </c>
      <c r="AH496" s="533">
        <f t="shared" si="645"/>
        <v>0</v>
      </c>
      <c r="AI496" s="533">
        <f t="shared" si="646"/>
        <v>409.39</v>
      </c>
      <c r="AJ496" s="533">
        <f t="shared" si="647"/>
        <v>-0.77999999999997272</v>
      </c>
      <c r="AK496" s="533">
        <f t="shared" si="647"/>
        <v>0</v>
      </c>
      <c r="AL496" s="533">
        <f t="shared" si="647"/>
        <v>0</v>
      </c>
      <c r="AM496" s="533">
        <f t="shared" si="648"/>
        <v>0</v>
      </c>
      <c r="AN496" s="533">
        <f t="shared" si="649"/>
        <v>0</v>
      </c>
      <c r="AO496" s="533">
        <f t="shared" si="649"/>
        <v>0</v>
      </c>
      <c r="AP496" s="533">
        <f t="shared" si="649"/>
        <v>0</v>
      </c>
      <c r="AQ496" s="533">
        <f t="shared" si="650"/>
        <v>0</v>
      </c>
      <c r="AR496" s="533">
        <f t="shared" si="651"/>
        <v>0</v>
      </c>
      <c r="AS496" s="533">
        <f t="shared" si="651"/>
        <v>0</v>
      </c>
      <c r="AT496" s="533">
        <f t="shared" si="651"/>
        <v>0</v>
      </c>
      <c r="AU496" s="576">
        <f t="shared" si="652"/>
        <v>0</v>
      </c>
      <c r="AV496" s="532"/>
      <c r="AW496" s="532"/>
      <c r="AX496" s="532"/>
      <c r="AY496" s="532"/>
      <c r="AZ496" s="755">
        <f t="shared" ref="AZ496:BN496" si="672">AZ404</f>
        <v>0</v>
      </c>
      <c r="BA496" s="755">
        <f t="shared" si="672"/>
        <v>0</v>
      </c>
      <c r="BB496" s="755">
        <f t="shared" si="672"/>
        <v>0</v>
      </c>
      <c r="BC496" s="755">
        <f t="shared" si="672"/>
        <v>0</v>
      </c>
      <c r="BD496" s="755">
        <f t="shared" si="672"/>
        <v>0</v>
      </c>
      <c r="BE496" s="755">
        <f t="shared" si="672"/>
        <v>0</v>
      </c>
      <c r="BF496" s="755">
        <f t="shared" si="672"/>
        <v>0</v>
      </c>
      <c r="BG496" s="755">
        <f t="shared" si="672"/>
        <v>0</v>
      </c>
      <c r="BH496" s="755">
        <f t="shared" si="672"/>
        <v>0</v>
      </c>
      <c r="BI496" s="755">
        <f t="shared" si="672"/>
        <v>0</v>
      </c>
      <c r="BJ496" s="755">
        <f t="shared" si="672"/>
        <v>0</v>
      </c>
      <c r="BK496" s="755">
        <f t="shared" si="672"/>
        <v>0</v>
      </c>
      <c r="BL496" s="755">
        <f t="shared" si="672"/>
        <v>408.61</v>
      </c>
      <c r="BM496" s="755">
        <f t="shared" si="672"/>
        <v>0</v>
      </c>
      <c r="BN496" s="756">
        <f t="shared" si="672"/>
        <v>0</v>
      </c>
      <c r="BO496" s="156">
        <f t="shared" si="654"/>
        <v>0</v>
      </c>
      <c r="BP496" s="156" t="e">
        <f>SUM(#REF!,#REF!,#REF!,#REF!)</f>
        <v>#REF!</v>
      </c>
      <c r="BQ496" s="156"/>
      <c r="BR496" s="156"/>
      <c r="BS496" s="156"/>
      <c r="BT496" s="533"/>
    </row>
    <row r="497" spans="1:72" s="17" customFormat="1" x14ac:dyDescent="0.35">
      <c r="A497" s="208" t="str">
        <f t="shared" si="629"/>
        <v>Purchases of capped calls in connection with convertible senior notes</v>
      </c>
      <c r="B497" s="532"/>
      <c r="C497" s="533">
        <f t="shared" si="630"/>
        <v>0</v>
      </c>
      <c r="D497" s="533">
        <f t="shared" si="631"/>
        <v>0</v>
      </c>
      <c r="E497" s="533">
        <f t="shared" si="631"/>
        <v>0</v>
      </c>
      <c r="F497" s="533">
        <f t="shared" si="631"/>
        <v>0</v>
      </c>
      <c r="G497" s="533">
        <f t="shared" si="632"/>
        <v>0</v>
      </c>
      <c r="H497" s="533">
        <f t="shared" si="633"/>
        <v>0</v>
      </c>
      <c r="I497" s="533">
        <f t="shared" si="633"/>
        <v>0</v>
      </c>
      <c r="J497" s="533">
        <f t="shared" si="633"/>
        <v>0</v>
      </c>
      <c r="K497" s="533">
        <f t="shared" si="634"/>
        <v>0</v>
      </c>
      <c r="L497" s="533">
        <f t="shared" si="635"/>
        <v>0</v>
      </c>
      <c r="M497" s="533">
        <f t="shared" si="635"/>
        <v>0</v>
      </c>
      <c r="N497" s="533">
        <f t="shared" si="635"/>
        <v>0</v>
      </c>
      <c r="O497" s="533">
        <f t="shared" si="636"/>
        <v>0</v>
      </c>
      <c r="P497" s="533">
        <f t="shared" si="637"/>
        <v>0</v>
      </c>
      <c r="Q497" s="533">
        <f t="shared" si="637"/>
        <v>0</v>
      </c>
      <c r="R497" s="533">
        <f t="shared" si="637"/>
        <v>0</v>
      </c>
      <c r="S497" s="533">
        <f t="shared" si="638"/>
        <v>0</v>
      </c>
      <c r="T497" s="533">
        <f t="shared" si="639"/>
        <v>0</v>
      </c>
      <c r="U497" s="533">
        <f t="shared" si="639"/>
        <v>0</v>
      </c>
      <c r="V497" s="533">
        <f t="shared" si="639"/>
        <v>0</v>
      </c>
      <c r="W497" s="533">
        <f t="shared" si="640"/>
        <v>0</v>
      </c>
      <c r="X497" s="533">
        <f t="shared" si="641"/>
        <v>0</v>
      </c>
      <c r="Y497" s="533">
        <f t="shared" si="641"/>
        <v>0</v>
      </c>
      <c r="Z497" s="533">
        <f t="shared" si="641"/>
        <v>0</v>
      </c>
      <c r="AA497" s="533">
        <f t="shared" si="642"/>
        <v>0</v>
      </c>
      <c r="AB497" s="533">
        <f t="shared" si="643"/>
        <v>0</v>
      </c>
      <c r="AC497" s="533">
        <f t="shared" si="643"/>
        <v>0</v>
      </c>
      <c r="AD497" s="533">
        <f t="shared" si="643"/>
        <v>0</v>
      </c>
      <c r="AE497" s="533">
        <f t="shared" si="644"/>
        <v>0</v>
      </c>
      <c r="AF497" s="533">
        <f t="shared" si="645"/>
        <v>0</v>
      </c>
      <c r="AG497" s="533">
        <f t="shared" si="645"/>
        <v>0</v>
      </c>
      <c r="AH497" s="533">
        <f t="shared" si="645"/>
        <v>0</v>
      </c>
      <c r="AI497" s="533">
        <f t="shared" si="646"/>
        <v>-60.353999999999999</v>
      </c>
      <c r="AJ497" s="533">
        <f t="shared" si="647"/>
        <v>0</v>
      </c>
      <c r="AK497" s="533">
        <f t="shared" si="647"/>
        <v>0</v>
      </c>
      <c r="AL497" s="533">
        <f t="shared" si="647"/>
        <v>0</v>
      </c>
      <c r="AM497" s="533">
        <f t="shared" si="648"/>
        <v>0</v>
      </c>
      <c r="AN497" s="533">
        <f t="shared" si="649"/>
        <v>0</v>
      </c>
      <c r="AO497" s="533">
        <f t="shared" si="649"/>
        <v>0</v>
      </c>
      <c r="AP497" s="533">
        <f t="shared" si="649"/>
        <v>0</v>
      </c>
      <c r="AQ497" s="533">
        <f t="shared" si="650"/>
        <v>0</v>
      </c>
      <c r="AR497" s="533">
        <f t="shared" si="651"/>
        <v>0</v>
      </c>
      <c r="AS497" s="533">
        <f t="shared" si="651"/>
        <v>0</v>
      </c>
      <c r="AT497" s="533">
        <f t="shared" si="651"/>
        <v>0</v>
      </c>
      <c r="AU497" s="576">
        <f t="shared" si="652"/>
        <v>0</v>
      </c>
      <c r="AV497" s="532"/>
      <c r="AW497" s="532"/>
      <c r="AX497" s="532"/>
      <c r="AY497" s="532"/>
      <c r="AZ497" s="755">
        <f t="shared" ref="AZ497:BN497" si="673">AZ405</f>
        <v>0</v>
      </c>
      <c r="BA497" s="755">
        <f t="shared" si="673"/>
        <v>0</v>
      </c>
      <c r="BB497" s="755">
        <f t="shared" si="673"/>
        <v>0</v>
      </c>
      <c r="BC497" s="755">
        <f t="shared" si="673"/>
        <v>0</v>
      </c>
      <c r="BD497" s="755">
        <f t="shared" si="673"/>
        <v>0</v>
      </c>
      <c r="BE497" s="755">
        <f t="shared" si="673"/>
        <v>0</v>
      </c>
      <c r="BF497" s="755">
        <f t="shared" si="673"/>
        <v>0</v>
      </c>
      <c r="BG497" s="755">
        <f t="shared" si="673"/>
        <v>0</v>
      </c>
      <c r="BH497" s="755">
        <f t="shared" si="673"/>
        <v>0</v>
      </c>
      <c r="BI497" s="755">
        <f t="shared" si="673"/>
        <v>0</v>
      </c>
      <c r="BJ497" s="755">
        <f t="shared" si="673"/>
        <v>0</v>
      </c>
      <c r="BK497" s="755">
        <f t="shared" si="673"/>
        <v>0</v>
      </c>
      <c r="BL497" s="755">
        <f t="shared" si="673"/>
        <v>-60.353999999999999</v>
      </c>
      <c r="BM497" s="755">
        <f t="shared" si="673"/>
        <v>0</v>
      </c>
      <c r="BN497" s="756">
        <f t="shared" si="673"/>
        <v>0</v>
      </c>
      <c r="BO497" s="156">
        <f t="shared" si="654"/>
        <v>0</v>
      </c>
      <c r="BP497" s="156" t="e">
        <f>SUM(#REF!,#REF!,#REF!,#REF!)</f>
        <v>#REF!</v>
      </c>
      <c r="BQ497" s="156"/>
      <c r="BR497" s="156"/>
      <c r="BS497" s="156"/>
      <c r="BT497" s="533"/>
    </row>
    <row r="498" spans="1:72" s="17" customFormat="1" x14ac:dyDescent="0.35">
      <c r="A498" s="267" t="str">
        <f t="shared" si="629"/>
        <v>Dividends Paid</v>
      </c>
      <c r="B498" s="535"/>
      <c r="C498" s="571">
        <f t="shared" si="630"/>
        <v>0</v>
      </c>
      <c r="D498" s="571">
        <f t="shared" si="631"/>
        <v>0</v>
      </c>
      <c r="E498" s="571">
        <f t="shared" si="631"/>
        <v>0</v>
      </c>
      <c r="F498" s="571">
        <f t="shared" si="631"/>
        <v>0</v>
      </c>
      <c r="G498" s="571">
        <f t="shared" si="632"/>
        <v>0</v>
      </c>
      <c r="H498" s="571">
        <f t="shared" si="633"/>
        <v>0</v>
      </c>
      <c r="I498" s="571">
        <f t="shared" si="633"/>
        <v>0</v>
      </c>
      <c r="J498" s="571">
        <f t="shared" si="633"/>
        <v>0</v>
      </c>
      <c r="K498" s="571">
        <f t="shared" si="634"/>
        <v>0</v>
      </c>
      <c r="L498" s="571">
        <f t="shared" si="635"/>
        <v>0</v>
      </c>
      <c r="M498" s="571">
        <f t="shared" si="635"/>
        <v>0</v>
      </c>
      <c r="N498" s="571">
        <f t="shared" si="635"/>
        <v>0</v>
      </c>
      <c r="O498" s="571">
        <f t="shared" si="636"/>
        <v>0</v>
      </c>
      <c r="P498" s="571">
        <f t="shared" si="637"/>
        <v>0</v>
      </c>
      <c r="Q498" s="571">
        <f t="shared" si="637"/>
        <v>0</v>
      </c>
      <c r="R498" s="571">
        <f t="shared" si="637"/>
        <v>0</v>
      </c>
      <c r="S498" s="571">
        <f t="shared" si="638"/>
        <v>0</v>
      </c>
      <c r="T498" s="571">
        <f t="shared" si="639"/>
        <v>0</v>
      </c>
      <c r="U498" s="571">
        <f t="shared" si="639"/>
        <v>0</v>
      </c>
      <c r="V498" s="571">
        <f t="shared" si="639"/>
        <v>0</v>
      </c>
      <c r="W498" s="571">
        <f t="shared" si="640"/>
        <v>0</v>
      </c>
      <c r="X498" s="571">
        <f t="shared" si="641"/>
        <v>0</v>
      </c>
      <c r="Y498" s="571">
        <f t="shared" si="641"/>
        <v>0</v>
      </c>
      <c r="Z498" s="571">
        <f t="shared" si="641"/>
        <v>0</v>
      </c>
      <c r="AA498" s="571">
        <f t="shared" si="642"/>
        <v>0</v>
      </c>
      <c r="AB498" s="571">
        <f t="shared" si="643"/>
        <v>0</v>
      </c>
      <c r="AC498" s="571">
        <f t="shared" si="643"/>
        <v>0</v>
      </c>
      <c r="AD498" s="571">
        <f t="shared" si="643"/>
        <v>0</v>
      </c>
      <c r="AE498" s="571">
        <f t="shared" si="644"/>
        <v>0</v>
      </c>
      <c r="AF498" s="571">
        <f t="shared" si="645"/>
        <v>0</v>
      </c>
      <c r="AG498" s="571">
        <f t="shared" si="645"/>
        <v>0</v>
      </c>
      <c r="AH498" s="571">
        <f t="shared" si="645"/>
        <v>0</v>
      </c>
      <c r="AI498" s="571">
        <f t="shared" si="646"/>
        <v>0</v>
      </c>
      <c r="AJ498" s="571">
        <f t="shared" si="647"/>
        <v>0</v>
      </c>
      <c r="AK498" s="571">
        <f t="shared" si="647"/>
        <v>0</v>
      </c>
      <c r="AL498" s="571">
        <f t="shared" si="647"/>
        <v>0</v>
      </c>
      <c r="AM498" s="571">
        <f t="shared" si="648"/>
        <v>0</v>
      </c>
      <c r="AN498" s="571">
        <f t="shared" si="649"/>
        <v>0</v>
      </c>
      <c r="AO498" s="571">
        <f t="shared" si="649"/>
        <v>0</v>
      </c>
      <c r="AP498" s="571">
        <f t="shared" si="649"/>
        <v>0</v>
      </c>
      <c r="AQ498" s="571">
        <f t="shared" si="650"/>
        <v>0</v>
      </c>
      <c r="AR498" s="571">
        <f t="shared" si="651"/>
        <v>0</v>
      </c>
      <c r="AS498" s="571">
        <f t="shared" si="651"/>
        <v>0</v>
      </c>
      <c r="AT498" s="571">
        <f t="shared" si="651"/>
        <v>0</v>
      </c>
      <c r="AU498" s="583">
        <f t="shared" si="652"/>
        <v>0</v>
      </c>
      <c r="AV498" s="535">
        <f t="shared" ref="AV498:AX498" ca="1" si="674">AV267</f>
        <v>0</v>
      </c>
      <c r="AW498" s="535">
        <f t="shared" ca="1" si="674"/>
        <v>0</v>
      </c>
      <c r="AX498" s="535">
        <f t="shared" ca="1" si="674"/>
        <v>0</v>
      </c>
      <c r="AY498" s="535"/>
      <c r="AZ498" s="760">
        <f t="shared" ref="AZ498:BN498" si="675">AZ406</f>
        <v>0</v>
      </c>
      <c r="BA498" s="760">
        <f t="shared" si="675"/>
        <v>0</v>
      </c>
      <c r="BB498" s="760">
        <f t="shared" si="675"/>
        <v>0</v>
      </c>
      <c r="BC498" s="760">
        <f t="shared" si="675"/>
        <v>0</v>
      </c>
      <c r="BD498" s="760">
        <f t="shared" si="675"/>
        <v>0</v>
      </c>
      <c r="BE498" s="760">
        <f t="shared" si="675"/>
        <v>0</v>
      </c>
      <c r="BF498" s="760">
        <f t="shared" si="675"/>
        <v>0</v>
      </c>
      <c r="BG498" s="760">
        <f t="shared" si="675"/>
        <v>0</v>
      </c>
      <c r="BH498" s="760">
        <f t="shared" si="675"/>
        <v>0</v>
      </c>
      <c r="BI498" s="760">
        <f t="shared" si="675"/>
        <v>0</v>
      </c>
      <c r="BJ498" s="760">
        <f t="shared" si="675"/>
        <v>0</v>
      </c>
      <c r="BK498" s="760">
        <f t="shared" si="675"/>
        <v>0</v>
      </c>
      <c r="BL498" s="760">
        <f t="shared" si="675"/>
        <v>0</v>
      </c>
      <c r="BM498" s="760">
        <f t="shared" si="675"/>
        <v>0</v>
      </c>
      <c r="BN498" s="761">
        <f t="shared" si="675"/>
        <v>0</v>
      </c>
      <c r="BO498" s="731">
        <f t="shared" ca="1" si="654"/>
        <v>0</v>
      </c>
      <c r="BP498" s="731" t="e">
        <f>SUM(#REF!,#REF!,#REF!,#REF!)</f>
        <v>#REF!</v>
      </c>
      <c r="BQ498" s="731" t="e">
        <f>BQ267</f>
        <v>#REF!</v>
      </c>
      <c r="BR498" s="731" t="e">
        <f ca="1">BR267</f>
        <v>#REF!</v>
      </c>
      <c r="BS498" s="731" t="e">
        <f ca="1">BS267</f>
        <v>#REF!</v>
      </c>
      <c r="BT498" s="533"/>
    </row>
    <row r="499" spans="1:72" s="1" customFormat="1" x14ac:dyDescent="0.35">
      <c r="A499" s="47" t="str">
        <f t="shared" si="629"/>
        <v>Net CFF</v>
      </c>
      <c r="B499" s="360"/>
      <c r="C499" s="573">
        <f t="shared" ref="C499:AH499" si="676">SUM(C480:C498)</f>
        <v>-4.504999999999999</v>
      </c>
      <c r="D499" s="573">
        <f t="shared" si="676"/>
        <v>-3.7930000000000015</v>
      </c>
      <c r="E499" s="573">
        <f t="shared" si="676"/>
        <v>-1.9299999999999988</v>
      </c>
      <c r="F499" s="573">
        <f t="shared" si="676"/>
        <v>2.016</v>
      </c>
      <c r="G499" s="573">
        <f t="shared" si="676"/>
        <v>3.7000000000000144E-2</v>
      </c>
      <c r="H499" s="573">
        <f t="shared" si="676"/>
        <v>-14.277999999999999</v>
      </c>
      <c r="I499" s="573">
        <f t="shared" si="676"/>
        <v>-26.058999999999997</v>
      </c>
      <c r="J499" s="573">
        <f t="shared" si="676"/>
        <v>-23.102000000000004</v>
      </c>
      <c r="K499" s="573">
        <f t="shared" si="676"/>
        <v>-33.295000000000002</v>
      </c>
      <c r="L499" s="573">
        <f t="shared" si="676"/>
        <v>-5.944</v>
      </c>
      <c r="M499" s="573">
        <f t="shared" si="676"/>
        <v>-5.8229999999999977</v>
      </c>
      <c r="N499" s="573">
        <f t="shared" si="676"/>
        <v>-5.3300000000000018</v>
      </c>
      <c r="O499" s="573">
        <f t="shared" si="676"/>
        <v>-6.8489999999999993</v>
      </c>
      <c r="P499" s="573">
        <f t="shared" si="676"/>
        <v>-4.8409999999999993</v>
      </c>
      <c r="Q499" s="573">
        <f t="shared" si="676"/>
        <v>-4.7740000000000018</v>
      </c>
      <c r="R499" s="573">
        <f t="shared" si="676"/>
        <v>-4.3120000000000003</v>
      </c>
      <c r="S499" s="573">
        <f t="shared" si="676"/>
        <v>-4.9349999999999996</v>
      </c>
      <c r="T499" s="573">
        <f t="shared" si="676"/>
        <v>-4.1439999999999992</v>
      </c>
      <c r="U499" s="573">
        <f t="shared" si="676"/>
        <v>-5.2679999999999998</v>
      </c>
      <c r="V499" s="573">
        <f t="shared" si="676"/>
        <v>-0.29699999999999926</v>
      </c>
      <c r="W499" s="573">
        <f t="shared" si="676"/>
        <v>-7.7780000000000005</v>
      </c>
      <c r="X499" s="573">
        <f t="shared" si="676"/>
        <v>-4.9079999999999995</v>
      </c>
      <c r="Y499" s="573">
        <f t="shared" si="676"/>
        <v>-7.2060000000000013</v>
      </c>
      <c r="Z499" s="573">
        <f t="shared" si="676"/>
        <v>-31.009</v>
      </c>
      <c r="AA499" s="573">
        <f t="shared" si="676"/>
        <v>-9.58</v>
      </c>
      <c r="AB499" s="573">
        <f t="shared" si="676"/>
        <v>-4.2149999999999999</v>
      </c>
      <c r="AC499" s="573">
        <f t="shared" si="676"/>
        <v>-8.6030000000000015</v>
      </c>
      <c r="AD499" s="573">
        <f t="shared" si="676"/>
        <v>-6.5909999999999993</v>
      </c>
      <c r="AE499" s="573">
        <f t="shared" si="676"/>
        <v>-12.116</v>
      </c>
      <c r="AF499" s="573">
        <f t="shared" si="676"/>
        <v>-7.677999999999999</v>
      </c>
      <c r="AG499" s="573">
        <f t="shared" si="676"/>
        <v>91.734999999999999</v>
      </c>
      <c r="AH499" s="573">
        <f t="shared" si="676"/>
        <v>-6.3129999999999997</v>
      </c>
      <c r="AI499" s="573">
        <f t="shared" ref="AI499:AX499" si="677">SUM(AI480:AI498)</f>
        <v>226.70600000000002</v>
      </c>
      <c r="AJ499" s="573">
        <f t="shared" si="677"/>
        <v>-6.594999999999974</v>
      </c>
      <c r="AK499" s="573">
        <f t="shared" si="677"/>
        <v>-7.9910000000000005</v>
      </c>
      <c r="AL499" s="573">
        <f t="shared" si="677"/>
        <v>-7.5439999999999996</v>
      </c>
      <c r="AM499" s="573">
        <f t="shared" si="677"/>
        <v>-12.817</v>
      </c>
      <c r="AN499" s="573">
        <f t="shared" si="677"/>
        <v>-44.943000000000005</v>
      </c>
      <c r="AO499" s="573">
        <f t="shared" si="677"/>
        <v>-11.088999999999999</v>
      </c>
      <c r="AP499" s="573">
        <f t="shared" si="677"/>
        <v>-24.460999999999999</v>
      </c>
      <c r="AQ499" s="573">
        <f t="shared" si="677"/>
        <v>-25.232999999999997</v>
      </c>
      <c r="AR499" s="573">
        <f t="shared" si="677"/>
        <v>-12.052999999999999</v>
      </c>
      <c r="AS499" s="573">
        <f t="shared" si="677"/>
        <v>-13.892000000000001</v>
      </c>
      <c r="AT499" s="573">
        <f t="shared" si="677"/>
        <v>-12.323000000000004</v>
      </c>
      <c r="AU499" s="577">
        <f t="shared" si="677"/>
        <v>-13.811</v>
      </c>
      <c r="AV499" s="572">
        <f t="shared" ca="1" si="677"/>
        <v>0</v>
      </c>
      <c r="AW499" s="572">
        <f t="shared" ca="1" si="677"/>
        <v>0</v>
      </c>
      <c r="AX499" s="572">
        <f t="shared" ca="1" si="677"/>
        <v>0</v>
      </c>
      <c r="AY499" s="572"/>
      <c r="AZ499" s="735">
        <f t="shared" ref="AZ499:BS499" si="678">SUM(AZ480:AZ498)</f>
        <v>15.020000000000001</v>
      </c>
      <c r="BA499" s="735">
        <f t="shared" si="678"/>
        <v>1.8710000000000002</v>
      </c>
      <c r="BB499" s="735">
        <f t="shared" si="678"/>
        <v>127.13800000000001</v>
      </c>
      <c r="BC499" s="735">
        <f t="shared" si="678"/>
        <v>-19.767000000000003</v>
      </c>
      <c r="BD499" s="735">
        <f t="shared" si="678"/>
        <v>-8.2119999999999997</v>
      </c>
      <c r="BE499" s="735">
        <f t="shared" si="678"/>
        <v>-63.402000000000008</v>
      </c>
      <c r="BF499" s="735">
        <f t="shared" si="678"/>
        <v>-50.392000000000003</v>
      </c>
      <c r="BG499" s="735">
        <f t="shared" si="678"/>
        <v>-20.776000000000003</v>
      </c>
      <c r="BH499" s="735">
        <f t="shared" si="678"/>
        <v>-14.643999999999998</v>
      </c>
      <c r="BI499" s="735">
        <f t="shared" si="678"/>
        <v>-50.901000000000003</v>
      </c>
      <c r="BJ499" s="735">
        <f t="shared" si="678"/>
        <v>-28.988999999999997</v>
      </c>
      <c r="BK499" s="735">
        <f t="shared" si="678"/>
        <v>65.628</v>
      </c>
      <c r="BL499" s="735">
        <f t="shared" si="678"/>
        <v>204.57600000000002</v>
      </c>
      <c r="BM499" s="735">
        <f t="shared" si="678"/>
        <v>-93.31</v>
      </c>
      <c r="BN499" s="749">
        <f t="shared" si="678"/>
        <v>-63.501000000000005</v>
      </c>
      <c r="BO499" s="734">
        <f t="shared" ca="1" si="678"/>
        <v>-13.811</v>
      </c>
      <c r="BP499" s="734" t="e">
        <f t="shared" si="678"/>
        <v>#REF!</v>
      </c>
      <c r="BQ499" s="734" t="e">
        <f t="shared" si="678"/>
        <v>#REF!</v>
      </c>
      <c r="BR499" s="734" t="e">
        <f t="shared" ca="1" si="678"/>
        <v>#REF!</v>
      </c>
      <c r="BS499" s="734" t="e">
        <f t="shared" ca="1" si="678"/>
        <v>#REF!</v>
      </c>
      <c r="BT499" s="530"/>
    </row>
    <row r="500" spans="1:72" s="1" customFormat="1" x14ac:dyDescent="0.35">
      <c r="A500" s="354"/>
      <c r="B500" s="307"/>
      <c r="C500" s="529"/>
      <c r="D500" s="529"/>
      <c r="E500" s="529"/>
      <c r="F500" s="529"/>
      <c r="G500" s="529"/>
      <c r="H500" s="529"/>
      <c r="I500" s="529"/>
      <c r="J500" s="529"/>
      <c r="K500" s="529"/>
      <c r="L500" s="529"/>
      <c r="M500" s="529"/>
      <c r="N500" s="529"/>
      <c r="O500" s="529"/>
      <c r="P500" s="529"/>
      <c r="Q500" s="529"/>
      <c r="R500" s="529"/>
      <c r="S500" s="529"/>
      <c r="T500" s="529"/>
      <c r="U500" s="529"/>
      <c r="V500" s="529"/>
      <c r="W500" s="529"/>
      <c r="X500" s="529"/>
      <c r="Y500" s="529"/>
      <c r="Z500" s="529"/>
      <c r="AA500" s="529"/>
      <c r="AB500" s="529"/>
      <c r="AC500" s="529"/>
      <c r="AD500" s="529"/>
      <c r="AE500" s="529"/>
      <c r="AF500" s="529"/>
      <c r="AG500" s="529"/>
      <c r="AH500" s="529"/>
      <c r="AI500" s="529"/>
      <c r="AJ500" s="529"/>
      <c r="AK500" s="529"/>
      <c r="AL500" s="529"/>
      <c r="AM500" s="529"/>
      <c r="AN500" s="529"/>
      <c r="AO500" s="529"/>
      <c r="AP500" s="529"/>
      <c r="AQ500" s="529"/>
      <c r="AR500" s="529"/>
      <c r="AS500" s="529"/>
      <c r="AT500" s="529"/>
      <c r="AU500" s="531"/>
      <c r="AV500" s="529"/>
      <c r="AW500" s="529"/>
      <c r="AX500" s="529"/>
      <c r="AY500" s="529"/>
      <c r="AZ500" s="726"/>
      <c r="BA500" s="726"/>
      <c r="BB500" s="726"/>
      <c r="BC500" s="726"/>
      <c r="BD500" s="726"/>
      <c r="BE500" s="726"/>
      <c r="BF500" s="726"/>
      <c r="BG500" s="726"/>
      <c r="BH500" s="726"/>
      <c r="BI500" s="726"/>
      <c r="BJ500" s="726"/>
      <c r="BK500" s="726"/>
      <c r="BL500" s="726"/>
      <c r="BM500" s="726"/>
      <c r="BN500" s="728"/>
      <c r="BO500" s="726"/>
      <c r="BP500" s="726"/>
      <c r="BQ500" s="726"/>
      <c r="BR500" s="726"/>
      <c r="BS500" s="726"/>
      <c r="BT500" s="530"/>
    </row>
    <row r="501" spans="1:72" s="17" customFormat="1" x14ac:dyDescent="0.35">
      <c r="A501" s="48" t="str">
        <f>A409</f>
        <v>FX</v>
      </c>
      <c r="B501" s="308"/>
      <c r="C501" s="533">
        <f>C409</f>
        <v>0.249</v>
      </c>
      <c r="D501" s="533">
        <f>D409-C409</f>
        <v>0.32199999999999995</v>
      </c>
      <c r="E501" s="533">
        <f>E409-D409</f>
        <v>-0.5139999999999999</v>
      </c>
      <c r="F501" s="533">
        <f>F409-E409</f>
        <v>3.4999999999999996E-2</v>
      </c>
      <c r="G501" s="533">
        <f>G409</f>
        <v>0.57199999999999995</v>
      </c>
      <c r="H501" s="533">
        <f>H409-G409</f>
        <v>0.2360000000000001</v>
      </c>
      <c r="I501" s="533">
        <f>I409-H409</f>
        <v>7.0999999999999952E-2</v>
      </c>
      <c r="J501" s="533">
        <f>J409-I409</f>
        <v>8.2999999999999963E-2</v>
      </c>
      <c r="K501" s="533">
        <f>K409</f>
        <v>-1.1020000000000001</v>
      </c>
      <c r="L501" s="533">
        <f>L409-K409</f>
        <v>-0.98399999999999976</v>
      </c>
      <c r="M501" s="533">
        <f>M409-L409</f>
        <v>-5.8000000000000274E-2</v>
      </c>
      <c r="N501" s="533">
        <f>N409-M409</f>
        <v>0.44600000000000017</v>
      </c>
      <c r="O501" s="533">
        <f>O409</f>
        <v>-7.0000000000000001E-3</v>
      </c>
      <c r="P501" s="533">
        <f>P409-O409</f>
        <v>-1.0999999999999999E-2</v>
      </c>
      <c r="Q501" s="533">
        <f>Q409-P409</f>
        <v>9.9999999999999742E-4</v>
      </c>
      <c r="R501" s="533">
        <f>R409-Q409</f>
        <v>5.000000000000001E-3</v>
      </c>
      <c r="S501" s="533">
        <f>S409</f>
        <v>-8.0000000000000002E-3</v>
      </c>
      <c r="T501" s="533">
        <f>T409-S409</f>
        <v>-9.9999999999999985E-3</v>
      </c>
      <c r="U501" s="533">
        <f>U409-T409</f>
        <v>5.9999999999999984E-3</v>
      </c>
      <c r="V501" s="533">
        <f>V409-U409</f>
        <v>1.0000000000000009E-3</v>
      </c>
      <c r="W501" s="533">
        <f>W409</f>
        <v>0</v>
      </c>
      <c r="X501" s="533">
        <f>X409-W409</f>
        <v>0</v>
      </c>
      <c r="Y501" s="533">
        <f>Y409-X409</f>
        <v>0</v>
      </c>
      <c r="Z501" s="533">
        <f>Z409-Y409</f>
        <v>0</v>
      </c>
      <c r="AA501" s="533">
        <f>AA409</f>
        <v>0</v>
      </c>
      <c r="AB501" s="533">
        <f>AB409-AA409</f>
        <v>0</v>
      </c>
      <c r="AC501" s="533">
        <f>AC409-AB409</f>
        <v>0</v>
      </c>
      <c r="AD501" s="533">
        <f>AD409-AC409</f>
        <v>0</v>
      </c>
      <c r="AE501" s="533">
        <f>AE409</f>
        <v>0</v>
      </c>
      <c r="AF501" s="533">
        <f>AF409-AE409</f>
        <v>0</v>
      </c>
      <c r="AG501" s="533">
        <f>AG409-AF409</f>
        <v>0</v>
      </c>
      <c r="AH501" s="533">
        <f>AH409-AG409</f>
        <v>0</v>
      </c>
      <c r="AI501" s="533">
        <f>AI409</f>
        <v>0</v>
      </c>
      <c r="AJ501" s="533">
        <f>AJ409-AI409</f>
        <v>0</v>
      </c>
      <c r="AK501" s="533">
        <f>AK409-AJ409</f>
        <v>0</v>
      </c>
      <c r="AL501" s="533">
        <f>AL409-AK409</f>
        <v>0</v>
      </c>
      <c r="AM501" s="533">
        <f>AM409</f>
        <v>0</v>
      </c>
      <c r="AN501" s="533">
        <f>AN409-AM409</f>
        <v>0</v>
      </c>
      <c r="AO501" s="533">
        <f>AO409-AN409</f>
        <v>0</v>
      </c>
      <c r="AP501" s="533">
        <f>AP409-AO409</f>
        <v>0</v>
      </c>
      <c r="AQ501" s="533">
        <f>AQ409</f>
        <v>0</v>
      </c>
      <c r="AR501" s="533">
        <f>AR409-AQ409</f>
        <v>0</v>
      </c>
      <c r="AS501" s="533">
        <f>AS409-AR409</f>
        <v>0</v>
      </c>
      <c r="AT501" s="533">
        <f>AT409-AS409</f>
        <v>0</v>
      </c>
      <c r="AU501" s="576">
        <f>AU409</f>
        <v>0</v>
      </c>
      <c r="AV501" s="638">
        <v>0</v>
      </c>
      <c r="AW501" s="638">
        <v>0</v>
      </c>
      <c r="AX501" s="638">
        <v>0</v>
      </c>
      <c r="AY501" s="585"/>
      <c r="AZ501" s="755">
        <f t="shared" ref="AZ501:BN501" si="679">AZ409</f>
        <v>0</v>
      </c>
      <c r="BA501" s="755">
        <f t="shared" si="679"/>
        <v>0</v>
      </c>
      <c r="BB501" s="755">
        <f t="shared" si="679"/>
        <v>2.8000000000000001E-2</v>
      </c>
      <c r="BC501" s="755">
        <f t="shared" si="679"/>
        <v>-0.43</v>
      </c>
      <c r="BD501" s="755">
        <f t="shared" si="679"/>
        <v>9.1999999999999998E-2</v>
      </c>
      <c r="BE501" s="755">
        <f t="shared" si="679"/>
        <v>0.96199999999999997</v>
      </c>
      <c r="BF501" s="755">
        <f t="shared" si="679"/>
        <v>-1.698</v>
      </c>
      <c r="BG501" s="755">
        <f t="shared" si="679"/>
        <v>-1.2E-2</v>
      </c>
      <c r="BH501" s="755">
        <f t="shared" si="679"/>
        <v>-1.0999999999999999E-2</v>
      </c>
      <c r="BI501" s="755">
        <f t="shared" si="679"/>
        <v>0</v>
      </c>
      <c r="BJ501" s="755">
        <f t="shared" si="679"/>
        <v>0</v>
      </c>
      <c r="BK501" s="755">
        <f t="shared" si="679"/>
        <v>0</v>
      </c>
      <c r="BL501" s="755">
        <f t="shared" si="679"/>
        <v>0</v>
      </c>
      <c r="BM501" s="755">
        <f t="shared" si="679"/>
        <v>0</v>
      </c>
      <c r="BN501" s="756">
        <f t="shared" si="679"/>
        <v>0</v>
      </c>
      <c r="BO501" s="156">
        <f>SUM(AU501,AV501,AW501,AX501)</f>
        <v>0</v>
      </c>
      <c r="BP501" s="156" t="e">
        <f>SUM(#REF!,#REF!,#REF!,#REF!)</f>
        <v>#REF!</v>
      </c>
      <c r="BQ501" s="729">
        <v>0</v>
      </c>
      <c r="BR501" s="729">
        <v>0</v>
      </c>
      <c r="BS501" s="729">
        <v>0</v>
      </c>
      <c r="BT501" s="533"/>
    </row>
    <row r="502" spans="1:72" s="1" customFormat="1" x14ac:dyDescent="0.35">
      <c r="A502" s="51" t="str">
        <f>A410</f>
        <v>Net Change in Cash Balance</v>
      </c>
      <c r="B502" s="307"/>
      <c r="C502" s="530">
        <f t="shared" ref="C502:AH502" si="680">C499+C477+C449+C501</f>
        <v>-36.713999999999999</v>
      </c>
      <c r="D502" s="530">
        <f t="shared" si="680"/>
        <v>35.254000000000005</v>
      </c>
      <c r="E502" s="530">
        <f t="shared" si="680"/>
        <v>13.775999999999996</v>
      </c>
      <c r="F502" s="530">
        <f t="shared" si="680"/>
        <v>24.511999999999997</v>
      </c>
      <c r="G502" s="530">
        <f t="shared" si="680"/>
        <v>-18.006000000000025</v>
      </c>
      <c r="H502" s="530">
        <f t="shared" si="680"/>
        <v>-0.5849999999999943</v>
      </c>
      <c r="I502" s="530">
        <f t="shared" si="680"/>
        <v>22.442999999999994</v>
      </c>
      <c r="J502" s="530">
        <f t="shared" si="680"/>
        <v>10.776999999999992</v>
      </c>
      <c r="K502" s="530">
        <f t="shared" si="680"/>
        <v>-86.913000000000011</v>
      </c>
      <c r="L502" s="530">
        <f t="shared" si="680"/>
        <v>15.038000000000013</v>
      </c>
      <c r="M502" s="530">
        <f t="shared" si="680"/>
        <v>18.616000000000007</v>
      </c>
      <c r="N502" s="530">
        <f t="shared" si="680"/>
        <v>53.00200000000001</v>
      </c>
      <c r="O502" s="530">
        <f t="shared" si="680"/>
        <v>-44.987999999999992</v>
      </c>
      <c r="P502" s="530">
        <f t="shared" si="680"/>
        <v>20.413</v>
      </c>
      <c r="Q502" s="530">
        <f t="shared" si="680"/>
        <v>28.230999999999995</v>
      </c>
      <c r="R502" s="530">
        <f t="shared" si="680"/>
        <v>14.480999999999986</v>
      </c>
      <c r="S502" s="530">
        <f t="shared" si="680"/>
        <v>-78.900999999999996</v>
      </c>
      <c r="T502" s="530">
        <f t="shared" si="680"/>
        <v>47.057999999999986</v>
      </c>
      <c r="U502" s="530">
        <f t="shared" si="680"/>
        <v>12.561999999999998</v>
      </c>
      <c r="V502" s="530">
        <f t="shared" si="680"/>
        <v>36.155999999999985</v>
      </c>
      <c r="W502" s="530">
        <f t="shared" si="680"/>
        <v>-83.52200000000002</v>
      </c>
      <c r="X502" s="530">
        <f t="shared" si="680"/>
        <v>42.16</v>
      </c>
      <c r="Y502" s="530">
        <f t="shared" si="680"/>
        <v>38.404999999999994</v>
      </c>
      <c r="Z502" s="530">
        <f t="shared" si="680"/>
        <v>5.2060000000000031</v>
      </c>
      <c r="AA502" s="530">
        <f t="shared" si="680"/>
        <v>-88.063999999999993</v>
      </c>
      <c r="AB502" s="530">
        <f t="shared" si="680"/>
        <v>60.225999999999999</v>
      </c>
      <c r="AC502" s="530">
        <f t="shared" si="680"/>
        <v>30.75</v>
      </c>
      <c r="AD502" s="530">
        <f t="shared" si="680"/>
        <v>48.595999999999997</v>
      </c>
      <c r="AE502" s="530">
        <f t="shared" si="680"/>
        <v>-117.17699999999999</v>
      </c>
      <c r="AF502" s="530">
        <f t="shared" si="680"/>
        <v>45.69700000000001</v>
      </c>
      <c r="AG502" s="530">
        <f t="shared" si="680"/>
        <v>-61.606999999999999</v>
      </c>
      <c r="AH502" s="530">
        <f t="shared" si="680"/>
        <v>61.765000000000001</v>
      </c>
      <c r="AI502" s="530">
        <f t="shared" ref="AI502:AX502" si="681">AI499+AI477+AI449+AI501</f>
        <v>96.485000000000028</v>
      </c>
      <c r="AJ502" s="530">
        <f t="shared" si="681"/>
        <v>-50.60599999999998</v>
      </c>
      <c r="AK502" s="530">
        <f t="shared" si="681"/>
        <v>70.855000000000018</v>
      </c>
      <c r="AL502" s="530">
        <f t="shared" si="681"/>
        <v>56.549000000000007</v>
      </c>
      <c r="AM502" s="530">
        <f t="shared" si="681"/>
        <v>-167.55799999999999</v>
      </c>
      <c r="AN502" s="530">
        <f t="shared" si="681"/>
        <v>38.467000000000013</v>
      </c>
      <c r="AO502" s="530">
        <f t="shared" si="681"/>
        <v>51.072999999999986</v>
      </c>
      <c r="AP502" s="530">
        <f t="shared" si="681"/>
        <v>80.833999999999989</v>
      </c>
      <c r="AQ502" s="530">
        <f t="shared" si="681"/>
        <v>-194.87399999999997</v>
      </c>
      <c r="AR502" s="530">
        <f t="shared" si="681"/>
        <v>123.75500000000002</v>
      </c>
      <c r="AS502" s="530">
        <f t="shared" si="681"/>
        <v>55.399000000000001</v>
      </c>
      <c r="AT502" s="530">
        <f t="shared" si="681"/>
        <v>37.129000000000019</v>
      </c>
      <c r="AU502" s="575">
        <f t="shared" si="681"/>
        <v>-156.18100000000004</v>
      </c>
      <c r="AV502" s="529">
        <f t="shared" ca="1" si="681"/>
        <v>173.97642402342149</v>
      </c>
      <c r="AW502" s="529">
        <f t="shared" ca="1" si="681"/>
        <v>83.980340145147736</v>
      </c>
      <c r="AX502" s="529">
        <f t="shared" ca="1" si="681"/>
        <v>88.821362176019022</v>
      </c>
      <c r="AY502" s="529"/>
      <c r="AZ502" s="750">
        <f t="shared" ref="AZ502:BS502" si="682">AZ499+AZ477+AZ449+AZ501</f>
        <v>-22.220999999999997</v>
      </c>
      <c r="BA502" s="750">
        <f t="shared" si="682"/>
        <v>32.29</v>
      </c>
      <c r="BB502" s="750">
        <f t="shared" si="682"/>
        <v>111.348</v>
      </c>
      <c r="BC502" s="750">
        <f t="shared" si="682"/>
        <v>-48.447000000000024</v>
      </c>
      <c r="BD502" s="750">
        <f t="shared" si="682"/>
        <v>36.827999999999975</v>
      </c>
      <c r="BE502" s="750">
        <f t="shared" si="682"/>
        <v>14.628999999999987</v>
      </c>
      <c r="BF502" s="750">
        <f t="shared" si="682"/>
        <v>-0.25699999999998324</v>
      </c>
      <c r="BG502" s="750">
        <f t="shared" si="682"/>
        <v>18.136999999999972</v>
      </c>
      <c r="BH502" s="750">
        <f t="shared" si="682"/>
        <v>16.874999999999982</v>
      </c>
      <c r="BI502" s="750">
        <f t="shared" si="682"/>
        <v>2.248999999999981</v>
      </c>
      <c r="BJ502" s="750">
        <f t="shared" si="682"/>
        <v>51.507999999999996</v>
      </c>
      <c r="BK502" s="750">
        <f t="shared" si="682"/>
        <v>-71.322000000000031</v>
      </c>
      <c r="BL502" s="750">
        <f t="shared" si="682"/>
        <v>173.28300000000002</v>
      </c>
      <c r="BM502" s="750">
        <f t="shared" si="682"/>
        <v>2.8159999999999741</v>
      </c>
      <c r="BN502" s="751">
        <f t="shared" si="682"/>
        <v>21.409000000000049</v>
      </c>
      <c r="BO502" s="726">
        <f t="shared" ca="1" si="682"/>
        <v>190.59712634458836</v>
      </c>
      <c r="BP502" s="726" t="e">
        <f t="shared" si="682"/>
        <v>#REF!</v>
      </c>
      <c r="BQ502" s="726" t="e">
        <f t="shared" si="682"/>
        <v>#REF!</v>
      </c>
      <c r="BR502" s="726" t="e">
        <f t="shared" ca="1" si="682"/>
        <v>#REF!</v>
      </c>
      <c r="BS502" s="726" t="e">
        <f t="shared" ca="1" si="682"/>
        <v>#REF!</v>
      </c>
      <c r="BT502" s="530"/>
    </row>
    <row r="503" spans="1:72" s="1" customFormat="1" x14ac:dyDescent="0.35">
      <c r="A503" s="354"/>
      <c r="B503" s="307"/>
      <c r="C503" s="529"/>
      <c r="D503" s="529"/>
      <c r="E503" s="529"/>
      <c r="F503" s="529"/>
      <c r="G503" s="529"/>
      <c r="H503" s="529"/>
      <c r="I503" s="529"/>
      <c r="J503" s="529"/>
      <c r="K503" s="529"/>
      <c r="L503" s="529"/>
      <c r="M503" s="529"/>
      <c r="N503" s="529"/>
      <c r="O503" s="529"/>
      <c r="P503" s="529"/>
      <c r="Q503" s="529"/>
      <c r="R503" s="529"/>
      <c r="S503" s="529"/>
      <c r="T503" s="529"/>
      <c r="U503" s="529"/>
      <c r="V503" s="529"/>
      <c r="W503" s="529"/>
      <c r="X503" s="529"/>
      <c r="Y503" s="529"/>
      <c r="Z503" s="529"/>
      <c r="AA503" s="529"/>
      <c r="AB503" s="529"/>
      <c r="AC503" s="529"/>
      <c r="AD503" s="529"/>
      <c r="AE503" s="529"/>
      <c r="AF503" s="529"/>
      <c r="AG503" s="529"/>
      <c r="AH503" s="529"/>
      <c r="AI503" s="529"/>
      <c r="AJ503" s="529"/>
      <c r="AK503" s="529"/>
      <c r="AL503" s="529"/>
      <c r="AM503" s="529"/>
      <c r="AN503" s="529"/>
      <c r="AO503" s="529"/>
      <c r="AP503" s="529"/>
      <c r="AQ503" s="529"/>
      <c r="AR503" s="529"/>
      <c r="AS503" s="529"/>
      <c r="AT503" s="529"/>
      <c r="AU503" s="531"/>
      <c r="AV503" s="529"/>
      <c r="AW503" s="529"/>
      <c r="AX503" s="529"/>
      <c r="AY503" s="529"/>
      <c r="AZ503" s="726"/>
      <c r="BA503" s="726"/>
      <c r="BB503" s="726"/>
      <c r="BC503" s="726"/>
      <c r="BD503" s="726"/>
      <c r="BE503" s="726"/>
      <c r="BF503" s="726"/>
      <c r="BG503" s="726"/>
      <c r="BH503" s="726"/>
      <c r="BI503" s="726"/>
      <c r="BJ503" s="726"/>
      <c r="BK503" s="726"/>
      <c r="BL503" s="726"/>
      <c r="BM503" s="726"/>
      <c r="BN503" s="728"/>
      <c r="BO503" s="726"/>
      <c r="BP503" s="726"/>
      <c r="BQ503" s="726"/>
      <c r="BR503" s="726"/>
      <c r="BS503" s="726"/>
      <c r="BT503" s="530"/>
    </row>
    <row r="504" spans="1:72" s="1" customFormat="1" x14ac:dyDescent="0.35">
      <c r="A504" s="51" t="str">
        <f>A412</f>
        <v>Beginning Cash Balance</v>
      </c>
      <c r="B504" s="307"/>
      <c r="C504" s="530">
        <f>BC505</f>
        <v>144.65199999999996</v>
      </c>
      <c r="D504" s="530">
        <f>C505</f>
        <v>107.93799999999996</v>
      </c>
      <c r="E504" s="530">
        <f>D505</f>
        <v>143.19199999999995</v>
      </c>
      <c r="F504" s="530">
        <f>E505</f>
        <v>156.96799999999996</v>
      </c>
      <c r="G504" s="530">
        <f>BD505</f>
        <v>181.47999999999993</v>
      </c>
      <c r="H504" s="530">
        <f>G505</f>
        <v>163.4739999999999</v>
      </c>
      <c r="I504" s="530">
        <f>H505</f>
        <v>162.8889999999999</v>
      </c>
      <c r="J504" s="530">
        <f>I505</f>
        <v>185.33199999999988</v>
      </c>
      <c r="K504" s="530">
        <f>BE505</f>
        <v>196.10899999999992</v>
      </c>
      <c r="L504" s="530">
        <f>K505</f>
        <v>109.19599999999991</v>
      </c>
      <c r="M504" s="530">
        <f>L505</f>
        <v>124.23399999999992</v>
      </c>
      <c r="N504" s="530">
        <f>M505</f>
        <v>142.84999999999994</v>
      </c>
      <c r="O504" s="530">
        <f>BF505</f>
        <v>195.85199999999995</v>
      </c>
      <c r="P504" s="530">
        <f>O505</f>
        <v>150.86399999999995</v>
      </c>
      <c r="Q504" s="530">
        <f>P505</f>
        <v>171.27699999999996</v>
      </c>
      <c r="R504" s="530">
        <f>Q505</f>
        <v>199.50799999999995</v>
      </c>
      <c r="S504" s="530">
        <f>BG505</f>
        <v>213.98899999999992</v>
      </c>
      <c r="T504" s="530">
        <f>S505</f>
        <v>135.08799999999991</v>
      </c>
      <c r="U504" s="530">
        <f>T505</f>
        <v>182.1459999999999</v>
      </c>
      <c r="V504" s="530">
        <f>U505</f>
        <v>194.70799999999991</v>
      </c>
      <c r="W504" s="530">
        <f>BH505</f>
        <v>230.86399999999989</v>
      </c>
      <c r="X504" s="530">
        <f>W505</f>
        <v>147.34199999999987</v>
      </c>
      <c r="Y504" s="530">
        <f>X505</f>
        <v>189.50199999999987</v>
      </c>
      <c r="Z504" s="530">
        <f>Y505</f>
        <v>227.90699999999987</v>
      </c>
      <c r="AA504" s="530">
        <f>BI505</f>
        <v>233.11299999999989</v>
      </c>
      <c r="AB504" s="530">
        <f>AA505</f>
        <v>145.04899999999989</v>
      </c>
      <c r="AC504" s="530">
        <f>AB505</f>
        <v>205.27499999999989</v>
      </c>
      <c r="AD504" s="530">
        <f>AC505</f>
        <v>236.02499999999989</v>
      </c>
      <c r="AE504" s="530">
        <f>BJ505</f>
        <v>284.62099999999987</v>
      </c>
      <c r="AF504" s="530">
        <f>AE505</f>
        <v>167.44399999999987</v>
      </c>
      <c r="AG504" s="530">
        <f>AF505</f>
        <v>213.14099999999988</v>
      </c>
      <c r="AH504" s="530">
        <f>AG505</f>
        <v>151.53399999999988</v>
      </c>
      <c r="AI504" s="530">
        <f>BK505</f>
        <v>213.29899999999984</v>
      </c>
      <c r="AJ504" s="530">
        <f>AI505</f>
        <v>309.78399999999988</v>
      </c>
      <c r="AK504" s="530">
        <f>AJ505</f>
        <v>259.17799999999988</v>
      </c>
      <c r="AL504" s="530">
        <f>AK505</f>
        <v>330.0329999999999</v>
      </c>
      <c r="AM504" s="530">
        <f>BL505</f>
        <v>386.58199999999988</v>
      </c>
      <c r="AN504" s="530">
        <f>AM505</f>
        <v>219.02399999999989</v>
      </c>
      <c r="AO504" s="530">
        <f>AN505</f>
        <v>257.49099999999987</v>
      </c>
      <c r="AP504" s="530">
        <f>AO505</f>
        <v>308.56399999999985</v>
      </c>
      <c r="AQ504" s="530">
        <f>BM505</f>
        <v>389.39799999999985</v>
      </c>
      <c r="AR504" s="530">
        <f>AQ505</f>
        <v>194.52399999999989</v>
      </c>
      <c r="AS504" s="530">
        <f>AR505</f>
        <v>318.27899999999988</v>
      </c>
      <c r="AT504" s="530">
        <f>AS505</f>
        <v>373.67799999999988</v>
      </c>
      <c r="AU504" s="575">
        <f>BN505</f>
        <v>410.8069999999999</v>
      </c>
      <c r="AV504" s="529">
        <f>AU505</f>
        <v>254.62599999999986</v>
      </c>
      <c r="AW504" s="529">
        <f ca="1">AV505</f>
        <v>428.60242402342135</v>
      </c>
      <c r="AX504" s="529">
        <f ca="1">AW505</f>
        <v>512.58276416856904</v>
      </c>
      <c r="AY504" s="529"/>
      <c r="AZ504" s="750">
        <f>AZ412</f>
        <v>71.682000000000002</v>
      </c>
      <c r="BA504" s="750">
        <f t="shared" ref="BA504:BS504" si="683">AZ505</f>
        <v>49.461000000000006</v>
      </c>
      <c r="BB504" s="750">
        <f t="shared" si="683"/>
        <v>81.751000000000005</v>
      </c>
      <c r="BC504" s="750">
        <f t="shared" si="683"/>
        <v>193.09899999999999</v>
      </c>
      <c r="BD504" s="750">
        <f t="shared" si="683"/>
        <v>144.65199999999996</v>
      </c>
      <c r="BE504" s="750">
        <f t="shared" si="683"/>
        <v>181.47999999999993</v>
      </c>
      <c r="BF504" s="750">
        <f t="shared" si="683"/>
        <v>196.10899999999992</v>
      </c>
      <c r="BG504" s="750">
        <f t="shared" si="683"/>
        <v>195.85199999999995</v>
      </c>
      <c r="BH504" s="750">
        <f t="shared" si="683"/>
        <v>213.98899999999992</v>
      </c>
      <c r="BI504" s="750">
        <f t="shared" si="683"/>
        <v>230.86399999999989</v>
      </c>
      <c r="BJ504" s="750">
        <f t="shared" si="683"/>
        <v>233.11299999999989</v>
      </c>
      <c r="BK504" s="750">
        <f t="shared" si="683"/>
        <v>284.62099999999987</v>
      </c>
      <c r="BL504" s="750">
        <f t="shared" si="683"/>
        <v>213.29899999999984</v>
      </c>
      <c r="BM504" s="750">
        <f t="shared" si="683"/>
        <v>386.58199999999988</v>
      </c>
      <c r="BN504" s="751">
        <f t="shared" si="683"/>
        <v>389.39799999999985</v>
      </c>
      <c r="BO504" s="726">
        <f t="shared" si="683"/>
        <v>410.8069999999999</v>
      </c>
      <c r="BP504" s="726">
        <f t="shared" ca="1" si="683"/>
        <v>601.40412634458824</v>
      </c>
      <c r="BQ504" s="726" t="e">
        <f t="shared" ca="1" si="683"/>
        <v>#REF!</v>
      </c>
      <c r="BR504" s="726" t="e">
        <f t="shared" ca="1" si="683"/>
        <v>#REF!</v>
      </c>
      <c r="BS504" s="726" t="e">
        <f t="shared" ca="1" si="683"/>
        <v>#REF!</v>
      </c>
      <c r="BT504" s="530"/>
    </row>
    <row r="505" spans="1:72" s="1" customFormat="1" x14ac:dyDescent="0.35">
      <c r="A505" s="51" t="str">
        <f>A413</f>
        <v>Ending Cash Balance</v>
      </c>
      <c r="B505" s="307"/>
      <c r="C505" s="530">
        <f t="shared" ref="C505:AH505" si="684">C504+C502</f>
        <v>107.93799999999996</v>
      </c>
      <c r="D505" s="530">
        <f t="shared" si="684"/>
        <v>143.19199999999995</v>
      </c>
      <c r="E505" s="530">
        <f t="shared" si="684"/>
        <v>156.96799999999996</v>
      </c>
      <c r="F505" s="530">
        <f t="shared" si="684"/>
        <v>181.47999999999996</v>
      </c>
      <c r="G505" s="530">
        <f t="shared" si="684"/>
        <v>163.4739999999999</v>
      </c>
      <c r="H505" s="530">
        <f t="shared" si="684"/>
        <v>162.8889999999999</v>
      </c>
      <c r="I505" s="530">
        <f t="shared" si="684"/>
        <v>185.33199999999988</v>
      </c>
      <c r="J505" s="530">
        <f t="shared" si="684"/>
        <v>196.10899999999987</v>
      </c>
      <c r="K505" s="530">
        <f t="shared" si="684"/>
        <v>109.19599999999991</v>
      </c>
      <c r="L505" s="530">
        <f t="shared" si="684"/>
        <v>124.23399999999992</v>
      </c>
      <c r="M505" s="530">
        <f t="shared" si="684"/>
        <v>142.84999999999994</v>
      </c>
      <c r="N505" s="530">
        <f t="shared" si="684"/>
        <v>195.85199999999995</v>
      </c>
      <c r="O505" s="530">
        <f t="shared" si="684"/>
        <v>150.86399999999995</v>
      </c>
      <c r="P505" s="530">
        <f t="shared" si="684"/>
        <v>171.27699999999996</v>
      </c>
      <c r="Q505" s="530">
        <f t="shared" si="684"/>
        <v>199.50799999999995</v>
      </c>
      <c r="R505" s="530">
        <f t="shared" si="684"/>
        <v>213.98899999999995</v>
      </c>
      <c r="S505" s="530">
        <f t="shared" si="684"/>
        <v>135.08799999999991</v>
      </c>
      <c r="T505" s="530">
        <f t="shared" si="684"/>
        <v>182.1459999999999</v>
      </c>
      <c r="U505" s="530">
        <f t="shared" si="684"/>
        <v>194.70799999999991</v>
      </c>
      <c r="V505" s="530">
        <f t="shared" si="684"/>
        <v>230.86399999999989</v>
      </c>
      <c r="W505" s="530">
        <f t="shared" si="684"/>
        <v>147.34199999999987</v>
      </c>
      <c r="X505" s="530">
        <f t="shared" si="684"/>
        <v>189.50199999999987</v>
      </c>
      <c r="Y505" s="530">
        <f t="shared" si="684"/>
        <v>227.90699999999987</v>
      </c>
      <c r="Z505" s="530">
        <f t="shared" si="684"/>
        <v>233.11299999999989</v>
      </c>
      <c r="AA505" s="530">
        <f t="shared" si="684"/>
        <v>145.04899999999989</v>
      </c>
      <c r="AB505" s="530">
        <f t="shared" si="684"/>
        <v>205.27499999999989</v>
      </c>
      <c r="AC505" s="530">
        <f t="shared" si="684"/>
        <v>236.02499999999989</v>
      </c>
      <c r="AD505" s="530">
        <f t="shared" si="684"/>
        <v>284.62099999999987</v>
      </c>
      <c r="AE505" s="530">
        <f t="shared" si="684"/>
        <v>167.44399999999987</v>
      </c>
      <c r="AF505" s="530">
        <f t="shared" si="684"/>
        <v>213.14099999999988</v>
      </c>
      <c r="AG505" s="530">
        <f t="shared" si="684"/>
        <v>151.53399999999988</v>
      </c>
      <c r="AH505" s="530">
        <f t="shared" si="684"/>
        <v>213.29899999999986</v>
      </c>
      <c r="AI505" s="530">
        <f t="shared" ref="AI505:AX505" si="685">AI504+AI502</f>
        <v>309.78399999999988</v>
      </c>
      <c r="AJ505" s="530">
        <f t="shared" si="685"/>
        <v>259.17799999999988</v>
      </c>
      <c r="AK505" s="530">
        <f t="shared" si="685"/>
        <v>330.0329999999999</v>
      </c>
      <c r="AL505" s="530">
        <f t="shared" si="685"/>
        <v>386.58199999999988</v>
      </c>
      <c r="AM505" s="530">
        <f t="shared" si="685"/>
        <v>219.02399999999989</v>
      </c>
      <c r="AN505" s="530">
        <f t="shared" si="685"/>
        <v>257.49099999999987</v>
      </c>
      <c r="AO505" s="530">
        <f t="shared" si="685"/>
        <v>308.56399999999985</v>
      </c>
      <c r="AP505" s="530">
        <f t="shared" si="685"/>
        <v>389.39799999999985</v>
      </c>
      <c r="AQ505" s="530">
        <f t="shared" si="685"/>
        <v>194.52399999999989</v>
      </c>
      <c r="AR505" s="530">
        <f t="shared" si="685"/>
        <v>318.27899999999988</v>
      </c>
      <c r="AS505" s="530">
        <f t="shared" si="685"/>
        <v>373.67799999999988</v>
      </c>
      <c r="AT505" s="530">
        <f t="shared" si="685"/>
        <v>410.8069999999999</v>
      </c>
      <c r="AU505" s="575">
        <f t="shared" si="685"/>
        <v>254.62599999999986</v>
      </c>
      <c r="AV505" s="529">
        <f t="shared" ca="1" si="685"/>
        <v>428.60242402342135</v>
      </c>
      <c r="AW505" s="529">
        <f t="shared" ca="1" si="685"/>
        <v>512.58276416856904</v>
      </c>
      <c r="AX505" s="529">
        <f t="shared" ca="1" si="685"/>
        <v>601.40412634458812</v>
      </c>
      <c r="AY505" s="529"/>
      <c r="AZ505" s="750">
        <f t="shared" ref="AZ505:BS505" si="686">AZ504+AZ502</f>
        <v>49.461000000000006</v>
      </c>
      <c r="BA505" s="750">
        <f t="shared" si="686"/>
        <v>81.751000000000005</v>
      </c>
      <c r="BB505" s="750">
        <f t="shared" si="686"/>
        <v>193.09899999999999</v>
      </c>
      <c r="BC505" s="750">
        <f t="shared" si="686"/>
        <v>144.65199999999996</v>
      </c>
      <c r="BD505" s="750">
        <f t="shared" si="686"/>
        <v>181.47999999999993</v>
      </c>
      <c r="BE505" s="750">
        <f t="shared" si="686"/>
        <v>196.10899999999992</v>
      </c>
      <c r="BF505" s="750">
        <f t="shared" si="686"/>
        <v>195.85199999999995</v>
      </c>
      <c r="BG505" s="750">
        <f t="shared" si="686"/>
        <v>213.98899999999992</v>
      </c>
      <c r="BH505" s="750">
        <f t="shared" si="686"/>
        <v>230.86399999999989</v>
      </c>
      <c r="BI505" s="750">
        <f t="shared" si="686"/>
        <v>233.11299999999989</v>
      </c>
      <c r="BJ505" s="750">
        <f t="shared" si="686"/>
        <v>284.62099999999987</v>
      </c>
      <c r="BK505" s="750">
        <f t="shared" si="686"/>
        <v>213.29899999999984</v>
      </c>
      <c r="BL505" s="750">
        <f t="shared" si="686"/>
        <v>386.58199999999988</v>
      </c>
      <c r="BM505" s="750">
        <f t="shared" si="686"/>
        <v>389.39799999999985</v>
      </c>
      <c r="BN505" s="751">
        <f t="shared" si="686"/>
        <v>410.8069999999999</v>
      </c>
      <c r="BO505" s="726">
        <f t="shared" ca="1" si="686"/>
        <v>601.40412634458824</v>
      </c>
      <c r="BP505" s="726" t="e">
        <f t="shared" ca="1" si="686"/>
        <v>#REF!</v>
      </c>
      <c r="BQ505" s="726" t="e">
        <f t="shared" ca="1" si="686"/>
        <v>#REF!</v>
      </c>
      <c r="BR505" s="726" t="e">
        <f t="shared" ca="1" si="686"/>
        <v>#REF!</v>
      </c>
      <c r="BS505" s="726" t="e">
        <f t="shared" ca="1" si="686"/>
        <v>#REF!</v>
      </c>
      <c r="BT505" s="530"/>
    </row>
    <row r="506" spans="1:72" s="1" customFormat="1" x14ac:dyDescent="0.35">
      <c r="A506" s="354"/>
      <c r="B506" s="307"/>
      <c r="C506" s="529"/>
      <c r="D506" s="529"/>
      <c r="E506" s="529"/>
      <c r="F506" s="529"/>
      <c r="G506" s="529"/>
      <c r="H506" s="529"/>
      <c r="I506" s="529"/>
      <c r="J506" s="529"/>
      <c r="K506" s="529"/>
      <c r="L506" s="529"/>
      <c r="M506" s="529"/>
      <c r="N506" s="529"/>
      <c r="O506" s="529"/>
      <c r="P506" s="529"/>
      <c r="Q506" s="529"/>
      <c r="R506" s="529"/>
      <c r="S506" s="529"/>
      <c r="T506" s="529"/>
      <c r="U506" s="529"/>
      <c r="V506" s="529"/>
      <c r="W506" s="529"/>
      <c r="X506" s="529"/>
      <c r="Y506" s="529"/>
      <c r="Z506" s="529"/>
      <c r="AA506" s="529"/>
      <c r="AB506" s="529"/>
      <c r="AC506" s="529"/>
      <c r="AD506" s="529"/>
      <c r="AE506" s="529"/>
      <c r="AF506" s="529"/>
      <c r="AG506" s="529"/>
      <c r="AH506" s="529"/>
      <c r="AI506" s="529"/>
      <c r="AJ506" s="529"/>
      <c r="AK506" s="529"/>
      <c r="AL506" s="529"/>
      <c r="AM506" s="529"/>
      <c r="AN506" s="529"/>
      <c r="AO506" s="529"/>
      <c r="AP506" s="529"/>
      <c r="AQ506" s="529"/>
      <c r="AR506" s="529"/>
      <c r="AS506" s="529"/>
      <c r="AT506" s="529"/>
      <c r="AU506" s="531"/>
      <c r="AV506" s="529"/>
      <c r="AW506" s="529"/>
      <c r="AX506" s="529"/>
      <c r="AY506" s="529"/>
      <c r="AZ506" s="726"/>
      <c r="BA506" s="726"/>
      <c r="BB506" s="726"/>
      <c r="BC506" s="726"/>
      <c r="BD506" s="726"/>
      <c r="BE506" s="726"/>
      <c r="BF506" s="726"/>
      <c r="BG506" s="726"/>
      <c r="BH506" s="726"/>
      <c r="BI506" s="726"/>
      <c r="BJ506" s="726"/>
      <c r="BK506" s="726"/>
      <c r="BL506" s="726"/>
      <c r="BM506" s="726"/>
      <c r="BN506" s="728"/>
      <c r="BO506" s="726"/>
      <c r="BP506" s="726"/>
      <c r="BQ506" s="726"/>
      <c r="BR506" s="726"/>
      <c r="BS506" s="726"/>
      <c r="BT506" s="530"/>
    </row>
    <row r="507" spans="1:72" s="17" customFormat="1" x14ac:dyDescent="0.35">
      <c r="A507" s="48" t="s">
        <v>563</v>
      </c>
      <c r="B507" s="308"/>
      <c r="C507" s="533">
        <f>C415</f>
        <v>0.24299999999999999</v>
      </c>
      <c r="D507" s="533">
        <f t="shared" ref="D507:F508" si="687">D415-C415</f>
        <v>0.27200000000000002</v>
      </c>
      <c r="E507" s="533">
        <f t="shared" si="687"/>
        <v>0.38</v>
      </c>
      <c r="F507" s="533">
        <f t="shared" si="687"/>
        <v>0.34200000000000008</v>
      </c>
      <c r="G507" s="533">
        <f>G415</f>
        <v>0.27200000000000002</v>
      </c>
      <c r="H507" s="533">
        <f t="shared" ref="H507:J508" si="688">H415-G415</f>
        <v>0.29699999999999993</v>
      </c>
      <c r="I507" s="533">
        <f t="shared" si="688"/>
        <v>0.31000000000000005</v>
      </c>
      <c r="J507" s="533">
        <f t="shared" si="688"/>
        <v>0.17500000000000004</v>
      </c>
      <c r="K507" s="533">
        <f>K415</f>
        <v>0.22</v>
      </c>
      <c r="L507" s="533">
        <f t="shared" ref="L507:N508" si="689">L415-K415</f>
        <v>0.20799999999999999</v>
      </c>
      <c r="M507" s="533">
        <f t="shared" si="689"/>
        <v>0.2</v>
      </c>
      <c r="N507" s="533">
        <f t="shared" si="689"/>
        <v>0.42299999999999993</v>
      </c>
      <c r="O507" s="533">
        <f>O415</f>
        <v>0.22</v>
      </c>
      <c r="P507" s="533">
        <f t="shared" ref="P507:R508" si="690">P415-O415</f>
        <v>0.19999999999999998</v>
      </c>
      <c r="Q507" s="533">
        <f t="shared" si="690"/>
        <v>0.183</v>
      </c>
      <c r="R507" s="533">
        <f t="shared" si="690"/>
        <v>0.18700000000000006</v>
      </c>
      <c r="S507" s="533">
        <f>S415</f>
        <v>0.20300000000000001</v>
      </c>
      <c r="T507" s="533">
        <f t="shared" ref="T507:V508" si="691">T415-S415</f>
        <v>0.13400000000000001</v>
      </c>
      <c r="U507" s="533">
        <f t="shared" si="691"/>
        <v>0.23799999999999993</v>
      </c>
      <c r="V507" s="533">
        <f t="shared" si="691"/>
        <v>0.17500000000000004</v>
      </c>
      <c r="W507" s="533">
        <f>W415</f>
        <v>0.184</v>
      </c>
      <c r="X507" s="533">
        <f t="shared" ref="X507:Z508" si="692">X415-W415</f>
        <v>0.16599999999999998</v>
      </c>
      <c r="Y507" s="533">
        <f t="shared" si="692"/>
        <v>0.19600000000000006</v>
      </c>
      <c r="Z507" s="533">
        <f t="shared" si="692"/>
        <v>0.23199999999999998</v>
      </c>
      <c r="AA507" s="533">
        <f>AA415</f>
        <v>0.26300000000000001</v>
      </c>
      <c r="AB507" s="533">
        <f t="shared" ref="AB507:AD508" si="693">AB415-AA415</f>
        <v>0.30999999999999994</v>
      </c>
      <c r="AC507" s="533">
        <f t="shared" si="693"/>
        <v>0.28900000000000003</v>
      </c>
      <c r="AD507" s="533">
        <f t="shared" si="693"/>
        <v>0.24600000000000011</v>
      </c>
      <c r="AE507" s="533">
        <f>AE415</f>
        <v>0.20300000000000001</v>
      </c>
      <c r="AF507" s="533">
        <f t="shared" ref="AF507:AH508" si="694">AF415-AE415</f>
        <v>0.17799999999999999</v>
      </c>
      <c r="AG507" s="533">
        <f t="shared" si="694"/>
        <v>0.27900000000000003</v>
      </c>
      <c r="AH507" s="533">
        <f t="shared" si="694"/>
        <v>0.62699999999999989</v>
      </c>
      <c r="AI507" s="533">
        <f>AI415</f>
        <v>1.0109999999999999</v>
      </c>
      <c r="AJ507" s="533">
        <f t="shared" ref="AJ507:AL508" si="695">AJ415-AI415</f>
        <v>0.16500000000000004</v>
      </c>
      <c r="AK507" s="533">
        <f t="shared" si="695"/>
        <v>2.8479999999999999</v>
      </c>
      <c r="AL507" s="533">
        <f t="shared" si="695"/>
        <v>0.47999999999999954</v>
      </c>
      <c r="AM507" s="532">
        <f>AM415</f>
        <v>2.8109999999999999</v>
      </c>
      <c r="AN507" s="533">
        <f t="shared" ref="AN507:AP508" si="696">AN415-AM415</f>
        <v>0.47500000000000009</v>
      </c>
      <c r="AO507" s="532">
        <f t="shared" si="696"/>
        <v>2.8960000000000004</v>
      </c>
      <c r="AP507" s="532">
        <f t="shared" si="696"/>
        <v>0.45899999999999963</v>
      </c>
      <c r="AQ507" s="532">
        <f>AQ415</f>
        <v>2.7959999999999998</v>
      </c>
      <c r="AR507" s="533">
        <f t="shared" ref="AR507:AT508" si="697">AR415-AQ415</f>
        <v>0.53200000000000003</v>
      </c>
      <c r="AS507" s="532">
        <f t="shared" si="697"/>
        <v>3.0139999999999998</v>
      </c>
      <c r="AT507" s="532">
        <f t="shared" si="697"/>
        <v>0.60400000000000009</v>
      </c>
      <c r="AU507" s="534">
        <f>AU415</f>
        <v>2.911</v>
      </c>
      <c r="AV507" s="532"/>
      <c r="AW507" s="532"/>
      <c r="AX507" s="532"/>
      <c r="AY507" s="532"/>
      <c r="AZ507" s="755">
        <f t="shared" ref="AZ507:BN507" si="698">AZ415</f>
        <v>1.4279999999999999</v>
      </c>
      <c r="BA507" s="755">
        <f t="shared" si="698"/>
        <v>1.282</v>
      </c>
      <c r="BB507" s="755">
        <f t="shared" si="698"/>
        <v>1.216</v>
      </c>
      <c r="BC507" s="755">
        <f t="shared" si="698"/>
        <v>0.98099999999999998</v>
      </c>
      <c r="BD507" s="755">
        <f t="shared" si="698"/>
        <v>1.2370000000000001</v>
      </c>
      <c r="BE507" s="755">
        <f t="shared" si="698"/>
        <v>1.054</v>
      </c>
      <c r="BF507" s="755">
        <f t="shared" si="698"/>
        <v>1.0509999999999999</v>
      </c>
      <c r="BG507" s="755">
        <f t="shared" si="698"/>
        <v>0.79</v>
      </c>
      <c r="BH507" s="755">
        <f t="shared" si="698"/>
        <v>0.75</v>
      </c>
      <c r="BI507" s="755">
        <f t="shared" si="698"/>
        <v>0.77800000000000002</v>
      </c>
      <c r="BJ507" s="755">
        <f t="shared" si="698"/>
        <v>1.1080000000000001</v>
      </c>
      <c r="BK507" s="755">
        <f t="shared" si="698"/>
        <v>1.2869999999999999</v>
      </c>
      <c r="BL507" s="755">
        <f t="shared" si="698"/>
        <v>4.5039999999999996</v>
      </c>
      <c r="BM507" s="156">
        <f t="shared" si="698"/>
        <v>6.641</v>
      </c>
      <c r="BN507" s="730">
        <f t="shared" si="698"/>
        <v>6.9459999999999997</v>
      </c>
      <c r="BO507" s="156"/>
      <c r="BP507" s="156"/>
      <c r="BQ507" s="156"/>
      <c r="BR507" s="156"/>
      <c r="BS507" s="156"/>
      <c r="BT507" s="533"/>
    </row>
    <row r="508" spans="1:72" s="17" customFormat="1" x14ac:dyDescent="0.35">
      <c r="A508" s="48" t="s">
        <v>564</v>
      </c>
      <c r="B508" s="308"/>
      <c r="C508" s="533">
        <f>C416</f>
        <v>0.189</v>
      </c>
      <c r="D508" s="533">
        <f t="shared" si="687"/>
        <v>0.24099999999999999</v>
      </c>
      <c r="E508" s="533">
        <f t="shared" si="687"/>
        <v>8.0000000000000016E-2</v>
      </c>
      <c r="F508" s="533">
        <f t="shared" si="687"/>
        <v>1.0069999999999999</v>
      </c>
      <c r="G508" s="533">
        <f>G416</f>
        <v>2.7469999999999999</v>
      </c>
      <c r="H508" s="533">
        <f t="shared" si="688"/>
        <v>0</v>
      </c>
      <c r="I508" s="533">
        <f t="shared" si="688"/>
        <v>2.1180000000000003</v>
      </c>
      <c r="J508" s="533">
        <f t="shared" si="688"/>
        <v>4.2690000000000001</v>
      </c>
      <c r="K508" s="533">
        <f>K416</f>
        <v>7.53</v>
      </c>
      <c r="L508" s="533">
        <f t="shared" si="689"/>
        <v>0.65800000000000036</v>
      </c>
      <c r="M508" s="533">
        <f t="shared" si="689"/>
        <v>0.10299999999999976</v>
      </c>
      <c r="N508" s="533">
        <f t="shared" si="689"/>
        <v>11.099</v>
      </c>
      <c r="O508" s="533">
        <f>O416</f>
        <v>0.55600000000000005</v>
      </c>
      <c r="P508" s="533">
        <f t="shared" si="690"/>
        <v>0.23099999999999998</v>
      </c>
      <c r="Q508" s="533">
        <f t="shared" si="690"/>
        <v>0.22999999999999987</v>
      </c>
      <c r="R508" s="533">
        <f t="shared" si="690"/>
        <v>0.1080000000000001</v>
      </c>
      <c r="S508" s="533">
        <f>S416</f>
        <v>3.4460000000000002</v>
      </c>
      <c r="T508" s="533">
        <f t="shared" si="691"/>
        <v>1.19</v>
      </c>
      <c r="U508" s="533">
        <f t="shared" si="691"/>
        <v>0.10499999999999954</v>
      </c>
      <c r="V508" s="533">
        <f t="shared" si="691"/>
        <v>3.3109999999999999</v>
      </c>
      <c r="W508" s="533">
        <f>W416</f>
        <v>9.9339999999999993</v>
      </c>
      <c r="X508" s="533">
        <f t="shared" si="692"/>
        <v>0.67600000000000016</v>
      </c>
      <c r="Y508" s="533">
        <f t="shared" si="692"/>
        <v>0.60100000000000087</v>
      </c>
      <c r="Z508" s="533">
        <f t="shared" si="692"/>
        <v>0.99900000000000055</v>
      </c>
      <c r="AA508" s="533">
        <f>AA416</f>
        <v>0.54100000000000004</v>
      </c>
      <c r="AB508" s="533">
        <f t="shared" si="693"/>
        <v>0.36099999999999999</v>
      </c>
      <c r="AC508" s="533">
        <f t="shared" si="693"/>
        <v>0.10799999999999998</v>
      </c>
      <c r="AD508" s="533">
        <f t="shared" si="693"/>
        <v>3.4430000000000005</v>
      </c>
      <c r="AE508" s="533">
        <f>AE416</f>
        <v>2.1680000000000001</v>
      </c>
      <c r="AF508" s="533">
        <f t="shared" si="694"/>
        <v>0.45999999999999996</v>
      </c>
      <c r="AG508" s="533">
        <f t="shared" si="694"/>
        <v>0.16799999999999971</v>
      </c>
      <c r="AH508" s="533">
        <f t="shared" si="694"/>
        <v>0.58800000000000008</v>
      </c>
      <c r="AI508" s="533">
        <f>AI416</f>
        <v>8.2919999999999998</v>
      </c>
      <c r="AJ508" s="533">
        <f t="shared" si="695"/>
        <v>0.18699999999999939</v>
      </c>
      <c r="AK508" s="533">
        <f t="shared" si="695"/>
        <v>6.7330000000000005</v>
      </c>
      <c r="AL508" s="533">
        <f t="shared" si="695"/>
        <v>3.504999999999999</v>
      </c>
      <c r="AM508" s="532">
        <f>AM416</f>
        <v>12.593</v>
      </c>
      <c r="AN508" s="533">
        <f t="shared" si="696"/>
        <v>0.50600000000000023</v>
      </c>
      <c r="AO508" s="532">
        <f t="shared" si="696"/>
        <v>19.541</v>
      </c>
      <c r="AP508" s="532">
        <f t="shared" si="696"/>
        <v>3.3320000000000007</v>
      </c>
      <c r="AQ508" s="532">
        <f>AQ416</f>
        <v>21.295999999999999</v>
      </c>
      <c r="AR508" s="533">
        <f t="shared" si="697"/>
        <v>1.1380000000000017</v>
      </c>
      <c r="AS508" s="532">
        <f t="shared" si="697"/>
        <v>11.581</v>
      </c>
      <c r="AT508" s="532">
        <f t="shared" si="697"/>
        <v>3.1159999999999997</v>
      </c>
      <c r="AU508" s="534">
        <f>AU416</f>
        <v>36.274999999999999</v>
      </c>
      <c r="AV508" s="532"/>
      <c r="AW508" s="532"/>
      <c r="AX508" s="532"/>
      <c r="AY508" s="532"/>
      <c r="AZ508" s="755">
        <f t="shared" ref="AZ508:BN508" si="699">AZ416</f>
        <v>6.5000000000000002E-2</v>
      </c>
      <c r="BA508" s="755">
        <f t="shared" si="699"/>
        <v>0.872</v>
      </c>
      <c r="BB508" s="755">
        <f t="shared" si="699"/>
        <v>4.6159999999999997</v>
      </c>
      <c r="BC508" s="755">
        <f t="shared" si="699"/>
        <v>0.29399999999999998</v>
      </c>
      <c r="BD508" s="755">
        <f t="shared" si="699"/>
        <v>1.5169999999999999</v>
      </c>
      <c r="BE508" s="755">
        <f t="shared" si="699"/>
        <v>9.1340000000000003</v>
      </c>
      <c r="BF508" s="755">
        <f t="shared" si="699"/>
        <v>19.39</v>
      </c>
      <c r="BG508" s="755">
        <f t="shared" si="699"/>
        <v>1.125</v>
      </c>
      <c r="BH508" s="755">
        <f t="shared" si="699"/>
        <v>8.0519999999999996</v>
      </c>
      <c r="BI508" s="755">
        <f t="shared" si="699"/>
        <v>12.21</v>
      </c>
      <c r="BJ508" s="755">
        <f t="shared" si="699"/>
        <v>4.4530000000000003</v>
      </c>
      <c r="BK508" s="755">
        <f t="shared" si="699"/>
        <v>3.3839999999999999</v>
      </c>
      <c r="BL508" s="755">
        <f t="shared" si="699"/>
        <v>18.716999999999999</v>
      </c>
      <c r="BM508" s="156">
        <f t="shared" si="699"/>
        <v>35.972000000000001</v>
      </c>
      <c r="BN508" s="730">
        <f t="shared" si="699"/>
        <v>37.131</v>
      </c>
      <c r="BO508" s="156"/>
      <c r="BP508" s="156"/>
      <c r="BQ508" s="156"/>
      <c r="BR508" s="156"/>
      <c r="BS508" s="156"/>
      <c r="BT508" s="533"/>
    </row>
    <row r="509" spans="1:72" s="1" customFormat="1" x14ac:dyDescent="0.35">
      <c r="A509" s="354"/>
      <c r="B509" s="307"/>
      <c r="C509" s="529"/>
      <c r="D509" s="529"/>
      <c r="E509" s="529"/>
      <c r="F509" s="529"/>
      <c r="G509" s="529"/>
      <c r="H509" s="529"/>
      <c r="I509" s="529"/>
      <c r="J509" s="529"/>
      <c r="K509" s="529"/>
      <c r="L509" s="529"/>
      <c r="M509" s="529"/>
      <c r="N509" s="529"/>
      <c r="O509" s="529"/>
      <c r="P509" s="529"/>
      <c r="Q509" s="529"/>
      <c r="R509" s="529"/>
      <c r="S509" s="529"/>
      <c r="T509" s="529"/>
      <c r="U509" s="529"/>
      <c r="V509" s="529"/>
      <c r="W509" s="529"/>
      <c r="X509" s="529"/>
      <c r="Y509" s="529"/>
      <c r="Z509" s="529"/>
      <c r="AA509" s="529"/>
      <c r="AB509" s="529"/>
      <c r="AC509" s="529"/>
      <c r="AD509" s="529"/>
      <c r="AE509" s="529"/>
      <c r="AF509" s="529"/>
      <c r="AG509" s="529"/>
      <c r="AH509" s="529"/>
      <c r="AI509" s="529"/>
      <c r="AJ509" s="529"/>
      <c r="AK509" s="529"/>
      <c r="AL509" s="529"/>
      <c r="AM509" s="529"/>
      <c r="AN509" s="529"/>
      <c r="AO509" s="529"/>
      <c r="AP509" s="529"/>
      <c r="AQ509" s="529"/>
      <c r="AR509" s="529"/>
      <c r="AS509" s="529"/>
      <c r="AT509" s="529"/>
      <c r="AU509" s="531"/>
      <c r="AV509" s="529"/>
      <c r="AW509" s="529"/>
      <c r="AX509" s="529"/>
      <c r="AY509" s="529"/>
      <c r="AZ509" s="726"/>
      <c r="BA509" s="726"/>
      <c r="BB509" s="726"/>
      <c r="BC509" s="726"/>
      <c r="BD509" s="726"/>
      <c r="BE509" s="726"/>
      <c r="BF509" s="726"/>
      <c r="BG509" s="726"/>
      <c r="BH509" s="726"/>
      <c r="BI509" s="726"/>
      <c r="BJ509" s="726"/>
      <c r="BK509" s="726"/>
      <c r="BL509" s="726"/>
      <c r="BM509" s="726"/>
      <c r="BN509" s="728"/>
      <c r="BO509" s="726"/>
      <c r="BP509" s="726"/>
      <c r="BQ509" s="726"/>
      <c r="BR509" s="726"/>
      <c r="BS509" s="726"/>
      <c r="BT509" s="530"/>
    </row>
    <row r="510" spans="1:72" s="17" customFormat="1" x14ac:dyDescent="0.35">
      <c r="A510" s="32" t="s">
        <v>178</v>
      </c>
      <c r="B510" s="32"/>
      <c r="C510" s="604">
        <f t="shared" ref="C510:Y510" si="700">ROUND(C505-C551,6)</f>
        <v>0</v>
      </c>
      <c r="D510" s="604">
        <f t="shared" si="700"/>
        <v>0</v>
      </c>
      <c r="E510" s="604">
        <f t="shared" si="700"/>
        <v>0</v>
      </c>
      <c r="F510" s="604">
        <f t="shared" si="700"/>
        <v>0</v>
      </c>
      <c r="G510" s="604">
        <f t="shared" si="700"/>
        <v>0</v>
      </c>
      <c r="H510" s="604">
        <f t="shared" si="700"/>
        <v>0</v>
      </c>
      <c r="I510" s="604">
        <f t="shared" si="700"/>
        <v>0</v>
      </c>
      <c r="J510" s="604">
        <f t="shared" si="700"/>
        <v>0</v>
      </c>
      <c r="K510" s="604">
        <f t="shared" si="700"/>
        <v>0</v>
      </c>
      <c r="L510" s="604">
        <f t="shared" si="700"/>
        <v>0</v>
      </c>
      <c r="M510" s="604">
        <f t="shared" si="700"/>
        <v>0</v>
      </c>
      <c r="N510" s="604">
        <f t="shared" si="700"/>
        <v>0</v>
      </c>
      <c r="O510" s="604">
        <f t="shared" si="700"/>
        <v>0</v>
      </c>
      <c r="P510" s="604">
        <f t="shared" si="700"/>
        <v>0</v>
      </c>
      <c r="Q510" s="604">
        <f t="shared" si="700"/>
        <v>0</v>
      </c>
      <c r="R510" s="604">
        <f t="shared" si="700"/>
        <v>0</v>
      </c>
      <c r="S510" s="604">
        <f t="shared" si="700"/>
        <v>0</v>
      </c>
      <c r="T510" s="604">
        <f t="shared" si="700"/>
        <v>0</v>
      </c>
      <c r="U510" s="604">
        <f t="shared" si="700"/>
        <v>0</v>
      </c>
      <c r="V510" s="604">
        <f t="shared" si="700"/>
        <v>0</v>
      </c>
      <c r="W510" s="604">
        <f t="shared" si="700"/>
        <v>0</v>
      </c>
      <c r="X510" s="604">
        <f t="shared" si="700"/>
        <v>0</v>
      </c>
      <c r="Y510" s="604">
        <f t="shared" si="700"/>
        <v>0</v>
      </c>
      <c r="Z510" s="604">
        <f>ROUND(Z505-Z569-Z551,6)</f>
        <v>0</v>
      </c>
      <c r="AA510" s="604">
        <f>ROUND(AA505-AA569-AA551,6)</f>
        <v>0</v>
      </c>
      <c r="AB510" s="604">
        <f>ROUND(AB505-AB569-AB551,6)</f>
        <v>0</v>
      </c>
      <c r="AC510" s="604">
        <f>ROUND(AC505-AC569-AC551,6)</f>
        <v>0</v>
      </c>
      <c r="AD510" s="604">
        <f t="shared" ref="AD510:AX510" si="701">ROUND(AD505-AD569-AD551-AD557,6)</f>
        <v>0</v>
      </c>
      <c r="AE510" s="604">
        <f t="shared" si="701"/>
        <v>0</v>
      </c>
      <c r="AF510" s="604">
        <f t="shared" si="701"/>
        <v>0</v>
      </c>
      <c r="AG510" s="604">
        <f t="shared" si="701"/>
        <v>0</v>
      </c>
      <c r="AH510" s="604">
        <f t="shared" si="701"/>
        <v>0</v>
      </c>
      <c r="AI510" s="604">
        <f t="shared" si="701"/>
        <v>0</v>
      </c>
      <c r="AJ510" s="604">
        <f t="shared" si="701"/>
        <v>0</v>
      </c>
      <c r="AK510" s="604">
        <f t="shared" si="701"/>
        <v>0</v>
      </c>
      <c r="AL510" s="604">
        <f t="shared" si="701"/>
        <v>0</v>
      </c>
      <c r="AM510" s="604">
        <f t="shared" si="701"/>
        <v>0</v>
      </c>
      <c r="AN510" s="604">
        <f t="shared" si="701"/>
        <v>0</v>
      </c>
      <c r="AO510" s="604">
        <f t="shared" si="701"/>
        <v>0</v>
      </c>
      <c r="AP510" s="604">
        <f t="shared" si="701"/>
        <v>0</v>
      </c>
      <c r="AQ510" s="604">
        <f t="shared" si="701"/>
        <v>0</v>
      </c>
      <c r="AR510" s="604">
        <f t="shared" si="701"/>
        <v>0</v>
      </c>
      <c r="AS510" s="604">
        <f t="shared" si="701"/>
        <v>0</v>
      </c>
      <c r="AT510" s="604">
        <f t="shared" si="701"/>
        <v>0</v>
      </c>
      <c r="AU510" s="605">
        <f t="shared" si="701"/>
        <v>0</v>
      </c>
      <c r="AV510" s="604">
        <f t="shared" ca="1" si="701"/>
        <v>0</v>
      </c>
      <c r="AW510" s="604">
        <f t="shared" ca="1" si="701"/>
        <v>0</v>
      </c>
      <c r="AX510" s="604">
        <f t="shared" ca="1" si="701"/>
        <v>0</v>
      </c>
      <c r="AY510" s="604"/>
      <c r="AZ510" s="604">
        <f t="shared" ref="AZ510:BH510" si="702">ROUND(AZ505-AZ551,6)</f>
        <v>0</v>
      </c>
      <c r="BA510" s="604">
        <f t="shared" si="702"/>
        <v>0</v>
      </c>
      <c r="BB510" s="604">
        <f t="shared" si="702"/>
        <v>0</v>
      </c>
      <c r="BC510" s="604">
        <f t="shared" si="702"/>
        <v>0</v>
      </c>
      <c r="BD510" s="604">
        <f t="shared" si="702"/>
        <v>0</v>
      </c>
      <c r="BE510" s="604">
        <f t="shared" si="702"/>
        <v>0</v>
      </c>
      <c r="BF510" s="604">
        <f t="shared" si="702"/>
        <v>0</v>
      </c>
      <c r="BG510" s="604">
        <f t="shared" si="702"/>
        <v>0</v>
      </c>
      <c r="BH510" s="604">
        <f t="shared" si="702"/>
        <v>0</v>
      </c>
      <c r="BI510" s="604">
        <f>ROUND(BI505-BI569-BI551,6)</f>
        <v>0</v>
      </c>
      <c r="BJ510" s="604">
        <f t="shared" ref="BJ510:BS510" si="703">ROUND(BJ505-BJ569-BJ551-BJ557,6)</f>
        <v>0</v>
      </c>
      <c r="BK510" s="604">
        <f t="shared" si="703"/>
        <v>0</v>
      </c>
      <c r="BL510" s="604">
        <f t="shared" si="703"/>
        <v>0</v>
      </c>
      <c r="BM510" s="604">
        <f t="shared" si="703"/>
        <v>0</v>
      </c>
      <c r="BN510" s="605">
        <f t="shared" si="703"/>
        <v>0</v>
      </c>
      <c r="BO510" s="604">
        <f t="shared" ca="1" si="703"/>
        <v>0</v>
      </c>
      <c r="BP510" s="604" t="e">
        <f t="shared" ca="1" si="703"/>
        <v>#REF!</v>
      </c>
      <c r="BQ510" s="604" t="e">
        <f t="shared" ca="1" si="703"/>
        <v>#REF!</v>
      </c>
      <c r="BR510" s="604" t="e">
        <f t="shared" ca="1" si="703"/>
        <v>#REF!</v>
      </c>
      <c r="BS510" s="604" t="e">
        <f t="shared" ca="1" si="703"/>
        <v>#REF!</v>
      </c>
      <c r="BT510" s="533"/>
    </row>
    <row r="511" spans="1:72" s="1" customFormat="1" x14ac:dyDescent="0.35">
      <c r="A511" s="354"/>
      <c r="B511" s="307"/>
      <c r="C511" s="529"/>
      <c r="D511" s="529"/>
      <c r="E511" s="529"/>
      <c r="F511" s="529"/>
      <c r="G511" s="529"/>
      <c r="H511" s="529"/>
      <c r="I511" s="529"/>
      <c r="J511" s="529"/>
      <c r="K511" s="529"/>
      <c r="L511" s="529"/>
      <c r="M511" s="529"/>
      <c r="N511" s="529"/>
      <c r="O511" s="529"/>
      <c r="P511" s="529"/>
      <c r="Q511" s="529"/>
      <c r="R511" s="529"/>
      <c r="S511" s="529"/>
      <c r="T511" s="529"/>
      <c r="U511" s="529"/>
      <c r="V511" s="529"/>
      <c r="W511" s="529"/>
      <c r="X511" s="529"/>
      <c r="Y511" s="529"/>
      <c r="Z511" s="529"/>
      <c r="AA511" s="529"/>
      <c r="AB511" s="529"/>
      <c r="AC511" s="529"/>
      <c r="AD511" s="529"/>
      <c r="AE511" s="529"/>
      <c r="AF511" s="529"/>
      <c r="AG511" s="529"/>
      <c r="AH511" s="529"/>
      <c r="AI511" s="529"/>
      <c r="AJ511" s="529"/>
      <c r="AK511" s="529"/>
      <c r="AL511" s="529"/>
      <c r="AM511" s="529"/>
      <c r="AN511" s="529"/>
      <c r="AO511" s="529"/>
      <c r="AP511" s="529"/>
      <c r="AQ511" s="529"/>
      <c r="AR511" s="529"/>
      <c r="AS511" s="529"/>
      <c r="AT511" s="529"/>
      <c r="AU511" s="531"/>
      <c r="AV511" s="529"/>
      <c r="AW511" s="529"/>
      <c r="AX511" s="529"/>
      <c r="AY511" s="529"/>
      <c r="AZ511" s="726"/>
      <c r="BA511" s="726"/>
      <c r="BB511" s="726"/>
      <c r="BC511" s="726"/>
      <c r="BD511" s="726"/>
      <c r="BE511" s="726"/>
      <c r="BF511" s="726"/>
      <c r="BG511" s="726"/>
      <c r="BH511" s="726"/>
      <c r="BI511" s="726"/>
      <c r="BJ511" s="726"/>
      <c r="BK511" s="726"/>
      <c r="BL511" s="726"/>
      <c r="BM511" s="726"/>
      <c r="BN511" s="728"/>
      <c r="BO511" s="726"/>
      <c r="BP511" s="726"/>
      <c r="BQ511" s="726"/>
      <c r="BR511" s="726"/>
      <c r="BS511" s="726"/>
      <c r="BT511" s="530"/>
    </row>
    <row r="512" spans="1:72" s="1" customFormat="1" x14ac:dyDescent="0.35">
      <c r="A512" s="228" t="s">
        <v>179</v>
      </c>
      <c r="B512" s="229"/>
      <c r="C512" s="527"/>
      <c r="D512" s="527"/>
      <c r="E512" s="527"/>
      <c r="F512" s="527"/>
      <c r="G512" s="527"/>
      <c r="H512" s="527"/>
      <c r="I512" s="527"/>
      <c r="J512" s="527"/>
      <c r="K512" s="527"/>
      <c r="L512" s="527"/>
      <c r="M512" s="527"/>
      <c r="N512" s="527"/>
      <c r="O512" s="527"/>
      <c r="P512" s="527"/>
      <c r="Q512" s="527"/>
      <c r="R512" s="527"/>
      <c r="S512" s="527"/>
      <c r="T512" s="527"/>
      <c r="U512" s="527"/>
      <c r="V512" s="527"/>
      <c r="W512" s="527"/>
      <c r="X512" s="527"/>
      <c r="Y512" s="527"/>
      <c r="Z512" s="527"/>
      <c r="AA512" s="527"/>
      <c r="AB512" s="527"/>
      <c r="AC512" s="527"/>
      <c r="AD512" s="527"/>
      <c r="AE512" s="527"/>
      <c r="AF512" s="527"/>
      <c r="AG512" s="527"/>
      <c r="AH512" s="527"/>
      <c r="AI512" s="527"/>
      <c r="AJ512" s="527"/>
      <c r="AK512" s="527"/>
      <c r="AL512" s="527"/>
      <c r="AM512" s="527"/>
      <c r="AN512" s="527"/>
      <c r="AO512" s="527"/>
      <c r="AP512" s="527"/>
      <c r="AQ512" s="527"/>
      <c r="AR512" s="527"/>
      <c r="AS512" s="527"/>
      <c r="AT512" s="527"/>
      <c r="AU512" s="547"/>
      <c r="AV512" s="527"/>
      <c r="AW512" s="527"/>
      <c r="AX512" s="527"/>
      <c r="AY512" s="527"/>
      <c r="AZ512" s="527"/>
      <c r="BA512" s="527"/>
      <c r="BB512" s="527"/>
      <c r="BC512" s="527"/>
      <c r="BD512" s="527"/>
      <c r="BE512" s="527"/>
      <c r="BF512" s="527"/>
      <c r="BG512" s="527"/>
      <c r="BH512" s="527"/>
      <c r="BI512" s="527"/>
      <c r="BJ512" s="527"/>
      <c r="BK512" s="527"/>
      <c r="BL512" s="527"/>
      <c r="BM512" s="527"/>
      <c r="BN512" s="547"/>
      <c r="BO512" s="527"/>
      <c r="BP512" s="527"/>
      <c r="BQ512" s="527"/>
      <c r="BR512" s="527"/>
      <c r="BS512" s="527"/>
      <c r="BT512" s="530"/>
    </row>
    <row r="513" spans="1:72" s="19" customFormat="1" x14ac:dyDescent="0.35">
      <c r="A513" s="122" t="s">
        <v>180</v>
      </c>
      <c r="B513" s="367"/>
      <c r="C513" s="217"/>
      <c r="D513" s="217"/>
      <c r="E513" s="217"/>
      <c r="F513" s="217"/>
      <c r="G513" s="27">
        <f t="shared" ref="G513:P514" si="704">G552/(G$190+F$190+E$190+D$190)</f>
        <v>0.31772200727068695</v>
      </c>
      <c r="H513" s="27">
        <f t="shared" si="704"/>
        <v>0.29122456293416044</v>
      </c>
      <c r="I513" s="27">
        <f t="shared" si="704"/>
        <v>0.26549134622510367</v>
      </c>
      <c r="J513" s="27">
        <f t="shared" si="704"/>
        <v>0.21170720991612227</v>
      </c>
      <c r="K513" s="27">
        <f t="shared" si="704"/>
        <v>0.30718645024943447</v>
      </c>
      <c r="L513" s="27">
        <f t="shared" si="704"/>
        <v>0.28521817971867369</v>
      </c>
      <c r="M513" s="27">
        <f t="shared" si="704"/>
        <v>0.29194387547171807</v>
      </c>
      <c r="N513" s="27">
        <f t="shared" si="704"/>
        <v>0.19851016667826643</v>
      </c>
      <c r="O513" s="27">
        <f t="shared" si="704"/>
        <v>0.27953649824401916</v>
      </c>
      <c r="P513" s="27">
        <f t="shared" si="704"/>
        <v>0.25220719330256752</v>
      </c>
      <c r="Q513" s="27">
        <f t="shared" ref="Q513:Z514" si="705">Q552/(Q$190+P$190+O$190+N$190)</f>
        <v>0.25126826870611785</v>
      </c>
      <c r="R513" s="27">
        <f t="shared" si="705"/>
        <v>0.19428669645926436</v>
      </c>
      <c r="S513" s="27">
        <f t="shared" si="705"/>
        <v>0.30000976597986839</v>
      </c>
      <c r="T513" s="27">
        <f t="shared" si="705"/>
        <v>0.24498396773611888</v>
      </c>
      <c r="U513" s="27">
        <f t="shared" si="705"/>
        <v>0.25253221188260561</v>
      </c>
      <c r="V513" s="27">
        <f t="shared" si="705"/>
        <v>0.21632064142691379</v>
      </c>
      <c r="W513" s="27">
        <f t="shared" si="705"/>
        <v>0.31839205734063231</v>
      </c>
      <c r="X513" s="27">
        <f t="shared" si="705"/>
        <v>0.27606874238793516</v>
      </c>
      <c r="Y513" s="27">
        <f t="shared" si="705"/>
        <v>0.23249923431006306</v>
      </c>
      <c r="Z513" s="27">
        <f t="shared" si="705"/>
        <v>0.1921242974543822</v>
      </c>
      <c r="AA513" s="27">
        <f t="shared" ref="AA513:AJ514" si="706">AA552/(AA$190+Z$190+Y$190+X$190)</f>
        <v>0.30183682650492466</v>
      </c>
      <c r="AB513" s="27">
        <f t="shared" si="706"/>
        <v>0.24511311717474976</v>
      </c>
      <c r="AC513" s="27">
        <f t="shared" si="706"/>
        <v>0.23901746147496974</v>
      </c>
      <c r="AD513" s="27">
        <f t="shared" si="706"/>
        <v>0.18866711559514529</v>
      </c>
      <c r="AE513" s="27">
        <f t="shared" si="706"/>
        <v>0.26204066529686487</v>
      </c>
      <c r="AF513" s="27">
        <f t="shared" si="706"/>
        <v>0.24566754471093855</v>
      </c>
      <c r="AG513" s="27">
        <f t="shared" si="706"/>
        <v>0.27654189863716122</v>
      </c>
      <c r="AH513" s="27">
        <f t="shared" si="706"/>
        <v>0.22688503168342508</v>
      </c>
      <c r="AI513" s="27">
        <f t="shared" si="706"/>
        <v>0.36342763406328055</v>
      </c>
      <c r="AJ513" s="27">
        <f t="shared" si="706"/>
        <v>0.34186099482402471</v>
      </c>
      <c r="AK513" s="27">
        <f t="shared" ref="AK513:AT514" si="707">AK552/(AK$190+AJ$190+AI$190+AH$190)</f>
        <v>0.30023555210587277</v>
      </c>
      <c r="AL513" s="27">
        <f t="shared" si="707"/>
        <v>0.24031273588588981</v>
      </c>
      <c r="AM513" s="27">
        <f t="shared" si="707"/>
        <v>0.33166307583654425</v>
      </c>
      <c r="AN513" s="27">
        <f t="shared" si="707"/>
        <v>0.26912544048098397</v>
      </c>
      <c r="AO513" s="27">
        <f t="shared" si="707"/>
        <v>0.25943774114238183</v>
      </c>
      <c r="AP513" s="27">
        <f t="shared" si="707"/>
        <v>0.24815701508182417</v>
      </c>
      <c r="AQ513" s="27">
        <f t="shared" si="707"/>
        <v>0.31766077156328332</v>
      </c>
      <c r="AR513" s="27">
        <f t="shared" si="707"/>
        <v>0.25115676181669261</v>
      </c>
      <c r="AS513" s="27">
        <f t="shared" si="707"/>
        <v>0.26237811484290358</v>
      </c>
      <c r="AT513" s="27">
        <f t="shared" si="707"/>
        <v>0.25238521834068262</v>
      </c>
      <c r="AU513" s="496">
        <f>AU552/(AU$190+AT$190+AS$190+AR$190)</f>
        <v>0.33270115182449272</v>
      </c>
      <c r="AV513" s="217">
        <f t="shared" ref="AV513:AX518" si="708">AR513+AV520</f>
        <v>0.25115676181669261</v>
      </c>
      <c r="AW513" s="217">
        <f t="shared" si="708"/>
        <v>0.26237811484290358</v>
      </c>
      <c r="AX513" s="217">
        <f t="shared" si="708"/>
        <v>0.25238521834068262</v>
      </c>
      <c r="AY513" s="217"/>
      <c r="AZ513" s="770">
        <f t="shared" ref="AZ513:BP513" si="709">AZ552/AZ$190</f>
        <v>0.16804986484902068</v>
      </c>
      <c r="BA513" s="770">
        <f t="shared" si="709"/>
        <v>0.18514838608994197</v>
      </c>
      <c r="BB513" s="770">
        <f t="shared" si="709"/>
        <v>0.1842050861927057</v>
      </c>
      <c r="BC513" s="770">
        <f t="shared" si="709"/>
        <v>0.22716037532096661</v>
      </c>
      <c r="BD513" s="770">
        <f t="shared" si="709"/>
        <v>0.21982386644974181</v>
      </c>
      <c r="BE513" s="770">
        <f t="shared" si="709"/>
        <v>0.21170720991612227</v>
      </c>
      <c r="BF513" s="770">
        <f t="shared" si="709"/>
        <v>0.19851016667826646</v>
      </c>
      <c r="BG513" s="770">
        <f t="shared" si="709"/>
        <v>0.19428669645926436</v>
      </c>
      <c r="BH513" s="770">
        <f t="shared" si="709"/>
        <v>0.21632064142691379</v>
      </c>
      <c r="BI513" s="770">
        <f t="shared" si="709"/>
        <v>0.1921242974543822</v>
      </c>
      <c r="BJ513" s="770">
        <f t="shared" si="709"/>
        <v>0.18866711559514529</v>
      </c>
      <c r="BK513" s="770">
        <f t="shared" si="709"/>
        <v>0.22688503168342514</v>
      </c>
      <c r="BL513" s="770">
        <f t="shared" si="709"/>
        <v>0.24031273588588981</v>
      </c>
      <c r="BM513" s="770">
        <f t="shared" si="709"/>
        <v>0.24815701508182414</v>
      </c>
      <c r="BN513" s="771">
        <f t="shared" si="709"/>
        <v>0.25238521834068267</v>
      </c>
      <c r="BO513" s="772">
        <f t="shared" si="709"/>
        <v>0.25238521834068262</v>
      </c>
      <c r="BP513" s="772" t="e">
        <f t="shared" si="709"/>
        <v>#REF!</v>
      </c>
      <c r="BQ513" s="772" t="e">
        <f t="shared" ref="BQ513:BS518" si="710">BP513+BQ520</f>
        <v>#REF!</v>
      </c>
      <c r="BR513" s="772" t="e">
        <f t="shared" si="710"/>
        <v>#REF!</v>
      </c>
      <c r="BS513" s="772" t="e">
        <f t="shared" si="710"/>
        <v>#REF!</v>
      </c>
      <c r="BT513" s="27"/>
    </row>
    <row r="514" spans="1:72" s="19" customFormat="1" x14ac:dyDescent="0.35">
      <c r="A514" s="122" t="s">
        <v>181</v>
      </c>
      <c r="B514" s="367"/>
      <c r="C514" s="217"/>
      <c r="D514" s="217"/>
      <c r="E514" s="217"/>
      <c r="F514" s="217"/>
      <c r="G514" s="27">
        <f t="shared" si="704"/>
        <v>3.2744976563139253E-2</v>
      </c>
      <c r="H514" s="27">
        <f t="shared" si="704"/>
        <v>2.6750066694833066E-2</v>
      </c>
      <c r="I514" s="27">
        <f t="shared" si="704"/>
        <v>2.3909884863360858E-2</v>
      </c>
      <c r="J514" s="27">
        <f t="shared" si="704"/>
        <v>3.6789614084234402E-2</v>
      </c>
      <c r="K514" s="27">
        <f t="shared" si="704"/>
        <v>1.9363098785535923E-2</v>
      </c>
      <c r="L514" s="27">
        <f t="shared" si="704"/>
        <v>2.0865320052518808E-2</v>
      </c>
      <c r="M514" s="27">
        <f t="shared" si="704"/>
        <v>1.8796741771066546E-2</v>
      </c>
      <c r="N514" s="27">
        <f t="shared" si="704"/>
        <v>3.1183367183594959E-2</v>
      </c>
      <c r="O514" s="27">
        <f t="shared" si="704"/>
        <v>1.7917865550614698E-2</v>
      </c>
      <c r="P514" s="27">
        <f t="shared" si="704"/>
        <v>1.9617298990793335E-2</v>
      </c>
      <c r="Q514" s="27">
        <f t="shared" si="705"/>
        <v>1.8202192470204142E-2</v>
      </c>
      <c r="R514" s="27">
        <f t="shared" si="705"/>
        <v>3.5099117680760857E-2</v>
      </c>
      <c r="S514" s="27">
        <f t="shared" si="705"/>
        <v>1.8541734801409932E-2</v>
      </c>
      <c r="T514" s="27">
        <f t="shared" si="705"/>
        <v>1.9497428006007476E-2</v>
      </c>
      <c r="U514" s="27">
        <f t="shared" si="705"/>
        <v>2.1014897995705085E-2</v>
      </c>
      <c r="V514" s="27">
        <f t="shared" si="705"/>
        <v>3.4330160638095526E-2</v>
      </c>
      <c r="W514" s="27">
        <f t="shared" si="705"/>
        <v>2.0928520118986767E-2</v>
      </c>
      <c r="X514" s="27">
        <f t="shared" si="705"/>
        <v>2.0794153934186529E-2</v>
      </c>
      <c r="Y514" s="27">
        <f t="shared" si="705"/>
        <v>2.0177327082620738E-2</v>
      </c>
      <c r="Z514" s="27">
        <f t="shared" si="705"/>
        <v>3.3924862759797503E-2</v>
      </c>
      <c r="AA514" s="27">
        <f t="shared" si="706"/>
        <v>1.9266949778944827E-2</v>
      </c>
      <c r="AB514" s="27">
        <f t="shared" si="706"/>
        <v>1.7453299029372427E-2</v>
      </c>
      <c r="AC514" s="27">
        <f t="shared" si="706"/>
        <v>1.7224074237312585E-2</v>
      </c>
      <c r="AD514" s="27">
        <f t="shared" si="706"/>
        <v>2.9481605746284528E-2</v>
      </c>
      <c r="AE514" s="27">
        <f t="shared" si="706"/>
        <v>2.0083029957153723E-2</v>
      </c>
      <c r="AF514" s="27">
        <f t="shared" si="706"/>
        <v>1.9595878333915875E-2</v>
      </c>
      <c r="AG514" s="27">
        <f t="shared" si="706"/>
        <v>1.9042978248267763E-2</v>
      </c>
      <c r="AH514" s="27">
        <f t="shared" si="706"/>
        <v>2.7191536994422363E-2</v>
      </c>
      <c r="AI514" s="27">
        <f t="shared" si="706"/>
        <v>2.0794142407266906E-2</v>
      </c>
      <c r="AJ514" s="27">
        <f t="shared" si="706"/>
        <v>2.2477399288401576E-2</v>
      </c>
      <c r="AK514" s="27">
        <f t="shared" si="707"/>
        <v>2.0461858241234615E-2</v>
      </c>
      <c r="AL514" s="27">
        <f t="shared" si="707"/>
        <v>2.5827064733595355E-2</v>
      </c>
      <c r="AM514" s="27">
        <f t="shared" si="707"/>
        <v>1.5882878062050056E-2</v>
      </c>
      <c r="AN514" s="27">
        <f t="shared" si="707"/>
        <v>1.4968850585348897E-2</v>
      </c>
      <c r="AO514" s="27">
        <f t="shared" si="707"/>
        <v>1.4724687147974329E-2</v>
      </c>
      <c r="AP514" s="27">
        <f t="shared" si="707"/>
        <v>2.1345660610933053E-2</v>
      </c>
      <c r="AQ514" s="27">
        <f t="shared" si="707"/>
        <v>1.6311733534316045E-2</v>
      </c>
      <c r="AR514" s="27">
        <f t="shared" si="707"/>
        <v>1.3609630801843551E-2</v>
      </c>
      <c r="AS514" s="27">
        <f t="shared" si="707"/>
        <v>1.2649523514714663E-2</v>
      </c>
      <c r="AT514" s="27">
        <f t="shared" si="707"/>
        <v>1.9983040866287351E-2</v>
      </c>
      <c r="AU514" s="496">
        <f>AU553/(AU$190+AT$190+AS$190+AR$190)</f>
        <v>1.149446546138241E-2</v>
      </c>
      <c r="AV514" s="217">
        <f t="shared" si="708"/>
        <v>1.3609630801843551E-2</v>
      </c>
      <c r="AW514" s="217">
        <f t="shared" si="708"/>
        <v>1.2649523514714663E-2</v>
      </c>
      <c r="AX514" s="217">
        <f t="shared" si="708"/>
        <v>1.9983040866287351E-2</v>
      </c>
      <c r="AY514" s="217"/>
      <c r="AZ514" s="770">
        <f t="shared" ref="AZ514:BP514" si="711">AZ553/AZ$190</f>
        <v>0.10156762460666788</v>
      </c>
      <c r="BA514" s="770">
        <f t="shared" si="711"/>
        <v>6.8127552214737166E-2</v>
      </c>
      <c r="BB514" s="770">
        <f t="shared" si="711"/>
        <v>5.8483942469287988E-2</v>
      </c>
      <c r="BC514" s="770">
        <f t="shared" si="711"/>
        <v>5.3433972278647726E-2</v>
      </c>
      <c r="BD514" s="770">
        <f t="shared" si="711"/>
        <v>5.2339015821367102E-2</v>
      </c>
      <c r="BE514" s="770">
        <f t="shared" si="711"/>
        <v>3.6789614084234402E-2</v>
      </c>
      <c r="BF514" s="770">
        <f t="shared" si="711"/>
        <v>3.1183367183594962E-2</v>
      </c>
      <c r="BG514" s="770">
        <f t="shared" si="711"/>
        <v>3.5099117680760857E-2</v>
      </c>
      <c r="BH514" s="770">
        <f t="shared" si="711"/>
        <v>3.4330160638095526E-2</v>
      </c>
      <c r="BI514" s="770">
        <f t="shared" si="711"/>
        <v>3.3924862759797503E-2</v>
      </c>
      <c r="BJ514" s="770">
        <f t="shared" si="711"/>
        <v>2.9481605746284528E-2</v>
      </c>
      <c r="BK514" s="770">
        <f t="shared" si="711"/>
        <v>2.719153699442237E-2</v>
      </c>
      <c r="BL514" s="770">
        <f t="shared" si="711"/>
        <v>2.5827064733595355E-2</v>
      </c>
      <c r="BM514" s="770">
        <f t="shared" si="711"/>
        <v>2.134566061093305E-2</v>
      </c>
      <c r="BN514" s="771">
        <f t="shared" si="711"/>
        <v>1.9983040866287355E-2</v>
      </c>
      <c r="BO514" s="772">
        <f t="shared" si="711"/>
        <v>1.9983040866287351E-2</v>
      </c>
      <c r="BP514" s="772" t="e">
        <f t="shared" si="711"/>
        <v>#REF!</v>
      </c>
      <c r="BQ514" s="772" t="e">
        <f t="shared" si="710"/>
        <v>#REF!</v>
      </c>
      <c r="BR514" s="772" t="e">
        <f t="shared" si="710"/>
        <v>#REF!</v>
      </c>
      <c r="BS514" s="772" t="e">
        <f t="shared" si="710"/>
        <v>#REF!</v>
      </c>
      <c r="BT514" s="27"/>
    </row>
    <row r="515" spans="1:72" s="19" customFormat="1" x14ac:dyDescent="0.35">
      <c r="A515" s="122" t="s">
        <v>182</v>
      </c>
      <c r="B515" s="367"/>
      <c r="C515" s="217"/>
      <c r="D515" s="217"/>
      <c r="E515" s="217"/>
      <c r="F515" s="217"/>
      <c r="G515" s="27">
        <f t="shared" ref="G515:P518" si="712">G580/(G$190+F$190+E$190+D$190)</f>
        <v>5.9167260868040535E-2</v>
      </c>
      <c r="H515" s="27">
        <f t="shared" si="712"/>
        <v>1.8935607713014134E-2</v>
      </c>
      <c r="I515" s="27">
        <f t="shared" si="712"/>
        <v>2.7637733916913879E-2</v>
      </c>
      <c r="J515" s="27">
        <f t="shared" si="712"/>
        <v>3.3685932186616759E-2</v>
      </c>
      <c r="K515" s="27">
        <f t="shared" si="712"/>
        <v>4.4876651445900896E-2</v>
      </c>
      <c r="L515" s="27">
        <f t="shared" si="712"/>
        <v>1.7783903071152719E-2</v>
      </c>
      <c r="M515" s="27">
        <f t="shared" si="712"/>
        <v>2.1204951915188661E-2</v>
      </c>
      <c r="N515" s="27">
        <f t="shared" si="712"/>
        <v>3.1444889454114437E-2</v>
      </c>
      <c r="O515" s="27">
        <f t="shared" si="712"/>
        <v>4.5355334193813976E-2</v>
      </c>
      <c r="P515" s="27">
        <f t="shared" si="712"/>
        <v>1.8411128406635474E-2</v>
      </c>
      <c r="Q515" s="27">
        <f t="shared" ref="Q515:Z518" si="713">Q580/(Q$190+P$190+O$190+N$190)</f>
        <v>1.7750125135845667E-2</v>
      </c>
      <c r="R515" s="27">
        <f t="shared" si="713"/>
        <v>2.9699782284863068E-2</v>
      </c>
      <c r="S515" s="27">
        <f t="shared" si="713"/>
        <v>3.5425524183291542E-2</v>
      </c>
      <c r="T515" s="27">
        <f t="shared" si="713"/>
        <v>2.0582671715457832E-2</v>
      </c>
      <c r="U515" s="27">
        <f t="shared" si="713"/>
        <v>1.8012929491768078E-2</v>
      </c>
      <c r="V515" s="27">
        <f t="shared" si="713"/>
        <v>3.3822574418780012E-2</v>
      </c>
      <c r="W515" s="27">
        <f t="shared" si="713"/>
        <v>3.8292391287214331E-2</v>
      </c>
      <c r="X515" s="27">
        <f t="shared" si="713"/>
        <v>1.9407726224630693E-2</v>
      </c>
      <c r="Y515" s="27">
        <f t="shared" si="713"/>
        <v>1.9615075931850242E-2</v>
      </c>
      <c r="Z515" s="27">
        <f t="shared" si="713"/>
        <v>3.1994020053741058E-2</v>
      </c>
      <c r="AA515" s="27">
        <f t="shared" ref="AA515:AJ518" si="714">AA580/(AA$190+Z$190+Y$190+X$190)</f>
        <v>4.1543695753209472E-2</v>
      </c>
      <c r="AB515" s="27">
        <f t="shared" si="714"/>
        <v>2.0921871229257077E-2</v>
      </c>
      <c r="AC515" s="27">
        <f t="shared" si="714"/>
        <v>2.3247241343387636E-2</v>
      </c>
      <c r="AD515" s="27">
        <f t="shared" si="714"/>
        <v>4.9705046113618284E-2</v>
      </c>
      <c r="AE515" s="27">
        <f t="shared" si="714"/>
        <v>4.5228909930801843E-2</v>
      </c>
      <c r="AF515" s="27">
        <f t="shared" si="714"/>
        <v>2.9873682689510135E-2</v>
      </c>
      <c r="AG515" s="27">
        <f t="shared" si="714"/>
        <v>2.4544131778693343E-2</v>
      </c>
      <c r="AH515" s="27">
        <f t="shared" si="714"/>
        <v>3.8844503802491423E-2</v>
      </c>
      <c r="AI515" s="27">
        <f t="shared" si="714"/>
        <v>7.9643756647300709E-2</v>
      </c>
      <c r="AJ515" s="27">
        <f t="shared" si="714"/>
        <v>3.0828862934832977E-2</v>
      </c>
      <c r="AK515" s="27">
        <f t="shared" ref="AK515:AT518" si="715">AK580/(AK$190+AJ$190+AI$190+AH$190)</f>
        <v>3.3406927092468938E-2</v>
      </c>
      <c r="AL515" s="27">
        <f t="shared" si="715"/>
        <v>4.0438324787214659E-2</v>
      </c>
      <c r="AM515" s="27">
        <f t="shared" si="715"/>
        <v>3.7412533380671839E-2</v>
      </c>
      <c r="AN515" s="27">
        <f t="shared" si="715"/>
        <v>2.1146213426635689E-2</v>
      </c>
      <c r="AO515" s="27">
        <f t="shared" si="715"/>
        <v>2.0164951364823675E-2</v>
      </c>
      <c r="AP515" s="27">
        <f t="shared" si="715"/>
        <v>3.6757129153015482E-2</v>
      </c>
      <c r="AQ515" s="27">
        <f t="shared" si="715"/>
        <v>4.0287685719126665E-2</v>
      </c>
      <c r="AR515" s="27">
        <f t="shared" si="715"/>
        <v>1.8635992361339105E-2</v>
      </c>
      <c r="AS515" s="27">
        <f t="shared" si="715"/>
        <v>1.9486147655161743E-2</v>
      </c>
      <c r="AT515" s="27">
        <f t="shared" si="715"/>
        <v>2.6589265673864316E-2</v>
      </c>
      <c r="AU515" s="496">
        <f>AU580/(AU$190+AT$190+AS$190+AR$190)</f>
        <v>3.9413672347493031E-2</v>
      </c>
      <c r="AV515" s="217">
        <f t="shared" si="708"/>
        <v>1.8635992361339105E-2</v>
      </c>
      <c r="AW515" s="217">
        <f t="shared" si="708"/>
        <v>1.9486147655161743E-2</v>
      </c>
      <c r="AX515" s="217">
        <f t="shared" si="708"/>
        <v>2.6589265673864316E-2</v>
      </c>
      <c r="AY515" s="217"/>
      <c r="AZ515" s="770">
        <f t="shared" ref="AZ515:BP515" si="716">AZ580/AZ$190</f>
        <v>3.2848184096865067E-2</v>
      </c>
      <c r="BA515" s="770">
        <f t="shared" si="716"/>
        <v>3.3009077431269018E-2</v>
      </c>
      <c r="BB515" s="770">
        <f t="shared" si="716"/>
        <v>4.0533349667134989E-2</v>
      </c>
      <c r="BC515" s="770">
        <f t="shared" si="716"/>
        <v>3.3809660265920576E-2</v>
      </c>
      <c r="BD515" s="770">
        <f t="shared" si="716"/>
        <v>2.5745679187003372E-2</v>
      </c>
      <c r="BE515" s="770">
        <f t="shared" si="716"/>
        <v>3.3685932186616759E-2</v>
      </c>
      <c r="BF515" s="770">
        <f t="shared" si="716"/>
        <v>3.1444889454114444E-2</v>
      </c>
      <c r="BG515" s="770">
        <f t="shared" si="716"/>
        <v>2.9699782284863068E-2</v>
      </c>
      <c r="BH515" s="770">
        <f t="shared" si="716"/>
        <v>3.3822574418780012E-2</v>
      </c>
      <c r="BI515" s="770">
        <f t="shared" si="716"/>
        <v>3.1994020053741058E-2</v>
      </c>
      <c r="BJ515" s="770">
        <f t="shared" si="716"/>
        <v>4.9705046113618284E-2</v>
      </c>
      <c r="BK515" s="770">
        <f t="shared" si="716"/>
        <v>3.884450380249143E-2</v>
      </c>
      <c r="BL515" s="770">
        <f t="shared" si="716"/>
        <v>4.0438324787214659E-2</v>
      </c>
      <c r="BM515" s="770">
        <f t="shared" si="716"/>
        <v>3.6757129153015475E-2</v>
      </c>
      <c r="BN515" s="771">
        <f t="shared" si="716"/>
        <v>2.6589265673864319E-2</v>
      </c>
      <c r="BO515" s="772">
        <f t="shared" si="716"/>
        <v>2.6589265673864316E-2</v>
      </c>
      <c r="BP515" s="772" t="e">
        <f t="shared" si="716"/>
        <v>#REF!</v>
      </c>
      <c r="BQ515" s="772" t="e">
        <f t="shared" si="710"/>
        <v>#REF!</v>
      </c>
      <c r="BR515" s="772" t="e">
        <f t="shared" si="710"/>
        <v>#REF!</v>
      </c>
      <c r="BS515" s="772" t="e">
        <f t="shared" si="710"/>
        <v>#REF!</v>
      </c>
      <c r="BT515" s="27"/>
    </row>
    <row r="516" spans="1:72" s="19" customFormat="1" x14ac:dyDescent="0.35">
      <c r="A516" s="122" t="s">
        <v>183</v>
      </c>
      <c r="B516" s="367"/>
      <c r="C516" s="217"/>
      <c r="D516" s="217"/>
      <c r="E516" s="217"/>
      <c r="F516" s="217"/>
      <c r="G516" s="27">
        <f t="shared" si="712"/>
        <v>1.8354393388584321E-2</v>
      </c>
      <c r="H516" s="27">
        <f t="shared" si="712"/>
        <v>1.669947021975518E-2</v>
      </c>
      <c r="I516" s="27">
        <f t="shared" si="712"/>
        <v>1.6741635357974564E-2</v>
      </c>
      <c r="J516" s="27">
        <f t="shared" si="712"/>
        <v>2.2335852310851036E-2</v>
      </c>
      <c r="K516" s="27">
        <f t="shared" si="712"/>
        <v>1.1468920647613587E-2</v>
      </c>
      <c r="L516" s="27">
        <f t="shared" si="712"/>
        <v>1.0856595429837355E-2</v>
      </c>
      <c r="M516" s="27">
        <f t="shared" si="712"/>
        <v>2.0438558884707598E-2</v>
      </c>
      <c r="N516" s="27">
        <f t="shared" si="712"/>
        <v>1.3166802700428347E-2</v>
      </c>
      <c r="O516" s="27">
        <f t="shared" si="712"/>
        <v>1.1496421572621278E-2</v>
      </c>
      <c r="P516" s="27">
        <f t="shared" si="712"/>
        <v>1.1966134948298342E-2</v>
      </c>
      <c r="Q516" s="27">
        <f t="shared" si="713"/>
        <v>1.6018515595759359E-2</v>
      </c>
      <c r="R516" s="27">
        <f t="shared" si="713"/>
        <v>3.0797524922653832E-2</v>
      </c>
      <c r="S516" s="27">
        <f t="shared" si="713"/>
        <v>1.5861768232857298E-2</v>
      </c>
      <c r="T516" s="27">
        <f t="shared" si="713"/>
        <v>1.5176612494078198E-2</v>
      </c>
      <c r="U516" s="27">
        <f t="shared" si="713"/>
        <v>1.9933339298496781E-2</v>
      </c>
      <c r="V516" s="27">
        <f t="shared" si="713"/>
        <v>2.4334876350421319E-2</v>
      </c>
      <c r="W516" s="27">
        <f t="shared" si="713"/>
        <v>1.2958163226243744E-2</v>
      </c>
      <c r="X516" s="27">
        <f t="shared" si="713"/>
        <v>1.4111934247591563E-2</v>
      </c>
      <c r="Y516" s="27">
        <f t="shared" si="713"/>
        <v>1.4871151709444703E-2</v>
      </c>
      <c r="Z516" s="27">
        <f t="shared" si="713"/>
        <v>1.5630890868160056E-2</v>
      </c>
      <c r="AA516" s="27">
        <f t="shared" si="714"/>
        <v>1.4906467658516819E-2</v>
      </c>
      <c r="AB516" s="27">
        <f t="shared" si="714"/>
        <v>1.4949014442840138E-2</v>
      </c>
      <c r="AC516" s="27">
        <f t="shared" si="714"/>
        <v>1.7735938263789275E-2</v>
      </c>
      <c r="AD516" s="27">
        <f t="shared" si="714"/>
        <v>2.0364222763036646E-2</v>
      </c>
      <c r="AE516" s="27">
        <f t="shared" si="714"/>
        <v>1.8197676296719034E-2</v>
      </c>
      <c r="AF516" s="27">
        <f t="shared" si="714"/>
        <v>1.9151649115544504E-2</v>
      </c>
      <c r="AG516" s="27">
        <f t="shared" si="714"/>
        <v>2.5242474818800407E-2</v>
      </c>
      <c r="AH516" s="27">
        <f t="shared" si="714"/>
        <v>2.6279707714998095E-2</v>
      </c>
      <c r="AI516" s="27">
        <f t="shared" si="714"/>
        <v>2.2329733830819917E-2</v>
      </c>
      <c r="AJ516" s="27">
        <f t="shared" si="714"/>
        <v>3.260628814238252E-2</v>
      </c>
      <c r="AK516" s="27">
        <f t="shared" si="715"/>
        <v>3.1387300354144811E-2</v>
      </c>
      <c r="AL516" s="27">
        <f t="shared" si="715"/>
        <v>5.0523178635570938E-2</v>
      </c>
      <c r="AM516" s="27">
        <f t="shared" si="715"/>
        <v>4.8368290181644485E-2</v>
      </c>
      <c r="AN516" s="27">
        <f t="shared" si="715"/>
        <v>3.8428448881697254E-2</v>
      </c>
      <c r="AO516" s="27">
        <f t="shared" si="715"/>
        <v>3.3857081029979162E-2</v>
      </c>
      <c r="AP516" s="27">
        <f t="shared" si="715"/>
        <v>3.7470370541648444E-2</v>
      </c>
      <c r="AQ516" s="27">
        <f t="shared" si="715"/>
        <v>2.4854083045589191E-2</v>
      </c>
      <c r="AR516" s="27">
        <f t="shared" si="715"/>
        <v>2.3236910954616767E-2</v>
      </c>
      <c r="AS516" s="27">
        <f t="shared" si="715"/>
        <v>2.5286333384924933E-2</v>
      </c>
      <c r="AT516" s="27">
        <f t="shared" si="715"/>
        <v>4.170444736409562E-2</v>
      </c>
      <c r="AU516" s="496">
        <f>AU581/(AU$190+AT$190+AS$190+AR$190)</f>
        <v>2.6862341727837143E-2</v>
      </c>
      <c r="AV516" s="217">
        <f t="shared" si="708"/>
        <v>2.3236910954616767E-2</v>
      </c>
      <c r="AW516" s="217">
        <f t="shared" si="708"/>
        <v>2.5286333384924933E-2</v>
      </c>
      <c r="AX516" s="217">
        <f t="shared" si="708"/>
        <v>4.170444736409562E-2</v>
      </c>
      <c r="AY516" s="217"/>
      <c r="AZ516" s="770">
        <f t="shared" ref="AZ516:BP516" si="717">AZ581/AZ$190</f>
        <v>2.4808839793011444E-2</v>
      </c>
      <c r="BA516" s="770">
        <f t="shared" si="717"/>
        <v>2.2992691237287692E-2</v>
      </c>
      <c r="BB516" s="770">
        <f t="shared" si="717"/>
        <v>2.7038822128728223E-2</v>
      </c>
      <c r="BC516" s="770">
        <f t="shared" si="717"/>
        <v>1.9483150222965047E-2</v>
      </c>
      <c r="BD516" s="770">
        <f t="shared" si="717"/>
        <v>2.0073801608073379E-2</v>
      </c>
      <c r="BE516" s="770">
        <f t="shared" si="717"/>
        <v>2.2335852310851036E-2</v>
      </c>
      <c r="BF516" s="770">
        <f t="shared" si="717"/>
        <v>1.3166802700428349E-2</v>
      </c>
      <c r="BG516" s="770">
        <f t="shared" si="717"/>
        <v>3.0797524922653832E-2</v>
      </c>
      <c r="BH516" s="770">
        <f t="shared" si="717"/>
        <v>2.4334876350421319E-2</v>
      </c>
      <c r="BI516" s="770">
        <f t="shared" si="717"/>
        <v>1.5630890868160056E-2</v>
      </c>
      <c r="BJ516" s="770">
        <f t="shared" si="717"/>
        <v>2.0364222763036646E-2</v>
      </c>
      <c r="BK516" s="770">
        <f t="shared" si="717"/>
        <v>2.6279707714998098E-2</v>
      </c>
      <c r="BL516" s="770">
        <f t="shared" si="717"/>
        <v>5.0523178635570938E-2</v>
      </c>
      <c r="BM516" s="770">
        <f t="shared" si="717"/>
        <v>3.7470370541648437E-2</v>
      </c>
      <c r="BN516" s="771">
        <f t="shared" si="717"/>
        <v>4.170444736409562E-2</v>
      </c>
      <c r="BO516" s="772">
        <f t="shared" si="717"/>
        <v>4.170444736409562E-2</v>
      </c>
      <c r="BP516" s="772" t="e">
        <f t="shared" si="717"/>
        <v>#REF!</v>
      </c>
      <c r="BQ516" s="772" t="e">
        <f t="shared" si="710"/>
        <v>#REF!</v>
      </c>
      <c r="BR516" s="772" t="e">
        <f t="shared" si="710"/>
        <v>#REF!</v>
      </c>
      <c r="BS516" s="772" t="e">
        <f t="shared" si="710"/>
        <v>#REF!</v>
      </c>
      <c r="BT516" s="27"/>
    </row>
    <row r="517" spans="1:72" s="19" customFormat="1" x14ac:dyDescent="0.35">
      <c r="A517" s="122" t="s">
        <v>184</v>
      </c>
      <c r="B517" s="367"/>
      <c r="C517" s="217"/>
      <c r="D517" s="217"/>
      <c r="E517" s="217"/>
      <c r="F517" s="217"/>
      <c r="G517" s="27">
        <f t="shared" si="712"/>
        <v>1.4100690832154672E-2</v>
      </c>
      <c r="H517" s="27">
        <f t="shared" si="712"/>
        <v>2.3518945340006248E-2</v>
      </c>
      <c r="I517" s="27">
        <f t="shared" si="712"/>
        <v>2.1823636808691725E-2</v>
      </c>
      <c r="J517" s="27">
        <f t="shared" si="712"/>
        <v>1.8922237217430641E-2</v>
      </c>
      <c r="K517" s="27">
        <f t="shared" si="712"/>
        <v>1.3438962645718986E-2</v>
      </c>
      <c r="L517" s="27">
        <f t="shared" si="712"/>
        <v>2.0405566651412833E-2</v>
      </c>
      <c r="M517" s="27">
        <f t="shared" si="712"/>
        <v>2.3308298533373555E-2</v>
      </c>
      <c r="N517" s="27">
        <f t="shared" si="712"/>
        <v>2.8250732367809978E-2</v>
      </c>
      <c r="O517" s="27">
        <f t="shared" si="712"/>
        <v>1.804007667139788E-2</v>
      </c>
      <c r="P517" s="27">
        <f t="shared" si="712"/>
        <v>1.9005425570596677E-2</v>
      </c>
      <c r="Q517" s="27">
        <f t="shared" si="713"/>
        <v>3.0323459250808309E-2</v>
      </c>
      <c r="R517" s="27">
        <f t="shared" si="713"/>
        <v>3.5570069898017649E-2</v>
      </c>
      <c r="S517" s="27">
        <f t="shared" si="713"/>
        <v>1.861781859805952E-2</v>
      </c>
      <c r="T517" s="27">
        <f t="shared" si="713"/>
        <v>2.3396017637170211E-2</v>
      </c>
      <c r="U517" s="27">
        <f t="shared" si="713"/>
        <v>2.8093682891911238E-2</v>
      </c>
      <c r="V517" s="27">
        <f t="shared" si="713"/>
        <v>3.30516286089549E-2</v>
      </c>
      <c r="W517" s="27">
        <f t="shared" si="713"/>
        <v>1.6079201410547129E-2</v>
      </c>
      <c r="X517" s="27">
        <f t="shared" si="713"/>
        <v>2.2240516936243553E-2</v>
      </c>
      <c r="Y517" s="27">
        <f t="shared" si="713"/>
        <v>3.2962672336125591E-2</v>
      </c>
      <c r="Z517" s="27">
        <f t="shared" si="713"/>
        <v>3.9281534736644821E-2</v>
      </c>
      <c r="AA517" s="27">
        <f t="shared" si="714"/>
        <v>1.9918895032560037E-2</v>
      </c>
      <c r="AB517" s="27">
        <f t="shared" si="714"/>
        <v>2.8754790760836219E-2</v>
      </c>
      <c r="AC517" s="27">
        <f t="shared" si="714"/>
        <v>3.0600653903789597E-2</v>
      </c>
      <c r="AD517" s="27">
        <f t="shared" si="714"/>
        <v>4.134670667643283E-2</v>
      </c>
      <c r="AE517" s="27">
        <f t="shared" si="714"/>
        <v>1.8560846705868186E-2</v>
      </c>
      <c r="AF517" s="27">
        <f t="shared" si="714"/>
        <v>2.7390880706392798E-2</v>
      </c>
      <c r="AG517" s="27">
        <f t="shared" si="714"/>
        <v>2.7606920404455393E-2</v>
      </c>
      <c r="AH517" s="27">
        <f t="shared" si="714"/>
        <v>4.5377198503024199E-2</v>
      </c>
      <c r="AI517" s="27">
        <f t="shared" si="714"/>
        <v>2.3902567460358702E-2</v>
      </c>
      <c r="AJ517" s="27">
        <f t="shared" si="714"/>
        <v>3.3381506295211236E-2</v>
      </c>
      <c r="AK517" s="27">
        <f t="shared" si="715"/>
        <v>4.4607901967147687E-2</v>
      </c>
      <c r="AL517" s="27">
        <f t="shared" si="715"/>
        <v>5.2293786928342745E-2</v>
      </c>
      <c r="AM517" s="27">
        <f t="shared" si="715"/>
        <v>2.2953003334555109E-2</v>
      </c>
      <c r="AN517" s="27">
        <f t="shared" si="715"/>
        <v>2.5755476469749679E-2</v>
      </c>
      <c r="AO517" s="27">
        <f t="shared" si="715"/>
        <v>3.6736823688661206E-2</v>
      </c>
      <c r="AP517" s="27">
        <f t="shared" si="715"/>
        <v>4.3296657429508875E-2</v>
      </c>
      <c r="AQ517" s="27">
        <f t="shared" si="715"/>
        <v>2.3419159962374168E-2</v>
      </c>
      <c r="AR517" s="27">
        <f t="shared" si="715"/>
        <v>1.9359643014158334E-2</v>
      </c>
      <c r="AS517" s="27">
        <f t="shared" si="715"/>
        <v>2.9717314878280675E-2</v>
      </c>
      <c r="AT517" s="27">
        <f t="shared" si="715"/>
        <v>3.1254660224082624E-2</v>
      </c>
      <c r="AU517" s="496">
        <f>AU582/(AU$190+AT$190+AS$190+AR$190)</f>
        <v>2.1144701221577595E-2</v>
      </c>
      <c r="AV517" s="217">
        <f t="shared" si="708"/>
        <v>1.9359643014158334E-2</v>
      </c>
      <c r="AW517" s="217">
        <f t="shared" si="708"/>
        <v>2.9717314878280675E-2</v>
      </c>
      <c r="AX517" s="217">
        <f t="shared" si="708"/>
        <v>3.1254660224082624E-2</v>
      </c>
      <c r="AY517" s="217"/>
      <c r="AZ517" s="770">
        <f t="shared" ref="AZ517:BP517" si="718">AZ582/AZ$190</f>
        <v>2.6272843367461732E-2</v>
      </c>
      <c r="BA517" s="770">
        <f t="shared" si="718"/>
        <v>2.7474185242021484E-2</v>
      </c>
      <c r="BB517" s="770">
        <f t="shared" si="718"/>
        <v>2.5048140052140559E-2</v>
      </c>
      <c r="BC517" s="770">
        <f t="shared" si="718"/>
        <v>2.4498628613212461E-2</v>
      </c>
      <c r="BD517" s="770">
        <f t="shared" si="718"/>
        <v>2.5901299191247552E-2</v>
      </c>
      <c r="BE517" s="770">
        <f t="shared" si="718"/>
        <v>1.8922237217430641E-2</v>
      </c>
      <c r="BF517" s="770">
        <f t="shared" si="718"/>
        <v>2.8250732367809981E-2</v>
      </c>
      <c r="BG517" s="770">
        <f t="shared" si="718"/>
        <v>3.5570069898017649E-2</v>
      </c>
      <c r="BH517" s="770">
        <f t="shared" si="718"/>
        <v>3.30516286089549E-2</v>
      </c>
      <c r="BI517" s="770">
        <f t="shared" si="718"/>
        <v>3.9281534736644821E-2</v>
      </c>
      <c r="BJ517" s="770">
        <f t="shared" si="718"/>
        <v>4.134670667643283E-2</v>
      </c>
      <c r="BK517" s="770">
        <f t="shared" si="718"/>
        <v>4.5377198503024213E-2</v>
      </c>
      <c r="BL517" s="770">
        <f t="shared" si="718"/>
        <v>5.2293786928342745E-2</v>
      </c>
      <c r="BM517" s="770">
        <f t="shared" si="718"/>
        <v>4.3296657429508868E-2</v>
      </c>
      <c r="BN517" s="771">
        <f t="shared" si="718"/>
        <v>3.1254660224082624E-2</v>
      </c>
      <c r="BO517" s="772">
        <f t="shared" si="718"/>
        <v>3.1254660224082624E-2</v>
      </c>
      <c r="BP517" s="772" t="e">
        <f t="shared" si="718"/>
        <v>#REF!</v>
      </c>
      <c r="BQ517" s="772" t="e">
        <f t="shared" si="710"/>
        <v>#REF!</v>
      </c>
      <c r="BR517" s="772" t="e">
        <f t="shared" si="710"/>
        <v>#REF!</v>
      </c>
      <c r="BS517" s="772" t="e">
        <f t="shared" si="710"/>
        <v>#REF!</v>
      </c>
      <c r="BT517" s="27"/>
    </row>
    <row r="518" spans="1:72" s="19" customFormat="1" x14ac:dyDescent="0.35">
      <c r="A518" s="122" t="s">
        <v>185</v>
      </c>
      <c r="B518" s="367"/>
      <c r="C518" s="217"/>
      <c r="D518" s="217"/>
      <c r="E518" s="217"/>
      <c r="F518" s="217"/>
      <c r="G518" s="27">
        <f t="shared" si="712"/>
        <v>8.7141871909665811E-2</v>
      </c>
      <c r="H518" s="27">
        <f t="shared" si="712"/>
        <v>7.0026712282497544E-2</v>
      </c>
      <c r="I518" s="27">
        <f t="shared" si="712"/>
        <v>5.8913489199343361E-2</v>
      </c>
      <c r="J518" s="27">
        <f t="shared" si="712"/>
        <v>2.6483519710120026E-2</v>
      </c>
      <c r="K518" s="27">
        <f t="shared" si="712"/>
        <v>7.8545186491202179E-2</v>
      </c>
      <c r="L518" s="27">
        <f t="shared" si="712"/>
        <v>6.8032811424123582E-2</v>
      </c>
      <c r="M518" s="27">
        <f t="shared" si="712"/>
        <v>5.9837935396454899E-2</v>
      </c>
      <c r="N518" s="27">
        <f t="shared" si="712"/>
        <v>2.628615176306082E-2</v>
      </c>
      <c r="O518" s="27">
        <f t="shared" si="712"/>
        <v>6.8949584696594804E-2</v>
      </c>
      <c r="P518" s="27">
        <f t="shared" si="712"/>
        <v>6.2706589668017454E-2</v>
      </c>
      <c r="Q518" s="27">
        <f t="shared" si="713"/>
        <v>5.7379858314656904E-2</v>
      </c>
      <c r="R518" s="27">
        <f t="shared" si="713"/>
        <v>2.9751346396241544E-2</v>
      </c>
      <c r="S518" s="27">
        <f t="shared" si="713"/>
        <v>8.1482339474544863E-2</v>
      </c>
      <c r="T518" s="27">
        <f t="shared" si="713"/>
        <v>6.6329781932092186E-2</v>
      </c>
      <c r="U518" s="27">
        <f t="shared" si="713"/>
        <v>5.6814826413743739E-2</v>
      </c>
      <c r="V518" s="27">
        <f t="shared" si="713"/>
        <v>2.7945378770740971E-2</v>
      </c>
      <c r="W518" s="27">
        <f t="shared" si="713"/>
        <v>7.4050346444245796E-2</v>
      </c>
      <c r="X518" s="27">
        <f t="shared" si="713"/>
        <v>6.2134804650526364E-2</v>
      </c>
      <c r="Y518" s="27">
        <f t="shared" si="713"/>
        <v>5.4815574915774115E-2</v>
      </c>
      <c r="Z518" s="27">
        <f t="shared" si="713"/>
        <v>2.5185947126291495E-2</v>
      </c>
      <c r="AA518" s="27">
        <f t="shared" si="714"/>
        <v>7.3845296475560554E-2</v>
      </c>
      <c r="AB518" s="27">
        <f t="shared" si="714"/>
        <v>5.2638037311692927E-2</v>
      </c>
      <c r="AC518" s="27">
        <f t="shared" si="714"/>
        <v>5.2916322752806735E-2</v>
      </c>
      <c r="AD518" s="27">
        <f t="shared" si="714"/>
        <v>2.2473989714024683E-2</v>
      </c>
      <c r="AE518" s="27">
        <f t="shared" si="714"/>
        <v>2.5017644600067151E-2</v>
      </c>
      <c r="AF518" s="27">
        <f t="shared" si="714"/>
        <v>2.3011073511636851E-2</v>
      </c>
      <c r="AG518" s="27">
        <f t="shared" si="714"/>
        <v>3.8533362901060943E-2</v>
      </c>
      <c r="AH518" s="27">
        <f t="shared" si="714"/>
        <v>2.3460627519180596E-2</v>
      </c>
      <c r="AI518" s="27">
        <f t="shared" si="714"/>
        <v>4.7958434233728614E-2</v>
      </c>
      <c r="AJ518" s="27">
        <f t="shared" si="714"/>
        <v>4.9195328269936139E-2</v>
      </c>
      <c r="AK518" s="27">
        <f t="shared" si="715"/>
        <v>3.7956058205585785E-2</v>
      </c>
      <c r="AL518" s="27">
        <f t="shared" si="715"/>
        <v>2.4798927613941018E-2</v>
      </c>
      <c r="AM518" s="27">
        <f t="shared" si="715"/>
        <v>4.1453973305679473E-2</v>
      </c>
      <c r="AN518" s="27">
        <f t="shared" si="715"/>
        <v>3.1517680512796145E-2</v>
      </c>
      <c r="AO518" s="27">
        <f t="shared" si="715"/>
        <v>3.1633583287547618E-2</v>
      </c>
      <c r="AP518" s="27">
        <f t="shared" si="715"/>
        <v>3.1796455255515915E-2</v>
      </c>
      <c r="AQ518" s="27">
        <f t="shared" si="715"/>
        <v>4.7138625488580797E-2</v>
      </c>
      <c r="AR518" s="27">
        <f t="shared" si="715"/>
        <v>4.7599058913342561E-2</v>
      </c>
      <c r="AS518" s="27">
        <f t="shared" si="715"/>
        <v>5.21491586883941E-2</v>
      </c>
      <c r="AT518" s="27">
        <f t="shared" si="715"/>
        <v>4.1450278062304675E-2</v>
      </c>
      <c r="AU518" s="496">
        <f>AU583/(AU$190+AT$190+AS$190+AR$190)</f>
        <v>4.4346062041155383E-2</v>
      </c>
      <c r="AV518" s="217">
        <f t="shared" si="708"/>
        <v>4.7599058913342561E-2</v>
      </c>
      <c r="AW518" s="217">
        <f t="shared" si="708"/>
        <v>5.21491586883941E-2</v>
      </c>
      <c r="AX518" s="217">
        <f t="shared" si="708"/>
        <v>4.1450278062304675E-2</v>
      </c>
      <c r="AY518" s="217"/>
      <c r="AZ518" s="770">
        <f t="shared" ref="AZ518:BP518" si="719">AZ583/AZ$190</f>
        <v>1.0739195051541165E-2</v>
      </c>
      <c r="BA518" s="770">
        <f t="shared" si="719"/>
        <v>2.4951231565531768E-2</v>
      </c>
      <c r="BB518" s="770">
        <f t="shared" si="719"/>
        <v>4.1932569472890355E-2</v>
      </c>
      <c r="BC518" s="770">
        <f t="shared" si="719"/>
        <v>3.5869210778549619E-2</v>
      </c>
      <c r="BD518" s="770">
        <f t="shared" si="719"/>
        <v>3.3678762585178372E-2</v>
      </c>
      <c r="BE518" s="770">
        <f t="shared" si="719"/>
        <v>2.6483519710120026E-2</v>
      </c>
      <c r="BF518" s="770">
        <f t="shared" si="719"/>
        <v>2.6286151763060824E-2</v>
      </c>
      <c r="BG518" s="770">
        <f t="shared" si="719"/>
        <v>2.9751346396241544E-2</v>
      </c>
      <c r="BH518" s="770">
        <f t="shared" si="719"/>
        <v>2.7945378770740971E-2</v>
      </c>
      <c r="BI518" s="770">
        <f t="shared" si="719"/>
        <v>2.5185947126291495E-2</v>
      </c>
      <c r="BJ518" s="770">
        <f t="shared" si="719"/>
        <v>2.2473989714024683E-2</v>
      </c>
      <c r="BK518" s="770">
        <f t="shared" si="719"/>
        <v>2.3460627519180603E-2</v>
      </c>
      <c r="BL518" s="770">
        <f t="shared" si="719"/>
        <v>2.4798927613941018E-2</v>
      </c>
      <c r="BM518" s="770">
        <f t="shared" si="719"/>
        <v>3.1796455255515915E-2</v>
      </c>
      <c r="BN518" s="771">
        <f t="shared" si="719"/>
        <v>4.1450278062304682E-2</v>
      </c>
      <c r="BO518" s="772">
        <f t="shared" si="719"/>
        <v>4.1450278062304675E-2</v>
      </c>
      <c r="BP518" s="772" t="e">
        <f t="shared" si="719"/>
        <v>#REF!</v>
      </c>
      <c r="BQ518" s="772" t="e">
        <f t="shared" si="710"/>
        <v>#REF!</v>
      </c>
      <c r="BR518" s="772" t="e">
        <f t="shared" si="710"/>
        <v>#REF!</v>
      </c>
      <c r="BS518" s="772" t="e">
        <f t="shared" si="710"/>
        <v>#REF!</v>
      </c>
      <c r="BT518" s="27"/>
    </row>
    <row r="519" spans="1:72" s="19" customFormat="1" x14ac:dyDescent="0.35">
      <c r="A519" s="121"/>
      <c r="B519" s="367"/>
      <c r="C519" s="217"/>
      <c r="D519" s="217"/>
      <c r="E519" s="217"/>
      <c r="F519" s="217"/>
      <c r="G519" s="217"/>
      <c r="H519" s="217"/>
      <c r="I519" s="217"/>
      <c r="J519" s="217"/>
      <c r="K519" s="217"/>
      <c r="L519" s="217"/>
      <c r="M519" s="217"/>
      <c r="N519" s="217"/>
      <c r="O519" s="217"/>
      <c r="P519" s="217"/>
      <c r="Q519" s="217"/>
      <c r="R519" s="217"/>
      <c r="S519" s="217"/>
      <c r="T519" s="217"/>
      <c r="U519" s="217"/>
      <c r="V519" s="217"/>
      <c r="W519" s="217"/>
      <c r="X519" s="217"/>
      <c r="Y519" s="217"/>
      <c r="Z519" s="217"/>
      <c r="AA519" s="217"/>
      <c r="AB519" s="217"/>
      <c r="AC519" s="217"/>
      <c r="AD519" s="217"/>
      <c r="AE519" s="217"/>
      <c r="AF519" s="217"/>
      <c r="AG519" s="217"/>
      <c r="AH519" s="217"/>
      <c r="AI519" s="217"/>
      <c r="AJ519" s="217"/>
      <c r="AK519" s="217"/>
      <c r="AL519" s="217"/>
      <c r="AM519" s="217"/>
      <c r="AN519" s="217"/>
      <c r="AO519" s="217"/>
      <c r="AP519" s="217"/>
      <c r="AQ519" s="217"/>
      <c r="AR519" s="217"/>
      <c r="AS519" s="217"/>
      <c r="AT519" s="217"/>
      <c r="AU519" s="510"/>
      <c r="AV519" s="217"/>
      <c r="AW519" s="217"/>
      <c r="AX519" s="217"/>
      <c r="AY519" s="217"/>
      <c r="AZ519" s="772"/>
      <c r="BA519" s="772"/>
      <c r="BB519" s="772"/>
      <c r="BC519" s="772"/>
      <c r="BD519" s="772"/>
      <c r="BE519" s="772"/>
      <c r="BF519" s="772"/>
      <c r="BG519" s="772"/>
      <c r="BH519" s="772"/>
      <c r="BI519" s="772"/>
      <c r="BJ519" s="772"/>
      <c r="BK519" s="772"/>
      <c r="BL519" s="772"/>
      <c r="BM519" s="772"/>
      <c r="BN519" s="825"/>
      <c r="BO519" s="772"/>
      <c r="BP519" s="772"/>
      <c r="BQ519" s="772"/>
      <c r="BR519" s="772"/>
      <c r="BS519" s="772"/>
      <c r="BT519" s="27"/>
    </row>
    <row r="520" spans="1:72" s="19" customFormat="1" x14ac:dyDescent="0.35">
      <c r="A520" s="230" t="s">
        <v>186</v>
      </c>
      <c r="B520" s="380"/>
      <c r="C520" s="422"/>
      <c r="D520" s="422"/>
      <c r="E520" s="422"/>
      <c r="F520" s="422"/>
      <c r="G520" s="422"/>
      <c r="H520" s="422"/>
      <c r="I520" s="422"/>
      <c r="J520" s="422"/>
      <c r="K520" s="231">
        <f t="shared" ref="K520:T525" si="720">K513-G513</f>
        <v>-1.0535557021252473E-2</v>
      </c>
      <c r="L520" s="231">
        <f t="shared" si="720"/>
        <v>-6.0063832154867436E-3</v>
      </c>
      <c r="M520" s="231">
        <f t="shared" si="720"/>
        <v>2.6452529246614398E-2</v>
      </c>
      <c r="N520" s="231">
        <f t="shared" si="720"/>
        <v>-1.3197043237855838E-2</v>
      </c>
      <c r="O520" s="231">
        <f t="shared" si="720"/>
        <v>-2.7649952005415313E-2</v>
      </c>
      <c r="P520" s="231">
        <f t="shared" si="720"/>
        <v>-3.3010986416106169E-2</v>
      </c>
      <c r="Q520" s="231">
        <f t="shared" si="720"/>
        <v>-4.0675606765600225E-2</v>
      </c>
      <c r="R520" s="231">
        <f t="shared" si="720"/>
        <v>-4.2234702190020734E-3</v>
      </c>
      <c r="S520" s="231">
        <f t="shared" si="720"/>
        <v>2.0473267735849232E-2</v>
      </c>
      <c r="T520" s="231">
        <f t="shared" si="720"/>
        <v>-7.2232255664486378E-3</v>
      </c>
      <c r="U520" s="231">
        <f t="shared" ref="U520:AD525" si="721">U513-Q513</f>
        <v>1.2639431764877584E-3</v>
      </c>
      <c r="V520" s="231">
        <f t="shared" si="721"/>
        <v>2.2033944967649433E-2</v>
      </c>
      <c r="W520" s="231">
        <f t="shared" si="721"/>
        <v>1.8382291360763914E-2</v>
      </c>
      <c r="X520" s="231">
        <f t="shared" si="721"/>
        <v>3.1084774651816277E-2</v>
      </c>
      <c r="Y520" s="231">
        <f t="shared" si="721"/>
        <v>-2.0032977572542549E-2</v>
      </c>
      <c r="Z520" s="231">
        <f t="shared" si="721"/>
        <v>-2.4196343972531592E-2</v>
      </c>
      <c r="AA520" s="231">
        <f t="shared" si="721"/>
        <v>-1.6555230835707646E-2</v>
      </c>
      <c r="AB520" s="231">
        <f t="shared" si="721"/>
        <v>-3.09556252131854E-2</v>
      </c>
      <c r="AC520" s="231">
        <f t="shared" si="721"/>
        <v>6.518227164906687E-3</v>
      </c>
      <c r="AD520" s="231">
        <f t="shared" si="721"/>
        <v>-3.4571818592369075E-3</v>
      </c>
      <c r="AE520" s="231">
        <f t="shared" ref="AE520:AN525" si="722">AE513-AA513</f>
        <v>-3.9796161208059788E-2</v>
      </c>
      <c r="AF520" s="231">
        <f t="shared" si="722"/>
        <v>5.5442753618878404E-4</v>
      </c>
      <c r="AG520" s="231">
        <f t="shared" si="722"/>
        <v>3.7524437162191476E-2</v>
      </c>
      <c r="AH520" s="231">
        <f t="shared" si="722"/>
        <v>3.8217916088279791E-2</v>
      </c>
      <c r="AI520" s="231">
        <f t="shared" si="722"/>
        <v>0.10138696876641567</v>
      </c>
      <c r="AJ520" s="231">
        <f t="shared" si="722"/>
        <v>9.6193450113086165E-2</v>
      </c>
      <c r="AK520" s="231">
        <f t="shared" si="722"/>
        <v>2.3693653468711551E-2</v>
      </c>
      <c r="AL520" s="231">
        <f t="shared" si="722"/>
        <v>1.3427704202464724E-2</v>
      </c>
      <c r="AM520" s="231">
        <f t="shared" si="722"/>
        <v>-3.1764558226736295E-2</v>
      </c>
      <c r="AN520" s="231">
        <f t="shared" si="722"/>
        <v>-7.2735554343040743E-2</v>
      </c>
      <c r="AO520" s="231">
        <f t="shared" ref="AO520:AU525" si="723">AO513-AK513</f>
        <v>-4.0797810963490944E-2</v>
      </c>
      <c r="AP520" s="231">
        <f t="shared" si="723"/>
        <v>7.8442791959343616E-3</v>
      </c>
      <c r="AQ520" s="231">
        <f t="shared" si="723"/>
        <v>-1.4002304273260935E-2</v>
      </c>
      <c r="AR520" s="231">
        <f t="shared" si="723"/>
        <v>-1.796867866429136E-2</v>
      </c>
      <c r="AS520" s="231">
        <f t="shared" si="723"/>
        <v>2.9403737005217478E-3</v>
      </c>
      <c r="AT520" s="231">
        <f t="shared" si="723"/>
        <v>4.2282032588584484E-3</v>
      </c>
      <c r="AU520" s="511">
        <f t="shared" si="723"/>
        <v>1.5040380261209407E-2</v>
      </c>
      <c r="AV520" s="653">
        <v>0</v>
      </c>
      <c r="AW520" s="653">
        <v>0</v>
      </c>
      <c r="AX520" s="653">
        <v>0</v>
      </c>
      <c r="AY520" s="232"/>
      <c r="AZ520" s="826"/>
      <c r="BA520" s="827">
        <f t="shared" ref="BA520:BP520" si="724">BA513-AZ513</f>
        <v>1.7098521240921288E-2</v>
      </c>
      <c r="BB520" s="827">
        <f t="shared" si="724"/>
        <v>-9.4329989723626606E-4</v>
      </c>
      <c r="BC520" s="827">
        <f t="shared" si="724"/>
        <v>4.295528912826091E-2</v>
      </c>
      <c r="BD520" s="827">
        <f t="shared" si="724"/>
        <v>-7.3365088712248061E-3</v>
      </c>
      <c r="BE520" s="827">
        <f t="shared" si="724"/>
        <v>-8.1166565336195373E-3</v>
      </c>
      <c r="BF520" s="827">
        <f t="shared" si="724"/>
        <v>-1.319704323785581E-2</v>
      </c>
      <c r="BG520" s="827">
        <f t="shared" si="724"/>
        <v>-4.2234702190021012E-3</v>
      </c>
      <c r="BH520" s="827">
        <f t="shared" si="724"/>
        <v>2.2033944967649433E-2</v>
      </c>
      <c r="BI520" s="827">
        <f t="shared" si="724"/>
        <v>-2.4196343972531592E-2</v>
      </c>
      <c r="BJ520" s="827">
        <f t="shared" si="724"/>
        <v>-3.4571818592369075E-3</v>
      </c>
      <c r="BK520" s="827">
        <f t="shared" si="724"/>
        <v>3.8217916088279846E-2</v>
      </c>
      <c r="BL520" s="827">
        <f t="shared" si="724"/>
        <v>1.3427704202464669E-2</v>
      </c>
      <c r="BM520" s="827">
        <f t="shared" si="724"/>
        <v>7.8442791959343339E-3</v>
      </c>
      <c r="BN520" s="828">
        <f t="shared" si="724"/>
        <v>4.2282032588585317E-3</v>
      </c>
      <c r="BO520" s="826">
        <f t="shared" si="724"/>
        <v>0</v>
      </c>
      <c r="BP520" s="826" t="e">
        <f t="shared" si="724"/>
        <v>#REF!</v>
      </c>
      <c r="BQ520" s="829">
        <v>0</v>
      </c>
      <c r="BR520" s="829">
        <v>0</v>
      </c>
      <c r="BS520" s="829">
        <v>0</v>
      </c>
      <c r="BT520" s="27"/>
    </row>
    <row r="521" spans="1:72" s="19" customFormat="1" x14ac:dyDescent="0.35">
      <c r="A521" s="230" t="s">
        <v>187</v>
      </c>
      <c r="B521" s="380"/>
      <c r="C521" s="422"/>
      <c r="D521" s="422"/>
      <c r="E521" s="422"/>
      <c r="F521" s="422"/>
      <c r="G521" s="422"/>
      <c r="H521" s="422"/>
      <c r="I521" s="422"/>
      <c r="J521" s="422"/>
      <c r="K521" s="231">
        <f t="shared" si="720"/>
        <v>-1.3381877777603329E-2</v>
      </c>
      <c r="L521" s="231">
        <f t="shared" si="720"/>
        <v>-5.8847466423142571E-3</v>
      </c>
      <c r="M521" s="231">
        <f t="shared" si="720"/>
        <v>-5.1131430922943116E-3</v>
      </c>
      <c r="N521" s="231">
        <f t="shared" si="720"/>
        <v>-5.6062469006394437E-3</v>
      </c>
      <c r="O521" s="231">
        <f t="shared" si="720"/>
        <v>-1.4452332349212255E-3</v>
      </c>
      <c r="P521" s="231">
        <f t="shared" si="720"/>
        <v>-1.2480210617254739E-3</v>
      </c>
      <c r="Q521" s="231">
        <f t="shared" si="720"/>
        <v>-5.9454930086240421E-4</v>
      </c>
      <c r="R521" s="231">
        <f t="shared" si="720"/>
        <v>3.9157504971658978E-3</v>
      </c>
      <c r="S521" s="231">
        <f t="shared" si="720"/>
        <v>6.2386925079523439E-4</v>
      </c>
      <c r="T521" s="231">
        <f t="shared" si="720"/>
        <v>-1.1987098478585811E-4</v>
      </c>
      <c r="U521" s="231">
        <f t="shared" si="721"/>
        <v>2.8127055255009435E-3</v>
      </c>
      <c r="V521" s="231">
        <f t="shared" si="721"/>
        <v>-7.6895704266533027E-4</v>
      </c>
      <c r="W521" s="231">
        <f t="shared" si="721"/>
        <v>2.3867853175768353E-3</v>
      </c>
      <c r="X521" s="231">
        <f t="shared" si="721"/>
        <v>1.296725928179053E-3</v>
      </c>
      <c r="Y521" s="231">
        <f t="shared" si="721"/>
        <v>-8.37570913084347E-4</v>
      </c>
      <c r="Z521" s="231">
        <f t="shared" si="721"/>
        <v>-4.052978782980235E-4</v>
      </c>
      <c r="AA521" s="231">
        <f t="shared" si="721"/>
        <v>-1.6615703400419402E-3</v>
      </c>
      <c r="AB521" s="231">
        <f t="shared" si="721"/>
        <v>-3.3408549048141029E-3</v>
      </c>
      <c r="AC521" s="231">
        <f t="shared" si="721"/>
        <v>-2.9532528453081533E-3</v>
      </c>
      <c r="AD521" s="231">
        <f t="shared" si="721"/>
        <v>-4.4432570135129745E-3</v>
      </c>
      <c r="AE521" s="231">
        <f t="shared" si="722"/>
        <v>8.1608017820889583E-4</v>
      </c>
      <c r="AF521" s="231">
        <f t="shared" si="722"/>
        <v>2.1425793045434481E-3</v>
      </c>
      <c r="AG521" s="231">
        <f t="shared" si="722"/>
        <v>1.8189040109551774E-3</v>
      </c>
      <c r="AH521" s="231">
        <f t="shared" si="722"/>
        <v>-2.2900687518621655E-3</v>
      </c>
      <c r="AI521" s="231">
        <f t="shared" si="722"/>
        <v>7.1111245011318269E-4</v>
      </c>
      <c r="AJ521" s="231">
        <f t="shared" si="722"/>
        <v>2.8815209544857008E-3</v>
      </c>
      <c r="AK521" s="231">
        <f t="shared" si="722"/>
        <v>1.4188799929668525E-3</v>
      </c>
      <c r="AL521" s="231">
        <f t="shared" si="722"/>
        <v>-1.3644722608270078E-3</v>
      </c>
      <c r="AM521" s="231">
        <f t="shared" si="722"/>
        <v>-4.9112643452168502E-3</v>
      </c>
      <c r="AN521" s="231">
        <f t="shared" si="722"/>
        <v>-7.5085487030526789E-3</v>
      </c>
      <c r="AO521" s="231">
        <f t="shared" si="723"/>
        <v>-5.7371710932602859E-3</v>
      </c>
      <c r="AP521" s="231">
        <f t="shared" si="723"/>
        <v>-4.4814041226623018E-3</v>
      </c>
      <c r="AQ521" s="231">
        <f t="shared" si="723"/>
        <v>4.2885547226598902E-4</v>
      </c>
      <c r="AR521" s="231">
        <f t="shared" si="723"/>
        <v>-1.3592197835053457E-3</v>
      </c>
      <c r="AS521" s="231">
        <f t="shared" si="723"/>
        <v>-2.0751636332596666E-3</v>
      </c>
      <c r="AT521" s="231">
        <f t="shared" si="723"/>
        <v>-1.3626197446457017E-3</v>
      </c>
      <c r="AU521" s="511">
        <f t="shared" si="723"/>
        <v>-4.8172680729336344E-3</v>
      </c>
      <c r="AV521" s="653">
        <v>0</v>
      </c>
      <c r="AW521" s="653">
        <v>0</v>
      </c>
      <c r="AX521" s="653">
        <v>0</v>
      </c>
      <c r="AY521" s="232"/>
      <c r="AZ521" s="826"/>
      <c r="BA521" s="827">
        <f t="shared" ref="BA521:BP521" si="725">BA514-AZ514</f>
        <v>-3.3440072391930711E-2</v>
      </c>
      <c r="BB521" s="827">
        <f t="shared" si="725"/>
        <v>-9.643609745449179E-3</v>
      </c>
      <c r="BC521" s="827">
        <f t="shared" si="725"/>
        <v>-5.0499701906402614E-3</v>
      </c>
      <c r="BD521" s="827">
        <f t="shared" si="725"/>
        <v>-1.0949564572806242E-3</v>
      </c>
      <c r="BE521" s="827">
        <f t="shared" si="725"/>
        <v>-1.55494017371327E-2</v>
      </c>
      <c r="BF521" s="827">
        <f t="shared" si="725"/>
        <v>-5.6062469006394403E-3</v>
      </c>
      <c r="BG521" s="827">
        <f t="shared" si="725"/>
        <v>3.9157504971658944E-3</v>
      </c>
      <c r="BH521" s="827">
        <f t="shared" si="725"/>
        <v>-7.6895704266533027E-4</v>
      </c>
      <c r="BI521" s="827">
        <f t="shared" si="725"/>
        <v>-4.052978782980235E-4</v>
      </c>
      <c r="BJ521" s="827">
        <f t="shared" si="725"/>
        <v>-4.4432570135129745E-3</v>
      </c>
      <c r="BK521" s="827">
        <f t="shared" si="725"/>
        <v>-2.2900687518621586E-3</v>
      </c>
      <c r="BL521" s="827">
        <f t="shared" si="725"/>
        <v>-1.3644722608270148E-3</v>
      </c>
      <c r="BM521" s="827">
        <f t="shared" si="725"/>
        <v>-4.4814041226623053E-3</v>
      </c>
      <c r="BN521" s="828">
        <f t="shared" si="725"/>
        <v>-1.3626197446456947E-3</v>
      </c>
      <c r="BO521" s="826">
        <f t="shared" si="725"/>
        <v>0</v>
      </c>
      <c r="BP521" s="826" t="e">
        <f t="shared" si="725"/>
        <v>#REF!</v>
      </c>
      <c r="BQ521" s="829">
        <v>0</v>
      </c>
      <c r="BR521" s="829">
        <v>0</v>
      </c>
      <c r="BS521" s="829">
        <v>0</v>
      </c>
      <c r="BT521" s="27"/>
    </row>
    <row r="522" spans="1:72" s="19" customFormat="1" x14ac:dyDescent="0.35">
      <c r="A522" s="230" t="s">
        <v>188</v>
      </c>
      <c r="B522" s="380"/>
      <c r="C522" s="422"/>
      <c r="D522" s="422"/>
      <c r="E522" s="422"/>
      <c r="F522" s="422"/>
      <c r="G522" s="422"/>
      <c r="H522" s="422"/>
      <c r="I522" s="422"/>
      <c r="J522" s="422"/>
      <c r="K522" s="231">
        <f t="shared" si="720"/>
        <v>-1.4290609422139638E-2</v>
      </c>
      <c r="L522" s="231">
        <f t="shared" si="720"/>
        <v>-1.1517046418614146E-3</v>
      </c>
      <c r="M522" s="231">
        <f t="shared" si="720"/>
        <v>-6.4327820017252187E-3</v>
      </c>
      <c r="N522" s="231">
        <f t="shared" si="720"/>
        <v>-2.2410427325023213E-3</v>
      </c>
      <c r="O522" s="231">
        <f t="shared" si="720"/>
        <v>4.786827479130798E-4</v>
      </c>
      <c r="P522" s="231">
        <f t="shared" si="720"/>
        <v>6.2722533548275478E-4</v>
      </c>
      <c r="Q522" s="231">
        <f t="shared" si="720"/>
        <v>-3.454826779342994E-3</v>
      </c>
      <c r="R522" s="231">
        <f t="shared" si="720"/>
        <v>-1.7451071692513691E-3</v>
      </c>
      <c r="S522" s="231">
        <f t="shared" si="720"/>
        <v>-9.9298100105224343E-3</v>
      </c>
      <c r="T522" s="231">
        <f t="shared" si="720"/>
        <v>2.171543308822358E-3</v>
      </c>
      <c r="U522" s="231">
        <f t="shared" si="721"/>
        <v>2.628043559224115E-4</v>
      </c>
      <c r="V522" s="231">
        <f t="shared" si="721"/>
        <v>4.1227921339169436E-3</v>
      </c>
      <c r="W522" s="231">
        <f t="shared" si="721"/>
        <v>2.8668671039227892E-3</v>
      </c>
      <c r="X522" s="231">
        <f t="shared" si="721"/>
        <v>-1.1749454908271395E-3</v>
      </c>
      <c r="Y522" s="231">
        <f t="shared" si="721"/>
        <v>1.6021464400821639E-3</v>
      </c>
      <c r="Z522" s="231">
        <f t="shared" si="721"/>
        <v>-1.8285543650389535E-3</v>
      </c>
      <c r="AA522" s="231">
        <f t="shared" si="721"/>
        <v>3.2513044659951418E-3</v>
      </c>
      <c r="AB522" s="231">
        <f t="shared" si="721"/>
        <v>1.5141450046263841E-3</v>
      </c>
      <c r="AC522" s="231">
        <f t="shared" si="721"/>
        <v>3.6321654115373941E-3</v>
      </c>
      <c r="AD522" s="231">
        <f t="shared" si="721"/>
        <v>1.7711026059877226E-2</v>
      </c>
      <c r="AE522" s="231">
        <f t="shared" si="722"/>
        <v>3.6852141775923705E-3</v>
      </c>
      <c r="AF522" s="231">
        <f t="shared" si="722"/>
        <v>8.9518114602530584E-3</v>
      </c>
      <c r="AG522" s="231">
        <f t="shared" si="722"/>
        <v>1.2968904353057066E-3</v>
      </c>
      <c r="AH522" s="231">
        <f t="shared" si="722"/>
        <v>-1.0860542311126861E-2</v>
      </c>
      <c r="AI522" s="231">
        <f t="shared" si="722"/>
        <v>3.4414846716498866E-2</v>
      </c>
      <c r="AJ522" s="231">
        <f t="shared" si="722"/>
        <v>9.5518024532284182E-4</v>
      </c>
      <c r="AK522" s="231">
        <f t="shared" si="722"/>
        <v>8.8627953137755955E-3</v>
      </c>
      <c r="AL522" s="231">
        <f t="shared" si="722"/>
        <v>1.5938209847232362E-3</v>
      </c>
      <c r="AM522" s="231">
        <f t="shared" si="722"/>
        <v>-4.223122326662887E-2</v>
      </c>
      <c r="AN522" s="231">
        <f t="shared" si="722"/>
        <v>-9.6826495081972878E-3</v>
      </c>
      <c r="AO522" s="231">
        <f t="shared" si="723"/>
        <v>-1.3241975727645263E-2</v>
      </c>
      <c r="AP522" s="231">
        <f t="shared" si="723"/>
        <v>-3.6811956341991775E-3</v>
      </c>
      <c r="AQ522" s="231">
        <f t="shared" si="723"/>
        <v>2.8751523384548255E-3</v>
      </c>
      <c r="AR522" s="231">
        <f t="shared" si="723"/>
        <v>-2.5102210652965841E-3</v>
      </c>
      <c r="AS522" s="231">
        <f t="shared" si="723"/>
        <v>-6.7880370966193204E-4</v>
      </c>
      <c r="AT522" s="231">
        <f t="shared" si="723"/>
        <v>-1.0167863479151166E-2</v>
      </c>
      <c r="AU522" s="511">
        <f t="shared" si="723"/>
        <v>-8.7401337163363346E-4</v>
      </c>
      <c r="AV522" s="653">
        <v>0</v>
      </c>
      <c r="AW522" s="653">
        <v>0</v>
      </c>
      <c r="AX522" s="653">
        <v>0</v>
      </c>
      <c r="AY522" s="232"/>
      <c r="AZ522" s="826"/>
      <c r="BA522" s="827">
        <f t="shared" ref="BA522:BP522" si="726">BA515-AZ515</f>
        <v>1.608933344039512E-4</v>
      </c>
      <c r="BB522" s="827">
        <f t="shared" si="726"/>
        <v>7.5242722358659711E-3</v>
      </c>
      <c r="BC522" s="827">
        <f t="shared" si="726"/>
        <v>-6.7236894012144138E-3</v>
      </c>
      <c r="BD522" s="827">
        <f t="shared" si="726"/>
        <v>-8.0639810789172039E-3</v>
      </c>
      <c r="BE522" s="827">
        <f t="shared" si="726"/>
        <v>7.9402529996133869E-3</v>
      </c>
      <c r="BF522" s="827">
        <f t="shared" si="726"/>
        <v>-2.2410427325023144E-3</v>
      </c>
      <c r="BG522" s="827">
        <f t="shared" si="726"/>
        <v>-1.745107169251376E-3</v>
      </c>
      <c r="BH522" s="827">
        <f t="shared" si="726"/>
        <v>4.1227921339169436E-3</v>
      </c>
      <c r="BI522" s="827">
        <f t="shared" si="726"/>
        <v>-1.8285543650389535E-3</v>
      </c>
      <c r="BJ522" s="827">
        <f t="shared" si="726"/>
        <v>1.7711026059877226E-2</v>
      </c>
      <c r="BK522" s="827">
        <f t="shared" si="726"/>
        <v>-1.0860542311126854E-2</v>
      </c>
      <c r="BL522" s="827">
        <f t="shared" si="726"/>
        <v>1.5938209847232293E-3</v>
      </c>
      <c r="BM522" s="827">
        <f t="shared" si="726"/>
        <v>-3.6811956341991844E-3</v>
      </c>
      <c r="BN522" s="828">
        <f t="shared" si="726"/>
        <v>-1.0167863479151155E-2</v>
      </c>
      <c r="BO522" s="826">
        <f t="shared" si="726"/>
        <v>0</v>
      </c>
      <c r="BP522" s="826" t="e">
        <f t="shared" si="726"/>
        <v>#REF!</v>
      </c>
      <c r="BQ522" s="829">
        <v>0</v>
      </c>
      <c r="BR522" s="829">
        <v>0</v>
      </c>
      <c r="BS522" s="829">
        <v>0</v>
      </c>
      <c r="BT522" s="27"/>
    </row>
    <row r="523" spans="1:72" s="19" customFormat="1" x14ac:dyDescent="0.35">
      <c r="A523" s="230" t="s">
        <v>189</v>
      </c>
      <c r="B523" s="380"/>
      <c r="C523" s="422"/>
      <c r="D523" s="422"/>
      <c r="E523" s="422"/>
      <c r="F523" s="422"/>
      <c r="G523" s="422"/>
      <c r="H523" s="422"/>
      <c r="I523" s="422"/>
      <c r="J523" s="422"/>
      <c r="K523" s="231">
        <f t="shared" si="720"/>
        <v>-6.8854727409707345E-3</v>
      </c>
      <c r="L523" s="231">
        <f t="shared" si="720"/>
        <v>-5.8428747899178252E-3</v>
      </c>
      <c r="M523" s="231">
        <f t="shared" si="720"/>
        <v>3.6969235267330335E-3</v>
      </c>
      <c r="N523" s="231">
        <f t="shared" si="720"/>
        <v>-9.1690496104226884E-3</v>
      </c>
      <c r="O523" s="231">
        <f t="shared" si="720"/>
        <v>2.7500925007691718E-5</v>
      </c>
      <c r="P523" s="231">
        <f t="shared" si="720"/>
        <v>1.1095395184609873E-3</v>
      </c>
      <c r="Q523" s="231">
        <f t="shared" si="720"/>
        <v>-4.4200432889482388E-3</v>
      </c>
      <c r="R523" s="231">
        <f t="shared" si="720"/>
        <v>1.7630722222225483E-2</v>
      </c>
      <c r="S523" s="231">
        <f t="shared" si="720"/>
        <v>4.3653466602360195E-3</v>
      </c>
      <c r="T523" s="231">
        <f t="shared" si="720"/>
        <v>3.2104775457798551E-3</v>
      </c>
      <c r="U523" s="231">
        <f t="shared" si="721"/>
        <v>3.9148237027374216E-3</v>
      </c>
      <c r="V523" s="231">
        <f t="shared" si="721"/>
        <v>-6.4626485722325128E-3</v>
      </c>
      <c r="W523" s="231">
        <f t="shared" si="721"/>
        <v>-2.9036050066135535E-3</v>
      </c>
      <c r="X523" s="231">
        <f t="shared" si="721"/>
        <v>-1.0646782464866344E-3</v>
      </c>
      <c r="Y523" s="231">
        <f t="shared" si="721"/>
        <v>-5.0621875890520772E-3</v>
      </c>
      <c r="Z523" s="231">
        <f t="shared" si="721"/>
        <v>-8.7039854822612631E-3</v>
      </c>
      <c r="AA523" s="231">
        <f t="shared" si="721"/>
        <v>1.9483044322730746E-3</v>
      </c>
      <c r="AB523" s="231">
        <f t="shared" si="721"/>
        <v>8.3708019524857472E-4</v>
      </c>
      <c r="AC523" s="231">
        <f t="shared" si="721"/>
        <v>2.8647865543445714E-3</v>
      </c>
      <c r="AD523" s="231">
        <f t="shared" si="721"/>
        <v>4.7333318948765898E-3</v>
      </c>
      <c r="AE523" s="231">
        <f t="shared" si="722"/>
        <v>3.2912086382022154E-3</v>
      </c>
      <c r="AF523" s="231">
        <f t="shared" si="722"/>
        <v>4.2026346727043664E-3</v>
      </c>
      <c r="AG523" s="231">
        <f t="shared" si="722"/>
        <v>7.506536555011132E-3</v>
      </c>
      <c r="AH523" s="231">
        <f t="shared" si="722"/>
        <v>5.9154849519614493E-3</v>
      </c>
      <c r="AI523" s="231">
        <f t="shared" si="722"/>
        <v>4.1320575341008831E-3</v>
      </c>
      <c r="AJ523" s="231">
        <f t="shared" si="722"/>
        <v>1.3454639026838015E-2</v>
      </c>
      <c r="AK523" s="231">
        <f t="shared" si="722"/>
        <v>6.1448255353444038E-3</v>
      </c>
      <c r="AL523" s="231">
        <f t="shared" si="722"/>
        <v>2.4243470920572843E-2</v>
      </c>
      <c r="AM523" s="231">
        <f t="shared" si="722"/>
        <v>2.6038556350824568E-2</v>
      </c>
      <c r="AN523" s="231">
        <f t="shared" si="722"/>
        <v>5.8221607393147343E-3</v>
      </c>
      <c r="AO523" s="231">
        <f t="shared" si="723"/>
        <v>2.4697806758343516E-3</v>
      </c>
      <c r="AP523" s="231">
        <f t="shared" si="723"/>
        <v>-1.3052808093922494E-2</v>
      </c>
      <c r="AQ523" s="231">
        <f t="shared" si="723"/>
        <v>-2.3514207136055294E-2</v>
      </c>
      <c r="AR523" s="231">
        <f t="shared" si="723"/>
        <v>-1.5191537927080487E-2</v>
      </c>
      <c r="AS523" s="231">
        <f t="shared" si="723"/>
        <v>-8.5707476450542289E-3</v>
      </c>
      <c r="AT523" s="231">
        <f t="shared" si="723"/>
        <v>4.2340768224471761E-3</v>
      </c>
      <c r="AU523" s="511">
        <f t="shared" si="723"/>
        <v>2.0082586822479515E-3</v>
      </c>
      <c r="AV523" s="653">
        <v>0</v>
      </c>
      <c r="AW523" s="653">
        <v>0</v>
      </c>
      <c r="AX523" s="653">
        <v>0</v>
      </c>
      <c r="AY523" s="232"/>
      <c r="AZ523" s="826"/>
      <c r="BA523" s="827">
        <f t="shared" ref="BA523:BP523" si="727">BA516-AZ516</f>
        <v>-1.8161485557237518E-3</v>
      </c>
      <c r="BB523" s="827">
        <f t="shared" si="727"/>
        <v>4.046130891440531E-3</v>
      </c>
      <c r="BC523" s="827">
        <f t="shared" si="727"/>
        <v>-7.5556719057631762E-3</v>
      </c>
      <c r="BD523" s="827">
        <f t="shared" si="727"/>
        <v>5.9065138510833171E-4</v>
      </c>
      <c r="BE523" s="827">
        <f t="shared" si="727"/>
        <v>2.2620507027776571E-3</v>
      </c>
      <c r="BF523" s="827">
        <f t="shared" si="727"/>
        <v>-9.1690496104226867E-3</v>
      </c>
      <c r="BG523" s="827">
        <f t="shared" si="727"/>
        <v>1.7630722222225483E-2</v>
      </c>
      <c r="BH523" s="827">
        <f t="shared" si="727"/>
        <v>-6.4626485722325128E-3</v>
      </c>
      <c r="BI523" s="827">
        <f t="shared" si="727"/>
        <v>-8.7039854822612631E-3</v>
      </c>
      <c r="BJ523" s="827">
        <f t="shared" si="727"/>
        <v>4.7333318948765898E-3</v>
      </c>
      <c r="BK523" s="827">
        <f t="shared" si="727"/>
        <v>5.9154849519614527E-3</v>
      </c>
      <c r="BL523" s="827">
        <f t="shared" si="727"/>
        <v>2.424347092057284E-2</v>
      </c>
      <c r="BM523" s="827">
        <f t="shared" si="727"/>
        <v>-1.3052808093922501E-2</v>
      </c>
      <c r="BN523" s="828">
        <f t="shared" si="727"/>
        <v>4.2340768224471831E-3</v>
      </c>
      <c r="BO523" s="826">
        <f t="shared" si="727"/>
        <v>0</v>
      </c>
      <c r="BP523" s="826" t="e">
        <f t="shared" si="727"/>
        <v>#REF!</v>
      </c>
      <c r="BQ523" s="829">
        <v>0</v>
      </c>
      <c r="BR523" s="829">
        <v>0</v>
      </c>
      <c r="BS523" s="829">
        <v>0</v>
      </c>
      <c r="BT523" s="27"/>
    </row>
    <row r="524" spans="1:72" s="19" customFormat="1" x14ac:dyDescent="0.35">
      <c r="A524" s="230" t="s">
        <v>190</v>
      </c>
      <c r="B524" s="380"/>
      <c r="C524" s="422"/>
      <c r="D524" s="422"/>
      <c r="E524" s="422"/>
      <c r="F524" s="422"/>
      <c r="G524" s="422"/>
      <c r="H524" s="422"/>
      <c r="I524" s="422"/>
      <c r="J524" s="422"/>
      <c r="K524" s="231">
        <f t="shared" si="720"/>
        <v>-6.6172818643568665E-4</v>
      </c>
      <c r="L524" s="231">
        <f t="shared" si="720"/>
        <v>-3.1133786885934149E-3</v>
      </c>
      <c r="M524" s="231">
        <f t="shared" si="720"/>
        <v>1.4846617246818301E-3</v>
      </c>
      <c r="N524" s="231">
        <f t="shared" si="720"/>
        <v>9.3284951503793366E-3</v>
      </c>
      <c r="O524" s="231">
        <f t="shared" si="720"/>
        <v>4.6011140256788947E-3</v>
      </c>
      <c r="P524" s="231">
        <f t="shared" si="720"/>
        <v>-1.4001410808161564E-3</v>
      </c>
      <c r="Q524" s="231">
        <f t="shared" si="720"/>
        <v>7.0151607174347534E-3</v>
      </c>
      <c r="R524" s="231">
        <f t="shared" si="720"/>
        <v>7.3193375302076716E-3</v>
      </c>
      <c r="S524" s="231">
        <f t="shared" si="720"/>
        <v>5.7774192666163945E-4</v>
      </c>
      <c r="T524" s="231">
        <f t="shared" si="720"/>
        <v>4.3905920665735336E-3</v>
      </c>
      <c r="U524" s="231">
        <f t="shared" si="721"/>
        <v>-2.2297763588970711E-3</v>
      </c>
      <c r="V524" s="231">
        <f t="shared" si="721"/>
        <v>-2.5184412890627492E-3</v>
      </c>
      <c r="W524" s="231">
        <f t="shared" si="721"/>
        <v>-2.538617187512391E-3</v>
      </c>
      <c r="X524" s="231">
        <f t="shared" si="721"/>
        <v>-1.1555007009266573E-3</v>
      </c>
      <c r="Y524" s="231">
        <f t="shared" si="721"/>
        <v>4.8689894442143535E-3</v>
      </c>
      <c r="Z524" s="231">
        <f t="shared" si="721"/>
        <v>6.2299061276899215E-3</v>
      </c>
      <c r="AA524" s="231">
        <f t="shared" si="721"/>
        <v>3.8396936220129081E-3</v>
      </c>
      <c r="AB524" s="231">
        <f t="shared" si="721"/>
        <v>6.514273824592666E-3</v>
      </c>
      <c r="AC524" s="231">
        <f t="shared" si="721"/>
        <v>-2.3620184323359938E-3</v>
      </c>
      <c r="AD524" s="231">
        <f t="shared" si="721"/>
        <v>2.0651719397880089E-3</v>
      </c>
      <c r="AE524" s="231">
        <f t="shared" si="722"/>
        <v>-1.3580483266918512E-3</v>
      </c>
      <c r="AF524" s="231">
        <f t="shared" si="722"/>
        <v>-1.3639100544434214E-3</v>
      </c>
      <c r="AG524" s="231">
        <f t="shared" si="722"/>
        <v>-2.9937334993342044E-3</v>
      </c>
      <c r="AH524" s="231">
        <f t="shared" si="722"/>
        <v>4.0304918265913689E-3</v>
      </c>
      <c r="AI524" s="231">
        <f t="shared" si="722"/>
        <v>5.3417207544905164E-3</v>
      </c>
      <c r="AJ524" s="231">
        <f t="shared" si="722"/>
        <v>5.9906255888184379E-3</v>
      </c>
      <c r="AK524" s="231">
        <f t="shared" si="722"/>
        <v>1.7000981562692294E-2</v>
      </c>
      <c r="AL524" s="231">
        <f t="shared" si="722"/>
        <v>6.9165884253185456E-3</v>
      </c>
      <c r="AM524" s="231">
        <f t="shared" si="722"/>
        <v>-9.495641258035932E-4</v>
      </c>
      <c r="AN524" s="231">
        <f t="shared" si="722"/>
        <v>-7.6260298254615562E-3</v>
      </c>
      <c r="AO524" s="231">
        <f t="shared" si="723"/>
        <v>-7.8710782784864805E-3</v>
      </c>
      <c r="AP524" s="231">
        <f t="shared" si="723"/>
        <v>-8.9971294988338696E-3</v>
      </c>
      <c r="AQ524" s="231">
        <f t="shared" si="723"/>
        <v>4.6615662781905945E-4</v>
      </c>
      <c r="AR524" s="231">
        <f t="shared" si="723"/>
        <v>-6.395833455591346E-3</v>
      </c>
      <c r="AS524" s="231">
        <f t="shared" si="723"/>
        <v>-7.0195088103805307E-3</v>
      </c>
      <c r="AT524" s="231">
        <f t="shared" si="723"/>
        <v>-1.2041997205426251E-2</v>
      </c>
      <c r="AU524" s="511">
        <f t="shared" si="723"/>
        <v>-2.2744587407965734E-3</v>
      </c>
      <c r="AV524" s="653">
        <v>0</v>
      </c>
      <c r="AW524" s="653">
        <v>0</v>
      </c>
      <c r="AX524" s="653">
        <v>0</v>
      </c>
      <c r="AY524" s="232"/>
      <c r="AZ524" s="826"/>
      <c r="BA524" s="827">
        <f t="shared" ref="BA524:BP524" si="728">BA517-AZ517</f>
        <v>1.2013418745597526E-3</v>
      </c>
      <c r="BB524" s="827">
        <f t="shared" si="728"/>
        <v>-2.4260451898809252E-3</v>
      </c>
      <c r="BC524" s="827">
        <f t="shared" si="728"/>
        <v>-5.4951143892809778E-4</v>
      </c>
      <c r="BD524" s="827">
        <f t="shared" si="728"/>
        <v>1.4026705780350902E-3</v>
      </c>
      <c r="BE524" s="827">
        <f t="shared" si="728"/>
        <v>-6.9790619738169107E-3</v>
      </c>
      <c r="BF524" s="827">
        <f t="shared" si="728"/>
        <v>9.3284951503793401E-3</v>
      </c>
      <c r="BG524" s="827">
        <f t="shared" si="728"/>
        <v>7.3193375302076681E-3</v>
      </c>
      <c r="BH524" s="827">
        <f t="shared" si="728"/>
        <v>-2.5184412890627492E-3</v>
      </c>
      <c r="BI524" s="827">
        <f t="shared" si="728"/>
        <v>6.2299061276899215E-3</v>
      </c>
      <c r="BJ524" s="827">
        <f t="shared" si="728"/>
        <v>2.0651719397880089E-3</v>
      </c>
      <c r="BK524" s="827">
        <f t="shared" si="728"/>
        <v>4.0304918265913828E-3</v>
      </c>
      <c r="BL524" s="827">
        <f t="shared" si="728"/>
        <v>6.9165884253185317E-3</v>
      </c>
      <c r="BM524" s="827">
        <f t="shared" si="728"/>
        <v>-8.9971294988338765E-3</v>
      </c>
      <c r="BN524" s="828">
        <f t="shared" si="728"/>
        <v>-1.2041997205426244E-2</v>
      </c>
      <c r="BO524" s="826">
        <f t="shared" si="728"/>
        <v>0</v>
      </c>
      <c r="BP524" s="826" t="e">
        <f t="shared" si="728"/>
        <v>#REF!</v>
      </c>
      <c r="BQ524" s="829">
        <v>0</v>
      </c>
      <c r="BR524" s="829">
        <v>0</v>
      </c>
      <c r="BS524" s="829">
        <v>0</v>
      </c>
      <c r="BT524" s="27"/>
    </row>
    <row r="525" spans="1:72" s="19" customFormat="1" x14ac:dyDescent="0.35">
      <c r="A525" s="230" t="s">
        <v>191</v>
      </c>
      <c r="B525" s="380"/>
      <c r="C525" s="422"/>
      <c r="D525" s="422"/>
      <c r="E525" s="422"/>
      <c r="F525" s="422"/>
      <c r="G525" s="422"/>
      <c r="H525" s="422"/>
      <c r="I525" s="422"/>
      <c r="J525" s="422"/>
      <c r="K525" s="231">
        <f t="shared" si="720"/>
        <v>-8.5966854184636315E-3</v>
      </c>
      <c r="L525" s="231">
        <f t="shared" si="720"/>
        <v>-1.993900858373962E-3</v>
      </c>
      <c r="M525" s="231">
        <f t="shared" si="720"/>
        <v>9.244461971115378E-4</v>
      </c>
      <c r="N525" s="231">
        <f t="shared" si="720"/>
        <v>-1.9736794705920574E-4</v>
      </c>
      <c r="O525" s="231">
        <f t="shared" si="720"/>
        <v>-9.5956017946073752E-3</v>
      </c>
      <c r="P525" s="231">
        <f t="shared" si="720"/>
        <v>-5.3262217561061281E-3</v>
      </c>
      <c r="Q525" s="231">
        <f t="shared" si="720"/>
        <v>-2.4580770817979949E-3</v>
      </c>
      <c r="R525" s="231">
        <f t="shared" si="720"/>
        <v>3.4651946331807244E-3</v>
      </c>
      <c r="S525" s="231">
        <f t="shared" si="720"/>
        <v>1.2532754777950059E-2</v>
      </c>
      <c r="T525" s="231">
        <f t="shared" si="720"/>
        <v>3.6231922640747316E-3</v>
      </c>
      <c r="U525" s="231">
        <f t="shared" si="721"/>
        <v>-5.6503190091316408E-4</v>
      </c>
      <c r="V525" s="231">
        <f t="shared" si="721"/>
        <v>-1.8059676255005735E-3</v>
      </c>
      <c r="W525" s="231">
        <f t="shared" si="721"/>
        <v>-7.4319930302990667E-3</v>
      </c>
      <c r="X525" s="231">
        <f t="shared" si="721"/>
        <v>-4.1949772815658218E-3</v>
      </c>
      <c r="Y525" s="231">
        <f t="shared" si="721"/>
        <v>-1.9992514979696244E-3</v>
      </c>
      <c r="Z525" s="231">
        <f t="shared" si="721"/>
        <v>-2.7594316444494761E-3</v>
      </c>
      <c r="AA525" s="231">
        <f t="shared" si="721"/>
        <v>-2.0504996868524195E-4</v>
      </c>
      <c r="AB525" s="231">
        <f t="shared" si="721"/>
        <v>-9.4967673388334367E-3</v>
      </c>
      <c r="AC525" s="231">
        <f t="shared" si="721"/>
        <v>-1.8992521629673798E-3</v>
      </c>
      <c r="AD525" s="231">
        <f t="shared" si="721"/>
        <v>-2.7119574122668119E-3</v>
      </c>
      <c r="AE525" s="231">
        <f t="shared" si="722"/>
        <v>-4.88276518754934E-2</v>
      </c>
      <c r="AF525" s="231">
        <f t="shared" si="722"/>
        <v>-2.9626963800056076E-2</v>
      </c>
      <c r="AG525" s="231">
        <f t="shared" si="722"/>
        <v>-1.4382959851745793E-2</v>
      </c>
      <c r="AH525" s="231">
        <f t="shared" si="722"/>
        <v>9.8663780515591271E-4</v>
      </c>
      <c r="AI525" s="231">
        <f t="shared" si="722"/>
        <v>2.2940789633661463E-2</v>
      </c>
      <c r="AJ525" s="231">
        <f t="shared" si="722"/>
        <v>2.6184254758299289E-2</v>
      </c>
      <c r="AK525" s="231">
        <f t="shared" si="722"/>
        <v>-5.7730469547515734E-4</v>
      </c>
      <c r="AL525" s="231">
        <f t="shared" si="722"/>
        <v>1.3383000947604223E-3</v>
      </c>
      <c r="AM525" s="231">
        <f t="shared" si="722"/>
        <v>-6.5044609280491411E-3</v>
      </c>
      <c r="AN525" s="231">
        <f t="shared" si="722"/>
        <v>-1.7677647757139994E-2</v>
      </c>
      <c r="AO525" s="231">
        <f t="shared" si="723"/>
        <v>-6.3224749180381679E-3</v>
      </c>
      <c r="AP525" s="231">
        <f t="shared" si="723"/>
        <v>6.9975276415748973E-3</v>
      </c>
      <c r="AQ525" s="231">
        <f t="shared" si="723"/>
        <v>5.6846521829013244E-3</v>
      </c>
      <c r="AR525" s="231">
        <f t="shared" si="723"/>
        <v>1.6081378400546416E-2</v>
      </c>
      <c r="AS525" s="231">
        <f t="shared" si="723"/>
        <v>2.0515575400846482E-2</v>
      </c>
      <c r="AT525" s="231">
        <f t="shared" si="723"/>
        <v>9.6538228067887602E-3</v>
      </c>
      <c r="AU525" s="511">
        <f t="shared" si="723"/>
        <v>-2.7925634474254141E-3</v>
      </c>
      <c r="AV525" s="653">
        <v>0</v>
      </c>
      <c r="AW525" s="653">
        <v>0</v>
      </c>
      <c r="AX525" s="653">
        <v>0</v>
      </c>
      <c r="AY525" s="232"/>
      <c r="AZ525" s="826"/>
      <c r="BA525" s="827">
        <f t="shared" ref="BA525:BP525" si="729">BA518-AZ518</f>
        <v>1.4212036513990603E-2</v>
      </c>
      <c r="BB525" s="827">
        <f t="shared" si="729"/>
        <v>1.6981337907358587E-2</v>
      </c>
      <c r="BC525" s="827">
        <f t="shared" si="729"/>
        <v>-6.0633586943407355E-3</v>
      </c>
      <c r="BD525" s="827">
        <f t="shared" si="729"/>
        <v>-2.1904481933712472E-3</v>
      </c>
      <c r="BE525" s="827">
        <f t="shared" si="729"/>
        <v>-7.1952428750583462E-3</v>
      </c>
      <c r="BF525" s="827">
        <f t="shared" si="729"/>
        <v>-1.9736794705920227E-4</v>
      </c>
      <c r="BG525" s="827">
        <f t="shared" si="729"/>
        <v>3.465194633180721E-3</v>
      </c>
      <c r="BH525" s="827">
        <f t="shared" si="729"/>
        <v>-1.8059676255005735E-3</v>
      </c>
      <c r="BI525" s="827">
        <f t="shared" si="729"/>
        <v>-2.7594316444494761E-3</v>
      </c>
      <c r="BJ525" s="827">
        <f t="shared" si="729"/>
        <v>-2.7119574122668119E-3</v>
      </c>
      <c r="BK525" s="827">
        <f t="shared" si="729"/>
        <v>9.8663780515591964E-4</v>
      </c>
      <c r="BL525" s="827">
        <f t="shared" si="729"/>
        <v>1.3383000947604154E-3</v>
      </c>
      <c r="BM525" s="827">
        <f t="shared" si="729"/>
        <v>6.9975276415748973E-3</v>
      </c>
      <c r="BN525" s="828">
        <f t="shared" si="729"/>
        <v>9.6538228067887671E-3</v>
      </c>
      <c r="BO525" s="826">
        <f t="shared" si="729"/>
        <v>0</v>
      </c>
      <c r="BP525" s="826" t="e">
        <f t="shared" si="729"/>
        <v>#REF!</v>
      </c>
      <c r="BQ525" s="829">
        <v>0</v>
      </c>
      <c r="BR525" s="829">
        <v>0</v>
      </c>
      <c r="BS525" s="829">
        <v>0</v>
      </c>
      <c r="BT525" s="27"/>
    </row>
    <row r="526" spans="1:72" s="19" customFormat="1" x14ac:dyDescent="0.35">
      <c r="A526" s="321"/>
      <c r="B526" s="400"/>
      <c r="C526" s="528"/>
      <c r="D526" s="528"/>
      <c r="E526" s="528"/>
      <c r="F526" s="528"/>
      <c r="G526" s="528"/>
      <c r="H526" s="528"/>
      <c r="I526" s="528"/>
      <c r="J526" s="528"/>
      <c r="K526" s="528"/>
      <c r="L526" s="528"/>
      <c r="M526" s="528"/>
      <c r="N526" s="528"/>
      <c r="O526" s="528"/>
      <c r="P526" s="528"/>
      <c r="Q526" s="528"/>
      <c r="R526" s="528"/>
      <c r="S526" s="528"/>
      <c r="T526" s="528"/>
      <c r="U526" s="528"/>
      <c r="V526" s="528"/>
      <c r="W526" s="528"/>
      <c r="X526" s="528"/>
      <c r="Y526" s="528"/>
      <c r="Z526" s="528"/>
      <c r="AA526" s="528"/>
      <c r="AB526" s="528"/>
      <c r="AC526" s="528"/>
      <c r="AD526" s="528"/>
      <c r="AE526" s="528"/>
      <c r="AF526" s="528"/>
      <c r="AG526" s="528"/>
      <c r="AH526" s="528"/>
      <c r="AI526" s="528"/>
      <c r="AJ526" s="528"/>
      <c r="AK526" s="528"/>
      <c r="AL526" s="528"/>
      <c r="AM526" s="528"/>
      <c r="AN526" s="528"/>
      <c r="AO526" s="528"/>
      <c r="AP526" s="528"/>
      <c r="AQ526" s="528"/>
      <c r="AR526" s="528"/>
      <c r="AS526" s="528"/>
      <c r="AT526" s="528"/>
      <c r="AU526" s="560"/>
      <c r="AV526" s="528"/>
      <c r="AW526" s="528"/>
      <c r="AX526" s="528"/>
      <c r="AY526" s="528"/>
      <c r="AZ526" s="692"/>
      <c r="BA526" s="692"/>
      <c r="BB526" s="692"/>
      <c r="BC526" s="692"/>
      <c r="BD526" s="692"/>
      <c r="BE526" s="692"/>
      <c r="BF526" s="692"/>
      <c r="BG526" s="692"/>
      <c r="BH526" s="692"/>
      <c r="BI526" s="692"/>
      <c r="BJ526" s="692"/>
      <c r="BK526" s="692"/>
      <c r="BL526" s="692"/>
      <c r="BM526" s="692"/>
      <c r="BN526" s="712"/>
      <c r="BO526" s="692"/>
      <c r="BP526" s="692"/>
      <c r="BQ526" s="692"/>
      <c r="BR526" s="692"/>
      <c r="BS526" s="692"/>
      <c r="BT526" s="27"/>
    </row>
    <row r="527" spans="1:72" s="19" customFormat="1" x14ac:dyDescent="0.35">
      <c r="A527" s="401" t="s">
        <v>509</v>
      </c>
      <c r="B527" s="402"/>
      <c r="C527" s="597"/>
      <c r="D527" s="597"/>
      <c r="E527" s="597"/>
      <c r="F527" s="597"/>
      <c r="G527" s="597"/>
      <c r="H527" s="597"/>
      <c r="I527" s="597"/>
      <c r="J527" s="597"/>
      <c r="K527" s="597"/>
      <c r="L527" s="597"/>
      <c r="M527" s="597"/>
      <c r="N527" s="597"/>
      <c r="O527" s="597"/>
      <c r="P527" s="597"/>
      <c r="Q527" s="597"/>
      <c r="R527" s="597"/>
      <c r="S527" s="597"/>
      <c r="T527" s="597"/>
      <c r="U527" s="597"/>
      <c r="V527" s="597"/>
      <c r="W527" s="597"/>
      <c r="X527" s="597"/>
      <c r="Y527" s="597"/>
      <c r="Z527" s="597"/>
      <c r="AA527" s="597"/>
      <c r="AB527" s="597"/>
      <c r="AC527" s="597"/>
      <c r="AD527" s="597"/>
      <c r="AE527" s="597"/>
      <c r="AF527" s="597"/>
      <c r="AG527" s="597"/>
      <c r="AH527" s="597"/>
      <c r="AI527" s="597"/>
      <c r="AJ527" s="597"/>
      <c r="AK527" s="597"/>
      <c r="AL527" s="597"/>
      <c r="AM527" s="597"/>
      <c r="AN527" s="597"/>
      <c r="AO527" s="597"/>
      <c r="AP527" s="597"/>
      <c r="AQ527" s="597"/>
      <c r="AR527" s="597"/>
      <c r="AS527" s="597"/>
      <c r="AT527" s="597"/>
      <c r="AU527" s="598"/>
      <c r="AV527" s="597"/>
      <c r="AW527" s="597"/>
      <c r="AX527" s="597"/>
      <c r="AY527" s="597"/>
      <c r="AZ527" s="597"/>
      <c r="BA527" s="597"/>
      <c r="BB527" s="597"/>
      <c r="BC527" s="597"/>
      <c r="BD527" s="597"/>
      <c r="BE527" s="597"/>
      <c r="BF527" s="597"/>
      <c r="BG527" s="597"/>
      <c r="BH527" s="597"/>
      <c r="BI527" s="597"/>
      <c r="BJ527" s="597"/>
      <c r="BK527" s="597"/>
      <c r="BL527" s="597"/>
      <c r="BM527" s="597"/>
      <c r="BN527" s="598"/>
      <c r="BO527" s="597"/>
      <c r="BP527" s="597"/>
      <c r="BQ527" s="597"/>
      <c r="BR527" s="597"/>
      <c r="BS527" s="597"/>
      <c r="BT527" s="27"/>
    </row>
    <row r="528" spans="1:72" s="1" customFormat="1" x14ac:dyDescent="0.35">
      <c r="A528" s="354" t="s">
        <v>511</v>
      </c>
      <c r="B528" s="307"/>
      <c r="C528" s="548">
        <f>BC532</f>
        <v>55.902999999999999</v>
      </c>
      <c r="D528" s="548">
        <f>C532</f>
        <v>65.864000000000004</v>
      </c>
      <c r="E528" s="548">
        <f>D532</f>
        <v>63.134</v>
      </c>
      <c r="F528" s="548">
        <f>E532</f>
        <v>61.39</v>
      </c>
      <c r="G528" s="548">
        <f>BD532</f>
        <v>56.142000000000003</v>
      </c>
      <c r="H528" s="548">
        <f>G532</f>
        <v>62.892000000000003</v>
      </c>
      <c r="I528" s="548">
        <f>H532</f>
        <v>56.262</v>
      </c>
      <c r="J528" s="548">
        <f>I532</f>
        <v>50.01</v>
      </c>
      <c r="K528" s="548">
        <f>BE532</f>
        <v>48.581000000000003</v>
      </c>
      <c r="L528" s="548">
        <f>K532</f>
        <v>52.084000000000003</v>
      </c>
      <c r="M528" s="548">
        <f>L532</f>
        <v>48.127000000000002</v>
      </c>
      <c r="N528" s="548">
        <f>M532</f>
        <v>47.369</v>
      </c>
      <c r="O528" s="548">
        <f>BF532</f>
        <v>34.406999999999996</v>
      </c>
      <c r="P528" s="548">
        <f>O532</f>
        <v>31.654</v>
      </c>
      <c r="Q528" s="548">
        <f>P532</f>
        <v>28.661000000000001</v>
      </c>
      <c r="R528" s="548">
        <f>Q532</f>
        <v>26.716999999999999</v>
      </c>
      <c r="S528" s="548">
        <f>BG532</f>
        <v>28.446999999999999</v>
      </c>
      <c r="T528" s="548">
        <f>S532</f>
        <v>31.504000000000001</v>
      </c>
      <c r="U528" s="548">
        <f>T532</f>
        <v>28.425999999999998</v>
      </c>
      <c r="V528" s="548">
        <f>U532</f>
        <v>25.975999999999999</v>
      </c>
      <c r="W528" s="548">
        <f>BH532</f>
        <v>26.297000000000001</v>
      </c>
      <c r="X528" s="548">
        <f>W532</f>
        <v>32.468000000000004</v>
      </c>
      <c r="Y528" s="548">
        <f>X532</f>
        <v>29.472000000000001</v>
      </c>
      <c r="Z528" s="548">
        <f>Y532</f>
        <v>29.468</v>
      </c>
      <c r="AA528" s="548">
        <f>BI532</f>
        <v>28.867999999999999</v>
      </c>
      <c r="AB528" s="548">
        <f>AA532</f>
        <v>37.002000000000002</v>
      </c>
      <c r="AC528" s="548">
        <f>AB532</f>
        <v>32.481000000000002</v>
      </c>
      <c r="AD528" s="548">
        <f>AC532</f>
        <v>32.777999999999999</v>
      </c>
      <c r="AE528" s="548">
        <f>BJ532</f>
        <v>31.98</v>
      </c>
      <c r="AF528" s="548">
        <f>AE532</f>
        <v>37.253</v>
      </c>
      <c r="AG528" s="548">
        <f>AF532</f>
        <v>35.188000000000002</v>
      </c>
      <c r="AH528" s="548">
        <f>AG532</f>
        <v>44.173999999999999</v>
      </c>
      <c r="AI528" s="548">
        <f>BK532</f>
        <v>38.667999999999999</v>
      </c>
      <c r="AJ528" s="548">
        <f>AI532</f>
        <v>70.147000000000006</v>
      </c>
      <c r="AK528" s="548">
        <f>AJ532</f>
        <v>78.503</v>
      </c>
      <c r="AL528" s="548">
        <f>AK532</f>
        <v>82.918000000000006</v>
      </c>
      <c r="AM528" s="548">
        <f>BL532</f>
        <v>72.069000000000003</v>
      </c>
      <c r="AN528" s="548">
        <f>AM532</f>
        <v>76.884</v>
      </c>
      <c r="AO528" s="548">
        <f>AN532</f>
        <v>74.149000000000001</v>
      </c>
      <c r="AP528" s="548">
        <f>AO532</f>
        <v>67.564999999999998</v>
      </c>
      <c r="AQ528" s="548">
        <f>BM532</f>
        <v>61.536999999999999</v>
      </c>
      <c r="AR528" s="548">
        <f>AQ532</f>
        <v>72.307000000000002</v>
      </c>
      <c r="AS528" s="549">
        <f>AR532</f>
        <v>68.123999999999995</v>
      </c>
      <c r="AT528" s="548">
        <f>AS532</f>
        <v>61.326000000000001</v>
      </c>
      <c r="AU528" s="550">
        <f>BN532</f>
        <v>52.332000000000001</v>
      </c>
      <c r="AV528" s="548">
        <f>AU532</f>
        <v>61.085000000000001</v>
      </c>
      <c r="AW528" s="548">
        <f>AV532</f>
        <v>50.604787431693993</v>
      </c>
      <c r="AX528" s="548">
        <f>AW532</f>
        <v>42.494956370315627</v>
      </c>
      <c r="AY528" s="548"/>
      <c r="AZ528" s="688"/>
      <c r="BA528" s="688">
        <f t="shared" ref="BA528:BS528" si="730">AZ532</f>
        <v>37.86</v>
      </c>
      <c r="BB528" s="688">
        <f t="shared" si="730"/>
        <v>24.26</v>
      </c>
      <c r="BC528" s="688">
        <f t="shared" si="730"/>
        <v>46.625</v>
      </c>
      <c r="BD528" s="688">
        <f t="shared" si="730"/>
        <v>55.902999999999999</v>
      </c>
      <c r="BE528" s="688">
        <f t="shared" si="730"/>
        <v>56.142000000000003</v>
      </c>
      <c r="BF528" s="688">
        <f t="shared" si="730"/>
        <v>48.581000000000003</v>
      </c>
      <c r="BG528" s="688">
        <f t="shared" si="730"/>
        <v>34.406999999999996</v>
      </c>
      <c r="BH528" s="688">
        <f t="shared" si="730"/>
        <v>28.446999999999999</v>
      </c>
      <c r="BI528" s="688">
        <f t="shared" si="730"/>
        <v>26.297000000000001</v>
      </c>
      <c r="BJ528" s="688">
        <f t="shared" si="730"/>
        <v>28.867999999999999</v>
      </c>
      <c r="BK528" s="688">
        <f t="shared" si="730"/>
        <v>31.98</v>
      </c>
      <c r="BL528" s="688">
        <f t="shared" si="730"/>
        <v>38.667999999999999</v>
      </c>
      <c r="BM528" s="688">
        <f t="shared" si="730"/>
        <v>72.069000000000003</v>
      </c>
      <c r="BN528" s="702">
        <f t="shared" si="730"/>
        <v>61.536999999999999</v>
      </c>
      <c r="BO528" s="688">
        <f t="shared" si="730"/>
        <v>52.332000000000001</v>
      </c>
      <c r="BP528" s="688">
        <f t="shared" si="730"/>
        <v>36.048064530255544</v>
      </c>
      <c r="BQ528" s="688" t="e">
        <f t="shared" si="730"/>
        <v>#REF!</v>
      </c>
      <c r="BR528" s="688" t="e">
        <f t="shared" si="730"/>
        <v>#REF!</v>
      </c>
      <c r="BS528" s="688" t="e">
        <f t="shared" si="730"/>
        <v>#REF!</v>
      </c>
      <c r="BT528" s="530"/>
    </row>
    <row r="529" spans="1:72" s="1" customFormat="1" x14ac:dyDescent="0.35">
      <c r="A529" s="178" t="s">
        <v>512</v>
      </c>
      <c r="B529" s="308"/>
      <c r="C529" s="528">
        <f t="shared" ref="C529:AU529" si="731">-C201</f>
        <v>-7.7609999999999992</v>
      </c>
      <c r="D529" s="528">
        <f t="shared" si="731"/>
        <v>-8.1329999999999973</v>
      </c>
      <c r="E529" s="528">
        <f t="shared" si="731"/>
        <v>-7.9820000000000029</v>
      </c>
      <c r="F529" s="528">
        <f t="shared" si="731"/>
        <v>-6.8609999999999935</v>
      </c>
      <c r="G529" s="528">
        <f t="shared" si="731"/>
        <v>-8.5499999999999989</v>
      </c>
      <c r="H529" s="528">
        <f t="shared" si="731"/>
        <v>-14.323999999999998</v>
      </c>
      <c r="I529" s="528">
        <f t="shared" si="731"/>
        <v>-9.1170000000000044</v>
      </c>
      <c r="J529" s="528">
        <f t="shared" si="731"/>
        <v>-5.4760000000000026</v>
      </c>
      <c r="K529" s="528">
        <f t="shared" si="731"/>
        <v>-7.4799999999999986</v>
      </c>
      <c r="L529" s="528">
        <f t="shared" si="731"/>
        <v>-7.229000000000001</v>
      </c>
      <c r="M529" s="528">
        <f t="shared" si="731"/>
        <v>-7.0640000000000036</v>
      </c>
      <c r="N529" s="528">
        <f t="shared" si="731"/>
        <v>-11.628</v>
      </c>
      <c r="O529" s="528">
        <f t="shared" si="731"/>
        <v>-5.2650000000000023</v>
      </c>
      <c r="P529" s="528">
        <f t="shared" si="731"/>
        <v>-5.069999999999995</v>
      </c>
      <c r="Q529" s="528">
        <f t="shared" si="731"/>
        <v>-4.6870000000000029</v>
      </c>
      <c r="R529" s="528">
        <f t="shared" si="731"/>
        <v>-4.1029999999999962</v>
      </c>
      <c r="S529" s="528">
        <f t="shared" si="731"/>
        <v>-4.3800000000000008</v>
      </c>
      <c r="T529" s="528">
        <f t="shared" si="731"/>
        <v>-4.1950000000000003</v>
      </c>
      <c r="U529" s="528">
        <f t="shared" si="731"/>
        <v>-5.5500000000000007</v>
      </c>
      <c r="V529" s="528">
        <f t="shared" si="731"/>
        <v>-3.7550000000000026</v>
      </c>
      <c r="W529" s="528">
        <f t="shared" si="731"/>
        <v>-4.4359999999999999</v>
      </c>
      <c r="X529" s="528">
        <f t="shared" si="731"/>
        <v>-4.4499999999999993</v>
      </c>
      <c r="Y529" s="528">
        <f t="shared" si="731"/>
        <v>-4.8260000000000041</v>
      </c>
      <c r="Z529" s="528">
        <f t="shared" si="731"/>
        <v>-3.7480000000000082</v>
      </c>
      <c r="AA529" s="528">
        <f t="shared" si="731"/>
        <v>-5.6110000000000007</v>
      </c>
      <c r="AB529" s="528">
        <f t="shared" si="731"/>
        <v>-4.7099999999999973</v>
      </c>
      <c r="AC529" s="528">
        <f t="shared" si="731"/>
        <v>-4.8380000000000045</v>
      </c>
      <c r="AD529" s="528">
        <f t="shared" si="731"/>
        <v>-5.0410000000000004</v>
      </c>
      <c r="AE529" s="528">
        <f t="shared" si="731"/>
        <v>-5.1029999999999998</v>
      </c>
      <c r="AF529" s="528">
        <f t="shared" si="731"/>
        <v>-5.3879999999999946</v>
      </c>
      <c r="AG529" s="528">
        <f t="shared" si="731"/>
        <v>-5.7490000000000023</v>
      </c>
      <c r="AH529" s="528">
        <f t="shared" si="731"/>
        <v>-6.0379999999999949</v>
      </c>
      <c r="AI529" s="528">
        <f t="shared" si="731"/>
        <v>-6.4250000000000007</v>
      </c>
      <c r="AJ529" s="528">
        <f t="shared" si="731"/>
        <v>-10.237000000000002</v>
      </c>
      <c r="AK529" s="528">
        <f t="shared" si="731"/>
        <v>-9.8009999999999931</v>
      </c>
      <c r="AL529" s="528">
        <f t="shared" si="731"/>
        <v>-11.672000000000006</v>
      </c>
      <c r="AM529" s="528">
        <f t="shared" si="731"/>
        <v>-9.2339999999999982</v>
      </c>
      <c r="AN529" s="528">
        <f t="shared" si="731"/>
        <v>-10.965999999999999</v>
      </c>
      <c r="AO529" s="528">
        <f t="shared" si="731"/>
        <v>-10.367000000000001</v>
      </c>
      <c r="AP529" s="528">
        <f t="shared" si="731"/>
        <v>-10.979000000000006</v>
      </c>
      <c r="AQ529" s="528">
        <f t="shared" si="731"/>
        <v>-11.962000000000002</v>
      </c>
      <c r="AR529" s="528">
        <f t="shared" si="731"/>
        <v>-11.383999999999997</v>
      </c>
      <c r="AS529" s="551">
        <f t="shared" si="731"/>
        <v>-11.162000000000006</v>
      </c>
      <c r="AT529" s="528">
        <f t="shared" si="731"/>
        <v>-11.350000000000001</v>
      </c>
      <c r="AU529" s="552">
        <f t="shared" si="731"/>
        <v>-10.402000000000001</v>
      </c>
      <c r="AV529" s="528">
        <f>-AV528*AV540*AV3/BO3</f>
        <v>-12.13021256830601</v>
      </c>
      <c r="AW529" s="528">
        <f>-AW528*AW540*AW3/BO3</f>
        <v>-9.9398310613783636</v>
      </c>
      <c r="AX529" s="528">
        <f>-AX528*AX540*AX3/BO3</f>
        <v>-8.3468918400600831</v>
      </c>
      <c r="AY529" s="528"/>
      <c r="AZ529" s="692"/>
      <c r="BA529" s="692">
        <f t="shared" ref="BA529:BN529" si="732">-BA201</f>
        <v>-15.960999999999999</v>
      </c>
      <c r="BB529" s="692">
        <f t="shared" si="732"/>
        <v>-18.833999999999996</v>
      </c>
      <c r="BC529" s="692">
        <f t="shared" si="732"/>
        <v>-27.233000000000001</v>
      </c>
      <c r="BD529" s="692">
        <f t="shared" si="732"/>
        <v>-30.736999999999995</v>
      </c>
      <c r="BE529" s="692">
        <f t="shared" si="732"/>
        <v>-37.466999999999999</v>
      </c>
      <c r="BF529" s="692">
        <f t="shared" si="732"/>
        <v>-33.401000000000003</v>
      </c>
      <c r="BG529" s="692">
        <f t="shared" si="732"/>
        <v>-19.124999999999993</v>
      </c>
      <c r="BH529" s="692">
        <f t="shared" si="732"/>
        <v>-17.880000000000003</v>
      </c>
      <c r="BI529" s="692">
        <f t="shared" si="732"/>
        <v>-17.460000000000008</v>
      </c>
      <c r="BJ529" s="692">
        <f t="shared" si="732"/>
        <v>-20.200000000000003</v>
      </c>
      <c r="BK529" s="692">
        <f t="shared" si="732"/>
        <v>-22.277999999999999</v>
      </c>
      <c r="BL529" s="692">
        <f t="shared" si="732"/>
        <v>-38.135000000000005</v>
      </c>
      <c r="BM529" s="692">
        <f t="shared" si="732"/>
        <v>-41.546000000000006</v>
      </c>
      <c r="BN529" s="712">
        <f t="shared" si="732"/>
        <v>-45.858000000000004</v>
      </c>
      <c r="BO529" s="692">
        <f>IF(OR(ISBLANK(AU529),ISBLANK(AV529),ISBLANK(AW529),ISBLANK(AX529)),"n/a",SUM(AU529,AV529,AW529,AX529))</f>
        <v>-40.81893546974446</v>
      </c>
      <c r="BP529" s="692" t="e">
        <f>IF(OR(ISBLANK(#REF!),ISBLANK(#REF!),ISBLANK(#REF!),ISBLANK(#REF!)),"n/a",SUM(#REF!,#REF!,#REF!,#REF!))</f>
        <v>#REF!</v>
      </c>
      <c r="BQ529" s="692" t="e">
        <f>-BQ528*BQ540</f>
        <v>#REF!</v>
      </c>
      <c r="BR529" s="692" t="e">
        <f>-BR528*BR540</f>
        <v>#REF!</v>
      </c>
      <c r="BS529" s="692" t="e">
        <f>-BS528*BS540</f>
        <v>#REF!</v>
      </c>
      <c r="BT529" s="530"/>
    </row>
    <row r="530" spans="1:72" s="1" customFormat="1" x14ac:dyDescent="0.35">
      <c r="A530" s="178" t="s">
        <v>514</v>
      </c>
      <c r="B530" s="308"/>
      <c r="C530" s="528">
        <f t="shared" ref="C530:AU530" si="733">C546+C453+C454</f>
        <v>3.8630000000000004</v>
      </c>
      <c r="D530" s="528">
        <f t="shared" si="733"/>
        <v>0.66100000000000048</v>
      </c>
      <c r="E530" s="528">
        <f t="shared" si="733"/>
        <v>0.74099999999999966</v>
      </c>
      <c r="F530" s="528">
        <f t="shared" si="733"/>
        <v>3.0740000000000016</v>
      </c>
      <c r="G530" s="528">
        <f t="shared" si="733"/>
        <v>4.274</v>
      </c>
      <c r="H530" s="528">
        <f t="shared" si="733"/>
        <v>1.0549999999999997</v>
      </c>
      <c r="I530" s="528">
        <f t="shared" si="733"/>
        <v>0.99400000000000244</v>
      </c>
      <c r="J530" s="528">
        <f t="shared" si="733"/>
        <v>1.0820000000000007</v>
      </c>
      <c r="K530" s="528">
        <f t="shared" si="733"/>
        <v>6.333000000000002</v>
      </c>
      <c r="L530" s="528">
        <f t="shared" si="733"/>
        <v>0.35399999999999832</v>
      </c>
      <c r="M530" s="528">
        <f t="shared" si="733"/>
        <v>0.96900000000000031</v>
      </c>
      <c r="N530" s="528">
        <f t="shared" si="733"/>
        <v>2.2720000000000002</v>
      </c>
      <c r="O530" s="528">
        <f t="shared" si="733"/>
        <v>0.97700000000000031</v>
      </c>
      <c r="P530" s="528">
        <f t="shared" si="733"/>
        <v>1.0469999999999997</v>
      </c>
      <c r="Q530" s="528">
        <f t="shared" si="733"/>
        <v>0.43400000000000016</v>
      </c>
      <c r="R530" s="528">
        <f t="shared" si="733"/>
        <v>2.5500000000000007</v>
      </c>
      <c r="S530" s="528">
        <f t="shared" si="733"/>
        <v>0.96</v>
      </c>
      <c r="T530" s="528">
        <f t="shared" si="733"/>
        <v>0.31599999999999984</v>
      </c>
      <c r="U530" s="528">
        <f t="shared" si="733"/>
        <v>0.11500000000000021</v>
      </c>
      <c r="V530" s="528">
        <f t="shared" si="733"/>
        <v>0.78299999999999947</v>
      </c>
      <c r="W530" s="528">
        <f t="shared" si="733"/>
        <v>5.1430000000000007</v>
      </c>
      <c r="X530" s="528">
        <f t="shared" si="733"/>
        <v>0.77399999999999958</v>
      </c>
      <c r="Y530" s="528">
        <f t="shared" si="733"/>
        <v>0.66300000000000026</v>
      </c>
      <c r="Z530" s="528">
        <f t="shared" si="733"/>
        <v>2.1630000000000003</v>
      </c>
      <c r="AA530" s="528">
        <f t="shared" si="733"/>
        <v>1.7379999999999987</v>
      </c>
      <c r="AB530" s="528">
        <f t="shared" si="733"/>
        <v>0.17600000000000104</v>
      </c>
      <c r="AC530" s="528">
        <f t="shared" si="733"/>
        <v>0.48300000000000054</v>
      </c>
      <c r="AD530" s="528">
        <f t="shared" si="733"/>
        <v>3.08</v>
      </c>
      <c r="AE530" s="528">
        <f t="shared" si="733"/>
        <v>1.2459999999999987</v>
      </c>
      <c r="AF530" s="528">
        <f t="shared" si="733"/>
        <v>9.2000000000000526E-2</v>
      </c>
      <c r="AG530" s="528">
        <f t="shared" si="733"/>
        <v>0.15500000000000114</v>
      </c>
      <c r="AH530" s="528">
        <f t="shared" si="733"/>
        <v>0.18399999999999928</v>
      </c>
      <c r="AI530" s="528">
        <f t="shared" si="733"/>
        <v>1.1060000000000016</v>
      </c>
      <c r="AJ530" s="528">
        <f t="shared" si="733"/>
        <v>0.86300000000000043</v>
      </c>
      <c r="AK530" s="528">
        <f t="shared" si="733"/>
        <v>0.99800000000000022</v>
      </c>
      <c r="AL530" s="528">
        <f t="shared" si="733"/>
        <v>0.59999999999999787</v>
      </c>
      <c r="AM530" s="528">
        <f t="shared" si="733"/>
        <v>1.2780000000000014</v>
      </c>
      <c r="AN530" s="528">
        <f t="shared" si="733"/>
        <v>1.4269999999999987</v>
      </c>
      <c r="AO530" s="528">
        <f t="shared" si="733"/>
        <v>2.0289999999999981</v>
      </c>
      <c r="AP530" s="528">
        <f t="shared" si="733"/>
        <v>5.0140000000000011</v>
      </c>
      <c r="AQ530" s="528">
        <f t="shared" si="733"/>
        <v>0.91300000000000026</v>
      </c>
      <c r="AR530" s="528">
        <f t="shared" si="733"/>
        <v>1.9100000000000019</v>
      </c>
      <c r="AS530" s="551">
        <f t="shared" si="733"/>
        <v>0.75600000000000023</v>
      </c>
      <c r="AT530" s="528">
        <f t="shared" si="733"/>
        <v>0.75699999999999967</v>
      </c>
      <c r="AU530" s="552">
        <f t="shared" si="733"/>
        <v>1.6940000000000008</v>
      </c>
      <c r="AV530" s="528">
        <f t="shared" ref="AV530:AX530" si="734">AV546*(1-AV547)</f>
        <v>1.6499999999999997</v>
      </c>
      <c r="AW530" s="528">
        <f t="shared" si="734"/>
        <v>1.8299999999999996</v>
      </c>
      <c r="AX530" s="528">
        <f t="shared" si="734"/>
        <v>1.8999999999999995</v>
      </c>
      <c r="AY530" s="528"/>
      <c r="AZ530" s="692"/>
      <c r="BA530" s="692">
        <f t="shared" ref="BA530:BN530" si="735">BA546+BA453+BA454</f>
        <v>10.356999999999999</v>
      </c>
      <c r="BB530" s="692">
        <f t="shared" si="735"/>
        <v>29.563000000000002</v>
      </c>
      <c r="BC530" s="692">
        <f t="shared" si="735"/>
        <v>10.483000000000008</v>
      </c>
      <c r="BD530" s="692">
        <f t="shared" si="735"/>
        <v>8.3389999999999986</v>
      </c>
      <c r="BE530" s="692">
        <f t="shared" si="735"/>
        <v>7.4049999999999994</v>
      </c>
      <c r="BF530" s="692">
        <f t="shared" si="735"/>
        <v>9.9280000000000079</v>
      </c>
      <c r="BG530" s="692">
        <f t="shared" si="735"/>
        <v>5.0080000000000062</v>
      </c>
      <c r="BH530" s="692">
        <f t="shared" si="735"/>
        <v>2.174000000000003</v>
      </c>
      <c r="BI530" s="692">
        <f t="shared" si="735"/>
        <v>8.7430000000000021</v>
      </c>
      <c r="BJ530" s="692">
        <f t="shared" si="735"/>
        <v>5.4770000000000039</v>
      </c>
      <c r="BK530" s="692">
        <f t="shared" si="735"/>
        <v>1.6769999999999996</v>
      </c>
      <c r="BL530" s="692">
        <f t="shared" si="735"/>
        <v>3.5670000000000073</v>
      </c>
      <c r="BM530" s="692">
        <f t="shared" si="735"/>
        <v>9.7480000000000029</v>
      </c>
      <c r="BN530" s="712">
        <f t="shared" si="735"/>
        <v>4.3360000000000021</v>
      </c>
      <c r="BO530" s="692">
        <f>IF(OR(ISBLANK(AU530),ISBLANK(AV530),ISBLANK(AW530),ISBLANK(AX530)),"n/a",SUM(AU530,AV530,AW530,AX530))</f>
        <v>7.073999999999999</v>
      </c>
      <c r="BP530" s="692" t="e">
        <f>IF(OR(ISBLANK(#REF!),ISBLANK(#REF!),ISBLANK(#REF!),ISBLANK(#REF!)),"n/a",SUM(#REF!,#REF!,#REF!,#REF!))</f>
        <v>#REF!</v>
      </c>
      <c r="BQ530" s="692">
        <f>BQ546*(1-BQ547)</f>
        <v>14.399999999999997</v>
      </c>
      <c r="BR530" s="692">
        <f>BR546*(1-BR547)</f>
        <v>14.399999999999997</v>
      </c>
      <c r="BS530" s="692">
        <f>BS546*(1-BS547)</f>
        <v>14.399999999999997</v>
      </c>
      <c r="BT530" s="530"/>
    </row>
    <row r="531" spans="1:72" s="1" customFormat="1" x14ac:dyDescent="0.35">
      <c r="A531" s="178" t="s">
        <v>515</v>
      </c>
      <c r="B531" s="308"/>
      <c r="C531" s="528">
        <f t="shared" ref="C531:AH531" si="736">ROUND(C532-C528-C529-C530,6)</f>
        <v>13.859</v>
      </c>
      <c r="D531" s="528">
        <f t="shared" si="736"/>
        <v>4.742</v>
      </c>
      <c r="E531" s="528">
        <f t="shared" si="736"/>
        <v>5.4969999999999999</v>
      </c>
      <c r="F531" s="528">
        <f t="shared" si="736"/>
        <v>-1.4610000000000001</v>
      </c>
      <c r="G531" s="528">
        <f t="shared" si="736"/>
        <v>11.026</v>
      </c>
      <c r="H531" s="528">
        <f t="shared" si="736"/>
        <v>6.6390000000000002</v>
      </c>
      <c r="I531" s="528">
        <f t="shared" si="736"/>
        <v>1.871</v>
      </c>
      <c r="J531" s="528">
        <f t="shared" si="736"/>
        <v>2.9649999999999999</v>
      </c>
      <c r="K531" s="528">
        <f t="shared" si="736"/>
        <v>4.6500000000000004</v>
      </c>
      <c r="L531" s="528">
        <f t="shared" si="736"/>
        <v>2.9180000000000001</v>
      </c>
      <c r="M531" s="528">
        <f t="shared" si="736"/>
        <v>5.3369999999999997</v>
      </c>
      <c r="N531" s="528">
        <f t="shared" si="736"/>
        <v>-3.6059999999999999</v>
      </c>
      <c r="O531" s="528">
        <f t="shared" si="736"/>
        <v>1.5349999999999999</v>
      </c>
      <c r="P531" s="528">
        <f t="shared" si="736"/>
        <v>1.03</v>
      </c>
      <c r="Q531" s="528">
        <f t="shared" si="736"/>
        <v>2.3090000000000002</v>
      </c>
      <c r="R531" s="528">
        <f t="shared" si="736"/>
        <v>3.2829999999999999</v>
      </c>
      <c r="S531" s="528">
        <f t="shared" si="736"/>
        <v>6.4770000000000003</v>
      </c>
      <c r="T531" s="528">
        <f t="shared" si="736"/>
        <v>0.80100000000000005</v>
      </c>
      <c r="U531" s="528">
        <f t="shared" si="736"/>
        <v>2.9849999999999999</v>
      </c>
      <c r="V531" s="528">
        <f t="shared" si="736"/>
        <v>3.2930000000000001</v>
      </c>
      <c r="W531" s="528">
        <f t="shared" si="736"/>
        <v>5.4640000000000004</v>
      </c>
      <c r="X531" s="528">
        <f t="shared" si="736"/>
        <v>0.68</v>
      </c>
      <c r="Y531" s="528">
        <f t="shared" si="736"/>
        <v>4.1589999999999998</v>
      </c>
      <c r="Z531" s="528">
        <f t="shared" si="736"/>
        <v>0.98499999999999999</v>
      </c>
      <c r="AA531" s="528">
        <f t="shared" si="736"/>
        <v>12.007</v>
      </c>
      <c r="AB531" s="528">
        <f t="shared" si="736"/>
        <v>1.2999999999999999E-2</v>
      </c>
      <c r="AC531" s="528">
        <f t="shared" si="736"/>
        <v>4.6520000000000001</v>
      </c>
      <c r="AD531" s="528">
        <f t="shared" si="736"/>
        <v>1.163</v>
      </c>
      <c r="AE531" s="528">
        <f t="shared" si="736"/>
        <v>9.1300000000000008</v>
      </c>
      <c r="AF531" s="528">
        <f t="shared" si="736"/>
        <v>3.2309999999999999</v>
      </c>
      <c r="AG531" s="528">
        <f t="shared" si="736"/>
        <v>14.58</v>
      </c>
      <c r="AH531" s="528">
        <f t="shared" si="736"/>
        <v>0.34799999999999998</v>
      </c>
      <c r="AI531" s="528">
        <f t="shared" ref="AI531:AX531" si="737">ROUND(AI532-AI528-AI529-AI530,6)</f>
        <v>36.798000000000002</v>
      </c>
      <c r="AJ531" s="528">
        <f t="shared" si="737"/>
        <v>17.73</v>
      </c>
      <c r="AK531" s="528">
        <f t="shared" si="737"/>
        <v>13.218</v>
      </c>
      <c r="AL531" s="528">
        <f t="shared" si="737"/>
        <v>0.223</v>
      </c>
      <c r="AM531" s="528">
        <f t="shared" si="737"/>
        <v>12.771000000000001</v>
      </c>
      <c r="AN531" s="528">
        <f t="shared" si="737"/>
        <v>6.8040000000000003</v>
      </c>
      <c r="AO531" s="528">
        <f t="shared" si="737"/>
        <v>1.754</v>
      </c>
      <c r="AP531" s="528">
        <f t="shared" si="737"/>
        <v>-6.3E-2</v>
      </c>
      <c r="AQ531" s="528">
        <f t="shared" si="737"/>
        <v>21.818999999999999</v>
      </c>
      <c r="AR531" s="528">
        <f t="shared" si="737"/>
        <v>5.2910000000000004</v>
      </c>
      <c r="AS531" s="551">
        <f t="shared" si="737"/>
        <v>3.6080000000000001</v>
      </c>
      <c r="AT531" s="528">
        <f t="shared" si="737"/>
        <v>1.599</v>
      </c>
      <c r="AU531" s="552">
        <f t="shared" si="737"/>
        <v>17.460999999999999</v>
      </c>
      <c r="AV531" s="528">
        <f t="shared" si="737"/>
        <v>0</v>
      </c>
      <c r="AW531" s="528">
        <f t="shared" si="737"/>
        <v>0</v>
      </c>
      <c r="AX531" s="528">
        <f t="shared" si="737"/>
        <v>0</v>
      </c>
      <c r="AY531" s="528"/>
      <c r="AZ531" s="692"/>
      <c r="BA531" s="692">
        <f t="shared" ref="BA531:BN531" si="738">ROUND(BA532-BA528-BA529-BA530,6)</f>
        <v>-7.9960000000000004</v>
      </c>
      <c r="BB531" s="692">
        <f t="shared" si="738"/>
        <v>11.635999999999999</v>
      </c>
      <c r="BC531" s="692">
        <f t="shared" si="738"/>
        <v>26.027999999999999</v>
      </c>
      <c r="BD531" s="692">
        <f t="shared" si="738"/>
        <v>22.637</v>
      </c>
      <c r="BE531" s="692">
        <f t="shared" si="738"/>
        <v>22.501000000000001</v>
      </c>
      <c r="BF531" s="692">
        <f t="shared" si="738"/>
        <v>9.2989999999999995</v>
      </c>
      <c r="BG531" s="692">
        <f t="shared" si="738"/>
        <v>8.157</v>
      </c>
      <c r="BH531" s="692">
        <f t="shared" si="738"/>
        <v>13.555999999999999</v>
      </c>
      <c r="BI531" s="692">
        <f t="shared" si="738"/>
        <v>11.288</v>
      </c>
      <c r="BJ531" s="692">
        <f t="shared" si="738"/>
        <v>17.835000000000001</v>
      </c>
      <c r="BK531" s="692">
        <f t="shared" si="738"/>
        <v>27.289000000000001</v>
      </c>
      <c r="BL531" s="692">
        <f t="shared" si="738"/>
        <v>67.968999999999994</v>
      </c>
      <c r="BM531" s="692">
        <f t="shared" si="738"/>
        <v>21.265999999999998</v>
      </c>
      <c r="BN531" s="712">
        <f t="shared" si="738"/>
        <v>32.317</v>
      </c>
      <c r="BO531" s="692">
        <f>ROUND(BO532-BO528-IF(ISNUMBER(BO529),BO529,0)-IF(ISNUMBER(BO530),BO530,0),6)</f>
        <v>17.460999999999999</v>
      </c>
      <c r="BP531" s="692" t="e">
        <f>ROUND(BP532-BP528-IF(ISNUMBER(BP529),BP529,0)-IF(ISNUMBER(BP530),BP530,0),6)</f>
        <v>#REF!</v>
      </c>
      <c r="BQ531" s="692" t="e">
        <f>ROUND(BQ532-BQ528-BQ529-BQ530,6)</f>
        <v>#REF!</v>
      </c>
      <c r="BR531" s="692" t="e">
        <f>ROUND(BR532-BR528-BR529-BR530,6)</f>
        <v>#REF!</v>
      </c>
      <c r="BS531" s="692" t="e">
        <f>ROUND(BS532-BS528-BS529-BS530,6)</f>
        <v>#REF!</v>
      </c>
      <c r="BT531" s="530"/>
    </row>
    <row r="532" spans="1:72" s="1" customFormat="1" x14ac:dyDescent="0.35">
      <c r="A532" s="407" t="s">
        <v>510</v>
      </c>
      <c r="B532" s="405"/>
      <c r="C532" s="599">
        <f t="shared" ref="C532:AH532" si="739">C562</f>
        <v>65.864000000000004</v>
      </c>
      <c r="D532" s="599">
        <f t="shared" si="739"/>
        <v>63.134</v>
      </c>
      <c r="E532" s="599">
        <f t="shared" si="739"/>
        <v>61.39</v>
      </c>
      <c r="F532" s="599">
        <f t="shared" si="739"/>
        <v>56.142000000000003</v>
      </c>
      <c r="G532" s="599">
        <f t="shared" si="739"/>
        <v>62.892000000000003</v>
      </c>
      <c r="H532" s="599">
        <f t="shared" si="739"/>
        <v>56.262</v>
      </c>
      <c r="I532" s="599">
        <f t="shared" si="739"/>
        <v>50.01</v>
      </c>
      <c r="J532" s="599">
        <f t="shared" si="739"/>
        <v>48.581000000000003</v>
      </c>
      <c r="K532" s="599">
        <f t="shared" si="739"/>
        <v>52.084000000000003</v>
      </c>
      <c r="L532" s="599">
        <f t="shared" si="739"/>
        <v>48.127000000000002</v>
      </c>
      <c r="M532" s="599">
        <f t="shared" si="739"/>
        <v>47.369</v>
      </c>
      <c r="N532" s="599">
        <f t="shared" si="739"/>
        <v>34.406999999999996</v>
      </c>
      <c r="O532" s="599">
        <f t="shared" si="739"/>
        <v>31.654</v>
      </c>
      <c r="P532" s="599">
        <f t="shared" si="739"/>
        <v>28.661000000000001</v>
      </c>
      <c r="Q532" s="599">
        <f t="shared" si="739"/>
        <v>26.716999999999999</v>
      </c>
      <c r="R532" s="599">
        <f t="shared" si="739"/>
        <v>28.446999999999999</v>
      </c>
      <c r="S532" s="599">
        <f t="shared" si="739"/>
        <v>31.504000000000001</v>
      </c>
      <c r="T532" s="599">
        <f t="shared" si="739"/>
        <v>28.425999999999998</v>
      </c>
      <c r="U532" s="599">
        <f t="shared" si="739"/>
        <v>25.975999999999999</v>
      </c>
      <c r="V532" s="599">
        <f t="shared" si="739"/>
        <v>26.297000000000001</v>
      </c>
      <c r="W532" s="599">
        <f t="shared" si="739"/>
        <v>32.468000000000004</v>
      </c>
      <c r="X532" s="599">
        <f t="shared" si="739"/>
        <v>29.472000000000001</v>
      </c>
      <c r="Y532" s="599">
        <f t="shared" si="739"/>
        <v>29.468</v>
      </c>
      <c r="Z532" s="599">
        <f t="shared" si="739"/>
        <v>28.867999999999999</v>
      </c>
      <c r="AA532" s="599">
        <f t="shared" si="739"/>
        <v>37.002000000000002</v>
      </c>
      <c r="AB532" s="599">
        <f t="shared" si="739"/>
        <v>32.481000000000002</v>
      </c>
      <c r="AC532" s="599">
        <f t="shared" si="739"/>
        <v>32.777999999999999</v>
      </c>
      <c r="AD532" s="599">
        <f t="shared" si="739"/>
        <v>31.98</v>
      </c>
      <c r="AE532" s="599">
        <f t="shared" si="739"/>
        <v>37.253</v>
      </c>
      <c r="AF532" s="599">
        <f t="shared" si="739"/>
        <v>35.188000000000002</v>
      </c>
      <c r="AG532" s="599">
        <f t="shared" si="739"/>
        <v>44.173999999999999</v>
      </c>
      <c r="AH532" s="599">
        <f t="shared" si="739"/>
        <v>38.667999999999999</v>
      </c>
      <c r="AI532" s="599">
        <f t="shared" ref="AI532:AX532" si="740">AI562</f>
        <v>70.147000000000006</v>
      </c>
      <c r="AJ532" s="599">
        <f t="shared" si="740"/>
        <v>78.503</v>
      </c>
      <c r="AK532" s="599">
        <f t="shared" si="740"/>
        <v>82.918000000000006</v>
      </c>
      <c r="AL532" s="599">
        <f t="shared" si="740"/>
        <v>72.069000000000003</v>
      </c>
      <c r="AM532" s="599">
        <f t="shared" si="740"/>
        <v>76.884</v>
      </c>
      <c r="AN532" s="599">
        <f t="shared" si="740"/>
        <v>74.149000000000001</v>
      </c>
      <c r="AO532" s="599">
        <f t="shared" si="740"/>
        <v>67.564999999999998</v>
      </c>
      <c r="AP532" s="599">
        <f t="shared" si="740"/>
        <v>61.536999999999999</v>
      </c>
      <c r="AQ532" s="599">
        <f t="shared" si="740"/>
        <v>72.307000000000002</v>
      </c>
      <c r="AR532" s="599">
        <f t="shared" si="740"/>
        <v>68.123999999999995</v>
      </c>
      <c r="AS532" s="600">
        <f t="shared" si="740"/>
        <v>61.326000000000001</v>
      </c>
      <c r="AT532" s="599">
        <f t="shared" si="740"/>
        <v>52.332000000000001</v>
      </c>
      <c r="AU532" s="601">
        <f t="shared" si="740"/>
        <v>61.085000000000001</v>
      </c>
      <c r="AV532" s="599">
        <f t="shared" si="740"/>
        <v>50.604787431693993</v>
      </c>
      <c r="AW532" s="599">
        <f t="shared" si="740"/>
        <v>42.494956370315627</v>
      </c>
      <c r="AX532" s="599">
        <f t="shared" si="740"/>
        <v>36.048064530255544</v>
      </c>
      <c r="AY532" s="599"/>
      <c r="AZ532" s="830">
        <f t="shared" ref="AZ532:BS532" si="741">AZ562</f>
        <v>37.86</v>
      </c>
      <c r="BA532" s="830">
        <f t="shared" si="741"/>
        <v>24.26</v>
      </c>
      <c r="BB532" s="830">
        <f t="shared" si="741"/>
        <v>46.625</v>
      </c>
      <c r="BC532" s="830">
        <f t="shared" si="741"/>
        <v>55.902999999999999</v>
      </c>
      <c r="BD532" s="830">
        <f t="shared" si="741"/>
        <v>56.142000000000003</v>
      </c>
      <c r="BE532" s="830">
        <f t="shared" si="741"/>
        <v>48.581000000000003</v>
      </c>
      <c r="BF532" s="830">
        <f t="shared" si="741"/>
        <v>34.406999999999996</v>
      </c>
      <c r="BG532" s="830">
        <f t="shared" si="741"/>
        <v>28.446999999999999</v>
      </c>
      <c r="BH532" s="830">
        <f t="shared" si="741"/>
        <v>26.297000000000001</v>
      </c>
      <c r="BI532" s="830">
        <f t="shared" si="741"/>
        <v>28.867999999999999</v>
      </c>
      <c r="BJ532" s="830">
        <f t="shared" si="741"/>
        <v>31.98</v>
      </c>
      <c r="BK532" s="830">
        <f t="shared" si="741"/>
        <v>38.667999999999999</v>
      </c>
      <c r="BL532" s="830">
        <f t="shared" si="741"/>
        <v>72.069000000000003</v>
      </c>
      <c r="BM532" s="830">
        <f t="shared" si="741"/>
        <v>61.536999999999999</v>
      </c>
      <c r="BN532" s="831">
        <f t="shared" si="741"/>
        <v>52.332000000000001</v>
      </c>
      <c r="BO532" s="830">
        <f t="shared" si="741"/>
        <v>36.048064530255544</v>
      </c>
      <c r="BP532" s="830" t="e">
        <f t="shared" si="741"/>
        <v>#REF!</v>
      </c>
      <c r="BQ532" s="830" t="e">
        <f t="shared" si="741"/>
        <v>#REF!</v>
      </c>
      <c r="BR532" s="830" t="e">
        <f t="shared" si="741"/>
        <v>#REF!</v>
      </c>
      <c r="BS532" s="830" t="e">
        <f t="shared" si="741"/>
        <v>#REF!</v>
      </c>
      <c r="BT532" s="530"/>
    </row>
    <row r="533" spans="1:72" s="1" customFormat="1" x14ac:dyDescent="0.35">
      <c r="A533" s="178"/>
      <c r="B533" s="308"/>
      <c r="C533" s="528"/>
      <c r="D533" s="528"/>
      <c r="E533" s="528"/>
      <c r="F533" s="528"/>
      <c r="G533" s="528"/>
      <c r="H533" s="528"/>
      <c r="I533" s="528"/>
      <c r="J533" s="528"/>
      <c r="K533" s="528"/>
      <c r="L533" s="528"/>
      <c r="M533" s="528"/>
      <c r="N533" s="528"/>
      <c r="O533" s="528"/>
      <c r="P533" s="528"/>
      <c r="Q533" s="528"/>
      <c r="R533" s="528"/>
      <c r="S533" s="528"/>
      <c r="T533" s="528"/>
      <c r="U533" s="528"/>
      <c r="V533" s="528"/>
      <c r="W533" s="528"/>
      <c r="X533" s="528"/>
      <c r="Y533" s="528"/>
      <c r="Z533" s="528"/>
      <c r="AA533" s="528"/>
      <c r="AB533" s="528"/>
      <c r="AC533" s="528"/>
      <c r="AD533" s="528"/>
      <c r="AE533" s="528"/>
      <c r="AF533" s="528"/>
      <c r="AG533" s="528"/>
      <c r="AH533" s="528"/>
      <c r="AI533" s="528"/>
      <c r="AJ533" s="528"/>
      <c r="AK533" s="528"/>
      <c r="AL533" s="528"/>
      <c r="AM533" s="528"/>
      <c r="AN533" s="528"/>
      <c r="AO533" s="528"/>
      <c r="AP533" s="528"/>
      <c r="AQ533" s="528"/>
      <c r="AR533" s="528"/>
      <c r="AS533" s="528"/>
      <c r="AT533" s="528"/>
      <c r="AU533" s="560"/>
      <c r="AV533" s="528"/>
      <c r="AW533" s="528"/>
      <c r="AX533" s="528"/>
      <c r="AY533" s="528"/>
      <c r="AZ533" s="692"/>
      <c r="BA533" s="692"/>
      <c r="BB533" s="692"/>
      <c r="BC533" s="692"/>
      <c r="BD533" s="692"/>
      <c r="BE533" s="692"/>
      <c r="BF533" s="692"/>
      <c r="BG533" s="692"/>
      <c r="BH533" s="692"/>
      <c r="BI533" s="692"/>
      <c r="BJ533" s="692"/>
      <c r="BK533" s="692"/>
      <c r="BL533" s="692"/>
      <c r="BM533" s="692"/>
      <c r="BN533" s="712"/>
      <c r="BO533" s="692"/>
      <c r="BP533" s="692"/>
      <c r="BQ533" s="692"/>
      <c r="BR533" s="692"/>
      <c r="BS533" s="692"/>
      <c r="BT533" s="530"/>
    </row>
    <row r="534" spans="1:72" s="1" customFormat="1" x14ac:dyDescent="0.35">
      <c r="A534" s="354" t="s">
        <v>517</v>
      </c>
      <c r="B534" s="307"/>
      <c r="C534" s="548">
        <f>BC538</f>
        <v>131.79</v>
      </c>
      <c r="D534" s="548">
        <f>C538</f>
        <v>135.20499999999998</v>
      </c>
      <c r="E534" s="548">
        <f>D538</f>
        <v>137.00200000000001</v>
      </c>
      <c r="F534" s="548">
        <f>E538</f>
        <v>138.94999999999999</v>
      </c>
      <c r="G534" s="548">
        <f>BD538</f>
        <v>140.24200000000002</v>
      </c>
      <c r="H534" s="548">
        <f>G538</f>
        <v>140.10299999999998</v>
      </c>
      <c r="I534" s="548">
        <f>H538</f>
        <v>129.99799999999999</v>
      </c>
      <c r="J534" s="548">
        <f>I538</f>
        <v>132.66199999999998</v>
      </c>
      <c r="K534" s="548">
        <f>BE538</f>
        <v>134.41</v>
      </c>
      <c r="L534" s="548">
        <f>K538</f>
        <v>137.25099999999998</v>
      </c>
      <c r="M534" s="548">
        <f>L538</f>
        <v>138.917</v>
      </c>
      <c r="N534" s="548">
        <f>M538</f>
        <v>141.36799999999999</v>
      </c>
      <c r="O534" s="548">
        <f>BF538</f>
        <v>142.57399999999998</v>
      </c>
      <c r="P534" s="548">
        <f>O538</f>
        <v>144.47199999999998</v>
      </c>
      <c r="Q534" s="548">
        <f>P538</f>
        <v>143.63499999999999</v>
      </c>
      <c r="R534" s="548">
        <f>Q538</f>
        <v>145.40199999999999</v>
      </c>
      <c r="S534" s="548">
        <f>BG538</f>
        <v>156.524</v>
      </c>
      <c r="T534" s="548">
        <f>S538</f>
        <v>156.261</v>
      </c>
      <c r="U534" s="548">
        <f>T538</f>
        <v>151.31299999999999</v>
      </c>
      <c r="V534" s="548">
        <f>U538</f>
        <v>146.13900000000001</v>
      </c>
      <c r="W534" s="548">
        <f>BH538</f>
        <v>142.13400000000001</v>
      </c>
      <c r="X534" s="548">
        <f>W538</f>
        <v>137.404</v>
      </c>
      <c r="Y534" s="548">
        <f>X538</f>
        <v>132.16900000000001</v>
      </c>
      <c r="Z534" s="548">
        <f>Y538</f>
        <v>127.72199999999999</v>
      </c>
      <c r="AA534" s="548">
        <f>BI538</f>
        <v>126.99699999999999</v>
      </c>
      <c r="AB534" s="548">
        <f>AA538</f>
        <v>124.324</v>
      </c>
      <c r="AC534" s="548">
        <f>AB538</f>
        <v>121.548</v>
      </c>
      <c r="AD534" s="548">
        <f>AC538</f>
        <v>118.57599999999999</v>
      </c>
      <c r="AE534" s="548">
        <f>BJ538</f>
        <v>119.44299999999998</v>
      </c>
      <c r="AF534" s="548">
        <f>AE538</f>
        <v>117.965</v>
      </c>
      <c r="AG534" s="548">
        <f>AF538</f>
        <v>115.099</v>
      </c>
      <c r="AH534" s="548">
        <f>AG538</f>
        <v>143.91399999999999</v>
      </c>
      <c r="AI534" s="548">
        <f>BK538</f>
        <v>174.79300000000001</v>
      </c>
      <c r="AJ534" s="548">
        <f>AI538</f>
        <v>173.55399999999997</v>
      </c>
      <c r="AK534" s="548">
        <f>AJ538</f>
        <v>204.99</v>
      </c>
      <c r="AL534" s="548">
        <f>AK538</f>
        <v>203.45099999999999</v>
      </c>
      <c r="AM534" s="548">
        <f>BL538</f>
        <v>207.16399999999999</v>
      </c>
      <c r="AN534" s="548">
        <f>AM538</f>
        <v>204.09800000000001</v>
      </c>
      <c r="AO534" s="548">
        <f>AN538</f>
        <v>205.517</v>
      </c>
      <c r="AP534" s="548">
        <f>AO538</f>
        <v>207.33699999999999</v>
      </c>
      <c r="AQ534" s="548">
        <f>BM538</f>
        <v>211.04899999999998</v>
      </c>
      <c r="AR534" s="548">
        <f>AQ538</f>
        <v>212.86799999999999</v>
      </c>
      <c r="AS534" s="549">
        <f>AR538</f>
        <v>210.15899999999999</v>
      </c>
      <c r="AT534" s="548">
        <f>AS538</f>
        <v>211.46099999999998</v>
      </c>
      <c r="AU534" s="550">
        <f>BN538</f>
        <v>209.02300000000002</v>
      </c>
      <c r="AV534" s="548">
        <f>AU538</f>
        <v>203.91499999999999</v>
      </c>
      <c r="AW534" s="548">
        <f>AV538</f>
        <v>201.5937969945355</v>
      </c>
      <c r="AX534" s="548">
        <f>AW538</f>
        <v>201.27257595251797</v>
      </c>
      <c r="AY534" s="548"/>
      <c r="AZ534" s="688"/>
      <c r="BA534" s="688">
        <f t="shared" ref="BA534:BS534" si="742">AZ538</f>
        <v>31.933</v>
      </c>
      <c r="BB534" s="688">
        <f t="shared" si="742"/>
        <v>70.394000000000005</v>
      </c>
      <c r="BC534" s="688">
        <f t="shared" si="742"/>
        <v>118.29599999999999</v>
      </c>
      <c r="BD534" s="688">
        <f t="shared" si="742"/>
        <v>131.79</v>
      </c>
      <c r="BE534" s="688">
        <f t="shared" si="742"/>
        <v>140.24200000000002</v>
      </c>
      <c r="BF534" s="688">
        <f t="shared" si="742"/>
        <v>134.41</v>
      </c>
      <c r="BG534" s="688">
        <f t="shared" si="742"/>
        <v>142.57399999999998</v>
      </c>
      <c r="BH534" s="688">
        <f t="shared" si="742"/>
        <v>156.524</v>
      </c>
      <c r="BI534" s="688">
        <f t="shared" si="742"/>
        <v>142.13400000000001</v>
      </c>
      <c r="BJ534" s="688">
        <f t="shared" si="742"/>
        <v>126.99699999999999</v>
      </c>
      <c r="BK534" s="688">
        <f t="shared" si="742"/>
        <v>119.44299999999998</v>
      </c>
      <c r="BL534" s="688">
        <f t="shared" si="742"/>
        <v>174.79300000000001</v>
      </c>
      <c r="BM534" s="688">
        <f t="shared" si="742"/>
        <v>207.16399999999999</v>
      </c>
      <c r="BN534" s="702">
        <f t="shared" si="742"/>
        <v>211.04899999999998</v>
      </c>
      <c r="BO534" s="688">
        <f t="shared" si="742"/>
        <v>209.02300000000002</v>
      </c>
      <c r="BP534" s="688">
        <f t="shared" si="742"/>
        <v>201.60811016587175</v>
      </c>
      <c r="BQ534" s="688" t="e">
        <f t="shared" si="742"/>
        <v>#REF!</v>
      </c>
      <c r="BR534" s="688" t="e">
        <f t="shared" si="742"/>
        <v>#REF!</v>
      </c>
      <c r="BS534" s="688" t="e">
        <f t="shared" si="742"/>
        <v>#REF!</v>
      </c>
      <c r="BT534" s="530"/>
    </row>
    <row r="535" spans="1:72" s="1" customFormat="1" x14ac:dyDescent="0.35">
      <c r="A535" s="178" t="s">
        <v>518</v>
      </c>
      <c r="B535" s="308"/>
      <c r="C535" s="528">
        <f t="shared" ref="C535:AU535" si="743">-C202</f>
        <v>-7.9</v>
      </c>
      <c r="D535" s="528">
        <f t="shared" si="743"/>
        <v>-8.1</v>
      </c>
      <c r="E535" s="528">
        <f t="shared" si="743"/>
        <v>-8.3000000000000007</v>
      </c>
      <c r="F535" s="528">
        <f t="shared" si="743"/>
        <v>-10.7</v>
      </c>
      <c r="G535" s="528">
        <f t="shared" si="743"/>
        <v>-8.4</v>
      </c>
      <c r="H535" s="528">
        <f t="shared" si="743"/>
        <v>-20.200000000000003</v>
      </c>
      <c r="I535" s="528">
        <f t="shared" si="743"/>
        <v>-8.8999999999999986</v>
      </c>
      <c r="J535" s="528">
        <f t="shared" si="743"/>
        <v>-11.299999999999994</v>
      </c>
      <c r="K535" s="528">
        <f t="shared" si="743"/>
        <v>-9.4</v>
      </c>
      <c r="L535" s="528">
        <f t="shared" si="743"/>
        <v>-10.4</v>
      </c>
      <c r="M535" s="528">
        <f t="shared" si="743"/>
        <v>-10.7</v>
      </c>
      <c r="N535" s="528">
        <f t="shared" si="743"/>
        <v>-19.899999999999999</v>
      </c>
      <c r="O535" s="528">
        <f t="shared" si="743"/>
        <v>-11.299999999999999</v>
      </c>
      <c r="P535" s="528">
        <f t="shared" si="743"/>
        <v>-11.4</v>
      </c>
      <c r="Q535" s="528">
        <f t="shared" si="743"/>
        <v>-12.9</v>
      </c>
      <c r="R535" s="528">
        <f t="shared" si="743"/>
        <v>-13.499999999999998</v>
      </c>
      <c r="S535" s="528">
        <f t="shared" si="743"/>
        <v>-13.299999999999999</v>
      </c>
      <c r="T535" s="528">
        <f t="shared" si="743"/>
        <v>-14.5</v>
      </c>
      <c r="U535" s="528">
        <f t="shared" si="743"/>
        <v>-14.400000000000002</v>
      </c>
      <c r="V535" s="528">
        <f t="shared" si="743"/>
        <v>-14.199999999999996</v>
      </c>
      <c r="W535" s="528">
        <f t="shared" si="743"/>
        <v>-16.2</v>
      </c>
      <c r="X535" s="528">
        <f t="shared" si="743"/>
        <v>-14.100000000000001</v>
      </c>
      <c r="Y535" s="528">
        <f t="shared" si="743"/>
        <v>-13.599999999999998</v>
      </c>
      <c r="Z535" s="528">
        <f t="shared" si="743"/>
        <v>-13.899999999999995</v>
      </c>
      <c r="AA535" s="528">
        <f t="shared" si="743"/>
        <v>-12.899999999999999</v>
      </c>
      <c r="AB535" s="528">
        <f t="shared" si="743"/>
        <v>-13</v>
      </c>
      <c r="AC535" s="528">
        <f t="shared" si="743"/>
        <v>-12.2</v>
      </c>
      <c r="AD535" s="528">
        <f t="shared" si="743"/>
        <v>-13.100000000000005</v>
      </c>
      <c r="AE535" s="528">
        <f t="shared" si="743"/>
        <v>-12.043000000000001</v>
      </c>
      <c r="AF535" s="528">
        <f t="shared" si="743"/>
        <v>-11.842000000000002</v>
      </c>
      <c r="AG535" s="528">
        <f t="shared" si="743"/>
        <v>-12.664999999999999</v>
      </c>
      <c r="AH535" s="528">
        <f t="shared" si="743"/>
        <v>-13.263</v>
      </c>
      <c r="AI535" s="528">
        <f t="shared" si="743"/>
        <v>-11.852</v>
      </c>
      <c r="AJ535" s="528">
        <f t="shared" si="743"/>
        <v>-12.923999999999999</v>
      </c>
      <c r="AK535" s="528">
        <f t="shared" si="743"/>
        <v>-13.799000000000001</v>
      </c>
      <c r="AL535" s="528">
        <f t="shared" si="743"/>
        <v>-13.366999999999996</v>
      </c>
      <c r="AM535" s="528">
        <f t="shared" si="743"/>
        <v>-14.913</v>
      </c>
      <c r="AN535" s="528">
        <f t="shared" si="743"/>
        <v>-14.214</v>
      </c>
      <c r="AO535" s="528">
        <f t="shared" si="743"/>
        <v>-13.77</v>
      </c>
      <c r="AP535" s="528">
        <f t="shared" si="743"/>
        <v>-13.470999999999997</v>
      </c>
      <c r="AQ535" s="528">
        <f t="shared" si="743"/>
        <v>-14.289</v>
      </c>
      <c r="AR535" s="528">
        <f t="shared" si="743"/>
        <v>-16.079000000000001</v>
      </c>
      <c r="AS535" s="551">
        <f t="shared" si="743"/>
        <v>-15.780000000000001</v>
      </c>
      <c r="AT535" s="528">
        <f t="shared" si="743"/>
        <v>-18.351999999999997</v>
      </c>
      <c r="AU535" s="552">
        <f t="shared" si="743"/>
        <v>-17.614999999999998</v>
      </c>
      <c r="AV535" s="528">
        <f>-AV534*AV541*AV3/BO3</f>
        <v>-17.171203005464481</v>
      </c>
      <c r="AW535" s="528">
        <f>-AW534*AW541*AW3/BO3</f>
        <v>-16.791221042017529</v>
      </c>
      <c r="AX535" s="528">
        <f>-AX534*AX541*AX3/BO3</f>
        <v>-16.764465786646205</v>
      </c>
      <c r="AY535" s="528"/>
      <c r="AZ535" s="692"/>
      <c r="BA535" s="692">
        <f t="shared" ref="BA535:BN535" si="744">-BA202</f>
        <v>-9.8000000000000007</v>
      </c>
      <c r="BB535" s="692">
        <f t="shared" si="744"/>
        <v>-24.1</v>
      </c>
      <c r="BC535" s="692">
        <f t="shared" si="744"/>
        <v>-30.8</v>
      </c>
      <c r="BD535" s="692">
        <f t="shared" si="744"/>
        <v>-35</v>
      </c>
      <c r="BE535" s="692">
        <f t="shared" si="744"/>
        <v>-48.8</v>
      </c>
      <c r="BF535" s="692">
        <f t="shared" si="744"/>
        <v>-50.4</v>
      </c>
      <c r="BG535" s="692">
        <f t="shared" si="744"/>
        <v>-49.1</v>
      </c>
      <c r="BH535" s="692">
        <f t="shared" si="744"/>
        <v>-56.4</v>
      </c>
      <c r="BI535" s="692">
        <f t="shared" si="744"/>
        <v>-57.8</v>
      </c>
      <c r="BJ535" s="692">
        <f t="shared" si="744"/>
        <v>-51.2</v>
      </c>
      <c r="BK535" s="692">
        <f t="shared" si="744"/>
        <v>-49.812999999999995</v>
      </c>
      <c r="BL535" s="692">
        <f t="shared" si="744"/>
        <v>-51.941999999999993</v>
      </c>
      <c r="BM535" s="692">
        <f t="shared" si="744"/>
        <v>-56.367999999999995</v>
      </c>
      <c r="BN535" s="712">
        <f t="shared" si="744"/>
        <v>-64.5</v>
      </c>
      <c r="BO535" s="692">
        <f>IF(OR(ISBLANK(AU535),ISBLANK(AV535),ISBLANK(AW535),ISBLANK(AX535)),"n/a",SUM(AU535,AV535,AW535,AX535))</f>
        <v>-68.34188983412821</v>
      </c>
      <c r="BP535" s="692" t="e">
        <f>IF(OR(ISBLANK(#REF!),ISBLANK(#REF!),ISBLANK(#REF!),ISBLANK(#REF!)),"n/a",SUM(#REF!,#REF!,#REF!,#REF!))</f>
        <v>#REF!</v>
      </c>
      <c r="BQ535" s="692" t="e">
        <f>-BQ534*BQ541</f>
        <v>#REF!</v>
      </c>
      <c r="BR535" s="692" t="e">
        <f>-BR534*BR541</f>
        <v>#REF!</v>
      </c>
      <c r="BS535" s="692" t="e">
        <f>-BS534*BS541</f>
        <v>#REF!</v>
      </c>
      <c r="BT535" s="530"/>
    </row>
    <row r="536" spans="1:72" s="1" customFormat="1" x14ac:dyDescent="0.35">
      <c r="A536" s="178" t="s">
        <v>520</v>
      </c>
      <c r="B536" s="308"/>
      <c r="C536" s="528">
        <f t="shared" ref="C536:AU536" si="745">-C453-C454</f>
        <v>11.381</v>
      </c>
      <c r="D536" s="528">
        <f t="shared" si="745"/>
        <v>9.879999999999999</v>
      </c>
      <c r="E536" s="528">
        <f t="shared" si="745"/>
        <v>10.203000000000001</v>
      </c>
      <c r="F536" s="528">
        <f t="shared" si="745"/>
        <v>10.542</v>
      </c>
      <c r="G536" s="528">
        <f t="shared" si="745"/>
        <v>8.3279999999999994</v>
      </c>
      <c r="H536" s="528">
        <f t="shared" si="745"/>
        <v>9.9529999999999994</v>
      </c>
      <c r="I536" s="528">
        <f t="shared" si="745"/>
        <v>11.529</v>
      </c>
      <c r="J536" s="528">
        <f t="shared" si="745"/>
        <v>12.154</v>
      </c>
      <c r="K536" s="528">
        <f t="shared" si="745"/>
        <v>12.260999999999999</v>
      </c>
      <c r="L536" s="528">
        <f t="shared" si="745"/>
        <v>12.099</v>
      </c>
      <c r="M536" s="528">
        <f t="shared" si="745"/>
        <v>13.263999999999999</v>
      </c>
      <c r="N536" s="528">
        <f t="shared" si="745"/>
        <v>14.188000000000001</v>
      </c>
      <c r="O536" s="528">
        <f t="shared" si="745"/>
        <v>13.214</v>
      </c>
      <c r="P536" s="528">
        <f t="shared" si="745"/>
        <v>10.577999999999999</v>
      </c>
      <c r="Q536" s="528">
        <f t="shared" si="745"/>
        <v>14.734999999999999</v>
      </c>
      <c r="R536" s="528">
        <f t="shared" si="745"/>
        <v>19.364999999999998</v>
      </c>
      <c r="S536" s="528">
        <f t="shared" si="745"/>
        <v>13.068000000000001</v>
      </c>
      <c r="T536" s="528">
        <f t="shared" si="745"/>
        <v>9.5189999999999984</v>
      </c>
      <c r="U536" s="528">
        <f t="shared" si="745"/>
        <v>9.1849999999999987</v>
      </c>
      <c r="V536" s="528">
        <f t="shared" si="745"/>
        <v>14.278000000000002</v>
      </c>
      <c r="W536" s="528">
        <f t="shared" si="745"/>
        <v>10.379</v>
      </c>
      <c r="X536" s="528">
        <f t="shared" si="745"/>
        <v>7.4730000000000008</v>
      </c>
      <c r="Y536" s="528">
        <f t="shared" si="745"/>
        <v>8.77</v>
      </c>
      <c r="Z536" s="528">
        <f t="shared" si="745"/>
        <v>7.838000000000001</v>
      </c>
      <c r="AA536" s="528">
        <f t="shared" si="745"/>
        <v>16.001999999999999</v>
      </c>
      <c r="AB536" s="528">
        <f t="shared" si="745"/>
        <v>9.36</v>
      </c>
      <c r="AC536" s="528">
        <f t="shared" si="745"/>
        <v>8.9639999999999986</v>
      </c>
      <c r="AD536" s="528">
        <f t="shared" si="745"/>
        <v>8.6030000000000033</v>
      </c>
      <c r="AE536" s="528">
        <f t="shared" si="745"/>
        <v>15.724</v>
      </c>
      <c r="AF536" s="528">
        <f t="shared" si="745"/>
        <v>9.2449999999999992</v>
      </c>
      <c r="AG536" s="528">
        <f t="shared" si="745"/>
        <v>9.3189999999999991</v>
      </c>
      <c r="AH536" s="528">
        <f t="shared" si="745"/>
        <v>9.0320000000000018</v>
      </c>
      <c r="AI536" s="528">
        <f t="shared" si="745"/>
        <v>11.692</v>
      </c>
      <c r="AJ536" s="528">
        <f t="shared" si="745"/>
        <v>9.8930000000000007</v>
      </c>
      <c r="AK536" s="528">
        <f t="shared" si="745"/>
        <v>10.346</v>
      </c>
      <c r="AL536" s="528">
        <f t="shared" si="745"/>
        <v>16.764999999999997</v>
      </c>
      <c r="AM536" s="528">
        <f t="shared" si="745"/>
        <v>14.065999999999999</v>
      </c>
      <c r="AN536" s="528">
        <f t="shared" si="745"/>
        <v>12.724999999999998</v>
      </c>
      <c r="AO536" s="528">
        <f t="shared" si="745"/>
        <v>16.407000000000004</v>
      </c>
      <c r="AP536" s="528">
        <f t="shared" si="745"/>
        <v>14.680000000000001</v>
      </c>
      <c r="AQ536" s="528">
        <f t="shared" si="745"/>
        <v>15.937999999999999</v>
      </c>
      <c r="AR536" s="528">
        <f t="shared" si="745"/>
        <v>14.988000000000001</v>
      </c>
      <c r="AS536" s="551">
        <f t="shared" si="745"/>
        <v>14.445999999999998</v>
      </c>
      <c r="AT536" s="528">
        <f t="shared" si="745"/>
        <v>16.840000000000003</v>
      </c>
      <c r="AU536" s="552">
        <f t="shared" si="745"/>
        <v>14.455</v>
      </c>
      <c r="AV536" s="528">
        <f t="shared" ref="AV536:AX536" si="746">AV546*AV547</f>
        <v>14.85</v>
      </c>
      <c r="AW536" s="528">
        <f t="shared" si="746"/>
        <v>16.470000000000002</v>
      </c>
      <c r="AX536" s="528">
        <f t="shared" si="746"/>
        <v>17.100000000000001</v>
      </c>
      <c r="AY536" s="528"/>
      <c r="AZ536" s="692"/>
      <c r="BA536" s="692">
        <f t="shared" ref="BA536:BN536" si="747">-BA453-BA454</f>
        <v>13.904</v>
      </c>
      <c r="BB536" s="692">
        <f t="shared" si="747"/>
        <v>18.085999999999999</v>
      </c>
      <c r="BC536" s="692">
        <f t="shared" si="747"/>
        <v>38.117000000000004</v>
      </c>
      <c r="BD536" s="692">
        <f t="shared" si="747"/>
        <v>42.006</v>
      </c>
      <c r="BE536" s="692">
        <f t="shared" si="747"/>
        <v>41.963999999999999</v>
      </c>
      <c r="BF536" s="692">
        <f t="shared" si="747"/>
        <v>51.811999999999998</v>
      </c>
      <c r="BG536" s="692">
        <f t="shared" si="747"/>
        <v>57.891999999999996</v>
      </c>
      <c r="BH536" s="692">
        <f t="shared" si="747"/>
        <v>46.05</v>
      </c>
      <c r="BI536" s="692">
        <f t="shared" si="747"/>
        <v>34.46</v>
      </c>
      <c r="BJ536" s="692">
        <f t="shared" si="747"/>
        <v>42.929000000000002</v>
      </c>
      <c r="BK536" s="692">
        <f t="shared" si="747"/>
        <v>43.32</v>
      </c>
      <c r="BL536" s="692">
        <f t="shared" si="747"/>
        <v>48.695999999999998</v>
      </c>
      <c r="BM536" s="692">
        <f t="shared" si="747"/>
        <v>57.878</v>
      </c>
      <c r="BN536" s="712">
        <f t="shared" si="747"/>
        <v>62.212000000000003</v>
      </c>
      <c r="BO536" s="692">
        <f>IF(OR(ISBLANK(AU536),ISBLANK(AV536),ISBLANK(AW536),ISBLANK(AX536)),"n/a",SUM(AU536,AV536,AW536,AX536))</f>
        <v>62.875000000000007</v>
      </c>
      <c r="BP536" s="692" t="e">
        <f>IF(OR(ISBLANK(#REF!),ISBLANK(#REF!),ISBLANK(#REF!),ISBLANK(#REF!)),"n/a",SUM(#REF!,#REF!,#REF!,#REF!))</f>
        <v>#REF!</v>
      </c>
      <c r="BQ536" s="692">
        <f>BQ546*BQ547</f>
        <v>57.6</v>
      </c>
      <c r="BR536" s="692">
        <f>BR546*BR547</f>
        <v>57.6</v>
      </c>
      <c r="BS536" s="692">
        <f>BS546*BS547</f>
        <v>57.6</v>
      </c>
      <c r="BT536" s="530"/>
    </row>
    <row r="537" spans="1:72" s="1" customFormat="1" x14ac:dyDescent="0.35">
      <c r="A537" s="178" t="s">
        <v>521</v>
      </c>
      <c r="B537" s="308"/>
      <c r="C537" s="528">
        <f t="shared" ref="C537:AH537" si="748">ROUND(C538-C534-C535-C536,6)</f>
        <v>-6.6000000000000003E-2</v>
      </c>
      <c r="D537" s="528">
        <f t="shared" si="748"/>
        <v>1.7000000000000001E-2</v>
      </c>
      <c r="E537" s="528">
        <f t="shared" si="748"/>
        <v>4.4999999999999998E-2</v>
      </c>
      <c r="F537" s="528">
        <f t="shared" si="748"/>
        <v>1.45</v>
      </c>
      <c r="G537" s="528">
        <f t="shared" si="748"/>
        <v>-6.7000000000000004E-2</v>
      </c>
      <c r="H537" s="528">
        <f t="shared" si="748"/>
        <v>0.14199999999999999</v>
      </c>
      <c r="I537" s="528">
        <f t="shared" si="748"/>
        <v>3.5000000000000003E-2</v>
      </c>
      <c r="J537" s="528">
        <f t="shared" si="748"/>
        <v>0.89400000000000002</v>
      </c>
      <c r="K537" s="528">
        <f t="shared" si="748"/>
        <v>-0.02</v>
      </c>
      <c r="L537" s="528">
        <f t="shared" si="748"/>
        <v>-3.3000000000000002E-2</v>
      </c>
      <c r="M537" s="528">
        <f t="shared" si="748"/>
        <v>-0.113</v>
      </c>
      <c r="N537" s="528">
        <f t="shared" si="748"/>
        <v>6.9180000000000001</v>
      </c>
      <c r="O537" s="528">
        <f t="shared" si="748"/>
        <v>-1.6E-2</v>
      </c>
      <c r="P537" s="528">
        <f t="shared" si="748"/>
        <v>-1.4999999999999999E-2</v>
      </c>
      <c r="Q537" s="528">
        <f t="shared" si="748"/>
        <v>-6.8000000000000005E-2</v>
      </c>
      <c r="R537" s="528">
        <f t="shared" si="748"/>
        <v>5.2569999999999997</v>
      </c>
      <c r="S537" s="528">
        <f t="shared" si="748"/>
        <v>-3.1E-2</v>
      </c>
      <c r="T537" s="528">
        <f t="shared" si="748"/>
        <v>3.3000000000000002E-2</v>
      </c>
      <c r="U537" s="528">
        <f t="shared" si="748"/>
        <v>4.1000000000000002E-2</v>
      </c>
      <c r="V537" s="528">
        <f t="shared" si="748"/>
        <v>-4.0830000000000002</v>
      </c>
      <c r="W537" s="528">
        <f t="shared" si="748"/>
        <v>1.091</v>
      </c>
      <c r="X537" s="528">
        <f t="shared" si="748"/>
        <v>1.3919999999999999</v>
      </c>
      <c r="Y537" s="528">
        <f t="shared" si="748"/>
        <v>0.38300000000000001</v>
      </c>
      <c r="Z537" s="528">
        <f t="shared" si="748"/>
        <v>5.3369999999999997</v>
      </c>
      <c r="AA537" s="528">
        <f t="shared" si="748"/>
        <v>-5.7750000000000004</v>
      </c>
      <c r="AB537" s="528">
        <f t="shared" si="748"/>
        <v>0.86399999999999999</v>
      </c>
      <c r="AC537" s="528">
        <f t="shared" si="748"/>
        <v>0.26400000000000001</v>
      </c>
      <c r="AD537" s="528">
        <f t="shared" si="748"/>
        <v>5.3639999999999999</v>
      </c>
      <c r="AE537" s="528">
        <f t="shared" si="748"/>
        <v>-5.1589999999999998</v>
      </c>
      <c r="AF537" s="528">
        <f t="shared" si="748"/>
        <v>-0.26900000000000002</v>
      </c>
      <c r="AG537" s="528">
        <f t="shared" si="748"/>
        <v>32.161000000000001</v>
      </c>
      <c r="AH537" s="528">
        <f t="shared" si="748"/>
        <v>35.11</v>
      </c>
      <c r="AI537" s="528">
        <f t="shared" ref="AI537:AX537" si="749">ROUND(AI538-AI534-AI535-AI536,6)</f>
        <v>-1.079</v>
      </c>
      <c r="AJ537" s="528">
        <f t="shared" si="749"/>
        <v>34.466999999999999</v>
      </c>
      <c r="AK537" s="528">
        <f t="shared" si="749"/>
        <v>1.9139999999999999</v>
      </c>
      <c r="AL537" s="528">
        <f t="shared" si="749"/>
        <v>0.315</v>
      </c>
      <c r="AM537" s="528">
        <f t="shared" si="749"/>
        <v>-2.2189999999999999</v>
      </c>
      <c r="AN537" s="528">
        <f t="shared" si="749"/>
        <v>2.9079999999999999</v>
      </c>
      <c r="AO537" s="528">
        <f t="shared" si="749"/>
        <v>-0.81699999999999995</v>
      </c>
      <c r="AP537" s="528">
        <f t="shared" si="749"/>
        <v>2.5030000000000001</v>
      </c>
      <c r="AQ537" s="528">
        <f t="shared" si="749"/>
        <v>0.17</v>
      </c>
      <c r="AR537" s="528">
        <f t="shared" si="749"/>
        <v>-1.6180000000000001</v>
      </c>
      <c r="AS537" s="551">
        <f t="shared" si="749"/>
        <v>2.6360000000000001</v>
      </c>
      <c r="AT537" s="528">
        <f t="shared" si="749"/>
        <v>-0.92600000000000005</v>
      </c>
      <c r="AU537" s="552">
        <f t="shared" si="749"/>
        <v>-1.948</v>
      </c>
      <c r="AV537" s="528">
        <f t="shared" si="749"/>
        <v>0</v>
      </c>
      <c r="AW537" s="528">
        <f t="shared" si="749"/>
        <v>0</v>
      </c>
      <c r="AX537" s="528">
        <f t="shared" si="749"/>
        <v>0</v>
      </c>
      <c r="AY537" s="528"/>
      <c r="AZ537" s="692"/>
      <c r="BA537" s="692">
        <f t="shared" ref="BA537:BN537" si="750">ROUND(BA538-BA534-BA535-BA536,6)</f>
        <v>34.356999999999999</v>
      </c>
      <c r="BB537" s="692">
        <f t="shared" si="750"/>
        <v>53.915999999999997</v>
      </c>
      <c r="BC537" s="692">
        <f t="shared" si="750"/>
        <v>6.1769999999999996</v>
      </c>
      <c r="BD537" s="692">
        <f t="shared" si="750"/>
        <v>1.446</v>
      </c>
      <c r="BE537" s="692">
        <f t="shared" si="750"/>
        <v>1.004</v>
      </c>
      <c r="BF537" s="692">
        <f t="shared" si="750"/>
        <v>6.7519999999999998</v>
      </c>
      <c r="BG537" s="692">
        <f t="shared" si="750"/>
        <v>5.1580000000000004</v>
      </c>
      <c r="BH537" s="692">
        <f t="shared" si="750"/>
        <v>-4.04</v>
      </c>
      <c r="BI537" s="692">
        <f t="shared" si="750"/>
        <v>8.2029999999999994</v>
      </c>
      <c r="BJ537" s="692">
        <f t="shared" si="750"/>
        <v>0.71699999999999997</v>
      </c>
      <c r="BK537" s="692">
        <f t="shared" si="750"/>
        <v>61.843000000000004</v>
      </c>
      <c r="BL537" s="692">
        <f t="shared" si="750"/>
        <v>35.616999999999997</v>
      </c>
      <c r="BM537" s="692">
        <f t="shared" si="750"/>
        <v>2.375</v>
      </c>
      <c r="BN537" s="712">
        <f t="shared" si="750"/>
        <v>0.26200000000000001</v>
      </c>
      <c r="BO537" s="692">
        <f>ROUND(BO538-BO534-IF(ISNUMBER(BO535),BO535,0)-IF(ISNUMBER(BO536),BO536,0),6)</f>
        <v>-1.948</v>
      </c>
      <c r="BP537" s="692" t="e">
        <f>ROUND(BP538-BP534-IF(ISNUMBER(BP535),BP535,0)-IF(ISNUMBER(BP536),BP536,0),6)</f>
        <v>#REF!</v>
      </c>
      <c r="BQ537" s="692" t="e">
        <f>ROUND(BQ538-BQ534-BQ535-BQ536,6)</f>
        <v>#REF!</v>
      </c>
      <c r="BR537" s="692" t="e">
        <f>ROUND(BR538-BR534-BR535-BR536,6)</f>
        <v>#REF!</v>
      </c>
      <c r="BS537" s="692" t="e">
        <f>ROUND(BS538-BS534-BS535-BS536,6)</f>
        <v>#REF!</v>
      </c>
      <c r="BT537" s="530"/>
    </row>
    <row r="538" spans="1:72" s="1" customFormat="1" x14ac:dyDescent="0.35">
      <c r="A538" s="407" t="s">
        <v>516</v>
      </c>
      <c r="B538" s="405"/>
      <c r="C538" s="599">
        <f t="shared" ref="C538:AH538" si="751">C566</f>
        <v>135.20499999999998</v>
      </c>
      <c r="D538" s="599">
        <f t="shared" si="751"/>
        <v>137.00200000000001</v>
      </c>
      <c r="E538" s="599">
        <f t="shared" si="751"/>
        <v>138.94999999999999</v>
      </c>
      <c r="F538" s="599">
        <f t="shared" si="751"/>
        <v>140.24200000000002</v>
      </c>
      <c r="G538" s="599">
        <f t="shared" si="751"/>
        <v>140.10299999999998</v>
      </c>
      <c r="H538" s="599">
        <f t="shared" si="751"/>
        <v>129.99799999999999</v>
      </c>
      <c r="I538" s="599">
        <f t="shared" si="751"/>
        <v>132.66199999999998</v>
      </c>
      <c r="J538" s="599">
        <f t="shared" si="751"/>
        <v>134.41</v>
      </c>
      <c r="K538" s="599">
        <f t="shared" si="751"/>
        <v>137.25099999999998</v>
      </c>
      <c r="L538" s="599">
        <f t="shared" si="751"/>
        <v>138.917</v>
      </c>
      <c r="M538" s="599">
        <f t="shared" si="751"/>
        <v>141.36799999999999</v>
      </c>
      <c r="N538" s="599">
        <f t="shared" si="751"/>
        <v>142.57399999999998</v>
      </c>
      <c r="O538" s="599">
        <f t="shared" si="751"/>
        <v>144.47199999999998</v>
      </c>
      <c r="P538" s="599">
        <f t="shared" si="751"/>
        <v>143.63499999999999</v>
      </c>
      <c r="Q538" s="599">
        <f t="shared" si="751"/>
        <v>145.40199999999999</v>
      </c>
      <c r="R538" s="599">
        <f t="shared" si="751"/>
        <v>156.524</v>
      </c>
      <c r="S538" s="599">
        <f t="shared" si="751"/>
        <v>156.261</v>
      </c>
      <c r="T538" s="599">
        <f t="shared" si="751"/>
        <v>151.31299999999999</v>
      </c>
      <c r="U538" s="599">
        <f t="shared" si="751"/>
        <v>146.13900000000001</v>
      </c>
      <c r="V538" s="599">
        <f t="shared" si="751"/>
        <v>142.13400000000001</v>
      </c>
      <c r="W538" s="599">
        <f t="shared" si="751"/>
        <v>137.404</v>
      </c>
      <c r="X538" s="599">
        <f t="shared" si="751"/>
        <v>132.16900000000001</v>
      </c>
      <c r="Y538" s="599">
        <f t="shared" si="751"/>
        <v>127.72199999999999</v>
      </c>
      <c r="Z538" s="599">
        <f t="shared" si="751"/>
        <v>126.99699999999999</v>
      </c>
      <c r="AA538" s="599">
        <f t="shared" si="751"/>
        <v>124.324</v>
      </c>
      <c r="AB538" s="599">
        <f t="shared" si="751"/>
        <v>121.548</v>
      </c>
      <c r="AC538" s="599">
        <f t="shared" si="751"/>
        <v>118.57599999999999</v>
      </c>
      <c r="AD538" s="599">
        <f t="shared" si="751"/>
        <v>119.44299999999998</v>
      </c>
      <c r="AE538" s="599">
        <f t="shared" si="751"/>
        <v>117.965</v>
      </c>
      <c r="AF538" s="599">
        <f t="shared" si="751"/>
        <v>115.099</v>
      </c>
      <c r="AG538" s="599">
        <f t="shared" si="751"/>
        <v>143.91399999999999</v>
      </c>
      <c r="AH538" s="599">
        <f t="shared" si="751"/>
        <v>174.79300000000001</v>
      </c>
      <c r="AI538" s="599">
        <f t="shared" ref="AI538:AX538" si="752">AI566</f>
        <v>173.55399999999997</v>
      </c>
      <c r="AJ538" s="599">
        <f t="shared" si="752"/>
        <v>204.99</v>
      </c>
      <c r="AK538" s="599">
        <f t="shared" si="752"/>
        <v>203.45099999999999</v>
      </c>
      <c r="AL538" s="599">
        <f t="shared" si="752"/>
        <v>207.16399999999999</v>
      </c>
      <c r="AM538" s="599">
        <f t="shared" si="752"/>
        <v>204.09800000000001</v>
      </c>
      <c r="AN538" s="599">
        <f t="shared" si="752"/>
        <v>205.517</v>
      </c>
      <c r="AO538" s="599">
        <f t="shared" si="752"/>
        <v>207.33699999999999</v>
      </c>
      <c r="AP538" s="599">
        <f t="shared" si="752"/>
        <v>211.04899999999998</v>
      </c>
      <c r="AQ538" s="599">
        <f t="shared" si="752"/>
        <v>212.86799999999999</v>
      </c>
      <c r="AR538" s="599">
        <f t="shared" si="752"/>
        <v>210.15899999999999</v>
      </c>
      <c r="AS538" s="600">
        <f t="shared" si="752"/>
        <v>211.46099999999998</v>
      </c>
      <c r="AT538" s="599">
        <f t="shared" si="752"/>
        <v>209.02300000000002</v>
      </c>
      <c r="AU538" s="601">
        <f t="shared" si="752"/>
        <v>203.91499999999999</v>
      </c>
      <c r="AV538" s="599">
        <f t="shared" si="752"/>
        <v>201.5937969945355</v>
      </c>
      <c r="AW538" s="599">
        <f t="shared" si="752"/>
        <v>201.27257595251797</v>
      </c>
      <c r="AX538" s="599">
        <f t="shared" si="752"/>
        <v>201.60811016587175</v>
      </c>
      <c r="AY538" s="599"/>
      <c r="AZ538" s="830">
        <f t="shared" ref="AZ538:BS538" si="753">AZ566</f>
        <v>31.933</v>
      </c>
      <c r="BA538" s="830">
        <f t="shared" si="753"/>
        <v>70.394000000000005</v>
      </c>
      <c r="BB538" s="830">
        <f t="shared" si="753"/>
        <v>118.29599999999999</v>
      </c>
      <c r="BC538" s="830">
        <f t="shared" si="753"/>
        <v>131.79</v>
      </c>
      <c r="BD538" s="830">
        <f t="shared" si="753"/>
        <v>140.24200000000002</v>
      </c>
      <c r="BE538" s="830">
        <f t="shared" si="753"/>
        <v>134.41</v>
      </c>
      <c r="BF538" s="830">
        <f t="shared" si="753"/>
        <v>142.57399999999998</v>
      </c>
      <c r="BG538" s="830">
        <f t="shared" si="753"/>
        <v>156.524</v>
      </c>
      <c r="BH538" s="830">
        <f t="shared" si="753"/>
        <v>142.13400000000001</v>
      </c>
      <c r="BI538" s="830">
        <f t="shared" si="753"/>
        <v>126.99699999999999</v>
      </c>
      <c r="BJ538" s="830">
        <f t="shared" si="753"/>
        <v>119.44299999999998</v>
      </c>
      <c r="BK538" s="830">
        <f t="shared" si="753"/>
        <v>174.79300000000001</v>
      </c>
      <c r="BL538" s="830">
        <f t="shared" si="753"/>
        <v>207.16399999999999</v>
      </c>
      <c r="BM538" s="830">
        <f t="shared" si="753"/>
        <v>211.04899999999998</v>
      </c>
      <c r="BN538" s="831">
        <f t="shared" si="753"/>
        <v>209.02300000000002</v>
      </c>
      <c r="BO538" s="830">
        <f t="shared" si="753"/>
        <v>201.60811016587175</v>
      </c>
      <c r="BP538" s="830" t="e">
        <f t="shared" si="753"/>
        <v>#REF!</v>
      </c>
      <c r="BQ538" s="830" t="e">
        <f t="shared" si="753"/>
        <v>#REF!</v>
      </c>
      <c r="BR538" s="830" t="e">
        <f t="shared" si="753"/>
        <v>#REF!</v>
      </c>
      <c r="BS538" s="830" t="e">
        <f t="shared" si="753"/>
        <v>#REF!</v>
      </c>
      <c r="BT538" s="530"/>
    </row>
    <row r="539" spans="1:72" s="19" customFormat="1" x14ac:dyDescent="0.35">
      <c r="A539" s="321"/>
      <c r="B539" s="400"/>
      <c r="C539" s="528"/>
      <c r="D539" s="528"/>
      <c r="E539" s="528"/>
      <c r="F539" s="528"/>
      <c r="G539" s="528"/>
      <c r="H539" s="528"/>
      <c r="I539" s="528"/>
      <c r="J539" s="528"/>
      <c r="K539" s="528"/>
      <c r="L539" s="528"/>
      <c r="M539" s="528"/>
      <c r="N539" s="528"/>
      <c r="O539" s="528"/>
      <c r="P539" s="528"/>
      <c r="Q539" s="528"/>
      <c r="R539" s="528"/>
      <c r="S539" s="528"/>
      <c r="T539" s="528"/>
      <c r="U539" s="528"/>
      <c r="V539" s="528"/>
      <c r="W539" s="528"/>
      <c r="X539" s="528"/>
      <c r="Y539" s="528"/>
      <c r="Z539" s="528"/>
      <c r="AA539" s="528"/>
      <c r="AB539" s="528"/>
      <c r="AC539" s="528"/>
      <c r="AD539" s="528"/>
      <c r="AE539" s="528"/>
      <c r="AF539" s="528"/>
      <c r="AG539" s="528"/>
      <c r="AH539" s="528"/>
      <c r="AI539" s="528"/>
      <c r="AJ539" s="528"/>
      <c r="AK539" s="528"/>
      <c r="AL539" s="528"/>
      <c r="AM539" s="528"/>
      <c r="AN539" s="528"/>
      <c r="AO539" s="528"/>
      <c r="AP539" s="528"/>
      <c r="AQ539" s="528"/>
      <c r="AR539" s="528"/>
      <c r="AS539" s="528"/>
      <c r="AT539" s="528"/>
      <c r="AU539" s="560"/>
      <c r="AV539" s="528"/>
      <c r="AW539" s="528"/>
      <c r="AX539" s="528"/>
      <c r="AY539" s="528"/>
      <c r="AZ539" s="692"/>
      <c r="BA539" s="692"/>
      <c r="BB539" s="692"/>
      <c r="BC539" s="692"/>
      <c r="BD539" s="692"/>
      <c r="BE539" s="692"/>
      <c r="BF539" s="692"/>
      <c r="BG539" s="692"/>
      <c r="BH539" s="692"/>
      <c r="BI539" s="692"/>
      <c r="BJ539" s="692"/>
      <c r="BK539" s="692"/>
      <c r="BL539" s="692"/>
      <c r="BM539" s="692"/>
      <c r="BN539" s="712"/>
      <c r="BO539" s="692"/>
      <c r="BP539" s="692"/>
      <c r="BQ539" s="692"/>
      <c r="BR539" s="692"/>
      <c r="BS539" s="692"/>
      <c r="BT539" s="27"/>
    </row>
    <row r="540" spans="1:72" s="19" customFormat="1" x14ac:dyDescent="0.35">
      <c r="A540" s="403" t="s">
        <v>513</v>
      </c>
      <c r="B540" s="123"/>
      <c r="C540" s="326">
        <f>IFERROR(-C529/C528*BD3/C3,"n/a")</f>
        <v>0.55079197740807251</v>
      </c>
      <c r="D540" s="326">
        <f>IFERROR(-D529/D528*BD3/D3,"n/a")</f>
        <v>0.48990030180767724</v>
      </c>
      <c r="E540" s="326">
        <f>IFERROR(-E529/E528*BD3/E3,"n/a")</f>
        <v>0.51274185770653613</v>
      </c>
      <c r="F540" s="326">
        <f>IFERROR(-F529/F528*BD3/F3,"n/a")</f>
        <v>0.44827163388818336</v>
      </c>
      <c r="G540" s="326">
        <f>IFERROR(-G529/G528*BE3/G3,"n/a")</f>
        <v>0.60420354907509366</v>
      </c>
      <c r="H540" s="326">
        <f>IFERROR(-H529/H528*BE3/H3,"n/a")</f>
        <v>0.90359525922976291</v>
      </c>
      <c r="I540" s="326">
        <f>IFERROR(-I529/I528*BE3/I3,"n/a")</f>
        <v>0.65718424513881513</v>
      </c>
      <c r="J540" s="326">
        <f>IFERROR(-J529/J528*BE3/J3,"n/a")</f>
        <v>0.43919567734804715</v>
      </c>
      <c r="K540" s="326">
        <f>IFERROR(-K529/K528*BF3/K3,"n/a")</f>
        <v>0.61085788593321944</v>
      </c>
      <c r="L540" s="326">
        <f>IFERROR(-L529/L528*BF3/L3,"n/a")</f>
        <v>0.55065416901794084</v>
      </c>
      <c r="M540" s="326">
        <f>IFERROR(-M529/M528*BF3/M3,"n/a")</f>
        <v>0.59526761369801684</v>
      </c>
      <c r="N540" s="326">
        <f>IFERROR(-N529/N528*BF3/N3,"n/a")</f>
        <v>0.98460554834976921</v>
      </c>
      <c r="O540" s="326">
        <f>IFERROR(-O529/O528*BG3/O3,"n/a")</f>
        <v>0.6087582026407673</v>
      </c>
      <c r="P540" s="326">
        <f>IFERROR(-P529/P528*BG3/P3,"n/a")</f>
        <v>0.63719538158512778</v>
      </c>
      <c r="Q540" s="326">
        <f>IFERROR(-Q529/Q528*BG3/Q3,"n/a")</f>
        <v>0.65772342168839193</v>
      </c>
      <c r="R540" s="326">
        <f>IFERROR(-R529/R528*BG3/R3,"n/a")</f>
        <v>0.61766574930478002</v>
      </c>
      <c r="S540" s="326">
        <f>IFERROR(-S529/S528*BH3/S3,"n/a")</f>
        <v>0.61086138830257952</v>
      </c>
      <c r="T540" s="326">
        <f>IFERROR(-T529/T528*BH3/T3,"n/a")</f>
        <v>0.5282886783182813</v>
      </c>
      <c r="U540" s="326">
        <f>IFERROR(-U529/U528*BH3/U3,"n/a")</f>
        <v>0.79182204085461683</v>
      </c>
      <c r="V540" s="326">
        <f>IFERROR(-V529/V528*BH3/V3,"n/a")</f>
        <v>0.57981458793747098</v>
      </c>
      <c r="W540" s="326">
        <f>IFERROR(-W529/W528*BI3/W3,"n/a")</f>
        <v>0.66925306407905671</v>
      </c>
      <c r="X540" s="326">
        <f>IFERROR(-X529/X528*BI3/X3,"n/a")</f>
        <v>0.54376282198927628</v>
      </c>
      <c r="Y540" s="326">
        <f>IFERROR(-Y529/Y528*BI3/Y3,"n/a")</f>
        <v>0.66409171793943833</v>
      </c>
      <c r="Z540" s="326">
        <f>IFERROR(-Z529/Z528*BI3/Z3,"n/a")</f>
        <v>0.51015293922854776</v>
      </c>
      <c r="AA540" s="326">
        <f>IFERROR(-AA529/AA528*BJ3/AA3,"n/a")</f>
        <v>0.77113179328999781</v>
      </c>
      <c r="AB540" s="326">
        <f>IFERROR(-AB529/AB528*BJ3/AB3,"n/a")</f>
        <v>0.50501089247819708</v>
      </c>
      <c r="AC540" s="326">
        <f>IFERROR(-AC529/AC528*BJ3/AC3,"n/a")</f>
        <v>0.60406938757359063</v>
      </c>
      <c r="AD540" s="326">
        <f>IFERROR(-AD529/AD528*BJ3/AD3,"n/a")</f>
        <v>0.61685873465115648</v>
      </c>
      <c r="AE540" s="326">
        <f>IFERROR(-AE529/AE528*BK3/AE3,"n/a")</f>
        <v>0.63480504119422465</v>
      </c>
      <c r="AF540" s="326">
        <f>IFERROR(-AF529/AF528*BK3/AF3,"n/a")</f>
        <v>0.57538640016152709</v>
      </c>
      <c r="AG540" s="326">
        <f>IFERROR(-AG529/AG528*BK3/AG3,"n/a")</f>
        <v>0.65710900444332321</v>
      </c>
      <c r="AH540" s="326">
        <f>IFERROR(-AH529/AH528*BK3/AH3,"n/a")</f>
        <v>0.549751059372103</v>
      </c>
      <c r="AI540" s="326">
        <f>IFERROR(-AI529/AI528*BL3/AI3,"n/a")</f>
        <v>0.6592140563368879</v>
      </c>
      <c r="AJ540" s="326">
        <f>IFERROR(-AJ529/AJ528*BL3/AJ3,"n/a")</f>
        <v>0.57898676753971945</v>
      </c>
      <c r="AK540" s="326">
        <f>IFERROR(-AK529/AK528*BL3/AK3,"n/a")</f>
        <v>0.50633096824325152</v>
      </c>
      <c r="AL540" s="326">
        <f>IFERROR(-AL529/AL528*BL3/AL3,"n/a")</f>
        <v>0.56460917697319946</v>
      </c>
      <c r="AM540" s="326">
        <f>IFERROR(-AM529/AM528*BM3/AM3,"n/a")</f>
        <v>0.50833078444751301</v>
      </c>
      <c r="AN540" s="326">
        <f>IFERROR(-AN529/AN528*BM3/AN3,"n/a")</f>
        <v>0.56587083194784682</v>
      </c>
      <c r="AO540" s="326">
        <f>IFERROR(-AO529/AO528*BM3/AO3,"n/a")</f>
        <v>0.56701970956377634</v>
      </c>
      <c r="AP540" s="326">
        <f>IFERROR(-AP529/AP528*BM3/AP3,"n/a")</f>
        <v>0.65176716275658075</v>
      </c>
      <c r="AQ540" s="326">
        <f>IFERROR(-AQ529/AQ528*BN3/AQ3,"n/a")</f>
        <v>0.77120975644910705</v>
      </c>
      <c r="AR540" s="326">
        <f>IFERROR(-AR529/AR528*BN3/AR3,"n/a")</f>
        <v>0.62462531440518398</v>
      </c>
      <c r="AS540" s="326">
        <f>IFERROR(-AS529/AS528*BN3/AS3,"n/a")</f>
        <v>0.66449578872513571</v>
      </c>
      <c r="AT540" s="326">
        <f>IFERROR(-AT529/AT528*BN3/AT3,"n/a")</f>
        <v>0.74233971357540485</v>
      </c>
      <c r="AU540" s="491">
        <f>IFERROR(-AU529/AU528*BO3/AU3,"n/a")</f>
        <v>0.79075650778142237</v>
      </c>
      <c r="AV540" s="630">
        <v>0.79</v>
      </c>
      <c r="AW540" s="630">
        <v>0.79</v>
      </c>
      <c r="AX540" s="630">
        <v>0.79</v>
      </c>
      <c r="AY540" s="327"/>
      <c r="AZ540" s="709"/>
      <c r="BA540" s="709">
        <f t="shared" ref="BA540:BN540" si="754">IFERROR(-BA529/BA528,"n/a")</f>
        <v>0.4215795034337031</v>
      </c>
      <c r="BB540" s="709">
        <f t="shared" si="754"/>
        <v>0.77633965375103031</v>
      </c>
      <c r="BC540" s="709">
        <f t="shared" si="754"/>
        <v>0.58408579088471846</v>
      </c>
      <c r="BD540" s="709">
        <f t="shared" si="754"/>
        <v>0.54982737956818051</v>
      </c>
      <c r="BE540" s="709">
        <f t="shared" si="754"/>
        <v>0.66736133376082074</v>
      </c>
      <c r="BF540" s="709">
        <f t="shared" si="754"/>
        <v>0.68753216277968754</v>
      </c>
      <c r="BG540" s="709">
        <f t="shared" si="754"/>
        <v>0.55584619408841207</v>
      </c>
      <c r="BH540" s="709">
        <f t="shared" si="754"/>
        <v>0.62853727985376329</v>
      </c>
      <c r="BI540" s="709">
        <f t="shared" si="754"/>
        <v>0.66395406320112593</v>
      </c>
      <c r="BJ540" s="709">
        <f t="shared" si="754"/>
        <v>0.69973673271442438</v>
      </c>
      <c r="BK540" s="709">
        <f t="shared" si="754"/>
        <v>0.69662288930581606</v>
      </c>
      <c r="BL540" s="709">
        <f t="shared" si="754"/>
        <v>0.98621599255198111</v>
      </c>
      <c r="BM540" s="709">
        <f t="shared" si="754"/>
        <v>0.57647532226061138</v>
      </c>
      <c r="BN540" s="710">
        <f t="shared" si="754"/>
        <v>0.74521019874222016</v>
      </c>
      <c r="BO540" s="709">
        <f>AVERAGE(AU540,AV540,AW540,AX540)</f>
        <v>0.79018912694535559</v>
      </c>
      <c r="BP540" s="709" t="e">
        <f>AVERAGE(#REF!,#REF!,#REF!,#REF!)</f>
        <v>#REF!</v>
      </c>
      <c r="BQ540" s="711">
        <v>0.79</v>
      </c>
      <c r="BR540" s="711">
        <v>0.79</v>
      </c>
      <c r="BS540" s="711">
        <v>0.79</v>
      </c>
      <c r="BT540" s="27"/>
    </row>
    <row r="541" spans="1:72" s="19" customFormat="1" x14ac:dyDescent="0.35">
      <c r="A541" s="403" t="s">
        <v>519</v>
      </c>
      <c r="B541" s="123"/>
      <c r="C541" s="326">
        <f>IFERROR(-C535/C534*BD3/C3,"n/a")</f>
        <v>0.23782070949501349</v>
      </c>
      <c r="D541" s="326">
        <f>IFERROR(-D535/D534*BD3/D3,"n/a")</f>
        <v>0.23768255290275803</v>
      </c>
      <c r="E541" s="326">
        <f>IFERROR(-E535/E534*BD3/E3,"n/a")</f>
        <v>0.2456979541255683</v>
      </c>
      <c r="F541" s="326">
        <f>IFERROR(-F535/F534*BD3/F3,"n/a")</f>
        <v>0.30887069030286018</v>
      </c>
      <c r="G541" s="326">
        <f>IFERROR(-G535/G534*BE3/G3,"n/a")</f>
        <v>0.23763271314243758</v>
      </c>
      <c r="H541" s="326">
        <f>IFERROR(-H535/H534*BE3/H3,"n/a")</f>
        <v>0.57201704708554502</v>
      </c>
      <c r="I541" s="326">
        <f>IFERROR(-I535/I534*BE3/I3,"n/a")</f>
        <v>0.27765384424717643</v>
      </c>
      <c r="J541" s="326">
        <f>IFERROR(-J535/J534*BE3/J3,"n/a")</f>
        <v>0.34165153415579297</v>
      </c>
      <c r="K541" s="326">
        <f>IFERROR(-K535/K534*BF3/K3,"n/a")</f>
        <v>0.27746059267070577</v>
      </c>
      <c r="L541" s="326">
        <f>IFERROR(-L535/L534*BF3/L3,"n/a")</f>
        <v>0.30062345312760852</v>
      </c>
      <c r="M541" s="326">
        <f>IFERROR(-M535/M534*BF3/M3,"n/a")</f>
        <v>0.312376774940752</v>
      </c>
      <c r="N541" s="326">
        <f>IFERROR(-N535/N534*BF3/N3,"n/a")</f>
        <v>0.56461632985315857</v>
      </c>
      <c r="O541" s="326">
        <f>IFERROR(-O535/O534*BG3/O3,"n/a")</f>
        <v>0.31530537002600029</v>
      </c>
      <c r="P541" s="326">
        <f>IFERROR(-P535/P534*BG3/P3,"n/a")</f>
        <v>0.31391670298080931</v>
      </c>
      <c r="Q541" s="326">
        <f>IFERROR(-Q535/Q534*BG3/Q3,"n/a")</f>
        <v>0.36121778454775294</v>
      </c>
      <c r="R541" s="326">
        <f>IFERROR(-R535/R534*BG3/R3,"n/a")</f>
        <v>0.37342473485029981</v>
      </c>
      <c r="S541" s="326">
        <f>IFERROR(-S535/S534*BH3/S3,"n/a")</f>
        <v>0.33711318614286678</v>
      </c>
      <c r="T541" s="326">
        <f>IFERROR(-T535/T534*BH3/T3,"n/a")</f>
        <v>0.36814799542460042</v>
      </c>
      <c r="U541" s="326">
        <f>IFERROR(-U535/U534*BH3/U3,"n/a")</f>
        <v>0.3859549410823922</v>
      </c>
      <c r="V541" s="326">
        <f>IFERROR(-V535/V534*BH3/V3,"n/a")</f>
        <v>0.38973883738115039</v>
      </c>
      <c r="W541" s="326">
        <f>IFERROR(-W535/W534*BI3/W3,"n/a")</f>
        <v>0.45219116559327655</v>
      </c>
      <c r="X541" s="326">
        <f>IFERROR(-X535/X534*BI3/X3,"n/a")</f>
        <v>0.40712218997485045</v>
      </c>
      <c r="Y541" s="326">
        <f>IFERROR(-Y535/Y534*BI3/Y3,"n/a")</f>
        <v>0.41731083352038328</v>
      </c>
      <c r="Z541" s="326">
        <f>IFERROR(-Z535/Z534*BI3/Z3,"n/a")</f>
        <v>0.43651639696173905</v>
      </c>
      <c r="AA541" s="326">
        <f>IFERROR(-AA535/AA534*BJ3/AA3,"n/a")</f>
        <v>0.40299651035919715</v>
      </c>
      <c r="AB541" s="326">
        <f>IFERROR(-AB535/AB534*BJ3/AB3,"n/a")</f>
        <v>0.4148522164386742</v>
      </c>
      <c r="AC541" s="326">
        <f>IFERROR(-AC535/AC534*BJ3/AC3,"n/a")</f>
        <v>0.40706369317288449</v>
      </c>
      <c r="AD541" s="326">
        <f>IFERROR(-AD535/AD534*BJ3/AD3,"n/a")</f>
        <v>0.44312471363476647</v>
      </c>
      <c r="AE541" s="326">
        <f>IFERROR(-AE535/AE534*BK3/AE3,"n/a")</f>
        <v>0.40111346543685206</v>
      </c>
      <c r="AF541" s="326">
        <f>IFERROR(-AF535/AF534*BK3/AF3,"n/a")</f>
        <v>0.39936053250872133</v>
      </c>
      <c r="AG541" s="326">
        <f>IFERROR(-AG535/AG534*BK3/AG3,"n/a")</f>
        <v>0.44256120077804012</v>
      </c>
      <c r="AH541" s="326">
        <f>IFERROR(-AH535/AH534*BK3/AH3,"n/a")</f>
        <v>0.3706623018295267</v>
      </c>
      <c r="AI541" s="326">
        <f>IFERROR(-AI535/AI534*BL3/AI3,"n/a")</f>
        <v>0.26901261342920163</v>
      </c>
      <c r="AJ541" s="326">
        <f>IFERROR(-AJ535/AJ534*BL3/AJ3,"n/a")</f>
        <v>0.29543868316138672</v>
      </c>
      <c r="AK541" s="326">
        <f>IFERROR(-AK535/AK534*BL3/AK3,"n/a")</f>
        <v>0.27300166403781212</v>
      </c>
      <c r="AL541" s="326">
        <f>IFERROR(-AL535/AL534*BL3/AL3,"n/a")</f>
        <v>0.26352728720866492</v>
      </c>
      <c r="AM541" s="326">
        <f>IFERROR(-AM535/AM534*BM3/AM3,"n/a")</f>
        <v>0.28559839799260073</v>
      </c>
      <c r="AN541" s="326">
        <f>IFERROR(-AN535/AN534*BM3/AN3,"n/a")</f>
        <v>0.27630109065252961</v>
      </c>
      <c r="AO541" s="326">
        <f>IFERROR(-AO535/AO534*BM3/AO3,"n/a")</f>
        <v>0.27172934599084259</v>
      </c>
      <c r="AP541" s="326">
        <f>IFERROR(-AP535/AP534*BM3/AP3,"n/a")</f>
        <v>0.26060005193010877</v>
      </c>
      <c r="AQ541" s="318">
        <f>IFERROR(-AQ535/AQ534*BN3/AQ3,"n/a")</f>
        <v>0.26861086452826638</v>
      </c>
      <c r="AR541" s="318">
        <f>IFERROR(-AR535/AR534*BN3/AR3,"n/a")</f>
        <v>0.29967719329635595</v>
      </c>
      <c r="AS541" s="318">
        <f>IFERROR(-AS535/AS534*BN3/AS3,"n/a")</f>
        <v>0.30451547003300683</v>
      </c>
      <c r="AT541" s="326">
        <f>IFERROR(-AT535/AT534*BN3/AT3,"n/a")</f>
        <v>0.34810045507053461</v>
      </c>
      <c r="AU541" s="491">
        <f>IFERROR(-AU535/AU534*BO3/AU3,"n/a")</f>
        <v>0.33526006811399361</v>
      </c>
      <c r="AV541" s="630">
        <v>0.33500000000000002</v>
      </c>
      <c r="AW541" s="630">
        <v>0.33500000000000002</v>
      </c>
      <c r="AX541" s="630">
        <v>0.33500000000000002</v>
      </c>
      <c r="AY541" s="327"/>
      <c r="AZ541" s="709"/>
      <c r="BA541" s="709">
        <f t="shared" ref="BA541:BN541" si="755">IFERROR(-BA535/BA534,"n/a")</f>
        <v>0.30689255628973167</v>
      </c>
      <c r="BB541" s="709">
        <f t="shared" si="755"/>
        <v>0.34235872375486548</v>
      </c>
      <c r="BC541" s="709">
        <f t="shared" si="755"/>
        <v>0.26036383309663896</v>
      </c>
      <c r="BD541" s="709">
        <f t="shared" si="755"/>
        <v>0.26557401927308599</v>
      </c>
      <c r="BE541" s="709">
        <f t="shared" si="755"/>
        <v>0.34796993767915452</v>
      </c>
      <c r="BF541" s="709">
        <f t="shared" si="755"/>
        <v>0.37497210029015698</v>
      </c>
      <c r="BG541" s="709">
        <f t="shared" si="755"/>
        <v>0.3443825662463002</v>
      </c>
      <c r="BH541" s="709">
        <f t="shared" si="755"/>
        <v>0.36032812859369806</v>
      </c>
      <c r="BI541" s="709">
        <f t="shared" si="755"/>
        <v>0.40665850535410242</v>
      </c>
      <c r="BJ541" s="709">
        <f t="shared" si="755"/>
        <v>0.40315912974322232</v>
      </c>
      <c r="BK541" s="709">
        <f t="shared" si="755"/>
        <v>0.41704411309160022</v>
      </c>
      <c r="BL541" s="709">
        <f t="shared" si="755"/>
        <v>0.29716292986561244</v>
      </c>
      <c r="BM541" s="709">
        <f t="shared" si="755"/>
        <v>0.27209360699735474</v>
      </c>
      <c r="BN541" s="710">
        <f t="shared" si="755"/>
        <v>0.30561623130173565</v>
      </c>
      <c r="BO541" s="709">
        <f>AVERAGE(AU541,AV541,AW541,AX541)</f>
        <v>0.33506501702849839</v>
      </c>
      <c r="BP541" s="709" t="e">
        <f>AVERAGE(#REF!,#REF!,#REF!,#REF!)</f>
        <v>#REF!</v>
      </c>
      <c r="BQ541" s="711">
        <v>0.33500000000000002</v>
      </c>
      <c r="BR541" s="711">
        <v>0.33500000000000002</v>
      </c>
      <c r="BS541" s="711">
        <v>0.33500000000000002</v>
      </c>
      <c r="BT541" s="27"/>
    </row>
    <row r="542" spans="1:72" s="58" customFormat="1" x14ac:dyDescent="0.35">
      <c r="A542" s="408" t="s">
        <v>522</v>
      </c>
      <c r="B542" s="406"/>
      <c r="C542" s="404">
        <f>IFERROR(-C528/C529*C3/BD3,"n/a")</f>
        <v>1.815567475593634</v>
      </c>
      <c r="D542" s="404">
        <f>IFERROR(-D528/D529*D3/BD3,"n/a")</f>
        <v>2.0412316471537411</v>
      </c>
      <c r="E542" s="404">
        <f>IFERROR(-E528/E529*E3/BD3,"n/a")</f>
        <v>1.9502991319509986</v>
      </c>
      <c r="F542" s="404">
        <f>IFERROR(-F528/F529*F3/BD3,"n/a")</f>
        <v>2.2307902717963177</v>
      </c>
      <c r="G542" s="404">
        <f>IFERROR(-G528/G529*G3/BE3,"n/a")</f>
        <v>1.6550713770728191</v>
      </c>
      <c r="H542" s="404">
        <f>IFERROR(-H528/H529*H3/BE3,"n/a")</f>
        <v>1.1066901799068909</v>
      </c>
      <c r="I542" s="404">
        <f>IFERROR(-I528/I529*I3/BE3,"n/a")</f>
        <v>1.5216432947031056</v>
      </c>
      <c r="J542" s="404">
        <f>IFERROR(-J528/J529*J3/BE3,"n/a")</f>
        <v>2.2768894403474174</v>
      </c>
      <c r="K542" s="404">
        <f>IFERROR(-K528/K529*K3/BF3,"n/a")</f>
        <v>1.6370419749468905</v>
      </c>
      <c r="L542" s="404">
        <f>IFERROR(-L528/L529*L3/BF3,"n/a")</f>
        <v>1.8160218450419447</v>
      </c>
      <c r="M542" s="404">
        <f>IFERROR(-M528/M529*M3/BF3,"n/a")</f>
        <v>1.6799166912300834</v>
      </c>
      <c r="N542" s="404">
        <f>IFERROR(-N528/N529*N3/BF3,"n/a")</f>
        <v>1.0156351461517075</v>
      </c>
      <c r="O542" s="404">
        <f>IFERROR(-O528/O529*O3/BG3,"n/a")</f>
        <v>1.6426883377703041</v>
      </c>
      <c r="P542" s="404">
        <f>IFERROR(-P528/P529*P3/BG3,"n/a")</f>
        <v>1.5693773509662554</v>
      </c>
      <c r="Q542" s="404">
        <f>IFERROR(-Q528/Q529*Q3/BG3,"n/a")</f>
        <v>1.5203959096256232</v>
      </c>
      <c r="R542" s="404">
        <f>IFERROR(-R528/R529*R3/BG3,"n/a")</f>
        <v>1.6189986268876979</v>
      </c>
      <c r="S542" s="404">
        <f>IFERROR(-S528/S529*S3/BH3,"n/a")</f>
        <v>1.6370325889785446</v>
      </c>
      <c r="T542" s="404">
        <f>IFERROR(-T528/T529*T3/BH3,"n/a")</f>
        <v>1.892904468790308</v>
      </c>
      <c r="U542" s="404">
        <f>IFERROR(-U528/U529*U3/BH3,"n/a")</f>
        <v>1.2629100333209919</v>
      </c>
      <c r="V542" s="404">
        <f>IFERROR(-V528/V529*V3/BH3,"n/a")</f>
        <v>1.7246892727504866</v>
      </c>
      <c r="W542" s="404">
        <f>IFERROR(-W528/W529*W3/BI3,"n/a")</f>
        <v>1.4942030954704346</v>
      </c>
      <c r="X542" s="404">
        <f>IFERROR(-X528/X529*X3/BI3,"n/a")</f>
        <v>1.8390370940434051</v>
      </c>
      <c r="Y542" s="404">
        <f>IFERROR(-Y528/Y529*Y3/BI3,"n/a")</f>
        <v>1.5058160988708411</v>
      </c>
      <c r="Z542" s="404">
        <f>IFERROR(-Z528/Z529*Z3/BI3,"n/a")</f>
        <v>1.960196488355429</v>
      </c>
      <c r="AA542" s="404">
        <f>IFERROR(-AA528/AA529*AA3/BJ3,"n/a")</f>
        <v>1.296795189488358</v>
      </c>
      <c r="AB542" s="404">
        <f>IFERROR(-AB528/AB529*AB3/BJ3,"n/a")</f>
        <v>1.9801553093098347</v>
      </c>
      <c r="AC542" s="404">
        <f>IFERROR(-AC528/AC529*AC3/BJ3,"n/a")</f>
        <v>1.6554389620980012</v>
      </c>
      <c r="AD542" s="404">
        <f>IFERROR(-AD528/AD529*AD3/BJ3,"n/a")</f>
        <v>1.6211167060242992</v>
      </c>
      <c r="AE542" s="404">
        <f>IFERROR(-AE528/AE529*AE3/BK3,"n/a")</f>
        <v>1.5752867969018547</v>
      </c>
      <c r="AF542" s="404">
        <f>IFERROR(-AF528/AF529*AF3/BK3,"n/a")</f>
        <v>1.7379625234786082</v>
      </c>
      <c r="AG542" s="404">
        <f>IFERROR(-AG528/AG529*AG3/BK3,"n/a")</f>
        <v>1.5218175268305152</v>
      </c>
      <c r="AH542" s="404">
        <f>IFERROR(-AH528/AH529*AH3/BK3,"n/a")</f>
        <v>1.8190051350553975</v>
      </c>
      <c r="AI542" s="404">
        <f>IFERROR(-AI528/AI529*AI3/BL3,"n/a")</f>
        <v>1.5169579446724586</v>
      </c>
      <c r="AJ542" s="404">
        <f>IFERROR(-AJ528/AJ529*AJ3/BL3,"n/a")</f>
        <v>1.7271551891406542</v>
      </c>
      <c r="AK542" s="404">
        <f>IFERROR(-AK528/AK529*AK3/BL3,"n/a")</f>
        <v>1.9749927670226564</v>
      </c>
      <c r="AL542" s="404">
        <f>IFERROR(-AL528/AL529*AL3/BL3,"n/a")</f>
        <v>1.7711366389063623</v>
      </c>
      <c r="AM542" s="404">
        <f>IFERROR(-AM528/AM529*AM3/BM3,"n/a")</f>
        <v>1.9672229788067332</v>
      </c>
      <c r="AN542" s="404">
        <f>IFERROR(-AN528/AN529*AN3/BM3,"n/a")</f>
        <v>1.7671877459345076</v>
      </c>
      <c r="AO542" s="404">
        <f>IFERROR(-AO528/AO529*AO3/BM3,"n/a")</f>
        <v>1.7636071253490067</v>
      </c>
      <c r="AP542" s="404">
        <f>IFERROR(-AP528/AP529*AP3/BM3,"n/a")</f>
        <v>1.5342902452627485</v>
      </c>
      <c r="AQ542" s="404">
        <f>IFERROR(-AQ528/AQ529*AQ3/BN3,"n/a")</f>
        <v>1.2966640938313789</v>
      </c>
      <c r="AR542" s="404">
        <f>IFERROR(-AR528/AR529*AR3/BN3,"n/a")</f>
        <v>1.6009597705022194</v>
      </c>
      <c r="AS542" s="465">
        <f>IFERROR(-AS528/AS529*AS3/BN3,"n/a")</f>
        <v>1.5049004327304225</v>
      </c>
      <c r="AT542" s="404">
        <f>IFERROR(-AT528/AT529*AT3/BN3,"n/a")</f>
        <v>1.3470921489348859</v>
      </c>
      <c r="AU542" s="526">
        <f>IFERROR(-AU528/AU529*AU3/BO3,"n/a")</f>
        <v>1.2646117865101603</v>
      </c>
      <c r="AV542" s="404">
        <f>IFERROR(-AV528/AV529*AV3/BO3,"n/a")</f>
        <v>1.2658227848101267</v>
      </c>
      <c r="AW542" s="404">
        <f>IFERROR(-AW528/AW529*AW3/BO3,"n/a")</f>
        <v>1.2658227848101264</v>
      </c>
      <c r="AX542" s="404">
        <f>IFERROR(-AX528/AX529*AX3/BO3,"n/a")</f>
        <v>1.2658227848101264</v>
      </c>
      <c r="AY542" s="404"/>
      <c r="AZ542" s="832"/>
      <c r="BA542" s="832">
        <f t="shared" ref="BA542:BN542" si="756">IFERROR(-BA528/BA529,"n/a")</f>
        <v>2.3720318275797259</v>
      </c>
      <c r="BB542" s="832">
        <f t="shared" si="756"/>
        <v>1.2880959966018906</v>
      </c>
      <c r="BC542" s="832">
        <f t="shared" si="756"/>
        <v>1.712077259207579</v>
      </c>
      <c r="BD542" s="832">
        <f t="shared" si="756"/>
        <v>1.8187526433939554</v>
      </c>
      <c r="BE542" s="832">
        <f t="shared" si="756"/>
        <v>1.4984386259908722</v>
      </c>
      <c r="BF542" s="832">
        <f t="shared" si="756"/>
        <v>1.4544774108559624</v>
      </c>
      <c r="BG542" s="832">
        <f t="shared" si="756"/>
        <v>1.7990588235294123</v>
      </c>
      <c r="BH542" s="832">
        <f t="shared" si="756"/>
        <v>1.5909955257270691</v>
      </c>
      <c r="BI542" s="832">
        <f t="shared" si="756"/>
        <v>1.5061282932416946</v>
      </c>
      <c r="BJ542" s="832">
        <f t="shared" si="756"/>
        <v>1.4291089108910888</v>
      </c>
      <c r="BK542" s="832">
        <f t="shared" si="756"/>
        <v>1.4354969027740372</v>
      </c>
      <c r="BL542" s="832">
        <f t="shared" si="756"/>
        <v>1.0139766618591843</v>
      </c>
      <c r="BM542" s="832">
        <f t="shared" si="756"/>
        <v>1.7346796322148941</v>
      </c>
      <c r="BN542" s="833">
        <f t="shared" si="756"/>
        <v>1.3419032666056085</v>
      </c>
      <c r="BO542" s="832">
        <f>AVERAGE(AU542,AV542,AW542,AX542)</f>
        <v>1.2655200352351348</v>
      </c>
      <c r="BP542" s="832" t="e">
        <f>AVERAGE(#REF!,#REF!,#REF!,#REF!)</f>
        <v>#REF!</v>
      </c>
      <c r="BQ542" s="832" t="str">
        <f>IFERROR(-BQ528/BQ529,"n/a")</f>
        <v>n/a</v>
      </c>
      <c r="BR542" s="832" t="str">
        <f>IFERROR(-BR528/BR529,"n/a")</f>
        <v>n/a</v>
      </c>
      <c r="BS542" s="832" t="str">
        <f>IFERROR(-BS528/BS529,"n/a")</f>
        <v>n/a</v>
      </c>
      <c r="BT542" s="57"/>
    </row>
    <row r="543" spans="1:72" s="58" customFormat="1" x14ac:dyDescent="0.35">
      <c r="A543" s="408" t="s">
        <v>523</v>
      </c>
      <c r="B543" s="406"/>
      <c r="C543" s="404">
        <f>IFERROR(-C534/C535*C3/BD3,"n/a")</f>
        <v>4.2048482746662037</v>
      </c>
      <c r="D543" s="404">
        <f>IFERROR(-D534/D535*D3/BD3,"n/a")</f>
        <v>4.2072924065618134</v>
      </c>
      <c r="E543" s="404">
        <f>IFERROR(-E534/E535*E3/BD3,"n/a")</f>
        <v>4.0700379600594152</v>
      </c>
      <c r="F543" s="404">
        <f>IFERROR(-F534/F535*F3/BD3,"n/a")</f>
        <v>3.2376008193573167</v>
      </c>
      <c r="G543" s="404">
        <f>IFERROR(-G534/G535*G3/BE3,"n/a")</f>
        <v>4.208174820613177</v>
      </c>
      <c r="H543" s="404">
        <f>IFERROR(-H534/H535*H3/BE3,"n/a")</f>
        <v>1.7481996473619961</v>
      </c>
      <c r="I543" s="404">
        <f>IFERROR(-I534/I535*I3/BE3,"n/a")</f>
        <v>3.6016068954902272</v>
      </c>
      <c r="J543" s="404">
        <f>IFERROR(-J534/J535*J3/BE3,"n/a")</f>
        <v>2.9269589041095907</v>
      </c>
      <c r="K543" s="404">
        <f>IFERROR(-K534/K535*K3/BF3,"n/a")</f>
        <v>3.6041154182454092</v>
      </c>
      <c r="L543" s="404">
        <f>IFERROR(-L534/L535*L3/BF3,"n/a")</f>
        <v>3.3264204425711266</v>
      </c>
      <c r="M543" s="404">
        <f>IFERROR(-M534/M535*M3/BF3,"n/a")</f>
        <v>3.2012623223658947</v>
      </c>
      <c r="N543" s="404">
        <f>IFERROR(-N534/N535*N3/BF3,"n/a")</f>
        <v>1.7711142011427001</v>
      </c>
      <c r="O543" s="404">
        <f>IFERROR(-O534/O535*O3/BG3,"n/a")</f>
        <v>3.171528603897674</v>
      </c>
      <c r="P543" s="404">
        <f>IFERROR(-P534/P535*P3/BG3,"n/a")</f>
        <v>3.1855584315981202</v>
      </c>
      <c r="Q543" s="404">
        <f>IFERROR(-Q534/Q535*Q3/BG3,"n/a")</f>
        <v>2.7684129707290208</v>
      </c>
      <c r="R543" s="404">
        <f>IFERROR(-R534/R535*R3/BG3,"n/a")</f>
        <v>2.6779158065169</v>
      </c>
      <c r="S543" s="404">
        <f>IFERROR(-S534/S535*S3/BH3,"n/a")</f>
        <v>2.9663627562055828</v>
      </c>
      <c r="T543" s="404">
        <f>IFERROR(-T534/T535*T3/BH3,"n/a")</f>
        <v>2.71629891355692</v>
      </c>
      <c r="U543" s="404">
        <f>IFERROR(-U534/U535*U3/BH3,"n/a")</f>
        <v>2.5909760273972595</v>
      </c>
      <c r="V543" s="404">
        <f>IFERROR(-V534/V535*V3/BH3,"n/a")</f>
        <v>2.565820760177504</v>
      </c>
      <c r="W543" s="404">
        <f>IFERROR(-W534/W535*W3/BI3,"n/a")</f>
        <v>2.2114540842212076</v>
      </c>
      <c r="X543" s="404">
        <f>IFERROR(-X534/X535*X3/BI3,"n/a")</f>
        <v>2.4562650344894585</v>
      </c>
      <c r="Y543" s="404">
        <f>IFERROR(-Y534/Y535*Y3/BI3,"n/a")</f>
        <v>2.3962953263497182</v>
      </c>
      <c r="Z543" s="404">
        <f>IFERROR(-Z534/Z535*Z3/BI3,"n/a")</f>
        <v>2.2908646890706623</v>
      </c>
      <c r="AA543" s="404">
        <f>IFERROR(-AA534/AA535*AA3/BJ3,"n/a")</f>
        <v>2.4814110650950405</v>
      </c>
      <c r="AB543" s="404">
        <f>IFERROR(-AB534/AB535*AB3/BJ3,"n/a")</f>
        <v>2.4104969441517388</v>
      </c>
      <c r="AC543" s="404">
        <f>IFERROR(-AC534/AC535*AC3/BJ3,"n/a")</f>
        <v>2.4566180103301147</v>
      </c>
      <c r="AD543" s="404">
        <f>IFERROR(-AD534/AD535*AD3/BJ3,"n/a")</f>
        <v>2.2567010352399866</v>
      </c>
      <c r="AE543" s="404">
        <f>IFERROR(-AE534/AE535*AE3/BK3,"n/a")</f>
        <v>2.4930601592018395</v>
      </c>
      <c r="AF543" s="404">
        <f>IFERROR(-AF534/AF535*AF3/BK3,"n/a")</f>
        <v>2.5040030714055646</v>
      </c>
      <c r="AG543" s="404">
        <f>IFERROR(-AG534/AG535*AG3/BK3,"n/a")</f>
        <v>2.2595744910352744</v>
      </c>
      <c r="AH543" s="404">
        <f>IFERROR(-AH534/AH535*AH3/BK3,"n/a")</f>
        <v>2.6978734958051263</v>
      </c>
      <c r="AI543" s="404">
        <f>IFERROR(-AI534/AI535*AI3/BL3,"n/a")</f>
        <v>3.7172978145992359</v>
      </c>
      <c r="AJ543" s="404">
        <f>IFERROR(-AJ534/AJ535*AJ3/BL3,"n/a")</f>
        <v>3.3847971067950455</v>
      </c>
      <c r="AK543" s="404">
        <f>IFERROR(-AK534/AK535*AK3/BL3,"n/a")</f>
        <v>3.6629813357529382</v>
      </c>
      <c r="AL543" s="404">
        <f>IFERROR(-AL534/AL535*AL3/BL3,"n/a")</f>
        <v>3.7946734495399128</v>
      </c>
      <c r="AM543" s="404">
        <f>IFERROR(-AM534/AM535*AM3/BM3,"n/a")</f>
        <v>3.5014202006339965</v>
      </c>
      <c r="AN543" s="404">
        <f>IFERROR(-AN534/AN535*AN3/BM3,"n/a")</f>
        <v>3.6192401471826927</v>
      </c>
      <c r="AO543" s="404">
        <f>IFERROR(-AO534/AO535*AO3/BM3,"n/a")</f>
        <v>3.6801325096248547</v>
      </c>
      <c r="AP543" s="404">
        <f>IFERROR(-AP534/AP535*AP3/BM3,"n/a")</f>
        <v>3.83729777716312</v>
      </c>
      <c r="AQ543" s="404">
        <f>IFERROR(-AQ534/AQ535*AQ3/BN3,"n/a")</f>
        <v>3.7228576057643723</v>
      </c>
      <c r="AR543" s="404">
        <f>IFERROR(-AR534/AR535*AR3/BN3,"n/a")</f>
        <v>3.3369239380558491</v>
      </c>
      <c r="AS543" s="465">
        <f>IFERROR(-AS534/AS535*AS3/BN3,"n/a")</f>
        <v>3.2839054117401947</v>
      </c>
      <c r="AT543" s="404">
        <f>IFERROR(-AT534/AT535*AT3/BN3,"n/a")</f>
        <v>2.8727339635260538</v>
      </c>
      <c r="AU543" s="526">
        <f>IFERROR(-AU534/AU535*AU3/BO3,"n/a")</f>
        <v>2.9827590432272548</v>
      </c>
      <c r="AV543" s="404">
        <f>IFERROR(-AV534/AV535*AV3/BO3,"n/a")</f>
        <v>2.9850746268656709</v>
      </c>
      <c r="AW543" s="404">
        <f>IFERROR(-AW534/AW535*AW3/BO3,"n/a")</f>
        <v>2.9850746268656709</v>
      </c>
      <c r="AX543" s="404">
        <f>IFERROR(-AX534/AX535*AX3/BO3,"n/a")</f>
        <v>2.9850746268656709</v>
      </c>
      <c r="AY543" s="404"/>
      <c r="AZ543" s="832"/>
      <c r="BA543" s="832">
        <f t="shared" ref="BA543:BN543" si="757">IFERROR(-BA534/BA535,"n/a")</f>
        <v>3.2584693877551016</v>
      </c>
      <c r="BB543" s="832">
        <f t="shared" si="757"/>
        <v>2.9209128630705394</v>
      </c>
      <c r="BC543" s="832">
        <f t="shared" si="757"/>
        <v>3.8407792207792206</v>
      </c>
      <c r="BD543" s="832">
        <f t="shared" si="757"/>
        <v>3.7654285714285711</v>
      </c>
      <c r="BE543" s="832">
        <f t="shared" si="757"/>
        <v>2.8738114754098367</v>
      </c>
      <c r="BF543" s="832">
        <f t="shared" si="757"/>
        <v>2.6668650793650794</v>
      </c>
      <c r="BG543" s="832">
        <f t="shared" si="757"/>
        <v>2.9037474541751522</v>
      </c>
      <c r="BH543" s="832">
        <f t="shared" si="757"/>
        <v>2.7752482269503549</v>
      </c>
      <c r="BI543" s="832">
        <f t="shared" si="757"/>
        <v>2.4590657439446368</v>
      </c>
      <c r="BJ543" s="832">
        <f t="shared" si="757"/>
        <v>2.4804101562499996</v>
      </c>
      <c r="BK543" s="832">
        <f t="shared" si="757"/>
        <v>2.3978278762572018</v>
      </c>
      <c r="BL543" s="832">
        <f t="shared" si="757"/>
        <v>3.3651572908243814</v>
      </c>
      <c r="BM543" s="832">
        <f t="shared" si="757"/>
        <v>3.6752057905194437</v>
      </c>
      <c r="BN543" s="833">
        <f t="shared" si="757"/>
        <v>3.2720775193798448</v>
      </c>
      <c r="BO543" s="832">
        <f>AVERAGE(AU543,AV543,AW543,AX543)</f>
        <v>2.9844957309560671</v>
      </c>
      <c r="BP543" s="832" t="e">
        <f>AVERAGE(#REF!,#REF!,#REF!,#REF!)</f>
        <v>#REF!</v>
      </c>
      <c r="BQ543" s="832" t="str">
        <f>IFERROR(-BQ534/BQ535,"n/a")</f>
        <v>n/a</v>
      </c>
      <c r="BR543" s="832" t="str">
        <f>IFERROR(-BR534/BR535,"n/a")</f>
        <v>n/a</v>
      </c>
      <c r="BS543" s="832" t="str">
        <f>IFERROR(-BS534/BS535,"n/a")</f>
        <v>n/a</v>
      </c>
      <c r="BT543" s="57"/>
    </row>
    <row r="544" spans="1:72" s="19" customFormat="1" x14ac:dyDescent="0.35">
      <c r="A544" s="321"/>
      <c r="B544" s="400"/>
      <c r="C544" s="528"/>
      <c r="D544" s="528"/>
      <c r="E544" s="528"/>
      <c r="F544" s="528"/>
      <c r="G544" s="528"/>
      <c r="H544" s="528"/>
      <c r="I544" s="528"/>
      <c r="J544" s="528"/>
      <c r="K544" s="528"/>
      <c r="L544" s="528"/>
      <c r="M544" s="528"/>
      <c r="N544" s="528"/>
      <c r="O544" s="528"/>
      <c r="P544" s="528"/>
      <c r="Q544" s="528"/>
      <c r="R544" s="528"/>
      <c r="S544" s="528"/>
      <c r="T544" s="528"/>
      <c r="U544" s="528"/>
      <c r="V544" s="528"/>
      <c r="W544" s="528"/>
      <c r="X544" s="528"/>
      <c r="Y544" s="528"/>
      <c r="Z544" s="528"/>
      <c r="AA544" s="528"/>
      <c r="AB544" s="528"/>
      <c r="AC544" s="528"/>
      <c r="AD544" s="528"/>
      <c r="AE544" s="528"/>
      <c r="AF544" s="528"/>
      <c r="AG544" s="528"/>
      <c r="AH544" s="528"/>
      <c r="AI544" s="528"/>
      <c r="AJ544" s="528"/>
      <c r="AK544" s="528"/>
      <c r="AL544" s="528"/>
      <c r="AM544" s="528"/>
      <c r="AN544" s="528"/>
      <c r="AO544" s="528"/>
      <c r="AP544" s="528"/>
      <c r="AQ544" s="528"/>
      <c r="AR544" s="528"/>
      <c r="AS544" s="528"/>
      <c r="AT544" s="528"/>
      <c r="AU544" s="560"/>
      <c r="AV544" s="528"/>
      <c r="AW544" s="528"/>
      <c r="AX544" s="528"/>
      <c r="AY544" s="528"/>
      <c r="AZ544" s="692"/>
      <c r="BA544" s="692"/>
      <c r="BB544" s="692"/>
      <c r="BC544" s="692"/>
      <c r="BD544" s="692"/>
      <c r="BE544" s="692"/>
      <c r="BF544" s="692"/>
      <c r="BG544" s="692"/>
      <c r="BH544" s="692"/>
      <c r="BI544" s="692"/>
      <c r="BJ544" s="692"/>
      <c r="BK544" s="692"/>
      <c r="BL544" s="692"/>
      <c r="BM544" s="692"/>
      <c r="BN544" s="712"/>
      <c r="BO544" s="692"/>
      <c r="BP544" s="692"/>
      <c r="BQ544" s="692"/>
      <c r="BR544" s="692"/>
      <c r="BS544" s="692"/>
      <c r="BT544" s="27"/>
    </row>
    <row r="545" spans="1:72" s="1" customFormat="1" x14ac:dyDescent="0.35">
      <c r="A545" s="354" t="s">
        <v>524</v>
      </c>
      <c r="B545" s="307"/>
      <c r="C545" s="548">
        <f t="shared" ref="C545:AH545" si="758">C201+C202</f>
        <v>15.661</v>
      </c>
      <c r="D545" s="548">
        <f t="shared" si="758"/>
        <v>16.232999999999997</v>
      </c>
      <c r="E545" s="548">
        <f t="shared" si="758"/>
        <v>16.282000000000004</v>
      </c>
      <c r="F545" s="548">
        <f t="shared" si="758"/>
        <v>17.560999999999993</v>
      </c>
      <c r="G545" s="548">
        <f t="shared" si="758"/>
        <v>16.95</v>
      </c>
      <c r="H545" s="548">
        <f t="shared" si="758"/>
        <v>34.524000000000001</v>
      </c>
      <c r="I545" s="548">
        <f t="shared" si="758"/>
        <v>18.017000000000003</v>
      </c>
      <c r="J545" s="548">
        <f t="shared" si="758"/>
        <v>16.775999999999996</v>
      </c>
      <c r="K545" s="548">
        <f t="shared" si="758"/>
        <v>16.88</v>
      </c>
      <c r="L545" s="548">
        <f t="shared" si="758"/>
        <v>17.629000000000001</v>
      </c>
      <c r="M545" s="548">
        <f t="shared" si="758"/>
        <v>17.764000000000003</v>
      </c>
      <c r="N545" s="548">
        <f t="shared" si="758"/>
        <v>31.527999999999999</v>
      </c>
      <c r="O545" s="548">
        <f t="shared" si="758"/>
        <v>16.565000000000001</v>
      </c>
      <c r="P545" s="548">
        <f t="shared" si="758"/>
        <v>16.469999999999995</v>
      </c>
      <c r="Q545" s="548">
        <f t="shared" si="758"/>
        <v>17.587000000000003</v>
      </c>
      <c r="R545" s="548">
        <f t="shared" si="758"/>
        <v>17.602999999999994</v>
      </c>
      <c r="S545" s="548">
        <f t="shared" si="758"/>
        <v>17.68</v>
      </c>
      <c r="T545" s="548">
        <f t="shared" si="758"/>
        <v>18.695</v>
      </c>
      <c r="U545" s="548">
        <f t="shared" si="758"/>
        <v>19.950000000000003</v>
      </c>
      <c r="V545" s="548">
        <f t="shared" si="758"/>
        <v>17.954999999999998</v>
      </c>
      <c r="W545" s="548">
        <f t="shared" si="758"/>
        <v>20.635999999999999</v>
      </c>
      <c r="X545" s="548">
        <f t="shared" si="758"/>
        <v>18.55</v>
      </c>
      <c r="Y545" s="548">
        <f t="shared" si="758"/>
        <v>18.426000000000002</v>
      </c>
      <c r="Z545" s="548">
        <f t="shared" si="758"/>
        <v>17.648000000000003</v>
      </c>
      <c r="AA545" s="548">
        <f t="shared" si="758"/>
        <v>18.510999999999999</v>
      </c>
      <c r="AB545" s="548">
        <f t="shared" si="758"/>
        <v>17.709999999999997</v>
      </c>
      <c r="AC545" s="548">
        <f t="shared" si="758"/>
        <v>17.038000000000004</v>
      </c>
      <c r="AD545" s="548">
        <f t="shared" si="758"/>
        <v>18.141000000000005</v>
      </c>
      <c r="AE545" s="548">
        <f t="shared" si="758"/>
        <v>17.146000000000001</v>
      </c>
      <c r="AF545" s="548">
        <f t="shared" si="758"/>
        <v>17.229999999999997</v>
      </c>
      <c r="AG545" s="548">
        <f t="shared" si="758"/>
        <v>18.414000000000001</v>
      </c>
      <c r="AH545" s="548">
        <f t="shared" si="758"/>
        <v>19.300999999999995</v>
      </c>
      <c r="AI545" s="548">
        <f t="shared" ref="AI545:AX545" si="759">AI201+AI202</f>
        <v>18.277000000000001</v>
      </c>
      <c r="AJ545" s="548">
        <f t="shared" si="759"/>
        <v>23.161000000000001</v>
      </c>
      <c r="AK545" s="548">
        <f t="shared" si="759"/>
        <v>23.599999999999994</v>
      </c>
      <c r="AL545" s="548">
        <f t="shared" si="759"/>
        <v>25.039000000000001</v>
      </c>
      <c r="AM545" s="548">
        <f t="shared" si="759"/>
        <v>24.146999999999998</v>
      </c>
      <c r="AN545" s="548">
        <f t="shared" si="759"/>
        <v>25.18</v>
      </c>
      <c r="AO545" s="548">
        <f t="shared" si="759"/>
        <v>24.137</v>
      </c>
      <c r="AP545" s="548">
        <f t="shared" si="759"/>
        <v>24.450000000000003</v>
      </c>
      <c r="AQ545" s="548">
        <f t="shared" si="759"/>
        <v>26.251000000000001</v>
      </c>
      <c r="AR545" s="548">
        <f t="shared" si="759"/>
        <v>27.462999999999997</v>
      </c>
      <c r="AS545" s="549">
        <f t="shared" si="759"/>
        <v>26.942000000000007</v>
      </c>
      <c r="AT545" s="548">
        <f t="shared" si="759"/>
        <v>29.701999999999998</v>
      </c>
      <c r="AU545" s="550">
        <f t="shared" si="759"/>
        <v>28.016999999999999</v>
      </c>
      <c r="AV545" s="548">
        <f t="shared" si="759"/>
        <v>29.301415573770491</v>
      </c>
      <c r="AW545" s="548">
        <f t="shared" si="759"/>
        <v>26.731052103395893</v>
      </c>
      <c r="AX545" s="548">
        <f t="shared" si="759"/>
        <v>25.111357626706287</v>
      </c>
      <c r="AY545" s="548"/>
      <c r="AZ545" s="688">
        <f t="shared" ref="AZ545:BS545" si="760">AZ201+AZ202</f>
        <v>20.835000000000001</v>
      </c>
      <c r="BA545" s="688">
        <f t="shared" si="760"/>
        <v>25.760999999999999</v>
      </c>
      <c r="BB545" s="688">
        <f t="shared" si="760"/>
        <v>42.933999999999997</v>
      </c>
      <c r="BC545" s="688">
        <f t="shared" si="760"/>
        <v>58.033000000000001</v>
      </c>
      <c r="BD545" s="688">
        <f t="shared" si="760"/>
        <v>65.736999999999995</v>
      </c>
      <c r="BE545" s="688">
        <f t="shared" si="760"/>
        <v>86.266999999999996</v>
      </c>
      <c r="BF545" s="688">
        <f t="shared" si="760"/>
        <v>83.801000000000002</v>
      </c>
      <c r="BG545" s="688">
        <f t="shared" si="760"/>
        <v>68.224999999999994</v>
      </c>
      <c r="BH545" s="688">
        <f t="shared" si="760"/>
        <v>74.28</v>
      </c>
      <c r="BI545" s="688">
        <f t="shared" si="760"/>
        <v>75.260000000000005</v>
      </c>
      <c r="BJ545" s="688">
        <f t="shared" si="760"/>
        <v>71.400000000000006</v>
      </c>
      <c r="BK545" s="688">
        <f t="shared" si="760"/>
        <v>72.090999999999994</v>
      </c>
      <c r="BL545" s="688">
        <f t="shared" si="760"/>
        <v>90.076999999999998</v>
      </c>
      <c r="BM545" s="688">
        <f t="shared" si="760"/>
        <v>97.914000000000001</v>
      </c>
      <c r="BN545" s="702">
        <f t="shared" si="760"/>
        <v>110.358</v>
      </c>
      <c r="BO545" s="688">
        <f t="shared" si="760"/>
        <v>109.16082530387267</v>
      </c>
      <c r="BP545" s="688" t="e">
        <f t="shared" si="760"/>
        <v>#REF!</v>
      </c>
      <c r="BQ545" s="688" t="e">
        <f t="shared" si="760"/>
        <v>#REF!</v>
      </c>
      <c r="BR545" s="688" t="e">
        <f t="shared" si="760"/>
        <v>#REF!</v>
      </c>
      <c r="BS545" s="688" t="e">
        <f t="shared" si="760"/>
        <v>#REF!</v>
      </c>
      <c r="BT545" s="530"/>
    </row>
    <row r="546" spans="1:72" s="1" customFormat="1" x14ac:dyDescent="0.35">
      <c r="A546" s="354" t="s">
        <v>525</v>
      </c>
      <c r="B546" s="307"/>
      <c r="C546" s="548">
        <f t="shared" ref="C546:AH546" si="761">-C263</f>
        <v>15.244</v>
      </c>
      <c r="D546" s="548">
        <f t="shared" si="761"/>
        <v>10.541</v>
      </c>
      <c r="E546" s="548">
        <f t="shared" si="761"/>
        <v>10.944000000000001</v>
      </c>
      <c r="F546" s="548">
        <f t="shared" si="761"/>
        <v>13.616000000000001</v>
      </c>
      <c r="G546" s="548">
        <f t="shared" si="761"/>
        <v>12.602</v>
      </c>
      <c r="H546" s="548">
        <f t="shared" si="761"/>
        <v>11.007999999999999</v>
      </c>
      <c r="I546" s="548">
        <f t="shared" si="761"/>
        <v>12.523000000000003</v>
      </c>
      <c r="J546" s="548">
        <f t="shared" si="761"/>
        <v>13.236000000000001</v>
      </c>
      <c r="K546" s="548">
        <f t="shared" si="761"/>
        <v>18.594000000000001</v>
      </c>
      <c r="L546" s="548">
        <f t="shared" si="761"/>
        <v>12.452999999999999</v>
      </c>
      <c r="M546" s="548">
        <f t="shared" si="761"/>
        <v>14.233000000000001</v>
      </c>
      <c r="N546" s="548">
        <f t="shared" si="761"/>
        <v>16.46</v>
      </c>
      <c r="O546" s="548">
        <f t="shared" si="761"/>
        <v>14.191000000000001</v>
      </c>
      <c r="P546" s="548">
        <f t="shared" si="761"/>
        <v>11.625</v>
      </c>
      <c r="Q546" s="548">
        <f t="shared" si="761"/>
        <v>15.169</v>
      </c>
      <c r="R546" s="548">
        <f t="shared" si="761"/>
        <v>21.914999999999999</v>
      </c>
      <c r="S546" s="548">
        <f t="shared" si="761"/>
        <v>14.028</v>
      </c>
      <c r="T546" s="548">
        <f t="shared" si="761"/>
        <v>9.8349999999999991</v>
      </c>
      <c r="U546" s="548">
        <f t="shared" si="761"/>
        <v>9.2999999999999989</v>
      </c>
      <c r="V546" s="548">
        <f t="shared" si="761"/>
        <v>15.061000000000002</v>
      </c>
      <c r="W546" s="548">
        <f t="shared" si="761"/>
        <v>15.522</v>
      </c>
      <c r="X546" s="548">
        <f t="shared" si="761"/>
        <v>8.2469999999999999</v>
      </c>
      <c r="Y546" s="548">
        <f t="shared" si="761"/>
        <v>9.4329999999999998</v>
      </c>
      <c r="Z546" s="548">
        <f t="shared" si="761"/>
        <v>10.001000000000001</v>
      </c>
      <c r="AA546" s="548">
        <f t="shared" si="761"/>
        <v>17.739999999999998</v>
      </c>
      <c r="AB546" s="548">
        <f t="shared" si="761"/>
        <v>9.5360000000000014</v>
      </c>
      <c r="AC546" s="548">
        <f t="shared" si="761"/>
        <v>9.4469999999999992</v>
      </c>
      <c r="AD546" s="548">
        <f t="shared" si="761"/>
        <v>11.683000000000003</v>
      </c>
      <c r="AE546" s="548">
        <f t="shared" si="761"/>
        <v>16.97</v>
      </c>
      <c r="AF546" s="548">
        <f t="shared" si="761"/>
        <v>9.3369999999999997</v>
      </c>
      <c r="AG546" s="548">
        <f t="shared" si="761"/>
        <v>9.4740000000000002</v>
      </c>
      <c r="AH546" s="548">
        <f t="shared" si="761"/>
        <v>9.2160000000000011</v>
      </c>
      <c r="AI546" s="548">
        <f t="shared" ref="AI546:AX546" si="762">-AI263</f>
        <v>12.798000000000002</v>
      </c>
      <c r="AJ546" s="548">
        <f t="shared" si="762"/>
        <v>10.756</v>
      </c>
      <c r="AK546" s="548">
        <f t="shared" si="762"/>
        <v>11.344000000000001</v>
      </c>
      <c r="AL546" s="548">
        <f t="shared" si="762"/>
        <v>17.364999999999995</v>
      </c>
      <c r="AM546" s="548">
        <f t="shared" si="762"/>
        <v>15.344000000000001</v>
      </c>
      <c r="AN546" s="548">
        <f t="shared" si="762"/>
        <v>14.151999999999997</v>
      </c>
      <c r="AO546" s="548">
        <f t="shared" si="762"/>
        <v>18.436</v>
      </c>
      <c r="AP546" s="548">
        <f t="shared" si="762"/>
        <v>19.694000000000003</v>
      </c>
      <c r="AQ546" s="548">
        <f t="shared" si="762"/>
        <v>16.850999999999999</v>
      </c>
      <c r="AR546" s="548">
        <f t="shared" si="762"/>
        <v>16.898000000000003</v>
      </c>
      <c r="AS546" s="549">
        <f t="shared" si="762"/>
        <v>15.201999999999998</v>
      </c>
      <c r="AT546" s="548">
        <f t="shared" si="762"/>
        <v>17.597000000000001</v>
      </c>
      <c r="AU546" s="550">
        <f t="shared" si="762"/>
        <v>16.149000000000001</v>
      </c>
      <c r="AV546" s="548">
        <f t="shared" si="762"/>
        <v>16.5</v>
      </c>
      <c r="AW546" s="548">
        <f t="shared" si="762"/>
        <v>18.3</v>
      </c>
      <c r="AX546" s="548">
        <f t="shared" si="762"/>
        <v>19</v>
      </c>
      <c r="AY546" s="548"/>
      <c r="AZ546" s="688">
        <f t="shared" ref="AZ546:BS546" si="763">-AZ263</f>
        <v>27.869999999999997</v>
      </c>
      <c r="BA546" s="688">
        <f t="shared" si="763"/>
        <v>24.260999999999999</v>
      </c>
      <c r="BB546" s="688">
        <f t="shared" si="763"/>
        <v>47.649000000000001</v>
      </c>
      <c r="BC546" s="688">
        <f t="shared" si="763"/>
        <v>48.600000000000009</v>
      </c>
      <c r="BD546" s="688">
        <f t="shared" si="763"/>
        <v>50.344999999999999</v>
      </c>
      <c r="BE546" s="688">
        <f t="shared" si="763"/>
        <v>49.369</v>
      </c>
      <c r="BF546" s="688">
        <f t="shared" si="763"/>
        <v>61.740000000000009</v>
      </c>
      <c r="BG546" s="688">
        <f t="shared" si="763"/>
        <v>62.900000000000006</v>
      </c>
      <c r="BH546" s="688">
        <f t="shared" si="763"/>
        <v>48.224000000000004</v>
      </c>
      <c r="BI546" s="688">
        <f t="shared" si="763"/>
        <v>43.203000000000003</v>
      </c>
      <c r="BJ546" s="688">
        <f t="shared" si="763"/>
        <v>48.406000000000006</v>
      </c>
      <c r="BK546" s="688">
        <f t="shared" si="763"/>
        <v>44.997</v>
      </c>
      <c r="BL546" s="688">
        <f t="shared" si="763"/>
        <v>52.263000000000005</v>
      </c>
      <c r="BM546" s="688">
        <f t="shared" si="763"/>
        <v>67.626000000000005</v>
      </c>
      <c r="BN546" s="702">
        <f t="shared" si="763"/>
        <v>66.548000000000002</v>
      </c>
      <c r="BO546" s="688">
        <f t="shared" si="763"/>
        <v>69.949000000000012</v>
      </c>
      <c r="BP546" s="688" t="e">
        <f t="shared" si="763"/>
        <v>#REF!</v>
      </c>
      <c r="BQ546" s="688">
        <f t="shared" si="763"/>
        <v>72</v>
      </c>
      <c r="BR546" s="688">
        <f t="shared" si="763"/>
        <v>72</v>
      </c>
      <c r="BS546" s="688">
        <f t="shared" si="763"/>
        <v>72</v>
      </c>
      <c r="BT546" s="530"/>
    </row>
    <row r="547" spans="1:72" s="19" customFormat="1" x14ac:dyDescent="0.35">
      <c r="A547" s="403" t="s">
        <v>526</v>
      </c>
      <c r="B547" s="123"/>
      <c r="C547" s="326">
        <f t="shared" ref="C547:AU547" si="764">IFERROR(C536/C546,"n/a")</f>
        <v>0.74658882183154029</v>
      </c>
      <c r="D547" s="326">
        <f t="shared" si="764"/>
        <v>0.93729247699459239</v>
      </c>
      <c r="E547" s="326">
        <f t="shared" si="764"/>
        <v>0.93229166666666674</v>
      </c>
      <c r="F547" s="326">
        <f t="shared" si="764"/>
        <v>0.77423619271445354</v>
      </c>
      <c r="G547" s="326">
        <f t="shared" si="764"/>
        <v>0.66084748452626563</v>
      </c>
      <c r="H547" s="326">
        <f t="shared" si="764"/>
        <v>0.90416061046511631</v>
      </c>
      <c r="I547" s="326">
        <f t="shared" si="764"/>
        <v>0.92062604807154813</v>
      </c>
      <c r="J547" s="326">
        <f t="shared" si="764"/>
        <v>0.91825324871562397</v>
      </c>
      <c r="K547" s="326">
        <f t="shared" si="764"/>
        <v>0.65940626008389791</v>
      </c>
      <c r="L547" s="326">
        <f t="shared" si="764"/>
        <v>0.97157311491206944</v>
      </c>
      <c r="M547" s="326">
        <f t="shared" si="764"/>
        <v>0.93191878029930431</v>
      </c>
      <c r="N547" s="326">
        <f t="shared" si="764"/>
        <v>0.86196840826245447</v>
      </c>
      <c r="O547" s="326">
        <f t="shared" si="764"/>
        <v>0.93115354802339512</v>
      </c>
      <c r="P547" s="326">
        <f t="shared" si="764"/>
        <v>0.90993548387096768</v>
      </c>
      <c r="Q547" s="326">
        <f t="shared" si="764"/>
        <v>0.97138901707429615</v>
      </c>
      <c r="R547" s="326">
        <f t="shared" si="764"/>
        <v>0.88364134154688567</v>
      </c>
      <c r="S547" s="326">
        <f t="shared" si="764"/>
        <v>0.93156544054747659</v>
      </c>
      <c r="T547" s="326">
        <f t="shared" si="764"/>
        <v>0.96786985256736136</v>
      </c>
      <c r="U547" s="326">
        <f t="shared" si="764"/>
        <v>0.98763440860215046</v>
      </c>
      <c r="V547" s="326">
        <f t="shared" si="764"/>
        <v>0.94801142022442075</v>
      </c>
      <c r="W547" s="326">
        <f t="shared" si="764"/>
        <v>0.6686638319804149</v>
      </c>
      <c r="X547" s="326">
        <f t="shared" si="764"/>
        <v>0.90614769006911611</v>
      </c>
      <c r="Y547" s="326">
        <f t="shared" si="764"/>
        <v>0.92971483091275309</v>
      </c>
      <c r="Z547" s="326">
        <f t="shared" si="764"/>
        <v>0.78372162783721633</v>
      </c>
      <c r="AA547" s="326">
        <f t="shared" si="764"/>
        <v>0.90202931228861327</v>
      </c>
      <c r="AB547" s="326">
        <f t="shared" si="764"/>
        <v>0.98154362416107366</v>
      </c>
      <c r="AC547" s="326">
        <f t="shared" si="764"/>
        <v>0.94887265798666232</v>
      </c>
      <c r="AD547" s="326">
        <f t="shared" si="764"/>
        <v>0.73636908328340334</v>
      </c>
      <c r="AE547" s="326">
        <f t="shared" si="764"/>
        <v>0.92657631113730121</v>
      </c>
      <c r="AF547" s="326">
        <f t="shared" si="764"/>
        <v>0.99014672807111481</v>
      </c>
      <c r="AG547" s="326">
        <f t="shared" si="764"/>
        <v>0.98363943424108069</v>
      </c>
      <c r="AH547" s="326">
        <f t="shared" si="764"/>
        <v>0.98003472222222232</v>
      </c>
      <c r="AI547" s="326">
        <f t="shared" si="764"/>
        <v>0.91358024691358009</v>
      </c>
      <c r="AJ547" s="326">
        <f t="shared" si="764"/>
        <v>0.91976571216065461</v>
      </c>
      <c r="AK547" s="326">
        <f t="shared" si="764"/>
        <v>0.91202397743300412</v>
      </c>
      <c r="AL547" s="326">
        <f t="shared" si="764"/>
        <v>0.96544773970630593</v>
      </c>
      <c r="AM547" s="326">
        <f t="shared" si="764"/>
        <v>0.91671011470281527</v>
      </c>
      <c r="AN547" s="326">
        <f t="shared" si="764"/>
        <v>0.89916619559072919</v>
      </c>
      <c r="AO547" s="326">
        <f t="shared" si="764"/>
        <v>0.8899435886309397</v>
      </c>
      <c r="AP547" s="326">
        <f t="shared" si="764"/>
        <v>0.7454046917842998</v>
      </c>
      <c r="AQ547" s="326">
        <f t="shared" si="764"/>
        <v>0.9458192392142899</v>
      </c>
      <c r="AR547" s="326">
        <f t="shared" si="764"/>
        <v>0.8869688720558645</v>
      </c>
      <c r="AS547" s="318">
        <f t="shared" si="764"/>
        <v>0.95026970135508482</v>
      </c>
      <c r="AT547" s="326">
        <f t="shared" si="764"/>
        <v>0.95698130363130096</v>
      </c>
      <c r="AU547" s="491">
        <f t="shared" si="764"/>
        <v>0.89510186389250102</v>
      </c>
      <c r="AV547" s="630">
        <v>0.9</v>
      </c>
      <c r="AW547" s="630">
        <v>0.9</v>
      </c>
      <c r="AX547" s="630">
        <v>0.9</v>
      </c>
      <c r="AY547" s="327"/>
      <c r="AZ547" s="709"/>
      <c r="BA547" s="709">
        <f t="shared" ref="BA547:BN547" si="765">IFERROR(BA536/BA546,"n/a")</f>
        <v>0.57310086146490258</v>
      </c>
      <c r="BB547" s="709">
        <f t="shared" si="765"/>
        <v>0.37956725219836718</v>
      </c>
      <c r="BC547" s="709">
        <f t="shared" si="765"/>
        <v>0.78430041152263374</v>
      </c>
      <c r="BD547" s="709">
        <f t="shared" si="765"/>
        <v>0.83436289601747937</v>
      </c>
      <c r="BE547" s="709">
        <f t="shared" si="765"/>
        <v>0.85000708946909997</v>
      </c>
      <c r="BF547" s="709">
        <f t="shared" si="765"/>
        <v>0.83919663103336561</v>
      </c>
      <c r="BG547" s="709">
        <f t="shared" si="765"/>
        <v>0.92038155802861665</v>
      </c>
      <c r="BH547" s="709">
        <f t="shared" si="765"/>
        <v>0.95491871267418704</v>
      </c>
      <c r="BI547" s="709">
        <f t="shared" si="765"/>
        <v>0.79762979422725266</v>
      </c>
      <c r="BJ547" s="709">
        <f t="shared" si="765"/>
        <v>0.88685286947899011</v>
      </c>
      <c r="BK547" s="709">
        <f t="shared" si="765"/>
        <v>0.96273084872324821</v>
      </c>
      <c r="BL547" s="709">
        <f t="shared" si="765"/>
        <v>0.93174903851673252</v>
      </c>
      <c r="BM547" s="709">
        <f t="shared" si="765"/>
        <v>0.85585425723834019</v>
      </c>
      <c r="BN547" s="710">
        <f t="shared" si="765"/>
        <v>0.93484402235980046</v>
      </c>
      <c r="BO547" s="709">
        <f>AVERAGE(AU547,AV547,AW547,AX547)</f>
        <v>0.89877546597312519</v>
      </c>
      <c r="BP547" s="709" t="e">
        <f>AVERAGE(#REF!,#REF!,#REF!,#REF!)</f>
        <v>#REF!</v>
      </c>
      <c r="BQ547" s="711">
        <v>0.8</v>
      </c>
      <c r="BR547" s="711">
        <v>0.8</v>
      </c>
      <c r="BS547" s="711">
        <v>0.8</v>
      </c>
      <c r="BT547" s="27"/>
    </row>
    <row r="548" spans="1:72" s="19" customFormat="1" x14ac:dyDescent="0.35">
      <c r="A548" s="321"/>
      <c r="B548" s="400"/>
      <c r="C548" s="528"/>
      <c r="D548" s="528"/>
      <c r="E548" s="528"/>
      <c r="F548" s="528"/>
      <c r="G548" s="528"/>
      <c r="H548" s="528"/>
      <c r="I548" s="528"/>
      <c r="J548" s="528"/>
      <c r="K548" s="528"/>
      <c r="L548" s="528"/>
      <c r="M548" s="528"/>
      <c r="N548" s="528"/>
      <c r="O548" s="528"/>
      <c r="P548" s="528"/>
      <c r="Q548" s="528"/>
      <c r="R548" s="528"/>
      <c r="S548" s="528"/>
      <c r="T548" s="528"/>
      <c r="U548" s="528"/>
      <c r="V548" s="528"/>
      <c r="W548" s="528"/>
      <c r="X548" s="528"/>
      <c r="Y548" s="528"/>
      <c r="Z548" s="528"/>
      <c r="AA548" s="528"/>
      <c r="AB548" s="528"/>
      <c r="AC548" s="528"/>
      <c r="AD548" s="528"/>
      <c r="AE548" s="528"/>
      <c r="AF548" s="528"/>
      <c r="AG548" s="528"/>
      <c r="AH548" s="528"/>
      <c r="AI548" s="528"/>
      <c r="AJ548" s="528"/>
      <c r="AK548" s="528"/>
      <c r="AL548" s="528"/>
      <c r="AM548" s="528"/>
      <c r="AN548" s="528"/>
      <c r="AO548" s="528"/>
      <c r="AP548" s="528"/>
      <c r="AQ548" s="528"/>
      <c r="AR548" s="528"/>
      <c r="AS548" s="528"/>
      <c r="AT548" s="528"/>
      <c r="AU548" s="560"/>
      <c r="AV548" s="528"/>
      <c r="AW548" s="528"/>
      <c r="AX548" s="528"/>
      <c r="AY548" s="528"/>
      <c r="AZ548" s="692"/>
      <c r="BA548" s="692"/>
      <c r="BB548" s="692"/>
      <c r="BC548" s="692"/>
      <c r="BD548" s="692"/>
      <c r="BE548" s="692"/>
      <c r="BF548" s="692"/>
      <c r="BG548" s="692"/>
      <c r="BH548" s="692"/>
      <c r="BI548" s="692"/>
      <c r="BJ548" s="692"/>
      <c r="BK548" s="692"/>
      <c r="BL548" s="692"/>
      <c r="BM548" s="692"/>
      <c r="BN548" s="712"/>
      <c r="BO548" s="692"/>
      <c r="BP548" s="692"/>
      <c r="BQ548" s="692"/>
      <c r="BR548" s="692"/>
      <c r="BS548" s="692"/>
      <c r="BT548" s="27"/>
    </row>
    <row r="549" spans="1:72" s="1" customFormat="1" x14ac:dyDescent="0.35">
      <c r="A549" s="527" t="s">
        <v>192</v>
      </c>
      <c r="B549" s="527"/>
      <c r="C549" s="527"/>
      <c r="D549" s="527"/>
      <c r="E549" s="527"/>
      <c r="F549" s="527"/>
      <c r="G549" s="527"/>
      <c r="H549" s="527"/>
      <c r="I549" s="527"/>
      <c r="J549" s="527"/>
      <c r="K549" s="527"/>
      <c r="L549" s="527"/>
      <c r="M549" s="527"/>
      <c r="N549" s="527"/>
      <c r="O549" s="527"/>
      <c r="P549" s="527"/>
      <c r="Q549" s="527"/>
      <c r="R549" s="527"/>
      <c r="S549" s="527"/>
      <c r="T549" s="527"/>
      <c r="U549" s="527"/>
      <c r="V549" s="527"/>
      <c r="W549" s="527"/>
      <c r="X549" s="527"/>
      <c r="Y549" s="527"/>
      <c r="Z549" s="527"/>
      <c r="AA549" s="527"/>
      <c r="AB549" s="527"/>
      <c r="AC549" s="527"/>
      <c r="AD549" s="527"/>
      <c r="AE549" s="527"/>
      <c r="AF549" s="527"/>
      <c r="AG549" s="527"/>
      <c r="AH549" s="527"/>
      <c r="AI549" s="527"/>
      <c r="AJ549" s="527"/>
      <c r="AK549" s="527"/>
      <c r="AL549" s="527"/>
      <c r="AM549" s="527"/>
      <c r="AN549" s="527"/>
      <c r="AO549" s="527"/>
      <c r="AP549" s="527"/>
      <c r="AQ549" s="527"/>
      <c r="AR549" s="527"/>
      <c r="AS549" s="527"/>
      <c r="AT549" s="527"/>
      <c r="AU549" s="547"/>
      <c r="AV549" s="527"/>
      <c r="AW549" s="527"/>
      <c r="AX549" s="527"/>
      <c r="AY549" s="527"/>
      <c r="AZ549" s="527"/>
      <c r="BA549" s="527"/>
      <c r="BB549" s="527"/>
      <c r="BC549" s="527"/>
      <c r="BD549" s="527"/>
      <c r="BE549" s="527"/>
      <c r="BF549" s="527"/>
      <c r="BG549" s="527"/>
      <c r="BH549" s="527"/>
      <c r="BI549" s="527"/>
      <c r="BJ549" s="527"/>
      <c r="BK549" s="527"/>
      <c r="BL549" s="527"/>
      <c r="BM549" s="527"/>
      <c r="BN549" s="547"/>
      <c r="BO549" s="527"/>
      <c r="BP549" s="527"/>
      <c r="BQ549" s="527"/>
      <c r="BR549" s="527"/>
      <c r="BS549" s="527"/>
      <c r="BT549" s="530"/>
    </row>
    <row r="550" spans="1:72" s="1" customFormat="1" x14ac:dyDescent="0.35">
      <c r="A550" s="51" t="s">
        <v>193</v>
      </c>
      <c r="B550" s="307"/>
      <c r="C550" s="529"/>
      <c r="D550" s="529"/>
      <c r="E550" s="529"/>
      <c r="F550" s="529"/>
      <c r="G550" s="529"/>
      <c r="H550" s="529"/>
      <c r="I550" s="529"/>
      <c r="J550" s="529"/>
      <c r="K550" s="529"/>
      <c r="L550" s="529"/>
      <c r="M550" s="529"/>
      <c r="N550" s="529"/>
      <c r="O550" s="529"/>
      <c r="P550" s="529"/>
      <c r="Q550" s="529"/>
      <c r="R550" s="529"/>
      <c r="S550" s="529"/>
      <c r="T550" s="529"/>
      <c r="U550" s="529"/>
      <c r="V550" s="529"/>
      <c r="W550" s="529"/>
      <c r="X550" s="529"/>
      <c r="Y550" s="529"/>
      <c r="Z550" s="529"/>
      <c r="AA550" s="529"/>
      <c r="AB550" s="529"/>
      <c r="AC550" s="529"/>
      <c r="AD550" s="529"/>
      <c r="AE550" s="529"/>
      <c r="AF550" s="529"/>
      <c r="AG550" s="529"/>
      <c r="AH550" s="529"/>
      <c r="AI550" s="529"/>
      <c r="AJ550" s="529"/>
      <c r="AK550" s="529"/>
      <c r="AL550" s="529"/>
      <c r="AM550" s="529"/>
      <c r="AN550" s="529"/>
      <c r="AO550" s="529"/>
      <c r="AP550" s="529"/>
      <c r="AQ550" s="529"/>
      <c r="AR550" s="529"/>
      <c r="AS550" s="529"/>
      <c r="AT550" s="529"/>
      <c r="AU550" s="531"/>
      <c r="AV550" s="529"/>
      <c r="AW550" s="529"/>
      <c r="AX550" s="529"/>
      <c r="AY550" s="529"/>
      <c r="AZ550" s="726"/>
      <c r="BA550" s="726"/>
      <c r="BB550" s="726"/>
      <c r="BC550" s="726"/>
      <c r="BD550" s="726"/>
      <c r="BE550" s="726"/>
      <c r="BF550" s="726"/>
      <c r="BG550" s="726"/>
      <c r="BH550" s="726"/>
      <c r="BI550" s="726"/>
      <c r="BJ550" s="726"/>
      <c r="BK550" s="726"/>
      <c r="BL550" s="726"/>
      <c r="BM550" s="726"/>
      <c r="BN550" s="728"/>
      <c r="BO550" s="726"/>
      <c r="BP550" s="726"/>
      <c r="BQ550" s="726"/>
      <c r="BR550" s="726"/>
      <c r="BS550" s="726"/>
      <c r="BT550" s="530"/>
    </row>
    <row r="551" spans="1:72" s="17" customFormat="1" x14ac:dyDescent="0.35">
      <c r="A551" s="208" t="s">
        <v>194</v>
      </c>
      <c r="B551" s="308"/>
      <c r="C551" s="638">
        <v>107.938</v>
      </c>
      <c r="D551" s="638">
        <v>143.19200000000001</v>
      </c>
      <c r="E551" s="638">
        <v>156.96799999999999</v>
      </c>
      <c r="F551" s="533">
        <f t="shared" ref="F551:F556" si="766">BD551</f>
        <v>181.48</v>
      </c>
      <c r="G551" s="638">
        <v>163.47399999999999</v>
      </c>
      <c r="H551" s="638">
        <v>162.88900000000001</v>
      </c>
      <c r="I551" s="638">
        <v>185.33199999999999</v>
      </c>
      <c r="J551" s="533">
        <f t="shared" ref="J551:J556" si="767">BE551</f>
        <v>196.10900000000001</v>
      </c>
      <c r="K551" s="638">
        <v>109.196</v>
      </c>
      <c r="L551" s="638">
        <v>124.23399999999999</v>
      </c>
      <c r="M551" s="638">
        <v>142.85</v>
      </c>
      <c r="N551" s="533">
        <f t="shared" ref="N551:N556" si="768">BF551</f>
        <v>195.852</v>
      </c>
      <c r="O551" s="638">
        <v>150.864</v>
      </c>
      <c r="P551" s="638">
        <v>171.27699999999999</v>
      </c>
      <c r="Q551" s="638">
        <v>199.50800000000001</v>
      </c>
      <c r="R551" s="533">
        <f t="shared" ref="R551:R556" si="769">BG551</f>
        <v>213.989</v>
      </c>
      <c r="S551" s="638">
        <v>135.08799999999999</v>
      </c>
      <c r="T551" s="638">
        <v>182.14599999999999</v>
      </c>
      <c r="U551" s="638">
        <v>194.708</v>
      </c>
      <c r="V551" s="533">
        <f t="shared" ref="V551:V556" si="770">BH551</f>
        <v>230.864</v>
      </c>
      <c r="W551" s="638">
        <v>147.34200000000001</v>
      </c>
      <c r="X551" s="638">
        <v>189.50200000000001</v>
      </c>
      <c r="Y551" s="638">
        <v>227.90700000000001</v>
      </c>
      <c r="Z551" s="533">
        <f t="shared" ref="Z551:Z556" si="771">BI551</f>
        <v>231.113</v>
      </c>
      <c r="AA551" s="638">
        <v>143.04900000000001</v>
      </c>
      <c r="AB551" s="638">
        <v>203.27500000000001</v>
      </c>
      <c r="AC551" s="638">
        <v>234.02500000000001</v>
      </c>
      <c r="AD551" s="533">
        <f t="shared" ref="AD551:AD557" si="772">BJ551</f>
        <v>283.12099999999998</v>
      </c>
      <c r="AE551" s="638">
        <v>165.94399999999999</v>
      </c>
      <c r="AF551" s="638">
        <v>211.64099999999999</v>
      </c>
      <c r="AG551" s="638">
        <v>150.03399999999999</v>
      </c>
      <c r="AH551" s="533">
        <f t="shared" ref="AH551:AH557" si="773">BK551</f>
        <v>212.29900000000001</v>
      </c>
      <c r="AI551" s="638">
        <v>308.78399999999999</v>
      </c>
      <c r="AJ551" s="638">
        <v>258.10700000000003</v>
      </c>
      <c r="AK551" s="638">
        <v>329.03100000000001</v>
      </c>
      <c r="AL551" s="533">
        <f t="shared" ref="AL551:AL557" si="774">BL551</f>
        <v>386.08</v>
      </c>
      <c r="AM551" s="638">
        <v>218.51900000000001</v>
      </c>
      <c r="AN551" s="638">
        <v>256.98599999999999</v>
      </c>
      <c r="AO551" s="638">
        <v>308.56400000000002</v>
      </c>
      <c r="AP551" s="533">
        <f t="shared" ref="AP551:AP557" si="775">BM551</f>
        <v>389.39800000000002</v>
      </c>
      <c r="AQ551" s="638">
        <v>194.524</v>
      </c>
      <c r="AR551" s="638">
        <v>318.279</v>
      </c>
      <c r="AS551" s="638">
        <v>373.678</v>
      </c>
      <c r="AT551" s="533">
        <f t="shared" ref="AT551:AT557" si="776">BN551</f>
        <v>410.80700000000002</v>
      </c>
      <c r="AU551" s="643">
        <v>254.626</v>
      </c>
      <c r="AV551" s="532">
        <f ca="1">AU551+AV502</f>
        <v>428.60242402342146</v>
      </c>
      <c r="AW551" s="532">
        <f ca="1">AV551+AW502</f>
        <v>512.58276416856916</v>
      </c>
      <c r="AX551" s="532">
        <f ca="1">AW551+AX502</f>
        <v>601.40412634458812</v>
      </c>
      <c r="AY551" s="532"/>
      <c r="AZ551" s="729">
        <v>49.460999999999999</v>
      </c>
      <c r="BA551" s="729">
        <v>81.751000000000005</v>
      </c>
      <c r="BB551" s="729">
        <v>193.09899999999999</v>
      </c>
      <c r="BC551" s="729">
        <v>144.65199999999999</v>
      </c>
      <c r="BD551" s="729">
        <v>181.48</v>
      </c>
      <c r="BE551" s="729">
        <v>196.10900000000001</v>
      </c>
      <c r="BF551" s="729">
        <v>195.852</v>
      </c>
      <c r="BG551" s="729">
        <v>213.989</v>
      </c>
      <c r="BH551" s="729">
        <v>230.864</v>
      </c>
      <c r="BI551" s="729">
        <v>231.113</v>
      </c>
      <c r="BJ551" s="729">
        <v>283.12099999999998</v>
      </c>
      <c r="BK551" s="729">
        <v>212.29900000000001</v>
      </c>
      <c r="BL551" s="729">
        <v>386.08</v>
      </c>
      <c r="BM551" s="729">
        <v>389.39800000000002</v>
      </c>
      <c r="BN551" s="748">
        <v>410.80700000000002</v>
      </c>
      <c r="BO551" s="156">
        <f t="shared" ref="BO551:BO557" ca="1" si="777">AX551</f>
        <v>601.40412634458812</v>
      </c>
      <c r="BP551" s="156" t="e">
        <f>#REF!</f>
        <v>#REF!</v>
      </c>
      <c r="BQ551" s="156" t="e">
        <f>BP551+BQ502</f>
        <v>#REF!</v>
      </c>
      <c r="BR551" s="156" t="e">
        <f ca="1">BQ551+BR502</f>
        <v>#REF!</v>
      </c>
      <c r="BS551" s="156" t="e">
        <f ca="1">BR551+BS502</f>
        <v>#REF!</v>
      </c>
      <c r="BT551" s="533"/>
    </row>
    <row r="552" spans="1:72" s="17" customFormat="1" x14ac:dyDescent="0.35">
      <c r="A552" s="208" t="s">
        <v>126</v>
      </c>
      <c r="B552" s="308"/>
      <c r="C552" s="638">
        <v>258.83199999999999</v>
      </c>
      <c r="D552" s="638">
        <v>223.31200000000001</v>
      </c>
      <c r="E552" s="638">
        <v>234.55</v>
      </c>
      <c r="F552" s="533">
        <f t="shared" si="766"/>
        <v>186.459</v>
      </c>
      <c r="G552" s="638">
        <v>271.80799999999999</v>
      </c>
      <c r="H552" s="638">
        <v>254.35</v>
      </c>
      <c r="I552" s="638">
        <v>236.44499999999999</v>
      </c>
      <c r="J552" s="533">
        <f t="shared" si="767"/>
        <v>194.67599999999999</v>
      </c>
      <c r="K552" s="638">
        <v>285.03800000000001</v>
      </c>
      <c r="L552" s="638">
        <v>266.76</v>
      </c>
      <c r="M552" s="638">
        <v>275.79500000000002</v>
      </c>
      <c r="N552" s="533">
        <f t="shared" si="768"/>
        <v>188.24600000000001</v>
      </c>
      <c r="O552" s="638">
        <v>260.755</v>
      </c>
      <c r="P552" s="638">
        <v>229.589</v>
      </c>
      <c r="Q552" s="638">
        <v>222.88399999999999</v>
      </c>
      <c r="R552" s="533">
        <f t="shared" si="769"/>
        <v>169.554</v>
      </c>
      <c r="S552" s="638">
        <v>264.19099999999997</v>
      </c>
      <c r="T552" s="638">
        <v>218.74299999999999</v>
      </c>
      <c r="U552" s="638">
        <v>225.78399999999999</v>
      </c>
      <c r="V552" s="533">
        <f t="shared" si="770"/>
        <v>192.20500000000001</v>
      </c>
      <c r="W552" s="638">
        <v>282.78500000000003</v>
      </c>
      <c r="X552" s="638">
        <v>244.124</v>
      </c>
      <c r="Y552" s="638">
        <v>207.99799999999999</v>
      </c>
      <c r="Z552" s="533">
        <f t="shared" si="771"/>
        <v>176.31899999999999</v>
      </c>
      <c r="AA552" s="638">
        <v>283.80599999999998</v>
      </c>
      <c r="AB552" s="638">
        <v>239.702</v>
      </c>
      <c r="AC552" s="638">
        <v>238.614</v>
      </c>
      <c r="AD552" s="533">
        <f t="shared" si="772"/>
        <v>191.63900000000001</v>
      </c>
      <c r="AE552" s="638">
        <v>267.69</v>
      </c>
      <c r="AF552" s="638">
        <v>251.624</v>
      </c>
      <c r="AG552" s="638">
        <v>284.32600000000002</v>
      </c>
      <c r="AH552" s="533">
        <f t="shared" si="773"/>
        <v>236.13399999999999</v>
      </c>
      <c r="AI552" s="638">
        <v>419.61500000000001</v>
      </c>
      <c r="AJ552" s="638">
        <v>435.25400000000002</v>
      </c>
      <c r="AK552" s="638">
        <v>422.786</v>
      </c>
      <c r="AL552" s="533">
        <f t="shared" si="774"/>
        <v>369.303</v>
      </c>
      <c r="AM552" s="638">
        <v>519.39300000000003</v>
      </c>
      <c r="AN552" s="638">
        <v>430.43599999999998</v>
      </c>
      <c r="AO552" s="638">
        <v>422.61500000000001</v>
      </c>
      <c r="AP552" s="533">
        <f t="shared" si="775"/>
        <v>418.55799999999999</v>
      </c>
      <c r="AQ552" s="638">
        <v>543.70500000000004</v>
      </c>
      <c r="AR552" s="638">
        <v>442.166</v>
      </c>
      <c r="AS552" s="638">
        <v>474.66300000000001</v>
      </c>
      <c r="AT552" s="533">
        <f t="shared" si="776"/>
        <v>463.72199999999998</v>
      </c>
      <c r="AU552" s="643">
        <v>629.6</v>
      </c>
      <c r="AV552" s="532">
        <f t="shared" ref="AV552:AX553" si="778">(AV$190+AU$190+AT$190+AS$190)*AV513</f>
        <v>485.55013468427097</v>
      </c>
      <c r="AW552" s="532">
        <f t="shared" si="778"/>
        <v>515.82525013148972</v>
      </c>
      <c r="AX552" s="532">
        <f t="shared" si="778"/>
        <v>504.24032510301998</v>
      </c>
      <c r="AY552" s="532"/>
      <c r="AZ552" s="729">
        <v>53.031999999999996</v>
      </c>
      <c r="BA552" s="729">
        <v>71.183999999999997</v>
      </c>
      <c r="BB552" s="729">
        <v>96.234999999999999</v>
      </c>
      <c r="BC552" s="729">
        <v>160.922</v>
      </c>
      <c r="BD552" s="729">
        <v>186.459</v>
      </c>
      <c r="BE552" s="729">
        <v>194.67599999999999</v>
      </c>
      <c r="BF552" s="729">
        <v>188.24600000000001</v>
      </c>
      <c r="BG552" s="729">
        <v>169.554</v>
      </c>
      <c r="BH552" s="729">
        <v>192.20500000000001</v>
      </c>
      <c r="BI552" s="729">
        <v>176.31899999999999</v>
      </c>
      <c r="BJ552" s="729">
        <v>191.63900000000001</v>
      </c>
      <c r="BK552" s="729">
        <v>236.13399999999999</v>
      </c>
      <c r="BL552" s="729">
        <v>369.303</v>
      </c>
      <c r="BM552" s="729">
        <v>418.55799999999999</v>
      </c>
      <c r="BN552" s="748">
        <v>463.72199999999998</v>
      </c>
      <c r="BO552" s="156">
        <f t="shared" si="777"/>
        <v>504.24032510301998</v>
      </c>
      <c r="BP552" s="156" t="e">
        <f>#REF!</f>
        <v>#REF!</v>
      </c>
      <c r="BQ552" s="156" t="e">
        <f t="shared" ref="BQ552:BS553" si="779">BQ$190*BQ513</f>
        <v>#REF!</v>
      </c>
      <c r="BR552" s="156" t="e">
        <f t="shared" si="779"/>
        <v>#REF!</v>
      </c>
      <c r="BS552" s="156" t="e">
        <f t="shared" si="779"/>
        <v>#REF!</v>
      </c>
      <c r="BT552" s="533"/>
    </row>
    <row r="553" spans="1:72" s="17" customFormat="1" x14ac:dyDescent="0.35">
      <c r="A553" s="208" t="s">
        <v>195</v>
      </c>
      <c r="B553" s="308"/>
      <c r="C553" s="638">
        <v>28.113</v>
      </c>
      <c r="D553" s="638">
        <v>29.47</v>
      </c>
      <c r="E553" s="638">
        <v>29.344000000000001</v>
      </c>
      <c r="F553" s="533">
        <f t="shared" si="766"/>
        <v>44.395000000000003</v>
      </c>
      <c r="G553" s="638">
        <v>28.013000000000002</v>
      </c>
      <c r="H553" s="638">
        <v>23.363</v>
      </c>
      <c r="I553" s="638">
        <v>21.294</v>
      </c>
      <c r="J553" s="533">
        <f t="shared" si="767"/>
        <v>33.83</v>
      </c>
      <c r="K553" s="638">
        <v>17.966999999999999</v>
      </c>
      <c r="L553" s="638">
        <v>19.515000000000001</v>
      </c>
      <c r="M553" s="638">
        <v>17.757000000000001</v>
      </c>
      <c r="N553" s="533">
        <f t="shared" si="768"/>
        <v>29.571000000000002</v>
      </c>
      <c r="O553" s="638">
        <v>16.713999999999999</v>
      </c>
      <c r="P553" s="638">
        <v>17.858000000000001</v>
      </c>
      <c r="Q553" s="638">
        <v>16.146000000000001</v>
      </c>
      <c r="R553" s="533">
        <f t="shared" si="769"/>
        <v>30.631</v>
      </c>
      <c r="S553" s="638">
        <v>16.327999999999999</v>
      </c>
      <c r="T553" s="638">
        <v>17.408999999999999</v>
      </c>
      <c r="U553" s="638">
        <v>18.789000000000001</v>
      </c>
      <c r="V553" s="533">
        <f t="shared" si="770"/>
        <v>30.503</v>
      </c>
      <c r="W553" s="638">
        <v>18.588000000000001</v>
      </c>
      <c r="X553" s="638">
        <v>18.388000000000002</v>
      </c>
      <c r="Y553" s="638">
        <v>18.050999999999998</v>
      </c>
      <c r="Z553" s="533">
        <f t="shared" si="771"/>
        <v>31.134</v>
      </c>
      <c r="AA553" s="638">
        <v>18.116</v>
      </c>
      <c r="AB553" s="638">
        <v>17.068000000000001</v>
      </c>
      <c r="AC553" s="638">
        <v>17.195</v>
      </c>
      <c r="AD553" s="533">
        <f t="shared" si="772"/>
        <v>29.946000000000002</v>
      </c>
      <c r="AE553" s="638">
        <v>20.515999999999998</v>
      </c>
      <c r="AF553" s="638">
        <v>20.071000000000002</v>
      </c>
      <c r="AG553" s="638">
        <v>19.579000000000001</v>
      </c>
      <c r="AH553" s="533">
        <f t="shared" si="773"/>
        <v>28.3</v>
      </c>
      <c r="AI553" s="638">
        <v>24.009</v>
      </c>
      <c r="AJ553" s="638">
        <v>28.618000000000002</v>
      </c>
      <c r="AK553" s="638">
        <v>28.814</v>
      </c>
      <c r="AL553" s="533">
        <f t="shared" si="774"/>
        <v>39.69</v>
      </c>
      <c r="AM553" s="638">
        <v>24.873000000000001</v>
      </c>
      <c r="AN553" s="638">
        <v>23.940999999999999</v>
      </c>
      <c r="AO553" s="638">
        <v>23.986000000000001</v>
      </c>
      <c r="AP553" s="533">
        <f t="shared" si="775"/>
        <v>36.003</v>
      </c>
      <c r="AQ553" s="638">
        <v>27.919</v>
      </c>
      <c r="AR553" s="638">
        <v>23.96</v>
      </c>
      <c r="AS553" s="638">
        <v>22.884</v>
      </c>
      <c r="AT553" s="533">
        <f t="shared" si="776"/>
        <v>36.716000000000001</v>
      </c>
      <c r="AU553" s="643">
        <v>21.751999999999999</v>
      </c>
      <c r="AV553" s="532">
        <f t="shared" si="778"/>
        <v>26.310890541188453</v>
      </c>
      <c r="AW553" s="532">
        <f t="shared" si="778"/>
        <v>24.868475158183831</v>
      </c>
      <c r="AX553" s="532">
        <f t="shared" si="778"/>
        <v>39.924109221651079</v>
      </c>
      <c r="AY553" s="532"/>
      <c r="AZ553" s="729">
        <v>32.052</v>
      </c>
      <c r="BA553" s="729">
        <v>26.193000000000001</v>
      </c>
      <c r="BB553" s="729">
        <v>30.553999999999998</v>
      </c>
      <c r="BC553" s="729">
        <v>37.853000000000002</v>
      </c>
      <c r="BD553" s="729">
        <v>44.395000000000003</v>
      </c>
      <c r="BE553" s="729">
        <v>33.83</v>
      </c>
      <c r="BF553" s="729">
        <v>29.571000000000002</v>
      </c>
      <c r="BG553" s="729">
        <v>30.631</v>
      </c>
      <c r="BH553" s="729">
        <v>30.503</v>
      </c>
      <c r="BI553" s="729">
        <v>31.134</v>
      </c>
      <c r="BJ553" s="729">
        <v>29.946000000000002</v>
      </c>
      <c r="BK553" s="729">
        <v>28.3</v>
      </c>
      <c r="BL553" s="729">
        <v>39.69</v>
      </c>
      <c r="BM553" s="729">
        <v>36.003</v>
      </c>
      <c r="BN553" s="748">
        <v>36.716000000000001</v>
      </c>
      <c r="BO553" s="156">
        <f t="shared" si="777"/>
        <v>39.924109221651079</v>
      </c>
      <c r="BP553" s="156" t="e">
        <f>#REF!</f>
        <v>#REF!</v>
      </c>
      <c r="BQ553" s="156" t="e">
        <f t="shared" si="779"/>
        <v>#REF!</v>
      </c>
      <c r="BR553" s="156" t="e">
        <f t="shared" si="779"/>
        <v>#REF!</v>
      </c>
      <c r="BS553" s="156" t="e">
        <f t="shared" si="779"/>
        <v>#REF!</v>
      </c>
      <c r="BT553" s="533"/>
    </row>
    <row r="554" spans="1:72" s="17" customFormat="1" x14ac:dyDescent="0.35">
      <c r="A554" s="208" t="s">
        <v>196</v>
      </c>
      <c r="B554" s="308"/>
      <c r="C554" s="638">
        <v>14.673</v>
      </c>
      <c r="D554" s="638">
        <v>12.363</v>
      </c>
      <c r="E554" s="638">
        <v>9.7989999999999995</v>
      </c>
      <c r="F554" s="533">
        <f t="shared" si="766"/>
        <v>11.368</v>
      </c>
      <c r="G554" s="638">
        <v>21.478000000000002</v>
      </c>
      <c r="H554" s="638">
        <v>18.571000000000002</v>
      </c>
      <c r="I554" s="638">
        <v>6.165</v>
      </c>
      <c r="J554" s="533">
        <f t="shared" si="767"/>
        <v>7.7320000000000002</v>
      </c>
      <c r="K554" s="638">
        <v>2.2309999999999999</v>
      </c>
      <c r="L554" s="638">
        <v>3.9689999999999999</v>
      </c>
      <c r="M554" s="638">
        <v>4.6769999999999996</v>
      </c>
      <c r="N554" s="533">
        <f t="shared" si="768"/>
        <v>8.9890000000000008</v>
      </c>
      <c r="O554" s="638">
        <v>3.0049999999999999</v>
      </c>
      <c r="P554" s="638">
        <v>4.6609999999999996</v>
      </c>
      <c r="Q554" s="638">
        <v>8.4060000000000006</v>
      </c>
      <c r="R554" s="533">
        <f t="shared" si="769"/>
        <v>0</v>
      </c>
      <c r="S554" s="532"/>
      <c r="T554" s="532"/>
      <c r="U554" s="532"/>
      <c r="V554" s="533">
        <f t="shared" si="770"/>
        <v>0</v>
      </c>
      <c r="W554" s="532"/>
      <c r="X554" s="532"/>
      <c r="Y554" s="532"/>
      <c r="Z554" s="533">
        <f t="shared" si="771"/>
        <v>0</v>
      </c>
      <c r="AA554" s="532"/>
      <c r="AB554" s="532"/>
      <c r="AC554" s="532"/>
      <c r="AD554" s="533">
        <f t="shared" si="772"/>
        <v>0</v>
      </c>
      <c r="AE554" s="532"/>
      <c r="AF554" s="532"/>
      <c r="AG554" s="532"/>
      <c r="AH554" s="533">
        <f t="shared" si="773"/>
        <v>0</v>
      </c>
      <c r="AI554" s="532"/>
      <c r="AJ554" s="532"/>
      <c r="AK554" s="532"/>
      <c r="AL554" s="533">
        <f t="shared" si="774"/>
        <v>0</v>
      </c>
      <c r="AM554" s="532"/>
      <c r="AN554" s="532"/>
      <c r="AO554" s="532"/>
      <c r="AP554" s="533">
        <f t="shared" si="775"/>
        <v>0</v>
      </c>
      <c r="AQ554" s="532"/>
      <c r="AR554" s="532"/>
      <c r="AS554" s="532"/>
      <c r="AT554" s="533">
        <f t="shared" si="776"/>
        <v>0</v>
      </c>
      <c r="AU554" s="534"/>
      <c r="AV554" s="532">
        <f t="shared" ref="AV554:AX557" si="780">AU554</f>
        <v>0</v>
      </c>
      <c r="AW554" s="532">
        <f t="shared" si="780"/>
        <v>0</v>
      </c>
      <c r="AX554" s="532">
        <f t="shared" si="780"/>
        <v>0</v>
      </c>
      <c r="AY554" s="532"/>
      <c r="AZ554" s="729">
        <v>3.8879999999999999</v>
      </c>
      <c r="BA554" s="729">
        <v>4.6719999999999997</v>
      </c>
      <c r="BB554" s="729">
        <v>7.1749999999999998</v>
      </c>
      <c r="BC554" s="729">
        <v>16.14</v>
      </c>
      <c r="BD554" s="729">
        <v>11.368</v>
      </c>
      <c r="BE554" s="729">
        <v>7.7320000000000002</v>
      </c>
      <c r="BF554" s="729">
        <v>8.9890000000000008</v>
      </c>
      <c r="BG554" s="156"/>
      <c r="BH554" s="156"/>
      <c r="BI554" s="156"/>
      <c r="BJ554" s="156"/>
      <c r="BK554" s="156"/>
      <c r="BL554" s="156"/>
      <c r="BM554" s="156"/>
      <c r="BN554" s="730"/>
      <c r="BO554" s="156">
        <f t="shared" si="777"/>
        <v>0</v>
      </c>
      <c r="BP554" s="156" t="e">
        <f>#REF!</f>
        <v>#REF!</v>
      </c>
      <c r="BQ554" s="156" t="e">
        <f t="shared" ref="BQ554:BS557" si="781">BP554</f>
        <v>#REF!</v>
      </c>
      <c r="BR554" s="156" t="e">
        <f t="shared" si="781"/>
        <v>#REF!</v>
      </c>
      <c r="BS554" s="156" t="e">
        <f t="shared" si="781"/>
        <v>#REF!</v>
      </c>
      <c r="BT554" s="533"/>
    </row>
    <row r="555" spans="1:72" s="17" customFormat="1" x14ac:dyDescent="0.35">
      <c r="A555" s="208" t="s">
        <v>128</v>
      </c>
      <c r="B555" s="308"/>
      <c r="C555" s="638">
        <v>14.621</v>
      </c>
      <c r="D555" s="638">
        <v>19.832999999999998</v>
      </c>
      <c r="E555" s="638">
        <v>21.085999999999999</v>
      </c>
      <c r="F555" s="533">
        <f t="shared" si="766"/>
        <v>10.331</v>
      </c>
      <c r="G555" s="638">
        <v>11.206</v>
      </c>
      <c r="H555" s="638">
        <v>9.09</v>
      </c>
      <c r="I555" s="638">
        <v>10.396000000000001</v>
      </c>
      <c r="J555" s="533">
        <f t="shared" si="767"/>
        <v>7.3559999999999999</v>
      </c>
      <c r="K555" s="638">
        <v>22.908999999999999</v>
      </c>
      <c r="L555" s="638">
        <v>11.61</v>
      </c>
      <c r="M555" s="638">
        <v>11.58</v>
      </c>
      <c r="N555" s="533">
        <f t="shared" si="768"/>
        <v>11.428000000000001</v>
      </c>
      <c r="O555" s="638">
        <v>29.457999999999998</v>
      </c>
      <c r="P555" s="638">
        <v>21.239000000000001</v>
      </c>
      <c r="Q555" s="638">
        <v>16.837</v>
      </c>
      <c r="R555" s="533">
        <f t="shared" si="769"/>
        <v>9.6340000000000003</v>
      </c>
      <c r="S555" s="638">
        <v>31.535</v>
      </c>
      <c r="T555" s="638">
        <v>18.11</v>
      </c>
      <c r="U555" s="638">
        <v>15.448</v>
      </c>
      <c r="V555" s="533">
        <f t="shared" si="770"/>
        <v>8.0060000000000002</v>
      </c>
      <c r="W555" s="638">
        <v>33.826000000000001</v>
      </c>
      <c r="X555" s="638">
        <v>21.988</v>
      </c>
      <c r="Y555" s="638">
        <v>14.422000000000001</v>
      </c>
      <c r="Z555" s="533">
        <f t="shared" si="771"/>
        <v>10.278</v>
      </c>
      <c r="AA555" s="638">
        <v>25.204999999999998</v>
      </c>
      <c r="AB555" s="638">
        <v>19.12</v>
      </c>
      <c r="AC555" s="638">
        <v>17.957999999999998</v>
      </c>
      <c r="AD555" s="533">
        <f t="shared" si="772"/>
        <v>12.643000000000001</v>
      </c>
      <c r="AE555" s="638">
        <v>29.870999999999999</v>
      </c>
      <c r="AF555" s="638">
        <v>16.669</v>
      </c>
      <c r="AG555" s="638">
        <v>18.945</v>
      </c>
      <c r="AH555" s="533">
        <f t="shared" si="773"/>
        <v>13.058</v>
      </c>
      <c r="AI555" s="638">
        <v>33.338000000000001</v>
      </c>
      <c r="AJ555" s="638">
        <v>21.525000000000002</v>
      </c>
      <c r="AK555" s="638">
        <v>26.655999999999999</v>
      </c>
      <c r="AL555" s="533">
        <f t="shared" si="774"/>
        <v>19.452999999999999</v>
      </c>
      <c r="AM555" s="638">
        <v>38.357999999999997</v>
      </c>
      <c r="AN555" s="638">
        <v>29.24</v>
      </c>
      <c r="AO555" s="638">
        <v>35.860999999999997</v>
      </c>
      <c r="AP555" s="533">
        <f t="shared" si="775"/>
        <v>25.974</v>
      </c>
      <c r="AQ555" s="638">
        <v>71.149000000000001</v>
      </c>
      <c r="AR555" s="638">
        <v>43.822000000000003</v>
      </c>
      <c r="AS555" s="638">
        <v>39.012</v>
      </c>
      <c r="AT555" s="533">
        <f t="shared" si="776"/>
        <v>24.817</v>
      </c>
      <c r="AU555" s="643">
        <v>50.35</v>
      </c>
      <c r="AV555" s="532">
        <f t="shared" si="780"/>
        <v>50.35</v>
      </c>
      <c r="AW555" s="532">
        <f t="shared" si="780"/>
        <v>50.35</v>
      </c>
      <c r="AX555" s="532">
        <f t="shared" si="780"/>
        <v>50.35</v>
      </c>
      <c r="AY555" s="532"/>
      <c r="AZ555" s="729">
        <v>9.1769999999999996</v>
      </c>
      <c r="BA555" s="729">
        <v>8.8490000000000002</v>
      </c>
      <c r="BB555" s="729">
        <v>10.423999999999999</v>
      </c>
      <c r="BC555" s="729">
        <v>11.173</v>
      </c>
      <c r="BD555" s="729">
        <v>10.331</v>
      </c>
      <c r="BE555" s="729">
        <v>7.3559999999999999</v>
      </c>
      <c r="BF555" s="729">
        <v>11.428000000000001</v>
      </c>
      <c r="BG555" s="729">
        <v>9.6340000000000003</v>
      </c>
      <c r="BH555" s="729">
        <v>8.0060000000000002</v>
      </c>
      <c r="BI555" s="729">
        <v>10.278</v>
      </c>
      <c r="BJ555" s="729">
        <v>12.643000000000001</v>
      </c>
      <c r="BK555" s="729">
        <v>13.058</v>
      </c>
      <c r="BL555" s="729">
        <v>19.452999999999999</v>
      </c>
      <c r="BM555" s="729">
        <v>25.974</v>
      </c>
      <c r="BN555" s="748">
        <v>24.817</v>
      </c>
      <c r="BO555" s="156">
        <f t="shared" si="777"/>
        <v>50.35</v>
      </c>
      <c r="BP555" s="156" t="e">
        <f>#REF!</f>
        <v>#REF!</v>
      </c>
      <c r="BQ555" s="156" t="e">
        <f t="shared" si="781"/>
        <v>#REF!</v>
      </c>
      <c r="BR555" s="156" t="e">
        <f t="shared" si="781"/>
        <v>#REF!</v>
      </c>
      <c r="BS555" s="156" t="e">
        <f t="shared" si="781"/>
        <v>#REF!</v>
      </c>
      <c r="BT555" s="533"/>
    </row>
    <row r="556" spans="1:72" s="17" customFormat="1" x14ac:dyDescent="0.35">
      <c r="A556" s="208" t="s">
        <v>129</v>
      </c>
      <c r="B556" s="308"/>
      <c r="C556" s="638">
        <v>20.440000000000001</v>
      </c>
      <c r="D556" s="638">
        <v>16</v>
      </c>
      <c r="E556" s="638">
        <v>13.606</v>
      </c>
      <c r="F556" s="533">
        <f t="shared" si="766"/>
        <v>23.916</v>
      </c>
      <c r="G556" s="638">
        <v>32.384999999999998</v>
      </c>
      <c r="H556" s="638">
        <v>27.367999999999999</v>
      </c>
      <c r="I556" s="638">
        <v>27.823</v>
      </c>
      <c r="J556" s="533">
        <f t="shared" si="767"/>
        <v>25.498000000000001</v>
      </c>
      <c r="K556" s="638">
        <v>31.603000000000002</v>
      </c>
      <c r="L556" s="638">
        <v>29.056000000000001</v>
      </c>
      <c r="M556" s="638">
        <v>29.216999999999999</v>
      </c>
      <c r="N556" s="533">
        <f t="shared" si="768"/>
        <v>24.876999999999999</v>
      </c>
      <c r="O556" s="638">
        <v>27.538</v>
      </c>
      <c r="P556" s="638">
        <v>25.105</v>
      </c>
      <c r="Q556" s="638">
        <v>24.797000000000001</v>
      </c>
      <c r="R556" s="533">
        <f t="shared" si="769"/>
        <v>22.047000000000001</v>
      </c>
      <c r="S556" s="638">
        <v>25.123999999999999</v>
      </c>
      <c r="T556" s="638">
        <v>23.376999999999999</v>
      </c>
      <c r="U556" s="638">
        <v>24.827999999999999</v>
      </c>
      <c r="V556" s="533">
        <f t="shared" si="770"/>
        <v>12.004</v>
      </c>
      <c r="W556" s="638">
        <v>15.678000000000001</v>
      </c>
      <c r="X556" s="638">
        <v>14.753</v>
      </c>
      <c r="Y556" s="638">
        <v>13.766999999999999</v>
      </c>
      <c r="Z556" s="533">
        <f t="shared" si="771"/>
        <v>10.388</v>
      </c>
      <c r="AA556" s="638">
        <v>15.028</v>
      </c>
      <c r="AB556" s="638">
        <v>14.446999999999999</v>
      </c>
      <c r="AC556" s="638">
        <v>14.180999999999999</v>
      </c>
      <c r="AD556" s="533">
        <f t="shared" si="772"/>
        <v>11.807</v>
      </c>
      <c r="AE556" s="533">
        <f>14.289-AE557</f>
        <v>13.789</v>
      </c>
      <c r="AF556" s="533">
        <f>13.689-AF557</f>
        <v>13.189</v>
      </c>
      <c r="AG556" s="533">
        <f>13.814-AG557</f>
        <v>13.314</v>
      </c>
      <c r="AH556" s="533">
        <f t="shared" si="773"/>
        <v>10.98</v>
      </c>
      <c r="AI556" s="533">
        <f>19.745-AI557</f>
        <v>19.245000000000001</v>
      </c>
      <c r="AJ556" s="533">
        <f>24.973-AJ557</f>
        <v>24.401999999999997</v>
      </c>
      <c r="AK556" s="533">
        <f>22.918-AK557</f>
        <v>22.416</v>
      </c>
      <c r="AL556" s="533">
        <f t="shared" si="774"/>
        <v>42.501999999999995</v>
      </c>
      <c r="AM556" s="533">
        <f>56.436-AM557</f>
        <v>55.930999999999997</v>
      </c>
      <c r="AN556" s="533">
        <f>75.528-AN557</f>
        <v>75.02300000000001</v>
      </c>
      <c r="AO556" s="533">
        <f>80.553-AO557</f>
        <v>80.552999999999997</v>
      </c>
      <c r="AP556" s="533">
        <f t="shared" si="775"/>
        <v>80.600999999999999</v>
      </c>
      <c r="AQ556" s="638">
        <v>93.84</v>
      </c>
      <c r="AR556" s="638">
        <v>100.58799999999999</v>
      </c>
      <c r="AS556" s="638">
        <v>96.569000000000003</v>
      </c>
      <c r="AT556" s="533">
        <f t="shared" si="776"/>
        <v>129.137</v>
      </c>
      <c r="AU556" s="643">
        <v>123.94799999999999</v>
      </c>
      <c r="AV556" s="532">
        <f t="shared" si="780"/>
        <v>123.94799999999999</v>
      </c>
      <c r="AW556" s="532">
        <f t="shared" si="780"/>
        <v>123.94799999999999</v>
      </c>
      <c r="AX556" s="532">
        <f t="shared" si="780"/>
        <v>123.94799999999999</v>
      </c>
      <c r="AY556" s="532"/>
      <c r="AZ556" s="729">
        <v>2.0870000000000002</v>
      </c>
      <c r="BA556" s="729">
        <v>7.2859999999999996</v>
      </c>
      <c r="BB556" s="729">
        <v>9.1110000000000007</v>
      </c>
      <c r="BC556" s="729">
        <v>14.598000000000001</v>
      </c>
      <c r="BD556" s="729">
        <v>23.916</v>
      </c>
      <c r="BE556" s="729">
        <v>25.498000000000001</v>
      </c>
      <c r="BF556" s="729">
        <v>24.876999999999999</v>
      </c>
      <c r="BG556" s="729">
        <v>22.047000000000001</v>
      </c>
      <c r="BH556" s="729">
        <v>12.004</v>
      </c>
      <c r="BI556" s="729">
        <v>10.388</v>
      </c>
      <c r="BJ556" s="755">
        <f>12.307-BJ557</f>
        <v>11.807</v>
      </c>
      <c r="BK556" s="755">
        <f>11.48-BK557</f>
        <v>10.98</v>
      </c>
      <c r="BL556" s="755">
        <f>43.004-BL557</f>
        <v>42.501999999999995</v>
      </c>
      <c r="BM556" s="729">
        <v>80.600999999999999</v>
      </c>
      <c r="BN556" s="748">
        <v>129.137</v>
      </c>
      <c r="BO556" s="156">
        <f t="shared" si="777"/>
        <v>123.94799999999999</v>
      </c>
      <c r="BP556" s="156" t="e">
        <f>#REF!</f>
        <v>#REF!</v>
      </c>
      <c r="BQ556" s="156" t="e">
        <f t="shared" si="781"/>
        <v>#REF!</v>
      </c>
      <c r="BR556" s="156" t="e">
        <f t="shared" si="781"/>
        <v>#REF!</v>
      </c>
      <c r="BS556" s="156" t="e">
        <f t="shared" si="781"/>
        <v>#REF!</v>
      </c>
      <c r="BT556" s="533"/>
    </row>
    <row r="557" spans="1:72" s="17" customFormat="1" x14ac:dyDescent="0.35">
      <c r="A557" s="267" t="s">
        <v>135</v>
      </c>
      <c r="B557" s="362"/>
      <c r="C557" s="535"/>
      <c r="D557" s="535"/>
      <c r="E557" s="535"/>
      <c r="F557" s="535"/>
      <c r="G557" s="535"/>
      <c r="H557" s="535"/>
      <c r="I557" s="535"/>
      <c r="J557" s="535"/>
      <c r="K557" s="535"/>
      <c r="L557" s="535"/>
      <c r="M557" s="535"/>
      <c r="N557" s="535"/>
      <c r="O557" s="535"/>
      <c r="P557" s="535"/>
      <c r="Q557" s="535"/>
      <c r="R557" s="535"/>
      <c r="S557" s="535"/>
      <c r="T557" s="535"/>
      <c r="U557" s="535"/>
      <c r="V557" s="535"/>
      <c r="W557" s="535"/>
      <c r="X557" s="535"/>
      <c r="Y557" s="535"/>
      <c r="Z557" s="535"/>
      <c r="AA557" s="535"/>
      <c r="AB557" s="535"/>
      <c r="AC557" s="535"/>
      <c r="AD557" s="571">
        <f t="shared" si="772"/>
        <v>0.5</v>
      </c>
      <c r="AE557" s="639">
        <v>0.5</v>
      </c>
      <c r="AF557" s="638">
        <v>0.5</v>
      </c>
      <c r="AG557" s="639">
        <v>0.5</v>
      </c>
      <c r="AH557" s="571">
        <f t="shared" si="773"/>
        <v>0.5</v>
      </c>
      <c r="AI557" s="639">
        <v>0.5</v>
      </c>
      <c r="AJ557" s="638">
        <v>0.57099999999999995</v>
      </c>
      <c r="AK557" s="639">
        <v>0.502</v>
      </c>
      <c r="AL557" s="571">
        <f t="shared" si="774"/>
        <v>0.502</v>
      </c>
      <c r="AM557" s="639">
        <v>0.505</v>
      </c>
      <c r="AN557" s="638">
        <v>0.505</v>
      </c>
      <c r="AO557" s="535"/>
      <c r="AP557" s="571">
        <f t="shared" si="775"/>
        <v>0</v>
      </c>
      <c r="AQ557" s="535"/>
      <c r="AR557" s="532"/>
      <c r="AS557" s="535"/>
      <c r="AT557" s="571">
        <f t="shared" si="776"/>
        <v>0</v>
      </c>
      <c r="AU557" s="536"/>
      <c r="AV557" s="535">
        <f t="shared" si="780"/>
        <v>0</v>
      </c>
      <c r="AW557" s="535">
        <f t="shared" si="780"/>
        <v>0</v>
      </c>
      <c r="AX557" s="535">
        <f t="shared" si="780"/>
        <v>0</v>
      </c>
      <c r="AY557" s="535"/>
      <c r="AZ557" s="732">
        <v>2.5</v>
      </c>
      <c r="BA557" s="732">
        <v>3.343</v>
      </c>
      <c r="BB557" s="732">
        <v>1.5009999999999999</v>
      </c>
      <c r="BC557" s="732">
        <v>1.5009999999999999</v>
      </c>
      <c r="BD557" s="731"/>
      <c r="BE557" s="731"/>
      <c r="BF557" s="731"/>
      <c r="BG557" s="731"/>
      <c r="BH557" s="731"/>
      <c r="BI557" s="731"/>
      <c r="BJ557" s="732">
        <v>0.5</v>
      </c>
      <c r="BK557" s="732">
        <v>0.5</v>
      </c>
      <c r="BL557" s="732">
        <v>0.502</v>
      </c>
      <c r="BM557" s="731"/>
      <c r="BN557" s="733"/>
      <c r="BO557" s="731">
        <f t="shared" si="777"/>
        <v>0</v>
      </c>
      <c r="BP557" s="731" t="e">
        <f>#REF!</f>
        <v>#REF!</v>
      </c>
      <c r="BQ557" s="731" t="e">
        <f t="shared" si="781"/>
        <v>#REF!</v>
      </c>
      <c r="BR557" s="731" t="e">
        <f t="shared" si="781"/>
        <v>#REF!</v>
      </c>
      <c r="BS557" s="731" t="e">
        <f t="shared" si="781"/>
        <v>#REF!</v>
      </c>
      <c r="BT557" s="533"/>
    </row>
    <row r="558" spans="1:72" s="1" customFormat="1" x14ac:dyDescent="0.35">
      <c r="A558" s="47" t="s">
        <v>197</v>
      </c>
      <c r="B558" s="360"/>
      <c r="C558" s="573">
        <f t="shared" ref="C558:AH558" si="782">SUM(C551:C557)</f>
        <v>444.61699999999996</v>
      </c>
      <c r="D558" s="573">
        <f t="shared" si="782"/>
        <v>444.17000000000007</v>
      </c>
      <c r="E558" s="573">
        <f t="shared" si="782"/>
        <v>465.35300000000001</v>
      </c>
      <c r="F558" s="573">
        <f t="shared" si="782"/>
        <v>457.94899999999996</v>
      </c>
      <c r="G558" s="573">
        <f t="shared" si="782"/>
        <v>528.36400000000003</v>
      </c>
      <c r="H558" s="573">
        <f t="shared" si="782"/>
        <v>495.63100000000003</v>
      </c>
      <c r="I558" s="573">
        <f t="shared" si="782"/>
        <v>487.45499999999998</v>
      </c>
      <c r="J558" s="573">
        <f t="shared" si="782"/>
        <v>465.20099999999996</v>
      </c>
      <c r="K558" s="573">
        <f t="shared" si="782"/>
        <v>468.94400000000002</v>
      </c>
      <c r="L558" s="573">
        <f t="shared" si="782"/>
        <v>455.14399999999995</v>
      </c>
      <c r="M558" s="573">
        <f t="shared" si="782"/>
        <v>481.87599999999998</v>
      </c>
      <c r="N558" s="573">
        <f t="shared" si="782"/>
        <v>458.96300000000002</v>
      </c>
      <c r="O558" s="573">
        <f t="shared" si="782"/>
        <v>488.33400000000006</v>
      </c>
      <c r="P558" s="573">
        <f t="shared" si="782"/>
        <v>469.72899999999998</v>
      </c>
      <c r="Q558" s="573">
        <f t="shared" si="782"/>
        <v>488.57800000000003</v>
      </c>
      <c r="R558" s="573">
        <f t="shared" si="782"/>
        <v>445.85500000000002</v>
      </c>
      <c r="S558" s="573">
        <f t="shared" si="782"/>
        <v>472.26600000000002</v>
      </c>
      <c r="T558" s="573">
        <f t="shared" si="782"/>
        <v>459.78500000000003</v>
      </c>
      <c r="U558" s="573">
        <f t="shared" si="782"/>
        <v>479.5569999999999</v>
      </c>
      <c r="V558" s="573">
        <f t="shared" si="782"/>
        <v>473.58199999999999</v>
      </c>
      <c r="W558" s="573">
        <f t="shared" si="782"/>
        <v>498.21900000000011</v>
      </c>
      <c r="X558" s="573">
        <f t="shared" si="782"/>
        <v>488.75499999999994</v>
      </c>
      <c r="Y558" s="573">
        <f t="shared" si="782"/>
        <v>482.14499999999998</v>
      </c>
      <c r="Z558" s="573">
        <f t="shared" si="782"/>
        <v>459.23200000000003</v>
      </c>
      <c r="AA558" s="573">
        <f t="shared" si="782"/>
        <v>485.20400000000001</v>
      </c>
      <c r="AB558" s="573">
        <f t="shared" si="782"/>
        <v>493.61199999999997</v>
      </c>
      <c r="AC558" s="573">
        <f t="shared" si="782"/>
        <v>521.97300000000007</v>
      </c>
      <c r="AD558" s="573">
        <f t="shared" si="782"/>
        <v>529.65600000000006</v>
      </c>
      <c r="AE558" s="573">
        <f t="shared" si="782"/>
        <v>498.31</v>
      </c>
      <c r="AF558" s="573">
        <f t="shared" si="782"/>
        <v>513.69399999999996</v>
      </c>
      <c r="AG558" s="573">
        <f t="shared" si="782"/>
        <v>486.69800000000004</v>
      </c>
      <c r="AH558" s="573">
        <f t="shared" si="782"/>
        <v>501.27100000000002</v>
      </c>
      <c r="AI558" s="573">
        <f t="shared" ref="AI558:AX558" si="783">SUM(AI551:AI557)</f>
        <v>805.49099999999999</v>
      </c>
      <c r="AJ558" s="573">
        <f t="shared" si="783"/>
        <v>768.4770000000002</v>
      </c>
      <c r="AK558" s="573">
        <f t="shared" si="783"/>
        <v>830.20499999999993</v>
      </c>
      <c r="AL558" s="573">
        <f t="shared" si="783"/>
        <v>857.53</v>
      </c>
      <c r="AM558" s="573">
        <f t="shared" si="783"/>
        <v>857.57900000000006</v>
      </c>
      <c r="AN558" s="573">
        <f t="shared" si="783"/>
        <v>816.13100000000009</v>
      </c>
      <c r="AO558" s="573">
        <f t="shared" si="783"/>
        <v>871.57900000000006</v>
      </c>
      <c r="AP558" s="573">
        <f t="shared" si="783"/>
        <v>950.53400000000011</v>
      </c>
      <c r="AQ558" s="573">
        <f t="shared" si="783"/>
        <v>931.13700000000006</v>
      </c>
      <c r="AR558" s="573">
        <f t="shared" si="783"/>
        <v>928.81499999999994</v>
      </c>
      <c r="AS558" s="573">
        <f t="shared" si="783"/>
        <v>1006.806</v>
      </c>
      <c r="AT558" s="573">
        <f t="shared" si="783"/>
        <v>1065.1990000000001</v>
      </c>
      <c r="AU558" s="577">
        <f t="shared" si="783"/>
        <v>1080.2760000000001</v>
      </c>
      <c r="AV558" s="572">
        <f t="shared" ca="1" si="783"/>
        <v>1114.7614492488808</v>
      </c>
      <c r="AW558" s="572">
        <f t="shared" ca="1" si="783"/>
        <v>1227.5744894582426</v>
      </c>
      <c r="AX558" s="572">
        <f t="shared" ca="1" si="783"/>
        <v>1319.8665606692593</v>
      </c>
      <c r="AY558" s="572"/>
      <c r="AZ558" s="735">
        <f t="shared" ref="AZ558:BS558" si="784">SUM(AZ551:AZ557)</f>
        <v>152.19699999999997</v>
      </c>
      <c r="BA558" s="735">
        <f t="shared" si="784"/>
        <v>203.27799999999999</v>
      </c>
      <c r="BB558" s="735">
        <f t="shared" si="784"/>
        <v>348.09899999999993</v>
      </c>
      <c r="BC558" s="735">
        <f t="shared" si="784"/>
        <v>386.83899999999994</v>
      </c>
      <c r="BD558" s="735">
        <f t="shared" si="784"/>
        <v>457.94899999999996</v>
      </c>
      <c r="BE558" s="735">
        <f t="shared" si="784"/>
        <v>465.20099999999996</v>
      </c>
      <c r="BF558" s="735">
        <f t="shared" si="784"/>
        <v>458.96300000000002</v>
      </c>
      <c r="BG558" s="735">
        <f t="shared" si="784"/>
        <v>445.85500000000002</v>
      </c>
      <c r="BH558" s="735">
        <f t="shared" si="784"/>
        <v>473.58199999999999</v>
      </c>
      <c r="BI558" s="735">
        <f t="shared" si="784"/>
        <v>459.23200000000003</v>
      </c>
      <c r="BJ558" s="735">
        <f t="shared" si="784"/>
        <v>529.65600000000006</v>
      </c>
      <c r="BK558" s="735">
        <f t="shared" si="784"/>
        <v>501.27100000000002</v>
      </c>
      <c r="BL558" s="735">
        <f t="shared" si="784"/>
        <v>857.53</v>
      </c>
      <c r="BM558" s="735">
        <f t="shared" si="784"/>
        <v>950.53400000000011</v>
      </c>
      <c r="BN558" s="749">
        <f t="shared" si="784"/>
        <v>1065.1990000000001</v>
      </c>
      <c r="BO558" s="734">
        <f t="shared" ca="1" si="784"/>
        <v>1319.8665606692593</v>
      </c>
      <c r="BP558" s="734" t="e">
        <f t="shared" si="784"/>
        <v>#REF!</v>
      </c>
      <c r="BQ558" s="734" t="e">
        <f t="shared" si="784"/>
        <v>#REF!</v>
      </c>
      <c r="BR558" s="734" t="e">
        <f t="shared" ca="1" si="784"/>
        <v>#REF!</v>
      </c>
      <c r="BS558" s="734" t="e">
        <f t="shared" ca="1" si="784"/>
        <v>#REF!</v>
      </c>
      <c r="BT558" s="530"/>
    </row>
    <row r="559" spans="1:72" s="1" customFormat="1" x14ac:dyDescent="0.35">
      <c r="A559" s="354"/>
      <c r="B559" s="307"/>
      <c r="C559" s="529"/>
      <c r="D559" s="529"/>
      <c r="E559" s="529"/>
      <c r="F559" s="529"/>
      <c r="G559" s="529"/>
      <c r="H559" s="529"/>
      <c r="I559" s="529"/>
      <c r="J559" s="529"/>
      <c r="K559" s="529"/>
      <c r="L559" s="529"/>
      <c r="M559" s="529"/>
      <c r="N559" s="529"/>
      <c r="O559" s="529"/>
      <c r="P559" s="529"/>
      <c r="Q559" s="529"/>
      <c r="R559" s="529"/>
      <c r="S559" s="529"/>
      <c r="T559" s="529"/>
      <c r="U559" s="529"/>
      <c r="V559" s="529"/>
      <c r="W559" s="529"/>
      <c r="X559" s="529"/>
      <c r="Y559" s="529"/>
      <c r="Z559" s="529"/>
      <c r="AA559" s="529"/>
      <c r="AB559" s="529"/>
      <c r="AC559" s="529"/>
      <c r="AD559" s="529"/>
      <c r="AE559" s="529"/>
      <c r="AF559" s="529"/>
      <c r="AG559" s="529"/>
      <c r="AH559" s="529"/>
      <c r="AI559" s="529"/>
      <c r="AJ559" s="529"/>
      <c r="AK559" s="529"/>
      <c r="AL559" s="529"/>
      <c r="AM559" s="529"/>
      <c r="AN559" s="529"/>
      <c r="AO559" s="529"/>
      <c r="AP559" s="529"/>
      <c r="AQ559" s="529"/>
      <c r="AR559" s="529"/>
      <c r="AS559" s="529"/>
      <c r="AT559" s="529"/>
      <c r="AU559" s="531"/>
      <c r="AV559" s="529"/>
      <c r="AW559" s="529"/>
      <c r="AX559" s="529"/>
      <c r="AY559" s="529"/>
      <c r="AZ559" s="726"/>
      <c r="BA559" s="726"/>
      <c r="BB559" s="726"/>
      <c r="BC559" s="726"/>
      <c r="BD559" s="726"/>
      <c r="BE559" s="726"/>
      <c r="BF559" s="726"/>
      <c r="BG559" s="726"/>
      <c r="BH559" s="726"/>
      <c r="BI559" s="726"/>
      <c r="BJ559" s="726"/>
      <c r="BK559" s="726"/>
      <c r="BL559" s="726"/>
      <c r="BM559" s="726"/>
      <c r="BN559" s="728"/>
      <c r="BO559" s="726"/>
      <c r="BP559" s="726"/>
      <c r="BQ559" s="726"/>
      <c r="BR559" s="726"/>
      <c r="BS559" s="726"/>
      <c r="BT559" s="530"/>
    </row>
    <row r="560" spans="1:72" s="1" customFormat="1" x14ac:dyDescent="0.35">
      <c r="A560" s="53" t="s">
        <v>198</v>
      </c>
      <c r="B560" s="307"/>
      <c r="C560" s="529"/>
      <c r="D560" s="529"/>
      <c r="E560" s="529"/>
      <c r="F560" s="529"/>
      <c r="G560" s="529"/>
      <c r="H560" s="529"/>
      <c r="I560" s="529"/>
      <c r="J560" s="529"/>
      <c r="K560" s="529"/>
      <c r="L560" s="529"/>
      <c r="M560" s="529"/>
      <c r="N560" s="529"/>
      <c r="O560" s="529"/>
      <c r="P560" s="529"/>
      <c r="Q560" s="529"/>
      <c r="R560" s="529"/>
      <c r="S560" s="529"/>
      <c r="T560" s="529"/>
      <c r="U560" s="529"/>
      <c r="V560" s="529"/>
      <c r="W560" s="529"/>
      <c r="X560" s="529"/>
      <c r="Y560" s="529"/>
      <c r="Z560" s="529"/>
      <c r="AA560" s="529"/>
      <c r="AB560" s="529"/>
      <c r="AC560" s="529"/>
      <c r="AD560" s="529"/>
      <c r="AE560" s="529"/>
      <c r="AF560" s="529"/>
      <c r="AG560" s="529"/>
      <c r="AH560" s="529"/>
      <c r="AI560" s="529"/>
      <c r="AJ560" s="529"/>
      <c r="AK560" s="529"/>
      <c r="AL560" s="529"/>
      <c r="AM560" s="529"/>
      <c r="AN560" s="529"/>
      <c r="AO560" s="529"/>
      <c r="AP560" s="529"/>
      <c r="AQ560" s="529"/>
      <c r="AR560" s="529"/>
      <c r="AS560" s="529"/>
      <c r="AT560" s="529"/>
      <c r="AU560" s="531"/>
      <c r="AV560" s="529"/>
      <c r="AW560" s="529"/>
      <c r="AX560" s="529"/>
      <c r="AY560" s="529"/>
      <c r="AZ560" s="726"/>
      <c r="BA560" s="726"/>
      <c r="BB560" s="726"/>
      <c r="BC560" s="726"/>
      <c r="BD560" s="726"/>
      <c r="BE560" s="726"/>
      <c r="BF560" s="726"/>
      <c r="BG560" s="726"/>
      <c r="BH560" s="726"/>
      <c r="BI560" s="726"/>
      <c r="BJ560" s="726"/>
      <c r="BK560" s="726"/>
      <c r="BL560" s="726"/>
      <c r="BM560" s="726"/>
      <c r="BN560" s="728"/>
      <c r="BO560" s="726"/>
      <c r="BP560" s="726"/>
      <c r="BQ560" s="726"/>
      <c r="BR560" s="726"/>
      <c r="BS560" s="726"/>
      <c r="BT560" s="530"/>
    </row>
    <row r="561" spans="1:72" s="17" customFormat="1" x14ac:dyDescent="0.35">
      <c r="A561" s="208" t="s">
        <v>413</v>
      </c>
      <c r="B561" s="308"/>
      <c r="C561" s="532"/>
      <c r="D561" s="532"/>
      <c r="E561" s="532"/>
      <c r="F561" s="533">
        <f>BD561</f>
        <v>0</v>
      </c>
      <c r="G561" s="532"/>
      <c r="H561" s="532"/>
      <c r="I561" s="532"/>
      <c r="J561" s="533">
        <f>BE561</f>
        <v>0</v>
      </c>
      <c r="K561" s="532"/>
      <c r="L561" s="532"/>
      <c r="M561" s="532"/>
      <c r="N561" s="533">
        <f>BF561</f>
        <v>0</v>
      </c>
      <c r="O561" s="532"/>
      <c r="P561" s="532"/>
      <c r="Q561" s="532"/>
      <c r="R561" s="533">
        <f>BG561</f>
        <v>0</v>
      </c>
      <c r="S561" s="532"/>
      <c r="T561" s="532"/>
      <c r="U561" s="532"/>
      <c r="V561" s="533">
        <f>BH561</f>
        <v>0</v>
      </c>
      <c r="W561" s="532"/>
      <c r="X561" s="532"/>
      <c r="Y561" s="532"/>
      <c r="Z561" s="533">
        <f>BI561</f>
        <v>0</v>
      </c>
      <c r="AA561" s="532"/>
      <c r="AB561" s="532"/>
      <c r="AC561" s="532"/>
      <c r="AD561" s="533">
        <f>BJ561</f>
        <v>0</v>
      </c>
      <c r="AE561" s="532"/>
      <c r="AF561" s="532"/>
      <c r="AG561" s="638">
        <v>106.929</v>
      </c>
      <c r="AH561" s="533">
        <f>BK561</f>
        <v>111.768</v>
      </c>
      <c r="AI561" s="638">
        <v>107.747</v>
      </c>
      <c r="AJ561" s="638">
        <v>104.01</v>
      </c>
      <c r="AK561" s="638">
        <v>100.027</v>
      </c>
      <c r="AL561" s="533">
        <f>BL561</f>
        <v>94.671000000000006</v>
      </c>
      <c r="AM561" s="638">
        <v>96.471000000000004</v>
      </c>
      <c r="AN561" s="638">
        <v>91.41</v>
      </c>
      <c r="AO561" s="638">
        <v>87.516000000000005</v>
      </c>
      <c r="AP561" s="533">
        <f>BM561</f>
        <v>85.456999999999994</v>
      </c>
      <c r="AQ561" s="638">
        <v>79.326999999999998</v>
      </c>
      <c r="AR561" s="638">
        <v>75.822999999999993</v>
      </c>
      <c r="AS561" s="638">
        <v>72.153999999999996</v>
      </c>
      <c r="AT561" s="533">
        <f>BN561</f>
        <v>69.507999999999996</v>
      </c>
      <c r="AU561" s="643">
        <v>64.587999999999994</v>
      </c>
      <c r="AV561" s="532">
        <f>AU561</f>
        <v>64.587999999999994</v>
      </c>
      <c r="AW561" s="532">
        <f>AV561</f>
        <v>64.587999999999994</v>
      </c>
      <c r="AX561" s="532">
        <f>AW561</f>
        <v>64.587999999999994</v>
      </c>
      <c r="AY561" s="532"/>
      <c r="AZ561" s="156"/>
      <c r="BA561" s="156"/>
      <c r="BB561" s="156"/>
      <c r="BC561" s="156"/>
      <c r="BD561" s="156"/>
      <c r="BE561" s="156"/>
      <c r="BF561" s="156"/>
      <c r="BG561" s="156"/>
      <c r="BH561" s="156"/>
      <c r="BI561" s="156"/>
      <c r="BJ561" s="156"/>
      <c r="BK561" s="729">
        <v>111.768</v>
      </c>
      <c r="BL561" s="729">
        <v>94.671000000000006</v>
      </c>
      <c r="BM561" s="729">
        <v>85.456999999999994</v>
      </c>
      <c r="BN561" s="748">
        <v>69.507999999999996</v>
      </c>
      <c r="BO561" s="156">
        <f>AX561</f>
        <v>64.587999999999994</v>
      </c>
      <c r="BP561" s="156" t="e">
        <f>#REF!</f>
        <v>#REF!</v>
      </c>
      <c r="BQ561" s="156" t="e">
        <f>BP561</f>
        <v>#REF!</v>
      </c>
      <c r="BR561" s="156" t="e">
        <f>BQ561</f>
        <v>#REF!</v>
      </c>
      <c r="BS561" s="156" t="e">
        <f>BR561</f>
        <v>#REF!</v>
      </c>
      <c r="BT561" s="533"/>
    </row>
    <row r="562" spans="1:72" s="17" customFormat="1" x14ac:dyDescent="0.35">
      <c r="A562" s="208" t="s">
        <v>199</v>
      </c>
      <c r="B562" s="308"/>
      <c r="C562" s="638">
        <v>65.864000000000004</v>
      </c>
      <c r="D562" s="638">
        <v>63.134</v>
      </c>
      <c r="E562" s="638">
        <v>61.39</v>
      </c>
      <c r="F562" s="533">
        <f>BD562</f>
        <v>56.142000000000003</v>
      </c>
      <c r="G562" s="638">
        <v>62.892000000000003</v>
      </c>
      <c r="H562" s="638">
        <v>56.262</v>
      </c>
      <c r="I562" s="638">
        <v>50.01</v>
      </c>
      <c r="J562" s="533">
        <f>BE562</f>
        <v>48.581000000000003</v>
      </c>
      <c r="K562" s="638">
        <v>52.084000000000003</v>
      </c>
      <c r="L562" s="638">
        <v>48.127000000000002</v>
      </c>
      <c r="M562" s="638">
        <v>47.369</v>
      </c>
      <c r="N562" s="533">
        <f>BF562</f>
        <v>34.406999999999996</v>
      </c>
      <c r="O562" s="638">
        <v>31.654</v>
      </c>
      <c r="P562" s="638">
        <v>28.661000000000001</v>
      </c>
      <c r="Q562" s="638">
        <v>26.716999999999999</v>
      </c>
      <c r="R562" s="533">
        <f>BG562</f>
        <v>28.446999999999999</v>
      </c>
      <c r="S562" s="638">
        <v>31.504000000000001</v>
      </c>
      <c r="T562" s="638">
        <v>28.425999999999998</v>
      </c>
      <c r="U562" s="638">
        <v>25.975999999999999</v>
      </c>
      <c r="V562" s="533">
        <f>BH562</f>
        <v>26.297000000000001</v>
      </c>
      <c r="W562" s="638">
        <v>32.468000000000004</v>
      </c>
      <c r="X562" s="638">
        <v>29.472000000000001</v>
      </c>
      <c r="Y562" s="638">
        <v>29.468</v>
      </c>
      <c r="Z562" s="533">
        <f>BI562</f>
        <v>28.867999999999999</v>
      </c>
      <c r="AA562" s="638">
        <v>37.002000000000002</v>
      </c>
      <c r="AB562" s="638">
        <v>32.481000000000002</v>
      </c>
      <c r="AC562" s="638">
        <v>32.777999999999999</v>
      </c>
      <c r="AD562" s="533">
        <f>BJ562</f>
        <v>31.98</v>
      </c>
      <c r="AE562" s="638">
        <v>37.253</v>
      </c>
      <c r="AF562" s="638">
        <v>35.188000000000002</v>
      </c>
      <c r="AG562" s="638">
        <v>44.173999999999999</v>
      </c>
      <c r="AH562" s="533">
        <f>BK562</f>
        <v>38.667999999999999</v>
      </c>
      <c r="AI562" s="638">
        <v>70.147000000000006</v>
      </c>
      <c r="AJ562" s="638">
        <v>78.503</v>
      </c>
      <c r="AK562" s="638">
        <v>82.918000000000006</v>
      </c>
      <c r="AL562" s="533">
        <f>BL562</f>
        <v>72.069000000000003</v>
      </c>
      <c r="AM562" s="638">
        <v>76.884</v>
      </c>
      <c r="AN562" s="638">
        <v>74.149000000000001</v>
      </c>
      <c r="AO562" s="638">
        <v>67.564999999999998</v>
      </c>
      <c r="AP562" s="533">
        <f>BM562</f>
        <v>61.536999999999999</v>
      </c>
      <c r="AQ562" s="638">
        <v>72.307000000000002</v>
      </c>
      <c r="AR562" s="638">
        <v>68.123999999999995</v>
      </c>
      <c r="AS562" s="638">
        <v>61.326000000000001</v>
      </c>
      <c r="AT562" s="533">
        <f>BN562</f>
        <v>52.332000000000001</v>
      </c>
      <c r="AU562" s="643">
        <v>61.085000000000001</v>
      </c>
      <c r="AV562" s="532">
        <f>AU562-AV463-AV473+AV530+AV529</f>
        <v>50.604787431693993</v>
      </c>
      <c r="AW562" s="532">
        <f>AV562-AW463-AW473+AW530+AW529</f>
        <v>42.494956370315627</v>
      </c>
      <c r="AX562" s="532">
        <f>AW562-AX463-AX473+AX530+AX529</f>
        <v>36.048064530255544</v>
      </c>
      <c r="AY562" s="532"/>
      <c r="AZ562" s="729">
        <v>37.86</v>
      </c>
      <c r="BA562" s="729">
        <v>24.26</v>
      </c>
      <c r="BB562" s="729">
        <v>46.625</v>
      </c>
      <c r="BC562" s="729">
        <v>55.902999999999999</v>
      </c>
      <c r="BD562" s="729">
        <v>56.142000000000003</v>
      </c>
      <c r="BE562" s="729">
        <v>48.581000000000003</v>
      </c>
      <c r="BF562" s="729">
        <v>34.406999999999996</v>
      </c>
      <c r="BG562" s="729">
        <v>28.446999999999999</v>
      </c>
      <c r="BH562" s="729">
        <v>26.297000000000001</v>
      </c>
      <c r="BI562" s="729">
        <v>28.867999999999999</v>
      </c>
      <c r="BJ562" s="729">
        <v>31.98</v>
      </c>
      <c r="BK562" s="729">
        <v>38.667999999999999</v>
      </c>
      <c r="BL562" s="729">
        <v>72.069000000000003</v>
      </c>
      <c r="BM562" s="729">
        <v>61.536999999999999</v>
      </c>
      <c r="BN562" s="748">
        <v>52.332000000000001</v>
      </c>
      <c r="BO562" s="156">
        <f>AX562</f>
        <v>36.048064530255544</v>
      </c>
      <c r="BP562" s="156" t="e">
        <f>#REF!</f>
        <v>#REF!</v>
      </c>
      <c r="BQ562" s="156" t="e">
        <f>BP562-BQ463-BQ473+BQ530+BQ529</f>
        <v>#REF!</v>
      </c>
      <c r="BR562" s="156" t="e">
        <f>BQ562-BR463-BR473+BR530+BR529</f>
        <v>#REF!</v>
      </c>
      <c r="BS562" s="156" t="e">
        <f>BR562-BS463-BS473+BS530+BS529</f>
        <v>#REF!</v>
      </c>
      <c r="BT562" s="533"/>
    </row>
    <row r="563" spans="1:72" s="17" customFormat="1" x14ac:dyDescent="0.35">
      <c r="A563" s="56" t="s">
        <v>200</v>
      </c>
      <c r="B563" s="308"/>
      <c r="C563" s="638">
        <v>37.673999999999999</v>
      </c>
      <c r="D563" s="638">
        <v>39.639000000000003</v>
      </c>
      <c r="E563" s="638">
        <v>42.287999999999997</v>
      </c>
      <c r="F563" s="533">
        <f>BD563</f>
        <v>43.503999999999998</v>
      </c>
      <c r="G563" s="638">
        <v>44.781999999999996</v>
      </c>
      <c r="H563" s="638">
        <v>42.738</v>
      </c>
      <c r="I563" s="638">
        <v>46.66</v>
      </c>
      <c r="J563" s="533">
        <f>BE563</f>
        <v>49.92</v>
      </c>
      <c r="K563" s="638">
        <v>53.963999999999999</v>
      </c>
      <c r="L563" s="638">
        <v>56.884</v>
      </c>
      <c r="M563" s="638">
        <v>59.591000000000001</v>
      </c>
      <c r="N563" s="533">
        <f>BF563</f>
        <v>62.683</v>
      </c>
      <c r="O563" s="638">
        <v>65.741</v>
      </c>
      <c r="P563" s="638">
        <v>66.36</v>
      </c>
      <c r="Q563" s="638">
        <v>67.709999999999994</v>
      </c>
      <c r="R563" s="533">
        <f>BG563</f>
        <v>70.055000000000007</v>
      </c>
      <c r="S563" s="638">
        <v>69.236999999999995</v>
      </c>
      <c r="T563" s="638">
        <v>66.727999999999994</v>
      </c>
      <c r="U563" s="638">
        <v>64.230999999999995</v>
      </c>
      <c r="V563" s="533">
        <f>BH563</f>
        <v>62.695</v>
      </c>
      <c r="W563" s="638">
        <v>60.838999999999999</v>
      </c>
      <c r="X563" s="638">
        <v>57.904000000000003</v>
      </c>
      <c r="Y563" s="638">
        <v>55.728999999999999</v>
      </c>
      <c r="Z563" s="533">
        <f>BI563</f>
        <v>55.488</v>
      </c>
      <c r="AA563" s="638">
        <v>54.162999999999997</v>
      </c>
      <c r="AB563" s="638">
        <v>52.997</v>
      </c>
      <c r="AC563" s="638">
        <v>51.692999999999998</v>
      </c>
      <c r="AD563" s="533">
        <f>BJ563</f>
        <v>51.164999999999999</v>
      </c>
      <c r="AE563" s="638">
        <v>50.231999999999999</v>
      </c>
      <c r="AF563" s="638">
        <v>49.259</v>
      </c>
      <c r="AG563" s="638">
        <v>48.304000000000002</v>
      </c>
      <c r="AH563" s="533">
        <f>BK563</f>
        <v>48.493000000000002</v>
      </c>
      <c r="AI563" s="638">
        <v>49.262999999999998</v>
      </c>
      <c r="AJ563" s="638">
        <v>50.295999999999999</v>
      </c>
      <c r="AK563" s="638">
        <v>51.921999999999997</v>
      </c>
      <c r="AL563" s="533">
        <f>BL563</f>
        <v>57.308</v>
      </c>
      <c r="AM563" s="638">
        <v>57.965000000000003</v>
      </c>
      <c r="AN563" s="638">
        <v>60.52</v>
      </c>
      <c r="AO563" s="638">
        <v>64.921000000000006</v>
      </c>
      <c r="AP563" s="533">
        <f>BM563</f>
        <v>71.8</v>
      </c>
      <c r="AQ563" s="638">
        <v>74.748000000000005</v>
      </c>
      <c r="AR563" s="638">
        <v>76.191999999999993</v>
      </c>
      <c r="AS563" s="638">
        <v>80.36</v>
      </c>
      <c r="AT563" s="533">
        <f>BN563</f>
        <v>83.465000000000003</v>
      </c>
      <c r="AU563" s="643">
        <v>82.046000000000006</v>
      </c>
      <c r="AV563" s="532"/>
      <c r="AW563" s="532"/>
      <c r="AX563" s="532"/>
      <c r="AY563" s="532"/>
      <c r="AZ563" s="729">
        <v>0</v>
      </c>
      <c r="BA563" s="729">
        <v>16.452999999999999</v>
      </c>
      <c r="BB563" s="729">
        <v>24.385999999999999</v>
      </c>
      <c r="BC563" s="729">
        <v>34.709000000000003</v>
      </c>
      <c r="BD563" s="729">
        <v>43.503999999999998</v>
      </c>
      <c r="BE563" s="729">
        <v>49.92</v>
      </c>
      <c r="BF563" s="729">
        <v>62.683</v>
      </c>
      <c r="BG563" s="729">
        <v>70.055000000000007</v>
      </c>
      <c r="BH563" s="729">
        <v>62.695</v>
      </c>
      <c r="BI563" s="729">
        <v>55.488</v>
      </c>
      <c r="BJ563" s="729">
        <v>51.164999999999999</v>
      </c>
      <c r="BK563" s="729">
        <v>48.493000000000002</v>
      </c>
      <c r="BL563" s="729">
        <v>57.308</v>
      </c>
      <c r="BM563" s="729">
        <v>71.8</v>
      </c>
      <c r="BN563" s="748">
        <v>83.465000000000003</v>
      </c>
      <c r="BO563" s="156"/>
      <c r="BP563" s="156"/>
      <c r="BQ563" s="156"/>
      <c r="BR563" s="156"/>
      <c r="BS563" s="156"/>
      <c r="BT563" s="533"/>
    </row>
    <row r="564" spans="1:72" s="17" customFormat="1" x14ac:dyDescent="0.35">
      <c r="A564" s="56" t="s">
        <v>201</v>
      </c>
      <c r="B564" s="308"/>
      <c r="C564" s="638">
        <v>61.944000000000003</v>
      </c>
      <c r="D564" s="638">
        <v>62.926000000000002</v>
      </c>
      <c r="E564" s="638">
        <v>63.374000000000002</v>
      </c>
      <c r="F564" s="533">
        <f>BD564</f>
        <v>64.599000000000004</v>
      </c>
      <c r="G564" s="638">
        <v>63.988999999999997</v>
      </c>
      <c r="H564" s="638">
        <v>61.823999999999998</v>
      </c>
      <c r="I564" s="638">
        <v>61.219000000000001</v>
      </c>
      <c r="J564" s="533">
        <f>BE564</f>
        <v>60.781999999999996</v>
      </c>
      <c r="K564" s="638">
        <v>60.189</v>
      </c>
      <c r="L564" s="638">
        <v>59.569000000000003</v>
      </c>
      <c r="M564" s="638">
        <v>59.945999999999998</v>
      </c>
      <c r="N564" s="533">
        <f>BF564</f>
        <v>58.695999999999998</v>
      </c>
      <c r="O564" s="638">
        <v>58.151000000000003</v>
      </c>
      <c r="P564" s="638">
        <v>57.311</v>
      </c>
      <c r="Q564" s="638">
        <v>58.344999999999999</v>
      </c>
      <c r="R564" s="533">
        <f>BG564</f>
        <v>63.366999999999997</v>
      </c>
      <c r="S564" s="638">
        <v>64.641999999999996</v>
      </c>
      <c r="T564" s="638">
        <v>62.92</v>
      </c>
      <c r="U564" s="638">
        <v>60.96</v>
      </c>
      <c r="V564" s="533">
        <f>BH564</f>
        <v>59.213000000000001</v>
      </c>
      <c r="W564" s="638">
        <v>57.055999999999997</v>
      </c>
      <c r="X564" s="638">
        <v>54.816000000000003</v>
      </c>
      <c r="Y564" s="638">
        <v>53.298999999999999</v>
      </c>
      <c r="Z564" s="533">
        <f>BI564</f>
        <v>53.558</v>
      </c>
      <c r="AA564" s="638">
        <v>52.951999999999998</v>
      </c>
      <c r="AB564" s="638">
        <v>52.085000000000001</v>
      </c>
      <c r="AC564" s="638">
        <v>51.16</v>
      </c>
      <c r="AD564" s="533">
        <f>BJ564</f>
        <v>53.296999999999997</v>
      </c>
      <c r="AE564" s="638">
        <v>53.494999999999997</v>
      </c>
      <c r="AF564" s="638">
        <v>52.344999999999999</v>
      </c>
      <c r="AG564" s="638">
        <v>51.716999999999999</v>
      </c>
      <c r="AH564" s="533">
        <f>BK564</f>
        <v>48.848999999999997</v>
      </c>
      <c r="AI564" s="638">
        <v>48.930999999999997</v>
      </c>
      <c r="AJ564" s="638">
        <v>48.146999999999998</v>
      </c>
      <c r="AK564" s="638">
        <v>48.481999999999999</v>
      </c>
      <c r="AL564" s="533">
        <f>BL564</f>
        <v>50.375999999999998</v>
      </c>
      <c r="AM564" s="638">
        <v>49.866</v>
      </c>
      <c r="AN564" s="638">
        <v>49.786999999999999</v>
      </c>
      <c r="AO564" s="638">
        <v>50.475999999999999</v>
      </c>
      <c r="AP564" s="533">
        <f>BM564</f>
        <v>50.58</v>
      </c>
      <c r="AQ564" s="638">
        <v>51.43</v>
      </c>
      <c r="AR564" s="638">
        <v>50.557000000000002</v>
      </c>
      <c r="AS564" s="638">
        <v>50.97</v>
      </c>
      <c r="AT564" s="533">
        <f>BN564</f>
        <v>50.786999999999999</v>
      </c>
      <c r="AU564" s="643">
        <v>50.113999999999997</v>
      </c>
      <c r="AV564" s="532"/>
      <c r="AW564" s="532"/>
      <c r="AX564" s="532"/>
      <c r="AY564" s="532"/>
      <c r="AZ564" s="729">
        <v>31.649000000000001</v>
      </c>
      <c r="BA564" s="729">
        <v>39.86</v>
      </c>
      <c r="BB564" s="729">
        <v>55.619</v>
      </c>
      <c r="BC564" s="729">
        <v>60.344999999999999</v>
      </c>
      <c r="BD564" s="729">
        <v>64.599000000000004</v>
      </c>
      <c r="BE564" s="729">
        <v>60.781999999999996</v>
      </c>
      <c r="BF564" s="729">
        <v>58.695999999999998</v>
      </c>
      <c r="BG564" s="729">
        <v>63.366999999999997</v>
      </c>
      <c r="BH564" s="729">
        <v>59.213000000000001</v>
      </c>
      <c r="BI564" s="729">
        <v>53.558</v>
      </c>
      <c r="BJ564" s="729">
        <v>53.296999999999997</v>
      </c>
      <c r="BK564" s="729">
        <v>48.848999999999997</v>
      </c>
      <c r="BL564" s="729">
        <v>50.375999999999998</v>
      </c>
      <c r="BM564" s="729">
        <v>50.58</v>
      </c>
      <c r="BN564" s="748">
        <v>50.786999999999999</v>
      </c>
      <c r="BO564" s="156"/>
      <c r="BP564" s="156"/>
      <c r="BQ564" s="156"/>
      <c r="BR564" s="156"/>
      <c r="BS564" s="156"/>
      <c r="BT564" s="533"/>
    </row>
    <row r="565" spans="1:72" s="17" customFormat="1" x14ac:dyDescent="0.35">
      <c r="A565" s="56" t="s">
        <v>202</v>
      </c>
      <c r="B565" s="308"/>
      <c r="C565" s="638">
        <v>35.587000000000003</v>
      </c>
      <c r="D565" s="638">
        <v>34.436999999999998</v>
      </c>
      <c r="E565" s="638">
        <v>33.287999999999997</v>
      </c>
      <c r="F565" s="533">
        <f>BD565</f>
        <v>32.139000000000003</v>
      </c>
      <c r="G565" s="638">
        <v>31.332000000000001</v>
      </c>
      <c r="H565" s="638">
        <v>25.436</v>
      </c>
      <c r="I565" s="638">
        <v>24.783000000000001</v>
      </c>
      <c r="J565" s="533">
        <f>BE565</f>
        <v>23.707999999999998</v>
      </c>
      <c r="K565" s="638">
        <v>23.097999999999999</v>
      </c>
      <c r="L565" s="638">
        <v>22.463999999999999</v>
      </c>
      <c r="M565" s="638">
        <v>21.831</v>
      </c>
      <c r="N565" s="533">
        <f>BF565</f>
        <v>21.195</v>
      </c>
      <c r="O565" s="638">
        <v>20.58</v>
      </c>
      <c r="P565" s="638">
        <v>19.963999999999999</v>
      </c>
      <c r="Q565" s="638">
        <v>19.347000000000001</v>
      </c>
      <c r="R565" s="533">
        <f>BG565</f>
        <v>23.102</v>
      </c>
      <c r="S565" s="638">
        <v>22.382000000000001</v>
      </c>
      <c r="T565" s="638">
        <v>21.664999999999999</v>
      </c>
      <c r="U565" s="638">
        <v>20.948</v>
      </c>
      <c r="V565" s="533">
        <f>BH565</f>
        <v>20.225999999999999</v>
      </c>
      <c r="W565" s="638">
        <v>19.509</v>
      </c>
      <c r="X565" s="638">
        <v>19.449000000000002</v>
      </c>
      <c r="Y565" s="638">
        <v>18.693999999999999</v>
      </c>
      <c r="Z565" s="533">
        <f>BI565</f>
        <v>17.951000000000001</v>
      </c>
      <c r="AA565" s="638">
        <v>17.209</v>
      </c>
      <c r="AB565" s="638">
        <v>16.466000000000001</v>
      </c>
      <c r="AC565" s="638">
        <v>15.723000000000001</v>
      </c>
      <c r="AD565" s="533">
        <f>BJ565</f>
        <v>14.981</v>
      </c>
      <c r="AE565" s="638">
        <v>14.238</v>
      </c>
      <c r="AF565" s="638">
        <v>13.494999999999999</v>
      </c>
      <c r="AG565" s="638">
        <v>43.893000000000001</v>
      </c>
      <c r="AH565" s="533">
        <f>BK565</f>
        <v>77.450999999999993</v>
      </c>
      <c r="AI565" s="638">
        <v>75.36</v>
      </c>
      <c r="AJ565" s="638">
        <v>106.547</v>
      </c>
      <c r="AK565" s="638">
        <v>103.047</v>
      </c>
      <c r="AL565" s="533">
        <f>BL565</f>
        <v>99.48</v>
      </c>
      <c r="AM565" s="638">
        <v>96.266999999999996</v>
      </c>
      <c r="AN565" s="638">
        <v>95.21</v>
      </c>
      <c r="AO565" s="638">
        <v>91.94</v>
      </c>
      <c r="AP565" s="533">
        <f>BM565</f>
        <v>88.668999999999997</v>
      </c>
      <c r="AQ565" s="638">
        <v>86.69</v>
      </c>
      <c r="AR565" s="638">
        <v>83.41</v>
      </c>
      <c r="AS565" s="638">
        <v>80.131</v>
      </c>
      <c r="AT565" s="533">
        <f>BN565</f>
        <v>74.771000000000001</v>
      </c>
      <c r="AU565" s="643">
        <v>71.754999999999995</v>
      </c>
      <c r="AV565" s="532"/>
      <c r="AW565" s="532"/>
      <c r="AX565" s="532"/>
      <c r="AY565" s="532"/>
      <c r="AZ565" s="729">
        <v>0.28399999999999997</v>
      </c>
      <c r="BA565" s="729">
        <v>14.081</v>
      </c>
      <c r="BB565" s="729">
        <v>38.290999999999997</v>
      </c>
      <c r="BC565" s="729">
        <v>36.735999999999997</v>
      </c>
      <c r="BD565" s="729">
        <v>32.139000000000003</v>
      </c>
      <c r="BE565" s="729">
        <v>23.707999999999998</v>
      </c>
      <c r="BF565" s="729">
        <v>21.195</v>
      </c>
      <c r="BG565" s="729">
        <v>23.102</v>
      </c>
      <c r="BH565" s="729">
        <v>20.225999999999999</v>
      </c>
      <c r="BI565" s="729">
        <v>17.951000000000001</v>
      </c>
      <c r="BJ565" s="729">
        <v>14.981</v>
      </c>
      <c r="BK565" s="729">
        <v>77.450999999999993</v>
      </c>
      <c r="BL565" s="729">
        <v>99.48</v>
      </c>
      <c r="BM565" s="729">
        <v>88.668999999999997</v>
      </c>
      <c r="BN565" s="748">
        <v>74.771000000000001</v>
      </c>
      <c r="BO565" s="156"/>
      <c r="BP565" s="156"/>
      <c r="BQ565" s="156"/>
      <c r="BR565" s="156"/>
      <c r="BS565" s="156"/>
      <c r="BT565" s="533"/>
    </row>
    <row r="566" spans="1:72" s="17" customFormat="1" x14ac:dyDescent="0.35">
      <c r="A566" s="272" t="s">
        <v>433</v>
      </c>
      <c r="B566" s="364"/>
      <c r="C566" s="602">
        <f t="shared" ref="C566:AU566" si="785">SUM(C563:C565)</f>
        <v>135.20499999999998</v>
      </c>
      <c r="D566" s="602">
        <f t="shared" si="785"/>
        <v>137.00200000000001</v>
      </c>
      <c r="E566" s="602">
        <f t="shared" si="785"/>
        <v>138.94999999999999</v>
      </c>
      <c r="F566" s="602">
        <f t="shared" si="785"/>
        <v>140.24200000000002</v>
      </c>
      <c r="G566" s="602">
        <f t="shared" si="785"/>
        <v>140.10299999999998</v>
      </c>
      <c r="H566" s="602">
        <f t="shared" si="785"/>
        <v>129.99799999999999</v>
      </c>
      <c r="I566" s="602">
        <f t="shared" si="785"/>
        <v>132.66199999999998</v>
      </c>
      <c r="J566" s="602">
        <f t="shared" si="785"/>
        <v>134.41</v>
      </c>
      <c r="K566" s="602">
        <f t="shared" si="785"/>
        <v>137.25099999999998</v>
      </c>
      <c r="L566" s="602">
        <f t="shared" si="785"/>
        <v>138.917</v>
      </c>
      <c r="M566" s="602">
        <f t="shared" si="785"/>
        <v>141.36799999999999</v>
      </c>
      <c r="N566" s="602">
        <f t="shared" si="785"/>
        <v>142.57399999999998</v>
      </c>
      <c r="O566" s="602">
        <f t="shared" si="785"/>
        <v>144.47199999999998</v>
      </c>
      <c r="P566" s="602">
        <f t="shared" si="785"/>
        <v>143.63499999999999</v>
      </c>
      <c r="Q566" s="602">
        <f t="shared" si="785"/>
        <v>145.40199999999999</v>
      </c>
      <c r="R566" s="602">
        <f t="shared" si="785"/>
        <v>156.524</v>
      </c>
      <c r="S566" s="602">
        <f t="shared" si="785"/>
        <v>156.261</v>
      </c>
      <c r="T566" s="602">
        <f t="shared" si="785"/>
        <v>151.31299999999999</v>
      </c>
      <c r="U566" s="602">
        <f t="shared" si="785"/>
        <v>146.13900000000001</v>
      </c>
      <c r="V566" s="602">
        <f t="shared" si="785"/>
        <v>142.13400000000001</v>
      </c>
      <c r="W566" s="602">
        <f t="shared" si="785"/>
        <v>137.404</v>
      </c>
      <c r="X566" s="602">
        <f t="shared" si="785"/>
        <v>132.16900000000001</v>
      </c>
      <c r="Y566" s="602">
        <f t="shared" si="785"/>
        <v>127.72199999999999</v>
      </c>
      <c r="Z566" s="602">
        <f t="shared" si="785"/>
        <v>126.99699999999999</v>
      </c>
      <c r="AA566" s="602">
        <f t="shared" si="785"/>
        <v>124.324</v>
      </c>
      <c r="AB566" s="602">
        <f t="shared" si="785"/>
        <v>121.548</v>
      </c>
      <c r="AC566" s="602">
        <f t="shared" si="785"/>
        <v>118.57599999999999</v>
      </c>
      <c r="AD566" s="602">
        <f t="shared" si="785"/>
        <v>119.44299999999998</v>
      </c>
      <c r="AE566" s="602">
        <f t="shared" si="785"/>
        <v>117.965</v>
      </c>
      <c r="AF566" s="602">
        <f t="shared" si="785"/>
        <v>115.099</v>
      </c>
      <c r="AG566" s="602">
        <f t="shared" si="785"/>
        <v>143.91399999999999</v>
      </c>
      <c r="AH566" s="602">
        <f t="shared" si="785"/>
        <v>174.79300000000001</v>
      </c>
      <c r="AI566" s="602">
        <f t="shared" si="785"/>
        <v>173.55399999999997</v>
      </c>
      <c r="AJ566" s="602">
        <f t="shared" si="785"/>
        <v>204.99</v>
      </c>
      <c r="AK566" s="602">
        <f t="shared" si="785"/>
        <v>203.45099999999999</v>
      </c>
      <c r="AL566" s="602">
        <f t="shared" si="785"/>
        <v>207.16399999999999</v>
      </c>
      <c r="AM566" s="602">
        <f t="shared" si="785"/>
        <v>204.09800000000001</v>
      </c>
      <c r="AN566" s="602">
        <f t="shared" si="785"/>
        <v>205.517</v>
      </c>
      <c r="AO566" s="602">
        <f t="shared" si="785"/>
        <v>207.33699999999999</v>
      </c>
      <c r="AP566" s="602">
        <f t="shared" si="785"/>
        <v>211.04899999999998</v>
      </c>
      <c r="AQ566" s="602">
        <f t="shared" si="785"/>
        <v>212.86799999999999</v>
      </c>
      <c r="AR566" s="602">
        <f t="shared" si="785"/>
        <v>210.15899999999999</v>
      </c>
      <c r="AS566" s="602">
        <f t="shared" si="785"/>
        <v>211.46099999999998</v>
      </c>
      <c r="AT566" s="602">
        <f t="shared" si="785"/>
        <v>209.02300000000002</v>
      </c>
      <c r="AU566" s="603">
        <f t="shared" si="785"/>
        <v>203.91499999999999</v>
      </c>
      <c r="AV566" s="589">
        <f>AU566+AV536+AV535</f>
        <v>201.5937969945355</v>
      </c>
      <c r="AW566" s="589">
        <f>AV566+AW536+AW535</f>
        <v>201.27257595251797</v>
      </c>
      <c r="AX566" s="589">
        <f>AW566+AX536+AX535</f>
        <v>201.60811016587175</v>
      </c>
      <c r="AY566" s="589"/>
      <c r="AZ566" s="834">
        <f t="shared" ref="AZ566:BN566" si="786">SUM(AZ563:AZ565)</f>
        <v>31.933</v>
      </c>
      <c r="BA566" s="834">
        <f t="shared" si="786"/>
        <v>70.394000000000005</v>
      </c>
      <c r="BB566" s="834">
        <f t="shared" si="786"/>
        <v>118.29599999999999</v>
      </c>
      <c r="BC566" s="834">
        <f t="shared" si="786"/>
        <v>131.79</v>
      </c>
      <c r="BD566" s="834">
        <f t="shared" si="786"/>
        <v>140.24200000000002</v>
      </c>
      <c r="BE566" s="834">
        <f t="shared" si="786"/>
        <v>134.41</v>
      </c>
      <c r="BF566" s="834">
        <f t="shared" si="786"/>
        <v>142.57399999999998</v>
      </c>
      <c r="BG566" s="834">
        <f t="shared" si="786"/>
        <v>156.524</v>
      </c>
      <c r="BH566" s="834">
        <f t="shared" si="786"/>
        <v>142.13400000000001</v>
      </c>
      <c r="BI566" s="834">
        <f t="shared" si="786"/>
        <v>126.99699999999999</v>
      </c>
      <c r="BJ566" s="834">
        <f t="shared" si="786"/>
        <v>119.44299999999998</v>
      </c>
      <c r="BK566" s="834">
        <f t="shared" si="786"/>
        <v>174.79300000000001</v>
      </c>
      <c r="BL566" s="834">
        <f t="shared" si="786"/>
        <v>207.16399999999999</v>
      </c>
      <c r="BM566" s="834">
        <f t="shared" si="786"/>
        <v>211.04899999999998</v>
      </c>
      <c r="BN566" s="835">
        <f t="shared" si="786"/>
        <v>209.02300000000002</v>
      </c>
      <c r="BO566" s="766">
        <f t="shared" ref="BO566:BO571" si="787">AX566</f>
        <v>201.60811016587175</v>
      </c>
      <c r="BP566" s="766" t="e">
        <f>#REF!</f>
        <v>#REF!</v>
      </c>
      <c r="BQ566" s="766" t="e">
        <f>BP566+BQ536+BQ535</f>
        <v>#REF!</v>
      </c>
      <c r="BR566" s="766" t="e">
        <f>BQ566+BR536+BR535</f>
        <v>#REF!</v>
      </c>
      <c r="BS566" s="766" t="e">
        <f>BR566+BS536+BS535</f>
        <v>#REF!</v>
      </c>
      <c r="BT566" s="533"/>
    </row>
    <row r="567" spans="1:72" s="17" customFormat="1" x14ac:dyDescent="0.35">
      <c r="A567" s="208" t="s">
        <v>203</v>
      </c>
      <c r="B567" s="308"/>
      <c r="C567" s="638">
        <v>61.427999999999997</v>
      </c>
      <c r="D567" s="638">
        <v>61.500999999999998</v>
      </c>
      <c r="E567" s="638">
        <v>61.4</v>
      </c>
      <c r="F567" s="533">
        <f>BD567</f>
        <v>61.412999999999997</v>
      </c>
      <c r="G567" s="638">
        <v>61.523000000000003</v>
      </c>
      <c r="H567" s="638">
        <v>61.570999999999998</v>
      </c>
      <c r="I567" s="638">
        <v>61.581000000000003</v>
      </c>
      <c r="J567" s="533">
        <f>BE567</f>
        <v>58.088000000000001</v>
      </c>
      <c r="K567" s="638">
        <v>67.27</v>
      </c>
      <c r="L567" s="638">
        <v>67.241</v>
      </c>
      <c r="M567" s="638">
        <v>67.241</v>
      </c>
      <c r="N567" s="533">
        <f>BF567</f>
        <v>66.16</v>
      </c>
      <c r="O567" s="638">
        <v>66.16</v>
      </c>
      <c r="P567" s="638">
        <v>66.16</v>
      </c>
      <c r="Q567" s="638">
        <v>66.16</v>
      </c>
      <c r="R567" s="533">
        <f>BG567</f>
        <v>87.284999999999997</v>
      </c>
      <c r="S567" s="638">
        <v>87.284999999999997</v>
      </c>
      <c r="T567" s="638">
        <v>87.284999999999997</v>
      </c>
      <c r="U567" s="638">
        <v>87.284999999999997</v>
      </c>
      <c r="V567" s="533">
        <f>BH567</f>
        <v>87.213999999999999</v>
      </c>
      <c r="W567" s="638">
        <v>87.213999999999999</v>
      </c>
      <c r="X567" s="638">
        <v>90.197000000000003</v>
      </c>
      <c r="Y567" s="638">
        <v>90.197000000000003</v>
      </c>
      <c r="Z567" s="533">
        <f>BI567</f>
        <v>90.197000000000003</v>
      </c>
      <c r="AA567" s="638">
        <v>90.197000000000003</v>
      </c>
      <c r="AB567" s="638">
        <v>90.197000000000003</v>
      </c>
      <c r="AC567" s="638">
        <v>90.197000000000003</v>
      </c>
      <c r="AD567" s="533">
        <f>BJ567</f>
        <v>90.197000000000003</v>
      </c>
      <c r="AE567" s="638">
        <v>90.197000000000003</v>
      </c>
      <c r="AF567" s="638">
        <v>90.197000000000003</v>
      </c>
      <c r="AG567" s="638">
        <v>197.803</v>
      </c>
      <c r="AH567" s="533">
        <f>BK567</f>
        <v>174.93899999999999</v>
      </c>
      <c r="AI567" s="638">
        <v>174.523</v>
      </c>
      <c r="AJ567" s="638">
        <v>240.79900000000001</v>
      </c>
      <c r="AK567" s="638">
        <v>240.251</v>
      </c>
      <c r="AL567" s="533">
        <f>BL567</f>
        <v>240.35300000000001</v>
      </c>
      <c r="AM567" s="638">
        <v>240.35300000000001</v>
      </c>
      <c r="AN567" s="638">
        <v>240.92099999999999</v>
      </c>
      <c r="AO567" s="638">
        <v>240.952</v>
      </c>
      <c r="AP567" s="533">
        <f>BM567</f>
        <v>241.02199999999999</v>
      </c>
      <c r="AQ567" s="638">
        <v>246.238</v>
      </c>
      <c r="AR567" s="638">
        <v>246.67599999999999</v>
      </c>
      <c r="AS567" s="638">
        <v>246.67599999999999</v>
      </c>
      <c r="AT567" s="533">
        <f>BN567</f>
        <v>246.67599999999999</v>
      </c>
      <c r="AU567" s="643">
        <v>246.67599999999999</v>
      </c>
      <c r="AV567" s="532">
        <f t="shared" ref="AV567:AX571" si="788">AU567</f>
        <v>246.67599999999999</v>
      </c>
      <c r="AW567" s="532">
        <f t="shared" si="788"/>
        <v>246.67599999999999</v>
      </c>
      <c r="AX567" s="532">
        <f t="shared" si="788"/>
        <v>246.67599999999999</v>
      </c>
      <c r="AY567" s="532"/>
      <c r="AZ567" s="729">
        <v>1.825</v>
      </c>
      <c r="BA567" s="729">
        <v>1.825</v>
      </c>
      <c r="BB567" s="729">
        <v>55.627000000000002</v>
      </c>
      <c r="BC567" s="729">
        <v>61.619</v>
      </c>
      <c r="BD567" s="729">
        <v>61.412999999999997</v>
      </c>
      <c r="BE567" s="729">
        <v>58.088000000000001</v>
      </c>
      <c r="BF567" s="729">
        <v>66.16</v>
      </c>
      <c r="BG567" s="729">
        <v>87.284999999999997</v>
      </c>
      <c r="BH567" s="729">
        <v>87.213999999999999</v>
      </c>
      <c r="BI567" s="729">
        <v>90.197000000000003</v>
      </c>
      <c r="BJ567" s="729">
        <v>90.197000000000003</v>
      </c>
      <c r="BK567" s="729">
        <v>174.93899999999999</v>
      </c>
      <c r="BL567" s="729">
        <v>240.35300000000001</v>
      </c>
      <c r="BM567" s="729">
        <v>241.02199999999999</v>
      </c>
      <c r="BN567" s="748">
        <v>246.67599999999999</v>
      </c>
      <c r="BO567" s="156">
        <f t="shared" si="787"/>
        <v>246.67599999999999</v>
      </c>
      <c r="BP567" s="156" t="e">
        <f>#REF!</f>
        <v>#REF!</v>
      </c>
      <c r="BQ567" s="156" t="e">
        <f t="shared" ref="BQ567:BS571" si="789">BP567</f>
        <v>#REF!</v>
      </c>
      <c r="BR567" s="156" t="e">
        <f t="shared" si="789"/>
        <v>#REF!</v>
      </c>
      <c r="BS567" s="156" t="e">
        <f t="shared" si="789"/>
        <v>#REF!</v>
      </c>
      <c r="BT567" s="533"/>
    </row>
    <row r="568" spans="1:72" s="17" customFormat="1" x14ac:dyDescent="0.35">
      <c r="A568" s="208" t="s">
        <v>130</v>
      </c>
      <c r="B568" s="308"/>
      <c r="C568" s="638">
        <v>2.3839999999999999</v>
      </c>
      <c r="D568" s="638">
        <v>2.9020000000000001</v>
      </c>
      <c r="E568" s="638">
        <v>2.8250000000000002</v>
      </c>
      <c r="F568" s="533">
        <f>BD568</f>
        <v>3.15</v>
      </c>
      <c r="G568" s="638">
        <v>5.415</v>
      </c>
      <c r="H568" s="638">
        <v>5.4249999999999998</v>
      </c>
      <c r="I568" s="638">
        <v>5.5469999999999997</v>
      </c>
      <c r="J568" s="533">
        <f>BE568</f>
        <v>5.3869999999999996</v>
      </c>
      <c r="K568" s="638">
        <v>5.6680000000000001</v>
      </c>
      <c r="L568" s="638">
        <v>5.8529999999999998</v>
      </c>
      <c r="M568" s="638">
        <v>5.8490000000000002</v>
      </c>
      <c r="N568" s="533">
        <f>BF568</f>
        <v>6.4950000000000001</v>
      </c>
      <c r="O568" s="638">
        <v>6.7910000000000004</v>
      </c>
      <c r="P568" s="638">
        <v>6.806</v>
      </c>
      <c r="Q568" s="638">
        <v>7.0490000000000004</v>
      </c>
      <c r="R568" s="533">
        <f>BG568</f>
        <v>15.944000000000001</v>
      </c>
      <c r="S568" s="638">
        <v>13.648999999999999</v>
      </c>
      <c r="T568" s="638">
        <v>10.679</v>
      </c>
      <c r="U568" s="638">
        <v>6.4589999999999996</v>
      </c>
      <c r="V568" s="533">
        <f>BH568</f>
        <v>6.0570000000000004</v>
      </c>
      <c r="W568" s="638">
        <v>7.1340000000000003</v>
      </c>
      <c r="X568" s="638">
        <v>8.0630000000000006</v>
      </c>
      <c r="Y568" s="638">
        <v>31.591999999999999</v>
      </c>
      <c r="Z568" s="533">
        <f>36.669-Z569</f>
        <v>34.668999999999997</v>
      </c>
      <c r="AA568" s="533">
        <f>48.075-AA569</f>
        <v>46.075000000000003</v>
      </c>
      <c r="AB568" s="533">
        <f>45.865-AB569</f>
        <v>43.865000000000002</v>
      </c>
      <c r="AC568" s="533">
        <f>45.486-AC569</f>
        <v>43.485999999999997</v>
      </c>
      <c r="AD568" s="533">
        <f>48.33-AD569</f>
        <v>47.33</v>
      </c>
      <c r="AE568" s="533">
        <f>69.772-AE569</f>
        <v>68.772000000000006</v>
      </c>
      <c r="AF568" s="533">
        <f>72.772-AF569</f>
        <v>71.772000000000006</v>
      </c>
      <c r="AG568" s="533">
        <f>56.487-AG569</f>
        <v>55.487000000000002</v>
      </c>
      <c r="AH568" s="533">
        <f>BK568</f>
        <v>71.323999999999998</v>
      </c>
      <c r="AI568" s="533">
        <f>73.014-AI569</f>
        <v>72.513999999999996</v>
      </c>
      <c r="AJ568" s="533">
        <f>75.175-AJ569</f>
        <v>74.674999999999997</v>
      </c>
      <c r="AK568" s="533">
        <f>77.316-AK569</f>
        <v>76.816000000000003</v>
      </c>
      <c r="AL568" s="533">
        <f>BL568</f>
        <v>105.51</v>
      </c>
      <c r="AM568" s="533">
        <f>94.98-AM569</f>
        <v>94.98</v>
      </c>
      <c r="AN568" s="533">
        <f>97.617-AN569</f>
        <v>97.617000000000004</v>
      </c>
      <c r="AO568" s="533">
        <f>99.583-AO569</f>
        <v>99.582999999999998</v>
      </c>
      <c r="AP568" s="533">
        <f>BM568</f>
        <v>93.945999999999998</v>
      </c>
      <c r="AQ568" s="638">
        <v>80.221000000000004</v>
      </c>
      <c r="AR568" s="638">
        <v>89.694000000000003</v>
      </c>
      <c r="AS568" s="638">
        <v>101.425</v>
      </c>
      <c r="AT568" s="533">
        <f>BN568</f>
        <v>109.152</v>
      </c>
      <c r="AU568" s="643">
        <v>109.339</v>
      </c>
      <c r="AV568" s="532">
        <f t="shared" si="788"/>
        <v>109.339</v>
      </c>
      <c r="AW568" s="532">
        <f t="shared" si="788"/>
        <v>109.339</v>
      </c>
      <c r="AX568" s="532">
        <f t="shared" si="788"/>
        <v>109.339</v>
      </c>
      <c r="AY568" s="532"/>
      <c r="AZ568" s="729">
        <v>2.242</v>
      </c>
      <c r="BA568" s="729">
        <v>2.2130000000000001</v>
      </c>
      <c r="BB568" s="729">
        <v>3.448</v>
      </c>
      <c r="BC568" s="729">
        <v>2.6840000000000002</v>
      </c>
      <c r="BD568" s="729">
        <v>3.15</v>
      </c>
      <c r="BE568" s="729">
        <v>5.3869999999999996</v>
      </c>
      <c r="BF568" s="729">
        <v>6.4950000000000001</v>
      </c>
      <c r="BG568" s="729">
        <v>15.944000000000001</v>
      </c>
      <c r="BH568" s="729">
        <v>6.0570000000000004</v>
      </c>
      <c r="BI568" s="755">
        <f>36.669-BI569</f>
        <v>34.668999999999997</v>
      </c>
      <c r="BJ568" s="755">
        <f>48.33-BJ569</f>
        <v>47.33</v>
      </c>
      <c r="BK568" s="755">
        <f>71.824-BK569</f>
        <v>71.323999999999998</v>
      </c>
      <c r="BL568" s="755">
        <f>105.51-BL569</f>
        <v>105.51</v>
      </c>
      <c r="BM568" s="729">
        <v>93.945999999999998</v>
      </c>
      <c r="BN568" s="748">
        <v>109.152</v>
      </c>
      <c r="BO568" s="156">
        <f t="shared" si="787"/>
        <v>109.339</v>
      </c>
      <c r="BP568" s="156" t="e">
        <f>#REF!</f>
        <v>#REF!</v>
      </c>
      <c r="BQ568" s="156" t="e">
        <f t="shared" si="789"/>
        <v>#REF!</v>
      </c>
      <c r="BR568" s="156" t="e">
        <f t="shared" si="789"/>
        <v>#REF!</v>
      </c>
      <c r="BS568" s="156" t="e">
        <f t="shared" si="789"/>
        <v>#REF!</v>
      </c>
      <c r="BT568" s="533"/>
    </row>
    <row r="569" spans="1:72" s="17" customFormat="1" x14ac:dyDescent="0.35">
      <c r="A569" s="208" t="s">
        <v>135</v>
      </c>
      <c r="B569" s="308"/>
      <c r="C569" s="532"/>
      <c r="D569" s="532"/>
      <c r="E569" s="532"/>
      <c r="F569" s="532"/>
      <c r="G569" s="532"/>
      <c r="H569" s="532"/>
      <c r="I569" s="532"/>
      <c r="J569" s="532"/>
      <c r="K569" s="532"/>
      <c r="L569" s="532"/>
      <c r="M569" s="532"/>
      <c r="N569" s="532"/>
      <c r="O569" s="532"/>
      <c r="P569" s="532"/>
      <c r="Q569" s="532"/>
      <c r="R569" s="532"/>
      <c r="S569" s="532"/>
      <c r="T569" s="532"/>
      <c r="U569" s="532"/>
      <c r="V569" s="532"/>
      <c r="W569" s="532"/>
      <c r="X569" s="532"/>
      <c r="Y569" s="532"/>
      <c r="Z569" s="533">
        <f>BI569</f>
        <v>2</v>
      </c>
      <c r="AA569" s="638">
        <v>2</v>
      </c>
      <c r="AB569" s="638">
        <v>2</v>
      </c>
      <c r="AC569" s="638">
        <v>2</v>
      </c>
      <c r="AD569" s="533">
        <f>BJ569</f>
        <v>1</v>
      </c>
      <c r="AE569" s="638">
        <v>1</v>
      </c>
      <c r="AF569" s="638">
        <v>1</v>
      </c>
      <c r="AG569" s="638">
        <v>1</v>
      </c>
      <c r="AH569" s="533">
        <f>BK569</f>
        <v>0.5</v>
      </c>
      <c r="AI569" s="638">
        <v>0.5</v>
      </c>
      <c r="AJ569" s="638">
        <v>0.5</v>
      </c>
      <c r="AK569" s="638">
        <v>0.5</v>
      </c>
      <c r="AL569" s="533">
        <f>BL569</f>
        <v>0</v>
      </c>
      <c r="AM569" s="532"/>
      <c r="AN569" s="532"/>
      <c r="AO569" s="532"/>
      <c r="AP569" s="533">
        <f>BM569</f>
        <v>0</v>
      </c>
      <c r="AQ569" s="532"/>
      <c r="AR569" s="532"/>
      <c r="AS569" s="532"/>
      <c r="AT569" s="533">
        <f>BN569</f>
        <v>0</v>
      </c>
      <c r="AU569" s="534"/>
      <c r="AV569" s="532">
        <f t="shared" si="788"/>
        <v>0</v>
      </c>
      <c r="AW569" s="532">
        <f t="shared" si="788"/>
        <v>0</v>
      </c>
      <c r="AX569" s="532">
        <f t="shared" si="788"/>
        <v>0</v>
      </c>
      <c r="AY569" s="532"/>
      <c r="AZ569" s="156"/>
      <c r="BA569" s="156"/>
      <c r="BB569" s="156"/>
      <c r="BC569" s="156"/>
      <c r="BD569" s="156"/>
      <c r="BE569" s="156"/>
      <c r="BF569" s="156"/>
      <c r="BG569" s="156"/>
      <c r="BH569" s="156"/>
      <c r="BI569" s="729">
        <v>2</v>
      </c>
      <c r="BJ569" s="729">
        <v>1</v>
      </c>
      <c r="BK569" s="729">
        <v>0.5</v>
      </c>
      <c r="BL569" s="156"/>
      <c r="BM569" s="156"/>
      <c r="BN569" s="730"/>
      <c r="BO569" s="156">
        <f t="shared" si="787"/>
        <v>0</v>
      </c>
      <c r="BP569" s="156" t="e">
        <f>#REF!</f>
        <v>#REF!</v>
      </c>
      <c r="BQ569" s="156" t="e">
        <f t="shared" si="789"/>
        <v>#REF!</v>
      </c>
      <c r="BR569" s="156" t="e">
        <f t="shared" si="789"/>
        <v>#REF!</v>
      </c>
      <c r="BS569" s="156" t="e">
        <f t="shared" si="789"/>
        <v>#REF!</v>
      </c>
      <c r="BT569" s="533"/>
    </row>
    <row r="570" spans="1:72" s="17" customFormat="1" x14ac:dyDescent="0.35">
      <c r="A570" s="208" t="s">
        <v>204</v>
      </c>
      <c r="B570" s="308"/>
      <c r="C570" s="532"/>
      <c r="D570" s="532"/>
      <c r="E570" s="532"/>
      <c r="F570" s="533">
        <f>BD570</f>
        <v>0</v>
      </c>
      <c r="G570" s="532"/>
      <c r="H570" s="532"/>
      <c r="I570" s="532"/>
      <c r="J570" s="533">
        <f>BE570</f>
        <v>0</v>
      </c>
      <c r="K570" s="532"/>
      <c r="L570" s="532"/>
      <c r="M570" s="532"/>
      <c r="N570" s="533">
        <f>BF570</f>
        <v>0</v>
      </c>
      <c r="O570" s="532"/>
      <c r="P570" s="532"/>
      <c r="Q570" s="532"/>
      <c r="R570" s="533">
        <f>BG570</f>
        <v>0</v>
      </c>
      <c r="S570" s="532"/>
      <c r="T570" s="532"/>
      <c r="U570" s="532"/>
      <c r="V570" s="532"/>
      <c r="W570" s="532"/>
      <c r="X570" s="532"/>
      <c r="Y570" s="532"/>
      <c r="Z570" s="532"/>
      <c r="AA570" s="532"/>
      <c r="AB570" s="532"/>
      <c r="AC570" s="532"/>
      <c r="AD570" s="532"/>
      <c r="AE570" s="532"/>
      <c r="AF570" s="532"/>
      <c r="AG570" s="532"/>
      <c r="AH570" s="532"/>
      <c r="AI570" s="532"/>
      <c r="AJ570" s="532"/>
      <c r="AK570" s="532"/>
      <c r="AL570" s="532"/>
      <c r="AM570" s="532"/>
      <c r="AN570" s="532"/>
      <c r="AO570" s="532"/>
      <c r="AP570" s="532"/>
      <c r="AQ570" s="532"/>
      <c r="AR570" s="532"/>
      <c r="AS570" s="532"/>
      <c r="AT570" s="532">
        <f>BN570</f>
        <v>8.7759999999999998</v>
      </c>
      <c r="AU570" s="643">
        <v>1.766</v>
      </c>
      <c r="AV570" s="532">
        <f t="shared" si="788"/>
        <v>1.766</v>
      </c>
      <c r="AW570" s="532">
        <f t="shared" si="788"/>
        <v>1.766</v>
      </c>
      <c r="AX570" s="532">
        <f t="shared" si="788"/>
        <v>1.766</v>
      </c>
      <c r="AY570" s="532"/>
      <c r="AZ570" s="729">
        <v>14.619</v>
      </c>
      <c r="BA570" s="729">
        <v>5.9119999999999999</v>
      </c>
      <c r="BB570" s="156"/>
      <c r="BC570" s="156"/>
      <c r="BD570" s="156"/>
      <c r="BE570" s="156"/>
      <c r="BF570" s="156"/>
      <c r="BG570" s="156"/>
      <c r="BH570" s="156"/>
      <c r="BI570" s="156"/>
      <c r="BJ570" s="156"/>
      <c r="BK570" s="156"/>
      <c r="BL570" s="156"/>
      <c r="BM570" s="156"/>
      <c r="BN570" s="748">
        <v>8.7759999999999998</v>
      </c>
      <c r="BO570" s="156">
        <f t="shared" si="787"/>
        <v>1.766</v>
      </c>
      <c r="BP570" s="156" t="e">
        <f>#REF!</f>
        <v>#REF!</v>
      </c>
      <c r="BQ570" s="156" t="e">
        <f t="shared" si="789"/>
        <v>#REF!</v>
      </c>
      <c r="BR570" s="156" t="e">
        <f t="shared" si="789"/>
        <v>#REF!</v>
      </c>
      <c r="BS570" s="156" t="e">
        <f t="shared" si="789"/>
        <v>#REF!</v>
      </c>
      <c r="BT570" s="533"/>
    </row>
    <row r="571" spans="1:72" s="17" customFormat="1" x14ac:dyDescent="0.35">
      <c r="A571" s="267" t="s">
        <v>205</v>
      </c>
      <c r="B571" s="362"/>
      <c r="C571" s="639">
        <v>10</v>
      </c>
      <c r="D571" s="639">
        <v>10</v>
      </c>
      <c r="E571" s="639">
        <v>10</v>
      </c>
      <c r="F571" s="571">
        <f>BD571</f>
        <v>0</v>
      </c>
      <c r="G571" s="535"/>
      <c r="H571" s="535"/>
      <c r="I571" s="535"/>
      <c r="J571" s="571">
        <f>BE571</f>
        <v>0</v>
      </c>
      <c r="K571" s="535"/>
      <c r="L571" s="535"/>
      <c r="M571" s="535"/>
      <c r="N571" s="571">
        <f>BF571</f>
        <v>0</v>
      </c>
      <c r="O571" s="535"/>
      <c r="P571" s="535"/>
      <c r="Q571" s="535"/>
      <c r="R571" s="571">
        <f>BG571</f>
        <v>0</v>
      </c>
      <c r="S571" s="535"/>
      <c r="T571" s="535"/>
      <c r="U571" s="535"/>
      <c r="V571" s="535"/>
      <c r="W571" s="535"/>
      <c r="X571" s="535"/>
      <c r="Y571" s="535"/>
      <c r="Z571" s="535"/>
      <c r="AA571" s="535"/>
      <c r="AB571" s="535"/>
      <c r="AC571" s="535"/>
      <c r="AD571" s="535"/>
      <c r="AE571" s="535"/>
      <c r="AF571" s="535"/>
      <c r="AG571" s="535"/>
      <c r="AH571" s="535"/>
      <c r="AI571" s="535"/>
      <c r="AJ571" s="535"/>
      <c r="AK571" s="535"/>
      <c r="AL571" s="535"/>
      <c r="AM571" s="535"/>
      <c r="AN571" s="535"/>
      <c r="AO571" s="535"/>
      <c r="AP571" s="535"/>
      <c r="AQ571" s="535"/>
      <c r="AR571" s="535"/>
      <c r="AS571" s="535"/>
      <c r="AT571" s="535">
        <f>BN571</f>
        <v>0</v>
      </c>
      <c r="AU571" s="536"/>
      <c r="AV571" s="535">
        <f t="shared" si="788"/>
        <v>0</v>
      </c>
      <c r="AW571" s="535">
        <f t="shared" si="788"/>
        <v>0</v>
      </c>
      <c r="AX571" s="535">
        <f t="shared" si="788"/>
        <v>0</v>
      </c>
      <c r="AY571" s="535"/>
      <c r="AZ571" s="731"/>
      <c r="BA571" s="731"/>
      <c r="BB571" s="732">
        <v>10</v>
      </c>
      <c r="BC571" s="732">
        <v>10</v>
      </c>
      <c r="BD571" s="731"/>
      <c r="BE571" s="731"/>
      <c r="BF571" s="731"/>
      <c r="BG571" s="731"/>
      <c r="BH571" s="731"/>
      <c r="BI571" s="731"/>
      <c r="BJ571" s="731"/>
      <c r="BK571" s="731"/>
      <c r="BL571" s="731"/>
      <c r="BM571" s="731"/>
      <c r="BN571" s="733"/>
      <c r="BO571" s="731">
        <f t="shared" si="787"/>
        <v>0</v>
      </c>
      <c r="BP571" s="731" t="e">
        <f>#REF!</f>
        <v>#REF!</v>
      </c>
      <c r="BQ571" s="731" t="e">
        <f t="shared" si="789"/>
        <v>#REF!</v>
      </c>
      <c r="BR571" s="731" t="e">
        <f t="shared" si="789"/>
        <v>#REF!</v>
      </c>
      <c r="BS571" s="731" t="e">
        <f t="shared" si="789"/>
        <v>#REF!</v>
      </c>
      <c r="BT571" s="533"/>
    </row>
    <row r="572" spans="1:72" s="1" customFormat="1" x14ac:dyDescent="0.35">
      <c r="A572" s="47" t="s">
        <v>206</v>
      </c>
      <c r="B572" s="360"/>
      <c r="C572" s="573">
        <f t="shared" ref="C572:AH572" si="790">SUM(C561:C562,C566:C571)</f>
        <v>274.88099999999997</v>
      </c>
      <c r="D572" s="573">
        <f t="shared" si="790"/>
        <v>274.53899999999999</v>
      </c>
      <c r="E572" s="573">
        <f t="shared" si="790"/>
        <v>274.56499999999994</v>
      </c>
      <c r="F572" s="573">
        <f t="shared" si="790"/>
        <v>260.947</v>
      </c>
      <c r="G572" s="573">
        <f t="shared" si="790"/>
        <v>269.93299999999999</v>
      </c>
      <c r="H572" s="573">
        <f t="shared" si="790"/>
        <v>253.256</v>
      </c>
      <c r="I572" s="573">
        <f t="shared" si="790"/>
        <v>249.79999999999998</v>
      </c>
      <c r="J572" s="573">
        <f t="shared" si="790"/>
        <v>246.46599999999998</v>
      </c>
      <c r="K572" s="573">
        <f t="shared" si="790"/>
        <v>262.27299999999997</v>
      </c>
      <c r="L572" s="573">
        <f t="shared" si="790"/>
        <v>260.13800000000003</v>
      </c>
      <c r="M572" s="573">
        <f t="shared" si="790"/>
        <v>261.827</v>
      </c>
      <c r="N572" s="573">
        <f t="shared" si="790"/>
        <v>249.636</v>
      </c>
      <c r="O572" s="573">
        <f t="shared" si="790"/>
        <v>249.07699999999997</v>
      </c>
      <c r="P572" s="573">
        <f t="shared" si="790"/>
        <v>245.262</v>
      </c>
      <c r="Q572" s="573">
        <f t="shared" si="790"/>
        <v>245.32799999999997</v>
      </c>
      <c r="R572" s="573">
        <f t="shared" si="790"/>
        <v>288.2</v>
      </c>
      <c r="S572" s="573">
        <f t="shared" si="790"/>
        <v>288.69899999999996</v>
      </c>
      <c r="T572" s="573">
        <f t="shared" si="790"/>
        <v>277.70299999999997</v>
      </c>
      <c r="U572" s="573">
        <f t="shared" si="790"/>
        <v>265.85899999999998</v>
      </c>
      <c r="V572" s="573">
        <f t="shared" si="790"/>
        <v>261.702</v>
      </c>
      <c r="W572" s="573">
        <f t="shared" si="790"/>
        <v>264.22000000000003</v>
      </c>
      <c r="X572" s="573">
        <f t="shared" si="790"/>
        <v>259.90100000000001</v>
      </c>
      <c r="Y572" s="573">
        <f t="shared" si="790"/>
        <v>278.97899999999998</v>
      </c>
      <c r="Z572" s="573">
        <f t="shared" si="790"/>
        <v>282.73099999999999</v>
      </c>
      <c r="AA572" s="573">
        <f t="shared" si="790"/>
        <v>299.59800000000001</v>
      </c>
      <c r="AB572" s="573">
        <f t="shared" si="790"/>
        <v>290.09100000000001</v>
      </c>
      <c r="AC572" s="573">
        <f t="shared" si="790"/>
        <v>287.03699999999998</v>
      </c>
      <c r="AD572" s="573">
        <f t="shared" si="790"/>
        <v>289.95</v>
      </c>
      <c r="AE572" s="573">
        <f t="shared" si="790"/>
        <v>315.18700000000001</v>
      </c>
      <c r="AF572" s="573">
        <f t="shared" si="790"/>
        <v>313.25600000000003</v>
      </c>
      <c r="AG572" s="573">
        <f t="shared" si="790"/>
        <v>549.30700000000002</v>
      </c>
      <c r="AH572" s="573">
        <f t="shared" si="790"/>
        <v>571.99199999999996</v>
      </c>
      <c r="AI572" s="573">
        <f t="shared" ref="AI572:AX572" si="791">SUM(AI561:AI562,AI566:AI571)</f>
        <v>598.98500000000001</v>
      </c>
      <c r="AJ572" s="573">
        <f t="shared" si="791"/>
        <v>703.47699999999998</v>
      </c>
      <c r="AK572" s="573">
        <f t="shared" si="791"/>
        <v>703.96299999999997</v>
      </c>
      <c r="AL572" s="573">
        <f t="shared" si="791"/>
        <v>719.76700000000005</v>
      </c>
      <c r="AM572" s="573">
        <f t="shared" si="791"/>
        <v>712.78600000000006</v>
      </c>
      <c r="AN572" s="573">
        <f t="shared" si="791"/>
        <v>709.61400000000003</v>
      </c>
      <c r="AO572" s="573">
        <f t="shared" si="791"/>
        <v>702.95299999999997</v>
      </c>
      <c r="AP572" s="573">
        <f t="shared" si="791"/>
        <v>693.01100000000008</v>
      </c>
      <c r="AQ572" s="573">
        <f t="shared" si="791"/>
        <v>690.96100000000001</v>
      </c>
      <c r="AR572" s="573">
        <f t="shared" si="791"/>
        <v>690.47599999999989</v>
      </c>
      <c r="AS572" s="573">
        <f t="shared" si="791"/>
        <v>693.04199999999992</v>
      </c>
      <c r="AT572" s="573">
        <f t="shared" si="791"/>
        <v>695.46699999999998</v>
      </c>
      <c r="AU572" s="577">
        <f t="shared" si="791"/>
        <v>687.3689999999998</v>
      </c>
      <c r="AV572" s="572">
        <f t="shared" si="791"/>
        <v>674.56758442622947</v>
      </c>
      <c r="AW572" s="572">
        <f t="shared" si="791"/>
        <v>666.13653232283343</v>
      </c>
      <c r="AX572" s="572">
        <f t="shared" si="791"/>
        <v>660.02517469612724</v>
      </c>
      <c r="AY572" s="572"/>
      <c r="AZ572" s="735">
        <f t="shared" ref="AZ572:BS572" si="792">SUM(AZ561:AZ562,AZ566:AZ571)</f>
        <v>88.479000000000013</v>
      </c>
      <c r="BA572" s="735">
        <f t="shared" si="792"/>
        <v>104.60400000000001</v>
      </c>
      <c r="BB572" s="735">
        <f t="shared" si="792"/>
        <v>233.99600000000001</v>
      </c>
      <c r="BC572" s="735">
        <f t="shared" si="792"/>
        <v>261.99599999999998</v>
      </c>
      <c r="BD572" s="735">
        <f t="shared" si="792"/>
        <v>260.947</v>
      </c>
      <c r="BE572" s="735">
        <f t="shared" si="792"/>
        <v>246.46599999999998</v>
      </c>
      <c r="BF572" s="735">
        <f t="shared" si="792"/>
        <v>249.636</v>
      </c>
      <c r="BG572" s="735">
        <f t="shared" si="792"/>
        <v>288.2</v>
      </c>
      <c r="BH572" s="735">
        <f t="shared" si="792"/>
        <v>261.702</v>
      </c>
      <c r="BI572" s="735">
        <f t="shared" si="792"/>
        <v>282.73099999999999</v>
      </c>
      <c r="BJ572" s="735">
        <f t="shared" si="792"/>
        <v>289.95</v>
      </c>
      <c r="BK572" s="735">
        <f t="shared" si="792"/>
        <v>571.99199999999996</v>
      </c>
      <c r="BL572" s="735">
        <f t="shared" si="792"/>
        <v>719.76700000000005</v>
      </c>
      <c r="BM572" s="735">
        <f t="shared" si="792"/>
        <v>693.01100000000008</v>
      </c>
      <c r="BN572" s="749">
        <f t="shared" si="792"/>
        <v>695.46699999999998</v>
      </c>
      <c r="BO572" s="734">
        <f t="shared" si="792"/>
        <v>660.02517469612724</v>
      </c>
      <c r="BP572" s="734" t="e">
        <f t="shared" si="792"/>
        <v>#REF!</v>
      </c>
      <c r="BQ572" s="734" t="e">
        <f t="shared" si="792"/>
        <v>#REF!</v>
      </c>
      <c r="BR572" s="734" t="e">
        <f t="shared" si="792"/>
        <v>#REF!</v>
      </c>
      <c r="BS572" s="734" t="e">
        <f t="shared" si="792"/>
        <v>#REF!</v>
      </c>
      <c r="BT572" s="530"/>
    </row>
    <row r="573" spans="1:72" s="1" customFormat="1" x14ac:dyDescent="0.35">
      <c r="A573" s="51" t="s">
        <v>207</v>
      </c>
      <c r="B573" s="307"/>
      <c r="C573" s="530">
        <f t="shared" ref="C573:AH573" si="793">C558+C572</f>
        <v>719.49799999999993</v>
      </c>
      <c r="D573" s="530">
        <f t="shared" si="793"/>
        <v>718.70900000000006</v>
      </c>
      <c r="E573" s="530">
        <f t="shared" si="793"/>
        <v>739.91799999999989</v>
      </c>
      <c r="F573" s="530">
        <f t="shared" si="793"/>
        <v>718.89599999999996</v>
      </c>
      <c r="G573" s="530">
        <f t="shared" si="793"/>
        <v>798.29700000000003</v>
      </c>
      <c r="H573" s="530">
        <f t="shared" si="793"/>
        <v>748.88700000000006</v>
      </c>
      <c r="I573" s="530">
        <f t="shared" si="793"/>
        <v>737.255</v>
      </c>
      <c r="J573" s="530">
        <f t="shared" si="793"/>
        <v>711.66699999999992</v>
      </c>
      <c r="K573" s="530">
        <f t="shared" si="793"/>
        <v>731.21699999999998</v>
      </c>
      <c r="L573" s="530">
        <f t="shared" si="793"/>
        <v>715.28199999999993</v>
      </c>
      <c r="M573" s="530">
        <f t="shared" si="793"/>
        <v>743.70299999999997</v>
      </c>
      <c r="N573" s="530">
        <f t="shared" si="793"/>
        <v>708.59900000000005</v>
      </c>
      <c r="O573" s="530">
        <f t="shared" si="793"/>
        <v>737.41100000000006</v>
      </c>
      <c r="P573" s="530">
        <f t="shared" si="793"/>
        <v>714.99099999999999</v>
      </c>
      <c r="Q573" s="530">
        <f t="shared" si="793"/>
        <v>733.90599999999995</v>
      </c>
      <c r="R573" s="530">
        <f t="shared" si="793"/>
        <v>734.05500000000006</v>
      </c>
      <c r="S573" s="530">
        <f t="shared" si="793"/>
        <v>760.96499999999992</v>
      </c>
      <c r="T573" s="530">
        <f t="shared" si="793"/>
        <v>737.48800000000006</v>
      </c>
      <c r="U573" s="530">
        <f t="shared" si="793"/>
        <v>745.41599999999994</v>
      </c>
      <c r="V573" s="530">
        <f t="shared" si="793"/>
        <v>735.28399999999999</v>
      </c>
      <c r="W573" s="530">
        <f t="shared" si="793"/>
        <v>762.43900000000008</v>
      </c>
      <c r="X573" s="530">
        <f t="shared" si="793"/>
        <v>748.65599999999995</v>
      </c>
      <c r="Y573" s="530">
        <f t="shared" si="793"/>
        <v>761.12400000000002</v>
      </c>
      <c r="Z573" s="530">
        <f t="shared" si="793"/>
        <v>741.96299999999997</v>
      </c>
      <c r="AA573" s="530">
        <f t="shared" si="793"/>
        <v>784.80200000000002</v>
      </c>
      <c r="AB573" s="530">
        <f t="shared" si="793"/>
        <v>783.70299999999997</v>
      </c>
      <c r="AC573" s="530">
        <f t="shared" si="793"/>
        <v>809.01</v>
      </c>
      <c r="AD573" s="530">
        <f t="shared" si="793"/>
        <v>819.60599999999999</v>
      </c>
      <c r="AE573" s="530">
        <f t="shared" si="793"/>
        <v>813.49700000000007</v>
      </c>
      <c r="AF573" s="530">
        <f t="shared" si="793"/>
        <v>826.95</v>
      </c>
      <c r="AG573" s="530">
        <f t="shared" si="793"/>
        <v>1036.0050000000001</v>
      </c>
      <c r="AH573" s="530">
        <f t="shared" si="793"/>
        <v>1073.2629999999999</v>
      </c>
      <c r="AI573" s="530">
        <f t="shared" ref="AI573:AX573" si="794">AI558+AI572</f>
        <v>1404.4760000000001</v>
      </c>
      <c r="AJ573" s="530">
        <f t="shared" si="794"/>
        <v>1471.9540000000002</v>
      </c>
      <c r="AK573" s="530">
        <f t="shared" si="794"/>
        <v>1534.1679999999999</v>
      </c>
      <c r="AL573" s="530">
        <f t="shared" si="794"/>
        <v>1577.297</v>
      </c>
      <c r="AM573" s="530">
        <f t="shared" si="794"/>
        <v>1570.3650000000002</v>
      </c>
      <c r="AN573" s="530">
        <f t="shared" si="794"/>
        <v>1525.7450000000001</v>
      </c>
      <c r="AO573" s="530">
        <f t="shared" si="794"/>
        <v>1574.5320000000002</v>
      </c>
      <c r="AP573" s="530">
        <f t="shared" si="794"/>
        <v>1643.5450000000001</v>
      </c>
      <c r="AQ573" s="530">
        <f t="shared" si="794"/>
        <v>1622.098</v>
      </c>
      <c r="AR573" s="530">
        <f t="shared" si="794"/>
        <v>1619.2909999999997</v>
      </c>
      <c r="AS573" s="530">
        <f t="shared" si="794"/>
        <v>1699.848</v>
      </c>
      <c r="AT573" s="530">
        <f t="shared" si="794"/>
        <v>1760.6660000000002</v>
      </c>
      <c r="AU573" s="575">
        <f t="shared" si="794"/>
        <v>1767.645</v>
      </c>
      <c r="AV573" s="529">
        <f t="shared" ca="1" si="794"/>
        <v>1789.3290336751102</v>
      </c>
      <c r="AW573" s="529">
        <f t="shared" ca="1" si="794"/>
        <v>1893.7110217810759</v>
      </c>
      <c r="AX573" s="529">
        <f t="shared" ca="1" si="794"/>
        <v>1979.8917353653865</v>
      </c>
      <c r="AY573" s="529"/>
      <c r="AZ573" s="750">
        <f t="shared" ref="AZ573:BS573" si="795">AZ558+AZ572</f>
        <v>240.67599999999999</v>
      </c>
      <c r="BA573" s="750">
        <f t="shared" si="795"/>
        <v>307.88200000000001</v>
      </c>
      <c r="BB573" s="750">
        <f t="shared" si="795"/>
        <v>582.09499999999991</v>
      </c>
      <c r="BC573" s="750">
        <f t="shared" si="795"/>
        <v>648.83499999999992</v>
      </c>
      <c r="BD573" s="750">
        <f t="shared" si="795"/>
        <v>718.89599999999996</v>
      </c>
      <c r="BE573" s="750">
        <f t="shared" si="795"/>
        <v>711.66699999999992</v>
      </c>
      <c r="BF573" s="750">
        <f t="shared" si="795"/>
        <v>708.59900000000005</v>
      </c>
      <c r="BG573" s="750">
        <f t="shared" si="795"/>
        <v>734.05500000000006</v>
      </c>
      <c r="BH573" s="750">
        <f t="shared" si="795"/>
        <v>735.28399999999999</v>
      </c>
      <c r="BI573" s="750">
        <f t="shared" si="795"/>
        <v>741.96299999999997</v>
      </c>
      <c r="BJ573" s="750">
        <f t="shared" si="795"/>
        <v>819.60599999999999</v>
      </c>
      <c r="BK573" s="750">
        <f t="shared" si="795"/>
        <v>1073.2629999999999</v>
      </c>
      <c r="BL573" s="750">
        <f t="shared" si="795"/>
        <v>1577.297</v>
      </c>
      <c r="BM573" s="750">
        <f t="shared" si="795"/>
        <v>1643.5450000000001</v>
      </c>
      <c r="BN573" s="751">
        <f t="shared" si="795"/>
        <v>1760.6660000000002</v>
      </c>
      <c r="BO573" s="726">
        <f t="shared" ca="1" si="795"/>
        <v>1979.8917353653865</v>
      </c>
      <c r="BP573" s="726" t="e">
        <f t="shared" si="795"/>
        <v>#REF!</v>
      </c>
      <c r="BQ573" s="726" t="e">
        <f t="shared" si="795"/>
        <v>#REF!</v>
      </c>
      <c r="BR573" s="726" t="e">
        <f t="shared" ca="1" si="795"/>
        <v>#REF!</v>
      </c>
      <c r="BS573" s="726" t="e">
        <f t="shared" ca="1" si="795"/>
        <v>#REF!</v>
      </c>
      <c r="BT573" s="530"/>
    </row>
    <row r="574" spans="1:72" s="1" customFormat="1" x14ac:dyDescent="0.35">
      <c r="A574" s="354"/>
      <c r="B574" s="307"/>
      <c r="C574" s="529"/>
      <c r="D574" s="529"/>
      <c r="E574" s="529"/>
      <c r="F574" s="529"/>
      <c r="G574" s="529"/>
      <c r="H574" s="529"/>
      <c r="I574" s="529"/>
      <c r="J574" s="529"/>
      <c r="K574" s="529"/>
      <c r="L574" s="529"/>
      <c r="M574" s="529"/>
      <c r="N574" s="529"/>
      <c r="O574" s="529"/>
      <c r="P574" s="529"/>
      <c r="Q574" s="529"/>
      <c r="R574" s="529"/>
      <c r="S574" s="529"/>
      <c r="T574" s="529"/>
      <c r="U574" s="529"/>
      <c r="V574" s="529"/>
      <c r="W574" s="529"/>
      <c r="X574" s="529"/>
      <c r="Y574" s="529"/>
      <c r="Z574" s="529"/>
      <c r="AA574" s="529"/>
      <c r="AB574" s="529"/>
      <c r="AC574" s="529"/>
      <c r="AD574" s="529"/>
      <c r="AE574" s="529"/>
      <c r="AF574" s="529"/>
      <c r="AG574" s="529"/>
      <c r="AH574" s="529"/>
      <c r="AI574" s="529"/>
      <c r="AJ574" s="529"/>
      <c r="AK574" s="529"/>
      <c r="AL574" s="529"/>
      <c r="AM574" s="529"/>
      <c r="AN574" s="529"/>
      <c r="AO574" s="529"/>
      <c r="AP574" s="529"/>
      <c r="AQ574" s="529"/>
      <c r="AR574" s="529"/>
      <c r="AS574" s="529"/>
      <c r="AT574" s="529"/>
      <c r="AU574" s="531"/>
      <c r="AV574" s="529"/>
      <c r="AW574" s="529"/>
      <c r="AX574" s="529"/>
      <c r="AY574" s="529"/>
      <c r="AZ574" s="726"/>
      <c r="BA574" s="726"/>
      <c r="BB574" s="726"/>
      <c r="BC574" s="726"/>
      <c r="BD574" s="726"/>
      <c r="BE574" s="726"/>
      <c r="BF574" s="726"/>
      <c r="BG574" s="726"/>
      <c r="BH574" s="726"/>
      <c r="BI574" s="726"/>
      <c r="BJ574" s="726"/>
      <c r="BK574" s="726"/>
      <c r="BL574" s="726"/>
      <c r="BM574" s="726"/>
      <c r="BN574" s="728"/>
      <c r="BO574" s="726"/>
      <c r="BP574" s="726"/>
      <c r="BQ574" s="726"/>
      <c r="BR574" s="726"/>
      <c r="BS574" s="726"/>
      <c r="BT574" s="530"/>
    </row>
    <row r="575" spans="1:72" s="1" customFormat="1" x14ac:dyDescent="0.35">
      <c r="A575" s="51" t="s">
        <v>208</v>
      </c>
      <c r="B575" s="307"/>
      <c r="C575" s="529"/>
      <c r="D575" s="529"/>
      <c r="E575" s="529"/>
      <c r="F575" s="529"/>
      <c r="G575" s="529"/>
      <c r="H575" s="529"/>
      <c r="I575" s="529"/>
      <c r="J575" s="529"/>
      <c r="K575" s="529"/>
      <c r="L575" s="529"/>
      <c r="M575" s="529"/>
      <c r="N575" s="529"/>
      <c r="O575" s="529"/>
      <c r="P575" s="529"/>
      <c r="Q575" s="529"/>
      <c r="R575" s="529"/>
      <c r="S575" s="529"/>
      <c r="T575" s="529"/>
      <c r="U575" s="529"/>
      <c r="V575" s="529"/>
      <c r="W575" s="529"/>
      <c r="X575" s="529"/>
      <c r="Y575" s="529"/>
      <c r="Z575" s="529"/>
      <c r="AA575" s="529"/>
      <c r="AB575" s="529"/>
      <c r="AC575" s="529"/>
      <c r="AD575" s="529"/>
      <c r="AE575" s="529"/>
      <c r="AF575" s="529"/>
      <c r="AG575" s="529"/>
      <c r="AH575" s="529"/>
      <c r="AI575" s="529"/>
      <c r="AJ575" s="529"/>
      <c r="AK575" s="529"/>
      <c r="AL575" s="529"/>
      <c r="AM575" s="529"/>
      <c r="AN575" s="529"/>
      <c r="AO575" s="529"/>
      <c r="AP575" s="529"/>
      <c r="AQ575" s="529"/>
      <c r="AR575" s="529"/>
      <c r="AS575" s="529"/>
      <c r="AT575" s="529"/>
      <c r="AU575" s="531"/>
      <c r="AV575" s="529"/>
      <c r="AW575" s="529"/>
      <c r="AX575" s="529"/>
      <c r="AY575" s="529"/>
      <c r="AZ575" s="726"/>
      <c r="BA575" s="726"/>
      <c r="BB575" s="726"/>
      <c r="BC575" s="726"/>
      <c r="BD575" s="726"/>
      <c r="BE575" s="726"/>
      <c r="BF575" s="726"/>
      <c r="BG575" s="726"/>
      <c r="BH575" s="726"/>
      <c r="BI575" s="726"/>
      <c r="BJ575" s="726"/>
      <c r="BK575" s="726"/>
      <c r="BL575" s="726"/>
      <c r="BM575" s="726"/>
      <c r="BN575" s="728"/>
      <c r="BO575" s="726"/>
      <c r="BP575" s="726"/>
      <c r="BQ575" s="726"/>
      <c r="BR575" s="726"/>
      <c r="BS575" s="726"/>
      <c r="BT575" s="530"/>
    </row>
    <row r="576" spans="1:72" s="17" customFormat="1" x14ac:dyDescent="0.35">
      <c r="A576" s="208" t="s">
        <v>396</v>
      </c>
      <c r="B576" s="308"/>
      <c r="C576" s="638">
        <v>19.524999999999999</v>
      </c>
      <c r="D576" s="638">
        <v>19.798999999999999</v>
      </c>
      <c r="E576" s="638">
        <v>20.594999999999999</v>
      </c>
      <c r="F576" s="533">
        <f>BD576</f>
        <v>19.395</v>
      </c>
      <c r="G576" s="638">
        <v>21.664000000000001</v>
      </c>
      <c r="H576" s="638">
        <v>22.216000000000001</v>
      </c>
      <c r="I576" s="638">
        <v>20.954000000000001</v>
      </c>
      <c r="J576" s="533">
        <f>BE576</f>
        <v>20.492000000000001</v>
      </c>
      <c r="K576" s="638">
        <v>19.641999999999999</v>
      </c>
      <c r="L576" s="638">
        <v>18.254999999999999</v>
      </c>
      <c r="M576" s="638">
        <v>17.844999999999999</v>
      </c>
      <c r="N576" s="533">
        <f>BF576</f>
        <v>16.635000000000002</v>
      </c>
      <c r="O576" s="638">
        <v>15.474</v>
      </c>
      <c r="P576" s="638">
        <v>14.369</v>
      </c>
      <c r="Q576" s="638">
        <v>13.452999999999999</v>
      </c>
      <c r="R576" s="533">
        <f>BG576</f>
        <v>13.21</v>
      </c>
      <c r="S576" s="638">
        <v>14.445</v>
      </c>
      <c r="T576" s="638">
        <v>13.329000000000001</v>
      </c>
      <c r="U576" s="638">
        <v>13.266999999999999</v>
      </c>
      <c r="V576" s="533">
        <f>BH576</f>
        <v>11.88</v>
      </c>
      <c r="W576" s="638">
        <v>14.121</v>
      </c>
      <c r="X576" s="638">
        <v>13.416</v>
      </c>
      <c r="Y576" s="638">
        <v>13.727</v>
      </c>
      <c r="Z576" s="533">
        <f>BI576</f>
        <v>13.353</v>
      </c>
      <c r="AA576" s="638">
        <v>17.082999999999998</v>
      </c>
      <c r="AB576" s="638">
        <v>26.190999999999999</v>
      </c>
      <c r="AC576" s="638">
        <v>24.498999999999999</v>
      </c>
      <c r="AD576" s="533">
        <f>BJ576</f>
        <v>19.588000000000001</v>
      </c>
      <c r="AE576" s="638">
        <v>22.018999999999998</v>
      </c>
      <c r="AF576" s="638">
        <v>23.335999999999999</v>
      </c>
      <c r="AG576" s="638">
        <v>17.988</v>
      </c>
      <c r="AH576" s="533">
        <f>BK576</f>
        <v>13.304</v>
      </c>
      <c r="AI576" s="638">
        <v>14.629</v>
      </c>
      <c r="AJ576" s="638">
        <v>21.506</v>
      </c>
      <c r="AK576" s="638">
        <v>26.036000000000001</v>
      </c>
      <c r="AL576" s="533">
        <f>BL576</f>
        <v>27.335999999999999</v>
      </c>
      <c r="AM576" s="638">
        <v>32.412999999999997</v>
      </c>
      <c r="AN576" s="638">
        <v>36.08</v>
      </c>
      <c r="AO576" s="638">
        <v>37.015999999999998</v>
      </c>
      <c r="AP576" s="533">
        <f>BM576</f>
        <v>37.389000000000003</v>
      </c>
      <c r="AQ576" s="638">
        <v>43.627000000000002</v>
      </c>
      <c r="AR576" s="638">
        <v>44.377000000000002</v>
      </c>
      <c r="AS576" s="638">
        <v>40.970999999999997</v>
      </c>
      <c r="AT576" s="533">
        <f>BN576</f>
        <v>35.621000000000002</v>
      </c>
      <c r="AU576" s="643">
        <v>35.064999999999998</v>
      </c>
      <c r="AV576" s="532">
        <f t="shared" ref="AV576:AX576" si="796">AV285-AV578-AV579</f>
        <v>35.064999999999998</v>
      </c>
      <c r="AW576" s="532">
        <f t="shared" si="796"/>
        <v>35.064999999999998</v>
      </c>
      <c r="AX576" s="532">
        <f t="shared" si="796"/>
        <v>35.064999999999998</v>
      </c>
      <c r="AY576" s="532"/>
      <c r="AZ576" s="729">
        <v>10.24</v>
      </c>
      <c r="BA576" s="729">
        <v>10.996</v>
      </c>
      <c r="BB576" s="729">
        <v>11.914</v>
      </c>
      <c r="BC576" s="729">
        <v>15.95</v>
      </c>
      <c r="BD576" s="729">
        <v>19.395</v>
      </c>
      <c r="BE576" s="729">
        <v>20.492000000000001</v>
      </c>
      <c r="BF576" s="729">
        <v>16.635000000000002</v>
      </c>
      <c r="BG576" s="729">
        <v>13.21</v>
      </c>
      <c r="BH576" s="729">
        <v>11.88</v>
      </c>
      <c r="BI576" s="729">
        <v>13.353</v>
      </c>
      <c r="BJ576" s="729">
        <v>19.588000000000001</v>
      </c>
      <c r="BK576" s="729">
        <v>13.304</v>
      </c>
      <c r="BL576" s="729">
        <v>27.335999999999999</v>
      </c>
      <c r="BM576" s="729">
        <v>37.389000000000003</v>
      </c>
      <c r="BN576" s="748">
        <v>35.621000000000002</v>
      </c>
      <c r="BO576" s="156">
        <f t="shared" ref="BO576:BO583" si="797">AX576</f>
        <v>35.064999999999998</v>
      </c>
      <c r="BP576" s="156" t="e">
        <f>#REF!</f>
        <v>#REF!</v>
      </c>
      <c r="BQ576" s="156" t="e">
        <f>BQ285-BQ578-BQ579</f>
        <v>#REF!</v>
      </c>
      <c r="BR576" s="156" t="e">
        <f>BR285-BR578-BR579</f>
        <v>#REF!</v>
      </c>
      <c r="BS576" s="156" t="e">
        <f>BS285-BS578-BS579</f>
        <v>#REF!</v>
      </c>
      <c r="BT576" s="533"/>
    </row>
    <row r="577" spans="1:72" s="17" customFormat="1" x14ac:dyDescent="0.35">
      <c r="A577" s="208" t="s">
        <v>388</v>
      </c>
      <c r="B577" s="308"/>
      <c r="C577" s="532"/>
      <c r="D577" s="532"/>
      <c r="E577" s="532"/>
      <c r="F577" s="532"/>
      <c r="G577" s="532"/>
      <c r="H577" s="532"/>
      <c r="I577" s="532"/>
      <c r="J577" s="532"/>
      <c r="K577" s="532"/>
      <c r="L577" s="532"/>
      <c r="M577" s="532"/>
      <c r="N577" s="532"/>
      <c r="O577" s="532"/>
      <c r="P577" s="532"/>
      <c r="Q577" s="532"/>
      <c r="R577" s="532"/>
      <c r="S577" s="532"/>
      <c r="T577" s="532"/>
      <c r="U577" s="532"/>
      <c r="V577" s="532"/>
      <c r="W577" s="532"/>
      <c r="X577" s="532"/>
      <c r="Y577" s="532"/>
      <c r="Z577" s="532"/>
      <c r="AA577" s="532"/>
      <c r="AB577" s="532"/>
      <c r="AC577" s="532"/>
      <c r="AD577" s="532"/>
      <c r="AE577" s="638">
        <v>8.3710000000000004</v>
      </c>
      <c r="AF577" s="638">
        <v>8.4960000000000004</v>
      </c>
      <c r="AG577" s="638">
        <v>20.440999999999999</v>
      </c>
      <c r="AH577" s="533">
        <f>BK577</f>
        <v>20.689</v>
      </c>
      <c r="AI577" s="638">
        <v>20.655000000000001</v>
      </c>
      <c r="AJ577" s="638">
        <v>21.204000000000001</v>
      </c>
      <c r="AK577" s="638">
        <v>21.259</v>
      </c>
      <c r="AL577" s="533">
        <f>BL577</f>
        <v>20.649000000000001</v>
      </c>
      <c r="AM577" s="638">
        <v>17.023</v>
      </c>
      <c r="AN577" s="638">
        <v>15.233000000000001</v>
      </c>
      <c r="AO577" s="638">
        <v>13.79</v>
      </c>
      <c r="AP577" s="533">
        <f>BM577</f>
        <v>12.83</v>
      </c>
      <c r="AQ577" s="638">
        <v>13.356</v>
      </c>
      <c r="AR577" s="638">
        <v>13.281000000000001</v>
      </c>
      <c r="AS577" s="638">
        <v>14.176</v>
      </c>
      <c r="AT577" s="533">
        <f>BN577</f>
        <v>14.449</v>
      </c>
      <c r="AU577" s="643">
        <v>14.717000000000001</v>
      </c>
      <c r="AV577" s="532">
        <f t="shared" ref="AV577:AX579" si="798">AU577</f>
        <v>14.717000000000001</v>
      </c>
      <c r="AW577" s="532">
        <f t="shared" si="798"/>
        <v>14.717000000000001</v>
      </c>
      <c r="AX577" s="532">
        <f t="shared" si="798"/>
        <v>14.717000000000001</v>
      </c>
      <c r="AY577" s="532"/>
      <c r="AZ577" s="156"/>
      <c r="BA577" s="156"/>
      <c r="BB577" s="156"/>
      <c r="BC577" s="156"/>
      <c r="BD577" s="156"/>
      <c r="BE577" s="156"/>
      <c r="BF577" s="156"/>
      <c r="BG577" s="156"/>
      <c r="BH577" s="156"/>
      <c r="BI577" s="156"/>
      <c r="BJ577" s="156"/>
      <c r="BK577" s="729">
        <v>20.689</v>
      </c>
      <c r="BL577" s="729">
        <v>20.649000000000001</v>
      </c>
      <c r="BM577" s="729">
        <v>12.83</v>
      </c>
      <c r="BN577" s="748">
        <v>14.449</v>
      </c>
      <c r="BO577" s="156">
        <f t="shared" si="797"/>
        <v>14.717000000000001</v>
      </c>
      <c r="BP577" s="156" t="e">
        <f>#REF!</f>
        <v>#REF!</v>
      </c>
      <c r="BQ577" s="156" t="e">
        <f t="shared" ref="BQ577:BS579" si="799">BP577</f>
        <v>#REF!</v>
      </c>
      <c r="BR577" s="156" t="e">
        <f t="shared" si="799"/>
        <v>#REF!</v>
      </c>
      <c r="BS577" s="156" t="e">
        <f t="shared" si="799"/>
        <v>#REF!</v>
      </c>
      <c r="BT577" s="533"/>
    </row>
    <row r="578" spans="1:72" s="17" customFormat="1" x14ac:dyDescent="0.35">
      <c r="A578" s="208" t="s">
        <v>209</v>
      </c>
      <c r="B578" s="308"/>
      <c r="C578" s="638">
        <v>1.153</v>
      </c>
      <c r="D578" s="638">
        <v>1.1379999999999999</v>
      </c>
      <c r="E578" s="638">
        <v>0.745</v>
      </c>
      <c r="F578" s="533">
        <f t="shared" ref="F578:F583" si="800">BD578</f>
        <v>0.39</v>
      </c>
      <c r="G578" s="532"/>
      <c r="H578" s="532"/>
      <c r="I578" s="532"/>
      <c r="J578" s="533">
        <f t="shared" ref="J578:J583" si="801">BE578</f>
        <v>0</v>
      </c>
      <c r="K578" s="532"/>
      <c r="L578" s="532"/>
      <c r="M578" s="532"/>
      <c r="N578" s="533">
        <f t="shared" ref="N578:N583" si="802">BF578</f>
        <v>0</v>
      </c>
      <c r="O578" s="532"/>
      <c r="P578" s="532"/>
      <c r="Q578" s="532"/>
      <c r="R578" s="533">
        <f t="shared" ref="R578:R583" si="803">BG578</f>
        <v>0</v>
      </c>
      <c r="S578" s="532"/>
      <c r="T578" s="532"/>
      <c r="U578" s="532"/>
      <c r="V578" s="532"/>
      <c r="W578" s="532"/>
      <c r="X578" s="532"/>
      <c r="Y578" s="532"/>
      <c r="Z578" s="532"/>
      <c r="AA578" s="532"/>
      <c r="AB578" s="532"/>
      <c r="AC578" s="532"/>
      <c r="AD578" s="532"/>
      <c r="AE578" s="532"/>
      <c r="AF578" s="532"/>
      <c r="AG578" s="532"/>
      <c r="AH578" s="532"/>
      <c r="AI578" s="532"/>
      <c r="AJ578" s="532"/>
      <c r="AK578" s="532"/>
      <c r="AL578" s="532"/>
      <c r="AM578" s="532"/>
      <c r="AN578" s="532"/>
      <c r="AO578" s="532"/>
      <c r="AP578" s="532"/>
      <c r="AQ578" s="532"/>
      <c r="AR578" s="532"/>
      <c r="AS578" s="532"/>
      <c r="AT578" s="532"/>
      <c r="AU578" s="534"/>
      <c r="AV578" s="532">
        <f t="shared" si="798"/>
        <v>0</v>
      </c>
      <c r="AW578" s="532">
        <f t="shared" si="798"/>
        <v>0</v>
      </c>
      <c r="AX578" s="532">
        <f t="shared" si="798"/>
        <v>0</v>
      </c>
      <c r="AY578" s="532"/>
      <c r="AZ578" s="729">
        <v>1.034</v>
      </c>
      <c r="BA578" s="729">
        <v>1.2509999999999999</v>
      </c>
      <c r="BB578" s="729">
        <v>1.4430000000000001</v>
      </c>
      <c r="BC578" s="729">
        <v>1.145</v>
      </c>
      <c r="BD578" s="729">
        <v>0.39</v>
      </c>
      <c r="BE578" s="156"/>
      <c r="BF578" s="156"/>
      <c r="BG578" s="156"/>
      <c r="BH578" s="156"/>
      <c r="BI578" s="156"/>
      <c r="BJ578" s="156"/>
      <c r="BK578" s="156"/>
      <c r="BL578" s="156"/>
      <c r="BM578" s="156"/>
      <c r="BN578" s="730"/>
      <c r="BO578" s="156">
        <f t="shared" si="797"/>
        <v>0</v>
      </c>
      <c r="BP578" s="156" t="e">
        <f>#REF!</f>
        <v>#REF!</v>
      </c>
      <c r="BQ578" s="156" t="e">
        <f t="shared" si="799"/>
        <v>#REF!</v>
      </c>
      <c r="BR578" s="156" t="e">
        <f t="shared" si="799"/>
        <v>#REF!</v>
      </c>
      <c r="BS578" s="156" t="e">
        <f t="shared" si="799"/>
        <v>#REF!</v>
      </c>
      <c r="BT578" s="533"/>
    </row>
    <row r="579" spans="1:72" s="17" customFormat="1" x14ac:dyDescent="0.35">
      <c r="A579" s="208" t="s">
        <v>414</v>
      </c>
      <c r="B579" s="308"/>
      <c r="C579" s="532"/>
      <c r="D579" s="532"/>
      <c r="E579" s="532"/>
      <c r="F579" s="533">
        <f t="shared" si="800"/>
        <v>0</v>
      </c>
      <c r="G579" s="532"/>
      <c r="H579" s="532"/>
      <c r="I579" s="532"/>
      <c r="J579" s="533">
        <f t="shared" si="801"/>
        <v>0</v>
      </c>
      <c r="K579" s="532"/>
      <c r="L579" s="532"/>
      <c r="M579" s="532"/>
      <c r="N579" s="533">
        <f t="shared" si="802"/>
        <v>0</v>
      </c>
      <c r="O579" s="532"/>
      <c r="P579" s="532"/>
      <c r="Q579" s="532"/>
      <c r="R579" s="533">
        <f t="shared" si="803"/>
        <v>0</v>
      </c>
      <c r="S579" s="532"/>
      <c r="T579" s="532"/>
      <c r="U579" s="532"/>
      <c r="V579" s="532"/>
      <c r="W579" s="532"/>
      <c r="X579" s="532"/>
      <c r="Y579" s="532"/>
      <c r="Z579" s="532"/>
      <c r="AA579" s="532"/>
      <c r="AB579" s="532"/>
      <c r="AC579" s="532"/>
      <c r="AD579" s="532"/>
      <c r="AE579" s="532"/>
      <c r="AF579" s="532"/>
      <c r="AG579" s="638">
        <v>100</v>
      </c>
      <c r="AH579" s="533">
        <f>BK579</f>
        <v>100</v>
      </c>
      <c r="AI579" s="532"/>
      <c r="AJ579" s="532"/>
      <c r="AK579" s="532"/>
      <c r="AL579" s="533">
        <f>BL579</f>
        <v>0</v>
      </c>
      <c r="AM579" s="532"/>
      <c r="AN579" s="532"/>
      <c r="AO579" s="532"/>
      <c r="AP579" s="533">
        <f>BM579</f>
        <v>0</v>
      </c>
      <c r="AQ579" s="532"/>
      <c r="AR579" s="532"/>
      <c r="AS579" s="532"/>
      <c r="AT579" s="533">
        <f>BN579</f>
        <v>0</v>
      </c>
      <c r="AU579" s="534"/>
      <c r="AV579" s="532">
        <f t="shared" si="798"/>
        <v>0</v>
      </c>
      <c r="AW579" s="532">
        <f t="shared" si="798"/>
        <v>0</v>
      </c>
      <c r="AX579" s="532">
        <f t="shared" si="798"/>
        <v>0</v>
      </c>
      <c r="AY579" s="532"/>
      <c r="AZ579" s="156"/>
      <c r="BA579" s="156"/>
      <c r="BB579" s="156"/>
      <c r="BC579" s="156"/>
      <c r="BD579" s="156"/>
      <c r="BE579" s="156"/>
      <c r="BF579" s="156"/>
      <c r="BG579" s="156"/>
      <c r="BH579" s="156"/>
      <c r="BI579" s="156"/>
      <c r="BJ579" s="156"/>
      <c r="BK579" s="729">
        <v>100</v>
      </c>
      <c r="BL579" s="156"/>
      <c r="BM579" s="156"/>
      <c r="BN579" s="730"/>
      <c r="BO579" s="156">
        <f t="shared" si="797"/>
        <v>0</v>
      </c>
      <c r="BP579" s="156" t="e">
        <f>#REF!</f>
        <v>#REF!</v>
      </c>
      <c r="BQ579" s="156" t="e">
        <f t="shared" si="799"/>
        <v>#REF!</v>
      </c>
      <c r="BR579" s="156" t="e">
        <f t="shared" si="799"/>
        <v>#REF!</v>
      </c>
      <c r="BS579" s="156" t="e">
        <f t="shared" si="799"/>
        <v>#REF!</v>
      </c>
      <c r="BT579" s="533"/>
    </row>
    <row r="580" spans="1:72" s="17" customFormat="1" x14ac:dyDescent="0.35">
      <c r="A580" s="208" t="s">
        <v>131</v>
      </c>
      <c r="B580" s="308"/>
      <c r="C580" s="638">
        <v>33.393000000000001</v>
      </c>
      <c r="D580" s="638">
        <v>20.120999999999999</v>
      </c>
      <c r="E580" s="638">
        <v>19.975999999999999</v>
      </c>
      <c r="F580" s="533">
        <f t="shared" si="800"/>
        <v>21.838000000000001</v>
      </c>
      <c r="G580" s="638">
        <v>50.616999999999997</v>
      </c>
      <c r="H580" s="638">
        <v>16.538</v>
      </c>
      <c r="I580" s="638">
        <v>24.614000000000001</v>
      </c>
      <c r="J580" s="533">
        <f t="shared" si="801"/>
        <v>30.975999999999999</v>
      </c>
      <c r="K580" s="638">
        <v>41.640999999999998</v>
      </c>
      <c r="L580" s="638">
        <v>16.632999999999999</v>
      </c>
      <c r="M580" s="638">
        <v>20.032</v>
      </c>
      <c r="N580" s="533">
        <f t="shared" si="802"/>
        <v>29.818999999999999</v>
      </c>
      <c r="O580" s="638">
        <v>42.308</v>
      </c>
      <c r="P580" s="638">
        <v>16.760000000000002</v>
      </c>
      <c r="Q580" s="638">
        <v>15.744999999999999</v>
      </c>
      <c r="R580" s="533">
        <f t="shared" si="803"/>
        <v>25.919</v>
      </c>
      <c r="S580" s="638">
        <v>31.196000000000002</v>
      </c>
      <c r="T580" s="638">
        <v>18.378</v>
      </c>
      <c r="U580" s="638">
        <v>16.105</v>
      </c>
      <c r="V580" s="533">
        <f>BH580</f>
        <v>30.052</v>
      </c>
      <c r="W580" s="638">
        <v>34.01</v>
      </c>
      <c r="X580" s="638">
        <v>17.161999999999999</v>
      </c>
      <c r="Y580" s="638">
        <v>17.547999999999998</v>
      </c>
      <c r="Z580" s="533">
        <f>BI580</f>
        <v>29.361999999999998</v>
      </c>
      <c r="AA580" s="638">
        <v>39.061999999999998</v>
      </c>
      <c r="AB580" s="638">
        <v>20.46</v>
      </c>
      <c r="AC580" s="638">
        <v>23.207999999999998</v>
      </c>
      <c r="AD580" s="533">
        <f>BJ580</f>
        <v>50.488</v>
      </c>
      <c r="AE580" s="638">
        <v>46.204000000000001</v>
      </c>
      <c r="AF580" s="638">
        <v>30.597999999999999</v>
      </c>
      <c r="AG580" s="638">
        <v>25.234999999999999</v>
      </c>
      <c r="AH580" s="533">
        <f>BK580</f>
        <v>40.427999999999997</v>
      </c>
      <c r="AI580" s="638">
        <v>91.956999999999994</v>
      </c>
      <c r="AJ580" s="638">
        <v>39.250999999999998</v>
      </c>
      <c r="AK580" s="638">
        <v>47.042999999999999</v>
      </c>
      <c r="AL580" s="533">
        <f>BL580</f>
        <v>62.143999999999998</v>
      </c>
      <c r="AM580" s="638">
        <v>58.588999999999999</v>
      </c>
      <c r="AN580" s="638">
        <v>33.820999999999998</v>
      </c>
      <c r="AO580" s="638">
        <v>32.847999999999999</v>
      </c>
      <c r="AP580" s="533">
        <f>BM580</f>
        <v>61.997</v>
      </c>
      <c r="AQ580" s="638">
        <v>68.956000000000003</v>
      </c>
      <c r="AR580" s="638">
        <v>32.808999999999997</v>
      </c>
      <c r="AS580" s="638">
        <v>35.252000000000002</v>
      </c>
      <c r="AT580" s="533">
        <f>BN580</f>
        <v>48.853999999999999</v>
      </c>
      <c r="AU580" s="643">
        <v>74.585999999999999</v>
      </c>
      <c r="AV580" s="532">
        <f t="shared" ref="AV580:AX583" si="804">(AV$190+AU$190+AT$190+AS$190)*AV515</f>
        <v>36.028130541145735</v>
      </c>
      <c r="AW580" s="532">
        <f t="shared" si="804"/>
        <v>38.309014432629631</v>
      </c>
      <c r="AX580" s="532">
        <f t="shared" si="804"/>
        <v>53.122683078618095</v>
      </c>
      <c r="AY580" s="532"/>
      <c r="AZ580" s="729">
        <v>10.366</v>
      </c>
      <c r="BA580" s="729">
        <v>12.691000000000001</v>
      </c>
      <c r="BB580" s="729">
        <v>21.175999999999998</v>
      </c>
      <c r="BC580" s="729">
        <v>23.951000000000001</v>
      </c>
      <c r="BD580" s="729">
        <v>21.838000000000001</v>
      </c>
      <c r="BE580" s="729">
        <v>30.975999999999999</v>
      </c>
      <c r="BF580" s="729">
        <v>29.818999999999999</v>
      </c>
      <c r="BG580" s="729">
        <v>25.919</v>
      </c>
      <c r="BH580" s="729">
        <v>30.052</v>
      </c>
      <c r="BI580" s="729">
        <v>29.361999999999998</v>
      </c>
      <c r="BJ580" s="729">
        <v>50.488</v>
      </c>
      <c r="BK580" s="729">
        <v>40.427999999999997</v>
      </c>
      <c r="BL580" s="729">
        <v>62.143999999999998</v>
      </c>
      <c r="BM580" s="729">
        <v>61.997</v>
      </c>
      <c r="BN580" s="748">
        <v>48.853999999999999</v>
      </c>
      <c r="BO580" s="156">
        <f t="shared" si="797"/>
        <v>53.122683078618095</v>
      </c>
      <c r="BP580" s="156" t="e">
        <f>#REF!</f>
        <v>#REF!</v>
      </c>
      <c r="BQ580" s="156" t="e">
        <f t="shared" ref="BQ580:BS583" si="805">BQ$190*BQ515</f>
        <v>#REF!</v>
      </c>
      <c r="BR580" s="156" t="e">
        <f t="shared" si="805"/>
        <v>#REF!</v>
      </c>
      <c r="BS580" s="156" t="e">
        <f t="shared" si="805"/>
        <v>#REF!</v>
      </c>
      <c r="BT580" s="533"/>
    </row>
    <row r="581" spans="1:72" s="17" customFormat="1" x14ac:dyDescent="0.35">
      <c r="A581" s="208" t="s">
        <v>132</v>
      </c>
      <c r="B581" s="308"/>
      <c r="C581" s="638">
        <v>16.183</v>
      </c>
      <c r="D581" s="638">
        <v>22.218</v>
      </c>
      <c r="E581" s="638">
        <v>26.03</v>
      </c>
      <c r="F581" s="533">
        <f t="shared" si="800"/>
        <v>17.027000000000001</v>
      </c>
      <c r="G581" s="638">
        <v>15.702</v>
      </c>
      <c r="H581" s="638">
        <v>14.585000000000001</v>
      </c>
      <c r="I581" s="638">
        <v>14.91</v>
      </c>
      <c r="J581" s="533">
        <f t="shared" si="801"/>
        <v>20.539000000000001</v>
      </c>
      <c r="K581" s="638">
        <v>10.641999999999999</v>
      </c>
      <c r="L581" s="638">
        <v>10.154</v>
      </c>
      <c r="M581" s="638">
        <v>19.308</v>
      </c>
      <c r="N581" s="533">
        <f t="shared" si="802"/>
        <v>12.486000000000001</v>
      </c>
      <c r="O581" s="638">
        <v>10.724</v>
      </c>
      <c r="P581" s="638">
        <v>10.893000000000001</v>
      </c>
      <c r="Q581" s="638">
        <v>14.209</v>
      </c>
      <c r="R581" s="533">
        <f t="shared" si="803"/>
        <v>26.876999999999999</v>
      </c>
      <c r="S581" s="638">
        <v>13.968</v>
      </c>
      <c r="T581" s="638">
        <v>13.551</v>
      </c>
      <c r="U581" s="638">
        <v>17.821999999999999</v>
      </c>
      <c r="V581" s="533">
        <f>BH581</f>
        <v>21.622</v>
      </c>
      <c r="W581" s="638">
        <v>11.509</v>
      </c>
      <c r="X581" s="638">
        <v>12.478999999999999</v>
      </c>
      <c r="Y581" s="638">
        <v>13.304</v>
      </c>
      <c r="Z581" s="533">
        <f>BI581</f>
        <v>14.345000000000001</v>
      </c>
      <c r="AA581" s="638">
        <v>14.016</v>
      </c>
      <c r="AB581" s="638">
        <v>14.619</v>
      </c>
      <c r="AC581" s="638">
        <v>17.706</v>
      </c>
      <c r="AD581" s="533">
        <f>BJ581</f>
        <v>20.684999999999999</v>
      </c>
      <c r="AE581" s="638">
        <v>18.59</v>
      </c>
      <c r="AF581" s="638">
        <v>19.616</v>
      </c>
      <c r="AG581" s="638">
        <v>25.952999999999999</v>
      </c>
      <c r="AH581" s="533">
        <f>BK581</f>
        <v>27.350999999999999</v>
      </c>
      <c r="AI581" s="638">
        <v>25.782</v>
      </c>
      <c r="AJ581" s="638">
        <v>41.514000000000003</v>
      </c>
      <c r="AK581" s="638">
        <v>44.198999999999998</v>
      </c>
      <c r="AL581" s="533">
        <f>BL581</f>
        <v>77.641999999999996</v>
      </c>
      <c r="AM581" s="638">
        <v>75.745999999999995</v>
      </c>
      <c r="AN581" s="638">
        <v>61.462000000000003</v>
      </c>
      <c r="AO581" s="638">
        <v>55.152000000000001</v>
      </c>
      <c r="AP581" s="533">
        <f>BM581</f>
        <v>63.2</v>
      </c>
      <c r="AQ581" s="638">
        <v>42.54</v>
      </c>
      <c r="AR581" s="638">
        <v>40.908999999999999</v>
      </c>
      <c r="AS581" s="638">
        <v>45.744999999999997</v>
      </c>
      <c r="AT581" s="533">
        <f>BN581</f>
        <v>76.626000000000005</v>
      </c>
      <c r="AU581" s="643">
        <v>50.834000000000003</v>
      </c>
      <c r="AV581" s="532">
        <f t="shared" si="804"/>
        <v>44.922880682365538</v>
      </c>
      <c r="AW581" s="532">
        <f t="shared" si="804"/>
        <v>49.711955781817828</v>
      </c>
      <c r="AX581" s="532">
        <f t="shared" si="804"/>
        <v>83.321298431698338</v>
      </c>
      <c r="AY581" s="532"/>
      <c r="AZ581" s="729">
        <v>7.8289999999999997</v>
      </c>
      <c r="BA581" s="729">
        <v>8.84</v>
      </c>
      <c r="BB581" s="729">
        <v>14.125999999999999</v>
      </c>
      <c r="BC581" s="729">
        <v>13.802</v>
      </c>
      <c r="BD581" s="729">
        <v>17.027000000000001</v>
      </c>
      <c r="BE581" s="729">
        <v>20.539000000000001</v>
      </c>
      <c r="BF581" s="729">
        <v>12.486000000000001</v>
      </c>
      <c r="BG581" s="729">
        <v>26.876999999999999</v>
      </c>
      <c r="BH581" s="729">
        <v>21.622</v>
      </c>
      <c r="BI581" s="729">
        <v>14.345000000000001</v>
      </c>
      <c r="BJ581" s="729">
        <v>20.684999999999999</v>
      </c>
      <c r="BK581" s="729">
        <v>27.350999999999999</v>
      </c>
      <c r="BL581" s="729">
        <v>77.641999999999996</v>
      </c>
      <c r="BM581" s="729">
        <v>63.2</v>
      </c>
      <c r="BN581" s="748">
        <v>76.626000000000005</v>
      </c>
      <c r="BO581" s="156">
        <f t="shared" si="797"/>
        <v>83.321298431698338</v>
      </c>
      <c r="BP581" s="156" t="e">
        <f>#REF!</f>
        <v>#REF!</v>
      </c>
      <c r="BQ581" s="156" t="e">
        <f t="shared" si="805"/>
        <v>#REF!</v>
      </c>
      <c r="BR581" s="156" t="e">
        <f t="shared" si="805"/>
        <v>#REF!</v>
      </c>
      <c r="BS581" s="156" t="e">
        <f t="shared" si="805"/>
        <v>#REF!</v>
      </c>
      <c r="BT581" s="533"/>
    </row>
    <row r="582" spans="1:72" s="17" customFormat="1" x14ac:dyDescent="0.35">
      <c r="A582" s="208" t="s">
        <v>133</v>
      </c>
      <c r="B582" s="308"/>
      <c r="C582" s="638">
        <v>12.218999999999999</v>
      </c>
      <c r="D582" s="638">
        <v>13.295999999999999</v>
      </c>
      <c r="E582" s="638">
        <v>19.683</v>
      </c>
      <c r="F582" s="533">
        <f t="shared" si="800"/>
        <v>21.97</v>
      </c>
      <c r="G582" s="638">
        <v>12.063000000000001</v>
      </c>
      <c r="H582" s="638">
        <v>20.541</v>
      </c>
      <c r="I582" s="638">
        <v>19.436</v>
      </c>
      <c r="J582" s="533">
        <f t="shared" si="801"/>
        <v>17.399999999999999</v>
      </c>
      <c r="K582" s="638">
        <v>12.47</v>
      </c>
      <c r="L582" s="638">
        <v>19.085000000000001</v>
      </c>
      <c r="M582" s="638">
        <v>22.018999999999998</v>
      </c>
      <c r="N582" s="533">
        <f t="shared" si="802"/>
        <v>26.79</v>
      </c>
      <c r="O582" s="638">
        <v>16.827999999999999</v>
      </c>
      <c r="P582" s="638">
        <v>17.300999999999998</v>
      </c>
      <c r="Q582" s="638">
        <v>26.898</v>
      </c>
      <c r="R582" s="533">
        <f t="shared" si="803"/>
        <v>31.042000000000002</v>
      </c>
      <c r="S582" s="638">
        <v>16.395</v>
      </c>
      <c r="T582" s="638">
        <v>20.89</v>
      </c>
      <c r="U582" s="638">
        <v>25.117999999999999</v>
      </c>
      <c r="V582" s="533">
        <f>BH582</f>
        <v>29.367000000000001</v>
      </c>
      <c r="W582" s="638">
        <v>14.281000000000001</v>
      </c>
      <c r="X582" s="638">
        <v>19.667000000000002</v>
      </c>
      <c r="Y582" s="638">
        <v>29.489000000000001</v>
      </c>
      <c r="Z582" s="533">
        <f>BI582</f>
        <v>36.049999999999997</v>
      </c>
      <c r="AA582" s="638">
        <v>18.728999999999999</v>
      </c>
      <c r="AB582" s="638">
        <v>28.12</v>
      </c>
      <c r="AC582" s="638">
        <v>30.548999999999999</v>
      </c>
      <c r="AD582" s="533">
        <f>BJ582</f>
        <v>41.997999999999998</v>
      </c>
      <c r="AE582" s="638">
        <v>18.960999999999999</v>
      </c>
      <c r="AF582" s="638">
        <v>28.055</v>
      </c>
      <c r="AG582" s="638">
        <v>28.384</v>
      </c>
      <c r="AH582" s="533">
        <f>BK582</f>
        <v>47.226999999999997</v>
      </c>
      <c r="AI582" s="638">
        <v>27.597999999999999</v>
      </c>
      <c r="AJ582" s="638">
        <v>42.500999999999998</v>
      </c>
      <c r="AK582" s="638">
        <v>62.816000000000003</v>
      </c>
      <c r="AL582" s="533">
        <f>BL582</f>
        <v>80.363</v>
      </c>
      <c r="AM582" s="638">
        <v>35.945</v>
      </c>
      <c r="AN582" s="638">
        <v>41.192999999999998</v>
      </c>
      <c r="AO582" s="638">
        <v>59.843000000000004</v>
      </c>
      <c r="AP582" s="533">
        <f>BM582</f>
        <v>73.027000000000001</v>
      </c>
      <c r="AQ582" s="638">
        <v>40.084000000000003</v>
      </c>
      <c r="AR582" s="638">
        <v>34.082999999999998</v>
      </c>
      <c r="AS582" s="638">
        <v>53.761000000000003</v>
      </c>
      <c r="AT582" s="533">
        <f>BN582</f>
        <v>57.426000000000002</v>
      </c>
      <c r="AU582" s="643">
        <v>40.014000000000003</v>
      </c>
      <c r="AV582" s="532">
        <f t="shared" si="804"/>
        <v>37.427131983110428</v>
      </c>
      <c r="AW582" s="532">
        <f t="shared" si="804"/>
        <v>58.423094431879079</v>
      </c>
      <c r="AX582" s="532">
        <f t="shared" si="804"/>
        <v>62.443672953549829</v>
      </c>
      <c r="AY582" s="532"/>
      <c r="AZ582" s="729">
        <v>8.2910000000000004</v>
      </c>
      <c r="BA582" s="729">
        <v>10.563000000000001</v>
      </c>
      <c r="BB582" s="729">
        <v>13.086</v>
      </c>
      <c r="BC582" s="729">
        <v>17.355</v>
      </c>
      <c r="BD582" s="729">
        <v>21.97</v>
      </c>
      <c r="BE582" s="729">
        <v>17.399999999999999</v>
      </c>
      <c r="BF582" s="729">
        <v>26.79</v>
      </c>
      <c r="BG582" s="729">
        <v>31.042000000000002</v>
      </c>
      <c r="BH582" s="729">
        <v>29.367000000000001</v>
      </c>
      <c r="BI582" s="729">
        <v>36.049999999999997</v>
      </c>
      <c r="BJ582" s="729">
        <v>41.997999999999998</v>
      </c>
      <c r="BK582" s="729">
        <v>47.226999999999997</v>
      </c>
      <c r="BL582" s="729">
        <v>80.363</v>
      </c>
      <c r="BM582" s="729">
        <v>73.027000000000001</v>
      </c>
      <c r="BN582" s="748">
        <v>57.426000000000002</v>
      </c>
      <c r="BO582" s="156">
        <f t="shared" si="797"/>
        <v>62.443672953549829</v>
      </c>
      <c r="BP582" s="156" t="e">
        <f>#REF!</f>
        <v>#REF!</v>
      </c>
      <c r="BQ582" s="156" t="e">
        <f t="shared" si="805"/>
        <v>#REF!</v>
      </c>
      <c r="BR582" s="156" t="e">
        <f t="shared" si="805"/>
        <v>#REF!</v>
      </c>
      <c r="BS582" s="156" t="e">
        <f t="shared" si="805"/>
        <v>#REF!</v>
      </c>
      <c r="BT582" s="533"/>
    </row>
    <row r="583" spans="1:72" s="17" customFormat="1" x14ac:dyDescent="0.35">
      <c r="A583" s="267" t="s">
        <v>134</v>
      </c>
      <c r="B583" s="362"/>
      <c r="C583" s="639">
        <v>69.951999999999998</v>
      </c>
      <c r="D583" s="639">
        <v>59.249000000000002</v>
      </c>
      <c r="E583" s="639">
        <v>49.518000000000001</v>
      </c>
      <c r="F583" s="571">
        <f t="shared" si="800"/>
        <v>28.567</v>
      </c>
      <c r="G583" s="639">
        <v>74.549000000000007</v>
      </c>
      <c r="H583" s="639">
        <v>61.16</v>
      </c>
      <c r="I583" s="639">
        <v>52.468000000000004</v>
      </c>
      <c r="J583" s="571">
        <f t="shared" si="801"/>
        <v>24.353000000000002</v>
      </c>
      <c r="K583" s="639">
        <v>72.882000000000005</v>
      </c>
      <c r="L583" s="639">
        <v>63.63</v>
      </c>
      <c r="M583" s="639">
        <v>56.527999999999999</v>
      </c>
      <c r="N583" s="571">
        <f t="shared" si="802"/>
        <v>24.927</v>
      </c>
      <c r="O583" s="639">
        <v>64.316999999999993</v>
      </c>
      <c r="P583" s="639">
        <v>57.082999999999998</v>
      </c>
      <c r="Q583" s="639">
        <v>50.898000000000003</v>
      </c>
      <c r="R583" s="571">
        <f t="shared" si="803"/>
        <v>25.963999999999999</v>
      </c>
      <c r="S583" s="639">
        <v>71.754000000000005</v>
      </c>
      <c r="T583" s="639">
        <v>59.225000000000001</v>
      </c>
      <c r="U583" s="639">
        <v>50.796999999999997</v>
      </c>
      <c r="V583" s="571">
        <f>BH583</f>
        <v>24.83</v>
      </c>
      <c r="W583" s="639">
        <v>65.769000000000005</v>
      </c>
      <c r="X583" s="639">
        <v>54.945</v>
      </c>
      <c r="Y583" s="639">
        <v>49.039000000000001</v>
      </c>
      <c r="Z583" s="571">
        <f>BI583</f>
        <v>23.114000000000001</v>
      </c>
      <c r="AA583" s="639">
        <v>69.433999999999997</v>
      </c>
      <c r="AB583" s="639">
        <v>51.475999999999999</v>
      </c>
      <c r="AC583" s="639">
        <v>52.826999999999998</v>
      </c>
      <c r="AD583" s="571">
        <f>BJ583</f>
        <v>22.827999999999999</v>
      </c>
      <c r="AE583" s="639">
        <v>25.556999999999999</v>
      </c>
      <c r="AF583" s="639">
        <v>23.568999999999999</v>
      </c>
      <c r="AG583" s="639">
        <v>39.618000000000002</v>
      </c>
      <c r="AH583" s="571">
        <f>BK583</f>
        <v>24.417000000000002</v>
      </c>
      <c r="AI583" s="639">
        <v>55.372999999999998</v>
      </c>
      <c r="AJ583" s="639">
        <v>62.634999999999998</v>
      </c>
      <c r="AK583" s="639">
        <v>53.448999999999998</v>
      </c>
      <c r="AL583" s="571">
        <f>BL583</f>
        <v>38.11</v>
      </c>
      <c r="AM583" s="639">
        <v>64.918000000000006</v>
      </c>
      <c r="AN583" s="639">
        <v>50.408999999999999</v>
      </c>
      <c r="AO583" s="639">
        <v>51.53</v>
      </c>
      <c r="AP583" s="571">
        <f>BM583</f>
        <v>53.63</v>
      </c>
      <c r="AQ583" s="639">
        <v>80.682000000000002</v>
      </c>
      <c r="AR583" s="639">
        <v>83.799000000000007</v>
      </c>
      <c r="AS583" s="639">
        <v>94.341999999999999</v>
      </c>
      <c r="AT583" s="571">
        <f>BN583</f>
        <v>76.159000000000006</v>
      </c>
      <c r="AU583" s="654">
        <v>83.92</v>
      </c>
      <c r="AV583" s="535">
        <f t="shared" si="804"/>
        <v>92.021131738775097</v>
      </c>
      <c r="AW583" s="535">
        <f t="shared" si="804"/>
        <v>102.52323384781413</v>
      </c>
      <c r="AX583" s="535">
        <f t="shared" si="804"/>
        <v>82.813493686995443</v>
      </c>
      <c r="AY583" s="535"/>
      <c r="AZ583" s="732">
        <v>3.3889999999999998</v>
      </c>
      <c r="BA583" s="732">
        <v>9.593</v>
      </c>
      <c r="BB583" s="732">
        <v>21.907</v>
      </c>
      <c r="BC583" s="732">
        <v>25.41</v>
      </c>
      <c r="BD583" s="732">
        <v>28.567</v>
      </c>
      <c r="BE583" s="732">
        <v>24.353000000000002</v>
      </c>
      <c r="BF583" s="732">
        <v>24.927</v>
      </c>
      <c r="BG583" s="732">
        <v>25.963999999999999</v>
      </c>
      <c r="BH583" s="732">
        <v>24.83</v>
      </c>
      <c r="BI583" s="732">
        <v>23.114000000000001</v>
      </c>
      <c r="BJ583" s="732">
        <v>22.827999999999999</v>
      </c>
      <c r="BK583" s="732">
        <v>24.417000000000002</v>
      </c>
      <c r="BL583" s="732">
        <v>38.11</v>
      </c>
      <c r="BM583" s="732">
        <v>53.63</v>
      </c>
      <c r="BN583" s="836">
        <v>76.159000000000006</v>
      </c>
      <c r="BO583" s="731">
        <f t="shared" si="797"/>
        <v>82.813493686995443</v>
      </c>
      <c r="BP583" s="731" t="e">
        <f>#REF!</f>
        <v>#REF!</v>
      </c>
      <c r="BQ583" s="731" t="e">
        <f t="shared" si="805"/>
        <v>#REF!</v>
      </c>
      <c r="BR583" s="731" t="e">
        <f t="shared" si="805"/>
        <v>#REF!</v>
      </c>
      <c r="BS583" s="731" t="e">
        <f t="shared" si="805"/>
        <v>#REF!</v>
      </c>
      <c r="BT583" s="533"/>
    </row>
    <row r="584" spans="1:72" s="1" customFormat="1" x14ac:dyDescent="0.35">
      <c r="A584" s="47" t="s">
        <v>210</v>
      </c>
      <c r="B584" s="360"/>
      <c r="C584" s="573">
        <f t="shared" ref="C584:AH584" si="806">SUM(C576:C583)</f>
        <v>152.42499999999998</v>
      </c>
      <c r="D584" s="573">
        <f t="shared" si="806"/>
        <v>135.821</v>
      </c>
      <c r="E584" s="573">
        <f t="shared" si="806"/>
        <v>136.547</v>
      </c>
      <c r="F584" s="573">
        <f t="shared" si="806"/>
        <v>109.18700000000001</v>
      </c>
      <c r="G584" s="573">
        <f t="shared" si="806"/>
        <v>174.59500000000003</v>
      </c>
      <c r="H584" s="573">
        <f t="shared" si="806"/>
        <v>135.04000000000002</v>
      </c>
      <c r="I584" s="573">
        <f t="shared" si="806"/>
        <v>132.38200000000001</v>
      </c>
      <c r="J584" s="573">
        <f t="shared" si="806"/>
        <v>113.76000000000002</v>
      </c>
      <c r="K584" s="573">
        <f t="shared" si="806"/>
        <v>157.27699999999999</v>
      </c>
      <c r="L584" s="573">
        <f t="shared" si="806"/>
        <v>127.75700000000001</v>
      </c>
      <c r="M584" s="573">
        <f t="shared" si="806"/>
        <v>135.732</v>
      </c>
      <c r="N584" s="573">
        <f t="shared" si="806"/>
        <v>110.65699999999998</v>
      </c>
      <c r="O584" s="573">
        <f t="shared" si="806"/>
        <v>149.65100000000001</v>
      </c>
      <c r="P584" s="573">
        <f t="shared" si="806"/>
        <v>116.40600000000001</v>
      </c>
      <c r="Q584" s="573">
        <f t="shared" si="806"/>
        <v>121.203</v>
      </c>
      <c r="R584" s="573">
        <f t="shared" si="806"/>
        <v>123.012</v>
      </c>
      <c r="S584" s="573">
        <f t="shared" si="806"/>
        <v>147.75800000000001</v>
      </c>
      <c r="T584" s="573">
        <f t="shared" si="806"/>
        <v>125.37299999999999</v>
      </c>
      <c r="U584" s="573">
        <f t="shared" si="806"/>
        <v>123.10899999999999</v>
      </c>
      <c r="V584" s="573">
        <f t="shared" si="806"/>
        <v>117.751</v>
      </c>
      <c r="W584" s="573">
        <f t="shared" si="806"/>
        <v>139.69</v>
      </c>
      <c r="X584" s="573">
        <f t="shared" si="806"/>
        <v>117.66900000000001</v>
      </c>
      <c r="Y584" s="573">
        <f t="shared" si="806"/>
        <v>123.107</v>
      </c>
      <c r="Z584" s="573">
        <f t="shared" si="806"/>
        <v>116.22399999999999</v>
      </c>
      <c r="AA584" s="573">
        <f t="shared" si="806"/>
        <v>158.32400000000001</v>
      </c>
      <c r="AB584" s="573">
        <f t="shared" si="806"/>
        <v>140.86599999999999</v>
      </c>
      <c r="AC584" s="573">
        <f t="shared" si="806"/>
        <v>148.78899999999999</v>
      </c>
      <c r="AD584" s="573">
        <f t="shared" si="806"/>
        <v>155.58699999999999</v>
      </c>
      <c r="AE584" s="573">
        <f t="shared" si="806"/>
        <v>139.702</v>
      </c>
      <c r="AF584" s="573">
        <f t="shared" si="806"/>
        <v>133.66999999999999</v>
      </c>
      <c r="AG584" s="573">
        <f t="shared" si="806"/>
        <v>257.61899999999997</v>
      </c>
      <c r="AH584" s="573">
        <f t="shared" si="806"/>
        <v>273.416</v>
      </c>
      <c r="AI584" s="573">
        <f t="shared" ref="AI584:AX584" si="807">SUM(AI576:AI583)</f>
        <v>235.99399999999997</v>
      </c>
      <c r="AJ584" s="573">
        <f t="shared" si="807"/>
        <v>228.61099999999999</v>
      </c>
      <c r="AK584" s="573">
        <f t="shared" si="807"/>
        <v>254.80199999999996</v>
      </c>
      <c r="AL584" s="573">
        <f t="shared" si="807"/>
        <v>306.24400000000003</v>
      </c>
      <c r="AM584" s="573">
        <f t="shared" si="807"/>
        <v>284.63400000000001</v>
      </c>
      <c r="AN584" s="573">
        <f t="shared" si="807"/>
        <v>238.19799999999998</v>
      </c>
      <c r="AO584" s="573">
        <f t="shared" si="807"/>
        <v>250.179</v>
      </c>
      <c r="AP584" s="573">
        <f t="shared" si="807"/>
        <v>302.07299999999998</v>
      </c>
      <c r="AQ584" s="573">
        <f t="shared" si="807"/>
        <v>289.245</v>
      </c>
      <c r="AR584" s="573">
        <f t="shared" si="807"/>
        <v>249.25800000000001</v>
      </c>
      <c r="AS584" s="573">
        <f t="shared" si="807"/>
        <v>284.24700000000001</v>
      </c>
      <c r="AT584" s="573">
        <f t="shared" si="807"/>
        <v>309.13499999999999</v>
      </c>
      <c r="AU584" s="577">
        <f t="shared" si="807"/>
        <v>299.13600000000002</v>
      </c>
      <c r="AV584" s="572">
        <f t="shared" si="807"/>
        <v>260.18127494539681</v>
      </c>
      <c r="AW584" s="572">
        <f t="shared" si="807"/>
        <v>298.7492984941407</v>
      </c>
      <c r="AX584" s="572">
        <f t="shared" si="807"/>
        <v>331.48314815086172</v>
      </c>
      <c r="AY584" s="572"/>
      <c r="AZ584" s="735">
        <f t="shared" ref="AZ584:BS584" si="808">SUM(AZ576:AZ583)</f>
        <v>41.149000000000008</v>
      </c>
      <c r="BA584" s="735">
        <f t="shared" si="808"/>
        <v>53.934000000000012</v>
      </c>
      <c r="BB584" s="735">
        <f t="shared" si="808"/>
        <v>83.652000000000001</v>
      </c>
      <c r="BC584" s="735">
        <f t="shared" si="808"/>
        <v>97.613</v>
      </c>
      <c r="BD584" s="735">
        <f t="shared" si="808"/>
        <v>109.18700000000001</v>
      </c>
      <c r="BE584" s="735">
        <f t="shared" si="808"/>
        <v>113.76000000000002</v>
      </c>
      <c r="BF584" s="735">
        <f t="shared" si="808"/>
        <v>110.65699999999998</v>
      </c>
      <c r="BG584" s="735">
        <f t="shared" si="808"/>
        <v>123.012</v>
      </c>
      <c r="BH584" s="735">
        <f t="shared" si="808"/>
        <v>117.751</v>
      </c>
      <c r="BI584" s="735">
        <f t="shared" si="808"/>
        <v>116.22399999999999</v>
      </c>
      <c r="BJ584" s="735">
        <f t="shared" si="808"/>
        <v>155.58699999999999</v>
      </c>
      <c r="BK584" s="735">
        <f t="shared" si="808"/>
        <v>273.416</v>
      </c>
      <c r="BL584" s="735">
        <f t="shared" si="808"/>
        <v>306.24400000000003</v>
      </c>
      <c r="BM584" s="735">
        <f t="shared" si="808"/>
        <v>302.07299999999998</v>
      </c>
      <c r="BN584" s="749">
        <f t="shared" si="808"/>
        <v>309.13499999999999</v>
      </c>
      <c r="BO584" s="734">
        <f t="shared" si="808"/>
        <v>331.48314815086172</v>
      </c>
      <c r="BP584" s="734" t="e">
        <f t="shared" si="808"/>
        <v>#REF!</v>
      </c>
      <c r="BQ584" s="734" t="e">
        <f t="shared" si="808"/>
        <v>#REF!</v>
      </c>
      <c r="BR584" s="734" t="e">
        <f t="shared" si="808"/>
        <v>#REF!</v>
      </c>
      <c r="BS584" s="734" t="e">
        <f t="shared" si="808"/>
        <v>#REF!</v>
      </c>
      <c r="BT584" s="530"/>
    </row>
    <row r="585" spans="1:72" s="1" customFormat="1" x14ac:dyDescent="0.35">
      <c r="A585" s="354"/>
      <c r="B585" s="307"/>
      <c r="C585" s="529"/>
      <c r="D585" s="529"/>
      <c r="E585" s="529"/>
      <c r="F585" s="529"/>
      <c r="G585" s="529"/>
      <c r="H585" s="529"/>
      <c r="I585" s="529"/>
      <c r="J585" s="529"/>
      <c r="K585" s="529"/>
      <c r="L585" s="529"/>
      <c r="M585" s="529"/>
      <c r="N585" s="529"/>
      <c r="O585" s="529"/>
      <c r="P585" s="529"/>
      <c r="Q585" s="529"/>
      <c r="R585" s="529"/>
      <c r="S585" s="529"/>
      <c r="T585" s="529"/>
      <c r="U585" s="529"/>
      <c r="V585" s="529"/>
      <c r="W585" s="529"/>
      <c r="X585" s="529"/>
      <c r="Y585" s="529"/>
      <c r="Z585" s="529"/>
      <c r="AA585" s="529"/>
      <c r="AB585" s="529"/>
      <c r="AC585" s="529"/>
      <c r="AD585" s="529"/>
      <c r="AE585" s="529"/>
      <c r="AF585" s="529"/>
      <c r="AG585" s="529"/>
      <c r="AH585" s="529"/>
      <c r="AI585" s="529"/>
      <c r="AJ585" s="529"/>
      <c r="AK585" s="529"/>
      <c r="AL585" s="529"/>
      <c r="AM585" s="529"/>
      <c r="AN585" s="529"/>
      <c r="AO585" s="529"/>
      <c r="AP585" s="529"/>
      <c r="AQ585" s="529"/>
      <c r="AR585" s="529"/>
      <c r="AS585" s="529"/>
      <c r="AT585" s="529"/>
      <c r="AU585" s="531"/>
      <c r="AV585" s="529"/>
      <c r="AW585" s="529"/>
      <c r="AX585" s="529"/>
      <c r="AY585" s="529"/>
      <c r="AZ585" s="726"/>
      <c r="BA585" s="726"/>
      <c r="BB585" s="726"/>
      <c r="BC585" s="726"/>
      <c r="BD585" s="726"/>
      <c r="BE585" s="726"/>
      <c r="BF585" s="726"/>
      <c r="BG585" s="726"/>
      <c r="BH585" s="726"/>
      <c r="BI585" s="726"/>
      <c r="BJ585" s="726"/>
      <c r="BK585" s="726"/>
      <c r="BL585" s="726"/>
      <c r="BM585" s="726"/>
      <c r="BN585" s="728"/>
      <c r="BO585" s="726"/>
      <c r="BP585" s="726"/>
      <c r="BQ585" s="726"/>
      <c r="BR585" s="726"/>
      <c r="BS585" s="726"/>
      <c r="BT585" s="530"/>
    </row>
    <row r="586" spans="1:72" s="1" customFormat="1" x14ac:dyDescent="0.35">
      <c r="A586" s="53" t="s">
        <v>211</v>
      </c>
      <c r="B586" s="307"/>
      <c r="C586" s="529"/>
      <c r="D586" s="529"/>
      <c r="E586" s="529"/>
      <c r="F586" s="529"/>
      <c r="G586" s="529"/>
      <c r="H586" s="529"/>
      <c r="I586" s="529"/>
      <c r="J586" s="529"/>
      <c r="K586" s="529"/>
      <c r="L586" s="529"/>
      <c r="M586" s="529"/>
      <c r="N586" s="529"/>
      <c r="O586" s="529"/>
      <c r="P586" s="529"/>
      <c r="Q586" s="529"/>
      <c r="R586" s="529"/>
      <c r="S586" s="529"/>
      <c r="T586" s="529"/>
      <c r="U586" s="529"/>
      <c r="V586" s="529"/>
      <c r="W586" s="529"/>
      <c r="X586" s="529"/>
      <c r="Y586" s="529"/>
      <c r="Z586" s="529"/>
      <c r="AA586" s="529"/>
      <c r="AB586" s="529"/>
      <c r="AC586" s="529"/>
      <c r="AD586" s="529"/>
      <c r="AE586" s="529"/>
      <c r="AF586" s="529"/>
      <c r="AG586" s="529"/>
      <c r="AH586" s="529"/>
      <c r="AI586" s="529"/>
      <c r="AJ586" s="529"/>
      <c r="AK586" s="529"/>
      <c r="AL586" s="529"/>
      <c r="AM586" s="529"/>
      <c r="AN586" s="529"/>
      <c r="AO586" s="529"/>
      <c r="AP586" s="529"/>
      <c r="AQ586" s="529"/>
      <c r="AR586" s="529"/>
      <c r="AS586" s="529"/>
      <c r="AT586" s="529"/>
      <c r="AU586" s="531"/>
      <c r="AV586" s="529"/>
      <c r="AW586" s="529"/>
      <c r="AX586" s="529"/>
      <c r="AY586" s="529"/>
      <c r="AZ586" s="726"/>
      <c r="BA586" s="726"/>
      <c r="BB586" s="726"/>
      <c r="BC586" s="726"/>
      <c r="BD586" s="726"/>
      <c r="BE586" s="726"/>
      <c r="BF586" s="726"/>
      <c r="BG586" s="726"/>
      <c r="BH586" s="726"/>
      <c r="BI586" s="726"/>
      <c r="BJ586" s="726"/>
      <c r="BK586" s="726"/>
      <c r="BL586" s="726"/>
      <c r="BM586" s="726"/>
      <c r="BN586" s="728"/>
      <c r="BO586" s="726"/>
      <c r="BP586" s="726"/>
      <c r="BQ586" s="726"/>
      <c r="BR586" s="726"/>
      <c r="BS586" s="726"/>
      <c r="BT586" s="530"/>
    </row>
    <row r="587" spans="1:72" s="17" customFormat="1" x14ac:dyDescent="0.35">
      <c r="A587" s="208" t="s">
        <v>397</v>
      </c>
      <c r="B587" s="308"/>
      <c r="C587" s="638">
        <v>21.231000000000002</v>
      </c>
      <c r="D587" s="638">
        <v>20.619</v>
      </c>
      <c r="E587" s="638">
        <v>20.477</v>
      </c>
      <c r="F587" s="533">
        <f>BD587</f>
        <v>16.106999999999999</v>
      </c>
      <c r="G587" s="638">
        <v>18.981000000000002</v>
      </c>
      <c r="H587" s="638">
        <v>19.43</v>
      </c>
      <c r="I587" s="638">
        <v>16.651</v>
      </c>
      <c r="J587" s="533">
        <f>BE587</f>
        <v>16.446999999999999</v>
      </c>
      <c r="K587" s="638">
        <v>15.664</v>
      </c>
      <c r="L587" s="638">
        <v>14.109</v>
      </c>
      <c r="M587" s="638">
        <v>14.449</v>
      </c>
      <c r="N587" s="533">
        <f>BF587</f>
        <v>13.022</v>
      </c>
      <c r="O587" s="638">
        <v>11.83</v>
      </c>
      <c r="P587" s="638">
        <v>10.058999999999999</v>
      </c>
      <c r="Q587" s="638">
        <v>9.66</v>
      </c>
      <c r="R587" s="533">
        <f>BG587</f>
        <v>9.9220000000000006</v>
      </c>
      <c r="S587" s="638">
        <v>13.307</v>
      </c>
      <c r="T587" s="638">
        <v>11.952999999999999</v>
      </c>
      <c r="U587" s="638">
        <v>11.955</v>
      </c>
      <c r="V587" s="533">
        <f>BH587</f>
        <v>10.025</v>
      </c>
      <c r="W587" s="638">
        <v>15.167</v>
      </c>
      <c r="X587" s="638">
        <v>13.930999999999999</v>
      </c>
      <c r="Y587" s="638">
        <v>13.983000000000001</v>
      </c>
      <c r="Z587" s="533">
        <f>BI587</f>
        <v>12.664999999999999</v>
      </c>
      <c r="AA587" s="638">
        <v>20.609000000000002</v>
      </c>
      <c r="AB587" s="638">
        <v>8.56</v>
      </c>
      <c r="AC587" s="638">
        <v>6.6980000000000004</v>
      </c>
      <c r="AD587" s="533">
        <f>BJ587</f>
        <v>5.0599999999999996</v>
      </c>
      <c r="AE587" s="638">
        <v>3.4950000000000001</v>
      </c>
      <c r="AF587" s="638">
        <v>2.1459999999999999</v>
      </c>
      <c r="AG587" s="638">
        <v>5.2649999999999997</v>
      </c>
      <c r="AH587" s="533">
        <f>BK587</f>
        <v>4.6340000000000003</v>
      </c>
      <c r="AI587" s="638">
        <v>18.155999999999999</v>
      </c>
      <c r="AJ587" s="638">
        <v>37.795999999999999</v>
      </c>
      <c r="AK587" s="638">
        <v>43.116999999999997</v>
      </c>
      <c r="AL587" s="533">
        <f t="shared" ref="AL587:AL594" si="809">BL587</f>
        <v>41.567999999999998</v>
      </c>
      <c r="AM587" s="638">
        <v>46.747</v>
      </c>
      <c r="AN587" s="638">
        <v>44.612000000000002</v>
      </c>
      <c r="AO587" s="638">
        <v>37.566000000000003</v>
      </c>
      <c r="AP587" s="533">
        <f t="shared" ref="AP587:AP594" si="810">BM587</f>
        <v>28.888000000000002</v>
      </c>
      <c r="AQ587" s="638">
        <v>34.401000000000003</v>
      </c>
      <c r="AR587" s="638">
        <v>28.925000000000001</v>
      </c>
      <c r="AS587" s="638">
        <v>26.059000000000001</v>
      </c>
      <c r="AT587" s="533">
        <f t="shared" ref="AT587:AT594" si="811">BN587</f>
        <v>21.277999999999999</v>
      </c>
      <c r="AU587" s="643">
        <v>29.640999999999998</v>
      </c>
      <c r="AV587" s="532">
        <f t="shared" ref="AV587:AX588" si="812">AU587</f>
        <v>29.640999999999998</v>
      </c>
      <c r="AW587" s="532">
        <f t="shared" si="812"/>
        <v>29.640999999999998</v>
      </c>
      <c r="AX587" s="532">
        <f t="shared" si="812"/>
        <v>29.640999999999998</v>
      </c>
      <c r="AY587" s="532"/>
      <c r="AZ587" s="729">
        <v>9.2219999999999995</v>
      </c>
      <c r="BA587" s="729">
        <v>7.71</v>
      </c>
      <c r="BB587" s="729">
        <v>8.5519999999999996</v>
      </c>
      <c r="BC587" s="729">
        <v>15.124000000000001</v>
      </c>
      <c r="BD587" s="729">
        <v>16.106999999999999</v>
      </c>
      <c r="BE587" s="729">
        <v>16.446999999999999</v>
      </c>
      <c r="BF587" s="729">
        <v>13.022</v>
      </c>
      <c r="BG587" s="729">
        <v>9.9220000000000006</v>
      </c>
      <c r="BH587" s="729">
        <v>10.025</v>
      </c>
      <c r="BI587" s="729">
        <v>12.664999999999999</v>
      </c>
      <c r="BJ587" s="729">
        <v>5.0599999999999996</v>
      </c>
      <c r="BK587" s="729">
        <v>4.6340000000000003</v>
      </c>
      <c r="BL587" s="729">
        <v>41.567999999999998</v>
      </c>
      <c r="BM587" s="729">
        <v>28.888000000000002</v>
      </c>
      <c r="BN587" s="748">
        <v>21.277999999999999</v>
      </c>
      <c r="BO587" s="156">
        <f t="shared" ref="BO587:BO594" si="813">AX587</f>
        <v>29.640999999999998</v>
      </c>
      <c r="BP587" s="156" t="e">
        <f>#REF!</f>
        <v>#REF!</v>
      </c>
      <c r="BQ587" s="156" t="e">
        <f t="shared" ref="BQ587:BS588" si="814">BP587</f>
        <v>#REF!</v>
      </c>
      <c r="BR587" s="156" t="e">
        <f t="shared" si="814"/>
        <v>#REF!</v>
      </c>
      <c r="BS587" s="156" t="e">
        <f t="shared" si="814"/>
        <v>#REF!</v>
      </c>
      <c r="BT587" s="533"/>
    </row>
    <row r="588" spans="1:72" s="17" customFormat="1" x14ac:dyDescent="0.35">
      <c r="A588" s="208" t="s">
        <v>389</v>
      </c>
      <c r="B588" s="308"/>
      <c r="C588" s="532"/>
      <c r="D588" s="532"/>
      <c r="E588" s="532"/>
      <c r="F588" s="532"/>
      <c r="G588" s="532"/>
      <c r="H588" s="532"/>
      <c r="I588" s="532"/>
      <c r="J588" s="532"/>
      <c r="K588" s="532"/>
      <c r="L588" s="532"/>
      <c r="M588" s="532"/>
      <c r="N588" s="532"/>
      <c r="O588" s="532"/>
      <c r="P588" s="532"/>
      <c r="Q588" s="532"/>
      <c r="R588" s="532"/>
      <c r="S588" s="532"/>
      <c r="T588" s="532"/>
      <c r="U588" s="532"/>
      <c r="V588" s="532"/>
      <c r="W588" s="532"/>
      <c r="X588" s="532"/>
      <c r="Y588" s="532"/>
      <c r="Z588" s="532"/>
      <c r="AA588" s="532"/>
      <c r="AB588" s="532"/>
      <c r="AC588" s="532"/>
      <c r="AD588" s="532"/>
      <c r="AE588" s="638">
        <v>17.047999999999998</v>
      </c>
      <c r="AF588" s="638">
        <v>14.906000000000001</v>
      </c>
      <c r="AG588" s="638">
        <v>100.803</v>
      </c>
      <c r="AH588" s="533">
        <f>BK588</f>
        <v>96.543999999999997</v>
      </c>
      <c r="AI588" s="638">
        <v>91.623999999999995</v>
      </c>
      <c r="AJ588" s="638">
        <v>86.977000000000004</v>
      </c>
      <c r="AK588" s="638">
        <v>82.6</v>
      </c>
      <c r="AL588" s="533">
        <f t="shared" si="809"/>
        <v>77.457999999999998</v>
      </c>
      <c r="AM588" s="638">
        <v>82.567999999999998</v>
      </c>
      <c r="AN588" s="638">
        <v>79.02</v>
      </c>
      <c r="AO588" s="638">
        <v>76.341999999999999</v>
      </c>
      <c r="AP588" s="533">
        <f t="shared" si="810"/>
        <v>75.126999999999995</v>
      </c>
      <c r="AQ588" s="638">
        <v>69.113</v>
      </c>
      <c r="AR588" s="638">
        <v>65.826999999999998</v>
      </c>
      <c r="AS588" s="638">
        <v>62.295000000000002</v>
      </c>
      <c r="AT588" s="533">
        <f t="shared" si="811"/>
        <v>59.424999999999997</v>
      </c>
      <c r="AU588" s="643">
        <v>54.991</v>
      </c>
      <c r="AV588" s="532">
        <f t="shared" si="812"/>
        <v>54.991</v>
      </c>
      <c r="AW588" s="532">
        <f t="shared" si="812"/>
        <v>54.991</v>
      </c>
      <c r="AX588" s="532">
        <f t="shared" si="812"/>
        <v>54.991</v>
      </c>
      <c r="AY588" s="532"/>
      <c r="AZ588" s="156"/>
      <c r="BA588" s="156"/>
      <c r="BB588" s="156"/>
      <c r="BC588" s="156"/>
      <c r="BD588" s="156"/>
      <c r="BE588" s="156"/>
      <c r="BF588" s="156"/>
      <c r="BG588" s="156"/>
      <c r="BH588" s="156"/>
      <c r="BI588" s="156"/>
      <c r="BJ588" s="156"/>
      <c r="BK588" s="729">
        <v>96.543999999999997</v>
      </c>
      <c r="BL588" s="729">
        <v>77.457999999999998</v>
      </c>
      <c r="BM588" s="729">
        <v>75.126999999999995</v>
      </c>
      <c r="BN588" s="748">
        <v>59.424999999999997</v>
      </c>
      <c r="BO588" s="156">
        <f t="shared" si="813"/>
        <v>54.991</v>
      </c>
      <c r="BP588" s="156" t="e">
        <f>#REF!</f>
        <v>#REF!</v>
      </c>
      <c r="BQ588" s="156" t="e">
        <f t="shared" si="814"/>
        <v>#REF!</v>
      </c>
      <c r="BR588" s="156" t="e">
        <f t="shared" si="814"/>
        <v>#REF!</v>
      </c>
      <c r="BS588" s="156" t="e">
        <f t="shared" si="814"/>
        <v>#REF!</v>
      </c>
      <c r="BT588" s="533"/>
    </row>
    <row r="589" spans="1:72" s="17" customFormat="1" x14ac:dyDescent="0.35">
      <c r="A589" s="208" t="s">
        <v>446</v>
      </c>
      <c r="B589" s="308"/>
      <c r="C589" s="532"/>
      <c r="D589" s="532"/>
      <c r="E589" s="532"/>
      <c r="F589" s="532"/>
      <c r="G589" s="532"/>
      <c r="H589" s="532"/>
      <c r="I589" s="532"/>
      <c r="J589" s="532"/>
      <c r="K589" s="532"/>
      <c r="L589" s="532"/>
      <c r="M589" s="532"/>
      <c r="N589" s="532"/>
      <c r="O589" s="532"/>
      <c r="P589" s="532"/>
      <c r="Q589" s="532"/>
      <c r="R589" s="532"/>
      <c r="S589" s="532"/>
      <c r="T589" s="532"/>
      <c r="U589" s="532"/>
      <c r="V589" s="532"/>
      <c r="W589" s="532"/>
      <c r="X589" s="532"/>
      <c r="Y589" s="532"/>
      <c r="Z589" s="532"/>
      <c r="AA589" s="532"/>
      <c r="AB589" s="532"/>
      <c r="AC589" s="532"/>
      <c r="AD589" s="532"/>
      <c r="AE589" s="532"/>
      <c r="AF589" s="532"/>
      <c r="AG589" s="532"/>
      <c r="AH589" s="532"/>
      <c r="AI589" s="638">
        <v>287.81099999999998</v>
      </c>
      <c r="AJ589" s="638">
        <v>291.62400000000002</v>
      </c>
      <c r="AK589" s="638">
        <v>295.38799999999998</v>
      </c>
      <c r="AL589" s="532">
        <f t="shared" si="809"/>
        <v>299.27100000000002</v>
      </c>
      <c r="AM589" s="638">
        <v>410.26900000000001</v>
      </c>
      <c r="AN589" s="638">
        <v>410.67399999999998</v>
      </c>
      <c r="AO589" s="638">
        <v>411.04700000000003</v>
      </c>
      <c r="AP589" s="532">
        <f t="shared" si="810"/>
        <v>411.43799999999999</v>
      </c>
      <c r="AQ589" s="638">
        <v>411.84800000000001</v>
      </c>
      <c r="AR589" s="638">
        <v>412.26</v>
      </c>
      <c r="AS589" s="638">
        <v>412.63799999999998</v>
      </c>
      <c r="AT589" s="532">
        <f t="shared" si="811"/>
        <v>413.03500000000003</v>
      </c>
      <c r="AU589" s="643">
        <v>413.452</v>
      </c>
      <c r="AV589" s="532">
        <f t="shared" ref="AV589:AX589" si="815">AV286-AV587-AV593</f>
        <v>413.452</v>
      </c>
      <c r="AW589" s="532">
        <f t="shared" si="815"/>
        <v>413.452</v>
      </c>
      <c r="AX589" s="532">
        <f t="shared" si="815"/>
        <v>413.452</v>
      </c>
      <c r="AY589" s="532"/>
      <c r="AZ589" s="156"/>
      <c r="BA589" s="156"/>
      <c r="BB589" s="156"/>
      <c r="BC589" s="156"/>
      <c r="BD589" s="156"/>
      <c r="BE589" s="156"/>
      <c r="BF589" s="156"/>
      <c r="BG589" s="156"/>
      <c r="BH589" s="156"/>
      <c r="BI589" s="156"/>
      <c r="BJ589" s="156"/>
      <c r="BK589" s="156"/>
      <c r="BL589" s="729">
        <v>299.27100000000002</v>
      </c>
      <c r="BM589" s="729">
        <v>411.43799999999999</v>
      </c>
      <c r="BN589" s="748">
        <v>413.03500000000003</v>
      </c>
      <c r="BO589" s="156">
        <f t="shared" si="813"/>
        <v>413.452</v>
      </c>
      <c r="BP589" s="156" t="e">
        <f>#REF!</f>
        <v>#REF!</v>
      </c>
      <c r="BQ589" s="156" t="e">
        <f>BQ286-BQ587-BQ593</f>
        <v>#REF!</v>
      </c>
      <c r="BR589" s="156" t="e">
        <f>BR286-BR587-BR593</f>
        <v>#REF!</v>
      </c>
      <c r="BS589" s="156" t="e">
        <f>BS286-BS587-BS593</f>
        <v>#REF!</v>
      </c>
      <c r="BT589" s="533"/>
    </row>
    <row r="590" spans="1:72" s="17" customFormat="1" x14ac:dyDescent="0.35">
      <c r="A590" s="208" t="s">
        <v>212</v>
      </c>
      <c r="B590" s="308"/>
      <c r="C590" s="638">
        <v>8.4930000000000003</v>
      </c>
      <c r="D590" s="638">
        <v>8.6790000000000003</v>
      </c>
      <c r="E590" s="638">
        <v>8.5779999999999994</v>
      </c>
      <c r="F590" s="533">
        <f>BD590</f>
        <v>8.8330000000000002</v>
      </c>
      <c r="G590" s="638">
        <v>8.92</v>
      </c>
      <c r="H590" s="638">
        <v>8.7959999999999994</v>
      </c>
      <c r="I590" s="638">
        <v>8.5950000000000006</v>
      </c>
      <c r="J590" s="533">
        <f>BE590</f>
        <v>8.4879999999999995</v>
      </c>
      <c r="K590" s="638">
        <v>8.4209999999999994</v>
      </c>
      <c r="L590" s="638">
        <v>8.1869999999999994</v>
      </c>
      <c r="M590" s="638">
        <v>7.9470000000000001</v>
      </c>
      <c r="N590" s="533">
        <f>BF590</f>
        <v>7.6920000000000002</v>
      </c>
      <c r="O590" s="638">
        <v>7.4390000000000001</v>
      </c>
      <c r="P590" s="638">
        <v>7.1790000000000003</v>
      </c>
      <c r="Q590" s="638">
        <v>6.9580000000000002</v>
      </c>
      <c r="R590" s="533">
        <f>BG590</f>
        <v>6.6609999999999996</v>
      </c>
      <c r="S590" s="638">
        <v>6.3419999999999996</v>
      </c>
      <c r="T590" s="638">
        <v>6.125</v>
      </c>
      <c r="U590" s="638">
        <v>4.3650000000000002</v>
      </c>
      <c r="V590" s="533">
        <f>BH590</f>
        <v>4.157</v>
      </c>
      <c r="W590" s="638">
        <v>3.9390000000000001</v>
      </c>
      <c r="X590" s="638">
        <v>3.7450000000000001</v>
      </c>
      <c r="Y590" s="638">
        <v>3.5110000000000001</v>
      </c>
      <c r="Z590" s="533">
        <f>BI590</f>
        <v>3.27</v>
      </c>
      <c r="AA590" s="638">
        <v>3.0150000000000001</v>
      </c>
      <c r="AB590" s="638">
        <v>2.766</v>
      </c>
      <c r="AC590" s="638">
        <v>2.524</v>
      </c>
      <c r="AD590" s="533">
        <f>BJ590</f>
        <v>2.2690000000000001</v>
      </c>
      <c r="AE590" s="532"/>
      <c r="AF590" s="532"/>
      <c r="AG590" s="532"/>
      <c r="AH590" s="533">
        <f>BK590</f>
        <v>0</v>
      </c>
      <c r="AI590" s="532"/>
      <c r="AJ590" s="532"/>
      <c r="AK590" s="532"/>
      <c r="AL590" s="533">
        <f t="shared" si="809"/>
        <v>0</v>
      </c>
      <c r="AM590" s="532"/>
      <c r="AN590" s="532"/>
      <c r="AO590" s="532"/>
      <c r="AP590" s="533">
        <f t="shared" si="810"/>
        <v>0</v>
      </c>
      <c r="AQ590" s="532"/>
      <c r="AR590" s="532"/>
      <c r="AS590" s="532"/>
      <c r="AT590" s="533">
        <f t="shared" si="811"/>
        <v>0</v>
      </c>
      <c r="AU590" s="534"/>
      <c r="AV590" s="532">
        <f>AU590</f>
        <v>0</v>
      </c>
      <c r="AW590" s="532">
        <f>AV590</f>
        <v>0</v>
      </c>
      <c r="AX590" s="532">
        <f>AW590</f>
        <v>0</v>
      </c>
      <c r="AY590" s="532"/>
      <c r="AZ590" s="729">
        <v>1.6990000000000001</v>
      </c>
      <c r="BA590" s="729">
        <v>1.782</v>
      </c>
      <c r="BB590" s="729">
        <v>4.6980000000000004</v>
      </c>
      <c r="BC590" s="729">
        <v>6.9740000000000002</v>
      </c>
      <c r="BD590" s="729">
        <v>8.8330000000000002</v>
      </c>
      <c r="BE590" s="729">
        <v>8.4879999999999995</v>
      </c>
      <c r="BF590" s="729">
        <v>7.6920000000000002</v>
      </c>
      <c r="BG590" s="729">
        <v>6.6609999999999996</v>
      </c>
      <c r="BH590" s="729">
        <v>4.157</v>
      </c>
      <c r="BI590" s="729">
        <v>3.27</v>
      </c>
      <c r="BJ590" s="729">
        <v>2.2690000000000001</v>
      </c>
      <c r="BK590" s="156"/>
      <c r="BL590" s="156"/>
      <c r="BM590" s="156"/>
      <c r="BN590" s="730"/>
      <c r="BO590" s="156">
        <f t="shared" si="813"/>
        <v>0</v>
      </c>
      <c r="BP590" s="156" t="e">
        <f>#REF!</f>
        <v>#REF!</v>
      </c>
      <c r="BQ590" s="156" t="e">
        <f>BP590</f>
        <v>#REF!</v>
      </c>
      <c r="BR590" s="156" t="e">
        <f>BQ590</f>
        <v>#REF!</v>
      </c>
      <c r="BS590" s="156" t="e">
        <f>BR590</f>
        <v>#REF!</v>
      </c>
      <c r="BT590" s="533"/>
    </row>
    <row r="591" spans="1:72" s="17" customFormat="1" x14ac:dyDescent="0.35">
      <c r="A591" s="208" t="s">
        <v>213</v>
      </c>
      <c r="B591" s="308"/>
      <c r="C591" s="638">
        <v>32.524999999999999</v>
      </c>
      <c r="D591" s="638">
        <v>34.764000000000003</v>
      </c>
      <c r="E591" s="638">
        <v>37.185000000000002</v>
      </c>
      <c r="F591" s="533">
        <f>BD591</f>
        <v>33.298999999999999</v>
      </c>
      <c r="G591" s="638">
        <v>39.575000000000003</v>
      </c>
      <c r="H591" s="638">
        <v>33.584000000000003</v>
      </c>
      <c r="I591" s="638">
        <v>28.69</v>
      </c>
      <c r="J591" s="533">
        <f>BE591</f>
        <v>22.478000000000002</v>
      </c>
      <c r="K591" s="638">
        <v>24.489000000000001</v>
      </c>
      <c r="L591" s="638">
        <v>24.218</v>
      </c>
      <c r="M591" s="638">
        <v>23.571000000000002</v>
      </c>
      <c r="N591" s="533">
        <f>BF591</f>
        <v>22.456</v>
      </c>
      <c r="O591" s="638">
        <v>26.741</v>
      </c>
      <c r="P591" s="638">
        <v>27.529</v>
      </c>
      <c r="Q591" s="638">
        <v>27.654</v>
      </c>
      <c r="R591" s="533">
        <f>BG591</f>
        <v>18.457999999999998</v>
      </c>
      <c r="S591" s="638">
        <v>29.521000000000001</v>
      </c>
      <c r="T591" s="638">
        <v>25.178000000000001</v>
      </c>
      <c r="U591" s="638">
        <v>22.356000000000002</v>
      </c>
      <c r="V591" s="533">
        <f>BH591</f>
        <v>16.725999999999999</v>
      </c>
      <c r="W591" s="638">
        <v>23.771999999999998</v>
      </c>
      <c r="X591" s="638">
        <v>16.023</v>
      </c>
      <c r="Y591" s="638">
        <v>11.571999999999999</v>
      </c>
      <c r="Z591" s="533">
        <f>BI591</f>
        <v>12.577</v>
      </c>
      <c r="AA591" s="638">
        <v>17.878</v>
      </c>
      <c r="AB591" s="638">
        <v>18.114000000000001</v>
      </c>
      <c r="AC591" s="638">
        <v>18.210999999999999</v>
      </c>
      <c r="AD591" s="533">
        <f>BJ591</f>
        <v>16.670000000000002</v>
      </c>
      <c r="AE591" s="638">
        <v>20.356999999999999</v>
      </c>
      <c r="AF591" s="638">
        <v>16.789000000000001</v>
      </c>
      <c r="AG591" s="638">
        <v>1.252</v>
      </c>
      <c r="AH591" s="533">
        <f>BK591</f>
        <v>13.771000000000001</v>
      </c>
      <c r="AI591" s="638">
        <v>35.872</v>
      </c>
      <c r="AJ591" s="638">
        <v>34.645000000000003</v>
      </c>
      <c r="AK591" s="638">
        <v>31.530999999999999</v>
      </c>
      <c r="AL591" s="533">
        <f t="shared" si="809"/>
        <v>31.853000000000002</v>
      </c>
      <c r="AM591" s="638">
        <v>7.7830000000000004</v>
      </c>
      <c r="AN591" s="638">
        <v>8.282</v>
      </c>
      <c r="AO591" s="638">
        <v>9.0340000000000007</v>
      </c>
      <c r="AP591" s="533">
        <f t="shared" si="810"/>
        <v>3.2050000000000001</v>
      </c>
      <c r="AQ591" s="638">
        <v>20.181999999999999</v>
      </c>
      <c r="AR591" s="638">
        <v>10.752000000000001</v>
      </c>
      <c r="AS591" s="638">
        <v>5.351</v>
      </c>
      <c r="AT591" s="533">
        <f t="shared" si="811"/>
        <v>0</v>
      </c>
      <c r="AU591" s="534"/>
      <c r="AV591" s="532">
        <f>AU591+AV424</f>
        <v>0</v>
      </c>
      <c r="AW591" s="532">
        <f ca="1">AV591+AW424</f>
        <v>0</v>
      </c>
      <c r="AX591" s="532">
        <f ca="1">AW591+AX424</f>
        <v>0</v>
      </c>
      <c r="AY591" s="532"/>
      <c r="AZ591" s="729">
        <v>0</v>
      </c>
      <c r="BA591" s="156"/>
      <c r="BB591" s="729">
        <v>9.6039999999999992</v>
      </c>
      <c r="BC591" s="729">
        <v>31.591000000000001</v>
      </c>
      <c r="BD591" s="729">
        <v>33.298999999999999</v>
      </c>
      <c r="BE591" s="729">
        <v>22.478000000000002</v>
      </c>
      <c r="BF591" s="729">
        <v>22.456</v>
      </c>
      <c r="BG591" s="729">
        <v>18.457999999999998</v>
      </c>
      <c r="BH591" s="729">
        <v>16.725999999999999</v>
      </c>
      <c r="BI591" s="729">
        <v>12.577</v>
      </c>
      <c r="BJ591" s="729">
        <v>16.670000000000002</v>
      </c>
      <c r="BK591" s="729">
        <v>13.771000000000001</v>
      </c>
      <c r="BL591" s="729">
        <v>31.853000000000002</v>
      </c>
      <c r="BM591" s="729">
        <v>3.2050000000000001</v>
      </c>
      <c r="BN591" s="730"/>
      <c r="BO591" s="156">
        <f t="shared" ca="1" si="813"/>
        <v>0</v>
      </c>
      <c r="BP591" s="156" t="e">
        <f>#REF!</f>
        <v>#REF!</v>
      </c>
      <c r="BQ591" s="156" t="e">
        <f>BP591+BQ424</f>
        <v>#REF!</v>
      </c>
      <c r="BR591" s="156" t="e">
        <f>BQ591+BR424</f>
        <v>#REF!</v>
      </c>
      <c r="BS591" s="156" t="e">
        <f ca="1">BR591+BS424</f>
        <v>#REF!</v>
      </c>
      <c r="BT591" s="533"/>
    </row>
    <row r="592" spans="1:72" s="17" customFormat="1" x14ac:dyDescent="0.35">
      <c r="A592" s="208" t="s">
        <v>214</v>
      </c>
      <c r="B592" s="308"/>
      <c r="C592" s="638">
        <v>1.9870000000000001</v>
      </c>
      <c r="D592" s="638">
        <v>2.1459999999999999</v>
      </c>
      <c r="E592" s="638">
        <v>1.97</v>
      </c>
      <c r="F592" s="533">
        <f>BD592</f>
        <v>2.512</v>
      </c>
      <c r="G592" s="638">
        <v>2.5979999999999999</v>
      </c>
      <c r="H592" s="638">
        <v>2.7290000000000001</v>
      </c>
      <c r="I592" s="638">
        <v>2.2970000000000002</v>
      </c>
      <c r="J592" s="533">
        <f>BE592</f>
        <v>4.7629999999999999</v>
      </c>
      <c r="K592" s="638">
        <v>7.3869999999999996</v>
      </c>
      <c r="L592" s="638">
        <v>7.4240000000000004</v>
      </c>
      <c r="M592" s="638">
        <v>7.7839999999999998</v>
      </c>
      <c r="N592" s="533">
        <f>BF592</f>
        <v>8.2330000000000005</v>
      </c>
      <c r="O592" s="638">
        <v>8.109</v>
      </c>
      <c r="P592" s="638">
        <v>8.7140000000000004</v>
      </c>
      <c r="Q592" s="638">
        <v>6.4749999999999996</v>
      </c>
      <c r="R592" s="533">
        <f>BG592</f>
        <v>9.7799999999999994</v>
      </c>
      <c r="S592" s="638">
        <v>10.391</v>
      </c>
      <c r="T592" s="638">
        <v>8.5120000000000005</v>
      </c>
      <c r="U592" s="638">
        <v>10.95</v>
      </c>
      <c r="V592" s="533">
        <f>BH592</f>
        <v>11.579000000000001</v>
      </c>
      <c r="W592" s="638">
        <v>12.298999999999999</v>
      </c>
      <c r="X592" s="638">
        <v>10.946</v>
      </c>
      <c r="Y592" s="638">
        <v>9.5190000000000001</v>
      </c>
      <c r="Z592" s="533">
        <f>BI592</f>
        <v>10.038</v>
      </c>
      <c r="AA592" s="638">
        <v>9.2799999999999994</v>
      </c>
      <c r="AB592" s="638">
        <v>9.4410000000000007</v>
      </c>
      <c r="AC592" s="638">
        <v>8.048</v>
      </c>
      <c r="AD592" s="533">
        <f>BJ592</f>
        <v>6.6550000000000002</v>
      </c>
      <c r="AE592" s="638">
        <v>8.1829999999999998</v>
      </c>
      <c r="AF592" s="638">
        <v>8.343</v>
      </c>
      <c r="AG592" s="638">
        <v>6.4379999999999997</v>
      </c>
      <c r="AH592" s="533">
        <f>BK592</f>
        <v>9.5690000000000008</v>
      </c>
      <c r="AI592" s="638">
        <v>15.997999999999999</v>
      </c>
      <c r="AJ592" s="638">
        <v>39.872</v>
      </c>
      <c r="AK592" s="638">
        <v>39.951000000000001</v>
      </c>
      <c r="AL592" s="533">
        <f t="shared" si="809"/>
        <v>16.254999999999999</v>
      </c>
      <c r="AM592" s="638">
        <v>18.457999999999998</v>
      </c>
      <c r="AN592" s="638">
        <v>10.726000000000001</v>
      </c>
      <c r="AO592" s="638">
        <v>9.7940000000000005</v>
      </c>
      <c r="AP592" s="533">
        <f t="shared" si="810"/>
        <v>10.233000000000001</v>
      </c>
      <c r="AQ592" s="638">
        <v>10.486000000000001</v>
      </c>
      <c r="AR592" s="638">
        <v>10.37</v>
      </c>
      <c r="AS592" s="638">
        <v>9.8970000000000002</v>
      </c>
      <c r="AT592" s="533">
        <f t="shared" si="811"/>
        <v>10.497</v>
      </c>
      <c r="AU592" s="643">
        <v>11.932</v>
      </c>
      <c r="AV592" s="532">
        <f t="shared" ref="AV592:AX594" si="816">AU592</f>
        <v>11.932</v>
      </c>
      <c r="AW592" s="532">
        <f t="shared" si="816"/>
        <v>11.932</v>
      </c>
      <c r="AX592" s="532">
        <f t="shared" si="816"/>
        <v>11.932</v>
      </c>
      <c r="AY592" s="532"/>
      <c r="AZ592" s="729">
        <v>0</v>
      </c>
      <c r="BA592" s="729">
        <v>0.435</v>
      </c>
      <c r="BB592" s="729">
        <v>3.343</v>
      </c>
      <c r="BC592" s="729">
        <v>1.9079999999999999</v>
      </c>
      <c r="BD592" s="729">
        <v>2.512</v>
      </c>
      <c r="BE592" s="729">
        <v>4.7629999999999999</v>
      </c>
      <c r="BF592" s="729">
        <v>8.2330000000000005</v>
      </c>
      <c r="BG592" s="729">
        <v>9.7799999999999994</v>
      </c>
      <c r="BH592" s="729">
        <v>11.579000000000001</v>
      </c>
      <c r="BI592" s="729">
        <v>10.038</v>
      </c>
      <c r="BJ592" s="729">
        <v>6.6550000000000002</v>
      </c>
      <c r="BK592" s="729">
        <v>9.5690000000000008</v>
      </c>
      <c r="BL592" s="729">
        <v>16.254999999999999</v>
      </c>
      <c r="BM592" s="729">
        <v>10.233000000000001</v>
      </c>
      <c r="BN592" s="748">
        <v>10.497</v>
      </c>
      <c r="BO592" s="156">
        <f t="shared" si="813"/>
        <v>11.932</v>
      </c>
      <c r="BP592" s="156" t="e">
        <f>#REF!</f>
        <v>#REF!</v>
      </c>
      <c r="BQ592" s="156" t="e">
        <f t="shared" ref="BQ592:BS594" si="817">BP592</f>
        <v>#REF!</v>
      </c>
      <c r="BR592" s="156" t="e">
        <f t="shared" si="817"/>
        <v>#REF!</v>
      </c>
      <c r="BS592" s="156" t="e">
        <f t="shared" si="817"/>
        <v>#REF!</v>
      </c>
      <c r="BT592" s="533"/>
    </row>
    <row r="593" spans="1:72" s="17" customFormat="1" x14ac:dyDescent="0.35">
      <c r="A593" s="208" t="s">
        <v>215</v>
      </c>
      <c r="B593" s="308"/>
      <c r="C593" s="638">
        <v>0.39</v>
      </c>
      <c r="D593" s="532"/>
      <c r="E593" s="532"/>
      <c r="F593" s="533">
        <f>BD593</f>
        <v>0</v>
      </c>
      <c r="G593" s="532"/>
      <c r="H593" s="532"/>
      <c r="I593" s="532"/>
      <c r="J593" s="533">
        <f>BE593</f>
        <v>0</v>
      </c>
      <c r="K593" s="532"/>
      <c r="L593" s="532"/>
      <c r="M593" s="532"/>
      <c r="N593" s="533">
        <f>BF593</f>
        <v>0</v>
      </c>
      <c r="O593" s="532"/>
      <c r="P593" s="533">
        <f>O593</f>
        <v>0</v>
      </c>
      <c r="Q593" s="533">
        <f>P593</f>
        <v>0</v>
      </c>
      <c r="R593" s="533">
        <f>BG593</f>
        <v>0</v>
      </c>
      <c r="S593" s="532"/>
      <c r="T593" s="532"/>
      <c r="U593" s="532"/>
      <c r="V593" s="532"/>
      <c r="W593" s="532"/>
      <c r="X593" s="532"/>
      <c r="Y593" s="532"/>
      <c r="Z593" s="532"/>
      <c r="AA593" s="532"/>
      <c r="AB593" s="532"/>
      <c r="AC593" s="532"/>
      <c r="AD593" s="532"/>
      <c r="AE593" s="532"/>
      <c r="AF593" s="532"/>
      <c r="AG593" s="532"/>
      <c r="AH593" s="532"/>
      <c r="AI593" s="532"/>
      <c r="AJ593" s="532"/>
      <c r="AK593" s="532"/>
      <c r="AL593" s="532">
        <f t="shared" si="809"/>
        <v>0</v>
      </c>
      <c r="AM593" s="532"/>
      <c r="AN593" s="532"/>
      <c r="AO593" s="532"/>
      <c r="AP593" s="532">
        <f t="shared" si="810"/>
        <v>0</v>
      </c>
      <c r="AQ593" s="532"/>
      <c r="AR593" s="532"/>
      <c r="AS593" s="532"/>
      <c r="AT593" s="532">
        <f t="shared" si="811"/>
        <v>0</v>
      </c>
      <c r="AU593" s="534"/>
      <c r="AV593" s="532">
        <f t="shared" si="816"/>
        <v>0</v>
      </c>
      <c r="AW593" s="532">
        <f t="shared" si="816"/>
        <v>0</v>
      </c>
      <c r="AX593" s="532">
        <f t="shared" si="816"/>
        <v>0</v>
      </c>
      <c r="AY593" s="532"/>
      <c r="AZ593" s="729">
        <v>1.9059999999999999</v>
      </c>
      <c r="BA593" s="729">
        <v>0.65500000000000003</v>
      </c>
      <c r="BB593" s="729">
        <v>2.2989999999999999</v>
      </c>
      <c r="BC593" s="729">
        <v>0.77700000000000002</v>
      </c>
      <c r="BD593" s="156"/>
      <c r="BE593" s="156"/>
      <c r="BF593" s="156"/>
      <c r="BG593" s="729">
        <v>0</v>
      </c>
      <c r="BH593" s="156"/>
      <c r="BI593" s="156"/>
      <c r="BJ593" s="156"/>
      <c r="BK593" s="156"/>
      <c r="BL593" s="156"/>
      <c r="BM593" s="156"/>
      <c r="BN593" s="730"/>
      <c r="BO593" s="156">
        <f t="shared" si="813"/>
        <v>0</v>
      </c>
      <c r="BP593" s="156" t="e">
        <f>#REF!</f>
        <v>#REF!</v>
      </c>
      <c r="BQ593" s="156" t="e">
        <f t="shared" si="817"/>
        <v>#REF!</v>
      </c>
      <c r="BR593" s="156" t="e">
        <f t="shared" si="817"/>
        <v>#REF!</v>
      </c>
      <c r="BS593" s="156" t="e">
        <f t="shared" si="817"/>
        <v>#REF!</v>
      </c>
      <c r="BT593" s="533"/>
    </row>
    <row r="594" spans="1:72" s="17" customFormat="1" x14ac:dyDescent="0.35">
      <c r="A594" s="267" t="s">
        <v>216</v>
      </c>
      <c r="B594" s="362"/>
      <c r="C594" s="639">
        <v>17.2</v>
      </c>
      <c r="D594" s="639">
        <v>17.2</v>
      </c>
      <c r="E594" s="639">
        <v>17.2</v>
      </c>
      <c r="F594" s="571">
        <f>BD594</f>
        <v>15.2</v>
      </c>
      <c r="G594" s="639">
        <v>15.2</v>
      </c>
      <c r="H594" s="639">
        <v>15.2</v>
      </c>
      <c r="I594" s="639">
        <v>15.2</v>
      </c>
      <c r="J594" s="571">
        <f>BE594</f>
        <v>16.800999999999998</v>
      </c>
      <c r="K594" s="639">
        <v>19.800999999999998</v>
      </c>
      <c r="L594" s="639">
        <v>19.800999999999998</v>
      </c>
      <c r="M594" s="639">
        <v>19.800999999999998</v>
      </c>
      <c r="N594" s="571">
        <f>BF594</f>
        <v>9.6010000000000009</v>
      </c>
      <c r="O594" s="639">
        <v>9.6010000000000009</v>
      </c>
      <c r="P594" s="639">
        <v>9.8010000000000002</v>
      </c>
      <c r="Q594" s="639">
        <v>9.8010000000000002</v>
      </c>
      <c r="R594" s="571">
        <f>BG594</f>
        <v>7.5019999999999998</v>
      </c>
      <c r="S594" s="639">
        <v>9.9019999999999992</v>
      </c>
      <c r="T594" s="639">
        <v>0.7</v>
      </c>
      <c r="U594" s="639">
        <v>0.7</v>
      </c>
      <c r="V594" s="571">
        <f>BH594</f>
        <v>0.7</v>
      </c>
      <c r="W594" s="639">
        <v>0.7</v>
      </c>
      <c r="X594" s="639">
        <v>0.5</v>
      </c>
      <c r="Y594" s="639">
        <v>0</v>
      </c>
      <c r="Z594" s="571">
        <f>BI594</f>
        <v>0</v>
      </c>
      <c r="AA594" s="535"/>
      <c r="AB594" s="535"/>
      <c r="AC594" s="535"/>
      <c r="AD594" s="571">
        <f>BJ594</f>
        <v>0</v>
      </c>
      <c r="AE594" s="535"/>
      <c r="AF594" s="535"/>
      <c r="AG594" s="535"/>
      <c r="AH594" s="571">
        <f>BK594</f>
        <v>0</v>
      </c>
      <c r="AI594" s="535"/>
      <c r="AJ594" s="535"/>
      <c r="AK594" s="535"/>
      <c r="AL594" s="571">
        <f t="shared" si="809"/>
        <v>0</v>
      </c>
      <c r="AM594" s="535"/>
      <c r="AN594" s="535"/>
      <c r="AO594" s="535"/>
      <c r="AP594" s="571">
        <f t="shared" si="810"/>
        <v>0</v>
      </c>
      <c r="AQ594" s="535"/>
      <c r="AR594" s="535"/>
      <c r="AS594" s="535"/>
      <c r="AT594" s="571">
        <f t="shared" si="811"/>
        <v>0</v>
      </c>
      <c r="AU594" s="536"/>
      <c r="AV594" s="535">
        <f t="shared" si="816"/>
        <v>0</v>
      </c>
      <c r="AW594" s="535">
        <f t="shared" si="816"/>
        <v>0</v>
      </c>
      <c r="AX594" s="535">
        <f t="shared" si="816"/>
        <v>0</v>
      </c>
      <c r="AY594" s="535"/>
      <c r="AZ594" s="732">
        <v>0</v>
      </c>
      <c r="BA594" s="732">
        <v>17.373999999999999</v>
      </c>
      <c r="BB594" s="732">
        <v>17.2</v>
      </c>
      <c r="BC594" s="732">
        <v>17.2</v>
      </c>
      <c r="BD594" s="732">
        <v>15.2</v>
      </c>
      <c r="BE594" s="732">
        <v>16.800999999999998</v>
      </c>
      <c r="BF594" s="732">
        <v>9.6010000000000009</v>
      </c>
      <c r="BG594" s="732">
        <v>7.5019999999999998</v>
      </c>
      <c r="BH594" s="732">
        <v>0.7</v>
      </c>
      <c r="BI594" s="731"/>
      <c r="BJ594" s="731"/>
      <c r="BK594" s="731"/>
      <c r="BL594" s="731"/>
      <c r="BM594" s="731"/>
      <c r="BN594" s="733"/>
      <c r="BO594" s="731">
        <f t="shared" si="813"/>
        <v>0</v>
      </c>
      <c r="BP594" s="731" t="e">
        <f>#REF!</f>
        <v>#REF!</v>
      </c>
      <c r="BQ594" s="731" t="e">
        <f t="shared" si="817"/>
        <v>#REF!</v>
      </c>
      <c r="BR594" s="731" t="e">
        <f t="shared" si="817"/>
        <v>#REF!</v>
      </c>
      <c r="BS594" s="731" t="e">
        <f t="shared" si="817"/>
        <v>#REF!</v>
      </c>
      <c r="BT594" s="533"/>
    </row>
    <row r="595" spans="1:72" s="1" customFormat="1" x14ac:dyDescent="0.35">
      <c r="A595" s="47" t="s">
        <v>217</v>
      </c>
      <c r="B595" s="360"/>
      <c r="C595" s="573">
        <f t="shared" ref="C595:AH595" si="818">SUM(C587:C594)</f>
        <v>81.826000000000008</v>
      </c>
      <c r="D595" s="573">
        <f t="shared" si="818"/>
        <v>83.408000000000015</v>
      </c>
      <c r="E595" s="573">
        <f t="shared" si="818"/>
        <v>85.410000000000011</v>
      </c>
      <c r="F595" s="573">
        <f t="shared" si="818"/>
        <v>75.950999999999993</v>
      </c>
      <c r="G595" s="573">
        <f t="shared" si="818"/>
        <v>85.274000000000001</v>
      </c>
      <c r="H595" s="573">
        <f t="shared" si="818"/>
        <v>79.739000000000004</v>
      </c>
      <c r="I595" s="573">
        <f t="shared" si="818"/>
        <v>71.433000000000007</v>
      </c>
      <c r="J595" s="573">
        <f t="shared" si="818"/>
        <v>68.97699999999999</v>
      </c>
      <c r="K595" s="573">
        <f t="shared" si="818"/>
        <v>75.762</v>
      </c>
      <c r="L595" s="573">
        <f t="shared" si="818"/>
        <v>73.73899999999999</v>
      </c>
      <c r="M595" s="573">
        <f t="shared" si="818"/>
        <v>73.551999999999992</v>
      </c>
      <c r="N595" s="573">
        <f t="shared" si="818"/>
        <v>61.004000000000005</v>
      </c>
      <c r="O595" s="573">
        <f t="shared" si="818"/>
        <v>63.72</v>
      </c>
      <c r="P595" s="573">
        <f t="shared" si="818"/>
        <v>63.281999999999996</v>
      </c>
      <c r="Q595" s="573">
        <f t="shared" si="818"/>
        <v>60.548000000000009</v>
      </c>
      <c r="R595" s="573">
        <f t="shared" si="818"/>
        <v>52.323</v>
      </c>
      <c r="S595" s="573">
        <f t="shared" si="818"/>
        <v>69.462999999999994</v>
      </c>
      <c r="T595" s="573">
        <f t="shared" si="818"/>
        <v>52.468000000000004</v>
      </c>
      <c r="U595" s="573">
        <f t="shared" si="818"/>
        <v>50.326000000000008</v>
      </c>
      <c r="V595" s="573">
        <f t="shared" si="818"/>
        <v>43.187000000000005</v>
      </c>
      <c r="W595" s="573">
        <f t="shared" si="818"/>
        <v>55.877000000000002</v>
      </c>
      <c r="X595" s="573">
        <f t="shared" si="818"/>
        <v>45.144999999999996</v>
      </c>
      <c r="Y595" s="573">
        <f t="shared" si="818"/>
        <v>38.585000000000001</v>
      </c>
      <c r="Z595" s="573">
        <f t="shared" si="818"/>
        <v>38.549999999999997</v>
      </c>
      <c r="AA595" s="573">
        <f t="shared" si="818"/>
        <v>50.782000000000004</v>
      </c>
      <c r="AB595" s="573">
        <f t="shared" si="818"/>
        <v>38.881</v>
      </c>
      <c r="AC595" s="573">
        <f t="shared" si="818"/>
        <v>35.481000000000002</v>
      </c>
      <c r="AD595" s="573">
        <f t="shared" si="818"/>
        <v>30.654000000000003</v>
      </c>
      <c r="AE595" s="573">
        <f t="shared" si="818"/>
        <v>49.082999999999998</v>
      </c>
      <c r="AF595" s="573">
        <f t="shared" si="818"/>
        <v>42.183999999999997</v>
      </c>
      <c r="AG595" s="573">
        <f t="shared" si="818"/>
        <v>113.758</v>
      </c>
      <c r="AH595" s="573">
        <f t="shared" si="818"/>
        <v>124.518</v>
      </c>
      <c r="AI595" s="573">
        <f t="shared" ref="AI595:AX595" si="819">SUM(AI587:AI594)</f>
        <v>449.46100000000001</v>
      </c>
      <c r="AJ595" s="573">
        <f t="shared" si="819"/>
        <v>490.91400000000004</v>
      </c>
      <c r="AK595" s="573">
        <f t="shared" si="819"/>
        <v>492.58699999999999</v>
      </c>
      <c r="AL595" s="573">
        <f t="shared" si="819"/>
        <v>466.40500000000003</v>
      </c>
      <c r="AM595" s="573">
        <f t="shared" si="819"/>
        <v>565.82500000000005</v>
      </c>
      <c r="AN595" s="573">
        <f t="shared" si="819"/>
        <v>553.31400000000008</v>
      </c>
      <c r="AO595" s="573">
        <f t="shared" si="819"/>
        <v>543.78300000000002</v>
      </c>
      <c r="AP595" s="573">
        <f t="shared" si="819"/>
        <v>528.89099999999996</v>
      </c>
      <c r="AQ595" s="573">
        <f t="shared" si="819"/>
        <v>546.03000000000009</v>
      </c>
      <c r="AR595" s="573">
        <f t="shared" si="819"/>
        <v>528.13400000000001</v>
      </c>
      <c r="AS595" s="573">
        <f t="shared" si="819"/>
        <v>516.24</v>
      </c>
      <c r="AT595" s="573">
        <f t="shared" si="819"/>
        <v>504.23500000000007</v>
      </c>
      <c r="AU595" s="577">
        <f t="shared" si="819"/>
        <v>510.01600000000002</v>
      </c>
      <c r="AV595" s="572">
        <f t="shared" si="819"/>
        <v>510.01600000000002</v>
      </c>
      <c r="AW595" s="572">
        <f t="shared" ca="1" si="819"/>
        <v>510.01600000000002</v>
      </c>
      <c r="AX595" s="572">
        <f t="shared" ca="1" si="819"/>
        <v>510.01600000000002</v>
      </c>
      <c r="AY595" s="572"/>
      <c r="AZ595" s="735">
        <f t="shared" ref="AZ595:BS595" si="820">SUM(AZ587:AZ594)</f>
        <v>12.827</v>
      </c>
      <c r="BA595" s="735">
        <f t="shared" si="820"/>
        <v>27.956</v>
      </c>
      <c r="BB595" s="735">
        <f t="shared" si="820"/>
        <v>45.695999999999998</v>
      </c>
      <c r="BC595" s="735">
        <f t="shared" si="820"/>
        <v>73.573999999999998</v>
      </c>
      <c r="BD595" s="735">
        <f t="shared" si="820"/>
        <v>75.950999999999993</v>
      </c>
      <c r="BE595" s="735">
        <f t="shared" si="820"/>
        <v>68.97699999999999</v>
      </c>
      <c r="BF595" s="735">
        <f t="shared" si="820"/>
        <v>61.004000000000005</v>
      </c>
      <c r="BG595" s="735">
        <f t="shared" si="820"/>
        <v>52.323</v>
      </c>
      <c r="BH595" s="735">
        <f t="shared" si="820"/>
        <v>43.187000000000005</v>
      </c>
      <c r="BI595" s="735">
        <f t="shared" si="820"/>
        <v>38.549999999999997</v>
      </c>
      <c r="BJ595" s="735">
        <f t="shared" si="820"/>
        <v>30.654000000000003</v>
      </c>
      <c r="BK595" s="735">
        <f t="shared" si="820"/>
        <v>124.518</v>
      </c>
      <c r="BL595" s="735">
        <f t="shared" si="820"/>
        <v>466.40500000000003</v>
      </c>
      <c r="BM595" s="735">
        <f t="shared" si="820"/>
        <v>528.89099999999996</v>
      </c>
      <c r="BN595" s="749">
        <f t="shared" si="820"/>
        <v>504.23500000000007</v>
      </c>
      <c r="BO595" s="734">
        <f t="shared" ca="1" si="820"/>
        <v>510.01600000000002</v>
      </c>
      <c r="BP595" s="734" t="e">
        <f t="shared" si="820"/>
        <v>#REF!</v>
      </c>
      <c r="BQ595" s="734" t="e">
        <f t="shared" si="820"/>
        <v>#REF!</v>
      </c>
      <c r="BR595" s="734" t="e">
        <f t="shared" si="820"/>
        <v>#REF!</v>
      </c>
      <c r="BS595" s="734" t="e">
        <f t="shared" si="820"/>
        <v>#REF!</v>
      </c>
      <c r="BT595" s="530"/>
    </row>
    <row r="596" spans="1:72" s="1" customFormat="1" x14ac:dyDescent="0.35">
      <c r="A596" s="51" t="s">
        <v>218</v>
      </c>
      <c r="B596" s="307"/>
      <c r="C596" s="530">
        <f t="shared" ref="C596:AH596" si="821">C584+C595</f>
        <v>234.25099999999998</v>
      </c>
      <c r="D596" s="530">
        <f t="shared" si="821"/>
        <v>219.22900000000001</v>
      </c>
      <c r="E596" s="530">
        <f t="shared" si="821"/>
        <v>221.95699999999999</v>
      </c>
      <c r="F596" s="530">
        <f t="shared" si="821"/>
        <v>185.13800000000001</v>
      </c>
      <c r="G596" s="530">
        <f t="shared" si="821"/>
        <v>259.86900000000003</v>
      </c>
      <c r="H596" s="530">
        <f t="shared" si="821"/>
        <v>214.77900000000002</v>
      </c>
      <c r="I596" s="530">
        <f t="shared" si="821"/>
        <v>203.815</v>
      </c>
      <c r="J596" s="530">
        <f t="shared" si="821"/>
        <v>182.73700000000002</v>
      </c>
      <c r="K596" s="530">
        <f t="shared" si="821"/>
        <v>233.03899999999999</v>
      </c>
      <c r="L596" s="530">
        <f t="shared" si="821"/>
        <v>201.49599999999998</v>
      </c>
      <c r="M596" s="530">
        <f t="shared" si="821"/>
        <v>209.28399999999999</v>
      </c>
      <c r="N596" s="530">
        <f t="shared" si="821"/>
        <v>171.661</v>
      </c>
      <c r="O596" s="530">
        <f t="shared" si="821"/>
        <v>213.37100000000001</v>
      </c>
      <c r="P596" s="530">
        <f t="shared" si="821"/>
        <v>179.68799999999999</v>
      </c>
      <c r="Q596" s="530">
        <f t="shared" si="821"/>
        <v>181.751</v>
      </c>
      <c r="R596" s="530">
        <f t="shared" si="821"/>
        <v>175.33500000000001</v>
      </c>
      <c r="S596" s="530">
        <f t="shared" si="821"/>
        <v>217.221</v>
      </c>
      <c r="T596" s="530">
        <f t="shared" si="821"/>
        <v>177.84100000000001</v>
      </c>
      <c r="U596" s="530">
        <f t="shared" si="821"/>
        <v>173.435</v>
      </c>
      <c r="V596" s="530">
        <f t="shared" si="821"/>
        <v>160.93800000000002</v>
      </c>
      <c r="W596" s="530">
        <f t="shared" si="821"/>
        <v>195.56700000000001</v>
      </c>
      <c r="X596" s="530">
        <f t="shared" si="821"/>
        <v>162.81400000000002</v>
      </c>
      <c r="Y596" s="530">
        <f t="shared" si="821"/>
        <v>161.69200000000001</v>
      </c>
      <c r="Z596" s="530">
        <f t="shared" si="821"/>
        <v>154.774</v>
      </c>
      <c r="AA596" s="530">
        <f t="shared" si="821"/>
        <v>209.10600000000002</v>
      </c>
      <c r="AB596" s="530">
        <f t="shared" si="821"/>
        <v>179.74699999999999</v>
      </c>
      <c r="AC596" s="530">
        <f t="shared" si="821"/>
        <v>184.26999999999998</v>
      </c>
      <c r="AD596" s="530">
        <f t="shared" si="821"/>
        <v>186.24099999999999</v>
      </c>
      <c r="AE596" s="530">
        <f t="shared" si="821"/>
        <v>188.785</v>
      </c>
      <c r="AF596" s="530">
        <f t="shared" si="821"/>
        <v>175.85399999999998</v>
      </c>
      <c r="AG596" s="530">
        <f t="shared" si="821"/>
        <v>371.37699999999995</v>
      </c>
      <c r="AH596" s="530">
        <f t="shared" si="821"/>
        <v>397.93399999999997</v>
      </c>
      <c r="AI596" s="530">
        <f t="shared" ref="AI596:AX596" si="822">AI584+AI595</f>
        <v>685.45499999999993</v>
      </c>
      <c r="AJ596" s="530">
        <f t="shared" si="822"/>
        <v>719.52500000000009</v>
      </c>
      <c r="AK596" s="530">
        <f t="shared" si="822"/>
        <v>747.3889999999999</v>
      </c>
      <c r="AL596" s="530">
        <f t="shared" si="822"/>
        <v>772.64900000000011</v>
      </c>
      <c r="AM596" s="530">
        <f t="shared" si="822"/>
        <v>850.45900000000006</v>
      </c>
      <c r="AN596" s="530">
        <f t="shared" si="822"/>
        <v>791.51200000000006</v>
      </c>
      <c r="AO596" s="530">
        <f t="shared" si="822"/>
        <v>793.96199999999999</v>
      </c>
      <c r="AP596" s="530">
        <f t="shared" si="822"/>
        <v>830.96399999999994</v>
      </c>
      <c r="AQ596" s="530">
        <f t="shared" si="822"/>
        <v>835.27500000000009</v>
      </c>
      <c r="AR596" s="530">
        <f t="shared" si="822"/>
        <v>777.39200000000005</v>
      </c>
      <c r="AS596" s="530">
        <f t="shared" si="822"/>
        <v>800.48700000000008</v>
      </c>
      <c r="AT596" s="530">
        <f t="shared" si="822"/>
        <v>813.37000000000012</v>
      </c>
      <c r="AU596" s="575">
        <f t="shared" si="822"/>
        <v>809.15200000000004</v>
      </c>
      <c r="AV596" s="529">
        <f t="shared" si="822"/>
        <v>770.19727494539688</v>
      </c>
      <c r="AW596" s="529">
        <f t="shared" ca="1" si="822"/>
        <v>808.76529849414078</v>
      </c>
      <c r="AX596" s="529">
        <f t="shared" ca="1" si="822"/>
        <v>841.49914815086174</v>
      </c>
      <c r="AY596" s="529"/>
      <c r="AZ596" s="750">
        <f t="shared" ref="AZ596:BS596" si="823">AZ584+AZ595</f>
        <v>53.976000000000006</v>
      </c>
      <c r="BA596" s="750">
        <f t="shared" si="823"/>
        <v>81.890000000000015</v>
      </c>
      <c r="BB596" s="750">
        <f t="shared" si="823"/>
        <v>129.34800000000001</v>
      </c>
      <c r="BC596" s="750">
        <f t="shared" si="823"/>
        <v>171.18700000000001</v>
      </c>
      <c r="BD596" s="750">
        <f t="shared" si="823"/>
        <v>185.13800000000001</v>
      </c>
      <c r="BE596" s="750">
        <f t="shared" si="823"/>
        <v>182.73700000000002</v>
      </c>
      <c r="BF596" s="750">
        <f t="shared" si="823"/>
        <v>171.661</v>
      </c>
      <c r="BG596" s="750">
        <f t="shared" si="823"/>
        <v>175.33500000000001</v>
      </c>
      <c r="BH596" s="750">
        <f t="shared" si="823"/>
        <v>160.93800000000002</v>
      </c>
      <c r="BI596" s="750">
        <f t="shared" si="823"/>
        <v>154.774</v>
      </c>
      <c r="BJ596" s="750">
        <f t="shared" si="823"/>
        <v>186.24099999999999</v>
      </c>
      <c r="BK596" s="750">
        <f t="shared" si="823"/>
        <v>397.93399999999997</v>
      </c>
      <c r="BL596" s="750">
        <f t="shared" si="823"/>
        <v>772.64900000000011</v>
      </c>
      <c r="BM596" s="750">
        <f t="shared" si="823"/>
        <v>830.96399999999994</v>
      </c>
      <c r="BN596" s="751">
        <f t="shared" si="823"/>
        <v>813.37000000000012</v>
      </c>
      <c r="BO596" s="726">
        <f t="shared" ca="1" si="823"/>
        <v>841.49914815086174</v>
      </c>
      <c r="BP596" s="726" t="e">
        <f t="shared" si="823"/>
        <v>#REF!</v>
      </c>
      <c r="BQ596" s="726" t="e">
        <f t="shared" si="823"/>
        <v>#REF!</v>
      </c>
      <c r="BR596" s="726" t="e">
        <f t="shared" si="823"/>
        <v>#REF!</v>
      </c>
      <c r="BS596" s="726" t="e">
        <f t="shared" si="823"/>
        <v>#REF!</v>
      </c>
      <c r="BT596" s="530"/>
    </row>
    <row r="597" spans="1:72" s="1" customFormat="1" x14ac:dyDescent="0.35">
      <c r="A597" s="354"/>
      <c r="B597" s="307"/>
      <c r="C597" s="529"/>
      <c r="D597" s="529"/>
      <c r="E597" s="529"/>
      <c r="F597" s="529"/>
      <c r="G597" s="529"/>
      <c r="H597" s="529"/>
      <c r="I597" s="529"/>
      <c r="J597" s="529"/>
      <c r="K597" s="529"/>
      <c r="L597" s="529"/>
      <c r="M597" s="529"/>
      <c r="N597" s="529"/>
      <c r="O597" s="529"/>
      <c r="P597" s="529"/>
      <c r="Q597" s="529"/>
      <c r="R597" s="529"/>
      <c r="S597" s="529"/>
      <c r="T597" s="529"/>
      <c r="U597" s="529"/>
      <c r="V597" s="529"/>
      <c r="W597" s="529"/>
      <c r="X597" s="529"/>
      <c r="Y597" s="529"/>
      <c r="Z597" s="529"/>
      <c r="AA597" s="529"/>
      <c r="AB597" s="529"/>
      <c r="AC597" s="529"/>
      <c r="AD597" s="529"/>
      <c r="AE597" s="529"/>
      <c r="AF597" s="529"/>
      <c r="AG597" s="529"/>
      <c r="AH597" s="529"/>
      <c r="AI597" s="529"/>
      <c r="AJ597" s="529"/>
      <c r="AK597" s="529"/>
      <c r="AL597" s="529"/>
      <c r="AM597" s="529"/>
      <c r="AN597" s="529"/>
      <c r="AO597" s="529"/>
      <c r="AP597" s="529"/>
      <c r="AQ597" s="529"/>
      <c r="AR597" s="529"/>
      <c r="AS597" s="529"/>
      <c r="AT597" s="529"/>
      <c r="AU597" s="531"/>
      <c r="AV597" s="529"/>
      <c r="AW597" s="529"/>
      <c r="AX597" s="529"/>
      <c r="AY597" s="529"/>
      <c r="AZ597" s="726"/>
      <c r="BA597" s="726"/>
      <c r="BB597" s="726"/>
      <c r="BC597" s="726"/>
      <c r="BD597" s="726"/>
      <c r="BE597" s="726"/>
      <c r="BF597" s="726"/>
      <c r="BG597" s="726"/>
      <c r="BH597" s="726"/>
      <c r="BI597" s="726"/>
      <c r="BJ597" s="726"/>
      <c r="BK597" s="726"/>
      <c r="BL597" s="726"/>
      <c r="BM597" s="726"/>
      <c r="BN597" s="728"/>
      <c r="BO597" s="726"/>
      <c r="BP597" s="726"/>
      <c r="BQ597" s="726"/>
      <c r="BR597" s="726"/>
      <c r="BS597" s="726"/>
      <c r="BT597" s="530"/>
    </row>
    <row r="598" spans="1:72" s="1" customFormat="1" x14ac:dyDescent="0.35">
      <c r="A598" s="53" t="s">
        <v>219</v>
      </c>
      <c r="B598" s="307"/>
      <c r="C598" s="529"/>
      <c r="D598" s="529"/>
      <c r="E598" s="529"/>
      <c r="F598" s="529"/>
      <c r="G598" s="529"/>
      <c r="H598" s="529"/>
      <c r="I598" s="529"/>
      <c r="J598" s="529"/>
      <c r="K598" s="529"/>
      <c r="L598" s="529"/>
      <c r="M598" s="529"/>
      <c r="N598" s="529"/>
      <c r="O598" s="529"/>
      <c r="P598" s="529"/>
      <c r="Q598" s="529"/>
      <c r="R598" s="529"/>
      <c r="S598" s="529"/>
      <c r="T598" s="529"/>
      <c r="U598" s="529"/>
      <c r="V598" s="529"/>
      <c r="W598" s="529"/>
      <c r="X598" s="529"/>
      <c r="Y598" s="529"/>
      <c r="Z598" s="529"/>
      <c r="AA598" s="529"/>
      <c r="AB598" s="529"/>
      <c r="AC598" s="529"/>
      <c r="AD598" s="529"/>
      <c r="AE598" s="529"/>
      <c r="AF598" s="529"/>
      <c r="AG598" s="529"/>
      <c r="AH598" s="529"/>
      <c r="AI598" s="529"/>
      <c r="AJ598" s="529"/>
      <c r="AK598" s="529"/>
      <c r="AL598" s="529"/>
      <c r="AM598" s="529"/>
      <c r="AN598" s="529"/>
      <c r="AO598" s="529"/>
      <c r="AP598" s="529"/>
      <c r="AQ598" s="529"/>
      <c r="AR598" s="529"/>
      <c r="AS598" s="529"/>
      <c r="AT598" s="529"/>
      <c r="AU598" s="531"/>
      <c r="AV598" s="529"/>
      <c r="AW598" s="529"/>
      <c r="AX598" s="529"/>
      <c r="AY598" s="529"/>
      <c r="AZ598" s="726"/>
      <c r="BA598" s="726"/>
      <c r="BB598" s="726"/>
      <c r="BC598" s="726"/>
      <c r="BD598" s="726"/>
      <c r="BE598" s="726"/>
      <c r="BF598" s="726"/>
      <c r="BG598" s="726"/>
      <c r="BH598" s="726"/>
      <c r="BI598" s="726"/>
      <c r="BJ598" s="726"/>
      <c r="BK598" s="726"/>
      <c r="BL598" s="726"/>
      <c r="BM598" s="726"/>
      <c r="BN598" s="728"/>
      <c r="BO598" s="726"/>
      <c r="BP598" s="726"/>
      <c r="BQ598" s="726"/>
      <c r="BR598" s="726"/>
      <c r="BS598" s="726"/>
      <c r="BT598" s="530"/>
    </row>
    <row r="599" spans="1:72" s="17" customFormat="1" x14ac:dyDescent="0.35">
      <c r="A599" s="208" t="s">
        <v>220</v>
      </c>
      <c r="B599" s="308"/>
      <c r="C599" s="638">
        <v>4.0000000000000001E-3</v>
      </c>
      <c r="D599" s="638">
        <v>4.0000000000000001E-3</v>
      </c>
      <c r="E599" s="638">
        <v>4.0000000000000001E-3</v>
      </c>
      <c r="F599" s="533">
        <f t="shared" ref="F599:F604" si="824">BD599</f>
        <v>4.0000000000000001E-3</v>
      </c>
      <c r="G599" s="638">
        <v>4.0000000000000001E-3</v>
      </c>
      <c r="H599" s="638">
        <v>4.0000000000000001E-3</v>
      </c>
      <c r="I599" s="638">
        <v>4.0000000000000001E-3</v>
      </c>
      <c r="J599" s="533">
        <f t="shared" ref="J599:J604" si="825">BE599</f>
        <v>4.0000000000000001E-3</v>
      </c>
      <c r="K599" s="638">
        <v>4.0000000000000001E-3</v>
      </c>
      <c r="L599" s="638">
        <v>4.0000000000000001E-3</v>
      </c>
      <c r="M599" s="638">
        <v>4.0000000000000001E-3</v>
      </c>
      <c r="N599" s="533">
        <f t="shared" ref="N599:N604" si="826">BF599</f>
        <v>4.0000000000000001E-3</v>
      </c>
      <c r="O599" s="638">
        <v>4.0000000000000001E-3</v>
      </c>
      <c r="P599" s="638">
        <v>4.0000000000000001E-3</v>
      </c>
      <c r="Q599" s="638">
        <v>4.0000000000000001E-3</v>
      </c>
      <c r="R599" s="533">
        <f t="shared" ref="R599:R604" si="827">BG599</f>
        <v>4.0000000000000001E-3</v>
      </c>
      <c r="S599" s="638">
        <v>4.0000000000000001E-3</v>
      </c>
      <c r="T599" s="638">
        <v>4.0000000000000001E-3</v>
      </c>
      <c r="U599" s="638">
        <v>4.0000000000000001E-3</v>
      </c>
      <c r="V599" s="533">
        <f>BH599</f>
        <v>4.0000000000000001E-3</v>
      </c>
      <c r="W599" s="638">
        <v>4.0000000000000001E-3</v>
      </c>
      <c r="X599" s="638">
        <v>4.0000000000000001E-3</v>
      </c>
      <c r="Y599" s="638">
        <v>4.0000000000000001E-3</v>
      </c>
      <c r="Z599" s="533">
        <f>BI599</f>
        <v>4.0000000000000001E-3</v>
      </c>
      <c r="AA599" s="638">
        <v>4.0000000000000001E-3</v>
      </c>
      <c r="AB599" s="638">
        <v>4.0000000000000001E-3</v>
      </c>
      <c r="AC599" s="638">
        <v>4.0000000000000001E-3</v>
      </c>
      <c r="AD599" s="533">
        <f>BJ599</f>
        <v>4.0000000000000001E-3</v>
      </c>
      <c r="AE599" s="638">
        <v>4.0000000000000001E-3</v>
      </c>
      <c r="AF599" s="638">
        <v>4.0000000000000001E-3</v>
      </c>
      <c r="AG599" s="638">
        <v>4.0000000000000001E-3</v>
      </c>
      <c r="AH599" s="533">
        <f>BK599</f>
        <v>4.0000000000000001E-3</v>
      </c>
      <c r="AI599" s="638">
        <v>4.0000000000000001E-3</v>
      </c>
      <c r="AJ599" s="638">
        <v>4.0000000000000001E-3</v>
      </c>
      <c r="AK599" s="638">
        <v>4.0000000000000001E-3</v>
      </c>
      <c r="AL599" s="533">
        <f>BL599</f>
        <v>4.0000000000000001E-3</v>
      </c>
      <c r="AM599" s="638">
        <v>4.0000000000000001E-3</v>
      </c>
      <c r="AN599" s="638">
        <v>4.0000000000000001E-3</v>
      </c>
      <c r="AO599" s="638">
        <v>4.0000000000000001E-3</v>
      </c>
      <c r="AP599" s="533">
        <f>BM599</f>
        <v>4.0000000000000001E-3</v>
      </c>
      <c r="AQ599" s="638">
        <v>4.0000000000000001E-3</v>
      </c>
      <c r="AR599" s="638">
        <v>4.0000000000000001E-3</v>
      </c>
      <c r="AS599" s="638">
        <v>4.0000000000000001E-3</v>
      </c>
      <c r="AT599" s="533">
        <f>BN599</f>
        <v>4.0000000000000001E-3</v>
      </c>
      <c r="AU599" s="643">
        <v>4.0000000000000001E-3</v>
      </c>
      <c r="AV599" s="532">
        <f>AU599</f>
        <v>4.0000000000000001E-3</v>
      </c>
      <c r="AW599" s="532">
        <f>AV599</f>
        <v>4.0000000000000001E-3</v>
      </c>
      <c r="AX599" s="532">
        <f>AW599</f>
        <v>4.0000000000000001E-3</v>
      </c>
      <c r="AY599" s="532"/>
      <c r="AZ599" s="729">
        <v>3.0000000000000001E-3</v>
      </c>
      <c r="BA599" s="729">
        <v>3.0000000000000001E-3</v>
      </c>
      <c r="BB599" s="729">
        <v>4.0000000000000001E-3</v>
      </c>
      <c r="BC599" s="729">
        <v>4.0000000000000001E-3</v>
      </c>
      <c r="BD599" s="729">
        <v>4.0000000000000001E-3</v>
      </c>
      <c r="BE599" s="729">
        <v>4.0000000000000001E-3</v>
      </c>
      <c r="BF599" s="729">
        <v>4.0000000000000001E-3</v>
      </c>
      <c r="BG599" s="729">
        <v>4.0000000000000001E-3</v>
      </c>
      <c r="BH599" s="729">
        <v>4.0000000000000001E-3</v>
      </c>
      <c r="BI599" s="729">
        <v>4.0000000000000001E-3</v>
      </c>
      <c r="BJ599" s="729">
        <v>4.0000000000000001E-3</v>
      </c>
      <c r="BK599" s="729">
        <v>4.0000000000000001E-3</v>
      </c>
      <c r="BL599" s="729">
        <v>4.0000000000000001E-3</v>
      </c>
      <c r="BM599" s="729">
        <v>4.0000000000000001E-3</v>
      </c>
      <c r="BN599" s="748">
        <v>4.0000000000000001E-3</v>
      </c>
      <c r="BO599" s="156">
        <f t="shared" ref="BO599:BO604" si="828">AX599</f>
        <v>4.0000000000000001E-3</v>
      </c>
      <c r="BP599" s="156" t="e">
        <f>#REF!</f>
        <v>#REF!</v>
      </c>
      <c r="BQ599" s="156" t="e">
        <f>BP599</f>
        <v>#REF!</v>
      </c>
      <c r="BR599" s="156" t="e">
        <f>BQ599</f>
        <v>#REF!</v>
      </c>
      <c r="BS599" s="156" t="e">
        <f>BR599</f>
        <v>#REF!</v>
      </c>
      <c r="BT599" s="533"/>
    </row>
    <row r="600" spans="1:72" s="17" customFormat="1" x14ac:dyDescent="0.35">
      <c r="A600" s="208" t="s">
        <v>221</v>
      </c>
      <c r="B600" s="308"/>
      <c r="C600" s="638">
        <v>523.08100000000002</v>
      </c>
      <c r="D600" s="638">
        <v>527.57399999999996</v>
      </c>
      <c r="E600" s="638">
        <v>534.29200000000003</v>
      </c>
      <c r="F600" s="533">
        <f t="shared" si="824"/>
        <v>548.39</v>
      </c>
      <c r="G600" s="638">
        <v>621.25400000000002</v>
      </c>
      <c r="H600" s="638">
        <v>626.42100000000005</v>
      </c>
      <c r="I600" s="638">
        <v>630.53300000000002</v>
      </c>
      <c r="J600" s="533">
        <f t="shared" si="825"/>
        <v>639.03599999999994</v>
      </c>
      <c r="K600" s="638">
        <v>642.05799999999999</v>
      </c>
      <c r="L600" s="638">
        <v>645.90200000000004</v>
      </c>
      <c r="M600" s="638">
        <v>649.24900000000002</v>
      </c>
      <c r="N600" s="533">
        <f t="shared" si="826"/>
        <v>663.46100000000001</v>
      </c>
      <c r="O600" s="638">
        <v>663.202</v>
      </c>
      <c r="P600" s="638">
        <v>665.80700000000002</v>
      </c>
      <c r="Q600" s="638">
        <v>668.23800000000006</v>
      </c>
      <c r="R600" s="533">
        <f t="shared" si="827"/>
        <v>675.43600000000004</v>
      </c>
      <c r="S600" s="638">
        <v>674.14099999999996</v>
      </c>
      <c r="T600" s="638">
        <v>678.154</v>
      </c>
      <c r="U600" s="638">
        <v>681.43399999999997</v>
      </c>
      <c r="V600" s="533">
        <f>BH600</f>
        <v>690.48800000000006</v>
      </c>
      <c r="W600" s="638">
        <v>691.29399999999998</v>
      </c>
      <c r="X600" s="638">
        <v>697.04399999999998</v>
      </c>
      <c r="Y600" s="638">
        <v>697.76199999999994</v>
      </c>
      <c r="Z600" s="533">
        <f>BI600</f>
        <v>703.351</v>
      </c>
      <c r="AA600" s="638">
        <v>701.39800000000002</v>
      </c>
      <c r="AB600" s="638">
        <v>705.82500000000005</v>
      </c>
      <c r="AC600" s="638">
        <v>708.26900000000001</v>
      </c>
      <c r="AD600" s="533">
        <f>BJ600</f>
        <v>713.43600000000004</v>
      </c>
      <c r="AE600" s="638">
        <v>714.37400000000002</v>
      </c>
      <c r="AF600" s="638">
        <v>720.45100000000002</v>
      </c>
      <c r="AG600" s="638">
        <v>724.99199999999996</v>
      </c>
      <c r="AH600" s="533">
        <f>BK600</f>
        <v>730.76099999999997</v>
      </c>
      <c r="AI600" s="638">
        <v>768.23199999999997</v>
      </c>
      <c r="AJ600" s="638">
        <v>777.40899999999999</v>
      </c>
      <c r="AK600" s="638">
        <v>788.02800000000002</v>
      </c>
      <c r="AL600" s="533">
        <f>BL600</f>
        <v>795.44899999999996</v>
      </c>
      <c r="AM600" s="638">
        <v>708.26499999999999</v>
      </c>
      <c r="AN600" s="638">
        <v>680.601</v>
      </c>
      <c r="AO600" s="638">
        <v>683.89200000000005</v>
      </c>
      <c r="AP600" s="533">
        <f>BM600</f>
        <v>687.45399999999995</v>
      </c>
      <c r="AQ600" s="638">
        <v>683.99300000000005</v>
      </c>
      <c r="AR600" s="638">
        <v>688.69500000000005</v>
      </c>
      <c r="AS600" s="638">
        <v>690.82299999999998</v>
      </c>
      <c r="AT600" s="533">
        <f>BN600</f>
        <v>695.48</v>
      </c>
      <c r="AU600" s="643">
        <v>701.79899999999998</v>
      </c>
      <c r="AV600" s="532">
        <f>AU600+AV422</f>
        <v>708.79899999999998</v>
      </c>
      <c r="AW600" s="532">
        <f>AV600+AW422</f>
        <v>716.399</v>
      </c>
      <c r="AX600" s="532">
        <f>AW600+AX422</f>
        <v>723.899</v>
      </c>
      <c r="AY600" s="532"/>
      <c r="AZ600" s="729">
        <v>343.30399999999997</v>
      </c>
      <c r="BA600" s="729">
        <v>361.34399999999999</v>
      </c>
      <c r="BB600" s="729">
        <v>512.18100000000004</v>
      </c>
      <c r="BC600" s="729">
        <v>519.43899999999996</v>
      </c>
      <c r="BD600" s="729">
        <v>548.39</v>
      </c>
      <c r="BE600" s="729">
        <v>639.03599999999994</v>
      </c>
      <c r="BF600" s="729">
        <v>663.46100000000001</v>
      </c>
      <c r="BG600" s="729">
        <v>675.43600000000004</v>
      </c>
      <c r="BH600" s="729">
        <v>690.48800000000006</v>
      </c>
      <c r="BI600" s="729">
        <v>703.351</v>
      </c>
      <c r="BJ600" s="729">
        <v>713.43600000000004</v>
      </c>
      <c r="BK600" s="729">
        <v>730.76099999999997</v>
      </c>
      <c r="BL600" s="729">
        <v>795.44899999999996</v>
      </c>
      <c r="BM600" s="729">
        <v>687.45399999999995</v>
      </c>
      <c r="BN600" s="748">
        <v>695.48</v>
      </c>
      <c r="BO600" s="156">
        <f t="shared" si="828"/>
        <v>723.899</v>
      </c>
      <c r="BP600" s="156" t="e">
        <f>#REF!</f>
        <v>#REF!</v>
      </c>
      <c r="BQ600" s="156" t="e">
        <f>BP600+BQ422</f>
        <v>#REF!</v>
      </c>
      <c r="BR600" s="156" t="e">
        <f>BQ600+BR422</f>
        <v>#REF!</v>
      </c>
      <c r="BS600" s="156" t="e">
        <f>BR600+BS422</f>
        <v>#REF!</v>
      </c>
      <c r="BT600" s="533"/>
    </row>
    <row r="601" spans="1:72" s="17" customFormat="1" x14ac:dyDescent="0.35">
      <c r="A601" s="208" t="s">
        <v>398</v>
      </c>
      <c r="B601" s="308"/>
      <c r="C601" s="638">
        <v>-0.214</v>
      </c>
      <c r="D601" s="638">
        <v>-0.05</v>
      </c>
      <c r="E601" s="638">
        <v>-0.32600000000000001</v>
      </c>
      <c r="F601" s="533">
        <f t="shared" si="824"/>
        <v>-0.29399999999999998</v>
      </c>
      <c r="G601" s="638">
        <v>-0.189</v>
      </c>
      <c r="H601" s="638">
        <v>-0.10100000000000001</v>
      </c>
      <c r="I601" s="638">
        <v>-5.3999999999999999E-2</v>
      </c>
      <c r="J601" s="533">
        <f t="shared" si="825"/>
        <v>-0.112</v>
      </c>
      <c r="K601" s="638">
        <v>-0.65800000000000003</v>
      </c>
      <c r="L601" s="638">
        <v>-1.2270000000000001</v>
      </c>
      <c r="M601" s="638">
        <v>-0.95199999999999996</v>
      </c>
      <c r="N601" s="533">
        <f t="shared" si="826"/>
        <v>-1.0649999999999999</v>
      </c>
      <c r="O601" s="638">
        <v>-0.91100000000000003</v>
      </c>
      <c r="P601" s="638">
        <v>-0.79100000000000004</v>
      </c>
      <c r="Q601" s="638">
        <v>-0.64300000000000002</v>
      </c>
      <c r="R601" s="533">
        <f t="shared" si="827"/>
        <v>-0.29299999999999998</v>
      </c>
      <c r="S601" s="638">
        <v>-0.14099999999999999</v>
      </c>
      <c r="T601" s="638">
        <v>9.7000000000000003E-2</v>
      </c>
      <c r="U601" s="638">
        <v>3.5999999999999997E-2</v>
      </c>
      <c r="V601" s="533">
        <f>BH601</f>
        <v>-0.17</v>
      </c>
      <c r="W601" s="638">
        <v>-0.32500000000000001</v>
      </c>
      <c r="X601" s="638">
        <v>-0.36399999999999999</v>
      </c>
      <c r="Y601" s="638">
        <v>-0.56200000000000006</v>
      </c>
      <c r="Z601" s="533">
        <f>BI601</f>
        <v>-0.252</v>
      </c>
      <c r="AA601" s="638">
        <v>-0.18</v>
      </c>
      <c r="AB601" s="638">
        <v>-5.8999999999999997E-2</v>
      </c>
      <c r="AC601" s="638">
        <v>-0.18099999999999999</v>
      </c>
      <c r="AD601" s="533">
        <f>BJ601</f>
        <v>-0.04</v>
      </c>
      <c r="AE601" s="638">
        <v>9.9000000000000005E-2</v>
      </c>
      <c r="AF601" s="638">
        <v>-0.188</v>
      </c>
      <c r="AG601" s="638">
        <v>4.9000000000000002E-2</v>
      </c>
      <c r="AH601" s="533">
        <f>BK601</f>
        <v>9.2999999999999999E-2</v>
      </c>
      <c r="AI601" s="638">
        <v>-9.9000000000000005E-2</v>
      </c>
      <c r="AJ601" s="638">
        <v>-0.36899999999999999</v>
      </c>
      <c r="AK601" s="638">
        <v>-0.42699999999999999</v>
      </c>
      <c r="AL601" s="533">
        <f>BL601</f>
        <v>-0.47399999999999998</v>
      </c>
      <c r="AM601" s="638">
        <v>-0.33</v>
      </c>
      <c r="AN601" s="638">
        <v>-0.34300000000000003</v>
      </c>
      <c r="AO601" s="638">
        <v>-0.216</v>
      </c>
      <c r="AP601" s="533">
        <f>BM601</f>
        <v>0.14299999999999999</v>
      </c>
      <c r="AQ601" s="638">
        <v>0.51800000000000002</v>
      </c>
      <c r="AR601" s="638">
        <v>0.187</v>
      </c>
      <c r="AS601" s="638">
        <v>5.8999999999999997E-2</v>
      </c>
      <c r="AT601" s="533">
        <f>BN601</f>
        <v>-3.5000000000000003E-2</v>
      </c>
      <c r="AU601" s="643">
        <v>-3.5000000000000003E-2</v>
      </c>
      <c r="AV601" s="532">
        <f>AU601</f>
        <v>-3.5000000000000003E-2</v>
      </c>
      <c r="AW601" s="532">
        <f>AV601</f>
        <v>-3.5000000000000003E-2</v>
      </c>
      <c r="AX601" s="532">
        <f>AW601</f>
        <v>-3.5000000000000003E-2</v>
      </c>
      <c r="AY601" s="532"/>
      <c r="AZ601" s="729">
        <v>0</v>
      </c>
      <c r="BA601" s="156"/>
      <c r="BB601" s="729">
        <v>2.8000000000000001E-2</v>
      </c>
      <c r="BC601" s="729">
        <v>0.1</v>
      </c>
      <c r="BD601" s="729">
        <v>-0.29399999999999998</v>
      </c>
      <c r="BE601" s="729">
        <v>-0.112</v>
      </c>
      <c r="BF601" s="729">
        <v>-1.0649999999999999</v>
      </c>
      <c r="BG601" s="729">
        <v>-0.29299999999999998</v>
      </c>
      <c r="BH601" s="729">
        <v>-0.17</v>
      </c>
      <c r="BI601" s="729">
        <v>-0.252</v>
      </c>
      <c r="BJ601" s="729">
        <v>-0.04</v>
      </c>
      <c r="BK601" s="729">
        <v>9.2999999999999999E-2</v>
      </c>
      <c r="BL601" s="729">
        <v>-0.47399999999999998</v>
      </c>
      <c r="BM601" s="729">
        <v>0.14299999999999999</v>
      </c>
      <c r="BN601" s="748">
        <v>-3.5000000000000003E-2</v>
      </c>
      <c r="BO601" s="156">
        <f t="shared" si="828"/>
        <v>-3.5000000000000003E-2</v>
      </c>
      <c r="BP601" s="156" t="e">
        <f>#REF!</f>
        <v>#REF!</v>
      </c>
      <c r="BQ601" s="156" t="e">
        <f>BP601</f>
        <v>#REF!</v>
      </c>
      <c r="BR601" s="156" t="e">
        <f>BQ601</f>
        <v>#REF!</v>
      </c>
      <c r="BS601" s="156" t="e">
        <f>BR601</f>
        <v>#REF!</v>
      </c>
      <c r="BT601" s="533"/>
    </row>
    <row r="602" spans="1:72" s="17" customFormat="1" x14ac:dyDescent="0.35">
      <c r="A602" s="208" t="s">
        <v>399</v>
      </c>
      <c r="B602" s="308"/>
      <c r="C602" s="638">
        <v>-104.804</v>
      </c>
      <c r="D602" s="638">
        <v>-95.293000000000006</v>
      </c>
      <c r="E602" s="638">
        <v>-83.319000000000003</v>
      </c>
      <c r="F602" s="533">
        <f t="shared" si="824"/>
        <v>-81.05</v>
      </c>
      <c r="G602" s="638">
        <v>-86.09</v>
      </c>
      <c r="H602" s="638">
        <v>-89.754999999999995</v>
      </c>
      <c r="I602" s="638">
        <v>-73.805999999999997</v>
      </c>
      <c r="J602" s="533">
        <f t="shared" si="825"/>
        <v>-61.45</v>
      </c>
      <c r="K602" s="638">
        <v>-68.225999999999999</v>
      </c>
      <c r="L602" s="638">
        <v>-55.893000000000001</v>
      </c>
      <c r="M602" s="638">
        <v>-38.881999999999998</v>
      </c>
      <c r="N602" s="533">
        <f t="shared" si="826"/>
        <v>-50.462000000000003</v>
      </c>
      <c r="O602" s="638">
        <v>-63.255000000000003</v>
      </c>
      <c r="P602" s="638">
        <v>-54.716999999999999</v>
      </c>
      <c r="Q602" s="638">
        <v>-40.444000000000003</v>
      </c>
      <c r="R602" s="533">
        <f t="shared" si="827"/>
        <v>-41.427</v>
      </c>
      <c r="S602" s="638">
        <v>-55.26</v>
      </c>
      <c r="T602" s="638">
        <v>-43.607999999999997</v>
      </c>
      <c r="U602" s="638">
        <v>-34.493000000000002</v>
      </c>
      <c r="V602" s="533">
        <f>BH602</f>
        <v>-40.975999999999999</v>
      </c>
      <c r="W602" s="638">
        <v>-49.100999999999999</v>
      </c>
      <c r="X602" s="638">
        <v>-35.841999999999999</v>
      </c>
      <c r="Y602" s="638">
        <v>-22.771999999999998</v>
      </c>
      <c r="Z602" s="533">
        <f>BI602</f>
        <v>-13.432</v>
      </c>
      <c r="AA602" s="638">
        <v>-23.044</v>
      </c>
      <c r="AB602" s="638">
        <v>0.66800000000000004</v>
      </c>
      <c r="AC602" s="638">
        <v>19.13</v>
      </c>
      <c r="AD602" s="533">
        <f>BJ602</f>
        <v>22.446999999999999</v>
      </c>
      <c r="AE602" s="638">
        <v>12.717000000000001</v>
      </c>
      <c r="AF602" s="638">
        <v>33.311</v>
      </c>
      <c r="AG602" s="638">
        <v>42.064999999999998</v>
      </c>
      <c r="AH602" s="533">
        <f>BK602</f>
        <v>46.953000000000003</v>
      </c>
      <c r="AI602" s="638">
        <v>53.366</v>
      </c>
      <c r="AJ602" s="638">
        <v>77.867000000000004</v>
      </c>
      <c r="AK602" s="638">
        <v>101.65600000000001</v>
      </c>
      <c r="AL602" s="533">
        <f>BL602</f>
        <v>112.151</v>
      </c>
      <c r="AM602" s="638">
        <v>114.449</v>
      </c>
      <c r="AN602" s="638">
        <v>156.453</v>
      </c>
      <c r="AO602" s="638">
        <v>199.37200000000001</v>
      </c>
      <c r="AP602" s="533">
        <f>BM602</f>
        <v>227.46199999999999</v>
      </c>
      <c r="AQ602" s="638">
        <v>204.79</v>
      </c>
      <c r="AR602" s="638">
        <v>255.495</v>
      </c>
      <c r="AS602" s="638">
        <v>310.95699999999999</v>
      </c>
      <c r="AT602" s="533">
        <f>BN602</f>
        <v>354.32900000000001</v>
      </c>
      <c r="AU602" s="643">
        <v>359.20699999999999</v>
      </c>
      <c r="AV602" s="532">
        <f ca="1">AU602+AV498+AV420</f>
        <v>412.84575872971362</v>
      </c>
      <c r="AW602" s="532">
        <f ca="1">AV602+AW498+AW420</f>
        <v>471.05972328693571</v>
      </c>
      <c r="AX602" s="532">
        <f ca="1">AW602+AX498+AX420</f>
        <v>517.00658721452487</v>
      </c>
      <c r="AY602" s="532"/>
      <c r="AZ602" s="729">
        <v>-161.02099999999999</v>
      </c>
      <c r="BA602" s="729">
        <v>-139.49600000000001</v>
      </c>
      <c r="BB602" s="729">
        <v>-126.70399999999999</v>
      </c>
      <c r="BC602" s="729">
        <v>-109.161</v>
      </c>
      <c r="BD602" s="729">
        <v>-81.05</v>
      </c>
      <c r="BE602" s="729">
        <v>-61.45</v>
      </c>
      <c r="BF602" s="729">
        <v>-50.462000000000003</v>
      </c>
      <c r="BG602" s="729">
        <v>-41.427</v>
      </c>
      <c r="BH602" s="729">
        <v>-40.975999999999999</v>
      </c>
      <c r="BI602" s="729">
        <v>-13.432</v>
      </c>
      <c r="BJ602" s="729">
        <v>22.446999999999999</v>
      </c>
      <c r="BK602" s="729">
        <v>46.953000000000003</v>
      </c>
      <c r="BL602" s="729">
        <v>112.151</v>
      </c>
      <c r="BM602" s="729">
        <v>227.46199999999999</v>
      </c>
      <c r="BN602" s="748">
        <v>354.32900000000001</v>
      </c>
      <c r="BO602" s="156">
        <f t="shared" ca="1" si="828"/>
        <v>517.00658721452487</v>
      </c>
      <c r="BP602" s="156" t="e">
        <f>#REF!</f>
        <v>#REF!</v>
      </c>
      <c r="BQ602" s="156" t="e">
        <f>BP602+BQ498+BQ420</f>
        <v>#REF!</v>
      </c>
      <c r="BR602" s="156" t="e">
        <f ca="1">BQ602+BR498+BR420</f>
        <v>#REF!</v>
      </c>
      <c r="BS602" s="156" t="e">
        <f ca="1">BR602+BS498+BS420</f>
        <v>#REF!</v>
      </c>
      <c r="BT602" s="533"/>
    </row>
    <row r="603" spans="1:72" s="17" customFormat="1" x14ac:dyDescent="0.35">
      <c r="A603" s="208" t="s">
        <v>222</v>
      </c>
      <c r="B603" s="308"/>
      <c r="C603" s="532"/>
      <c r="D603" s="532"/>
      <c r="E603" s="532"/>
      <c r="F603" s="533">
        <f t="shared" si="824"/>
        <v>0</v>
      </c>
      <c r="G603" s="532"/>
      <c r="H603" s="638">
        <v>-5.883</v>
      </c>
      <c r="I603" s="638">
        <v>-26.623999999999999</v>
      </c>
      <c r="J603" s="533">
        <f t="shared" si="825"/>
        <v>-48.548000000000002</v>
      </c>
      <c r="K603" s="638">
        <v>-75</v>
      </c>
      <c r="L603" s="638">
        <v>-75</v>
      </c>
      <c r="M603" s="638">
        <v>-75</v>
      </c>
      <c r="N603" s="533">
        <f t="shared" si="826"/>
        <v>-75</v>
      </c>
      <c r="O603" s="638">
        <v>-75</v>
      </c>
      <c r="P603" s="638">
        <v>-75</v>
      </c>
      <c r="Q603" s="638">
        <v>-75</v>
      </c>
      <c r="R603" s="533">
        <f t="shared" si="827"/>
        <v>-75</v>
      </c>
      <c r="S603" s="638">
        <v>-75</v>
      </c>
      <c r="T603" s="638">
        <v>-75</v>
      </c>
      <c r="U603" s="638">
        <v>-75</v>
      </c>
      <c r="V603" s="533">
        <f>BH603</f>
        <v>-75</v>
      </c>
      <c r="W603" s="638">
        <v>-75</v>
      </c>
      <c r="X603" s="638">
        <v>-75</v>
      </c>
      <c r="Y603" s="638">
        <v>-75</v>
      </c>
      <c r="Z603" s="533">
        <f>BI603</f>
        <v>-102.482</v>
      </c>
      <c r="AA603" s="638">
        <v>-102.482</v>
      </c>
      <c r="AB603" s="638">
        <v>-102.482</v>
      </c>
      <c r="AC603" s="638">
        <v>-102.482</v>
      </c>
      <c r="AD603" s="533">
        <f>BJ603</f>
        <v>-102.482</v>
      </c>
      <c r="AE603" s="638">
        <v>-102.482</v>
      </c>
      <c r="AF603" s="638">
        <v>-102.482</v>
      </c>
      <c r="AG603" s="638">
        <v>-102.482</v>
      </c>
      <c r="AH603" s="533">
        <f>BK603</f>
        <v>-102.482</v>
      </c>
      <c r="AI603" s="638">
        <v>-102.482</v>
      </c>
      <c r="AJ603" s="638">
        <v>-102.482</v>
      </c>
      <c r="AK603" s="638">
        <v>-102.482</v>
      </c>
      <c r="AL603" s="533">
        <f>BL603</f>
        <v>-102.482</v>
      </c>
      <c r="AM603" s="638">
        <v>-102.482</v>
      </c>
      <c r="AN603" s="638">
        <v>-102.482</v>
      </c>
      <c r="AO603" s="638">
        <v>-102.482</v>
      </c>
      <c r="AP603" s="533">
        <f>BM603</f>
        <v>-102.482</v>
      </c>
      <c r="AQ603" s="638">
        <v>-102.482</v>
      </c>
      <c r="AR603" s="638">
        <v>-102.482</v>
      </c>
      <c r="AS603" s="638">
        <v>-102.482</v>
      </c>
      <c r="AT603" s="533">
        <f>BN603</f>
        <v>-102.482</v>
      </c>
      <c r="AU603" s="643">
        <v>-102.482</v>
      </c>
      <c r="AV603" s="532">
        <f>AU603+INDEX(MO_CFS_Buyback,0,COLUMN())</f>
        <v>-102.482</v>
      </c>
      <c r="AW603" s="532">
        <f>AV603+INDEX(MO_CFS_Buyback,0,COLUMN())</f>
        <v>-102.482</v>
      </c>
      <c r="AX603" s="532">
        <f>AW603+INDEX(MO_CFS_Buyback,0,COLUMN())</f>
        <v>-102.482</v>
      </c>
      <c r="AY603" s="532"/>
      <c r="AZ603" s="729">
        <v>0</v>
      </c>
      <c r="BA603" s="156"/>
      <c r="BB603" s="156"/>
      <c r="BC603" s="156"/>
      <c r="BD603" s="156"/>
      <c r="BE603" s="729">
        <v>-48.548000000000002</v>
      </c>
      <c r="BF603" s="729">
        <v>-75</v>
      </c>
      <c r="BG603" s="729">
        <v>-75</v>
      </c>
      <c r="BH603" s="729">
        <v>-75</v>
      </c>
      <c r="BI603" s="729">
        <v>-102.482</v>
      </c>
      <c r="BJ603" s="729">
        <v>-102.482</v>
      </c>
      <c r="BK603" s="729">
        <v>-102.482</v>
      </c>
      <c r="BL603" s="729">
        <v>-102.482</v>
      </c>
      <c r="BM603" s="729">
        <v>-102.482</v>
      </c>
      <c r="BN603" s="748">
        <v>-102.482</v>
      </c>
      <c r="BO603" s="156">
        <f t="shared" si="828"/>
        <v>-102.482</v>
      </c>
      <c r="BP603" s="156" t="e">
        <f>#REF!</f>
        <v>#REF!</v>
      </c>
      <c r="BQ603" s="156" t="e">
        <f>BP603+INDEX(MO_CFS_Buyback,0,COLUMN())</f>
        <v>#REF!</v>
      </c>
      <c r="BR603" s="156" t="e">
        <f>BQ603+INDEX(MO_CFS_Buyback,0,COLUMN())</f>
        <v>#REF!</v>
      </c>
      <c r="BS603" s="156" t="e">
        <f>BR603+INDEX(MO_CFS_Buyback,0,COLUMN())</f>
        <v>#REF!</v>
      </c>
      <c r="BT603" s="533"/>
    </row>
    <row r="604" spans="1:72" s="17" customFormat="1" x14ac:dyDescent="0.35">
      <c r="A604" s="267" t="s">
        <v>223</v>
      </c>
      <c r="B604" s="362"/>
      <c r="C604" s="639">
        <v>63.112000000000002</v>
      </c>
      <c r="D604" s="639">
        <v>63.112000000000002</v>
      </c>
      <c r="E604" s="639">
        <v>63.112000000000002</v>
      </c>
      <c r="F604" s="571">
        <f t="shared" si="824"/>
        <v>63.112000000000002</v>
      </c>
      <c r="G604" s="535"/>
      <c r="H604" s="535"/>
      <c r="I604" s="535"/>
      <c r="J604" s="571">
        <f t="shared" si="825"/>
        <v>0</v>
      </c>
      <c r="K604" s="535"/>
      <c r="L604" s="535"/>
      <c r="M604" s="535"/>
      <c r="N604" s="571">
        <f t="shared" si="826"/>
        <v>0</v>
      </c>
      <c r="O604" s="535"/>
      <c r="P604" s="571">
        <f>O604</f>
        <v>0</v>
      </c>
      <c r="Q604" s="571">
        <f>P604</f>
        <v>0</v>
      </c>
      <c r="R604" s="571">
        <f t="shared" si="827"/>
        <v>0</v>
      </c>
      <c r="S604" s="535"/>
      <c r="T604" s="535"/>
      <c r="U604" s="535"/>
      <c r="V604" s="535"/>
      <c r="W604" s="535"/>
      <c r="X604" s="535"/>
      <c r="Y604" s="535"/>
      <c r="Z604" s="535"/>
      <c r="AA604" s="535"/>
      <c r="AB604" s="535"/>
      <c r="AC604" s="535"/>
      <c r="AD604" s="535"/>
      <c r="AE604" s="535"/>
      <c r="AF604" s="535"/>
      <c r="AG604" s="535"/>
      <c r="AH604" s="535"/>
      <c r="AI604" s="535"/>
      <c r="AJ604" s="535"/>
      <c r="AK604" s="535"/>
      <c r="AL604" s="535"/>
      <c r="AM604" s="535"/>
      <c r="AN604" s="535"/>
      <c r="AO604" s="535"/>
      <c r="AP604" s="535"/>
      <c r="AQ604" s="535"/>
      <c r="AR604" s="535"/>
      <c r="AS604" s="535"/>
      <c r="AT604" s="535"/>
      <c r="AU604" s="536"/>
      <c r="AV604" s="535">
        <f>AU604</f>
        <v>0</v>
      </c>
      <c r="AW604" s="535">
        <f>AV604</f>
        <v>0</v>
      </c>
      <c r="AX604" s="535">
        <f>AW604</f>
        <v>0</v>
      </c>
      <c r="AY604" s="535"/>
      <c r="AZ604" s="732">
        <v>0</v>
      </c>
      <c r="BA604" s="731"/>
      <c r="BB604" s="732">
        <v>63.112000000000002</v>
      </c>
      <c r="BC604" s="732">
        <v>63.112000000000002</v>
      </c>
      <c r="BD604" s="732">
        <v>63.112000000000002</v>
      </c>
      <c r="BE604" s="731"/>
      <c r="BF604" s="731"/>
      <c r="BG604" s="731"/>
      <c r="BH604" s="731"/>
      <c r="BI604" s="731"/>
      <c r="BJ604" s="731"/>
      <c r="BK604" s="731"/>
      <c r="BL604" s="731"/>
      <c r="BM604" s="731"/>
      <c r="BN604" s="733"/>
      <c r="BO604" s="731">
        <f t="shared" si="828"/>
        <v>0</v>
      </c>
      <c r="BP604" s="731" t="e">
        <f>#REF!</f>
        <v>#REF!</v>
      </c>
      <c r="BQ604" s="731" t="e">
        <f>BP604</f>
        <v>#REF!</v>
      </c>
      <c r="BR604" s="731" t="e">
        <f>BQ604</f>
        <v>#REF!</v>
      </c>
      <c r="BS604" s="731" t="e">
        <f>BR604</f>
        <v>#REF!</v>
      </c>
      <c r="BT604" s="533"/>
    </row>
    <row r="605" spans="1:72" s="1" customFormat="1" x14ac:dyDescent="0.35">
      <c r="A605" s="47" t="s">
        <v>224</v>
      </c>
      <c r="B605" s="360"/>
      <c r="C605" s="573">
        <f t="shared" ref="C605:AH605" si="829">SUM(C599:C604)</f>
        <v>481.17900000000003</v>
      </c>
      <c r="D605" s="573">
        <f t="shared" si="829"/>
        <v>495.34700000000004</v>
      </c>
      <c r="E605" s="573">
        <f t="shared" si="829"/>
        <v>513.76300000000003</v>
      </c>
      <c r="F605" s="573">
        <f t="shared" si="829"/>
        <v>530.16200000000003</v>
      </c>
      <c r="G605" s="573">
        <f t="shared" si="829"/>
        <v>534.97900000000004</v>
      </c>
      <c r="H605" s="573">
        <f t="shared" si="829"/>
        <v>530.68600000000004</v>
      </c>
      <c r="I605" s="573">
        <f t="shared" si="829"/>
        <v>530.053</v>
      </c>
      <c r="J605" s="573">
        <f t="shared" si="829"/>
        <v>528.92999999999995</v>
      </c>
      <c r="K605" s="573">
        <f t="shared" si="829"/>
        <v>498.178</v>
      </c>
      <c r="L605" s="573">
        <f t="shared" si="829"/>
        <v>513.78600000000006</v>
      </c>
      <c r="M605" s="573">
        <f t="shared" si="829"/>
        <v>534.4190000000001</v>
      </c>
      <c r="N605" s="573">
        <f t="shared" si="829"/>
        <v>536.93799999999999</v>
      </c>
      <c r="O605" s="573">
        <f t="shared" si="829"/>
        <v>524.04000000000008</v>
      </c>
      <c r="P605" s="573">
        <f t="shared" si="829"/>
        <v>535.303</v>
      </c>
      <c r="Q605" s="573">
        <f t="shared" si="829"/>
        <v>552.15500000000009</v>
      </c>
      <c r="R605" s="573">
        <f t="shared" si="829"/>
        <v>558.72</v>
      </c>
      <c r="S605" s="573">
        <f t="shared" si="829"/>
        <v>543.74400000000003</v>
      </c>
      <c r="T605" s="573">
        <f t="shared" si="829"/>
        <v>559.64700000000005</v>
      </c>
      <c r="U605" s="573">
        <f t="shared" si="829"/>
        <v>571.98099999999988</v>
      </c>
      <c r="V605" s="573">
        <f t="shared" si="829"/>
        <v>574.34600000000012</v>
      </c>
      <c r="W605" s="573">
        <f t="shared" si="829"/>
        <v>566.87199999999996</v>
      </c>
      <c r="X605" s="573">
        <f t="shared" si="829"/>
        <v>585.84199999999998</v>
      </c>
      <c r="Y605" s="573">
        <f t="shared" si="829"/>
        <v>599.4319999999999</v>
      </c>
      <c r="Z605" s="573">
        <f t="shared" si="829"/>
        <v>587.18900000000008</v>
      </c>
      <c r="AA605" s="573">
        <f t="shared" si="829"/>
        <v>575.69600000000014</v>
      </c>
      <c r="AB605" s="573">
        <f t="shared" si="829"/>
        <v>603.95600000000013</v>
      </c>
      <c r="AC605" s="573">
        <f t="shared" si="829"/>
        <v>624.74</v>
      </c>
      <c r="AD605" s="573">
        <f t="shared" si="829"/>
        <v>633.36500000000012</v>
      </c>
      <c r="AE605" s="573">
        <f t="shared" si="829"/>
        <v>624.7120000000001</v>
      </c>
      <c r="AF605" s="573">
        <f t="shared" si="829"/>
        <v>651.09600000000012</v>
      </c>
      <c r="AG605" s="573">
        <f t="shared" si="829"/>
        <v>664.62799999999993</v>
      </c>
      <c r="AH605" s="573">
        <f t="shared" si="829"/>
        <v>675.32899999999995</v>
      </c>
      <c r="AI605" s="573">
        <f t="shared" ref="AI605:AX605" si="830">SUM(AI599:AI604)</f>
        <v>719.02099999999996</v>
      </c>
      <c r="AJ605" s="573">
        <f t="shared" si="830"/>
        <v>752.42899999999997</v>
      </c>
      <c r="AK605" s="573">
        <f t="shared" si="830"/>
        <v>786.779</v>
      </c>
      <c r="AL605" s="573">
        <f t="shared" si="830"/>
        <v>804.64799999999991</v>
      </c>
      <c r="AM605" s="573">
        <f t="shared" si="830"/>
        <v>719.90599999999995</v>
      </c>
      <c r="AN605" s="573">
        <f t="shared" si="830"/>
        <v>734.23300000000006</v>
      </c>
      <c r="AO605" s="573">
        <f t="shared" si="830"/>
        <v>780.57000000000016</v>
      </c>
      <c r="AP605" s="573">
        <f t="shared" si="830"/>
        <v>812.58100000000002</v>
      </c>
      <c r="AQ605" s="573">
        <f t="shared" si="830"/>
        <v>786.82300000000009</v>
      </c>
      <c r="AR605" s="573">
        <f t="shared" si="830"/>
        <v>841.89900000000011</v>
      </c>
      <c r="AS605" s="573">
        <f t="shared" si="830"/>
        <v>899.36099999999999</v>
      </c>
      <c r="AT605" s="573">
        <f t="shared" si="830"/>
        <v>947.29600000000005</v>
      </c>
      <c r="AU605" s="577">
        <f t="shared" si="830"/>
        <v>958.49299999999994</v>
      </c>
      <c r="AV605" s="572">
        <f t="shared" ca="1" si="830"/>
        <v>1019.1317587297137</v>
      </c>
      <c r="AW605" s="572">
        <f t="shared" ca="1" si="830"/>
        <v>1084.9457232869358</v>
      </c>
      <c r="AX605" s="572">
        <f t="shared" ca="1" si="830"/>
        <v>1138.3925872145251</v>
      </c>
      <c r="AY605" s="572"/>
      <c r="AZ605" s="735">
        <f t="shared" ref="AZ605:BS605" si="831">SUM(AZ599:AZ604)</f>
        <v>182.28599999999997</v>
      </c>
      <c r="BA605" s="735">
        <f t="shared" si="831"/>
        <v>221.85099999999997</v>
      </c>
      <c r="BB605" s="735">
        <f t="shared" si="831"/>
        <v>448.62100000000009</v>
      </c>
      <c r="BC605" s="735">
        <f t="shared" si="831"/>
        <v>473.49400000000003</v>
      </c>
      <c r="BD605" s="735">
        <f t="shared" si="831"/>
        <v>530.16200000000003</v>
      </c>
      <c r="BE605" s="735">
        <f t="shared" si="831"/>
        <v>528.92999999999995</v>
      </c>
      <c r="BF605" s="735">
        <f t="shared" si="831"/>
        <v>536.93799999999999</v>
      </c>
      <c r="BG605" s="735">
        <f t="shared" si="831"/>
        <v>558.72</v>
      </c>
      <c r="BH605" s="735">
        <f t="shared" si="831"/>
        <v>574.34600000000012</v>
      </c>
      <c r="BI605" s="735">
        <f t="shared" si="831"/>
        <v>587.18900000000008</v>
      </c>
      <c r="BJ605" s="735">
        <f t="shared" si="831"/>
        <v>633.36500000000012</v>
      </c>
      <c r="BK605" s="735">
        <f t="shared" si="831"/>
        <v>675.32899999999995</v>
      </c>
      <c r="BL605" s="735">
        <f t="shared" si="831"/>
        <v>804.64799999999991</v>
      </c>
      <c r="BM605" s="735">
        <f t="shared" si="831"/>
        <v>812.58100000000002</v>
      </c>
      <c r="BN605" s="749">
        <f t="shared" si="831"/>
        <v>947.29600000000005</v>
      </c>
      <c r="BO605" s="734">
        <f t="shared" ca="1" si="831"/>
        <v>1138.3925872145251</v>
      </c>
      <c r="BP605" s="734" t="e">
        <f t="shared" si="831"/>
        <v>#REF!</v>
      </c>
      <c r="BQ605" s="734" t="e">
        <f t="shared" si="831"/>
        <v>#REF!</v>
      </c>
      <c r="BR605" s="734" t="e">
        <f t="shared" si="831"/>
        <v>#REF!</v>
      </c>
      <c r="BS605" s="734" t="e">
        <f t="shared" si="831"/>
        <v>#REF!</v>
      </c>
      <c r="BT605" s="530"/>
    </row>
    <row r="606" spans="1:72" s="17" customFormat="1" x14ac:dyDescent="0.35">
      <c r="A606" s="208" t="s">
        <v>225</v>
      </c>
      <c r="B606" s="308"/>
      <c r="C606" s="638">
        <v>4.0679999999999996</v>
      </c>
      <c r="D606" s="638">
        <v>4.133</v>
      </c>
      <c r="E606" s="638">
        <v>4.1980000000000004</v>
      </c>
      <c r="F606" s="533">
        <f>BD606</f>
        <v>3.5960000000000001</v>
      </c>
      <c r="G606" s="638">
        <v>3.4489999999999998</v>
      </c>
      <c r="H606" s="638">
        <v>3.4220000000000002</v>
      </c>
      <c r="I606" s="638">
        <v>3.387</v>
      </c>
      <c r="J606" s="533">
        <f>BE606</f>
        <v>0</v>
      </c>
      <c r="K606" s="532"/>
      <c r="L606" s="532"/>
      <c r="M606" s="532"/>
      <c r="N606" s="533">
        <f>BF606</f>
        <v>0</v>
      </c>
      <c r="O606" s="532"/>
      <c r="P606" s="532"/>
      <c r="Q606" s="532"/>
      <c r="R606" s="533">
        <f>BG606</f>
        <v>0</v>
      </c>
      <c r="S606" s="532"/>
      <c r="T606" s="532"/>
      <c r="U606" s="532"/>
      <c r="V606" s="533">
        <f>BH606</f>
        <v>0</v>
      </c>
      <c r="W606" s="532"/>
      <c r="X606" s="532"/>
      <c r="Y606" s="532"/>
      <c r="Z606" s="533">
        <f>BI606</f>
        <v>0</v>
      </c>
      <c r="AA606" s="532"/>
      <c r="AB606" s="532"/>
      <c r="AC606" s="532"/>
      <c r="AD606" s="533">
        <f>BJ606</f>
        <v>0</v>
      </c>
      <c r="AE606" s="532"/>
      <c r="AF606" s="532"/>
      <c r="AG606" s="532"/>
      <c r="AH606" s="533">
        <f>BK606</f>
        <v>0</v>
      </c>
      <c r="AI606" s="532"/>
      <c r="AJ606" s="532"/>
      <c r="AK606" s="532"/>
      <c r="AL606" s="533">
        <f>BL606</f>
        <v>0</v>
      </c>
      <c r="AM606" s="532"/>
      <c r="AN606" s="532"/>
      <c r="AO606" s="532"/>
      <c r="AP606" s="533">
        <f>BM606</f>
        <v>0</v>
      </c>
      <c r="AQ606" s="532"/>
      <c r="AR606" s="532"/>
      <c r="AS606" s="532"/>
      <c r="AT606" s="533">
        <f>BN606</f>
        <v>0</v>
      </c>
      <c r="AU606" s="534"/>
      <c r="AV606" s="532"/>
      <c r="AW606" s="532"/>
      <c r="AX606" s="532"/>
      <c r="AY606" s="532"/>
      <c r="AZ606" s="729">
        <v>4.4139999999999997</v>
      </c>
      <c r="BA606" s="729">
        <v>4.141</v>
      </c>
      <c r="BB606" s="729">
        <v>4.1260000000000003</v>
      </c>
      <c r="BC606" s="729">
        <v>4.1539999999999999</v>
      </c>
      <c r="BD606" s="729">
        <v>3.5960000000000001</v>
      </c>
      <c r="BE606" s="156"/>
      <c r="BF606" s="156"/>
      <c r="BG606" s="156"/>
      <c r="BH606" s="156"/>
      <c r="BI606" s="156"/>
      <c r="BJ606" s="156"/>
      <c r="BK606" s="156"/>
      <c r="BL606" s="156"/>
      <c r="BM606" s="156"/>
      <c r="BN606" s="730"/>
      <c r="BO606" s="156"/>
      <c r="BP606" s="156"/>
      <c r="BQ606" s="156"/>
      <c r="BR606" s="156"/>
      <c r="BS606" s="156"/>
      <c r="BT606" s="533"/>
    </row>
    <row r="607" spans="1:72" s="1" customFormat="1" x14ac:dyDescent="0.35">
      <c r="A607" s="51" t="s">
        <v>226</v>
      </c>
      <c r="B607" s="307"/>
      <c r="C607" s="530">
        <f t="shared" ref="C607:AH607" si="832">C605+C596+C606</f>
        <v>719.49800000000005</v>
      </c>
      <c r="D607" s="530">
        <f t="shared" si="832"/>
        <v>718.70900000000006</v>
      </c>
      <c r="E607" s="530">
        <f t="shared" si="832"/>
        <v>739.91800000000001</v>
      </c>
      <c r="F607" s="530">
        <f t="shared" si="832"/>
        <v>718.89600000000007</v>
      </c>
      <c r="G607" s="530">
        <f t="shared" si="832"/>
        <v>798.29700000000003</v>
      </c>
      <c r="H607" s="530">
        <f t="shared" si="832"/>
        <v>748.88700000000006</v>
      </c>
      <c r="I607" s="530">
        <f t="shared" si="832"/>
        <v>737.25499999999988</v>
      </c>
      <c r="J607" s="530">
        <f t="shared" si="832"/>
        <v>711.66699999999992</v>
      </c>
      <c r="K607" s="530">
        <f t="shared" si="832"/>
        <v>731.21699999999998</v>
      </c>
      <c r="L607" s="530">
        <f t="shared" si="832"/>
        <v>715.28200000000004</v>
      </c>
      <c r="M607" s="530">
        <f t="shared" si="832"/>
        <v>743.70300000000009</v>
      </c>
      <c r="N607" s="530">
        <f t="shared" si="832"/>
        <v>708.59899999999993</v>
      </c>
      <c r="O607" s="530">
        <f t="shared" si="832"/>
        <v>737.41100000000006</v>
      </c>
      <c r="P607" s="530">
        <f t="shared" si="832"/>
        <v>714.99099999999999</v>
      </c>
      <c r="Q607" s="530">
        <f t="shared" si="832"/>
        <v>733.90600000000006</v>
      </c>
      <c r="R607" s="530">
        <f t="shared" si="832"/>
        <v>734.05500000000006</v>
      </c>
      <c r="S607" s="530">
        <f t="shared" si="832"/>
        <v>760.96500000000003</v>
      </c>
      <c r="T607" s="530">
        <f t="shared" si="832"/>
        <v>737.48800000000006</v>
      </c>
      <c r="U607" s="530">
        <f t="shared" si="832"/>
        <v>745.41599999999994</v>
      </c>
      <c r="V607" s="530">
        <f t="shared" si="832"/>
        <v>735.28400000000011</v>
      </c>
      <c r="W607" s="530">
        <f t="shared" si="832"/>
        <v>762.43899999999996</v>
      </c>
      <c r="X607" s="530">
        <f t="shared" si="832"/>
        <v>748.65599999999995</v>
      </c>
      <c r="Y607" s="530">
        <f t="shared" si="832"/>
        <v>761.12399999999991</v>
      </c>
      <c r="Z607" s="530">
        <f t="shared" si="832"/>
        <v>741.96300000000008</v>
      </c>
      <c r="AA607" s="530">
        <f t="shared" si="832"/>
        <v>784.80200000000013</v>
      </c>
      <c r="AB607" s="530">
        <f t="shared" si="832"/>
        <v>783.70300000000009</v>
      </c>
      <c r="AC607" s="530">
        <f t="shared" si="832"/>
        <v>809.01</v>
      </c>
      <c r="AD607" s="530">
        <f t="shared" si="832"/>
        <v>819.60600000000011</v>
      </c>
      <c r="AE607" s="530">
        <f t="shared" si="832"/>
        <v>813.49700000000007</v>
      </c>
      <c r="AF607" s="530">
        <f t="shared" si="832"/>
        <v>826.95</v>
      </c>
      <c r="AG607" s="530">
        <f t="shared" si="832"/>
        <v>1036.0049999999999</v>
      </c>
      <c r="AH607" s="530">
        <f t="shared" si="832"/>
        <v>1073.2629999999999</v>
      </c>
      <c r="AI607" s="530">
        <f t="shared" ref="AI607:AX607" si="833">AI605+AI596+AI606</f>
        <v>1404.4759999999999</v>
      </c>
      <c r="AJ607" s="530">
        <f t="shared" si="833"/>
        <v>1471.9540000000002</v>
      </c>
      <c r="AK607" s="530">
        <f t="shared" si="833"/>
        <v>1534.1679999999999</v>
      </c>
      <c r="AL607" s="530">
        <f t="shared" si="833"/>
        <v>1577.297</v>
      </c>
      <c r="AM607" s="530">
        <f t="shared" si="833"/>
        <v>1570.365</v>
      </c>
      <c r="AN607" s="530">
        <f t="shared" si="833"/>
        <v>1525.7450000000001</v>
      </c>
      <c r="AO607" s="530">
        <f t="shared" si="833"/>
        <v>1574.5320000000002</v>
      </c>
      <c r="AP607" s="530">
        <f t="shared" si="833"/>
        <v>1643.5450000000001</v>
      </c>
      <c r="AQ607" s="530">
        <f t="shared" si="833"/>
        <v>1622.0980000000002</v>
      </c>
      <c r="AR607" s="530">
        <f t="shared" si="833"/>
        <v>1619.2910000000002</v>
      </c>
      <c r="AS607" s="530">
        <f t="shared" si="833"/>
        <v>1699.848</v>
      </c>
      <c r="AT607" s="530">
        <f t="shared" si="833"/>
        <v>1760.6660000000002</v>
      </c>
      <c r="AU607" s="575">
        <f t="shared" si="833"/>
        <v>1767.645</v>
      </c>
      <c r="AV607" s="529">
        <f t="shared" ca="1" si="833"/>
        <v>1789.3290336751106</v>
      </c>
      <c r="AW607" s="529">
        <f t="shared" ca="1" si="833"/>
        <v>1893.7110217810766</v>
      </c>
      <c r="AX607" s="529">
        <f t="shared" ca="1" si="833"/>
        <v>1979.8917353653869</v>
      </c>
      <c r="AY607" s="529"/>
      <c r="AZ607" s="750">
        <f t="shared" ref="AZ607:BS607" si="834">AZ605+AZ596+AZ606</f>
        <v>240.67599999999996</v>
      </c>
      <c r="BA607" s="750">
        <f t="shared" si="834"/>
        <v>307.88200000000001</v>
      </c>
      <c r="BB607" s="750">
        <f t="shared" si="834"/>
        <v>582.09500000000003</v>
      </c>
      <c r="BC607" s="750">
        <f t="shared" si="834"/>
        <v>648.83500000000004</v>
      </c>
      <c r="BD607" s="750">
        <f t="shared" si="834"/>
        <v>718.89600000000007</v>
      </c>
      <c r="BE607" s="750">
        <f t="shared" si="834"/>
        <v>711.66699999999992</v>
      </c>
      <c r="BF607" s="750">
        <f t="shared" si="834"/>
        <v>708.59899999999993</v>
      </c>
      <c r="BG607" s="750">
        <f t="shared" si="834"/>
        <v>734.05500000000006</v>
      </c>
      <c r="BH607" s="750">
        <f t="shared" si="834"/>
        <v>735.28400000000011</v>
      </c>
      <c r="BI607" s="750">
        <f t="shared" si="834"/>
        <v>741.96300000000008</v>
      </c>
      <c r="BJ607" s="750">
        <f t="shared" si="834"/>
        <v>819.60600000000011</v>
      </c>
      <c r="BK607" s="750">
        <f t="shared" si="834"/>
        <v>1073.2629999999999</v>
      </c>
      <c r="BL607" s="750">
        <f t="shared" si="834"/>
        <v>1577.297</v>
      </c>
      <c r="BM607" s="750">
        <f t="shared" si="834"/>
        <v>1643.5450000000001</v>
      </c>
      <c r="BN607" s="751">
        <f t="shared" si="834"/>
        <v>1760.6660000000002</v>
      </c>
      <c r="BO607" s="726">
        <f t="shared" ca="1" si="834"/>
        <v>1979.8917353653869</v>
      </c>
      <c r="BP607" s="726" t="e">
        <f t="shared" si="834"/>
        <v>#REF!</v>
      </c>
      <c r="BQ607" s="726" t="e">
        <f t="shared" si="834"/>
        <v>#REF!</v>
      </c>
      <c r="BR607" s="726" t="e">
        <f t="shared" si="834"/>
        <v>#REF!</v>
      </c>
      <c r="BS607" s="726" t="e">
        <f t="shared" si="834"/>
        <v>#REF!</v>
      </c>
      <c r="BT607" s="530"/>
    </row>
    <row r="608" spans="1:72" s="17" customFormat="1" x14ac:dyDescent="0.35">
      <c r="A608" s="532"/>
      <c r="B608" s="532"/>
      <c r="C608" s="532"/>
      <c r="D608" s="532"/>
      <c r="E608" s="532"/>
      <c r="F608" s="532"/>
      <c r="G608" s="532"/>
      <c r="H608" s="532"/>
      <c r="I608" s="532"/>
      <c r="J608" s="532"/>
      <c r="K608" s="532"/>
      <c r="L608" s="532"/>
      <c r="M608" s="532"/>
      <c r="N608" s="532"/>
      <c r="O608" s="532"/>
      <c r="P608" s="532"/>
      <c r="Q608" s="532"/>
      <c r="R608" s="532"/>
      <c r="S608" s="532"/>
      <c r="T608" s="532"/>
      <c r="U608" s="532"/>
      <c r="V608" s="532"/>
      <c r="W608" s="532"/>
      <c r="X608" s="532"/>
      <c r="Y608" s="532"/>
      <c r="Z608" s="532"/>
      <c r="AA608" s="532"/>
      <c r="AB608" s="532"/>
      <c r="AC608" s="532"/>
      <c r="AD608" s="532"/>
      <c r="AE608" s="532"/>
      <c r="AF608" s="532"/>
      <c r="AG608" s="532"/>
      <c r="AH608" s="532"/>
      <c r="AI608" s="532"/>
      <c r="AJ608" s="532"/>
      <c r="AK608" s="532"/>
      <c r="AL608" s="532"/>
      <c r="AM608" s="532"/>
      <c r="AN608" s="532"/>
      <c r="AO608" s="532"/>
      <c r="AP608" s="532"/>
      <c r="AQ608" s="532"/>
      <c r="AR608" s="532"/>
      <c r="AS608" s="532"/>
      <c r="AT608" s="532"/>
      <c r="AU608" s="534"/>
      <c r="AV608" s="532"/>
      <c r="AW608" s="532"/>
      <c r="AX608" s="532"/>
      <c r="AY608" s="532"/>
      <c r="AZ608" s="532"/>
      <c r="BA608" s="532"/>
      <c r="BB608" s="532"/>
      <c r="BC608" s="532"/>
      <c r="BD608" s="532"/>
      <c r="BE608" s="532"/>
      <c r="BF608" s="532"/>
      <c r="BG608" s="532"/>
      <c r="BH608" s="532"/>
      <c r="BI608" s="532"/>
      <c r="BJ608" s="532"/>
      <c r="BK608" s="532"/>
      <c r="BL608" s="532"/>
      <c r="BM608" s="532"/>
      <c r="BN608" s="534"/>
      <c r="BO608" s="532"/>
      <c r="BP608" s="532"/>
      <c r="BQ608" s="532"/>
      <c r="BR608" s="532"/>
      <c r="BS608" s="532"/>
      <c r="BT608" s="533"/>
    </row>
    <row r="609" spans="1:72" s="17" customFormat="1" x14ac:dyDescent="0.35">
      <c r="A609" s="32" t="s">
        <v>227</v>
      </c>
      <c r="B609" s="32"/>
      <c r="C609" s="604">
        <f t="shared" ref="C609:AH609" si="835">ROUND(C573-C607,6)</f>
        <v>0</v>
      </c>
      <c r="D609" s="604">
        <f t="shared" si="835"/>
        <v>0</v>
      </c>
      <c r="E609" s="604">
        <f t="shared" si="835"/>
        <v>0</v>
      </c>
      <c r="F609" s="604">
        <f t="shared" si="835"/>
        <v>0</v>
      </c>
      <c r="G609" s="604">
        <f t="shared" si="835"/>
        <v>0</v>
      </c>
      <c r="H609" s="604">
        <f t="shared" si="835"/>
        <v>0</v>
      </c>
      <c r="I609" s="604">
        <f t="shared" si="835"/>
        <v>0</v>
      </c>
      <c r="J609" s="604">
        <f t="shared" si="835"/>
        <v>0</v>
      </c>
      <c r="K609" s="604">
        <f t="shared" si="835"/>
        <v>0</v>
      </c>
      <c r="L609" s="604">
        <f t="shared" si="835"/>
        <v>0</v>
      </c>
      <c r="M609" s="604">
        <f t="shared" si="835"/>
        <v>0</v>
      </c>
      <c r="N609" s="604">
        <f t="shared" si="835"/>
        <v>0</v>
      </c>
      <c r="O609" s="604">
        <f t="shared" si="835"/>
        <v>0</v>
      </c>
      <c r="P609" s="604">
        <f t="shared" si="835"/>
        <v>0</v>
      </c>
      <c r="Q609" s="604">
        <f t="shared" si="835"/>
        <v>0</v>
      </c>
      <c r="R609" s="604">
        <f t="shared" si="835"/>
        <v>0</v>
      </c>
      <c r="S609" s="604">
        <f t="shared" si="835"/>
        <v>0</v>
      </c>
      <c r="T609" s="604">
        <f t="shared" si="835"/>
        <v>0</v>
      </c>
      <c r="U609" s="604">
        <f t="shared" si="835"/>
        <v>0</v>
      </c>
      <c r="V609" s="604">
        <f t="shared" si="835"/>
        <v>0</v>
      </c>
      <c r="W609" s="604">
        <f t="shared" si="835"/>
        <v>0</v>
      </c>
      <c r="X609" s="604">
        <f t="shared" si="835"/>
        <v>0</v>
      </c>
      <c r="Y609" s="604">
        <f t="shared" si="835"/>
        <v>0</v>
      </c>
      <c r="Z609" s="604">
        <f t="shared" si="835"/>
        <v>0</v>
      </c>
      <c r="AA609" s="604">
        <f t="shared" si="835"/>
        <v>0</v>
      </c>
      <c r="AB609" s="604">
        <f t="shared" si="835"/>
        <v>0</v>
      </c>
      <c r="AC609" s="604">
        <f t="shared" si="835"/>
        <v>0</v>
      </c>
      <c r="AD609" s="604">
        <f t="shared" si="835"/>
        <v>0</v>
      </c>
      <c r="AE609" s="604">
        <f t="shared" si="835"/>
        <v>0</v>
      </c>
      <c r="AF609" s="604">
        <f t="shared" si="835"/>
        <v>0</v>
      </c>
      <c r="AG609" s="604">
        <f t="shared" si="835"/>
        <v>0</v>
      </c>
      <c r="AH609" s="604">
        <f t="shared" si="835"/>
        <v>0</v>
      </c>
      <c r="AI609" s="604">
        <f t="shared" ref="AI609:AX609" si="836">ROUND(AI573-AI607,6)</f>
        <v>0</v>
      </c>
      <c r="AJ609" s="604">
        <f t="shared" si="836"/>
        <v>0</v>
      </c>
      <c r="AK609" s="604">
        <f t="shared" si="836"/>
        <v>0</v>
      </c>
      <c r="AL609" s="604">
        <f t="shared" si="836"/>
        <v>0</v>
      </c>
      <c r="AM609" s="604">
        <f t="shared" si="836"/>
        <v>0</v>
      </c>
      <c r="AN609" s="604">
        <f t="shared" si="836"/>
        <v>0</v>
      </c>
      <c r="AO609" s="604">
        <f t="shared" si="836"/>
        <v>0</v>
      </c>
      <c r="AP609" s="604">
        <f t="shared" si="836"/>
        <v>0</v>
      </c>
      <c r="AQ609" s="604">
        <f t="shared" si="836"/>
        <v>0</v>
      </c>
      <c r="AR609" s="604">
        <f t="shared" si="836"/>
        <v>0</v>
      </c>
      <c r="AS609" s="604">
        <f t="shared" si="836"/>
        <v>0</v>
      </c>
      <c r="AT609" s="604">
        <f t="shared" si="836"/>
        <v>0</v>
      </c>
      <c r="AU609" s="605">
        <f t="shared" si="836"/>
        <v>0</v>
      </c>
      <c r="AV609" s="604">
        <f t="shared" ca="1" si="836"/>
        <v>0</v>
      </c>
      <c r="AW609" s="604">
        <f t="shared" ca="1" si="836"/>
        <v>0</v>
      </c>
      <c r="AX609" s="604">
        <f t="shared" ca="1" si="836"/>
        <v>0</v>
      </c>
      <c r="AY609" s="604"/>
      <c r="AZ609" s="604">
        <f t="shared" ref="AZ609:BS609" si="837">ROUND(AZ573-AZ607,6)</f>
        <v>0</v>
      </c>
      <c r="BA609" s="604">
        <f t="shared" si="837"/>
        <v>0</v>
      </c>
      <c r="BB609" s="604">
        <f t="shared" si="837"/>
        <v>0</v>
      </c>
      <c r="BC609" s="604">
        <f t="shared" si="837"/>
        <v>0</v>
      </c>
      <c r="BD609" s="604">
        <f t="shared" si="837"/>
        <v>0</v>
      </c>
      <c r="BE609" s="604">
        <f t="shared" si="837"/>
        <v>0</v>
      </c>
      <c r="BF609" s="604">
        <f t="shared" si="837"/>
        <v>0</v>
      </c>
      <c r="BG609" s="604">
        <f t="shared" si="837"/>
        <v>0</v>
      </c>
      <c r="BH609" s="604">
        <f t="shared" si="837"/>
        <v>0</v>
      </c>
      <c r="BI609" s="604">
        <f t="shared" si="837"/>
        <v>0</v>
      </c>
      <c r="BJ609" s="604">
        <f t="shared" si="837"/>
        <v>0</v>
      </c>
      <c r="BK609" s="604">
        <f t="shared" si="837"/>
        <v>0</v>
      </c>
      <c r="BL609" s="604">
        <f t="shared" si="837"/>
        <v>0</v>
      </c>
      <c r="BM609" s="604">
        <f t="shared" si="837"/>
        <v>0</v>
      </c>
      <c r="BN609" s="605">
        <f t="shared" si="837"/>
        <v>0</v>
      </c>
      <c r="BO609" s="604">
        <f t="shared" ca="1" si="837"/>
        <v>0</v>
      </c>
      <c r="BP609" s="604" t="e">
        <f t="shared" si="837"/>
        <v>#REF!</v>
      </c>
      <c r="BQ609" s="604" t="e">
        <f t="shared" si="837"/>
        <v>#REF!</v>
      </c>
      <c r="BR609" s="604" t="e">
        <f t="shared" ca="1" si="837"/>
        <v>#REF!</v>
      </c>
      <c r="BS609" s="604" t="e">
        <f t="shared" ca="1" si="837"/>
        <v>#REF!</v>
      </c>
      <c r="BT609" s="533"/>
    </row>
    <row r="610" spans="1:72" s="17" customFormat="1" x14ac:dyDescent="0.35">
      <c r="A610" s="532"/>
      <c r="B610" s="532"/>
      <c r="C610" s="532"/>
      <c r="D610" s="532"/>
      <c r="E610" s="532"/>
      <c r="F610" s="532"/>
      <c r="G610" s="532"/>
      <c r="H610" s="532"/>
      <c r="I610" s="532"/>
      <c r="J610" s="532"/>
      <c r="K610" s="532"/>
      <c r="L610" s="532"/>
      <c r="M610" s="532"/>
      <c r="N610" s="532"/>
      <c r="O610" s="532"/>
      <c r="P610" s="532"/>
      <c r="Q610" s="532"/>
      <c r="R610" s="532"/>
      <c r="S610" s="532"/>
      <c r="T610" s="532"/>
      <c r="U610" s="532"/>
      <c r="V610" s="532"/>
      <c r="W610" s="532"/>
      <c r="X610" s="532"/>
      <c r="Y610" s="532"/>
      <c r="Z610" s="532"/>
      <c r="AA610" s="532"/>
      <c r="AB610" s="532"/>
      <c r="AC610" s="532"/>
      <c r="AD610" s="532"/>
      <c r="AE610" s="532"/>
      <c r="AF610" s="532"/>
      <c r="AG610" s="532"/>
      <c r="AH610" s="532"/>
      <c r="AI610" s="532"/>
      <c r="AJ610" s="532"/>
      <c r="AK610" s="532"/>
      <c r="AL610" s="532"/>
      <c r="AM610" s="532"/>
      <c r="AN610" s="532"/>
      <c r="AO610" s="532"/>
      <c r="AP610" s="532"/>
      <c r="AQ610" s="532"/>
      <c r="AR610" s="532"/>
      <c r="AS610" s="532"/>
      <c r="AT610" s="532"/>
      <c r="AU610" s="534"/>
      <c r="AV610" s="532"/>
      <c r="AW610" s="532"/>
      <c r="AX610" s="532"/>
      <c r="AY610" s="532"/>
      <c r="AZ610" s="532"/>
      <c r="BA610" s="532"/>
      <c r="BB610" s="532"/>
      <c r="BC610" s="532"/>
      <c r="BD610" s="532"/>
      <c r="BE610" s="532"/>
      <c r="BF610" s="532"/>
      <c r="BG610" s="532"/>
      <c r="BH610" s="532"/>
      <c r="BI610" s="532"/>
      <c r="BJ610" s="532"/>
      <c r="BK610" s="532"/>
      <c r="BL610" s="532"/>
      <c r="BM610" s="532"/>
      <c r="BN610" s="534"/>
      <c r="BO610" s="532"/>
      <c r="BP610" s="532"/>
      <c r="BQ610" s="532"/>
      <c r="BR610" s="532"/>
      <c r="BS610" s="532"/>
      <c r="BT610" s="533"/>
    </row>
    <row r="611" spans="1:72" s="1" customFormat="1" x14ac:dyDescent="0.35">
      <c r="A611" s="539" t="s">
        <v>228</v>
      </c>
      <c r="B611" s="539"/>
      <c r="C611" s="539"/>
      <c r="D611" s="539"/>
      <c r="E611" s="539"/>
      <c r="F611" s="539"/>
      <c r="G611" s="539"/>
      <c r="H611" s="539"/>
      <c r="I611" s="539"/>
      <c r="J611" s="539"/>
      <c r="K611" s="539"/>
      <c r="L611" s="539"/>
      <c r="M611" s="539"/>
      <c r="N611" s="539"/>
      <c r="O611" s="539"/>
      <c r="P611" s="539"/>
      <c r="Q611" s="539"/>
      <c r="R611" s="539"/>
      <c r="S611" s="539"/>
      <c r="T611" s="539"/>
      <c r="U611" s="539"/>
      <c r="V611" s="539"/>
      <c r="W611" s="539"/>
      <c r="X611" s="539"/>
      <c r="Y611" s="539"/>
      <c r="Z611" s="539"/>
      <c r="AA611" s="539"/>
      <c r="AB611" s="539"/>
      <c r="AC611" s="539"/>
      <c r="AD611" s="539"/>
      <c r="AE611" s="539"/>
      <c r="AF611" s="539"/>
      <c r="AG611" s="539"/>
      <c r="AH611" s="539"/>
      <c r="AI611" s="539"/>
      <c r="AJ611" s="539"/>
      <c r="AK611" s="539"/>
      <c r="AL611" s="539"/>
      <c r="AM611" s="539"/>
      <c r="AN611" s="539"/>
      <c r="AO611" s="539"/>
      <c r="AP611" s="539"/>
      <c r="AQ611" s="539"/>
      <c r="AR611" s="539"/>
      <c r="AS611" s="539"/>
      <c r="AT611" s="539"/>
      <c r="AU611" s="540"/>
      <c r="AV611" s="539"/>
      <c r="AW611" s="539"/>
      <c r="AX611" s="539"/>
      <c r="AY611" s="539"/>
      <c r="AZ611" s="539"/>
      <c r="BA611" s="539"/>
      <c r="BB611" s="539"/>
      <c r="BC611" s="539"/>
      <c r="BD611" s="539"/>
      <c r="BE611" s="539"/>
      <c r="BF611" s="539"/>
      <c r="BG611" s="539"/>
      <c r="BH611" s="539"/>
      <c r="BI611" s="539"/>
      <c r="BJ611" s="539"/>
      <c r="BK611" s="539"/>
      <c r="BL611" s="539"/>
      <c r="BM611" s="539"/>
      <c r="BN611" s="540"/>
      <c r="BO611" s="539"/>
      <c r="BP611" s="539"/>
      <c r="BQ611" s="539"/>
      <c r="BR611" s="539"/>
      <c r="BS611" s="539"/>
      <c r="BT611" s="530"/>
    </row>
    <row r="612" spans="1:72" s="17" customFormat="1" hidden="1" outlineLevel="1" x14ac:dyDescent="0.35">
      <c r="A612" s="533" t="s">
        <v>229</v>
      </c>
      <c r="B612" s="528"/>
      <c r="C612" s="604">
        <f t="shared" ref="C612:AH612" si="838">IF(ISBLANK(INDEX(MO_IS_FirstRow,0,COLUMN())),0,ROUND(C420-C215+C216,6))</f>
        <v>0</v>
      </c>
      <c r="D612" s="604">
        <f t="shared" si="838"/>
        <v>0</v>
      </c>
      <c r="E612" s="604">
        <f t="shared" si="838"/>
        <v>-1E-3</v>
      </c>
      <c r="F612" s="604">
        <f t="shared" si="838"/>
        <v>1E-3</v>
      </c>
      <c r="G612" s="604">
        <f t="shared" si="838"/>
        <v>0</v>
      </c>
      <c r="H612" s="604">
        <f t="shared" si="838"/>
        <v>1E-3</v>
      </c>
      <c r="I612" s="604">
        <f t="shared" si="838"/>
        <v>0</v>
      </c>
      <c r="J612" s="604">
        <f t="shared" si="838"/>
        <v>-1E-3</v>
      </c>
      <c r="K612" s="604">
        <f t="shared" si="838"/>
        <v>0</v>
      </c>
      <c r="L612" s="604">
        <f t="shared" si="838"/>
        <v>2E-3</v>
      </c>
      <c r="M612" s="604">
        <f t="shared" si="838"/>
        <v>-2E-3</v>
      </c>
      <c r="N612" s="604">
        <f t="shared" si="838"/>
        <v>0</v>
      </c>
      <c r="O612" s="604">
        <f t="shared" si="838"/>
        <v>0</v>
      </c>
      <c r="P612" s="604">
        <f t="shared" si="838"/>
        <v>0</v>
      </c>
      <c r="Q612" s="604">
        <f t="shared" si="838"/>
        <v>0</v>
      </c>
      <c r="R612" s="604">
        <f t="shared" si="838"/>
        <v>0</v>
      </c>
      <c r="S612" s="604">
        <f t="shared" si="838"/>
        <v>0</v>
      </c>
      <c r="T612" s="604">
        <f t="shared" si="838"/>
        <v>0</v>
      </c>
      <c r="U612" s="604">
        <f t="shared" si="838"/>
        <v>0</v>
      </c>
      <c r="V612" s="604">
        <f t="shared" si="838"/>
        <v>0</v>
      </c>
      <c r="W612" s="604">
        <f t="shared" si="838"/>
        <v>0</v>
      </c>
      <c r="X612" s="604">
        <f t="shared" si="838"/>
        <v>0</v>
      </c>
      <c r="Y612" s="604">
        <f t="shared" si="838"/>
        <v>0</v>
      </c>
      <c r="Z612" s="604">
        <f t="shared" si="838"/>
        <v>0</v>
      </c>
      <c r="AA612" s="604">
        <f t="shared" si="838"/>
        <v>0</v>
      </c>
      <c r="AB612" s="604">
        <f t="shared" si="838"/>
        <v>0</v>
      </c>
      <c r="AC612" s="604">
        <f t="shared" si="838"/>
        <v>0</v>
      </c>
      <c r="AD612" s="604">
        <f t="shared" si="838"/>
        <v>0</v>
      </c>
      <c r="AE612" s="604">
        <f t="shared" si="838"/>
        <v>0</v>
      </c>
      <c r="AF612" s="604">
        <f t="shared" si="838"/>
        <v>0</v>
      </c>
      <c r="AG612" s="604">
        <f t="shared" si="838"/>
        <v>0</v>
      </c>
      <c r="AH612" s="604">
        <f t="shared" si="838"/>
        <v>0</v>
      </c>
      <c r="AI612" s="604">
        <f t="shared" ref="AI612:AX612" si="839">IF(ISBLANK(INDEX(MO_IS_FirstRow,0,COLUMN())),0,ROUND(AI420-AI215+AI216,6))</f>
        <v>0</v>
      </c>
      <c r="AJ612" s="604">
        <f t="shared" si="839"/>
        <v>0</v>
      </c>
      <c r="AK612" s="604">
        <f t="shared" si="839"/>
        <v>0</v>
      </c>
      <c r="AL612" s="604">
        <f t="shared" si="839"/>
        <v>0</v>
      </c>
      <c r="AM612" s="604">
        <f t="shared" si="839"/>
        <v>0</v>
      </c>
      <c r="AN612" s="604">
        <f t="shared" si="839"/>
        <v>0</v>
      </c>
      <c r="AO612" s="604">
        <f t="shared" si="839"/>
        <v>0</v>
      </c>
      <c r="AP612" s="604">
        <f t="shared" si="839"/>
        <v>0</v>
      </c>
      <c r="AQ612" s="604">
        <f t="shared" si="839"/>
        <v>0</v>
      </c>
      <c r="AR612" s="604">
        <f t="shared" si="839"/>
        <v>0</v>
      </c>
      <c r="AS612" s="604">
        <f t="shared" si="839"/>
        <v>0</v>
      </c>
      <c r="AT612" s="604">
        <f t="shared" si="839"/>
        <v>0</v>
      </c>
      <c r="AU612" s="605">
        <f t="shared" si="839"/>
        <v>0</v>
      </c>
      <c r="AV612" s="604">
        <f t="shared" si="839"/>
        <v>0</v>
      </c>
      <c r="AW612" s="604">
        <f t="shared" si="839"/>
        <v>0</v>
      </c>
      <c r="AX612" s="604">
        <f t="shared" si="839"/>
        <v>0</v>
      </c>
      <c r="AY612" s="604"/>
      <c r="AZ612" s="604">
        <f t="shared" ref="AZ612:BS612" si="840">IF(ISBLANK(INDEX(MO_IS_FirstRow,0,COLUMN())),0,ROUND(AZ420-AZ215+AZ216,6))</f>
        <v>0</v>
      </c>
      <c r="BA612" s="604">
        <f t="shared" si="840"/>
        <v>0</v>
      </c>
      <c r="BB612" s="604">
        <f t="shared" si="840"/>
        <v>0</v>
      </c>
      <c r="BC612" s="604">
        <f t="shared" si="840"/>
        <v>0</v>
      </c>
      <c r="BD612" s="604">
        <f t="shared" si="840"/>
        <v>0</v>
      </c>
      <c r="BE612" s="604">
        <f t="shared" si="840"/>
        <v>0</v>
      </c>
      <c r="BF612" s="604">
        <f t="shared" si="840"/>
        <v>0</v>
      </c>
      <c r="BG612" s="604">
        <f t="shared" si="840"/>
        <v>0</v>
      </c>
      <c r="BH612" s="604">
        <f t="shared" si="840"/>
        <v>0</v>
      </c>
      <c r="BI612" s="604">
        <f t="shared" si="840"/>
        <v>0</v>
      </c>
      <c r="BJ612" s="604">
        <f t="shared" si="840"/>
        <v>0</v>
      </c>
      <c r="BK612" s="604">
        <f t="shared" si="840"/>
        <v>0</v>
      </c>
      <c r="BL612" s="604">
        <f t="shared" si="840"/>
        <v>0</v>
      </c>
      <c r="BM612" s="604">
        <f t="shared" si="840"/>
        <v>0</v>
      </c>
      <c r="BN612" s="605">
        <f t="shared" si="840"/>
        <v>0</v>
      </c>
      <c r="BO612" s="604">
        <f t="shared" si="840"/>
        <v>0</v>
      </c>
      <c r="BP612" s="604">
        <f t="shared" si="840"/>
        <v>0</v>
      </c>
      <c r="BQ612" s="604">
        <f t="shared" si="840"/>
        <v>0</v>
      </c>
      <c r="BR612" s="604">
        <f t="shared" si="840"/>
        <v>0</v>
      </c>
      <c r="BS612" s="604">
        <f t="shared" si="840"/>
        <v>0</v>
      </c>
      <c r="BT612" s="533"/>
    </row>
    <row r="613" spans="1:72" s="17" customFormat="1" hidden="1" outlineLevel="1" x14ac:dyDescent="0.35">
      <c r="A613" s="533" t="s">
        <v>230</v>
      </c>
      <c r="B613" s="528"/>
      <c r="C613" s="604">
        <f t="shared" ref="C613:AH613" si="841">IF(ISBLANK(INDEX(MO_IS_FirstRow,0,COLUMN())),0,ROUND(C158-C215+C216,6))</f>
        <v>0</v>
      </c>
      <c r="D613" s="604">
        <f t="shared" si="841"/>
        <v>0</v>
      </c>
      <c r="E613" s="604">
        <f t="shared" si="841"/>
        <v>0</v>
      </c>
      <c r="F613" s="604">
        <f t="shared" si="841"/>
        <v>0</v>
      </c>
      <c r="G613" s="604">
        <f t="shared" si="841"/>
        <v>0</v>
      </c>
      <c r="H613" s="604">
        <f t="shared" si="841"/>
        <v>0</v>
      </c>
      <c r="I613" s="604">
        <f t="shared" si="841"/>
        <v>0</v>
      </c>
      <c r="J613" s="604">
        <f t="shared" si="841"/>
        <v>0</v>
      </c>
      <c r="K613" s="604">
        <f t="shared" si="841"/>
        <v>0</v>
      </c>
      <c r="L613" s="604">
        <f t="shared" si="841"/>
        <v>0</v>
      </c>
      <c r="M613" s="604">
        <f t="shared" si="841"/>
        <v>0</v>
      </c>
      <c r="N613" s="604">
        <f t="shared" si="841"/>
        <v>0</v>
      </c>
      <c r="O613" s="604">
        <f t="shared" si="841"/>
        <v>0</v>
      </c>
      <c r="P613" s="604">
        <f t="shared" si="841"/>
        <v>0</v>
      </c>
      <c r="Q613" s="604">
        <f t="shared" si="841"/>
        <v>0</v>
      </c>
      <c r="R613" s="604">
        <f t="shared" si="841"/>
        <v>0</v>
      </c>
      <c r="S613" s="604">
        <f t="shared" si="841"/>
        <v>0</v>
      </c>
      <c r="T613" s="604">
        <f t="shared" si="841"/>
        <v>0</v>
      </c>
      <c r="U613" s="604">
        <f t="shared" si="841"/>
        <v>0</v>
      </c>
      <c r="V613" s="604">
        <f t="shared" si="841"/>
        <v>0</v>
      </c>
      <c r="W613" s="604">
        <f t="shared" si="841"/>
        <v>0</v>
      </c>
      <c r="X613" s="604">
        <f t="shared" si="841"/>
        <v>0</v>
      </c>
      <c r="Y613" s="604">
        <f t="shared" si="841"/>
        <v>0</v>
      </c>
      <c r="Z613" s="604">
        <f t="shared" si="841"/>
        <v>0</v>
      </c>
      <c r="AA613" s="604">
        <f t="shared" si="841"/>
        <v>0</v>
      </c>
      <c r="AB613" s="604">
        <f t="shared" si="841"/>
        <v>0</v>
      </c>
      <c r="AC613" s="604">
        <f t="shared" si="841"/>
        <v>0</v>
      </c>
      <c r="AD613" s="604">
        <f t="shared" si="841"/>
        <v>0</v>
      </c>
      <c r="AE613" s="604">
        <f t="shared" si="841"/>
        <v>0</v>
      </c>
      <c r="AF613" s="604">
        <f t="shared" si="841"/>
        <v>0</v>
      </c>
      <c r="AG613" s="604">
        <f t="shared" si="841"/>
        <v>0</v>
      </c>
      <c r="AH613" s="604">
        <f t="shared" si="841"/>
        <v>0</v>
      </c>
      <c r="AI613" s="604">
        <f t="shared" ref="AI613:AX613" si="842">IF(ISBLANK(INDEX(MO_IS_FirstRow,0,COLUMN())),0,ROUND(AI158-AI215+AI216,6))</f>
        <v>0</v>
      </c>
      <c r="AJ613" s="604">
        <f t="shared" si="842"/>
        <v>0</v>
      </c>
      <c r="AK613" s="604">
        <f t="shared" si="842"/>
        <v>0</v>
      </c>
      <c r="AL613" s="604">
        <f t="shared" si="842"/>
        <v>0</v>
      </c>
      <c r="AM613" s="604">
        <f t="shared" si="842"/>
        <v>0</v>
      </c>
      <c r="AN613" s="604">
        <f t="shared" si="842"/>
        <v>0</v>
      </c>
      <c r="AO613" s="604">
        <f t="shared" si="842"/>
        <v>0</v>
      </c>
      <c r="AP613" s="604">
        <f t="shared" si="842"/>
        <v>0</v>
      </c>
      <c r="AQ613" s="604">
        <f t="shared" si="842"/>
        <v>0</v>
      </c>
      <c r="AR613" s="604">
        <f t="shared" si="842"/>
        <v>0</v>
      </c>
      <c r="AS613" s="604">
        <f t="shared" si="842"/>
        <v>0</v>
      </c>
      <c r="AT613" s="604">
        <f t="shared" si="842"/>
        <v>0</v>
      </c>
      <c r="AU613" s="605">
        <f t="shared" si="842"/>
        <v>0</v>
      </c>
      <c r="AV613" s="604">
        <f t="shared" si="842"/>
        <v>0</v>
      </c>
      <c r="AW613" s="604">
        <f t="shared" si="842"/>
        <v>0</v>
      </c>
      <c r="AX613" s="604">
        <f t="shared" si="842"/>
        <v>0</v>
      </c>
      <c r="AY613" s="604"/>
      <c r="AZ613" s="604">
        <f t="shared" ref="AZ613:BS613" si="843">IF(ISBLANK(INDEX(MO_IS_FirstRow,0,COLUMN())),0,ROUND(AZ158-AZ215+AZ216,6))</f>
        <v>0</v>
      </c>
      <c r="BA613" s="604">
        <f t="shared" si="843"/>
        <v>0</v>
      </c>
      <c r="BB613" s="604">
        <f t="shared" si="843"/>
        <v>0</v>
      </c>
      <c r="BC613" s="604">
        <f t="shared" si="843"/>
        <v>0</v>
      </c>
      <c r="BD613" s="604">
        <f t="shared" si="843"/>
        <v>0</v>
      </c>
      <c r="BE613" s="604">
        <f t="shared" si="843"/>
        <v>0</v>
      </c>
      <c r="BF613" s="604">
        <f t="shared" si="843"/>
        <v>0</v>
      </c>
      <c r="BG613" s="604">
        <f t="shared" si="843"/>
        <v>0</v>
      </c>
      <c r="BH613" s="604">
        <f t="shared" si="843"/>
        <v>0</v>
      </c>
      <c r="BI613" s="604">
        <f t="shared" si="843"/>
        <v>0</v>
      </c>
      <c r="BJ613" s="604">
        <f t="shared" si="843"/>
        <v>0</v>
      </c>
      <c r="BK613" s="604">
        <f t="shared" si="843"/>
        <v>0</v>
      </c>
      <c r="BL613" s="604">
        <f t="shared" si="843"/>
        <v>0</v>
      </c>
      <c r="BM613" s="604">
        <f t="shared" si="843"/>
        <v>0</v>
      </c>
      <c r="BN613" s="605">
        <f t="shared" si="843"/>
        <v>0</v>
      </c>
      <c r="BO613" s="604">
        <f t="shared" si="843"/>
        <v>0</v>
      </c>
      <c r="BP613" s="604">
        <f t="shared" si="843"/>
        <v>0</v>
      </c>
      <c r="BQ613" s="604">
        <f t="shared" si="843"/>
        <v>0</v>
      </c>
      <c r="BR613" s="604">
        <f t="shared" si="843"/>
        <v>0</v>
      </c>
      <c r="BS613" s="604">
        <f t="shared" si="843"/>
        <v>0</v>
      </c>
      <c r="BT613" s="533"/>
    </row>
    <row r="614" spans="1:72" s="17" customFormat="1" hidden="1" outlineLevel="1" x14ac:dyDescent="0.35">
      <c r="A614" s="533" t="s">
        <v>421</v>
      </c>
      <c r="B614" s="528"/>
      <c r="C614" s="604">
        <f t="shared" ref="C614:AH614" si="844">IF(C284&lt;0,C284,0)</f>
        <v>0</v>
      </c>
      <c r="D614" s="604">
        <f t="shared" si="844"/>
        <v>0</v>
      </c>
      <c r="E614" s="604">
        <f t="shared" si="844"/>
        <v>0</v>
      </c>
      <c r="F614" s="604">
        <f t="shared" si="844"/>
        <v>0</v>
      </c>
      <c r="G614" s="604">
        <f t="shared" si="844"/>
        <v>0</v>
      </c>
      <c r="H614" s="604">
        <f t="shared" si="844"/>
        <v>0</v>
      </c>
      <c r="I614" s="604">
        <f t="shared" si="844"/>
        <v>0</v>
      </c>
      <c r="J614" s="604">
        <f t="shared" si="844"/>
        <v>0</v>
      </c>
      <c r="K614" s="604">
        <f t="shared" si="844"/>
        <v>0</v>
      </c>
      <c r="L614" s="604">
        <f t="shared" si="844"/>
        <v>0</v>
      </c>
      <c r="M614" s="604">
        <f t="shared" si="844"/>
        <v>0</v>
      </c>
      <c r="N614" s="604">
        <f t="shared" si="844"/>
        <v>0</v>
      </c>
      <c r="O614" s="604">
        <f t="shared" si="844"/>
        <v>0</v>
      </c>
      <c r="P614" s="604">
        <f t="shared" si="844"/>
        <v>0</v>
      </c>
      <c r="Q614" s="604">
        <f t="shared" si="844"/>
        <v>0</v>
      </c>
      <c r="R614" s="604">
        <f t="shared" si="844"/>
        <v>0</v>
      </c>
      <c r="S614" s="604">
        <f t="shared" si="844"/>
        <v>0</v>
      </c>
      <c r="T614" s="604">
        <f t="shared" si="844"/>
        <v>0</v>
      </c>
      <c r="U614" s="604">
        <f t="shared" si="844"/>
        <v>0</v>
      </c>
      <c r="V614" s="604">
        <f t="shared" si="844"/>
        <v>0</v>
      </c>
      <c r="W614" s="604">
        <f t="shared" si="844"/>
        <v>0</v>
      </c>
      <c r="X614" s="604">
        <f t="shared" si="844"/>
        <v>0</v>
      </c>
      <c r="Y614" s="604">
        <f t="shared" si="844"/>
        <v>0</v>
      </c>
      <c r="Z614" s="604">
        <f t="shared" si="844"/>
        <v>0</v>
      </c>
      <c r="AA614" s="604">
        <f t="shared" si="844"/>
        <v>0</v>
      </c>
      <c r="AB614" s="604">
        <f t="shared" si="844"/>
        <v>0</v>
      </c>
      <c r="AC614" s="604">
        <f t="shared" si="844"/>
        <v>0</v>
      </c>
      <c r="AD614" s="604">
        <f t="shared" si="844"/>
        <v>0</v>
      </c>
      <c r="AE614" s="604">
        <f t="shared" si="844"/>
        <v>0</v>
      </c>
      <c r="AF614" s="604">
        <f t="shared" si="844"/>
        <v>0</v>
      </c>
      <c r="AG614" s="604">
        <f t="shared" si="844"/>
        <v>0</v>
      </c>
      <c r="AH614" s="604">
        <f t="shared" si="844"/>
        <v>0</v>
      </c>
      <c r="AI614" s="604">
        <f t="shared" ref="AI614:AX614" si="845">IF(AI284&lt;0,AI284,0)</f>
        <v>0</v>
      </c>
      <c r="AJ614" s="604">
        <f t="shared" si="845"/>
        <v>0</v>
      </c>
      <c r="AK614" s="604">
        <f t="shared" si="845"/>
        <v>0</v>
      </c>
      <c r="AL614" s="604">
        <f t="shared" si="845"/>
        <v>0</v>
      </c>
      <c r="AM614" s="604">
        <f t="shared" si="845"/>
        <v>0</v>
      </c>
      <c r="AN614" s="604">
        <f t="shared" si="845"/>
        <v>0</v>
      </c>
      <c r="AO614" s="604">
        <f t="shared" si="845"/>
        <v>0</v>
      </c>
      <c r="AP614" s="604">
        <f t="shared" si="845"/>
        <v>0</v>
      </c>
      <c r="AQ614" s="604">
        <f t="shared" si="845"/>
        <v>0</v>
      </c>
      <c r="AR614" s="604">
        <f t="shared" si="845"/>
        <v>0</v>
      </c>
      <c r="AS614" s="604">
        <f t="shared" si="845"/>
        <v>0</v>
      </c>
      <c r="AT614" s="604">
        <f t="shared" si="845"/>
        <v>0</v>
      </c>
      <c r="AU614" s="605">
        <f t="shared" si="845"/>
        <v>0</v>
      </c>
      <c r="AV614" s="604">
        <f t="shared" ca="1" si="845"/>
        <v>0</v>
      </c>
      <c r="AW614" s="604">
        <f t="shared" ca="1" si="845"/>
        <v>0</v>
      </c>
      <c r="AX614" s="604">
        <f t="shared" ca="1" si="845"/>
        <v>0</v>
      </c>
      <c r="AY614" s="604"/>
      <c r="AZ614" s="604">
        <f t="shared" ref="AZ614:BS614" si="846">IF(AZ284&lt;0,AZ284,0)</f>
        <v>0</v>
      </c>
      <c r="BA614" s="604">
        <f t="shared" si="846"/>
        <v>0</v>
      </c>
      <c r="BB614" s="604">
        <f t="shared" si="846"/>
        <v>0</v>
      </c>
      <c r="BC614" s="604">
        <f t="shared" si="846"/>
        <v>0</v>
      </c>
      <c r="BD614" s="604">
        <f t="shared" si="846"/>
        <v>0</v>
      </c>
      <c r="BE614" s="604">
        <f t="shared" si="846"/>
        <v>0</v>
      </c>
      <c r="BF614" s="604">
        <f t="shared" si="846"/>
        <v>0</v>
      </c>
      <c r="BG614" s="604">
        <f t="shared" si="846"/>
        <v>0</v>
      </c>
      <c r="BH614" s="604">
        <f t="shared" si="846"/>
        <v>0</v>
      </c>
      <c r="BI614" s="604">
        <f t="shared" si="846"/>
        <v>0</v>
      </c>
      <c r="BJ614" s="604">
        <f t="shared" si="846"/>
        <v>0</v>
      </c>
      <c r="BK614" s="604">
        <f t="shared" si="846"/>
        <v>0</v>
      </c>
      <c r="BL614" s="604">
        <f t="shared" si="846"/>
        <v>0</v>
      </c>
      <c r="BM614" s="604">
        <f t="shared" si="846"/>
        <v>0</v>
      </c>
      <c r="BN614" s="605">
        <f t="shared" si="846"/>
        <v>0</v>
      </c>
      <c r="BO614" s="604">
        <f t="shared" ca="1" si="846"/>
        <v>0</v>
      </c>
      <c r="BP614" s="604" t="e">
        <f t="shared" si="846"/>
        <v>#REF!</v>
      </c>
      <c r="BQ614" s="604" t="e">
        <f t="shared" si="846"/>
        <v>#REF!</v>
      </c>
      <c r="BR614" s="604" t="e">
        <f t="shared" ca="1" si="846"/>
        <v>#REF!</v>
      </c>
      <c r="BS614" s="604" t="e">
        <f t="shared" ca="1" si="846"/>
        <v>#REF!</v>
      </c>
      <c r="BT614" s="533"/>
    </row>
    <row r="615" spans="1:72" s="17" customFormat="1" hidden="1" outlineLevel="1" x14ac:dyDescent="0.35">
      <c r="A615" s="533" t="s">
        <v>422</v>
      </c>
      <c r="B615" s="528"/>
      <c r="C615" s="604">
        <f t="shared" ref="C615:AH615" si="847">IF(C287&lt;0,C287,0)</f>
        <v>0</v>
      </c>
      <c r="D615" s="604">
        <f t="shared" si="847"/>
        <v>0</v>
      </c>
      <c r="E615" s="604">
        <f t="shared" si="847"/>
        <v>0</v>
      </c>
      <c r="F615" s="604">
        <f t="shared" si="847"/>
        <v>0</v>
      </c>
      <c r="G615" s="604">
        <f t="shared" si="847"/>
        <v>0</v>
      </c>
      <c r="H615" s="604">
        <f t="shared" si="847"/>
        <v>0</v>
      </c>
      <c r="I615" s="604">
        <f t="shared" si="847"/>
        <v>0</v>
      </c>
      <c r="J615" s="604">
        <f t="shared" si="847"/>
        <v>0</v>
      </c>
      <c r="K615" s="604">
        <f t="shared" si="847"/>
        <v>0</v>
      </c>
      <c r="L615" s="604">
        <f t="shared" si="847"/>
        <v>0</v>
      </c>
      <c r="M615" s="604">
        <f t="shared" si="847"/>
        <v>0</v>
      </c>
      <c r="N615" s="604">
        <f t="shared" si="847"/>
        <v>0</v>
      </c>
      <c r="O615" s="604">
        <f t="shared" si="847"/>
        <v>0</v>
      </c>
      <c r="P615" s="604">
        <f t="shared" si="847"/>
        <v>0</v>
      </c>
      <c r="Q615" s="604">
        <f t="shared" si="847"/>
        <v>0</v>
      </c>
      <c r="R615" s="604">
        <f t="shared" si="847"/>
        <v>0</v>
      </c>
      <c r="S615" s="604">
        <f t="shared" si="847"/>
        <v>0</v>
      </c>
      <c r="T615" s="604">
        <f t="shared" si="847"/>
        <v>0</v>
      </c>
      <c r="U615" s="604">
        <f t="shared" si="847"/>
        <v>0</v>
      </c>
      <c r="V615" s="604">
        <f t="shared" si="847"/>
        <v>0</v>
      </c>
      <c r="W615" s="604">
        <f t="shared" si="847"/>
        <v>0</v>
      </c>
      <c r="X615" s="604">
        <f t="shared" si="847"/>
        <v>0</v>
      </c>
      <c r="Y615" s="604">
        <f t="shared" si="847"/>
        <v>0</v>
      </c>
      <c r="Z615" s="604">
        <f t="shared" si="847"/>
        <v>0</v>
      </c>
      <c r="AA615" s="604">
        <f t="shared" si="847"/>
        <v>0</v>
      </c>
      <c r="AB615" s="604">
        <f t="shared" si="847"/>
        <v>0</v>
      </c>
      <c r="AC615" s="604">
        <f t="shared" si="847"/>
        <v>0</v>
      </c>
      <c r="AD615" s="604">
        <f t="shared" si="847"/>
        <v>0</v>
      </c>
      <c r="AE615" s="604">
        <f t="shared" si="847"/>
        <v>0</v>
      </c>
      <c r="AF615" s="604">
        <f t="shared" si="847"/>
        <v>0</v>
      </c>
      <c r="AG615" s="604">
        <f t="shared" si="847"/>
        <v>0</v>
      </c>
      <c r="AH615" s="604">
        <f t="shared" si="847"/>
        <v>0</v>
      </c>
      <c r="AI615" s="604">
        <f t="shared" ref="AI615:AX615" si="848">IF(AI287&lt;0,AI287,0)</f>
        <v>0</v>
      </c>
      <c r="AJ615" s="604">
        <f t="shared" si="848"/>
        <v>0</v>
      </c>
      <c r="AK615" s="604">
        <f t="shared" si="848"/>
        <v>0</v>
      </c>
      <c r="AL615" s="604">
        <f t="shared" si="848"/>
        <v>0</v>
      </c>
      <c r="AM615" s="604">
        <f t="shared" si="848"/>
        <v>0</v>
      </c>
      <c r="AN615" s="604">
        <f t="shared" si="848"/>
        <v>0</v>
      </c>
      <c r="AO615" s="604">
        <f t="shared" si="848"/>
        <v>0</v>
      </c>
      <c r="AP615" s="604">
        <f t="shared" si="848"/>
        <v>0</v>
      </c>
      <c r="AQ615" s="604">
        <f t="shared" si="848"/>
        <v>0</v>
      </c>
      <c r="AR615" s="604">
        <f t="shared" si="848"/>
        <v>0</v>
      </c>
      <c r="AS615" s="604">
        <f t="shared" si="848"/>
        <v>0</v>
      </c>
      <c r="AT615" s="604">
        <f t="shared" si="848"/>
        <v>0</v>
      </c>
      <c r="AU615" s="605">
        <f t="shared" si="848"/>
        <v>0</v>
      </c>
      <c r="AV615" s="604">
        <f t="shared" si="848"/>
        <v>0</v>
      </c>
      <c r="AW615" s="604">
        <f t="shared" si="848"/>
        <v>0</v>
      </c>
      <c r="AX615" s="604">
        <f t="shared" si="848"/>
        <v>0</v>
      </c>
      <c r="AY615" s="604"/>
      <c r="AZ615" s="604">
        <f t="shared" ref="AZ615:BS615" si="849">IF(AZ287&lt;0,AZ287,0)</f>
        <v>0</v>
      </c>
      <c r="BA615" s="604">
        <f t="shared" si="849"/>
        <v>0</v>
      </c>
      <c r="BB615" s="604">
        <f t="shared" si="849"/>
        <v>0</v>
      </c>
      <c r="BC615" s="604">
        <f t="shared" si="849"/>
        <v>0</v>
      </c>
      <c r="BD615" s="604">
        <f t="shared" si="849"/>
        <v>0</v>
      </c>
      <c r="BE615" s="604">
        <f t="shared" si="849"/>
        <v>0</v>
      </c>
      <c r="BF615" s="604">
        <f t="shared" si="849"/>
        <v>0</v>
      </c>
      <c r="BG615" s="604">
        <f t="shared" si="849"/>
        <v>0</v>
      </c>
      <c r="BH615" s="604">
        <f t="shared" si="849"/>
        <v>0</v>
      </c>
      <c r="BI615" s="604">
        <f t="shared" si="849"/>
        <v>0</v>
      </c>
      <c r="BJ615" s="604">
        <f t="shared" si="849"/>
        <v>0</v>
      </c>
      <c r="BK615" s="604">
        <f t="shared" si="849"/>
        <v>0</v>
      </c>
      <c r="BL615" s="604">
        <f t="shared" si="849"/>
        <v>0</v>
      </c>
      <c r="BM615" s="604">
        <f t="shared" si="849"/>
        <v>0</v>
      </c>
      <c r="BN615" s="605">
        <f t="shared" si="849"/>
        <v>0</v>
      </c>
      <c r="BO615" s="604">
        <f t="shared" si="849"/>
        <v>0</v>
      </c>
      <c r="BP615" s="604" t="e">
        <f t="shared" si="849"/>
        <v>#REF!</v>
      </c>
      <c r="BQ615" s="604" t="e">
        <f t="shared" si="849"/>
        <v>#REF!</v>
      </c>
      <c r="BR615" s="604" t="e">
        <f t="shared" si="849"/>
        <v>#REF!</v>
      </c>
      <c r="BS615" s="604" t="e">
        <f t="shared" si="849"/>
        <v>#REF!</v>
      </c>
      <c r="BT615" s="533"/>
    </row>
    <row r="616" spans="1:72" s="17" customFormat="1" hidden="1" outlineLevel="1" x14ac:dyDescent="0.35">
      <c r="A616" s="533" t="s">
        <v>231</v>
      </c>
      <c r="B616" s="528"/>
      <c r="C616" s="604">
        <f t="shared" ref="C616:AH616" si="850">IF(AND(ISBLANK(C109),ISBLANK(C110),ISBLANK(C111),ISBLANK(C113)),0,ROUND(C190-C109-C110-C111-C113,6))</f>
        <v>0</v>
      </c>
      <c r="D616" s="604">
        <f t="shared" si="850"/>
        <v>0</v>
      </c>
      <c r="E616" s="604">
        <f t="shared" si="850"/>
        <v>0</v>
      </c>
      <c r="F616" s="604">
        <f t="shared" si="850"/>
        <v>0</v>
      </c>
      <c r="G616" s="604">
        <f t="shared" si="850"/>
        <v>0</v>
      </c>
      <c r="H616" s="604">
        <f t="shared" si="850"/>
        <v>0</v>
      </c>
      <c r="I616" s="604">
        <f t="shared" si="850"/>
        <v>0</v>
      </c>
      <c r="J616" s="604">
        <f t="shared" si="850"/>
        <v>0</v>
      </c>
      <c r="K616" s="604">
        <f t="shared" si="850"/>
        <v>0</v>
      </c>
      <c r="L616" s="604">
        <f t="shared" si="850"/>
        <v>0</v>
      </c>
      <c r="M616" s="604">
        <f t="shared" si="850"/>
        <v>0</v>
      </c>
      <c r="N616" s="604">
        <f t="shared" si="850"/>
        <v>0</v>
      </c>
      <c r="O616" s="604">
        <f t="shared" si="850"/>
        <v>0</v>
      </c>
      <c r="P616" s="604">
        <f t="shared" si="850"/>
        <v>0</v>
      </c>
      <c r="Q616" s="604">
        <f t="shared" si="850"/>
        <v>0</v>
      </c>
      <c r="R616" s="604">
        <f t="shared" si="850"/>
        <v>0</v>
      </c>
      <c r="S616" s="604">
        <f t="shared" si="850"/>
        <v>0</v>
      </c>
      <c r="T616" s="604">
        <f t="shared" si="850"/>
        <v>0</v>
      </c>
      <c r="U616" s="604">
        <f t="shared" si="850"/>
        <v>0</v>
      </c>
      <c r="V616" s="604">
        <f t="shared" si="850"/>
        <v>0</v>
      </c>
      <c r="W616" s="604">
        <f t="shared" si="850"/>
        <v>0</v>
      </c>
      <c r="X616" s="604">
        <f t="shared" si="850"/>
        <v>0</v>
      </c>
      <c r="Y616" s="604">
        <f t="shared" si="850"/>
        <v>0</v>
      </c>
      <c r="Z616" s="604">
        <f t="shared" si="850"/>
        <v>0</v>
      </c>
      <c r="AA616" s="604">
        <f t="shared" si="850"/>
        <v>0</v>
      </c>
      <c r="AB616" s="604">
        <f t="shared" si="850"/>
        <v>0</v>
      </c>
      <c r="AC616" s="604">
        <f t="shared" si="850"/>
        <v>0</v>
      </c>
      <c r="AD616" s="604">
        <f t="shared" si="850"/>
        <v>0</v>
      </c>
      <c r="AE616" s="604">
        <f t="shared" si="850"/>
        <v>0</v>
      </c>
      <c r="AF616" s="604">
        <f t="shared" si="850"/>
        <v>0</v>
      </c>
      <c r="AG616" s="604">
        <f t="shared" si="850"/>
        <v>0</v>
      </c>
      <c r="AH616" s="604">
        <f t="shared" si="850"/>
        <v>0</v>
      </c>
      <c r="AI616" s="604">
        <f t="shared" ref="AI616:AX616" si="851">IF(AND(ISBLANK(AI109),ISBLANK(AI110),ISBLANK(AI111),ISBLANK(AI113)),0,ROUND(AI190-AI109-AI110-AI111-AI113,6))</f>
        <v>0</v>
      </c>
      <c r="AJ616" s="604">
        <f t="shared" si="851"/>
        <v>0</v>
      </c>
      <c r="AK616" s="604">
        <f t="shared" si="851"/>
        <v>0</v>
      </c>
      <c r="AL616" s="604">
        <f t="shared" si="851"/>
        <v>0</v>
      </c>
      <c r="AM616" s="604">
        <f t="shared" si="851"/>
        <v>0</v>
      </c>
      <c r="AN616" s="604">
        <f t="shared" si="851"/>
        <v>0</v>
      </c>
      <c r="AO616" s="604">
        <f t="shared" si="851"/>
        <v>0</v>
      </c>
      <c r="AP616" s="604">
        <f t="shared" si="851"/>
        <v>0</v>
      </c>
      <c r="AQ616" s="604">
        <f t="shared" si="851"/>
        <v>0</v>
      </c>
      <c r="AR616" s="604">
        <f t="shared" si="851"/>
        <v>0</v>
      </c>
      <c r="AS616" s="604">
        <f t="shared" si="851"/>
        <v>0</v>
      </c>
      <c r="AT616" s="604">
        <f t="shared" si="851"/>
        <v>0</v>
      </c>
      <c r="AU616" s="605">
        <f t="shared" si="851"/>
        <v>0</v>
      </c>
      <c r="AV616" s="604">
        <f t="shared" si="851"/>
        <v>0</v>
      </c>
      <c r="AW616" s="604">
        <f t="shared" si="851"/>
        <v>0</v>
      </c>
      <c r="AX616" s="604">
        <f t="shared" si="851"/>
        <v>0</v>
      </c>
      <c r="AY616" s="604"/>
      <c r="AZ616" s="604">
        <f t="shared" ref="AZ616:BS616" si="852">IF(AND(ISBLANK(AZ109),ISBLANK(AZ110),ISBLANK(AZ111),ISBLANK(AZ113)),0,ROUND(AZ190-AZ109-AZ110-AZ111-AZ113,6))</f>
        <v>0</v>
      </c>
      <c r="BA616" s="604">
        <f t="shared" si="852"/>
        <v>0</v>
      </c>
      <c r="BB616" s="604">
        <f t="shared" si="852"/>
        <v>0</v>
      </c>
      <c r="BC616" s="604">
        <f t="shared" si="852"/>
        <v>0</v>
      </c>
      <c r="BD616" s="604">
        <f t="shared" si="852"/>
        <v>0</v>
      </c>
      <c r="BE616" s="604">
        <f t="shared" si="852"/>
        <v>0</v>
      </c>
      <c r="BF616" s="604">
        <f t="shared" si="852"/>
        <v>0</v>
      </c>
      <c r="BG616" s="604">
        <f t="shared" si="852"/>
        <v>0</v>
      </c>
      <c r="BH616" s="604">
        <f t="shared" si="852"/>
        <v>0</v>
      </c>
      <c r="BI616" s="604">
        <f t="shared" si="852"/>
        <v>0</v>
      </c>
      <c r="BJ616" s="604">
        <f t="shared" si="852"/>
        <v>0</v>
      </c>
      <c r="BK616" s="604">
        <f t="shared" si="852"/>
        <v>0</v>
      </c>
      <c r="BL616" s="604">
        <f t="shared" si="852"/>
        <v>0</v>
      </c>
      <c r="BM616" s="604">
        <f t="shared" si="852"/>
        <v>0</v>
      </c>
      <c r="BN616" s="605">
        <f t="shared" si="852"/>
        <v>0</v>
      </c>
      <c r="BO616" s="604">
        <f t="shared" si="852"/>
        <v>0</v>
      </c>
      <c r="BP616" s="604">
        <f t="shared" si="852"/>
        <v>0</v>
      </c>
      <c r="BQ616" s="604">
        <f t="shared" si="852"/>
        <v>0</v>
      </c>
      <c r="BR616" s="604">
        <f t="shared" si="852"/>
        <v>0</v>
      </c>
      <c r="BS616" s="604">
        <f t="shared" si="852"/>
        <v>0</v>
      </c>
      <c r="BT616" s="533"/>
    </row>
    <row r="617" spans="1:72" s="17" customFormat="1" hidden="1" outlineLevel="1" x14ac:dyDescent="0.35">
      <c r="A617" s="533" t="s">
        <v>232</v>
      </c>
      <c r="B617" s="528"/>
      <c r="C617" s="604">
        <f>IF(ISBLANK(INDEX(MO_IS_FirstRow,0,COLUMN())),0,IF(OR(C502=B502,C502=D502,C502=BB502),"CHECK",0))</f>
        <v>0</v>
      </c>
      <c r="D617" s="604">
        <f>IF(ISBLANK(INDEX(MO_IS_FirstRow,0,COLUMN())),0,IF(OR(D502=AZ502,D502=E502,D502=C502),"CHECK",0))</f>
        <v>0</v>
      </c>
      <c r="E617" s="604">
        <f>IF(ISBLANK(INDEX(MO_IS_FirstRow,0,COLUMN())),0,IF(OR(E502=BA502,E502=F502,E502=D502),"CHECK",0))</f>
        <v>0</v>
      </c>
      <c r="F617" s="604">
        <f>IF(ISBLANK(INDEX(MO_IS_FirstRow,0,COLUMN())),0,IF(OR(F502=BB502,F502=BD502,F502=E502),"CHECK",0))</f>
        <v>0</v>
      </c>
      <c r="G617" s="604">
        <f>IF(ISBLANK(INDEX(MO_IS_FirstRow,0,COLUMN())),0,IF(OR(G502=C502,G502=H502,G502=F502),"CHECK",0))</f>
        <v>0</v>
      </c>
      <c r="H617" s="604">
        <f>IF(ISBLANK(INDEX(MO_IS_FirstRow,0,COLUMN())),0,IF(OR(H502=D502,H502=I502,H502=G502),"CHECK",0))</f>
        <v>0</v>
      </c>
      <c r="I617" s="604">
        <f>IF(ISBLANK(INDEX(MO_IS_FirstRow,0,COLUMN())),0,IF(OR(I502=E502,I502=J502,I502=H502),"CHECK",0))</f>
        <v>0</v>
      </c>
      <c r="J617" s="604">
        <f>IF(ISBLANK(INDEX(MO_IS_FirstRow,0,COLUMN())),0,IF(OR(J502=F502,J502=BE502,J502=I502),"CHECK",0))</f>
        <v>0</v>
      </c>
      <c r="K617" s="604">
        <f>IF(ISBLANK(INDEX(MO_IS_FirstRow,0,COLUMN())),0,IF(OR(K502=G502,K502=L502,K502=J502),"CHECK",0))</f>
        <v>0</v>
      </c>
      <c r="L617" s="604">
        <f>IF(ISBLANK(INDEX(MO_IS_FirstRow,0,COLUMN())),0,IF(OR(L502=H502,L502=M502,L502=K502),"CHECK",0))</f>
        <v>0</v>
      </c>
      <c r="M617" s="604">
        <f>IF(ISBLANK(INDEX(MO_IS_FirstRow,0,COLUMN())),0,IF(OR(M502=I502,M502=N502,M502=L502),"CHECK",0))</f>
        <v>0</v>
      </c>
      <c r="N617" s="604">
        <f>IF(ISBLANK(INDEX(MO_IS_FirstRow,0,COLUMN())),0,IF(OR(N502=J502,N502=BF502,N502=M502),"CHECK",0))</f>
        <v>0</v>
      </c>
      <c r="O617" s="604">
        <f>IF(ISBLANK(INDEX(MO_IS_FirstRow,0,COLUMN())),0,IF(OR(O502=K502,O502=P502,O502=N502),"CHECK",0))</f>
        <v>0</v>
      </c>
      <c r="P617" s="604">
        <f>IF(ISBLANK(INDEX(MO_IS_FirstRow,0,COLUMN())),0,IF(OR(P502=L502,P502=Q502,P502=O502),"CHECK",0))</f>
        <v>0</v>
      </c>
      <c r="Q617" s="604">
        <f>IF(ISBLANK(INDEX(MO_IS_FirstRow,0,COLUMN())),0,IF(OR(Q502=M502,Q502=R502,Q502=P502),"CHECK",0))</f>
        <v>0</v>
      </c>
      <c r="R617" s="604">
        <f>IF(ISBLANK(INDEX(MO_IS_FirstRow,0,COLUMN())),0,IF(OR(R502=N502,R502=BG502,R502=Q502),"CHECK",0))</f>
        <v>0</v>
      </c>
      <c r="S617" s="604">
        <f>IF(ISBLANK(INDEX(MO_IS_FirstRow,0,COLUMN())),0,IF(OR(S502=O502,S502=T502,S502=R502),"CHECK",0))</f>
        <v>0</v>
      </c>
      <c r="T617" s="604">
        <f>IF(ISBLANK(INDEX(MO_IS_FirstRow,0,COLUMN())),0,IF(OR(T502=P502,T502=U502,T502=S502),"CHECK",0))</f>
        <v>0</v>
      </c>
      <c r="U617" s="604">
        <f>IF(ISBLANK(INDEX(MO_IS_FirstRow,0,COLUMN())),0,IF(OR(U502=Q502,U502=V502,U502=T502),"CHECK",0))</f>
        <v>0</v>
      </c>
      <c r="V617" s="604">
        <f>IF(ISBLANK(INDEX(MO_IS_FirstRow,0,COLUMN())),0,IF(OR(V502=R502,V502=BH502,V502=U502),"CHECK",0))</f>
        <v>0</v>
      </c>
      <c r="W617" s="604">
        <f>IF(ISBLANK(INDEX(MO_IS_FirstRow,0,COLUMN())),0,IF(OR(W502=S502,W502=X502,W502=V502),"CHECK",0))</f>
        <v>0</v>
      </c>
      <c r="X617" s="604">
        <f>IF(ISBLANK(INDEX(MO_IS_FirstRow,0,COLUMN())),0,IF(OR(X502=T502,X502=Y502,X502=W502),"CHECK",0))</f>
        <v>0</v>
      </c>
      <c r="Y617" s="604">
        <f>IF(ISBLANK(INDEX(MO_IS_FirstRow,0,COLUMN())),0,IF(OR(Y502=U502,Y502=Z502,Y502=X502),"CHECK",0))</f>
        <v>0</v>
      </c>
      <c r="Z617" s="604">
        <f>IF(ISBLANK(INDEX(MO_IS_FirstRow,0,COLUMN())),0,IF(OR(Z502=V502,Z502=BI502,Z502=Y502),"CHECK",0))</f>
        <v>0</v>
      </c>
      <c r="AA617" s="604">
        <f>IF(ISBLANK(INDEX(MO_IS_FirstRow,0,COLUMN())),0,IF(OR(AA502=W502,AA502=AB502,AA502=Z502),"CHECK",0))</f>
        <v>0</v>
      </c>
      <c r="AB617" s="604">
        <f>IF(ISBLANK(INDEX(MO_IS_FirstRow,0,COLUMN())),0,IF(OR(AB502=X502,AB502=AC502,AB502=AA502),"CHECK",0))</f>
        <v>0</v>
      </c>
      <c r="AC617" s="604">
        <f>IF(ISBLANK(INDEX(MO_IS_FirstRow,0,COLUMN())),0,IF(OR(AC502=Y502,AC502=AD502,AC502=AB502),"CHECK",0))</f>
        <v>0</v>
      </c>
      <c r="AD617" s="604">
        <f>IF(ISBLANK(INDEX(MO_IS_FirstRow,0,COLUMN())),0,IF(OR(AD502=Z502,AD502=BJ502,AD502=AC502),"CHECK",0))</f>
        <v>0</v>
      </c>
      <c r="AE617" s="604">
        <f>IF(ISBLANK(INDEX(MO_IS_FirstRow,0,COLUMN())),0,IF(OR(AE502=AA502,AE502=AF502,AE502=AD502),"CHECK",0))</f>
        <v>0</v>
      </c>
      <c r="AF617" s="604">
        <f>IF(ISBLANK(INDEX(MO_IS_FirstRow,0,COLUMN())),0,IF(OR(AF502=AB502,AF502=AG502,AF502=AE502),"CHECK",0))</f>
        <v>0</v>
      </c>
      <c r="AG617" s="604">
        <f>IF(ISBLANK(INDEX(MO_IS_FirstRow,0,COLUMN())),0,IF(OR(AG502=AC502,AG502=AH502,AG502=AF502),"CHECK",0))</f>
        <v>0</v>
      </c>
      <c r="AH617" s="604">
        <f>IF(ISBLANK(INDEX(MO_IS_FirstRow,0,COLUMN())),0,IF(OR(AH502=AD502,AH502=BK502,AH502=AG502),"CHECK",0))</f>
        <v>0</v>
      </c>
      <c r="AI617" s="604">
        <f>IF(ISBLANK(INDEX(MO_IS_FirstRow,0,COLUMN())),0,IF(OR(AI502=AE502,AI502=AJ502,AI502=AH502),"CHECK",0))</f>
        <v>0</v>
      </c>
      <c r="AJ617" s="604">
        <f>IF(ISBLANK(INDEX(MO_IS_FirstRow,0,COLUMN())),0,IF(OR(AJ502=AF502,AJ502=AK502,AJ502=AI502),"CHECK",0))</f>
        <v>0</v>
      </c>
      <c r="AK617" s="604">
        <f>IF(ISBLANK(INDEX(MO_IS_FirstRow,0,COLUMN())),0,IF(OR(AK502=AG502,AK502=AL502,AK502=AJ502),"CHECK",0))</f>
        <v>0</v>
      </c>
      <c r="AL617" s="604">
        <f>IF(ISBLANK(INDEX(MO_IS_FirstRow,0,COLUMN())),0,IF(OR(AL502=AH502,AL502=BL502,AL502=AK502),"CHECK",0))</f>
        <v>0</v>
      </c>
      <c r="AM617" s="604">
        <f>IF(ISBLANK(INDEX(MO_IS_FirstRow,0,COLUMN())),0,IF(OR(AM502=AI502,AM502=AN502,AM502=AL502),"CHECK",0))</f>
        <v>0</v>
      </c>
      <c r="AN617" s="604">
        <f>IF(ISBLANK(INDEX(MO_IS_FirstRow,0,COLUMN())),0,IF(OR(AN502=AJ502,AN502=AO502,AN502=AM502),"CHECK",0))</f>
        <v>0</v>
      </c>
      <c r="AO617" s="604">
        <f>IF(ISBLANK(INDEX(MO_IS_FirstRow,0,COLUMN())),0,IF(OR(AO502=AK502,AO502=AP502,AO502=AN502),"CHECK",0))</f>
        <v>0</v>
      </c>
      <c r="AP617" s="604">
        <f>IF(ISBLANK(INDEX(MO_IS_FirstRow,0,COLUMN())),0,IF(OR(AP502=AL502,AP502=BM502,AP502=AO502),"CHECK",0))</f>
        <v>0</v>
      </c>
      <c r="AQ617" s="604">
        <f>IF(ISBLANK(INDEX(MO_IS_FirstRow,0,COLUMN())),0,IF(OR(AQ502=AM502,AQ502=AR502,AQ502=AP502),"CHECK",0))</f>
        <v>0</v>
      </c>
      <c r="AR617" s="604">
        <f>IF(ISBLANK(INDEX(MO_IS_FirstRow,0,COLUMN())),0,IF(OR(AR502=AN502,AR502=AS502,AR502=AQ502),"CHECK",0))</f>
        <v>0</v>
      </c>
      <c r="AS617" s="604">
        <f>IF(ISBLANK(INDEX(MO_IS_FirstRow,0,COLUMN())),0,IF(OR(AS502=AO502,AS502=AT502,AS502=AR502),"CHECK",0))</f>
        <v>0</v>
      </c>
      <c r="AT617" s="604">
        <f>IF(ISBLANK(INDEX(MO_IS_FirstRow,0,COLUMN())),0,IF(OR(AT502=AP502,AT502=BN502,AT502=AS502),"CHECK",0))</f>
        <v>0</v>
      </c>
      <c r="AU617" s="605">
        <f ca="1">IF(ISBLANK(INDEX(MO_IS_FirstRow,0,COLUMN())),0,IF(OR(AU502=AQ502,AU502=AV502,AU502=AT502),"CHECK",0))</f>
        <v>0</v>
      </c>
      <c r="AV617" s="604"/>
      <c r="AW617" s="604"/>
      <c r="AX617" s="604"/>
      <c r="AY617" s="604"/>
      <c r="AZ617" s="604">
        <f>IF(ISBLANK(INDEX(MO_IS_FirstRow,0,COLUMN())),0,IF(OR(AZ502=B502,AZ502=BA502),"CHECK",0))</f>
        <v>0</v>
      </c>
      <c r="BA617" s="604">
        <f>IF(ISBLANK(INDEX(MO_IS_FirstRow,0,COLUMN())),0,IF(OR(BA502=AZ502,BA502=BB502),"CHECK",0))</f>
        <v>0</v>
      </c>
      <c r="BB617" s="604">
        <f>IF(ISBLANK(INDEX(MO_IS_FirstRow,0,COLUMN())),0,IF(OR(BB502=BA502,BB502=BC502),"CHECK",0))</f>
        <v>0</v>
      </c>
      <c r="BC617" s="604">
        <f>IF(ISBLANK(INDEX(MO_IS_FirstRow,0,COLUMN())),0,IF(OR(BC502=BB502,BC502=BD502),"CHECK",0))</f>
        <v>0</v>
      </c>
      <c r="BD617" s="604">
        <f t="shared" ref="BD617:BN617" si="853">IF(ISBLANK(INDEX(MO_IS_FirstRow,0,COLUMN())),0,IF(BD502=BC502,"CHECK",0))</f>
        <v>0</v>
      </c>
      <c r="BE617" s="604">
        <f t="shared" si="853"/>
        <v>0</v>
      </c>
      <c r="BF617" s="604">
        <f t="shared" si="853"/>
        <v>0</v>
      </c>
      <c r="BG617" s="604">
        <f t="shared" si="853"/>
        <v>0</v>
      </c>
      <c r="BH617" s="604">
        <f t="shared" si="853"/>
        <v>0</v>
      </c>
      <c r="BI617" s="604">
        <f t="shared" si="853"/>
        <v>0</v>
      </c>
      <c r="BJ617" s="604">
        <f t="shared" si="853"/>
        <v>0</v>
      </c>
      <c r="BK617" s="604">
        <f t="shared" si="853"/>
        <v>0</v>
      </c>
      <c r="BL617" s="604">
        <f t="shared" si="853"/>
        <v>0</v>
      </c>
      <c r="BM617" s="604">
        <f t="shared" si="853"/>
        <v>0</v>
      </c>
      <c r="BN617" s="605">
        <f t="shared" si="853"/>
        <v>0</v>
      </c>
      <c r="BO617" s="604"/>
      <c r="BP617" s="604"/>
      <c r="BQ617" s="604"/>
      <c r="BR617" s="604"/>
      <c r="BS617" s="604"/>
      <c r="BT617" s="533"/>
    </row>
    <row r="618" spans="1:72" s="17" customFormat="1" hidden="1" outlineLevel="1" x14ac:dyDescent="0.35">
      <c r="A618" s="533" t="s">
        <v>233</v>
      </c>
      <c r="B618" s="528"/>
      <c r="C618" s="604">
        <f>IF(ISBLANK(INDEX(MO_IS_FirstRow,0,COLUMN())),0,IF(OR(C215=B215,C215=D215,C215=BB215),"CHECK",0))</f>
        <v>0</v>
      </c>
      <c r="D618" s="604">
        <f>IF(ISBLANK(INDEX(MO_IS_FirstRow,0,COLUMN())),0,IF(OR(D215=AZ215,D215=E215,D215=C215),"CHECK",0))</f>
        <v>0</v>
      </c>
      <c r="E618" s="604">
        <f>IF(ISBLANK(INDEX(MO_IS_FirstRow,0,COLUMN())),0,IF(OR(E215=BA215,E215=F215,E215=D215),"CHECK",0))</f>
        <v>0</v>
      </c>
      <c r="F618" s="604">
        <f>IF(ISBLANK(INDEX(MO_IS_FirstRow,0,COLUMN())),0,IF(OR(F215=BB215,F215=BD215,F215=E215),"CHECK",0))</f>
        <v>0</v>
      </c>
      <c r="G618" s="604">
        <f>IF(ISBLANK(INDEX(MO_IS_FirstRow,0,COLUMN())),0,IF(OR(G215=C215,G215=H215,G215=F215),"CHECK",0))</f>
        <v>0</v>
      </c>
      <c r="H618" s="604">
        <f>IF(ISBLANK(INDEX(MO_IS_FirstRow,0,COLUMN())),0,IF(OR(H215=D215,H215=I215,H215=G215),"CHECK",0))</f>
        <v>0</v>
      </c>
      <c r="I618" s="604">
        <f>IF(ISBLANK(INDEX(MO_IS_FirstRow,0,COLUMN())),0,IF(OR(I215=E215,I215=J215,I215=H215),"CHECK",0))</f>
        <v>0</v>
      </c>
      <c r="J618" s="604">
        <f>IF(ISBLANK(INDEX(MO_IS_FirstRow,0,COLUMN())),0,IF(OR(J215=F215,J215=BE215,J215=I215),"CHECK",0))</f>
        <v>0</v>
      </c>
      <c r="K618" s="604">
        <f>IF(ISBLANK(INDEX(MO_IS_FirstRow,0,COLUMN())),0,IF(OR(K215=G215,K215=L215,K215=J215),"CHECK",0))</f>
        <v>0</v>
      </c>
      <c r="L618" s="604">
        <f>IF(ISBLANK(INDEX(MO_IS_FirstRow,0,COLUMN())),0,IF(OR(L215=H215,L215=M215,L215=K215),"CHECK",0))</f>
        <v>0</v>
      </c>
      <c r="M618" s="604">
        <f>IF(ISBLANK(INDEX(MO_IS_FirstRow,0,COLUMN())),0,IF(OR(M215=I215,M215=N215,M215=L215),"CHECK",0))</f>
        <v>0</v>
      </c>
      <c r="N618" s="604">
        <f>IF(ISBLANK(INDEX(MO_IS_FirstRow,0,COLUMN())),0,IF(OR(N215=J215,N215=BF215,N215=M215),"CHECK",0))</f>
        <v>0</v>
      </c>
      <c r="O618" s="604">
        <f>IF(ISBLANK(INDEX(MO_IS_FirstRow,0,COLUMN())),0,IF(OR(O215=K215,O215=P215,O215=N215),"CHECK",0))</f>
        <v>0</v>
      </c>
      <c r="P618" s="604">
        <f>IF(ISBLANK(INDEX(MO_IS_FirstRow,0,COLUMN())),0,IF(OR(P215=L215,P215=Q215,P215=O215),"CHECK",0))</f>
        <v>0</v>
      </c>
      <c r="Q618" s="604">
        <f>IF(ISBLANK(INDEX(MO_IS_FirstRow,0,COLUMN())),0,IF(OR(Q215=M215,Q215=R215,Q215=P215),"CHECK",0))</f>
        <v>0</v>
      </c>
      <c r="R618" s="604">
        <f>IF(ISBLANK(INDEX(MO_IS_FirstRow,0,COLUMN())),0,IF(OR(R215=N215,R215=BG215,R215=Q215),"CHECK",0))</f>
        <v>0</v>
      </c>
      <c r="S618" s="604">
        <f>IF(ISBLANK(INDEX(MO_IS_FirstRow,0,COLUMN())),0,IF(OR(S215=O215,S215=T215,S215=R215),"CHECK",0))</f>
        <v>0</v>
      </c>
      <c r="T618" s="604">
        <f>IF(ISBLANK(INDEX(MO_IS_FirstRow,0,COLUMN())),0,IF(OR(T215=P215,T215=U215,T215=S215),"CHECK",0))</f>
        <v>0</v>
      </c>
      <c r="U618" s="604">
        <f>IF(ISBLANK(INDEX(MO_IS_FirstRow,0,COLUMN())),0,IF(OR(U215=Q215,U215=V215,U215=T215),"CHECK",0))</f>
        <v>0</v>
      </c>
      <c r="V618" s="604">
        <f>IF(ISBLANK(INDEX(MO_IS_FirstRow,0,COLUMN())),0,IF(OR(V215=R215,V215=BH215,V215=U215),"CHECK",0))</f>
        <v>0</v>
      </c>
      <c r="W618" s="604">
        <f>IF(ISBLANK(INDEX(MO_IS_FirstRow,0,COLUMN())),0,IF(OR(W215=S215,W215=X215,W215=V215),"CHECK",0))</f>
        <v>0</v>
      </c>
      <c r="X618" s="604">
        <f>IF(ISBLANK(INDEX(MO_IS_FirstRow,0,COLUMN())),0,IF(OR(X215=T215,X215=Y215,X215=W215),"CHECK",0))</f>
        <v>0</v>
      </c>
      <c r="Y618" s="604">
        <f>IF(ISBLANK(INDEX(MO_IS_FirstRow,0,COLUMN())),0,IF(OR(Y215=U215,Y215=Z215,Y215=X215),"CHECK",0))</f>
        <v>0</v>
      </c>
      <c r="Z618" s="604">
        <f>IF(ISBLANK(INDEX(MO_IS_FirstRow,0,COLUMN())),0,IF(OR(Z215=V215,Z215=BI215,Z215=Y215),"CHECK",0))</f>
        <v>0</v>
      </c>
      <c r="AA618" s="604">
        <f>IF(ISBLANK(INDEX(MO_IS_FirstRow,0,COLUMN())),0,IF(OR(AA215=W215,AA215=AB215,AA215=Z215),"CHECK",0))</f>
        <v>0</v>
      </c>
      <c r="AB618" s="604">
        <f>IF(ISBLANK(INDEX(MO_IS_FirstRow,0,COLUMN())),0,IF(OR(AB215=X215,AB215=AC215,AB215=AA215),"CHECK",0))</f>
        <v>0</v>
      </c>
      <c r="AC618" s="604">
        <f>IF(ISBLANK(INDEX(MO_IS_FirstRow,0,COLUMN())),0,IF(OR(AC215=Y215,AC215=AD215,AC215=AB215),"CHECK",0))</f>
        <v>0</v>
      </c>
      <c r="AD618" s="604">
        <f>IF(ISBLANK(INDEX(MO_IS_FirstRow,0,COLUMN())),0,IF(OR(AD215=Z215,AD215=BJ215,AD215=AC215),"CHECK",0))</f>
        <v>0</v>
      </c>
      <c r="AE618" s="604">
        <f>IF(ISBLANK(INDEX(MO_IS_FirstRow,0,COLUMN())),0,IF(OR(AE215=AA215,AE215=AF215,AE215=AD215),"CHECK",0))</f>
        <v>0</v>
      </c>
      <c r="AF618" s="604">
        <f>IF(ISBLANK(INDEX(MO_IS_FirstRow,0,COLUMN())),0,IF(OR(AF215=AB215,AF215=AG215,AF215=AE215),"CHECK",0))</f>
        <v>0</v>
      </c>
      <c r="AG618" s="604">
        <f>IF(ISBLANK(INDEX(MO_IS_FirstRow,0,COLUMN())),0,IF(OR(AG215=AC215,AG215=AH215,AG215=AF215),"CHECK",0))</f>
        <v>0</v>
      </c>
      <c r="AH618" s="604">
        <f>IF(ISBLANK(INDEX(MO_IS_FirstRow,0,COLUMN())),0,IF(OR(AH215=AD215,AH215=BK215,AH215=AG215),"CHECK",0))</f>
        <v>0</v>
      </c>
      <c r="AI618" s="604">
        <f>IF(ISBLANK(INDEX(MO_IS_FirstRow,0,COLUMN())),0,IF(OR(AI215=AE215,AI215=AJ215,AI215=AH215),"CHECK",0))</f>
        <v>0</v>
      </c>
      <c r="AJ618" s="604">
        <f>IF(ISBLANK(INDEX(MO_IS_FirstRow,0,COLUMN())),0,IF(OR(AJ215=AF215,AJ215=AK215,AJ215=AI215),"CHECK",0))</f>
        <v>0</v>
      </c>
      <c r="AK618" s="604">
        <f>IF(ISBLANK(INDEX(MO_IS_FirstRow,0,COLUMN())),0,IF(OR(AK215=AG215,AK215=AL215,AK215=AJ215),"CHECK",0))</f>
        <v>0</v>
      </c>
      <c r="AL618" s="604">
        <f>IF(ISBLANK(INDEX(MO_IS_FirstRow,0,COLUMN())),0,IF(OR(AL215=AH215,AL215=BL215,AL215=AK215),"CHECK",0))</f>
        <v>0</v>
      </c>
      <c r="AM618" s="604">
        <f>IF(ISBLANK(INDEX(MO_IS_FirstRow,0,COLUMN())),0,IF(OR(AM215=AI215,AM215=AN215,AM215=AL215),"CHECK",0))</f>
        <v>0</v>
      </c>
      <c r="AN618" s="604">
        <f>IF(ISBLANK(INDEX(MO_IS_FirstRow,0,COLUMN())),0,IF(OR(AN215=AJ215,AN215=AO215,AN215=AM215),"CHECK",0))</f>
        <v>0</v>
      </c>
      <c r="AO618" s="604">
        <f>IF(ISBLANK(INDEX(MO_IS_FirstRow,0,COLUMN())),0,IF(OR(AO215=AK215,AO215=AP215,AO215=AN215),"CHECK",0))</f>
        <v>0</v>
      </c>
      <c r="AP618" s="604">
        <f>IF(ISBLANK(INDEX(MO_IS_FirstRow,0,COLUMN())),0,IF(OR(AP215=AL215,AP215=BM215,AP215=AO215),"CHECK",0))</f>
        <v>0</v>
      </c>
      <c r="AQ618" s="604">
        <f>IF(ISBLANK(INDEX(MO_IS_FirstRow,0,COLUMN())),0,IF(OR(AQ215=AM215,AQ215=AR215,AQ215=AP215),"CHECK",0))</f>
        <v>0</v>
      </c>
      <c r="AR618" s="604">
        <f>IF(ISBLANK(INDEX(MO_IS_FirstRow,0,COLUMN())),0,IF(OR(AR215=AN215,AR215=AS215,AR215=AQ215),"CHECK",0))</f>
        <v>0</v>
      </c>
      <c r="AS618" s="604">
        <f>IF(ISBLANK(INDEX(MO_IS_FirstRow,0,COLUMN())),0,IF(OR(AS215=AO215,AS215=AT215,AS215=AR215),"CHECK",0))</f>
        <v>0</v>
      </c>
      <c r="AT618" s="604">
        <f>IF(ISBLANK(INDEX(MO_IS_FirstRow,0,COLUMN())),0,IF(OR(AT215=AP215,AT215=BN215,AT215=AS215),"CHECK",0))</f>
        <v>0</v>
      </c>
      <c r="AU618" s="605">
        <f>IF(ISBLANK(INDEX(MO_IS_FirstRow,0,COLUMN())),0,IF(OR(AU215=AQ215,AU215=AV215,AU215=AT215),"CHECK",0))</f>
        <v>0</v>
      </c>
      <c r="AV618" s="604"/>
      <c r="AW618" s="604"/>
      <c r="AX618" s="604"/>
      <c r="AY618" s="604"/>
      <c r="AZ618" s="604">
        <f>IF(ISBLANK(INDEX(MO_IS_FirstRow,0,COLUMN())),0,IF(OR(AZ215=B215,AZ215=BA215),"CHECK",0))</f>
        <v>0</v>
      </c>
      <c r="BA618" s="604">
        <f>IF(ISBLANK(INDEX(MO_IS_FirstRow,0,COLUMN())),0,IF(OR(BA215=AZ215,BA215=BB215),"CHECK",0))</f>
        <v>0</v>
      </c>
      <c r="BB618" s="604">
        <f>IF(ISBLANK(INDEX(MO_IS_FirstRow,0,COLUMN())),0,IF(OR(BB215=BA215,BB215=BC215),"CHECK",0))</f>
        <v>0</v>
      </c>
      <c r="BC618" s="604">
        <f>IF(ISBLANK(INDEX(MO_IS_FirstRow,0,COLUMN())),0,IF(OR(BC215=BB215,BC215=BD215),"CHECK",0))</f>
        <v>0</v>
      </c>
      <c r="BD618" s="604">
        <f t="shared" ref="BD618:BN618" si="854">IF(ISBLANK(INDEX(MO_IS_FirstRow,0,COLUMN())),0,IF(BD215=BC215,"CHECK",0))</f>
        <v>0</v>
      </c>
      <c r="BE618" s="604">
        <f t="shared" si="854"/>
        <v>0</v>
      </c>
      <c r="BF618" s="604">
        <f t="shared" si="854"/>
        <v>0</v>
      </c>
      <c r="BG618" s="604">
        <f t="shared" si="854"/>
        <v>0</v>
      </c>
      <c r="BH618" s="604">
        <f t="shared" si="854"/>
        <v>0</v>
      </c>
      <c r="BI618" s="604">
        <f t="shared" si="854"/>
        <v>0</v>
      </c>
      <c r="BJ618" s="604">
        <f t="shared" si="854"/>
        <v>0</v>
      </c>
      <c r="BK618" s="604">
        <f t="shared" si="854"/>
        <v>0</v>
      </c>
      <c r="BL618" s="604">
        <f t="shared" si="854"/>
        <v>0</v>
      </c>
      <c r="BM618" s="604">
        <f t="shared" si="854"/>
        <v>0</v>
      </c>
      <c r="BN618" s="605">
        <f t="shared" si="854"/>
        <v>0</v>
      </c>
      <c r="BO618" s="604"/>
      <c r="BP618" s="604"/>
      <c r="BQ618" s="604"/>
      <c r="BR618" s="604"/>
      <c r="BS618" s="604"/>
      <c r="BT618" s="533"/>
    </row>
    <row r="619" spans="1:72" s="17" customFormat="1" hidden="1" outlineLevel="1" x14ac:dyDescent="0.35">
      <c r="A619" s="533" t="s">
        <v>234</v>
      </c>
      <c r="B619" s="528"/>
      <c r="C619" s="604">
        <f>IF(OR(C573=B573,C573=D573,C573=BB573),"CHECK",0)</f>
        <v>0</v>
      </c>
      <c r="D619" s="604">
        <f>IF(OR(D573=AZ573,D573=E573,D573=C573),"CHECK",0)</f>
        <v>0</v>
      </c>
      <c r="E619" s="604">
        <f>IF(OR(E573=BA573,E573=F573,E573=D573),"CHECK",0)</f>
        <v>0</v>
      </c>
      <c r="F619" s="604">
        <f>IF(OR(F573=BB573,F573=E573),"CHECK",0)</f>
        <v>0</v>
      </c>
      <c r="G619" s="604">
        <f>IF(OR(G573=C573,G573=H573,G573=F573),"CHECK",0)</f>
        <v>0</v>
      </c>
      <c r="H619" s="604">
        <f>IF(OR(H573=D573,H573=I573,H573=G573),"CHECK",0)</f>
        <v>0</v>
      </c>
      <c r="I619" s="604">
        <f>IF(OR(I573=E573,I573=J573,I573=H573),"CHECK",0)</f>
        <v>0</v>
      </c>
      <c r="J619" s="604">
        <f>IF(OR(J573=F573,J573=I573),"CHECK",0)</f>
        <v>0</v>
      </c>
      <c r="K619" s="604">
        <f>IF(OR(K573=G573,K573=L573,K573=J573),"CHECK",0)</f>
        <v>0</v>
      </c>
      <c r="L619" s="604">
        <f>IF(OR(L573=H573,L573=M573,L573=K573),"CHECK",0)</f>
        <v>0</v>
      </c>
      <c r="M619" s="604">
        <f>IF(OR(M573=I573,M573=N573,M573=L573),"CHECK",0)</f>
        <v>0</v>
      </c>
      <c r="N619" s="604">
        <f>IF(OR(N573=J573,N573=M573),"CHECK",0)</f>
        <v>0</v>
      </c>
      <c r="O619" s="604">
        <f>IF(OR(O573=K573,O573=P573,O573=N573),"CHECK",0)</f>
        <v>0</v>
      </c>
      <c r="P619" s="604">
        <f>IF(OR(P573=L573,P573=Q573,P573=O573),"CHECK",0)</f>
        <v>0</v>
      </c>
      <c r="Q619" s="604">
        <f>IF(OR(Q573=M573,Q573=R573,Q573=P573),"CHECK",0)</f>
        <v>0</v>
      </c>
      <c r="R619" s="604">
        <f>IF(OR(R573=N573,R573=Q573),"CHECK",0)</f>
        <v>0</v>
      </c>
      <c r="S619" s="604">
        <f>IF(OR(S573=O573,S573=T573,S573=R573),"CHECK",0)</f>
        <v>0</v>
      </c>
      <c r="T619" s="604">
        <f>IF(OR(T573=P573,T573=U573,T573=S573),"CHECK",0)</f>
        <v>0</v>
      </c>
      <c r="U619" s="604">
        <f>IF(OR(U573=Q573,U573=V573,U573=T573),"CHECK",0)</f>
        <v>0</v>
      </c>
      <c r="V619" s="604">
        <f>IF(OR(V573=R573,V573=U573),"CHECK",0)</f>
        <v>0</v>
      </c>
      <c r="W619" s="604">
        <f>IF(OR(W573=S573,W573=X573,W573=V573),"CHECK",0)</f>
        <v>0</v>
      </c>
      <c r="X619" s="604">
        <f>IF(OR(X573=T573,X573=Y573,X573=W573),"CHECK",0)</f>
        <v>0</v>
      </c>
      <c r="Y619" s="604">
        <f>IF(OR(Y573=U573,Y573=Z573,Y573=X573),"CHECK",0)</f>
        <v>0</v>
      </c>
      <c r="Z619" s="604">
        <f>IF(OR(Z573=V573,Z573=Y573),"CHECK",0)</f>
        <v>0</v>
      </c>
      <c r="AA619" s="604">
        <f>IF(OR(AA573=W573,AA573=AB573,AA573=Z573),"CHECK",0)</f>
        <v>0</v>
      </c>
      <c r="AB619" s="604">
        <f>IF(OR(AB573=X573,AB573=AC573,AB573=AA573),"CHECK",0)</f>
        <v>0</v>
      </c>
      <c r="AC619" s="604">
        <f>IF(OR(AC573=Y573,AC573=AD573,AC573=AB573),"CHECK",0)</f>
        <v>0</v>
      </c>
      <c r="AD619" s="604">
        <f>IF(OR(AD573=Z573,AD573=AC573),"CHECK",0)</f>
        <v>0</v>
      </c>
      <c r="AE619" s="604">
        <f>IF(OR(AE573=AA573,AE573=AF573,AE573=AD573),"CHECK",0)</f>
        <v>0</v>
      </c>
      <c r="AF619" s="604">
        <f>IF(OR(AF573=AB573,AF573=AG573,AF573=AE573),"CHECK",0)</f>
        <v>0</v>
      </c>
      <c r="AG619" s="604">
        <f>IF(OR(AG573=AC573,AG573=AH573,AG573=AF573),"CHECK",0)</f>
        <v>0</v>
      </c>
      <c r="AH619" s="604">
        <f>IF(OR(AH573=AD573,AH573=AG573),"CHECK",0)</f>
        <v>0</v>
      </c>
      <c r="AI619" s="604">
        <f>IF(OR(AI573=AE573,AI573=AJ573,AI573=AH573),"CHECK",0)</f>
        <v>0</v>
      </c>
      <c r="AJ619" s="604">
        <f>IF(OR(AJ573=AF573,AJ573=AK573,AJ573=AI573),"CHECK",0)</f>
        <v>0</v>
      </c>
      <c r="AK619" s="604">
        <f>IF(OR(AK573=AG573,AK573=AL573,AK573=AJ573),"CHECK",0)</f>
        <v>0</v>
      </c>
      <c r="AL619" s="604">
        <f>IF(OR(AL573=AH573,AL573=AK573),"CHECK",0)</f>
        <v>0</v>
      </c>
      <c r="AM619" s="604">
        <f>IF(OR(AM573=AI573,AM573=AN573,AM573=AL573),"CHECK",0)</f>
        <v>0</v>
      </c>
      <c r="AN619" s="604">
        <f>IF(OR(AN573=AJ573,AN573=AO573,AN573=AM573),"CHECK",0)</f>
        <v>0</v>
      </c>
      <c r="AO619" s="604">
        <f>IF(OR(AO573=AK573,AO573=AP573,AO573=AN573),"CHECK",0)</f>
        <v>0</v>
      </c>
      <c r="AP619" s="604">
        <f>IF(OR(AP573=AL573,AP573=AO573),"CHECK",0)</f>
        <v>0</v>
      </c>
      <c r="AQ619" s="604">
        <f>IF(OR(AQ573=AM573,AQ573=AR573,AQ573=AP573),"CHECK",0)</f>
        <v>0</v>
      </c>
      <c r="AR619" s="604">
        <f>IF(OR(AR573=AN573,AR573=AS573,AR573=AQ573),"CHECK",0)</f>
        <v>0</v>
      </c>
      <c r="AS619" s="604">
        <f>IF(OR(AS573=AO573,AS573=AT573,AS573=AR573),"CHECK",0)</f>
        <v>0</v>
      </c>
      <c r="AT619" s="604">
        <f>IF(OR(AT573=AP573,AT573=AS573),"CHECK",0)</f>
        <v>0</v>
      </c>
      <c r="AU619" s="605">
        <f ca="1">IF(OR(AU573=AQ573,AU573=AV573,AU573=AT573),"CHECK",0)</f>
        <v>0</v>
      </c>
      <c r="AV619" s="604"/>
      <c r="AW619" s="604"/>
      <c r="AX619" s="604"/>
      <c r="AY619" s="604"/>
      <c r="AZ619" s="604">
        <f>IF(OR(AZ573=B573,AZ573=BA573),"CHECK",0)</f>
        <v>0</v>
      </c>
      <c r="BA619" s="604">
        <f>IF(OR(BA573=AZ573,BA573=BB573),"CHECK",0)</f>
        <v>0</v>
      </c>
      <c r="BB619" s="604">
        <f>IF(OR(BB573=BA573,BB573=BC573),"CHECK",0)</f>
        <v>0</v>
      </c>
      <c r="BC619" s="604">
        <f>IF(OR(BC573=BB573,BC573=BD573),"CHECK",0)</f>
        <v>0</v>
      </c>
      <c r="BD619" s="604">
        <f t="shared" ref="BD619:BN619" si="855">IF(BD573=BC573,"CHECK",0)</f>
        <v>0</v>
      </c>
      <c r="BE619" s="604">
        <f t="shared" si="855"/>
        <v>0</v>
      </c>
      <c r="BF619" s="604">
        <f t="shared" si="855"/>
        <v>0</v>
      </c>
      <c r="BG619" s="604">
        <f t="shared" si="855"/>
        <v>0</v>
      </c>
      <c r="BH619" s="604">
        <f t="shared" si="855"/>
        <v>0</v>
      </c>
      <c r="BI619" s="604">
        <f t="shared" si="855"/>
        <v>0</v>
      </c>
      <c r="BJ619" s="604">
        <f t="shared" si="855"/>
        <v>0</v>
      </c>
      <c r="BK619" s="604">
        <f t="shared" si="855"/>
        <v>0</v>
      </c>
      <c r="BL619" s="604">
        <f t="shared" si="855"/>
        <v>0</v>
      </c>
      <c r="BM619" s="604">
        <f t="shared" si="855"/>
        <v>0</v>
      </c>
      <c r="BN619" s="605">
        <f t="shared" si="855"/>
        <v>0</v>
      </c>
      <c r="BO619" s="604"/>
      <c r="BP619" s="604"/>
      <c r="BQ619" s="604"/>
      <c r="BR619" s="604"/>
      <c r="BS619" s="604"/>
      <c r="BT619" s="533"/>
    </row>
    <row r="620" spans="1:72" s="17" customFormat="1" hidden="1" outlineLevel="1" x14ac:dyDescent="0.35">
      <c r="A620" s="533" t="s">
        <v>235</v>
      </c>
      <c r="B620" s="528"/>
      <c r="C620" s="604">
        <f t="shared" ref="C620:AH620" si="856">IF(ISBLANK(INDEX(MO_IS_FirstRow,0,COLUMN())),0,ROUND(C505-C413,6))</f>
        <v>0</v>
      </c>
      <c r="D620" s="604">
        <f t="shared" si="856"/>
        <v>0</v>
      </c>
      <c r="E620" s="604">
        <f t="shared" si="856"/>
        <v>0</v>
      </c>
      <c r="F620" s="604">
        <f t="shared" si="856"/>
        <v>0</v>
      </c>
      <c r="G620" s="604">
        <f t="shared" si="856"/>
        <v>0</v>
      </c>
      <c r="H620" s="604">
        <f t="shared" si="856"/>
        <v>0</v>
      </c>
      <c r="I620" s="604">
        <f t="shared" si="856"/>
        <v>0</v>
      </c>
      <c r="J620" s="604">
        <f t="shared" si="856"/>
        <v>0</v>
      </c>
      <c r="K620" s="604">
        <f t="shared" si="856"/>
        <v>0</v>
      </c>
      <c r="L620" s="604">
        <f t="shared" si="856"/>
        <v>0</v>
      </c>
      <c r="M620" s="604">
        <f t="shared" si="856"/>
        <v>0</v>
      </c>
      <c r="N620" s="604">
        <f t="shared" si="856"/>
        <v>0</v>
      </c>
      <c r="O620" s="604">
        <f t="shared" si="856"/>
        <v>0</v>
      </c>
      <c r="P620" s="604">
        <f t="shared" si="856"/>
        <v>0</v>
      </c>
      <c r="Q620" s="604">
        <f t="shared" si="856"/>
        <v>0</v>
      </c>
      <c r="R620" s="604">
        <f t="shared" si="856"/>
        <v>0</v>
      </c>
      <c r="S620" s="604">
        <f t="shared" si="856"/>
        <v>0</v>
      </c>
      <c r="T620" s="604">
        <f t="shared" si="856"/>
        <v>0</v>
      </c>
      <c r="U620" s="604">
        <f t="shared" si="856"/>
        <v>0</v>
      </c>
      <c r="V620" s="604">
        <f t="shared" si="856"/>
        <v>0</v>
      </c>
      <c r="W620" s="604">
        <f t="shared" si="856"/>
        <v>0</v>
      </c>
      <c r="X620" s="604">
        <f t="shared" si="856"/>
        <v>0</v>
      </c>
      <c r="Y620" s="604">
        <f t="shared" si="856"/>
        <v>0</v>
      </c>
      <c r="Z620" s="604">
        <f t="shared" si="856"/>
        <v>0</v>
      </c>
      <c r="AA620" s="604">
        <f t="shared" si="856"/>
        <v>0</v>
      </c>
      <c r="AB620" s="604">
        <f t="shared" si="856"/>
        <v>0</v>
      </c>
      <c r="AC620" s="604">
        <f t="shared" si="856"/>
        <v>0</v>
      </c>
      <c r="AD620" s="604">
        <f t="shared" si="856"/>
        <v>0</v>
      </c>
      <c r="AE620" s="604">
        <f t="shared" si="856"/>
        <v>0</v>
      </c>
      <c r="AF620" s="604">
        <f t="shared" si="856"/>
        <v>0</v>
      </c>
      <c r="AG620" s="604">
        <f t="shared" si="856"/>
        <v>0</v>
      </c>
      <c r="AH620" s="604">
        <f t="shared" si="856"/>
        <v>0</v>
      </c>
      <c r="AI620" s="604">
        <f t="shared" ref="AI620:AX620" si="857">IF(ISBLANK(INDEX(MO_IS_FirstRow,0,COLUMN())),0,ROUND(AI505-AI413,6))</f>
        <v>0</v>
      </c>
      <c r="AJ620" s="604">
        <f t="shared" si="857"/>
        <v>0</v>
      </c>
      <c r="AK620" s="604">
        <f t="shared" si="857"/>
        <v>0</v>
      </c>
      <c r="AL620" s="604">
        <f t="shared" si="857"/>
        <v>0</v>
      </c>
      <c r="AM620" s="604">
        <f t="shared" si="857"/>
        <v>0</v>
      </c>
      <c r="AN620" s="604">
        <f t="shared" si="857"/>
        <v>0</v>
      </c>
      <c r="AO620" s="604">
        <f t="shared" si="857"/>
        <v>0</v>
      </c>
      <c r="AP620" s="604">
        <f t="shared" si="857"/>
        <v>0</v>
      </c>
      <c r="AQ620" s="604">
        <f t="shared" si="857"/>
        <v>0</v>
      </c>
      <c r="AR620" s="604">
        <f t="shared" si="857"/>
        <v>0</v>
      </c>
      <c r="AS620" s="604">
        <f t="shared" si="857"/>
        <v>0</v>
      </c>
      <c r="AT620" s="604">
        <f t="shared" si="857"/>
        <v>0</v>
      </c>
      <c r="AU620" s="605">
        <f t="shared" si="857"/>
        <v>0</v>
      </c>
      <c r="AV620" s="604">
        <f t="shared" si="857"/>
        <v>0</v>
      </c>
      <c r="AW620" s="604">
        <f t="shared" si="857"/>
        <v>0</v>
      </c>
      <c r="AX620" s="604">
        <f t="shared" si="857"/>
        <v>0</v>
      </c>
      <c r="AY620" s="604"/>
      <c r="AZ620" s="604">
        <f t="shared" ref="AZ620:BS620" si="858">IF(ISBLANK(INDEX(MO_IS_FirstRow,0,COLUMN())),0,ROUND(AZ505-AZ413,6))</f>
        <v>0</v>
      </c>
      <c r="BA620" s="604">
        <f t="shared" si="858"/>
        <v>0</v>
      </c>
      <c r="BB620" s="604">
        <f t="shared" si="858"/>
        <v>0</v>
      </c>
      <c r="BC620" s="604">
        <f t="shared" si="858"/>
        <v>0</v>
      </c>
      <c r="BD620" s="604">
        <f t="shared" si="858"/>
        <v>0</v>
      </c>
      <c r="BE620" s="604">
        <f t="shared" si="858"/>
        <v>0</v>
      </c>
      <c r="BF620" s="604">
        <f t="shared" si="858"/>
        <v>0</v>
      </c>
      <c r="BG620" s="604">
        <f t="shared" si="858"/>
        <v>0</v>
      </c>
      <c r="BH620" s="604">
        <f t="shared" si="858"/>
        <v>0</v>
      </c>
      <c r="BI620" s="604">
        <f t="shared" si="858"/>
        <v>0</v>
      </c>
      <c r="BJ620" s="604">
        <f t="shared" si="858"/>
        <v>0</v>
      </c>
      <c r="BK620" s="604">
        <f t="shared" si="858"/>
        <v>0</v>
      </c>
      <c r="BL620" s="604">
        <f t="shared" si="858"/>
        <v>0</v>
      </c>
      <c r="BM620" s="604">
        <f t="shared" si="858"/>
        <v>0</v>
      </c>
      <c r="BN620" s="605">
        <f t="shared" si="858"/>
        <v>0</v>
      </c>
      <c r="BO620" s="604">
        <f t="shared" si="858"/>
        <v>0</v>
      </c>
      <c r="BP620" s="604">
        <f t="shared" si="858"/>
        <v>0</v>
      </c>
      <c r="BQ620" s="604">
        <f t="shared" si="858"/>
        <v>0</v>
      </c>
      <c r="BR620" s="604">
        <f t="shared" si="858"/>
        <v>0</v>
      </c>
      <c r="BS620" s="604">
        <f t="shared" si="858"/>
        <v>0</v>
      </c>
      <c r="BT620" s="533"/>
    </row>
    <row r="621" spans="1:72" s="17" customFormat="1" hidden="1" outlineLevel="1" x14ac:dyDescent="0.35">
      <c r="A621" s="533" t="s">
        <v>236</v>
      </c>
      <c r="B621" s="528"/>
      <c r="C621" s="604">
        <f t="shared" ref="C621:AH621" si="859">ROUND(INDEX(MO_CFSum_Capex,0,COLUMN())-C452-C453-C454,6)</f>
        <v>0</v>
      </c>
      <c r="D621" s="604">
        <f t="shared" si="859"/>
        <v>0</v>
      </c>
      <c r="E621" s="604">
        <f t="shared" si="859"/>
        <v>0</v>
      </c>
      <c r="F621" s="604">
        <f t="shared" si="859"/>
        <v>0</v>
      </c>
      <c r="G621" s="604">
        <f t="shared" si="859"/>
        <v>0</v>
      </c>
      <c r="H621" s="604">
        <f t="shared" si="859"/>
        <v>0</v>
      </c>
      <c r="I621" s="604">
        <f t="shared" si="859"/>
        <v>0</v>
      </c>
      <c r="J621" s="604">
        <f t="shared" si="859"/>
        <v>0</v>
      </c>
      <c r="K621" s="604">
        <f t="shared" si="859"/>
        <v>0</v>
      </c>
      <c r="L621" s="604">
        <f t="shared" si="859"/>
        <v>0</v>
      </c>
      <c r="M621" s="604">
        <f t="shared" si="859"/>
        <v>0</v>
      </c>
      <c r="N621" s="604">
        <f t="shared" si="859"/>
        <v>0</v>
      </c>
      <c r="O621" s="604">
        <f t="shared" si="859"/>
        <v>0</v>
      </c>
      <c r="P621" s="604">
        <f t="shared" si="859"/>
        <v>0</v>
      </c>
      <c r="Q621" s="604">
        <f t="shared" si="859"/>
        <v>0</v>
      </c>
      <c r="R621" s="604">
        <f t="shared" si="859"/>
        <v>0</v>
      </c>
      <c r="S621" s="604">
        <f t="shared" si="859"/>
        <v>0</v>
      </c>
      <c r="T621" s="604">
        <f t="shared" si="859"/>
        <v>0</v>
      </c>
      <c r="U621" s="604">
        <f t="shared" si="859"/>
        <v>0</v>
      </c>
      <c r="V621" s="604">
        <f t="shared" si="859"/>
        <v>0</v>
      </c>
      <c r="W621" s="604">
        <f t="shared" si="859"/>
        <v>0</v>
      </c>
      <c r="X621" s="604">
        <f t="shared" si="859"/>
        <v>0</v>
      </c>
      <c r="Y621" s="604">
        <f t="shared" si="859"/>
        <v>0</v>
      </c>
      <c r="Z621" s="604">
        <f t="shared" si="859"/>
        <v>0</v>
      </c>
      <c r="AA621" s="604">
        <f t="shared" si="859"/>
        <v>0</v>
      </c>
      <c r="AB621" s="604">
        <f t="shared" si="859"/>
        <v>0</v>
      </c>
      <c r="AC621" s="604">
        <f t="shared" si="859"/>
        <v>0</v>
      </c>
      <c r="AD621" s="604">
        <f t="shared" si="859"/>
        <v>0</v>
      </c>
      <c r="AE621" s="604">
        <f t="shared" si="859"/>
        <v>0</v>
      </c>
      <c r="AF621" s="604">
        <f t="shared" si="859"/>
        <v>0</v>
      </c>
      <c r="AG621" s="604">
        <f t="shared" si="859"/>
        <v>0</v>
      </c>
      <c r="AH621" s="604">
        <f t="shared" si="859"/>
        <v>0</v>
      </c>
      <c r="AI621" s="604">
        <f t="shared" ref="AI621:AX621" si="860">ROUND(INDEX(MO_CFSum_Capex,0,COLUMN())-AI452-AI453-AI454,6)</f>
        <v>0</v>
      </c>
      <c r="AJ621" s="604">
        <f t="shared" si="860"/>
        <v>0</v>
      </c>
      <c r="AK621" s="604">
        <f t="shared" si="860"/>
        <v>0</v>
      </c>
      <c r="AL621" s="604">
        <f t="shared" si="860"/>
        <v>0</v>
      </c>
      <c r="AM621" s="604">
        <f t="shared" si="860"/>
        <v>0</v>
      </c>
      <c r="AN621" s="604">
        <f t="shared" si="860"/>
        <v>0</v>
      </c>
      <c r="AO621" s="604">
        <f t="shared" si="860"/>
        <v>0</v>
      </c>
      <c r="AP621" s="604">
        <f t="shared" si="860"/>
        <v>0</v>
      </c>
      <c r="AQ621" s="604">
        <f t="shared" si="860"/>
        <v>0</v>
      </c>
      <c r="AR621" s="604">
        <f t="shared" si="860"/>
        <v>0</v>
      </c>
      <c r="AS621" s="604">
        <f t="shared" si="860"/>
        <v>0</v>
      </c>
      <c r="AT621" s="604">
        <f t="shared" si="860"/>
        <v>0</v>
      </c>
      <c r="AU621" s="605">
        <f t="shared" si="860"/>
        <v>0</v>
      </c>
      <c r="AV621" s="604">
        <f t="shared" si="860"/>
        <v>0</v>
      </c>
      <c r="AW621" s="604">
        <f t="shared" si="860"/>
        <v>0</v>
      </c>
      <c r="AX621" s="604">
        <f t="shared" si="860"/>
        <v>0</v>
      </c>
      <c r="AY621" s="604"/>
      <c r="AZ621" s="604">
        <f t="shared" ref="AZ621:BS621" si="861">ROUND(INDEX(MO_CFSum_Capex,0,COLUMN())-AZ452-AZ453-AZ454,6)</f>
        <v>0</v>
      </c>
      <c r="BA621" s="604">
        <f t="shared" si="861"/>
        <v>0</v>
      </c>
      <c r="BB621" s="604">
        <f t="shared" si="861"/>
        <v>0</v>
      </c>
      <c r="BC621" s="604">
        <f t="shared" si="861"/>
        <v>0</v>
      </c>
      <c r="BD621" s="604">
        <f t="shared" si="861"/>
        <v>0</v>
      </c>
      <c r="BE621" s="604">
        <f t="shared" si="861"/>
        <v>0</v>
      </c>
      <c r="BF621" s="604">
        <f t="shared" si="861"/>
        <v>0</v>
      </c>
      <c r="BG621" s="604">
        <f t="shared" si="861"/>
        <v>0</v>
      </c>
      <c r="BH621" s="604">
        <f t="shared" si="861"/>
        <v>0</v>
      </c>
      <c r="BI621" s="604">
        <f t="shared" si="861"/>
        <v>0</v>
      </c>
      <c r="BJ621" s="604">
        <f t="shared" si="861"/>
        <v>0</v>
      </c>
      <c r="BK621" s="604">
        <f t="shared" si="861"/>
        <v>0</v>
      </c>
      <c r="BL621" s="604">
        <f t="shared" si="861"/>
        <v>0</v>
      </c>
      <c r="BM621" s="604">
        <f t="shared" si="861"/>
        <v>0</v>
      </c>
      <c r="BN621" s="605">
        <f t="shared" si="861"/>
        <v>0</v>
      </c>
      <c r="BO621" s="604">
        <f t="shared" si="861"/>
        <v>0</v>
      </c>
      <c r="BP621" s="604" t="e">
        <f t="shared" si="861"/>
        <v>#REF!</v>
      </c>
      <c r="BQ621" s="604">
        <f t="shared" si="861"/>
        <v>0</v>
      </c>
      <c r="BR621" s="604">
        <f t="shared" si="861"/>
        <v>0</v>
      </c>
      <c r="BS621" s="604">
        <f t="shared" si="861"/>
        <v>0</v>
      </c>
      <c r="BT621" s="533"/>
    </row>
    <row r="622" spans="1:72" s="17" customFormat="1" hidden="1" outlineLevel="1" x14ac:dyDescent="0.35">
      <c r="A622" s="533" t="s">
        <v>237</v>
      </c>
      <c r="B622" s="528"/>
      <c r="C622" s="604">
        <f t="shared" ref="C622:AH622" si="862">IF(ISBLANK(INDEX(MO_IS_FirstRow,0,COLUMN())),0,IF(MOD(C131*1000000,1)=0,"Check",0))</f>
        <v>0</v>
      </c>
      <c r="D622" s="604">
        <f t="shared" si="862"/>
        <v>0</v>
      </c>
      <c r="E622" s="604">
        <f t="shared" si="862"/>
        <v>0</v>
      </c>
      <c r="F622" s="604">
        <f t="shared" si="862"/>
        <v>0</v>
      </c>
      <c r="G622" s="604">
        <f t="shared" si="862"/>
        <v>0</v>
      </c>
      <c r="H622" s="604">
        <f t="shared" si="862"/>
        <v>0</v>
      </c>
      <c r="I622" s="604">
        <f t="shared" si="862"/>
        <v>0</v>
      </c>
      <c r="J622" s="604">
        <f t="shared" si="862"/>
        <v>0</v>
      </c>
      <c r="K622" s="604">
        <f t="shared" si="862"/>
        <v>0</v>
      </c>
      <c r="L622" s="604">
        <f t="shared" si="862"/>
        <v>0</v>
      </c>
      <c r="M622" s="604">
        <f t="shared" si="862"/>
        <v>0</v>
      </c>
      <c r="N622" s="604">
        <f t="shared" si="862"/>
        <v>0</v>
      </c>
      <c r="O622" s="604">
        <f t="shared" si="862"/>
        <v>0</v>
      </c>
      <c r="P622" s="604">
        <f t="shared" si="862"/>
        <v>0</v>
      </c>
      <c r="Q622" s="604">
        <f t="shared" si="862"/>
        <v>0</v>
      </c>
      <c r="R622" s="604">
        <f t="shared" si="862"/>
        <v>0</v>
      </c>
      <c r="S622" s="604">
        <f t="shared" si="862"/>
        <v>0</v>
      </c>
      <c r="T622" s="604">
        <f t="shared" si="862"/>
        <v>0</v>
      </c>
      <c r="U622" s="604">
        <f t="shared" si="862"/>
        <v>0</v>
      </c>
      <c r="V622" s="604">
        <f t="shared" si="862"/>
        <v>0</v>
      </c>
      <c r="W622" s="604">
        <f t="shared" si="862"/>
        <v>0</v>
      </c>
      <c r="X622" s="604">
        <f t="shared" si="862"/>
        <v>0</v>
      </c>
      <c r="Y622" s="604">
        <f t="shared" si="862"/>
        <v>0</v>
      </c>
      <c r="Z622" s="604">
        <f t="shared" si="862"/>
        <v>0</v>
      </c>
      <c r="AA622" s="604">
        <f t="shared" si="862"/>
        <v>0</v>
      </c>
      <c r="AB622" s="604">
        <f t="shared" si="862"/>
        <v>0</v>
      </c>
      <c r="AC622" s="604">
        <f t="shared" si="862"/>
        <v>0</v>
      </c>
      <c r="AD622" s="604">
        <f t="shared" si="862"/>
        <v>0</v>
      </c>
      <c r="AE622" s="604">
        <f t="shared" si="862"/>
        <v>0</v>
      </c>
      <c r="AF622" s="604">
        <f t="shared" si="862"/>
        <v>0</v>
      </c>
      <c r="AG622" s="604">
        <f t="shared" si="862"/>
        <v>0</v>
      </c>
      <c r="AH622" s="604">
        <f t="shared" si="862"/>
        <v>0</v>
      </c>
      <c r="AI622" s="604">
        <f t="shared" ref="AI622:AX622" si="863">IF(ISBLANK(INDEX(MO_IS_FirstRow,0,COLUMN())),0,IF(MOD(AI131*1000000,1)=0,"Check",0))</f>
        <v>0</v>
      </c>
      <c r="AJ622" s="604">
        <f t="shared" si="863"/>
        <v>0</v>
      </c>
      <c r="AK622" s="604">
        <f t="shared" si="863"/>
        <v>0</v>
      </c>
      <c r="AL622" s="604">
        <f t="shared" si="863"/>
        <v>0</v>
      </c>
      <c r="AM622" s="604">
        <f t="shared" si="863"/>
        <v>0</v>
      </c>
      <c r="AN622" s="604">
        <f t="shared" si="863"/>
        <v>0</v>
      </c>
      <c r="AO622" s="604">
        <f t="shared" si="863"/>
        <v>0</v>
      </c>
      <c r="AP622" s="604">
        <f t="shared" si="863"/>
        <v>0</v>
      </c>
      <c r="AQ622" s="604">
        <f t="shared" si="863"/>
        <v>0</v>
      </c>
      <c r="AR622" s="604">
        <f t="shared" si="863"/>
        <v>0</v>
      </c>
      <c r="AS622" s="604">
        <f t="shared" si="863"/>
        <v>0</v>
      </c>
      <c r="AT622" s="604">
        <f t="shared" si="863"/>
        <v>0</v>
      </c>
      <c r="AU622" s="605">
        <f t="shared" si="863"/>
        <v>0</v>
      </c>
      <c r="AV622" s="604">
        <f t="shared" si="863"/>
        <v>0</v>
      </c>
      <c r="AW622" s="604">
        <f t="shared" si="863"/>
        <v>0</v>
      </c>
      <c r="AX622" s="604">
        <f t="shared" si="863"/>
        <v>0</v>
      </c>
      <c r="AY622" s="604"/>
      <c r="AZ622" s="604">
        <f t="shared" ref="AZ622:BS622" si="864">IF(ISBLANK(INDEX(MO_IS_FirstRow,0,COLUMN())),0,IF(MOD(AZ131*1000000,1)=0,"Check",0))</f>
        <v>0</v>
      </c>
      <c r="BA622" s="604">
        <f t="shared" si="864"/>
        <v>0</v>
      </c>
      <c r="BB622" s="604">
        <f t="shared" si="864"/>
        <v>0</v>
      </c>
      <c r="BC622" s="604">
        <f t="shared" si="864"/>
        <v>0</v>
      </c>
      <c r="BD622" s="604">
        <f t="shared" si="864"/>
        <v>0</v>
      </c>
      <c r="BE622" s="604">
        <f t="shared" si="864"/>
        <v>0</v>
      </c>
      <c r="BF622" s="604">
        <f t="shared" si="864"/>
        <v>0</v>
      </c>
      <c r="BG622" s="604">
        <f t="shared" si="864"/>
        <v>0</v>
      </c>
      <c r="BH622" s="604">
        <f t="shared" si="864"/>
        <v>0</v>
      </c>
      <c r="BI622" s="604">
        <f t="shared" si="864"/>
        <v>0</v>
      </c>
      <c r="BJ622" s="604">
        <f t="shared" si="864"/>
        <v>0</v>
      </c>
      <c r="BK622" s="604">
        <f t="shared" si="864"/>
        <v>0</v>
      </c>
      <c r="BL622" s="604">
        <f t="shared" si="864"/>
        <v>0</v>
      </c>
      <c r="BM622" s="604">
        <f t="shared" si="864"/>
        <v>0</v>
      </c>
      <c r="BN622" s="605">
        <f t="shared" si="864"/>
        <v>0</v>
      </c>
      <c r="BO622" s="604">
        <f t="shared" si="864"/>
        <v>0</v>
      </c>
      <c r="BP622" s="604">
        <f t="shared" si="864"/>
        <v>0</v>
      </c>
      <c r="BQ622" s="604">
        <f t="shared" si="864"/>
        <v>0</v>
      </c>
      <c r="BR622" s="604">
        <f t="shared" si="864"/>
        <v>0</v>
      </c>
      <c r="BS622" s="604">
        <f t="shared" si="864"/>
        <v>0</v>
      </c>
      <c r="BT622" s="533"/>
    </row>
    <row r="623" spans="1:72" s="17" customFormat="1" hidden="1" outlineLevel="1" x14ac:dyDescent="0.35">
      <c r="A623" s="533" t="s">
        <v>238</v>
      </c>
      <c r="B623" s="528"/>
      <c r="C623" s="604"/>
      <c r="D623" s="604"/>
      <c r="E623" s="604"/>
      <c r="F623" s="604"/>
      <c r="G623" s="604"/>
      <c r="H623" s="604"/>
      <c r="I623" s="604"/>
      <c r="J623" s="604"/>
      <c r="K623" s="604"/>
      <c r="L623" s="604"/>
      <c r="M623" s="604"/>
      <c r="N623" s="604"/>
      <c r="O623" s="604"/>
      <c r="P623" s="604"/>
      <c r="Q623" s="604"/>
      <c r="R623" s="604"/>
      <c r="S623" s="604"/>
      <c r="T623" s="604"/>
      <c r="U623" s="604"/>
      <c r="V623" s="604"/>
      <c r="W623" s="604"/>
      <c r="X623" s="604"/>
      <c r="Y623" s="604"/>
      <c r="Z623" s="604"/>
      <c r="AA623" s="604"/>
      <c r="AB623" s="604"/>
      <c r="AC623" s="604"/>
      <c r="AD623" s="604"/>
      <c r="AE623" s="604"/>
      <c r="AF623" s="604"/>
      <c r="AG623" s="604"/>
      <c r="AH623" s="604"/>
      <c r="AI623" s="604"/>
      <c r="AJ623" s="604"/>
      <c r="AK623" s="604"/>
      <c r="AL623" s="604"/>
      <c r="AM623" s="604"/>
      <c r="AN623" s="604"/>
      <c r="AO623" s="604"/>
      <c r="AP623" s="604"/>
      <c r="AQ623" s="604"/>
      <c r="AR623" s="604"/>
      <c r="AS623" s="604"/>
      <c r="AT623" s="604"/>
      <c r="AU623" s="605"/>
      <c r="AV623" s="604"/>
      <c r="AW623" s="604"/>
      <c r="AX623" s="604"/>
      <c r="AY623" s="604"/>
      <c r="AZ623" s="604"/>
      <c r="BA623" s="604"/>
      <c r="BB623" s="604"/>
      <c r="BC623" s="604"/>
      <c r="BD623" s="604">
        <f>IF(ISBLANK(INDEX(MO_IS_FirstRow,0,COLUMN())),0,ROUND(BD178-SUM(C178,D178,E178,F178),6))+IF(ISBLANK(INDEX(MO_IS_FirstRow,0,COLUMN())),0,ROUND(BD181-SUM(C181,D181,E181,F181),6))</f>
        <v>0</v>
      </c>
      <c r="BE623" s="604">
        <f>IF(ISBLANK(INDEX(MO_IS_FirstRow,0,COLUMN())),0,ROUND(BE178-SUM(G178,H178,I178,J178),6))+IF(ISBLANK(INDEX(MO_IS_FirstRow,0,COLUMN())),0,ROUND(BE181-SUM(G181,H181,I181,J181),6))</f>
        <v>0</v>
      </c>
      <c r="BF623" s="604">
        <f>IF(ISBLANK(INDEX(MO_IS_FirstRow,0,COLUMN())),0,ROUND(BF178-SUM(K178,L178,M178,N178),6))+IF(ISBLANK(INDEX(MO_IS_FirstRow,0,COLUMN())),0,ROUND(BF181-SUM(K181,L181,M181,N181),6))</f>
        <v>0</v>
      </c>
      <c r="BG623" s="604">
        <f>IF(ISBLANK(INDEX(MO_IS_FirstRow,0,COLUMN())),0,ROUND(BG178-SUM(O178,P178,Q178,R178),6))+IF(ISBLANK(INDEX(MO_IS_FirstRow,0,COLUMN())),0,ROUND(BG181-SUM(O181,P181,Q181,R181),6))</f>
        <v>0</v>
      </c>
      <c r="BH623" s="604">
        <f>IF(ISBLANK(INDEX(MO_IS_FirstRow,0,COLUMN())),0,ROUND(BH178-SUM(S178,T178,U178,V178),6))+IF(ISBLANK(INDEX(MO_IS_FirstRow,0,COLUMN())),0,ROUND(BH181-SUM(S181,T181,U181,V181),6))</f>
        <v>0</v>
      </c>
      <c r="BI623" s="604">
        <f>IF(ISBLANK(INDEX(MO_IS_FirstRow,0,COLUMN())),0,ROUND(BI178-SUM(W178,X178,Y178,Z178),6))+IF(ISBLANK(INDEX(MO_IS_FirstRow,0,COLUMN())),0,ROUND(BI181-SUM(W181,X181,Y181,Z181),6))</f>
        <v>0</v>
      </c>
      <c r="BJ623" s="604">
        <f>IF(ISBLANK(INDEX(MO_IS_FirstRow,0,COLUMN())),0,ROUND(BJ178-SUM(AA178,AB178,AC178,AD178),6))+IF(ISBLANK(INDEX(MO_IS_FirstRow,0,COLUMN())),0,ROUND(BJ181-SUM(AA181,AB181,AC181,AD181),6))</f>
        <v>0</v>
      </c>
      <c r="BK623" s="604">
        <f>IF(ISBLANK(INDEX(MO_IS_FirstRow,0,COLUMN())),0,ROUND(BK178-SUM(AE178,AF178,AG178,AH178),6))+IF(ISBLANK(INDEX(MO_IS_FirstRow,0,COLUMN())),0,ROUND(BK181-SUM(AE181,AF181,AG181,AH181),6))</f>
        <v>0</v>
      </c>
      <c r="BL623" s="604">
        <f>IF(ISBLANK(INDEX(MO_IS_FirstRow,0,COLUMN())),0,ROUND(BL178-SUM(AI178,AJ178,AK178,AL178),6))+IF(ISBLANK(INDEX(MO_IS_FirstRow,0,COLUMN())),0,ROUND(BL181-SUM(AI181,AJ181,AK181,AL181),6))</f>
        <v>0</v>
      </c>
      <c r="BM623" s="604">
        <f>IF(ISBLANK(INDEX(MO_IS_FirstRow,0,COLUMN())),0,ROUND(BM178-SUM(AM178,AN178,AO178,AP178),6))+IF(ISBLANK(INDEX(MO_IS_FirstRow,0,COLUMN())),0,ROUND(BM181-SUM(AM181,AN181,AO181,AP181),6))</f>
        <v>0</v>
      </c>
      <c r="BN623" s="605">
        <f>IF(ISBLANK(INDEX(MO_IS_FirstRow,0,COLUMN())),0,ROUND(BN178-SUM(AQ178,AR178,AS178,AT178),6))+IF(ISBLANK(INDEX(MO_IS_FirstRow,0,COLUMN())),0,ROUND(BN181-SUM(AQ181,AR181,AS181,AT181),6))</f>
        <v>0</v>
      </c>
      <c r="BO623" s="604">
        <f>IF(ISBLANK(INDEX(MO_IS_FirstRow,0,COLUMN())),0,ROUND(BO178-SUM(AU178,AV178,AW178,AX178),6))+IF(ISBLANK(INDEX(MO_IS_FirstRow,0,COLUMN())),0,ROUND(BO181-SUM(AU181,AV181,AW181,AX181),6))</f>
        <v>0</v>
      </c>
      <c r="BP623" s="604">
        <f>IF(ISBLANK(INDEX(MO_IS_FirstRow,0,COLUMN())),0,ROUND(BP178-SUM(#REF!,#REF!,#REF!,#REF!),6))+IF(ISBLANK(INDEX(MO_IS_FirstRow,0,COLUMN())),0,ROUND(BP181-SUM(#REF!,#REF!,#REF!,#REF!),6))</f>
        <v>0</v>
      </c>
      <c r="BQ623" s="604"/>
      <c r="BR623" s="604"/>
      <c r="BS623" s="604"/>
      <c r="BT623" s="533"/>
    </row>
    <row r="624" spans="1:72" s="17" customFormat="1" hidden="1" outlineLevel="1" x14ac:dyDescent="0.35">
      <c r="A624" s="533" t="s">
        <v>239</v>
      </c>
      <c r="B624" s="528"/>
      <c r="C624" s="604">
        <f t="shared" ref="C624:AH624" si="865">IF(OR(INDEX(MO_CFSum_Acquisition,1,COLUMN())&gt;0,INDEX(MO_CFSum_Divestiture,1,COLUMN())&lt;0,INDEX(MO_CFSum_Capex,1,COLUMN())&gt;0,INDEX(MO_CFSum_Dividend,1,COLUMN())&gt;0),"CHECK",0)</f>
        <v>0</v>
      </c>
      <c r="D624" s="604">
        <f t="shared" si="865"/>
        <v>0</v>
      </c>
      <c r="E624" s="604">
        <f t="shared" si="865"/>
        <v>0</v>
      </c>
      <c r="F624" s="604">
        <f t="shared" si="865"/>
        <v>0</v>
      </c>
      <c r="G624" s="604">
        <f t="shared" si="865"/>
        <v>0</v>
      </c>
      <c r="H624" s="604">
        <f t="shared" si="865"/>
        <v>0</v>
      </c>
      <c r="I624" s="604">
        <f t="shared" si="865"/>
        <v>0</v>
      </c>
      <c r="J624" s="604">
        <f t="shared" si="865"/>
        <v>0</v>
      </c>
      <c r="K624" s="604">
        <f t="shared" si="865"/>
        <v>0</v>
      </c>
      <c r="L624" s="604">
        <f t="shared" si="865"/>
        <v>0</v>
      </c>
      <c r="M624" s="604">
        <f t="shared" si="865"/>
        <v>0</v>
      </c>
      <c r="N624" s="604">
        <f t="shared" si="865"/>
        <v>0</v>
      </c>
      <c r="O624" s="604">
        <f t="shared" si="865"/>
        <v>0</v>
      </c>
      <c r="P624" s="604">
        <f t="shared" si="865"/>
        <v>0</v>
      </c>
      <c r="Q624" s="604">
        <f t="shared" si="865"/>
        <v>0</v>
      </c>
      <c r="R624" s="604">
        <f t="shared" si="865"/>
        <v>0</v>
      </c>
      <c r="S624" s="604">
        <f t="shared" si="865"/>
        <v>0</v>
      </c>
      <c r="T624" s="604">
        <f t="shared" si="865"/>
        <v>0</v>
      </c>
      <c r="U624" s="604">
        <f t="shared" si="865"/>
        <v>0</v>
      </c>
      <c r="V624" s="604" t="str">
        <f t="shared" si="865"/>
        <v>CHECK</v>
      </c>
      <c r="W624" s="604">
        <f t="shared" si="865"/>
        <v>0</v>
      </c>
      <c r="X624" s="604">
        <f t="shared" si="865"/>
        <v>0</v>
      </c>
      <c r="Y624" s="604">
        <f t="shared" si="865"/>
        <v>0</v>
      </c>
      <c r="Z624" s="604" t="str">
        <f t="shared" si="865"/>
        <v>CHECK</v>
      </c>
      <c r="AA624" s="604">
        <f t="shared" si="865"/>
        <v>0</v>
      </c>
      <c r="AB624" s="604">
        <f t="shared" si="865"/>
        <v>0</v>
      </c>
      <c r="AC624" s="604">
        <f t="shared" si="865"/>
        <v>0</v>
      </c>
      <c r="AD624" s="604">
        <f t="shared" si="865"/>
        <v>0</v>
      </c>
      <c r="AE624" s="604">
        <f t="shared" si="865"/>
        <v>0</v>
      </c>
      <c r="AF624" s="604">
        <f t="shared" si="865"/>
        <v>0</v>
      </c>
      <c r="AG624" s="604">
        <f t="shared" si="865"/>
        <v>0</v>
      </c>
      <c r="AH624" s="604">
        <f t="shared" si="865"/>
        <v>0</v>
      </c>
      <c r="AI624" s="604">
        <f t="shared" ref="AI624:AX624" si="866">IF(OR(INDEX(MO_CFSum_Acquisition,1,COLUMN())&gt;0,INDEX(MO_CFSum_Divestiture,1,COLUMN())&lt;0,INDEX(MO_CFSum_Capex,1,COLUMN())&gt;0,INDEX(MO_CFSum_Dividend,1,COLUMN())&gt;0),"CHECK",0)</f>
        <v>0</v>
      </c>
      <c r="AJ624" s="604">
        <f t="shared" si="866"/>
        <v>0</v>
      </c>
      <c r="AK624" s="604">
        <f t="shared" si="866"/>
        <v>0</v>
      </c>
      <c r="AL624" s="604">
        <f t="shared" si="866"/>
        <v>0</v>
      </c>
      <c r="AM624" s="604">
        <f t="shared" si="866"/>
        <v>0</v>
      </c>
      <c r="AN624" s="604">
        <f t="shared" si="866"/>
        <v>0</v>
      </c>
      <c r="AO624" s="604" t="str">
        <f t="shared" si="866"/>
        <v>CHECK</v>
      </c>
      <c r="AP624" s="604">
        <f t="shared" si="866"/>
        <v>0</v>
      </c>
      <c r="AQ624" s="604">
        <f t="shared" si="866"/>
        <v>0</v>
      </c>
      <c r="AR624" s="604">
        <f t="shared" si="866"/>
        <v>0</v>
      </c>
      <c r="AS624" s="604">
        <f t="shared" si="866"/>
        <v>0</v>
      </c>
      <c r="AT624" s="604">
        <f t="shared" si="866"/>
        <v>0</v>
      </c>
      <c r="AU624" s="605">
        <f t="shared" si="866"/>
        <v>0</v>
      </c>
      <c r="AV624" s="604">
        <f t="shared" ca="1" si="866"/>
        <v>0</v>
      </c>
      <c r="AW624" s="604">
        <f t="shared" ca="1" si="866"/>
        <v>0</v>
      </c>
      <c r="AX624" s="604">
        <f t="shared" ca="1" si="866"/>
        <v>0</v>
      </c>
      <c r="AY624" s="604"/>
      <c r="AZ624" s="604">
        <f t="shared" ref="AZ624:BS624" si="867">IF(OR(INDEX(MO_CFSum_Acquisition,1,COLUMN())&gt;0,INDEX(MO_CFSum_Divestiture,1,COLUMN())&lt;0,INDEX(MO_CFSum_Capex,1,COLUMN())&gt;0,INDEX(MO_CFSum_Dividend,1,COLUMN())&gt;0),"CHECK",0)</f>
        <v>0</v>
      </c>
      <c r="BA624" s="604">
        <f t="shared" si="867"/>
        <v>0</v>
      </c>
      <c r="BB624" s="604">
        <f t="shared" si="867"/>
        <v>0</v>
      </c>
      <c r="BC624" s="604">
        <f t="shared" si="867"/>
        <v>0</v>
      </c>
      <c r="BD624" s="604">
        <f t="shared" si="867"/>
        <v>0</v>
      </c>
      <c r="BE624" s="604">
        <f t="shared" si="867"/>
        <v>0</v>
      </c>
      <c r="BF624" s="604">
        <f t="shared" si="867"/>
        <v>0</v>
      </c>
      <c r="BG624" s="604">
        <f t="shared" si="867"/>
        <v>0</v>
      </c>
      <c r="BH624" s="604" t="str">
        <f t="shared" si="867"/>
        <v>CHECK</v>
      </c>
      <c r="BI624" s="604">
        <f t="shared" si="867"/>
        <v>0</v>
      </c>
      <c r="BJ624" s="604">
        <f t="shared" si="867"/>
        <v>0</v>
      </c>
      <c r="BK624" s="604">
        <f t="shared" si="867"/>
        <v>0</v>
      </c>
      <c r="BL624" s="604">
        <f t="shared" si="867"/>
        <v>0</v>
      </c>
      <c r="BM624" s="604">
        <f t="shared" si="867"/>
        <v>0</v>
      </c>
      <c r="BN624" s="605">
        <f t="shared" si="867"/>
        <v>0</v>
      </c>
      <c r="BO624" s="604">
        <f t="shared" ca="1" si="867"/>
        <v>0</v>
      </c>
      <c r="BP624" s="604" t="e">
        <f t="shared" si="867"/>
        <v>#REF!</v>
      </c>
      <c r="BQ624" s="604" t="e">
        <f t="shared" si="867"/>
        <v>#REF!</v>
      </c>
      <c r="BR624" s="604" t="e">
        <f t="shared" ca="1" si="867"/>
        <v>#REF!</v>
      </c>
      <c r="BS624" s="604" t="e">
        <f t="shared" ca="1" si="867"/>
        <v>#REF!</v>
      </c>
      <c r="BT624" s="533"/>
    </row>
    <row r="625" spans="1:72" s="17" customFormat="1" hidden="1" outlineLevel="1" x14ac:dyDescent="0.35">
      <c r="A625" s="533" t="s">
        <v>240</v>
      </c>
      <c r="B625" s="528"/>
      <c r="C625" s="604"/>
      <c r="D625" s="604"/>
      <c r="E625" s="604"/>
      <c r="F625" s="604"/>
      <c r="G625" s="604"/>
      <c r="H625" s="604"/>
      <c r="I625" s="604"/>
      <c r="J625" s="604"/>
      <c r="K625" s="604"/>
      <c r="L625" s="604"/>
      <c r="M625" s="604"/>
      <c r="N625" s="604"/>
      <c r="O625" s="604"/>
      <c r="P625" s="604"/>
      <c r="Q625" s="604"/>
      <c r="R625" s="604"/>
      <c r="S625" s="604"/>
      <c r="T625" s="604"/>
      <c r="U625" s="604"/>
      <c r="V625" s="604"/>
      <c r="W625" s="604"/>
      <c r="X625" s="604"/>
      <c r="Y625" s="604"/>
      <c r="Z625" s="604"/>
      <c r="AA625" s="604"/>
      <c r="AB625" s="604"/>
      <c r="AC625" s="604"/>
      <c r="AD625" s="604"/>
      <c r="AE625" s="604"/>
      <c r="AF625" s="604"/>
      <c r="AG625" s="604"/>
      <c r="AH625" s="604"/>
      <c r="AI625" s="604"/>
      <c r="AJ625" s="604"/>
      <c r="AK625" s="604"/>
      <c r="AL625" s="604"/>
      <c r="AM625" s="604"/>
      <c r="AN625" s="604"/>
      <c r="AO625" s="604"/>
      <c r="AP625" s="604"/>
      <c r="AQ625" s="604"/>
      <c r="AR625" s="604"/>
      <c r="AS625" s="604"/>
      <c r="AT625" s="604"/>
      <c r="AU625" s="605"/>
      <c r="AV625" s="604"/>
      <c r="AW625" s="604"/>
      <c r="AX625" s="604"/>
      <c r="AY625" s="604"/>
      <c r="AZ625" s="604"/>
      <c r="BA625" s="604"/>
      <c r="BB625" s="604"/>
      <c r="BC625" s="604"/>
      <c r="BD625" s="604">
        <f>ROUND(BD215-SUM(C215,D215,E215,F215),6)</f>
        <v>0</v>
      </c>
      <c r="BE625" s="604">
        <f>ROUND(BE215-SUM(G215,H215,I215,J215),6)</f>
        <v>0</v>
      </c>
      <c r="BF625" s="604">
        <f>ROUND(BF215-SUM(K215,L215,M215,N215),6)</f>
        <v>0</v>
      </c>
      <c r="BG625" s="604">
        <f>ROUND(BG215-SUM(O215,P215,Q215,R215),6)</f>
        <v>0</v>
      </c>
      <c r="BH625" s="604">
        <f>ROUND(BH215-SUM(S215,T215,U215,V215),6)</f>
        <v>0</v>
      </c>
      <c r="BI625" s="604">
        <f>ROUND(BI215-SUM(W215,X215,Y215,Z215),6)</f>
        <v>0</v>
      </c>
      <c r="BJ625" s="604">
        <f>ROUND(BJ215-SUM(AA215,AB215,AC215,AD215),6)</f>
        <v>0</v>
      </c>
      <c r="BK625" s="604">
        <f>ROUND(BK215-SUM(AE215,AF215,AG215,AH215),6)</f>
        <v>0</v>
      </c>
      <c r="BL625" s="604">
        <f>ROUND(BL215-SUM(AI215,AJ215,AK215,AL215),6)</f>
        <v>0</v>
      </c>
      <c r="BM625" s="604">
        <f>ROUND(BM215-SUM(AM215,AN215,AO215,AP215),6)</f>
        <v>0</v>
      </c>
      <c r="BN625" s="605">
        <f>ROUND(BN215-SUM(AQ215,AR215,AS215,AT215),6)</f>
        <v>0</v>
      </c>
      <c r="BO625" s="604">
        <f ca="1">ROUND(BO215-SUM(AU215,AV215,AW215,AX215),6)</f>
        <v>0</v>
      </c>
      <c r="BP625" s="604" t="e">
        <f>ROUND(BP215-SUM(#REF!,#REF!,#REF!,#REF!),6)</f>
        <v>#REF!</v>
      </c>
      <c r="BQ625" s="604"/>
      <c r="BR625" s="604"/>
      <c r="BS625" s="604"/>
      <c r="BT625" s="533"/>
    </row>
    <row r="626" spans="1:72" s="17" customFormat="1" hidden="1" outlineLevel="1" x14ac:dyDescent="0.35">
      <c r="A626" s="533" t="s">
        <v>241</v>
      </c>
      <c r="B626" s="528"/>
      <c r="C626" s="604"/>
      <c r="D626" s="604"/>
      <c r="E626" s="604"/>
      <c r="F626" s="604"/>
      <c r="G626" s="604"/>
      <c r="H626" s="604"/>
      <c r="I626" s="604"/>
      <c r="J626" s="604"/>
      <c r="K626" s="604"/>
      <c r="L626" s="604"/>
      <c r="M626" s="604"/>
      <c r="N626" s="604"/>
      <c r="O626" s="604"/>
      <c r="P626" s="604"/>
      <c r="Q626" s="604"/>
      <c r="R626" s="604"/>
      <c r="S626" s="604"/>
      <c r="T626" s="604"/>
      <c r="U626" s="604"/>
      <c r="V626" s="604"/>
      <c r="W626" s="604"/>
      <c r="X626" s="604"/>
      <c r="Y626" s="604"/>
      <c r="Z626" s="604"/>
      <c r="AA626" s="604"/>
      <c r="AB626" s="604"/>
      <c r="AC626" s="604"/>
      <c r="AD626" s="604"/>
      <c r="AE626" s="604"/>
      <c r="AF626" s="604"/>
      <c r="AG626" s="604"/>
      <c r="AH626" s="604"/>
      <c r="AI626" s="604"/>
      <c r="AJ626" s="604"/>
      <c r="AK626" s="604"/>
      <c r="AL626" s="604"/>
      <c r="AM626" s="604"/>
      <c r="AN626" s="604"/>
      <c r="AO626" s="604"/>
      <c r="AP626" s="604"/>
      <c r="AQ626" s="604"/>
      <c r="AR626" s="604"/>
      <c r="AS626" s="604"/>
      <c r="AT626" s="604"/>
      <c r="AU626" s="605"/>
      <c r="AV626" s="604"/>
      <c r="AW626" s="604"/>
      <c r="AX626" s="604"/>
      <c r="AY626" s="604"/>
      <c r="AZ626" s="604"/>
      <c r="BA626" s="604"/>
      <c r="BB626" s="604"/>
      <c r="BC626" s="604"/>
      <c r="BD626" s="604">
        <f>ROUND(SUM(C225,D225,E225,F225)-INDEX(MO_RIS_NI_NONGAAP_Diluted,1,COLUMN()),6)</f>
        <v>0</v>
      </c>
      <c r="BE626" s="604">
        <f>ROUND(SUM(G225,H225,I225,J225)-INDEX(MO_RIS_NI_NONGAAP_Diluted,1,COLUMN()),6)</f>
        <v>0</v>
      </c>
      <c r="BF626" s="604">
        <f>ROUND(SUM(K225,L225,M225,N225)-INDEX(MO_RIS_NI_NONGAAP_Diluted,1,COLUMN()),6)</f>
        <v>0</v>
      </c>
      <c r="BG626" s="604">
        <f>ROUND(SUM(O225,P225,Q225,R225)-INDEX(MO_RIS_NI_NONGAAP_Diluted,1,COLUMN()),6)</f>
        <v>0</v>
      </c>
      <c r="BH626" s="604">
        <f>ROUND(SUM(S225,T225,U225,V225)-INDEX(MO_RIS_NI_NONGAAP_Diluted,1,COLUMN()),6)</f>
        <v>0</v>
      </c>
      <c r="BI626" s="604">
        <f>ROUND(SUM(W225,X225,Y225,Z225)-INDEX(MO_RIS_NI_NONGAAP_Diluted,1,COLUMN()),6)</f>
        <v>0</v>
      </c>
      <c r="BJ626" s="604">
        <f>ROUND(SUM(AA225,AB225,AC225,AD225)-INDEX(MO_RIS_NI_NONGAAP_Diluted,1,COLUMN()),6)</f>
        <v>0</v>
      </c>
      <c r="BK626" s="604">
        <f>ROUND(SUM(AE225,AF225,AG225,AH225)-INDEX(MO_RIS_NI_NONGAAP_Diluted,1,COLUMN()),6)</f>
        <v>0</v>
      </c>
      <c r="BL626" s="604">
        <f>ROUND(SUM(AI225,AJ225,AK225,AL225)-INDEX(MO_RIS_NI_NONGAAP_Diluted,1,COLUMN()),6)</f>
        <v>0</v>
      </c>
      <c r="BM626" s="604">
        <f>ROUND(SUM(AM225,AN225,AO225,AP225)-INDEX(MO_RIS_NI_NONGAAP_Diluted,1,COLUMN()),6)</f>
        <v>0</v>
      </c>
      <c r="BN626" s="605">
        <f>ROUND(SUM(AQ225,AR225,AS225,AT225)-INDEX(MO_RIS_NI_NONGAAP_Diluted,1,COLUMN()),6)</f>
        <v>0</v>
      </c>
      <c r="BO626" s="604">
        <f ca="1">ROUND(SUM(AU225,AV225,AW225,AX225)-INDEX(MO_RIS_NI_NONGAAP_Diluted,1,COLUMN()),6)</f>
        <v>0</v>
      </c>
      <c r="BP626" s="604" t="e">
        <f>ROUND(SUM(#REF!,#REF!,#REF!,#REF!)-INDEX(MO_RIS_NI_NONGAAP_Diluted,1,COLUMN()),6)</f>
        <v>#REF!</v>
      </c>
      <c r="BQ626" s="604"/>
      <c r="BR626" s="604"/>
      <c r="BS626" s="604"/>
      <c r="BT626" s="533"/>
    </row>
    <row r="627" spans="1:72" s="17" customFormat="1" hidden="1" outlineLevel="1" x14ac:dyDescent="0.35">
      <c r="A627" s="533" t="s">
        <v>242</v>
      </c>
      <c r="B627" s="528"/>
      <c r="C627" s="604"/>
      <c r="D627" s="604"/>
      <c r="E627" s="604"/>
      <c r="F627" s="604"/>
      <c r="G627" s="604"/>
      <c r="H627" s="604"/>
      <c r="I627" s="604"/>
      <c r="J627" s="604"/>
      <c r="K627" s="604"/>
      <c r="L627" s="604"/>
      <c r="M627" s="604"/>
      <c r="N627" s="604"/>
      <c r="O627" s="604"/>
      <c r="P627" s="604"/>
      <c r="Q627" s="604"/>
      <c r="R627" s="604"/>
      <c r="S627" s="604"/>
      <c r="T627" s="604"/>
      <c r="U627" s="604"/>
      <c r="V627" s="604"/>
      <c r="W627" s="604"/>
      <c r="X627" s="604"/>
      <c r="Y627" s="604"/>
      <c r="Z627" s="604"/>
      <c r="AA627" s="604"/>
      <c r="AB627" s="604"/>
      <c r="AC627" s="604"/>
      <c r="AD627" s="604"/>
      <c r="AE627" s="604"/>
      <c r="AF627" s="604"/>
      <c r="AG627" s="604"/>
      <c r="AH627" s="604"/>
      <c r="AI627" s="604"/>
      <c r="AJ627" s="604"/>
      <c r="AK627" s="604"/>
      <c r="AL627" s="604"/>
      <c r="AM627" s="604"/>
      <c r="AN627" s="604"/>
      <c r="AO627" s="604"/>
      <c r="AP627" s="604"/>
      <c r="AQ627" s="604"/>
      <c r="AR627" s="604"/>
      <c r="AS627" s="604"/>
      <c r="AT627" s="604"/>
      <c r="AU627" s="605"/>
      <c r="AV627" s="604"/>
      <c r="AW627" s="604"/>
      <c r="AX627" s="604"/>
      <c r="AY627" s="604"/>
      <c r="AZ627" s="604"/>
      <c r="BA627" s="604"/>
      <c r="BB627" s="604"/>
      <c r="BC627" s="604"/>
      <c r="BD627" s="604">
        <f ca="1">ROUND(SUM(C435,D435,E435,F435)-SUM(OFFSET(INDEX(MO_CFS_CFO_BeforeWC,1,COLUMN()),ROW(INDEX(MO_SubSection_CFS_CFO,1,COLUMN()))-ROW(INDEX(MO_CFS_CFO_BeforeWC,1,COLUMN())),0,ROW(INDEX(MO_CFS_CFO_BeforeWC,1,COLUMN()))-ROW(INDEX(MO_SubSection_CFS_CFO,1,COLUMN())),1)),6)</f>
        <v>0</v>
      </c>
      <c r="BE627" s="604">
        <f ca="1">ROUND(SUM(G435,H435,I435,J435)-SUM(OFFSET(INDEX(MO_CFS_CFO_BeforeWC,1,COLUMN()),ROW(INDEX(MO_SubSection_CFS_CFO,1,COLUMN()))-ROW(INDEX(MO_CFS_CFO_BeforeWC,1,COLUMN())),0,ROW(INDEX(MO_CFS_CFO_BeforeWC,1,COLUMN()))-ROW(INDEX(MO_SubSection_CFS_CFO,1,COLUMN())),1)),6)</f>
        <v>0</v>
      </c>
      <c r="BF627" s="604">
        <f ca="1">ROUND(SUM(K435,L435,M435,N435)-SUM(OFFSET(INDEX(MO_CFS_CFO_BeforeWC,1,COLUMN()),ROW(INDEX(MO_SubSection_CFS_CFO,1,COLUMN()))-ROW(INDEX(MO_CFS_CFO_BeforeWC,1,COLUMN())),0,ROW(INDEX(MO_CFS_CFO_BeforeWC,1,COLUMN()))-ROW(INDEX(MO_SubSection_CFS_CFO,1,COLUMN())),1)),6)</f>
        <v>0</v>
      </c>
      <c r="BG627" s="604">
        <f ca="1">ROUND(SUM(O435,P435,Q435,R435)-SUM(OFFSET(INDEX(MO_CFS_CFO_BeforeWC,1,COLUMN()),ROW(INDEX(MO_SubSection_CFS_CFO,1,COLUMN()))-ROW(INDEX(MO_CFS_CFO_BeforeWC,1,COLUMN())),0,ROW(INDEX(MO_CFS_CFO_BeforeWC,1,COLUMN()))-ROW(INDEX(MO_SubSection_CFS_CFO,1,COLUMN())),1)),6)</f>
        <v>0</v>
      </c>
      <c r="BH627" s="604">
        <f ca="1">ROUND(SUM(S435,T435,U435,V435)-SUM(OFFSET(INDEX(MO_CFS_CFO_BeforeWC,1,COLUMN()),ROW(INDEX(MO_SubSection_CFS_CFO,1,COLUMN()))-ROW(INDEX(MO_CFS_CFO_BeforeWC,1,COLUMN())),0,ROW(INDEX(MO_CFS_CFO_BeforeWC,1,COLUMN()))-ROW(INDEX(MO_SubSection_CFS_CFO,1,COLUMN())),1)),6)</f>
        <v>0</v>
      </c>
      <c r="BI627" s="604">
        <f ca="1">ROUND(SUM(W435,X435,Y435,Z435)-SUM(OFFSET(INDEX(MO_CFS_CFO_BeforeWC,1,COLUMN()),ROW(INDEX(MO_SubSection_CFS_CFO,1,COLUMN()))-ROW(INDEX(MO_CFS_CFO_BeforeWC,1,COLUMN())),0,ROW(INDEX(MO_CFS_CFO_BeforeWC,1,COLUMN()))-ROW(INDEX(MO_SubSection_CFS_CFO,1,COLUMN())),1)),6)</f>
        <v>0</v>
      </c>
      <c r="BJ627" s="604">
        <f ca="1">ROUND(SUM(AA435,AB435,AC435,AD435)-SUM(OFFSET(INDEX(MO_CFS_CFO_BeforeWC,1,COLUMN()),ROW(INDEX(MO_SubSection_CFS_CFO,1,COLUMN()))-ROW(INDEX(MO_CFS_CFO_BeforeWC,1,COLUMN())),0,ROW(INDEX(MO_CFS_CFO_BeforeWC,1,COLUMN()))-ROW(INDEX(MO_SubSection_CFS_CFO,1,COLUMN())),1)),6)</f>
        <v>0</v>
      </c>
      <c r="BK627" s="604">
        <f ca="1">ROUND(SUM(AE435,AF435,AG435,AH435)-SUM(OFFSET(INDEX(MO_CFS_CFO_BeforeWC,1,COLUMN()),ROW(INDEX(MO_SubSection_CFS_CFO,1,COLUMN()))-ROW(INDEX(MO_CFS_CFO_BeforeWC,1,COLUMN())),0,ROW(INDEX(MO_CFS_CFO_BeforeWC,1,COLUMN()))-ROW(INDEX(MO_SubSection_CFS_CFO,1,COLUMN())),1)),6)</f>
        <v>0</v>
      </c>
      <c r="BL627" s="604">
        <f ca="1">ROUND(SUM(AI435,AJ435,AK435,AL435)-SUM(OFFSET(INDEX(MO_CFS_CFO_BeforeWC,1,COLUMN()),ROW(INDEX(MO_SubSection_CFS_CFO,1,COLUMN()))-ROW(INDEX(MO_CFS_CFO_BeforeWC,1,COLUMN())),0,ROW(INDEX(MO_CFS_CFO_BeforeWC,1,COLUMN()))-ROW(INDEX(MO_SubSection_CFS_CFO,1,COLUMN())),1)),6)</f>
        <v>0</v>
      </c>
      <c r="BM627" s="604">
        <f ca="1">ROUND(SUM(AM435,AN435,AO435,AP435)-SUM(OFFSET(INDEX(MO_CFS_CFO_BeforeWC,1,COLUMN()),ROW(INDEX(MO_SubSection_CFS_CFO,1,COLUMN()))-ROW(INDEX(MO_CFS_CFO_BeforeWC,1,COLUMN())),0,ROW(INDEX(MO_CFS_CFO_BeforeWC,1,COLUMN()))-ROW(INDEX(MO_SubSection_CFS_CFO,1,COLUMN())),1)),6)</f>
        <v>0</v>
      </c>
      <c r="BN627" s="605">
        <f ca="1">ROUND(SUM(AQ435,AR435,AS435,AT435)-SUM(OFFSET(INDEX(MO_CFS_CFO_BeforeWC,1,COLUMN()),ROW(INDEX(MO_SubSection_CFS_CFO,1,COLUMN()))-ROW(INDEX(MO_CFS_CFO_BeforeWC,1,COLUMN())),0,ROW(INDEX(MO_CFS_CFO_BeforeWC,1,COLUMN()))-ROW(INDEX(MO_SubSection_CFS_CFO,1,COLUMN())),1)),6)</f>
        <v>0</v>
      </c>
      <c r="BO627" s="604">
        <f ca="1">ROUND(SUM(AU435,AV435,AW435,AX435)-SUM(OFFSET(INDEX(MO_CFS_CFO_BeforeWC,1,COLUMN()),ROW(INDEX(MO_SubSection_CFS_CFO,1,COLUMN()))-ROW(INDEX(MO_CFS_CFO_BeforeWC,1,COLUMN())),0,ROW(INDEX(MO_CFS_CFO_BeforeWC,1,COLUMN()))-ROW(INDEX(MO_SubSection_CFS_CFO,1,COLUMN())),1)),6)</f>
        <v>0</v>
      </c>
      <c r="BP627" s="604" t="e">
        <f ca="1">ROUND(SUM(#REF!,#REF!,#REF!,#REF!)-SUM(OFFSET(INDEX(MO_CFS_CFO_BeforeWC,1,COLUMN()),ROW(INDEX(MO_SubSection_CFS_CFO,1,COLUMN()))-ROW(INDEX(MO_CFS_CFO_BeforeWC,1,COLUMN())),0,ROW(INDEX(MO_CFS_CFO_BeforeWC,1,COLUMN()))-ROW(INDEX(MO_SubSection_CFS_CFO,1,COLUMN())),1)),6)</f>
        <v>#REF!</v>
      </c>
      <c r="BQ627" s="604"/>
      <c r="BR627" s="604"/>
      <c r="BS627" s="604"/>
      <c r="BT627" s="533"/>
    </row>
    <row r="628" spans="1:72" s="17" customFormat="1" hidden="1" outlineLevel="1" x14ac:dyDescent="0.35">
      <c r="A628" s="533" t="s">
        <v>243</v>
      </c>
      <c r="B628" s="528"/>
      <c r="C628" s="604"/>
      <c r="D628" s="604"/>
      <c r="E628" s="604"/>
      <c r="F628" s="604"/>
      <c r="G628" s="604"/>
      <c r="H628" s="604"/>
      <c r="I628" s="604"/>
      <c r="J628" s="604"/>
      <c r="K628" s="604"/>
      <c r="L628" s="604"/>
      <c r="M628" s="604"/>
      <c r="N628" s="604"/>
      <c r="O628" s="604"/>
      <c r="P628" s="604"/>
      <c r="Q628" s="604"/>
      <c r="R628" s="604"/>
      <c r="S628" s="604"/>
      <c r="T628" s="604"/>
      <c r="U628" s="604"/>
      <c r="V628" s="604"/>
      <c r="W628" s="604"/>
      <c r="X628" s="604"/>
      <c r="Y628" s="604"/>
      <c r="Z628" s="604"/>
      <c r="AA628" s="604"/>
      <c r="AB628" s="604"/>
      <c r="AC628" s="604"/>
      <c r="AD628" s="604"/>
      <c r="AE628" s="604"/>
      <c r="AF628" s="604"/>
      <c r="AG628" s="604"/>
      <c r="AH628" s="604"/>
      <c r="AI628" s="604"/>
      <c r="AJ628" s="604"/>
      <c r="AK628" s="604"/>
      <c r="AL628" s="604"/>
      <c r="AM628" s="604"/>
      <c r="AN628" s="604"/>
      <c r="AO628" s="604"/>
      <c r="AP628" s="604"/>
      <c r="AQ628" s="604"/>
      <c r="AR628" s="604"/>
      <c r="AS628" s="604"/>
      <c r="AT628" s="604"/>
      <c r="AU628" s="605"/>
      <c r="AV628" s="604"/>
      <c r="AW628" s="604"/>
      <c r="AX628" s="604"/>
      <c r="AY628" s="604"/>
      <c r="AZ628" s="604"/>
      <c r="BA628" s="604"/>
      <c r="BB628" s="604"/>
      <c r="BC628" s="604"/>
      <c r="BD628" s="604">
        <f ca="1">ROUND(SUM(C449,D449,E449,F449)-SUM(OFFSET(INDEX(MO_CFS_CFO,1,COLUMN()),ROW(INDEX(MO_CFS_CFO_BeforeWC,1,COLUMN()))-ROW(INDEX(MO_CFS_CFO,1,COLUMN())),0,ROW(INDEX(MO_CFS_CFO,1,COLUMN()))-ROW(INDEX(MO_CFS_CFO_BeforeWC,1,COLUMN()))-1,1)),6)</f>
        <v>0</v>
      </c>
      <c r="BE628" s="604">
        <f ca="1">ROUND(SUM(G449,H449,I449,J449)-SUM(OFFSET(INDEX(MO_CFS_CFO,1,COLUMN()),ROW(INDEX(MO_CFS_CFO_BeforeWC,1,COLUMN()))-ROW(INDEX(MO_CFS_CFO,1,COLUMN())),0,ROW(INDEX(MO_CFS_CFO,1,COLUMN()))-ROW(INDEX(MO_CFS_CFO_BeforeWC,1,COLUMN()))-1,1)),6)</f>
        <v>0</v>
      </c>
      <c r="BF628" s="604">
        <f ca="1">ROUND(SUM(K449,L449,M449,N449)-SUM(OFFSET(INDEX(MO_CFS_CFO,1,COLUMN()),ROW(INDEX(MO_CFS_CFO_BeforeWC,1,COLUMN()))-ROW(INDEX(MO_CFS_CFO,1,COLUMN())),0,ROW(INDEX(MO_CFS_CFO,1,COLUMN()))-ROW(INDEX(MO_CFS_CFO_BeforeWC,1,COLUMN()))-1,1)),6)</f>
        <v>0</v>
      </c>
      <c r="BG628" s="604">
        <f ca="1">ROUND(SUM(O449,P449,Q449,R449)-SUM(OFFSET(INDEX(MO_CFS_CFO,1,COLUMN()),ROW(INDEX(MO_CFS_CFO_BeforeWC,1,COLUMN()))-ROW(INDEX(MO_CFS_CFO,1,COLUMN())),0,ROW(INDEX(MO_CFS_CFO,1,COLUMN()))-ROW(INDEX(MO_CFS_CFO_BeforeWC,1,COLUMN()))-1,1)),6)</f>
        <v>0</v>
      </c>
      <c r="BH628" s="604">
        <f ca="1">ROUND(SUM(S449,T449,U449,V449)-SUM(OFFSET(INDEX(MO_CFS_CFO,1,COLUMN()),ROW(INDEX(MO_CFS_CFO_BeforeWC,1,COLUMN()))-ROW(INDEX(MO_CFS_CFO,1,COLUMN())),0,ROW(INDEX(MO_CFS_CFO,1,COLUMN()))-ROW(INDEX(MO_CFS_CFO_BeforeWC,1,COLUMN()))-1,1)),6)</f>
        <v>0</v>
      </c>
      <c r="BI628" s="604">
        <f ca="1">ROUND(SUM(W449,X449,Y449,Z449)-SUM(OFFSET(INDEX(MO_CFS_CFO,1,COLUMN()),ROW(INDEX(MO_CFS_CFO_BeforeWC,1,COLUMN()))-ROW(INDEX(MO_CFS_CFO,1,COLUMN())),0,ROW(INDEX(MO_CFS_CFO,1,COLUMN()))-ROW(INDEX(MO_CFS_CFO_BeforeWC,1,COLUMN()))-1,1)),6)</f>
        <v>0</v>
      </c>
      <c r="BJ628" s="604">
        <f ca="1">ROUND(SUM(AA449,AB449,AC449,AD449)-SUM(OFFSET(INDEX(MO_CFS_CFO,1,COLUMN()),ROW(INDEX(MO_CFS_CFO_BeforeWC,1,COLUMN()))-ROW(INDEX(MO_CFS_CFO,1,COLUMN())),0,ROW(INDEX(MO_CFS_CFO,1,COLUMN()))-ROW(INDEX(MO_CFS_CFO_BeforeWC,1,COLUMN()))-1,1)),6)</f>
        <v>0</v>
      </c>
      <c r="BK628" s="604">
        <f ca="1">ROUND(SUM(AE449,AF449,AG449,AH449)-SUM(OFFSET(INDEX(MO_CFS_CFO,1,COLUMN()),ROW(INDEX(MO_CFS_CFO_BeforeWC,1,COLUMN()))-ROW(INDEX(MO_CFS_CFO,1,COLUMN())),0,ROW(INDEX(MO_CFS_CFO,1,COLUMN()))-ROW(INDEX(MO_CFS_CFO_BeforeWC,1,COLUMN()))-1,1)),6)</f>
        <v>0</v>
      </c>
      <c r="BL628" s="604">
        <f ca="1">ROUND(SUM(AI449,AJ449,AK449,AL449)-SUM(OFFSET(INDEX(MO_CFS_CFO,1,COLUMN()),ROW(INDEX(MO_CFS_CFO_BeforeWC,1,COLUMN()))-ROW(INDEX(MO_CFS_CFO,1,COLUMN())),0,ROW(INDEX(MO_CFS_CFO,1,COLUMN()))-ROW(INDEX(MO_CFS_CFO_BeforeWC,1,COLUMN()))-1,1)),6)</f>
        <v>0</v>
      </c>
      <c r="BM628" s="604">
        <f ca="1">ROUND(SUM(AM449,AN449,AO449,AP449)-SUM(OFFSET(INDEX(MO_CFS_CFO,1,COLUMN()),ROW(INDEX(MO_CFS_CFO_BeforeWC,1,COLUMN()))-ROW(INDEX(MO_CFS_CFO,1,COLUMN())),0,ROW(INDEX(MO_CFS_CFO,1,COLUMN()))-ROW(INDEX(MO_CFS_CFO_BeforeWC,1,COLUMN()))-1,1)),6)</f>
        <v>0</v>
      </c>
      <c r="BN628" s="605">
        <f ca="1">ROUND(SUM(AQ449,AR449,AS449,AT449)-SUM(OFFSET(INDEX(MO_CFS_CFO,1,COLUMN()),ROW(INDEX(MO_CFS_CFO_BeforeWC,1,COLUMN()))-ROW(INDEX(MO_CFS_CFO,1,COLUMN())),0,ROW(INDEX(MO_CFS_CFO,1,COLUMN()))-ROW(INDEX(MO_CFS_CFO_BeforeWC,1,COLUMN()))-1,1)),6)</f>
        <v>0</v>
      </c>
      <c r="BO628" s="604">
        <f ca="1">ROUND(SUM(AU449,AV449,AW449,AX449)-SUM(OFFSET(INDEX(MO_CFS_CFO,1,COLUMN()),ROW(INDEX(MO_CFS_CFO_BeforeWC,1,COLUMN()))-ROW(INDEX(MO_CFS_CFO,1,COLUMN())),0,ROW(INDEX(MO_CFS_CFO,1,COLUMN()))-ROW(INDEX(MO_CFS_CFO_BeforeWC,1,COLUMN()))-1,1)),6)</f>
        <v>0</v>
      </c>
      <c r="BP628" s="604" t="e">
        <f ca="1">ROUND(SUM(#REF!,#REF!,#REF!,#REF!)-SUM(OFFSET(INDEX(MO_CFS_CFO,1,COLUMN()),ROW(INDEX(MO_CFS_CFO_BeforeWC,1,COLUMN()))-ROW(INDEX(MO_CFS_CFO,1,COLUMN())),0,ROW(INDEX(MO_CFS_CFO,1,COLUMN()))-ROW(INDEX(MO_CFS_CFO_BeforeWC,1,COLUMN()))-1,1)),6)</f>
        <v>#REF!</v>
      </c>
      <c r="BQ628" s="604"/>
      <c r="BR628" s="604"/>
      <c r="BS628" s="604"/>
      <c r="BT628" s="533"/>
    </row>
    <row r="629" spans="1:72" s="17" customFormat="1" hidden="1" outlineLevel="1" x14ac:dyDescent="0.35">
      <c r="A629" s="533" t="s">
        <v>244</v>
      </c>
      <c r="B629" s="528"/>
      <c r="C629" s="604"/>
      <c r="D629" s="604"/>
      <c r="E629" s="604"/>
      <c r="F629" s="604"/>
      <c r="G629" s="604"/>
      <c r="H629" s="604"/>
      <c r="I629" s="604"/>
      <c r="J629" s="604"/>
      <c r="K629" s="604"/>
      <c r="L629" s="604"/>
      <c r="M629" s="604"/>
      <c r="N629" s="604"/>
      <c r="O629" s="604"/>
      <c r="P629" s="604"/>
      <c r="Q629" s="604"/>
      <c r="R629" s="604"/>
      <c r="S629" s="604"/>
      <c r="T629" s="604"/>
      <c r="U629" s="604"/>
      <c r="V629" s="604"/>
      <c r="W629" s="604"/>
      <c r="X629" s="604"/>
      <c r="Y629" s="604"/>
      <c r="Z629" s="604"/>
      <c r="AA629" s="604"/>
      <c r="AB629" s="604"/>
      <c r="AC629" s="604"/>
      <c r="AD629" s="604"/>
      <c r="AE629" s="604"/>
      <c r="AF629" s="604"/>
      <c r="AG629" s="604"/>
      <c r="AH629" s="604"/>
      <c r="AI629" s="604"/>
      <c r="AJ629" s="604"/>
      <c r="AK629" s="604"/>
      <c r="AL629" s="604"/>
      <c r="AM629" s="604"/>
      <c r="AN629" s="604"/>
      <c r="AO629" s="604"/>
      <c r="AP629" s="604"/>
      <c r="AQ629" s="604"/>
      <c r="AR629" s="604"/>
      <c r="AS629" s="604"/>
      <c r="AT629" s="604"/>
      <c r="AU629" s="605"/>
      <c r="AV629" s="604"/>
      <c r="AW629" s="604"/>
      <c r="AX629" s="604"/>
      <c r="AY629" s="604"/>
      <c r="AZ629" s="604"/>
      <c r="BA629" s="604"/>
      <c r="BB629" s="604"/>
      <c r="BC629" s="604"/>
      <c r="BD629" s="604">
        <f ca="1">ROUND(SUM(C477,D477,E477,F477)-SUM(OFFSET(INDEX(MO_CFS_CFI,1,COLUMN()),ROW(INDEX(MO_SubSection_CFS_CFI,1,COLUMN()))-ROW(INDEX(MO_CFS_CFI,1,COLUMN())),0,ROW(INDEX(MO_CFS_CFI,1,COLUMN()))-ROW(INDEX(MO_SubSection_CFS_CFI,1,COLUMN())),1)),6)</f>
        <v>0</v>
      </c>
      <c r="BE629" s="604">
        <f ca="1">ROUND(SUM(G477,H477,I477,J477)-SUM(OFFSET(INDEX(MO_CFS_CFI,1,COLUMN()),ROW(INDEX(MO_SubSection_CFS_CFI,1,COLUMN()))-ROW(INDEX(MO_CFS_CFI,1,COLUMN())),0,ROW(INDEX(MO_CFS_CFI,1,COLUMN()))-ROW(INDEX(MO_SubSection_CFS_CFI,1,COLUMN())),1)),6)</f>
        <v>0</v>
      </c>
      <c r="BF629" s="604">
        <f ca="1">ROUND(SUM(K477,L477,M477,N477)-SUM(OFFSET(INDEX(MO_CFS_CFI,1,COLUMN()),ROW(INDEX(MO_SubSection_CFS_CFI,1,COLUMN()))-ROW(INDEX(MO_CFS_CFI,1,COLUMN())),0,ROW(INDEX(MO_CFS_CFI,1,COLUMN()))-ROW(INDEX(MO_SubSection_CFS_CFI,1,COLUMN())),1)),6)</f>
        <v>0</v>
      </c>
      <c r="BG629" s="604">
        <f ca="1">ROUND(SUM(O477,P477,Q477,R477)-SUM(OFFSET(INDEX(MO_CFS_CFI,1,COLUMN()),ROW(INDEX(MO_SubSection_CFS_CFI,1,COLUMN()))-ROW(INDEX(MO_CFS_CFI,1,COLUMN())),0,ROW(INDEX(MO_CFS_CFI,1,COLUMN()))-ROW(INDEX(MO_SubSection_CFS_CFI,1,COLUMN())),1)),6)</f>
        <v>0</v>
      </c>
      <c r="BH629" s="604">
        <f ca="1">ROUND(SUM(S477,T477,U477,V477)-SUM(OFFSET(INDEX(MO_CFS_CFI,1,COLUMN()),ROW(INDEX(MO_SubSection_CFS_CFI,1,COLUMN()))-ROW(INDEX(MO_CFS_CFI,1,COLUMN())),0,ROW(INDEX(MO_CFS_CFI,1,COLUMN()))-ROW(INDEX(MO_SubSection_CFS_CFI,1,COLUMN())),1)),6)</f>
        <v>0</v>
      </c>
      <c r="BI629" s="604">
        <f ca="1">ROUND(SUM(W477,X477,Y477,Z477)-SUM(OFFSET(INDEX(MO_CFS_CFI,1,COLUMN()),ROW(INDEX(MO_SubSection_CFS_CFI,1,COLUMN()))-ROW(INDEX(MO_CFS_CFI,1,COLUMN())),0,ROW(INDEX(MO_CFS_CFI,1,COLUMN()))-ROW(INDEX(MO_SubSection_CFS_CFI,1,COLUMN())),1)),6)</f>
        <v>0</v>
      </c>
      <c r="BJ629" s="604">
        <f ca="1">ROUND(SUM(AA477,AB477,AC477,AD477)-SUM(OFFSET(INDEX(MO_CFS_CFI,1,COLUMN()),ROW(INDEX(MO_SubSection_CFS_CFI,1,COLUMN()))-ROW(INDEX(MO_CFS_CFI,1,COLUMN())),0,ROW(INDEX(MO_CFS_CFI,1,COLUMN()))-ROW(INDEX(MO_SubSection_CFS_CFI,1,COLUMN())),1)),6)</f>
        <v>0</v>
      </c>
      <c r="BK629" s="604">
        <f ca="1">ROUND(SUM(AE477,AF477,AG477,AH477)-SUM(OFFSET(INDEX(MO_CFS_CFI,1,COLUMN()),ROW(INDEX(MO_SubSection_CFS_CFI,1,COLUMN()))-ROW(INDEX(MO_CFS_CFI,1,COLUMN())),0,ROW(INDEX(MO_CFS_CFI,1,COLUMN()))-ROW(INDEX(MO_SubSection_CFS_CFI,1,COLUMN())),1)),6)</f>
        <v>0</v>
      </c>
      <c r="BL629" s="604">
        <f ca="1">ROUND(SUM(AI477,AJ477,AK477,AL477)-SUM(OFFSET(INDEX(MO_CFS_CFI,1,COLUMN()),ROW(INDEX(MO_SubSection_CFS_CFI,1,COLUMN()))-ROW(INDEX(MO_CFS_CFI,1,COLUMN())),0,ROW(INDEX(MO_CFS_CFI,1,COLUMN()))-ROW(INDEX(MO_SubSection_CFS_CFI,1,COLUMN())),1)),6)</f>
        <v>0</v>
      </c>
      <c r="BM629" s="604">
        <f ca="1">ROUND(SUM(AM477,AN477,AO477,AP477)-SUM(OFFSET(INDEX(MO_CFS_CFI,1,COLUMN()),ROW(INDEX(MO_SubSection_CFS_CFI,1,COLUMN()))-ROW(INDEX(MO_CFS_CFI,1,COLUMN())),0,ROW(INDEX(MO_CFS_CFI,1,COLUMN()))-ROW(INDEX(MO_SubSection_CFS_CFI,1,COLUMN())),1)),6)</f>
        <v>0</v>
      </c>
      <c r="BN629" s="605">
        <f ca="1">ROUND(SUM(AQ477,AR477,AS477,AT477)-SUM(OFFSET(INDEX(MO_CFS_CFI,1,COLUMN()),ROW(INDEX(MO_SubSection_CFS_CFI,1,COLUMN()))-ROW(INDEX(MO_CFS_CFI,1,COLUMN())),0,ROW(INDEX(MO_CFS_CFI,1,COLUMN()))-ROW(INDEX(MO_SubSection_CFS_CFI,1,COLUMN())),1)),6)</f>
        <v>0</v>
      </c>
      <c r="BO629" s="604">
        <f ca="1">ROUND(SUM(AU477,AV477,AW477,AX477)-SUM(OFFSET(INDEX(MO_CFS_CFI,1,COLUMN()),ROW(INDEX(MO_SubSection_CFS_CFI,1,COLUMN()))-ROW(INDEX(MO_CFS_CFI,1,COLUMN())),0,ROW(INDEX(MO_CFS_CFI,1,COLUMN()))-ROW(INDEX(MO_SubSection_CFS_CFI,1,COLUMN())),1)),6)</f>
        <v>0</v>
      </c>
      <c r="BP629" s="604" t="e">
        <f ca="1">ROUND(SUM(#REF!,#REF!,#REF!,#REF!)-SUM(OFFSET(INDEX(MO_CFS_CFI,1,COLUMN()),ROW(INDEX(MO_SubSection_CFS_CFI,1,COLUMN()))-ROW(INDEX(MO_CFS_CFI,1,COLUMN())),0,ROW(INDEX(MO_CFS_CFI,1,COLUMN()))-ROW(INDEX(MO_SubSection_CFS_CFI,1,COLUMN())),1)),6)</f>
        <v>#REF!</v>
      </c>
      <c r="BQ629" s="604"/>
      <c r="BR629" s="604"/>
      <c r="BS629" s="604"/>
      <c r="BT629" s="533"/>
    </row>
    <row r="630" spans="1:72" s="17" customFormat="1" hidden="1" outlineLevel="1" x14ac:dyDescent="0.35">
      <c r="A630" s="533" t="s">
        <v>245</v>
      </c>
      <c r="B630" s="528"/>
      <c r="C630" s="604"/>
      <c r="D630" s="604"/>
      <c r="E630" s="604"/>
      <c r="F630" s="604"/>
      <c r="G630" s="604"/>
      <c r="H630" s="604"/>
      <c r="I630" s="604"/>
      <c r="J630" s="604"/>
      <c r="K630" s="604"/>
      <c r="L630" s="604"/>
      <c r="M630" s="604"/>
      <c r="N630" s="604"/>
      <c r="O630" s="604"/>
      <c r="P630" s="604"/>
      <c r="Q630" s="604"/>
      <c r="R630" s="604"/>
      <c r="S630" s="604"/>
      <c r="T630" s="604"/>
      <c r="U630" s="604"/>
      <c r="V630" s="604"/>
      <c r="W630" s="604"/>
      <c r="X630" s="604"/>
      <c r="Y630" s="604"/>
      <c r="Z630" s="604"/>
      <c r="AA630" s="604"/>
      <c r="AB630" s="604"/>
      <c r="AC630" s="604"/>
      <c r="AD630" s="604"/>
      <c r="AE630" s="604"/>
      <c r="AF630" s="604"/>
      <c r="AG630" s="604"/>
      <c r="AH630" s="604"/>
      <c r="AI630" s="604"/>
      <c r="AJ630" s="604"/>
      <c r="AK630" s="604"/>
      <c r="AL630" s="604"/>
      <c r="AM630" s="604"/>
      <c r="AN630" s="604"/>
      <c r="AO630" s="604"/>
      <c r="AP630" s="604"/>
      <c r="AQ630" s="604"/>
      <c r="AR630" s="604"/>
      <c r="AS630" s="604"/>
      <c r="AT630" s="604"/>
      <c r="AU630" s="605"/>
      <c r="AV630" s="604"/>
      <c r="AW630" s="604"/>
      <c r="AX630" s="604"/>
      <c r="AY630" s="604"/>
      <c r="AZ630" s="604"/>
      <c r="BA630" s="604"/>
      <c r="BB630" s="604"/>
      <c r="BC630" s="604"/>
      <c r="BD630" s="604">
        <f ca="1">ROUND(SUM(C499,D499,E499,F499)-SUM(OFFSET(INDEX(MO_CFS_CFF,1,COLUMN()),ROW(INDEX(MO_SubSection_CFS_CFF,1,COLUMN()))-ROW(INDEX(MO_CFS_CFF,1,COLUMN())),0,ROW(INDEX(MO_CFS_CFF,1,COLUMN()))-ROW(INDEX(MO_SubSection_CFS_CFF,1,COLUMN())),1)),6)</f>
        <v>0</v>
      </c>
      <c r="BE630" s="604">
        <f ca="1">ROUND(SUM(G499,H499,I499,J499)-SUM(OFFSET(INDEX(MO_CFS_CFF,1,COLUMN()),ROW(INDEX(MO_SubSection_CFS_CFF,1,COLUMN()))-ROW(INDEX(MO_CFS_CFF,1,COLUMN())),0,ROW(INDEX(MO_CFS_CFF,1,COLUMN()))-ROW(INDEX(MO_SubSection_CFS_CFF,1,COLUMN())),1)),6)</f>
        <v>0</v>
      </c>
      <c r="BF630" s="604">
        <f ca="1">ROUND(SUM(K499,L499,M499,N499)-SUM(OFFSET(INDEX(MO_CFS_CFF,1,COLUMN()),ROW(INDEX(MO_SubSection_CFS_CFF,1,COLUMN()))-ROW(INDEX(MO_CFS_CFF,1,COLUMN())),0,ROW(INDEX(MO_CFS_CFF,1,COLUMN()))-ROW(INDEX(MO_SubSection_CFS_CFF,1,COLUMN())),1)),6)</f>
        <v>0</v>
      </c>
      <c r="BG630" s="604">
        <f ca="1">ROUND(SUM(O499,P499,Q499,R499)-SUM(OFFSET(INDEX(MO_CFS_CFF,1,COLUMN()),ROW(INDEX(MO_SubSection_CFS_CFF,1,COLUMN()))-ROW(INDEX(MO_CFS_CFF,1,COLUMN())),0,ROW(INDEX(MO_CFS_CFF,1,COLUMN()))-ROW(INDEX(MO_SubSection_CFS_CFF,1,COLUMN())),1)),6)</f>
        <v>0</v>
      </c>
      <c r="BH630" s="604">
        <f ca="1">ROUND(SUM(S499,T499,U499,V499)-SUM(OFFSET(INDEX(MO_CFS_CFF,1,COLUMN()),ROW(INDEX(MO_SubSection_CFS_CFF,1,COLUMN()))-ROW(INDEX(MO_CFS_CFF,1,COLUMN())),0,ROW(INDEX(MO_CFS_CFF,1,COLUMN()))-ROW(INDEX(MO_SubSection_CFS_CFF,1,COLUMN())),1)),6)</f>
        <v>0</v>
      </c>
      <c r="BI630" s="604">
        <f ca="1">ROUND(SUM(W499,X499,Y499,Z499)-SUM(OFFSET(INDEX(MO_CFS_CFF,1,COLUMN()),ROW(INDEX(MO_SubSection_CFS_CFF,1,COLUMN()))-ROW(INDEX(MO_CFS_CFF,1,COLUMN())),0,ROW(INDEX(MO_CFS_CFF,1,COLUMN()))-ROW(INDEX(MO_SubSection_CFS_CFF,1,COLUMN())),1)),6)</f>
        <v>0</v>
      </c>
      <c r="BJ630" s="604">
        <f ca="1">ROUND(SUM(AA499,AB499,AC499,AD499)-SUM(OFFSET(INDEX(MO_CFS_CFF,1,COLUMN()),ROW(INDEX(MO_SubSection_CFS_CFF,1,COLUMN()))-ROW(INDEX(MO_CFS_CFF,1,COLUMN())),0,ROW(INDEX(MO_CFS_CFF,1,COLUMN()))-ROW(INDEX(MO_SubSection_CFS_CFF,1,COLUMN())),1)),6)</f>
        <v>0</v>
      </c>
      <c r="BK630" s="604">
        <f ca="1">ROUND(SUM(AE499,AF499,AG499,AH499)-SUM(OFFSET(INDEX(MO_CFS_CFF,1,COLUMN()),ROW(INDEX(MO_SubSection_CFS_CFF,1,COLUMN()))-ROW(INDEX(MO_CFS_CFF,1,COLUMN())),0,ROW(INDEX(MO_CFS_CFF,1,COLUMN()))-ROW(INDEX(MO_SubSection_CFS_CFF,1,COLUMN())),1)),6)</f>
        <v>0</v>
      </c>
      <c r="BL630" s="604">
        <f ca="1">ROUND(SUM(AI499,AJ499,AK499,AL499)-SUM(OFFSET(INDEX(MO_CFS_CFF,1,COLUMN()),ROW(INDEX(MO_SubSection_CFS_CFF,1,COLUMN()))-ROW(INDEX(MO_CFS_CFF,1,COLUMN())),0,ROW(INDEX(MO_CFS_CFF,1,COLUMN()))-ROW(INDEX(MO_SubSection_CFS_CFF,1,COLUMN())),1)),6)</f>
        <v>0</v>
      </c>
      <c r="BM630" s="604">
        <f ca="1">ROUND(SUM(AM499,AN499,AO499,AP499)-SUM(OFFSET(INDEX(MO_CFS_CFF,1,COLUMN()),ROW(INDEX(MO_SubSection_CFS_CFF,1,COLUMN()))-ROW(INDEX(MO_CFS_CFF,1,COLUMN())),0,ROW(INDEX(MO_CFS_CFF,1,COLUMN()))-ROW(INDEX(MO_SubSection_CFS_CFF,1,COLUMN())),1)),6)</f>
        <v>0</v>
      </c>
      <c r="BN630" s="605">
        <f ca="1">ROUND(SUM(AQ499,AR499,AS499,AT499)-SUM(OFFSET(INDEX(MO_CFS_CFF,1,COLUMN()),ROW(INDEX(MO_SubSection_CFS_CFF,1,COLUMN()))-ROW(INDEX(MO_CFS_CFF,1,COLUMN())),0,ROW(INDEX(MO_CFS_CFF,1,COLUMN()))-ROW(INDEX(MO_SubSection_CFS_CFF,1,COLUMN())),1)),6)</f>
        <v>0</v>
      </c>
      <c r="BO630" s="604">
        <f ca="1">ROUND(SUM(AU499,AV499,AW499,AX499)-SUM(OFFSET(INDEX(MO_CFS_CFF,1,COLUMN()),ROW(INDEX(MO_SubSection_CFS_CFF,1,COLUMN()))-ROW(INDEX(MO_CFS_CFF,1,COLUMN())),0,ROW(INDEX(MO_CFS_CFF,1,COLUMN()))-ROW(INDEX(MO_SubSection_CFS_CFF,1,COLUMN())),1)),6)</f>
        <v>0</v>
      </c>
      <c r="BP630" s="604" t="e">
        <f ca="1">ROUND(SUM(#REF!,#REF!,#REF!,#REF!)-SUM(OFFSET(INDEX(MO_CFS_CFF,1,COLUMN()),ROW(INDEX(MO_SubSection_CFS_CFF,1,COLUMN()))-ROW(INDEX(MO_CFS_CFF,1,COLUMN())),0,ROW(INDEX(MO_CFS_CFF,1,COLUMN()))-ROW(INDEX(MO_SubSection_CFS_CFF,1,COLUMN())),1)),6)</f>
        <v>#REF!</v>
      </c>
      <c r="BQ630" s="604"/>
      <c r="BR630" s="604"/>
      <c r="BS630" s="604"/>
      <c r="BT630" s="533"/>
    </row>
    <row r="631" spans="1:72" s="17" customFormat="1" hidden="1" outlineLevel="1" x14ac:dyDescent="0.35">
      <c r="A631" s="533" t="s">
        <v>246</v>
      </c>
      <c r="B631" s="528"/>
      <c r="C631" s="604"/>
      <c r="D631" s="604"/>
      <c r="E631" s="604"/>
      <c r="F631" s="604"/>
      <c r="G631" s="604"/>
      <c r="H631" s="604"/>
      <c r="I631" s="604"/>
      <c r="J631" s="604"/>
      <c r="K631" s="604"/>
      <c r="L631" s="604"/>
      <c r="M631" s="604"/>
      <c r="N631" s="604"/>
      <c r="O631" s="604"/>
      <c r="P631" s="604"/>
      <c r="Q631" s="604"/>
      <c r="R631" s="604"/>
      <c r="S631" s="604"/>
      <c r="T631" s="604"/>
      <c r="U631" s="604"/>
      <c r="V631" s="604"/>
      <c r="W631" s="604"/>
      <c r="X631" s="604"/>
      <c r="Y631" s="604"/>
      <c r="Z631" s="604"/>
      <c r="AA631" s="604"/>
      <c r="AB631" s="604"/>
      <c r="AC631" s="604"/>
      <c r="AD631" s="604"/>
      <c r="AE631" s="604"/>
      <c r="AF631" s="604"/>
      <c r="AG631" s="604"/>
      <c r="AH631" s="604"/>
      <c r="AI631" s="604"/>
      <c r="AJ631" s="604"/>
      <c r="AK631" s="604"/>
      <c r="AL631" s="604"/>
      <c r="AM631" s="604"/>
      <c r="AN631" s="604"/>
      <c r="AO631" s="604"/>
      <c r="AP631" s="604"/>
      <c r="AQ631" s="604"/>
      <c r="AR631" s="604"/>
      <c r="AS631" s="604"/>
      <c r="AT631" s="604"/>
      <c r="AU631" s="605"/>
      <c r="AV631" s="604"/>
      <c r="AW631" s="604"/>
      <c r="AX631" s="604"/>
      <c r="AY631" s="604"/>
      <c r="AZ631" s="604"/>
      <c r="BA631" s="604"/>
      <c r="BB631" s="604"/>
      <c r="BC631" s="604"/>
      <c r="BD631" s="604">
        <f>ROUND(SUM(INDEX(MO_CFSum_Acquisition,0,COLUMN()),INDEX(MO_CFSum_Capex,0,COLUMN()),INDEX(MO_CFSum_Divestiture,0,COLUMN()),INDEX(MO_CFSum_Dividend,0,COLUMN()))-SUM(C265,D265,E265,F265,C266,D266,E266,F266,C267,D267,E267,F267)-SUM(C263,D263,E263,F263),6)</f>
        <v>0</v>
      </c>
      <c r="BE631" s="604">
        <f>ROUND(SUM(INDEX(MO_CFSum_Acquisition,0,COLUMN()),INDEX(MO_CFSum_Capex,0,COLUMN()),INDEX(MO_CFSum_Divestiture,0,COLUMN()),INDEX(MO_CFSum_Dividend,0,COLUMN()))-SUM(G265,H265,I265,J265,G266,H266,I266,J266,G267,H267,I267,J267)-SUM(G263,H263,I263,J263),6)</f>
        <v>0</v>
      </c>
      <c r="BF631" s="604">
        <f>ROUND(SUM(INDEX(MO_CFSum_Acquisition,0,COLUMN()),INDEX(MO_CFSum_Capex,0,COLUMN()),INDEX(MO_CFSum_Divestiture,0,COLUMN()),INDEX(MO_CFSum_Dividend,0,COLUMN()))-SUM(K265,L265,M265,N265,K266,L266,M266,N266,K267,L267,M267,N267)-SUM(K263,L263,M263,N263),6)</f>
        <v>0</v>
      </c>
      <c r="BG631" s="604">
        <f>ROUND(SUM(INDEX(MO_CFSum_Acquisition,0,COLUMN()),INDEX(MO_CFSum_Capex,0,COLUMN()),INDEX(MO_CFSum_Divestiture,0,COLUMN()),INDEX(MO_CFSum_Dividend,0,COLUMN()))-SUM(O265,P265,Q265,R265,O266,P266,Q266,R266,O267,P267,Q267,R267)-SUM(O263,P263,Q263,R263),6)</f>
        <v>0</v>
      </c>
      <c r="BH631" s="604">
        <f>ROUND(SUM(INDEX(MO_CFSum_Acquisition,0,COLUMN()),INDEX(MO_CFSum_Capex,0,COLUMN()),INDEX(MO_CFSum_Divestiture,0,COLUMN()),INDEX(MO_CFSum_Dividend,0,COLUMN()))-SUM(S265,T265,U265,V265,S266,T266,U266,V266,S267,T267,U267,V267)-SUM(S263,T263,U263,V263),6)</f>
        <v>0</v>
      </c>
      <c r="BI631" s="604">
        <f>ROUND(SUM(INDEX(MO_CFSum_Acquisition,0,COLUMN()),INDEX(MO_CFSum_Capex,0,COLUMN()),INDEX(MO_CFSum_Divestiture,0,COLUMN()),INDEX(MO_CFSum_Dividend,0,COLUMN()))-SUM(W265,X265,Y265,Z265,W266,X266,Y266,Z266,W267,X267,Y267,Z267)-SUM(W263,X263,Y263,Z263),6)</f>
        <v>0</v>
      </c>
      <c r="BJ631" s="604">
        <f>ROUND(SUM(INDEX(MO_CFSum_Acquisition,0,COLUMN()),INDEX(MO_CFSum_Capex,0,COLUMN()),INDEX(MO_CFSum_Divestiture,0,COLUMN()),INDEX(MO_CFSum_Dividend,0,COLUMN()))-SUM(AA265,AB265,AC265,AD265,AA266,AB266,AC266,AD266,AA267,AB267,AC267,AD267)-SUM(AA263,AB263,AC263,AD263),6)</f>
        <v>0</v>
      </c>
      <c r="BK631" s="604">
        <f>ROUND(SUM(INDEX(MO_CFSum_Acquisition,0,COLUMN()),INDEX(MO_CFSum_Capex,0,COLUMN()),INDEX(MO_CFSum_Divestiture,0,COLUMN()),INDEX(MO_CFSum_Dividend,0,COLUMN()))-SUM(AE265,AF265,AG265,AH265,AE266,AF266,AG266,AH266,AE267,AF267,AG267,AH267)-SUM(AE263,AF263,AG263,AH263),6)</f>
        <v>0</v>
      </c>
      <c r="BL631" s="604">
        <f>ROUND(SUM(INDEX(MO_CFSum_Acquisition,0,COLUMN()),INDEX(MO_CFSum_Capex,0,COLUMN()),INDEX(MO_CFSum_Divestiture,0,COLUMN()),INDEX(MO_CFSum_Dividend,0,COLUMN()))-SUM(AI265,AJ265,AK265,AL265,AI266,AJ266,AK266,AL266,AI267,AJ267,AK267,AL267)-SUM(AI263,AJ263,AK263,AL263),6)</f>
        <v>0</v>
      </c>
      <c r="BM631" s="604">
        <f>ROUND(SUM(INDEX(MO_CFSum_Acquisition,0,COLUMN()),INDEX(MO_CFSum_Capex,0,COLUMN()),INDEX(MO_CFSum_Divestiture,0,COLUMN()),INDEX(MO_CFSum_Dividend,0,COLUMN()))-SUM(AM265,AN265,AO265,AP265,AM266,AN266,AO266,AP266,AM267,AN267,AO267,AP267)-SUM(AM263,AN263,AO263,AP263),6)</f>
        <v>0</v>
      </c>
      <c r="BN631" s="605">
        <f>ROUND(SUM(INDEX(MO_CFSum_Acquisition,0,COLUMN()),INDEX(MO_CFSum_Capex,0,COLUMN()),INDEX(MO_CFSum_Divestiture,0,COLUMN()),INDEX(MO_CFSum_Dividend,0,COLUMN()))-SUM(AQ265,AR265,AS265,AT265,AQ266,AR266,AS266,AT266,AQ267,AR267,AS267,AT267)-SUM(AQ263,AR263,AS263,AT263),6)</f>
        <v>0</v>
      </c>
      <c r="BO631" s="604">
        <f ca="1">ROUND(SUM(INDEX(MO_CFSum_Acquisition,0,COLUMN()),INDEX(MO_CFSum_Capex,0,COLUMN()),INDEX(MO_CFSum_Divestiture,0,COLUMN()),INDEX(MO_CFSum_Dividend,0,COLUMN()))-SUM(AU265,AV265,AW265,AX265,AU266,AV266,AW266,AX266,AU267,AV267,AW267,AX267)-SUM(AU263,AV263,AW263,AX263),6)</f>
        <v>0</v>
      </c>
      <c r="BP631" s="604" t="e">
        <f>ROUND(SUM(INDEX(MO_CFSum_Acquisition,0,COLUMN()),INDEX(MO_CFSum_Capex,0,COLUMN()),INDEX(MO_CFSum_Divestiture,0,COLUMN()),INDEX(MO_CFSum_Dividend,0,COLUMN()))-SUM(#REF!,#REF!,#REF!,#REF!,#REF!,#REF!,#REF!,#REF!,#REF!,#REF!,#REF!,#REF!)-SUM(#REF!,#REF!,#REF!,#REF!),6)</f>
        <v>#REF!</v>
      </c>
      <c r="BQ631" s="604"/>
      <c r="BR631" s="604"/>
      <c r="BS631" s="604"/>
      <c r="BT631" s="533"/>
    </row>
    <row r="632" spans="1:72" s="17" customFormat="1" collapsed="1" x14ac:dyDescent="0.35">
      <c r="A632" s="532"/>
      <c r="B632" s="532"/>
      <c r="C632" s="532"/>
      <c r="D632" s="532"/>
      <c r="E632" s="532"/>
      <c r="F632" s="532"/>
      <c r="G632" s="532"/>
      <c r="H632" s="532"/>
      <c r="I632" s="532"/>
      <c r="J632" s="532"/>
      <c r="K632" s="532"/>
      <c r="L632" s="532"/>
      <c r="M632" s="532"/>
      <c r="N632" s="532"/>
      <c r="O632" s="532"/>
      <c r="P632" s="532"/>
      <c r="Q632" s="532"/>
      <c r="R632" s="532"/>
      <c r="S632" s="532"/>
      <c r="T632" s="532"/>
      <c r="U632" s="532"/>
      <c r="V632" s="532"/>
      <c r="W632" s="532"/>
      <c r="X632" s="532"/>
      <c r="Y632" s="532"/>
      <c r="Z632" s="532"/>
      <c r="AA632" s="532"/>
      <c r="AB632" s="532"/>
      <c r="AC632" s="532"/>
      <c r="AD632" s="532"/>
      <c r="AE632" s="532"/>
      <c r="AF632" s="532"/>
      <c r="AG632" s="532"/>
      <c r="AH632" s="532"/>
      <c r="AI632" s="532"/>
      <c r="AJ632" s="532"/>
      <c r="AK632" s="532"/>
      <c r="AL632" s="532"/>
      <c r="AM632" s="532"/>
      <c r="AN632" s="532"/>
      <c r="AO632" s="532"/>
      <c r="AP632" s="532"/>
      <c r="AQ632" s="532"/>
      <c r="AR632" s="532"/>
      <c r="AS632" s="532"/>
      <c r="AT632" s="532"/>
      <c r="AU632" s="534"/>
      <c r="AV632" s="532"/>
      <c r="AW632" s="532"/>
      <c r="AX632" s="532"/>
      <c r="AY632" s="532"/>
      <c r="AZ632" s="532"/>
      <c r="BA632" s="532"/>
      <c r="BB632" s="532"/>
      <c r="BC632" s="532"/>
      <c r="BD632" s="532"/>
      <c r="BE632" s="532"/>
      <c r="BF632" s="532"/>
      <c r="BG632" s="532"/>
      <c r="BH632" s="532"/>
      <c r="BI632" s="532"/>
      <c r="BJ632" s="532"/>
      <c r="BK632" s="532"/>
      <c r="BL632" s="532"/>
      <c r="BM632" s="532"/>
      <c r="BN632" s="534"/>
      <c r="BO632" s="532"/>
      <c r="BP632" s="532"/>
      <c r="BQ632" s="532"/>
      <c r="BR632" s="532"/>
      <c r="BS632" s="532"/>
      <c r="BT632" s="533"/>
    </row>
    <row r="633" spans="1:72" s="1" customFormat="1" x14ac:dyDescent="0.35">
      <c r="A633" s="539" t="s">
        <v>247</v>
      </c>
      <c r="B633" s="539"/>
      <c r="C633" s="539"/>
      <c r="D633" s="539"/>
      <c r="E633" s="539"/>
      <c r="F633" s="539"/>
      <c r="G633" s="539"/>
      <c r="H633" s="539"/>
      <c r="I633" s="539"/>
      <c r="J633" s="539"/>
      <c r="K633" s="539"/>
      <c r="L633" s="539"/>
      <c r="M633" s="539"/>
      <c r="N633" s="539"/>
      <c r="O633" s="539"/>
      <c r="P633" s="539"/>
      <c r="Q633" s="539"/>
      <c r="R633" s="539"/>
      <c r="S633" s="539"/>
      <c r="T633" s="539"/>
      <c r="U633" s="539"/>
      <c r="V633" s="539"/>
      <c r="W633" s="539"/>
      <c r="X633" s="539"/>
      <c r="Y633" s="539"/>
      <c r="Z633" s="539"/>
      <c r="AA633" s="539"/>
      <c r="AB633" s="539"/>
      <c r="AC633" s="539"/>
      <c r="AD633" s="539"/>
      <c r="AE633" s="539"/>
      <c r="AF633" s="539"/>
      <c r="AG633" s="539"/>
      <c r="AH633" s="539"/>
      <c r="AI633" s="539"/>
      <c r="AJ633" s="539"/>
      <c r="AK633" s="539"/>
      <c r="AL633" s="539"/>
      <c r="AM633" s="539"/>
      <c r="AN633" s="539"/>
      <c r="AO633" s="539"/>
      <c r="AP633" s="539"/>
      <c r="AQ633" s="539"/>
      <c r="AR633" s="539"/>
      <c r="AS633" s="539"/>
      <c r="AT633" s="539"/>
      <c r="AU633" s="539"/>
      <c r="AV633" s="539"/>
      <c r="AW633" s="539"/>
      <c r="AX633" s="539"/>
      <c r="AY633" s="539"/>
      <c r="AZ633" s="539"/>
      <c r="BA633" s="539"/>
      <c r="BB633" s="539"/>
      <c r="BC633" s="539"/>
      <c r="BD633" s="539"/>
      <c r="BE633" s="539"/>
      <c r="BF633" s="539"/>
      <c r="BG633" s="539"/>
      <c r="BH633" s="539"/>
      <c r="BI633" s="539"/>
      <c r="BJ633" s="539"/>
      <c r="BK633" s="539"/>
      <c r="BL633" s="539"/>
      <c r="BM633" s="539"/>
      <c r="BN633" s="539"/>
      <c r="BO633" s="539"/>
      <c r="BP633" s="539"/>
      <c r="BQ633" s="539"/>
      <c r="BR633" s="539"/>
      <c r="BS633" s="539"/>
      <c r="BT633" s="530"/>
    </row>
    <row r="634" spans="1:72" s="17" customFormat="1" x14ac:dyDescent="0.35">
      <c r="A634" s="381"/>
      <c r="B634" s="532"/>
      <c r="C634" s="532"/>
      <c r="D634" s="532"/>
      <c r="E634" s="532"/>
      <c r="F634" s="532"/>
      <c r="G634" s="532"/>
      <c r="H634" s="532"/>
      <c r="I634" s="532"/>
      <c r="J634" s="532"/>
      <c r="K634" s="532"/>
      <c r="L634" s="532"/>
      <c r="M634" s="532"/>
      <c r="N634" s="532"/>
      <c r="O634" s="532"/>
      <c r="P634" s="532"/>
      <c r="Q634" s="532"/>
      <c r="R634" s="532"/>
      <c r="S634" s="532"/>
      <c r="T634" s="532"/>
      <c r="U634" s="532"/>
      <c r="V634" s="532"/>
      <c r="W634" s="532"/>
      <c r="X634" s="532"/>
      <c r="Y634" s="532"/>
      <c r="Z634" s="532"/>
      <c r="AA634" s="532"/>
      <c r="AB634" s="532"/>
      <c r="AC634" s="532"/>
      <c r="AD634" s="532"/>
      <c r="AE634" s="532"/>
      <c r="AF634" s="532"/>
      <c r="AG634" s="532"/>
      <c r="AH634" s="532"/>
      <c r="AI634" s="532"/>
      <c r="AJ634" s="532"/>
      <c r="AK634" s="532"/>
      <c r="AL634" s="532"/>
      <c r="AM634" s="532"/>
      <c r="AN634" s="532"/>
      <c r="AO634" s="532"/>
      <c r="AP634" s="532"/>
      <c r="AQ634" s="532"/>
      <c r="AR634" s="532"/>
      <c r="AS634" s="532"/>
      <c r="AT634" s="532"/>
      <c r="AU634" s="532"/>
      <c r="AV634" s="532"/>
      <c r="AW634" s="532"/>
      <c r="AX634" s="532"/>
      <c r="AY634" s="532"/>
      <c r="AZ634" s="115"/>
      <c r="BA634" s="115"/>
      <c r="BB634" s="532"/>
      <c r="BC634" s="532"/>
      <c r="BD634" s="532"/>
      <c r="BE634" s="532"/>
      <c r="BF634" s="532"/>
      <c r="BG634" s="532"/>
      <c r="BH634" s="532"/>
      <c r="BI634" s="532"/>
      <c r="BJ634" s="532"/>
      <c r="BK634" s="532"/>
      <c r="BL634" s="532"/>
      <c r="BM634" s="532"/>
      <c r="BN634" s="532"/>
      <c r="BO634" s="532"/>
      <c r="BP634" s="532"/>
      <c r="BQ634" s="532"/>
      <c r="BR634" s="532"/>
      <c r="BS634" s="532"/>
      <c r="BT634" s="533"/>
    </row>
    <row r="635" spans="1:72" s="58" customFormat="1" x14ac:dyDescent="0.35">
      <c r="A635" s="292" t="s">
        <v>248</v>
      </c>
      <c r="B635" s="382"/>
      <c r="C635" s="382"/>
      <c r="D635" s="382"/>
      <c r="E635" s="382"/>
      <c r="F635" s="382"/>
      <c r="G635" s="382"/>
      <c r="H635" s="382"/>
      <c r="I635" s="382"/>
      <c r="J635" s="382"/>
      <c r="K635" s="382"/>
      <c r="L635" s="382"/>
      <c r="M635" s="382"/>
      <c r="N635" s="382"/>
      <c r="O635" s="382"/>
      <c r="P635" s="382"/>
      <c r="Q635" s="382"/>
      <c r="R635" s="382"/>
      <c r="S635" s="382"/>
      <c r="T635" s="382"/>
      <c r="U635" s="382"/>
      <c r="V635" s="382"/>
      <c r="W635" s="382"/>
      <c r="X635" s="382"/>
      <c r="Y635" s="382"/>
      <c r="Z635" s="382"/>
      <c r="AA635" s="382"/>
      <c r="AB635" s="382"/>
      <c r="AC635" s="382"/>
      <c r="AD635" s="382"/>
      <c r="AE635" s="382"/>
      <c r="AF635" s="382"/>
      <c r="AG635" s="382"/>
      <c r="AH635" s="382"/>
      <c r="AI635" s="382"/>
      <c r="AJ635" s="382"/>
      <c r="AK635" s="382"/>
      <c r="AL635" s="382"/>
      <c r="AM635" s="382"/>
      <c r="AN635" s="382"/>
      <c r="AO635" s="382"/>
      <c r="AP635" s="382"/>
      <c r="AQ635" s="382"/>
      <c r="AR635" s="382"/>
      <c r="AS635" s="382"/>
      <c r="AT635" s="382"/>
      <c r="AU635" s="382"/>
      <c r="AV635" s="382"/>
      <c r="AW635" s="382"/>
      <c r="AX635" s="382"/>
      <c r="AY635" s="382"/>
      <c r="AZ635" s="383"/>
      <c r="BA635" s="383"/>
      <c r="BB635" s="382"/>
      <c r="BC635" s="382"/>
      <c r="BD635" s="382"/>
      <c r="BE635" s="382"/>
      <c r="BF635" s="382"/>
      <c r="BG635" s="382"/>
      <c r="BH635" s="382"/>
      <c r="BI635" s="382"/>
      <c r="BJ635" s="382"/>
      <c r="BK635" s="382"/>
      <c r="BL635" s="382"/>
      <c r="BM635" s="382"/>
      <c r="BN635" s="382"/>
      <c r="BO635" s="382"/>
      <c r="BP635" s="382"/>
      <c r="BQ635" s="382"/>
      <c r="BR635" s="382"/>
      <c r="BS635" s="382"/>
      <c r="BT635" s="57"/>
    </row>
    <row r="636" spans="1:72" s="58" customFormat="1" x14ac:dyDescent="0.35">
      <c r="A636" s="446" t="s">
        <v>608</v>
      </c>
      <c r="B636" s="384"/>
      <c r="C636" s="384"/>
      <c r="D636" s="384"/>
      <c r="E636" s="384"/>
      <c r="F636" s="384"/>
      <c r="G636" s="384"/>
      <c r="H636" s="384"/>
      <c r="I636" s="384"/>
      <c r="J636" s="384"/>
      <c r="K636" s="384"/>
      <c r="L636" s="384"/>
      <c r="M636" s="384"/>
      <c r="N636" s="384"/>
      <c r="O636" s="384"/>
      <c r="P636" s="384"/>
      <c r="Q636" s="384"/>
      <c r="R636" s="384"/>
      <c r="S636" s="384"/>
      <c r="T636" s="384"/>
      <c r="U636" s="384"/>
      <c r="V636" s="384"/>
      <c r="W636" s="384"/>
      <c r="X636" s="384"/>
      <c r="Y636" s="384"/>
      <c r="Z636" s="384"/>
      <c r="AA636" s="384"/>
      <c r="AB636" s="384"/>
      <c r="AC636" s="384"/>
      <c r="AD636" s="384"/>
      <c r="AE636" s="384"/>
      <c r="AF636" s="384"/>
      <c r="AG636" s="384"/>
      <c r="AH636" s="384"/>
      <c r="AI636" s="384"/>
      <c r="AJ636" s="384"/>
      <c r="AK636" s="384"/>
      <c r="AL636" s="384"/>
      <c r="AM636" s="384"/>
      <c r="AN636" s="384"/>
      <c r="AO636" s="384"/>
      <c r="AP636" s="384"/>
      <c r="AQ636" s="384"/>
      <c r="AR636" s="384"/>
      <c r="AS636" s="384"/>
      <c r="AT636" s="384"/>
      <c r="AU636" s="384"/>
      <c r="AV636" s="384"/>
      <c r="AW636" s="384"/>
      <c r="AX636" s="384"/>
      <c r="AY636" s="384"/>
      <c r="AZ636" s="336"/>
      <c r="BA636" s="336"/>
      <c r="BB636" s="384"/>
      <c r="BC636" s="384"/>
      <c r="BD636" s="384"/>
      <c r="BE636" s="384"/>
      <c r="BF636" s="384"/>
      <c r="BG636" s="384"/>
      <c r="BH636" s="384"/>
      <c r="BI636" s="384"/>
      <c r="BJ636" s="384"/>
      <c r="BK636" s="384"/>
      <c r="BL636" s="384"/>
      <c r="BM636" s="384"/>
      <c r="BN636" s="384"/>
      <c r="BO636" s="384"/>
      <c r="BP636" s="384"/>
      <c r="BQ636" s="384"/>
      <c r="BR636" s="384"/>
      <c r="BS636" s="384"/>
      <c r="BT636" s="57"/>
    </row>
    <row r="637" spans="1:72" s="206" customFormat="1" x14ac:dyDescent="0.35">
      <c r="A637" s="293" t="s">
        <v>249</v>
      </c>
      <c r="B637" s="384"/>
      <c r="C637" s="384"/>
      <c r="D637" s="384"/>
      <c r="E637" s="384"/>
      <c r="F637" s="384"/>
      <c r="G637" s="384"/>
      <c r="H637" s="384"/>
      <c r="I637" s="384"/>
      <c r="J637" s="384"/>
      <c r="K637" s="384"/>
      <c r="L637" s="384"/>
      <c r="M637" s="384"/>
      <c r="N637" s="384"/>
      <c r="O637" s="384"/>
      <c r="P637" s="384"/>
      <c r="Q637" s="384"/>
      <c r="R637" s="384"/>
      <c r="S637" s="384"/>
      <c r="T637" s="384"/>
      <c r="U637" s="384"/>
      <c r="V637" s="384"/>
      <c r="W637" s="384"/>
      <c r="X637" s="384"/>
      <c r="Y637" s="384"/>
      <c r="Z637" s="384"/>
      <c r="AA637" s="384"/>
      <c r="AB637" s="384"/>
      <c r="AC637" s="384"/>
      <c r="AD637" s="384"/>
      <c r="AE637" s="384"/>
      <c r="AF637" s="384"/>
      <c r="AG637" s="384"/>
      <c r="AH637" s="384"/>
      <c r="AI637" s="384"/>
      <c r="AJ637" s="384"/>
      <c r="AK637" s="384"/>
      <c r="AL637" s="384"/>
      <c r="AM637" s="384"/>
      <c r="AN637" s="384"/>
      <c r="AO637" s="384"/>
      <c r="AP637" s="384"/>
      <c r="AQ637" s="384"/>
      <c r="AR637" s="384"/>
      <c r="AS637" s="384"/>
      <c r="AT637" s="384"/>
      <c r="AU637" s="384"/>
      <c r="AV637" s="384"/>
      <c r="AW637" s="384"/>
      <c r="AX637" s="384"/>
      <c r="AY637" s="384"/>
      <c r="AZ637" s="336"/>
      <c r="BA637" s="336"/>
      <c r="BB637" s="384"/>
      <c r="BC637" s="384"/>
      <c r="BD637" s="384"/>
      <c r="BE637" s="384"/>
      <c r="BF637" s="384"/>
      <c r="BG637" s="384"/>
      <c r="BH637" s="384"/>
      <c r="BI637" s="384"/>
      <c r="BJ637" s="384"/>
      <c r="BK637" s="384"/>
      <c r="BL637" s="384"/>
      <c r="BM637" s="384"/>
      <c r="BN637" s="384"/>
      <c r="BO637" s="384"/>
      <c r="BP637" s="384"/>
      <c r="BQ637" s="384"/>
      <c r="BR637" s="384"/>
      <c r="BS637" s="384"/>
      <c r="BT637" s="211"/>
    </row>
    <row r="638" spans="1:72" s="206" customFormat="1" x14ac:dyDescent="0.35">
      <c r="A638" s="294" t="s">
        <v>250</v>
      </c>
      <c r="B638" s="384"/>
      <c r="C638" s="384"/>
      <c r="D638" s="384"/>
      <c r="E638" s="384"/>
      <c r="F638" s="384"/>
      <c r="G638" s="384"/>
      <c r="H638" s="384"/>
      <c r="I638" s="384"/>
      <c r="J638" s="384"/>
      <c r="K638" s="384"/>
      <c r="L638" s="384"/>
      <c r="M638" s="384"/>
      <c r="N638" s="384"/>
      <c r="O638" s="384"/>
      <c r="P638" s="384"/>
      <c r="Q638" s="384"/>
      <c r="R638" s="384"/>
      <c r="S638" s="384"/>
      <c r="T638" s="384"/>
      <c r="U638" s="384"/>
      <c r="V638" s="384"/>
      <c r="W638" s="384"/>
      <c r="X638" s="384"/>
      <c r="Y638" s="384"/>
      <c r="Z638" s="384"/>
      <c r="AA638" s="384"/>
      <c r="AB638" s="384"/>
      <c r="AC638" s="384"/>
      <c r="AD638" s="384"/>
      <c r="AE638" s="384"/>
      <c r="AF638" s="384"/>
      <c r="AG638" s="384"/>
      <c r="AH638" s="384"/>
      <c r="AI638" s="384"/>
      <c r="AJ638" s="384"/>
      <c r="AK638" s="384"/>
      <c r="AL638" s="384"/>
      <c r="AM638" s="384"/>
      <c r="AN638" s="384"/>
      <c r="AO638" s="384"/>
      <c r="AP638" s="384"/>
      <c r="AQ638" s="384"/>
      <c r="AR638" s="384"/>
      <c r="AS638" s="384"/>
      <c r="AT638" s="384"/>
      <c r="AU638" s="384"/>
      <c r="AV638" s="384"/>
      <c r="AW638" s="384"/>
      <c r="AX638" s="384"/>
      <c r="AY638" s="384"/>
      <c r="AZ638" s="336"/>
      <c r="BA638" s="336"/>
      <c r="BB638" s="384"/>
      <c r="BC638" s="384"/>
      <c r="BD638" s="384"/>
      <c r="BE638" s="384"/>
      <c r="BF638" s="384"/>
      <c r="BG638" s="384"/>
      <c r="BH638" s="384"/>
      <c r="BI638" s="384"/>
      <c r="BJ638" s="384"/>
      <c r="BK638" s="384"/>
      <c r="BL638" s="384"/>
      <c r="BM638" s="384"/>
      <c r="BN638" s="384"/>
      <c r="BO638" s="384"/>
      <c r="BP638" s="384"/>
      <c r="BQ638" s="384"/>
      <c r="BR638" s="384"/>
      <c r="BS638" s="384"/>
      <c r="BT638" s="211"/>
    </row>
    <row r="639" spans="1:72" s="206" customFormat="1" x14ac:dyDescent="0.35">
      <c r="A639" s="295" t="s">
        <v>251</v>
      </c>
      <c r="B639" s="384"/>
      <c r="C639" s="384"/>
      <c r="D639" s="384"/>
      <c r="E639" s="384"/>
      <c r="F639" s="384"/>
      <c r="G639" s="384"/>
      <c r="H639" s="384"/>
      <c r="I639" s="384"/>
      <c r="J639" s="384"/>
      <c r="K639" s="384"/>
      <c r="L639" s="384"/>
      <c r="M639" s="384"/>
      <c r="N639" s="384"/>
      <c r="O639" s="384"/>
      <c r="P639" s="384"/>
      <c r="Q639" s="384"/>
      <c r="R639" s="384"/>
      <c r="S639" s="384"/>
      <c r="T639" s="384"/>
      <c r="U639" s="384"/>
      <c r="V639" s="384"/>
      <c r="W639" s="384"/>
      <c r="X639" s="384"/>
      <c r="Y639" s="384"/>
      <c r="Z639" s="384"/>
      <c r="AA639" s="384"/>
      <c r="AB639" s="384"/>
      <c r="AC639" s="384"/>
      <c r="AD639" s="384"/>
      <c r="AE639" s="384"/>
      <c r="AF639" s="384"/>
      <c r="AG639" s="384"/>
      <c r="AH639" s="384"/>
      <c r="AI639" s="384"/>
      <c r="AJ639" s="384"/>
      <c r="AK639" s="384"/>
      <c r="AL639" s="384"/>
      <c r="AM639" s="384"/>
      <c r="AN639" s="384"/>
      <c r="AO639" s="384"/>
      <c r="AP639" s="384"/>
      <c r="AQ639" s="384"/>
      <c r="AR639" s="384"/>
      <c r="AS639" s="384"/>
      <c r="AT639" s="384"/>
      <c r="AU639" s="384"/>
      <c r="AV639" s="384"/>
      <c r="AW639" s="384"/>
      <c r="AX639" s="384"/>
      <c r="AY639" s="384"/>
      <c r="AZ639" s="336"/>
      <c r="BA639" s="336"/>
      <c r="BB639" s="384"/>
      <c r="BC639" s="384"/>
      <c r="BD639" s="384"/>
      <c r="BE639" s="384"/>
      <c r="BF639" s="384"/>
      <c r="BG639" s="384"/>
      <c r="BH639" s="384"/>
      <c r="BI639" s="384"/>
      <c r="BJ639" s="384"/>
      <c r="BK639" s="384"/>
      <c r="BL639" s="384"/>
      <c r="BM639" s="384"/>
      <c r="BN639" s="384"/>
      <c r="BO639" s="384"/>
      <c r="BP639" s="384"/>
      <c r="BQ639" s="384"/>
      <c r="BR639" s="384"/>
      <c r="BS639" s="384"/>
      <c r="BT639" s="211"/>
    </row>
    <row r="640" spans="1:72" s="206" customFormat="1" x14ac:dyDescent="0.35">
      <c r="A640" s="333" t="s">
        <v>252</v>
      </c>
      <c r="B640" s="384"/>
      <c r="C640" s="384"/>
      <c r="D640" s="384"/>
      <c r="E640" s="384"/>
      <c r="F640" s="384"/>
      <c r="G640" s="384"/>
      <c r="H640" s="384"/>
      <c r="I640" s="384"/>
      <c r="J640" s="384"/>
      <c r="K640" s="384"/>
      <c r="L640" s="384"/>
      <c r="M640" s="384"/>
      <c r="N640" s="384"/>
      <c r="O640" s="384"/>
      <c r="P640" s="384"/>
      <c r="Q640" s="384"/>
      <c r="R640" s="384"/>
      <c r="S640" s="384"/>
      <c r="T640" s="384"/>
      <c r="U640" s="384"/>
      <c r="V640" s="384"/>
      <c r="W640" s="384"/>
      <c r="X640" s="384"/>
      <c r="Y640" s="384"/>
      <c r="Z640" s="384"/>
      <c r="AA640" s="384"/>
      <c r="AB640" s="384"/>
      <c r="AC640" s="384"/>
      <c r="AD640" s="384"/>
      <c r="AE640" s="384"/>
      <c r="AF640" s="384"/>
      <c r="AG640" s="384"/>
      <c r="AH640" s="384"/>
      <c r="AI640" s="384"/>
      <c r="AJ640" s="384"/>
      <c r="AK640" s="384"/>
      <c r="AL640" s="384"/>
      <c r="AM640" s="384"/>
      <c r="AN640" s="384"/>
      <c r="AO640" s="384"/>
      <c r="AP640" s="384"/>
      <c r="AQ640" s="384"/>
      <c r="AR640" s="384"/>
      <c r="AS640" s="384"/>
      <c r="AT640" s="384"/>
      <c r="AU640" s="384"/>
      <c r="AV640" s="384"/>
      <c r="AW640" s="384"/>
      <c r="AX640" s="384"/>
      <c r="AY640" s="384"/>
      <c r="AZ640" s="336"/>
      <c r="BA640" s="336"/>
      <c r="BB640" s="384"/>
      <c r="BC640" s="384"/>
      <c r="BD640" s="384"/>
      <c r="BE640" s="384"/>
      <c r="BF640" s="384"/>
      <c r="BG640" s="384"/>
      <c r="BH640" s="384"/>
      <c r="BI640" s="384"/>
      <c r="BJ640" s="384"/>
      <c r="BK640" s="384"/>
      <c r="BL640" s="384"/>
      <c r="BM640" s="384"/>
      <c r="BN640" s="384"/>
      <c r="BO640" s="384"/>
      <c r="BP640" s="384"/>
      <c r="BQ640" s="384"/>
      <c r="BR640" s="384"/>
      <c r="BS640" s="384"/>
      <c r="BT640" s="211"/>
    </row>
    <row r="641" spans="1:72" s="206" customFormat="1" x14ac:dyDescent="0.35">
      <c r="A641" s="381"/>
      <c r="B641" s="384"/>
      <c r="C641" s="384"/>
      <c r="D641" s="384"/>
      <c r="E641" s="384"/>
      <c r="F641" s="384"/>
      <c r="G641" s="384"/>
      <c r="H641" s="384"/>
      <c r="I641" s="384"/>
      <c r="J641" s="384"/>
      <c r="K641" s="384"/>
      <c r="L641" s="384"/>
      <c r="M641" s="384"/>
      <c r="N641" s="384"/>
      <c r="O641" s="384"/>
      <c r="P641" s="384"/>
      <c r="Q641" s="384"/>
      <c r="R641" s="384"/>
      <c r="S641" s="384"/>
      <c r="T641" s="384"/>
      <c r="U641" s="384"/>
      <c r="V641" s="384"/>
      <c r="W641" s="384"/>
      <c r="X641" s="384"/>
      <c r="Y641" s="384"/>
      <c r="Z641" s="384"/>
      <c r="AA641" s="384"/>
      <c r="AB641" s="384"/>
      <c r="AC641" s="384"/>
      <c r="AD641" s="384"/>
      <c r="AE641" s="384"/>
      <c r="AF641" s="384"/>
      <c r="AG641" s="384"/>
      <c r="AH641" s="384"/>
      <c r="AI641" s="384"/>
      <c r="AJ641" s="384"/>
      <c r="AK641" s="384"/>
      <c r="AL641" s="384"/>
      <c r="AM641" s="384"/>
      <c r="AN641" s="384"/>
      <c r="AO641" s="384"/>
      <c r="AP641" s="384"/>
      <c r="AQ641" s="384"/>
      <c r="AR641" s="384"/>
      <c r="AS641" s="384"/>
      <c r="AT641" s="384"/>
      <c r="AU641" s="384"/>
      <c r="AV641" s="384"/>
      <c r="AW641" s="384"/>
      <c r="AX641" s="384"/>
      <c r="AY641" s="384"/>
      <c r="AZ641" s="336"/>
      <c r="BA641" s="336"/>
      <c r="BB641" s="384"/>
      <c r="BC641" s="384"/>
      <c r="BD641" s="384"/>
      <c r="BE641" s="384"/>
      <c r="BF641" s="384"/>
      <c r="BG641" s="384"/>
      <c r="BH641" s="384"/>
      <c r="BI641" s="384"/>
      <c r="BJ641" s="384"/>
      <c r="BK641" s="384"/>
      <c r="BL641" s="384"/>
      <c r="BM641" s="384"/>
      <c r="BN641" s="384"/>
      <c r="BO641" s="384"/>
      <c r="BP641" s="384"/>
      <c r="BQ641" s="384"/>
      <c r="BR641" s="384"/>
      <c r="BS641" s="384"/>
      <c r="BT641" s="211"/>
    </row>
    <row r="642" spans="1:72" s="130" customFormat="1" x14ac:dyDescent="0.35">
      <c r="A642" s="296" t="s">
        <v>253</v>
      </c>
      <c r="B642" s="389"/>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c r="AA642" s="141"/>
      <c r="AB642" s="141"/>
      <c r="AC642" s="141"/>
      <c r="AD642" s="141"/>
      <c r="AE642" s="141"/>
      <c r="AF642" s="141"/>
      <c r="AG642" s="141"/>
      <c r="AH642" s="141"/>
      <c r="AI642" s="141"/>
      <c r="AJ642" s="141"/>
      <c r="AK642" s="141"/>
      <c r="AL642" s="141"/>
      <c r="AM642" s="141"/>
      <c r="AN642" s="141"/>
      <c r="AO642" s="141"/>
      <c r="AP642" s="141"/>
      <c r="AQ642" s="141"/>
      <c r="AR642" s="141"/>
      <c r="AS642" s="141"/>
      <c r="AT642" s="141"/>
      <c r="AU642" s="141"/>
      <c r="AV642" s="141"/>
      <c r="AW642" s="141"/>
      <c r="AX642" s="141"/>
      <c r="AY642" s="141"/>
      <c r="AZ642" s="141"/>
      <c r="BA642" s="141"/>
      <c r="BB642" s="141"/>
      <c r="BC642" s="141"/>
      <c r="BD642" s="141"/>
      <c r="BE642" s="141"/>
      <c r="BF642" s="141"/>
      <c r="BG642" s="141"/>
      <c r="BH642" s="141"/>
      <c r="BI642" s="141"/>
      <c r="BJ642" s="141"/>
      <c r="BK642" s="141"/>
      <c r="BL642" s="141"/>
      <c r="BM642" s="141"/>
      <c r="BN642" s="141"/>
      <c r="BO642" s="141"/>
      <c r="BP642" s="141"/>
      <c r="BQ642" s="141"/>
      <c r="BR642" s="141"/>
      <c r="BS642" s="141"/>
      <c r="BT642" s="216"/>
    </row>
    <row r="643" spans="1:72" s="206" customFormat="1" x14ac:dyDescent="0.35">
      <c r="A643" s="290" t="s">
        <v>254</v>
      </c>
      <c r="B643" s="655">
        <v>1</v>
      </c>
      <c r="C643" s="384"/>
      <c r="D643" s="384"/>
      <c r="E643" s="384"/>
      <c r="F643" s="384"/>
      <c r="G643" s="384"/>
      <c r="H643" s="384"/>
      <c r="I643" s="384"/>
      <c r="J643" s="384"/>
      <c r="K643" s="384"/>
      <c r="L643" s="384"/>
      <c r="M643" s="384"/>
      <c r="N643" s="384"/>
      <c r="O643" s="384"/>
      <c r="P643" s="384"/>
      <c r="Q643" s="384"/>
      <c r="R643" s="384"/>
      <c r="S643" s="384"/>
      <c r="T643" s="384"/>
      <c r="U643" s="384"/>
      <c r="V643" s="384"/>
      <c r="W643" s="384"/>
      <c r="X643" s="384"/>
      <c r="Y643" s="384"/>
      <c r="Z643" s="384"/>
      <c r="AA643" s="384"/>
      <c r="AB643" s="384"/>
      <c r="AC643" s="384"/>
      <c r="AD643" s="384"/>
      <c r="AE643" s="384"/>
      <c r="AF643" s="384"/>
      <c r="AG643" s="384"/>
      <c r="AH643" s="384"/>
      <c r="AI643" s="384"/>
      <c r="AJ643" s="384"/>
      <c r="AK643" s="384"/>
      <c r="AL643" s="384"/>
      <c r="AM643" s="384"/>
      <c r="AN643" s="384"/>
      <c r="AO643" s="384"/>
      <c r="AP643" s="384"/>
      <c r="AQ643" s="384"/>
      <c r="AR643" s="384"/>
      <c r="AS643" s="384"/>
      <c r="AT643" s="384"/>
      <c r="AU643" s="384"/>
      <c r="AV643" s="384"/>
      <c r="AW643" s="384"/>
      <c r="AX643" s="384"/>
      <c r="AY643" s="384"/>
      <c r="AZ643" s="384"/>
      <c r="BA643" s="336"/>
      <c r="BB643" s="384"/>
      <c r="BC643" s="384"/>
      <c r="BD643" s="384"/>
      <c r="BE643" s="384"/>
      <c r="BF643" s="384"/>
      <c r="BG643" s="384"/>
      <c r="BH643" s="384"/>
      <c r="BI643" s="384"/>
      <c r="BJ643" s="384"/>
      <c r="BK643" s="384"/>
      <c r="BL643" s="384"/>
      <c r="BM643" s="384"/>
      <c r="BN643" s="384"/>
      <c r="BO643" s="384"/>
      <c r="BP643" s="384"/>
      <c r="BQ643" s="384"/>
      <c r="BR643" s="384"/>
      <c r="BS643" s="384"/>
      <c r="BT643" s="211"/>
    </row>
    <row r="644" spans="1:72" s="206" customFormat="1" x14ac:dyDescent="0.35">
      <c r="A644" s="290" t="s">
        <v>255</v>
      </c>
      <c r="B644" s="655">
        <v>2</v>
      </c>
      <c r="C644" s="384"/>
      <c r="D644" s="384"/>
      <c r="E644" s="384"/>
      <c r="F644" s="384"/>
      <c r="G644" s="384"/>
      <c r="H644" s="384"/>
      <c r="I644" s="384"/>
      <c r="J644" s="384"/>
      <c r="K644" s="384"/>
      <c r="L644" s="384"/>
      <c r="M644" s="384"/>
      <c r="N644" s="384"/>
      <c r="O644" s="384"/>
      <c r="P644" s="384"/>
      <c r="Q644" s="384"/>
      <c r="R644" s="384"/>
      <c r="S644" s="384"/>
      <c r="T644" s="384"/>
      <c r="U644" s="384"/>
      <c r="V644" s="384"/>
      <c r="W644" s="384"/>
      <c r="X644" s="384"/>
      <c r="Y644" s="384"/>
      <c r="Z644" s="384"/>
      <c r="AA644" s="384"/>
      <c r="AB644" s="384"/>
      <c r="AC644" s="384"/>
      <c r="AD644" s="384"/>
      <c r="AE644" s="384"/>
      <c r="AF644" s="384"/>
      <c r="AG644" s="384"/>
      <c r="AH644" s="384"/>
      <c r="AI644" s="384"/>
      <c r="AJ644" s="384"/>
      <c r="AK644" s="384"/>
      <c r="AL644" s="384"/>
      <c r="AM644" s="384"/>
      <c r="AN644" s="384"/>
      <c r="AO644" s="384"/>
      <c r="AP644" s="384"/>
      <c r="AQ644" s="384"/>
      <c r="AR644" s="384"/>
      <c r="AS644" s="384"/>
      <c r="AT644" s="384"/>
      <c r="AU644" s="384"/>
      <c r="AV644" s="384"/>
      <c r="AW644" s="384"/>
      <c r="AX644" s="384"/>
      <c r="AY644" s="384"/>
      <c r="AZ644" s="384"/>
      <c r="BA644" s="336"/>
      <c r="BB644" s="384"/>
      <c r="BC644" s="384"/>
      <c r="BD644" s="384"/>
      <c r="BE644" s="384"/>
      <c r="BF644" s="384"/>
      <c r="BG644" s="384"/>
      <c r="BH644" s="384"/>
      <c r="BI644" s="384"/>
      <c r="BJ644" s="384"/>
      <c r="BK644" s="384"/>
      <c r="BL644" s="384"/>
      <c r="BM644" s="384"/>
      <c r="BN644" s="384"/>
      <c r="BO644" s="384"/>
      <c r="BP644" s="384"/>
      <c r="BQ644" s="384"/>
      <c r="BR644" s="384"/>
      <c r="BS644" s="384"/>
      <c r="BT644" s="211"/>
    </row>
    <row r="645" spans="1:72" s="206" customFormat="1" x14ac:dyDescent="0.35">
      <c r="A645" s="290" t="s">
        <v>109</v>
      </c>
      <c r="B645" s="655">
        <v>3</v>
      </c>
      <c r="C645" s="384"/>
      <c r="D645" s="384"/>
      <c r="E645" s="384"/>
      <c r="F645" s="384"/>
      <c r="G645" s="384"/>
      <c r="H645" s="384"/>
      <c r="I645" s="384"/>
      <c r="J645" s="384"/>
      <c r="K645" s="384"/>
      <c r="L645" s="384"/>
      <c r="M645" s="384"/>
      <c r="N645" s="384"/>
      <c r="O645" s="384"/>
      <c r="P645" s="384"/>
      <c r="Q645" s="384"/>
      <c r="R645" s="384"/>
      <c r="S645" s="384"/>
      <c r="T645" s="384"/>
      <c r="U645" s="384"/>
      <c r="V645" s="384"/>
      <c r="W645" s="384"/>
      <c r="X645" s="384"/>
      <c r="Y645" s="384"/>
      <c r="Z645" s="384"/>
      <c r="AA645" s="384"/>
      <c r="AB645" s="384"/>
      <c r="AC645" s="384"/>
      <c r="AD645" s="384"/>
      <c r="AE645" s="384"/>
      <c r="AF645" s="384"/>
      <c r="AG645" s="384"/>
      <c r="AH645" s="384"/>
      <c r="AI645" s="384"/>
      <c r="AJ645" s="384"/>
      <c r="AK645" s="384"/>
      <c r="AL645" s="384"/>
      <c r="AM645" s="384"/>
      <c r="AN645" s="384"/>
      <c r="AO645" s="384"/>
      <c r="AP645" s="384"/>
      <c r="AQ645" s="384"/>
      <c r="AR645" s="384"/>
      <c r="AS645" s="384"/>
      <c r="AT645" s="384"/>
      <c r="AU645" s="384"/>
      <c r="AV645" s="384"/>
      <c r="AW645" s="384"/>
      <c r="AX645" s="384"/>
      <c r="AY645" s="384"/>
      <c r="AZ645" s="384"/>
      <c r="BA645" s="336"/>
      <c r="BB645" s="384"/>
      <c r="BC645" s="384"/>
      <c r="BD645" s="384"/>
      <c r="BE645" s="384"/>
      <c r="BF645" s="384"/>
      <c r="BG645" s="384"/>
      <c r="BH645" s="384"/>
      <c r="BI645" s="384"/>
      <c r="BJ645" s="384"/>
      <c r="BK645" s="384"/>
      <c r="BL645" s="384"/>
      <c r="BM645" s="384"/>
      <c r="BN645" s="384"/>
      <c r="BO645" s="384"/>
      <c r="BP645" s="384"/>
      <c r="BQ645" s="384"/>
      <c r="BR645" s="384"/>
      <c r="BS645" s="384"/>
      <c r="BT645" s="211"/>
    </row>
    <row r="646" spans="1:72" s="206" customFormat="1" x14ac:dyDescent="0.35">
      <c r="A646" s="291" t="s">
        <v>647</v>
      </c>
      <c r="B646" s="656">
        <v>4</v>
      </c>
      <c r="C646" s="384"/>
      <c r="D646" s="384"/>
      <c r="E646" s="384"/>
      <c r="F646" s="384"/>
      <c r="G646" s="384"/>
      <c r="H646" s="384"/>
      <c r="I646" s="384"/>
      <c r="J646" s="384"/>
      <c r="K646" s="384"/>
      <c r="L646" s="384"/>
      <c r="M646" s="384"/>
      <c r="N646" s="384"/>
      <c r="O646" s="384"/>
      <c r="P646" s="384"/>
      <c r="Q646" s="384"/>
      <c r="R646" s="384"/>
      <c r="S646" s="384"/>
      <c r="T646" s="384"/>
      <c r="U646" s="384"/>
      <c r="V646" s="384"/>
      <c r="W646" s="384"/>
      <c r="X646" s="384"/>
      <c r="Y646" s="384"/>
      <c r="Z646" s="384"/>
      <c r="AA646" s="384"/>
      <c r="AB646" s="384"/>
      <c r="AC646" s="384"/>
      <c r="AD646" s="384"/>
      <c r="AE646" s="384"/>
      <c r="AF646" s="384"/>
      <c r="AG646" s="384"/>
      <c r="AH646" s="384"/>
      <c r="AI646" s="384"/>
      <c r="AJ646" s="384"/>
      <c r="AK646" s="384"/>
      <c r="AL646" s="384"/>
      <c r="AM646" s="384"/>
      <c r="AN646" s="384"/>
      <c r="AO646" s="384"/>
      <c r="AP646" s="384"/>
      <c r="AQ646" s="384"/>
      <c r="AR646" s="384"/>
      <c r="AS646" s="384"/>
      <c r="AT646" s="384"/>
      <c r="AU646" s="384"/>
      <c r="AV646" s="384"/>
      <c r="AW646" s="384"/>
      <c r="AX646" s="384"/>
      <c r="AY646" s="384"/>
      <c r="AZ646" s="384"/>
      <c r="BA646" s="336"/>
      <c r="BB646" s="384"/>
      <c r="BC646" s="384"/>
      <c r="BD646" s="384"/>
      <c r="BE646" s="384"/>
      <c r="BF646" s="384"/>
      <c r="BG646" s="384"/>
      <c r="BH646" s="384"/>
      <c r="BI646" s="384"/>
      <c r="BJ646" s="384"/>
      <c r="BK646" s="384"/>
      <c r="BL646" s="384"/>
      <c r="BM646" s="384"/>
      <c r="BN646" s="384"/>
      <c r="BO646" s="384"/>
      <c r="BP646" s="384"/>
      <c r="BQ646" s="384"/>
      <c r="BR646" s="384"/>
      <c r="BS646" s="384"/>
      <c r="BT646" s="211"/>
    </row>
    <row r="647" spans="1:72" s="206" customFormat="1" x14ac:dyDescent="0.35">
      <c r="A647" s="381"/>
      <c r="B647" s="384"/>
      <c r="C647" s="384"/>
      <c r="D647" s="384"/>
      <c r="E647" s="384"/>
      <c r="F647" s="384"/>
      <c r="G647" s="384"/>
      <c r="H647" s="384"/>
      <c r="I647" s="384"/>
      <c r="J647" s="384"/>
      <c r="K647" s="384"/>
      <c r="L647" s="384"/>
      <c r="M647" s="384"/>
      <c r="N647" s="384"/>
      <c r="O647" s="384"/>
      <c r="P647" s="384"/>
      <c r="Q647" s="384"/>
      <c r="R647" s="384"/>
      <c r="S647" s="384"/>
      <c r="T647" s="384"/>
      <c r="U647" s="384"/>
      <c r="V647" s="384"/>
      <c r="W647" s="384"/>
      <c r="X647" s="384"/>
      <c r="Y647" s="384"/>
      <c r="Z647" s="384"/>
      <c r="AA647" s="384"/>
      <c r="AB647" s="384"/>
      <c r="AC647" s="384"/>
      <c r="AD647" s="384"/>
      <c r="AE647" s="384"/>
      <c r="AF647" s="384"/>
      <c r="AG647" s="384"/>
      <c r="AH647" s="384"/>
      <c r="AI647" s="384"/>
      <c r="AJ647" s="384"/>
      <c r="AK647" s="384"/>
      <c r="AL647" s="384"/>
      <c r="AM647" s="384"/>
      <c r="AN647" s="384"/>
      <c r="AO647" s="384"/>
      <c r="AP647" s="384"/>
      <c r="AQ647" s="384"/>
      <c r="AR647" s="384"/>
      <c r="AS647" s="384"/>
      <c r="AT647" s="384"/>
      <c r="AU647" s="384"/>
      <c r="AV647" s="384"/>
      <c r="AW647" s="384"/>
      <c r="AX647" s="384"/>
      <c r="AY647" s="384"/>
      <c r="AZ647" s="336"/>
      <c r="BA647" s="336"/>
      <c r="BB647" s="384"/>
      <c r="BC647" s="384"/>
      <c r="BD647" s="384"/>
      <c r="BE647" s="384"/>
      <c r="BF647" s="384"/>
      <c r="BG647" s="384"/>
      <c r="BH647" s="384"/>
      <c r="BI647" s="384"/>
      <c r="BJ647" s="384"/>
      <c r="BK647" s="384"/>
      <c r="BL647" s="384"/>
      <c r="BM647" s="384"/>
      <c r="BN647" s="384"/>
      <c r="BO647" s="384"/>
      <c r="BP647" s="384"/>
      <c r="BQ647" s="384"/>
      <c r="BR647" s="384"/>
      <c r="BS647" s="384"/>
      <c r="BT647" s="211"/>
    </row>
    <row r="648" spans="1:72" s="206" customFormat="1" x14ac:dyDescent="0.35">
      <c r="A648" s="298" t="s">
        <v>410</v>
      </c>
      <c r="B648" s="384"/>
      <c r="C648" s="384"/>
      <c r="D648" s="384"/>
      <c r="E648" s="384"/>
      <c r="F648" s="384"/>
      <c r="G648" s="384"/>
      <c r="H648" s="384"/>
      <c r="I648" s="384"/>
      <c r="J648" s="384"/>
      <c r="K648" s="384"/>
      <c r="L648" s="384"/>
      <c r="M648" s="384"/>
      <c r="N648" s="384"/>
      <c r="O648" s="384"/>
      <c r="P648" s="384"/>
      <c r="Q648" s="384"/>
      <c r="R648" s="384"/>
      <c r="S648" s="384"/>
      <c r="T648" s="384"/>
      <c r="U648" s="384"/>
      <c r="V648" s="384"/>
      <c r="W648" s="384"/>
      <c r="X648" s="384"/>
      <c r="Y648" s="384"/>
      <c r="Z648" s="384"/>
      <c r="AA648" s="384"/>
      <c r="AB648" s="384"/>
      <c r="AC648" s="384"/>
      <c r="AD648" s="384"/>
      <c r="AE648" s="384"/>
      <c r="AF648" s="384"/>
      <c r="AG648" s="384"/>
      <c r="AH648" s="384"/>
      <c r="AI648" s="384"/>
      <c r="AJ648" s="384"/>
      <c r="AK648" s="384"/>
      <c r="AL648" s="384"/>
      <c r="AM648" s="384"/>
      <c r="AN648" s="384"/>
      <c r="AO648" s="384"/>
      <c r="AP648" s="384"/>
      <c r="AQ648" s="384"/>
      <c r="AR648" s="384"/>
      <c r="AS648" s="384"/>
      <c r="AT648" s="384"/>
      <c r="AU648" s="384"/>
      <c r="AV648" s="384"/>
      <c r="AW648" s="384"/>
      <c r="AX648" s="384"/>
      <c r="AY648" s="384"/>
      <c r="AZ648" s="336"/>
      <c r="BA648" s="336"/>
      <c r="BB648" s="384"/>
      <c r="BC648" s="384"/>
      <c r="BD648" s="384"/>
      <c r="BE648" s="384"/>
      <c r="BF648" s="384"/>
      <c r="BG648" s="384"/>
      <c r="BH648" s="384"/>
      <c r="BI648" s="384"/>
      <c r="BJ648" s="384"/>
      <c r="BK648" s="384"/>
      <c r="BL648" s="384"/>
      <c r="BM648" s="384"/>
      <c r="BN648" s="384"/>
      <c r="BO648" s="384"/>
      <c r="BP648" s="384"/>
      <c r="BQ648" s="384"/>
      <c r="BR648" s="384"/>
      <c r="BS648" s="384"/>
      <c r="BT648" s="211"/>
    </row>
    <row r="649" spans="1:72" s="206" customFormat="1" x14ac:dyDescent="0.35">
      <c r="A649" s="299" t="str">
        <f>MO_RIS_REV</f>
        <v>Net Revenue</v>
      </c>
      <c r="B649" s="384"/>
      <c r="C649" s="384"/>
      <c r="D649" s="384"/>
      <c r="E649" s="384"/>
      <c r="F649" s="384"/>
      <c r="G649" s="384"/>
      <c r="H649" s="384"/>
      <c r="I649" s="384"/>
      <c r="J649" s="384"/>
      <c r="K649" s="384"/>
      <c r="L649" s="384"/>
      <c r="M649" s="384"/>
      <c r="N649" s="384"/>
      <c r="O649" s="384"/>
      <c r="P649" s="384"/>
      <c r="Q649" s="384"/>
      <c r="R649" s="384"/>
      <c r="S649" s="384"/>
      <c r="T649" s="384"/>
      <c r="U649" s="384"/>
      <c r="V649" s="384"/>
      <c r="W649" s="384"/>
      <c r="X649" s="384"/>
      <c r="Y649" s="384"/>
      <c r="Z649" s="384"/>
      <c r="AA649" s="384"/>
      <c r="AB649" s="384"/>
      <c r="AC649" s="384"/>
      <c r="AD649" s="384"/>
      <c r="AE649" s="384"/>
      <c r="AF649" s="384"/>
      <c r="AG649" s="384"/>
      <c r="AH649" s="384"/>
      <c r="AI649" s="384"/>
      <c r="AJ649" s="384"/>
      <c r="AK649" s="384"/>
      <c r="AL649" s="384"/>
      <c r="AM649" s="384"/>
      <c r="AN649" s="384"/>
      <c r="AO649" s="384"/>
      <c r="AP649" s="384"/>
      <c r="AQ649" s="384"/>
      <c r="AR649" s="384"/>
      <c r="AS649" s="384"/>
      <c r="AT649" s="384"/>
      <c r="AU649" s="384"/>
      <c r="AV649" s="384"/>
      <c r="AW649" s="384"/>
      <c r="AX649" s="384"/>
      <c r="AY649" s="384"/>
      <c r="AZ649" s="336"/>
      <c r="BA649" s="336"/>
      <c r="BB649" s="384"/>
      <c r="BC649" s="384"/>
      <c r="BD649" s="384"/>
      <c r="BE649" s="384"/>
      <c r="BF649" s="384"/>
      <c r="BG649" s="384"/>
      <c r="BH649" s="384"/>
      <c r="BI649" s="384"/>
      <c r="BJ649" s="384"/>
      <c r="BK649" s="384"/>
      <c r="BL649" s="384"/>
      <c r="BM649" s="384"/>
      <c r="BN649" s="384"/>
      <c r="BO649" s="384"/>
      <c r="BP649" s="384"/>
      <c r="BQ649" s="384"/>
      <c r="BR649" s="384"/>
      <c r="BS649" s="384"/>
      <c r="BT649" s="211"/>
    </row>
    <row r="650" spans="1:72" s="206" customFormat="1" x14ac:dyDescent="0.35">
      <c r="A650" s="299" t="e">
        <f>MO_RIS_EBITDA_Adj</f>
        <v>#REF!</v>
      </c>
      <c r="B650" s="384"/>
      <c r="C650" s="384"/>
      <c r="D650" s="384"/>
      <c r="E650" s="384"/>
      <c r="F650" s="384"/>
      <c r="G650" s="384"/>
      <c r="H650" s="384"/>
      <c r="I650" s="384"/>
      <c r="J650" s="384"/>
      <c r="K650" s="384"/>
      <c r="L650" s="384"/>
      <c r="M650" s="384"/>
      <c r="N650" s="384"/>
      <c r="O650" s="384"/>
      <c r="P650" s="384"/>
      <c r="Q650" s="384"/>
      <c r="R650" s="384"/>
      <c r="S650" s="384"/>
      <c r="T650" s="384"/>
      <c r="U650" s="384"/>
      <c r="V650" s="384"/>
      <c r="W650" s="384"/>
      <c r="X650" s="384"/>
      <c r="Y650" s="384"/>
      <c r="Z650" s="384"/>
      <c r="AA650" s="384"/>
      <c r="AB650" s="384"/>
      <c r="AC650" s="384"/>
      <c r="AD650" s="384"/>
      <c r="AE650" s="384"/>
      <c r="AF650" s="384"/>
      <c r="AG650" s="384"/>
      <c r="AH650" s="384"/>
      <c r="AI650" s="384"/>
      <c r="AJ650" s="384"/>
      <c r="AK650" s="384"/>
      <c r="AL650" s="384"/>
      <c r="AM650" s="384"/>
      <c r="AN650" s="384"/>
      <c r="AO650" s="384"/>
      <c r="AP650" s="384"/>
      <c r="AQ650" s="384"/>
      <c r="AR650" s="384"/>
      <c r="AS650" s="384"/>
      <c r="AT650" s="384"/>
      <c r="AU650" s="384"/>
      <c r="AV650" s="384"/>
      <c r="AW650" s="384"/>
      <c r="AX650" s="384"/>
      <c r="AY650" s="384"/>
      <c r="AZ650" s="336"/>
      <c r="BA650" s="336"/>
      <c r="BB650" s="384"/>
      <c r="BC650" s="384"/>
      <c r="BD650" s="384"/>
      <c r="BE650" s="384"/>
      <c r="BF650" s="384"/>
      <c r="BG650" s="384"/>
      <c r="BH650" s="384"/>
      <c r="BI650" s="384"/>
      <c r="BJ650" s="384"/>
      <c r="BK650" s="384"/>
      <c r="BL650" s="384"/>
      <c r="BM650" s="384"/>
      <c r="BN650" s="384"/>
      <c r="BO650" s="384"/>
      <c r="BP650" s="384"/>
      <c r="BQ650" s="384"/>
      <c r="BR650" s="384"/>
      <c r="BS650" s="384"/>
      <c r="BT650" s="211"/>
    </row>
    <row r="651" spans="1:72" s="206" customFormat="1" x14ac:dyDescent="0.35">
      <c r="A651" s="299" t="e">
        <f>MO_RIS_EBIT_Adj</f>
        <v>#REF!</v>
      </c>
      <c r="B651" s="384"/>
      <c r="C651" s="384"/>
      <c r="D651" s="384"/>
      <c r="E651" s="384"/>
      <c r="F651" s="384"/>
      <c r="G651" s="384"/>
      <c r="H651" s="384"/>
      <c r="I651" s="384"/>
      <c r="J651" s="384"/>
      <c r="K651" s="384"/>
      <c r="L651" s="384"/>
      <c r="M651" s="384"/>
      <c r="N651" s="384"/>
      <c r="O651" s="384"/>
      <c r="P651" s="384"/>
      <c r="Q651" s="384"/>
      <c r="R651" s="384"/>
      <c r="S651" s="384"/>
      <c r="T651" s="384"/>
      <c r="U651" s="384"/>
      <c r="V651" s="384"/>
      <c r="W651" s="384"/>
      <c r="X651" s="384"/>
      <c r="Y651" s="384"/>
      <c r="Z651" s="384"/>
      <c r="AA651" s="384"/>
      <c r="AB651" s="384"/>
      <c r="AC651" s="384"/>
      <c r="AD651" s="384"/>
      <c r="AE651" s="384"/>
      <c r="AF651" s="384"/>
      <c r="AG651" s="384"/>
      <c r="AH651" s="384"/>
      <c r="AI651" s="384"/>
      <c r="AJ651" s="384"/>
      <c r="AK651" s="384"/>
      <c r="AL651" s="384"/>
      <c r="AM651" s="384"/>
      <c r="AN651" s="384"/>
      <c r="AO651" s="384"/>
      <c r="AP651" s="384"/>
      <c r="AQ651" s="384"/>
      <c r="AR651" s="384"/>
      <c r="AS651" s="384"/>
      <c r="AT651" s="384"/>
      <c r="AU651" s="384"/>
      <c r="AV651" s="384"/>
      <c r="AW651" s="384"/>
      <c r="AX651" s="384"/>
      <c r="AY651" s="384"/>
      <c r="AZ651" s="336"/>
      <c r="BA651" s="336"/>
      <c r="BB651" s="384"/>
      <c r="BC651" s="384"/>
      <c r="BD651" s="384"/>
      <c r="BE651" s="384"/>
      <c r="BF651" s="384"/>
      <c r="BG651" s="384"/>
      <c r="BH651" s="384"/>
      <c r="BI651" s="384"/>
      <c r="BJ651" s="384"/>
      <c r="BK651" s="384"/>
      <c r="BL651" s="384"/>
      <c r="BM651" s="384"/>
      <c r="BN651" s="384"/>
      <c r="BO651" s="384"/>
      <c r="BP651" s="384"/>
      <c r="BQ651" s="384"/>
      <c r="BR651" s="384"/>
      <c r="BS651" s="384"/>
      <c r="BT651" s="211"/>
    </row>
    <row r="652" spans="1:72" s="206" customFormat="1" x14ac:dyDescent="0.35">
      <c r="A652" s="299" t="str">
        <f>MO_RIS_EPS_WAD_Adj</f>
        <v>Adjusted Earnings Per Share - WAD</v>
      </c>
      <c r="B652" s="384"/>
      <c r="C652" s="384"/>
      <c r="D652" s="384"/>
      <c r="E652" s="384"/>
      <c r="F652" s="384"/>
      <c r="G652" s="384"/>
      <c r="H652" s="384"/>
      <c r="I652" s="384"/>
      <c r="J652" s="384"/>
      <c r="K652" s="384"/>
      <c r="L652" s="384"/>
      <c r="M652" s="384"/>
      <c r="N652" s="384"/>
      <c r="O652" s="384"/>
      <c r="P652" s="384"/>
      <c r="Q652" s="384"/>
      <c r="R652" s="384"/>
      <c r="S652" s="384"/>
      <c r="T652" s="384"/>
      <c r="U652" s="384"/>
      <c r="V652" s="384"/>
      <c r="W652" s="384"/>
      <c r="X652" s="384"/>
      <c r="Y652" s="384"/>
      <c r="Z652" s="384"/>
      <c r="AA652" s="384"/>
      <c r="AB652" s="384"/>
      <c r="AC652" s="384"/>
      <c r="AD652" s="384"/>
      <c r="AE652" s="384"/>
      <c r="AF652" s="384"/>
      <c r="AG652" s="384"/>
      <c r="AH652" s="384"/>
      <c r="AI652" s="384"/>
      <c r="AJ652" s="384"/>
      <c r="AK652" s="384"/>
      <c r="AL652" s="384"/>
      <c r="AM652" s="384"/>
      <c r="AN652" s="384"/>
      <c r="AO652" s="384"/>
      <c r="AP652" s="384"/>
      <c r="AQ652" s="384"/>
      <c r="AR652" s="384"/>
      <c r="AS652" s="384"/>
      <c r="AT652" s="384"/>
      <c r="AU652" s="384"/>
      <c r="AV652" s="384"/>
      <c r="AW652" s="384"/>
      <c r="AX652" s="384"/>
      <c r="AY652" s="384"/>
      <c r="AZ652" s="336"/>
      <c r="BA652" s="336"/>
      <c r="BB652" s="384"/>
      <c r="BC652" s="384"/>
      <c r="BD652" s="384"/>
      <c r="BE652" s="384"/>
      <c r="BF652" s="384"/>
      <c r="BG652" s="384"/>
      <c r="BH652" s="384"/>
      <c r="BI652" s="384"/>
      <c r="BJ652" s="384"/>
      <c r="BK652" s="384"/>
      <c r="BL652" s="384"/>
      <c r="BM652" s="384"/>
      <c r="BN652" s="384"/>
      <c r="BO652" s="384"/>
      <c r="BP652" s="384"/>
      <c r="BQ652" s="384"/>
      <c r="BR652" s="384"/>
      <c r="BS652" s="384"/>
      <c r="BT652" s="211"/>
    </row>
    <row r="653" spans="1:72" s="206" customFormat="1" x14ac:dyDescent="0.35">
      <c r="A653" s="299" t="str">
        <f>MO_VA_EV_ToEBITDA</f>
        <v>EV/EBITDA - EoP</v>
      </c>
      <c r="B653" s="384"/>
      <c r="C653" s="384"/>
      <c r="D653" s="384"/>
      <c r="E653" s="384"/>
      <c r="F653" s="384"/>
      <c r="G653" s="384"/>
      <c r="H653" s="384"/>
      <c r="I653" s="384"/>
      <c r="J653" s="384"/>
      <c r="K653" s="384"/>
      <c r="L653" s="384"/>
      <c r="M653" s="384"/>
      <c r="N653" s="384"/>
      <c r="O653" s="384"/>
      <c r="P653" s="384"/>
      <c r="Q653" s="384"/>
      <c r="R653" s="384"/>
      <c r="S653" s="384"/>
      <c r="T653" s="384"/>
      <c r="U653" s="384"/>
      <c r="V653" s="384"/>
      <c r="W653" s="384"/>
      <c r="X653" s="384"/>
      <c r="Y653" s="384"/>
      <c r="Z653" s="384"/>
      <c r="AA653" s="384"/>
      <c r="AB653" s="384"/>
      <c r="AC653" s="384"/>
      <c r="AD653" s="384"/>
      <c r="AE653" s="384"/>
      <c r="AF653" s="384"/>
      <c r="AG653" s="384"/>
      <c r="AH653" s="384"/>
      <c r="AI653" s="384"/>
      <c r="AJ653" s="384"/>
      <c r="AK653" s="384"/>
      <c r="AL653" s="384"/>
      <c r="AM653" s="384"/>
      <c r="AN653" s="384"/>
      <c r="AO653" s="384"/>
      <c r="AP653" s="384"/>
      <c r="AQ653" s="384"/>
      <c r="AR653" s="384"/>
      <c r="AS653" s="384"/>
      <c r="AT653" s="384"/>
      <c r="AU653" s="384"/>
      <c r="AV653" s="384"/>
      <c r="AW653" s="384"/>
      <c r="AX653" s="384"/>
      <c r="AY653" s="384"/>
      <c r="AZ653" s="336"/>
      <c r="BA653" s="336"/>
      <c r="BB653" s="384"/>
      <c r="BC653" s="384"/>
      <c r="BD653" s="384"/>
      <c r="BE653" s="384"/>
      <c r="BF653" s="384"/>
      <c r="BG653" s="384"/>
      <c r="BH653" s="384"/>
      <c r="BI653" s="384"/>
      <c r="BJ653" s="384"/>
      <c r="BK653" s="384"/>
      <c r="BL653" s="384"/>
      <c r="BM653" s="384"/>
      <c r="BN653" s="384"/>
      <c r="BO653" s="384"/>
      <c r="BP653" s="384"/>
      <c r="BQ653" s="384"/>
      <c r="BR653" s="384"/>
      <c r="BS653" s="384"/>
      <c r="BT653" s="211"/>
    </row>
    <row r="654" spans="1:72" s="206" customFormat="1" x14ac:dyDescent="0.35">
      <c r="A654" s="299" t="str">
        <f>MO_VA_P_ToE</f>
        <v>P/E - EoP</v>
      </c>
      <c r="B654" s="384"/>
      <c r="C654" s="384"/>
      <c r="D654" s="384"/>
      <c r="E654" s="384"/>
      <c r="F654" s="384"/>
      <c r="G654" s="384"/>
      <c r="H654" s="384"/>
      <c r="I654" s="384"/>
      <c r="J654" s="384"/>
      <c r="K654" s="384"/>
      <c r="L654" s="384"/>
      <c r="M654" s="384"/>
      <c r="N654" s="384"/>
      <c r="O654" s="384"/>
      <c r="P654" s="384"/>
      <c r="Q654" s="384"/>
      <c r="R654" s="384"/>
      <c r="S654" s="384"/>
      <c r="T654" s="384"/>
      <c r="U654" s="384"/>
      <c r="V654" s="384"/>
      <c r="W654" s="384"/>
      <c r="X654" s="384"/>
      <c r="Y654" s="384"/>
      <c r="Z654" s="384"/>
      <c r="AA654" s="384"/>
      <c r="AB654" s="384"/>
      <c r="AC654" s="384"/>
      <c r="AD654" s="384"/>
      <c r="AE654" s="384"/>
      <c r="AF654" s="384"/>
      <c r="AG654" s="384"/>
      <c r="AH654" s="384"/>
      <c r="AI654" s="384"/>
      <c r="AJ654" s="384"/>
      <c r="AK654" s="384"/>
      <c r="AL654" s="384"/>
      <c r="AM654" s="384"/>
      <c r="AN654" s="384"/>
      <c r="AO654" s="384"/>
      <c r="AP654" s="384"/>
      <c r="AQ654" s="384"/>
      <c r="AR654" s="384"/>
      <c r="AS654" s="384"/>
      <c r="AT654" s="384"/>
      <c r="AU654" s="384"/>
      <c r="AV654" s="384"/>
      <c r="AW654" s="384"/>
      <c r="AX654" s="384"/>
      <c r="AY654" s="384"/>
      <c r="AZ654" s="336"/>
      <c r="BA654" s="336"/>
      <c r="BB654" s="384"/>
      <c r="BC654" s="384"/>
      <c r="BD654" s="384"/>
      <c r="BE654" s="384"/>
      <c r="BF654" s="384"/>
      <c r="BG654" s="384"/>
      <c r="BH654" s="384"/>
      <c r="BI654" s="384"/>
      <c r="BJ654" s="384"/>
      <c r="BK654" s="384"/>
      <c r="BL654" s="384"/>
      <c r="BM654" s="384"/>
      <c r="BN654" s="384"/>
      <c r="BO654" s="384"/>
      <c r="BP654" s="384"/>
      <c r="BQ654" s="384"/>
      <c r="BR654" s="384"/>
      <c r="BS654" s="384"/>
      <c r="BT654" s="211"/>
    </row>
    <row r="655" spans="1:72" s="206" customFormat="1" x14ac:dyDescent="0.35">
      <c r="A655" s="385"/>
      <c r="B655" s="384"/>
      <c r="C655" s="384"/>
      <c r="D655" s="384"/>
      <c r="E655" s="384"/>
      <c r="F655" s="384"/>
      <c r="G655" s="384"/>
      <c r="H655" s="384"/>
      <c r="I655" s="384"/>
      <c r="J655" s="384"/>
      <c r="K655" s="384"/>
      <c r="L655" s="384"/>
      <c r="M655" s="384"/>
      <c r="N655" s="384"/>
      <c r="O655" s="384"/>
      <c r="P655" s="384"/>
      <c r="Q655" s="384"/>
      <c r="R655" s="384"/>
      <c r="S655" s="384"/>
      <c r="T655" s="384"/>
      <c r="U655" s="384"/>
      <c r="V655" s="384"/>
      <c r="W655" s="384"/>
      <c r="X655" s="384"/>
      <c r="Y655" s="384"/>
      <c r="Z655" s="384"/>
      <c r="AA655" s="384"/>
      <c r="AB655" s="384"/>
      <c r="AC655" s="384"/>
      <c r="AD655" s="384"/>
      <c r="AE655" s="384"/>
      <c r="AF655" s="384"/>
      <c r="AG655" s="384"/>
      <c r="AH655" s="384"/>
      <c r="AI655" s="384"/>
      <c r="AJ655" s="384"/>
      <c r="AK655" s="384"/>
      <c r="AL655" s="384"/>
      <c r="AM655" s="384"/>
      <c r="AN655" s="384"/>
      <c r="AO655" s="384"/>
      <c r="AP655" s="384"/>
      <c r="AQ655" s="384"/>
      <c r="AR655" s="384"/>
      <c r="AS655" s="384"/>
      <c r="AT655" s="384"/>
      <c r="AU655" s="384"/>
      <c r="AV655" s="384"/>
      <c r="AW655" s="384"/>
      <c r="AX655" s="384"/>
      <c r="AY655" s="384"/>
      <c r="AZ655" s="336"/>
      <c r="BA655" s="336"/>
      <c r="BB655" s="384"/>
      <c r="BC655" s="384"/>
      <c r="BD655" s="384"/>
      <c r="BE655" s="384"/>
      <c r="BF655" s="384"/>
      <c r="BG655" s="384"/>
      <c r="BH655" s="384"/>
      <c r="BI655" s="384"/>
      <c r="BJ655" s="384"/>
      <c r="BK655" s="384"/>
      <c r="BL655" s="384"/>
      <c r="BM655" s="384"/>
      <c r="BN655" s="384"/>
      <c r="BO655" s="384"/>
      <c r="BP655" s="384"/>
      <c r="BQ655" s="384"/>
      <c r="BR655" s="384"/>
      <c r="BS655" s="384"/>
      <c r="BT655" s="211"/>
    </row>
    <row r="656" spans="1:72" s="206" customFormat="1" x14ac:dyDescent="0.35">
      <c r="A656" s="381"/>
      <c r="B656" s="384"/>
      <c r="C656" s="384"/>
      <c r="D656" s="384"/>
      <c r="E656" s="384"/>
      <c r="F656" s="384"/>
      <c r="G656" s="384"/>
      <c r="H656" s="384"/>
      <c r="I656" s="384"/>
      <c r="J656" s="384"/>
      <c r="K656" s="384"/>
      <c r="L656" s="384"/>
      <c r="M656" s="384"/>
      <c r="N656" s="384"/>
      <c r="O656" s="384"/>
      <c r="P656" s="384"/>
      <c r="Q656" s="384"/>
      <c r="R656" s="384"/>
      <c r="S656" s="384"/>
      <c r="T656" s="384"/>
      <c r="U656" s="384"/>
      <c r="V656" s="384"/>
      <c r="W656" s="384"/>
      <c r="X656" s="384"/>
      <c r="Y656" s="384"/>
      <c r="Z656" s="384"/>
      <c r="AA656" s="384"/>
      <c r="AB656" s="384"/>
      <c r="AC656" s="384"/>
      <c r="AD656" s="384"/>
      <c r="AE656" s="384"/>
      <c r="AF656" s="384"/>
      <c r="AG656" s="384"/>
      <c r="AH656" s="384"/>
      <c r="AI656" s="384"/>
      <c r="AJ656" s="384"/>
      <c r="AK656" s="384"/>
      <c r="AL656" s="384"/>
      <c r="AM656" s="384"/>
      <c r="AN656" s="384"/>
      <c r="AO656" s="384"/>
      <c r="AP656" s="384"/>
      <c r="AQ656" s="384"/>
      <c r="AR656" s="384"/>
      <c r="AS656" s="384"/>
      <c r="AT656" s="384"/>
      <c r="AU656" s="384"/>
      <c r="AV656" s="384"/>
      <c r="AW656" s="384"/>
      <c r="AX656" s="384"/>
      <c r="AY656" s="384"/>
      <c r="AZ656" s="336"/>
      <c r="BA656" s="336"/>
      <c r="BB656" s="384"/>
      <c r="BC656" s="384"/>
      <c r="BD656" s="384"/>
      <c r="BE656" s="384"/>
      <c r="BF656" s="384"/>
      <c r="BG656" s="384"/>
      <c r="BH656" s="384"/>
      <c r="BI656" s="384"/>
      <c r="BJ656" s="384"/>
      <c r="BK656" s="384"/>
      <c r="BL656" s="384"/>
      <c r="BM656" s="384"/>
      <c r="BN656" s="384"/>
      <c r="BO656" s="384"/>
      <c r="BP656" s="384"/>
      <c r="BQ656" s="384"/>
      <c r="BR656" s="384"/>
      <c r="BS656" s="384"/>
      <c r="BT656" s="211"/>
    </row>
    <row r="657" spans="1:72" s="206" customFormat="1" x14ac:dyDescent="0.35">
      <c r="A657" s="462" t="s">
        <v>630</v>
      </c>
      <c r="B657" s="384"/>
      <c r="C657" s="384"/>
      <c r="D657" s="384"/>
      <c r="E657" s="384"/>
      <c r="F657" s="384"/>
      <c r="G657" s="384"/>
      <c r="H657" s="384"/>
      <c r="I657" s="384"/>
      <c r="J657" s="384"/>
      <c r="K657" s="384"/>
      <c r="L657" s="384"/>
      <c r="M657" s="384"/>
      <c r="N657" s="384"/>
      <c r="O657" s="384"/>
      <c r="P657" s="384"/>
      <c r="Q657" s="384"/>
      <c r="R657" s="384"/>
      <c r="S657" s="384"/>
      <c r="T657" s="384"/>
      <c r="U657" s="384"/>
      <c r="V657" s="384"/>
      <c r="W657" s="384"/>
      <c r="X657" s="384"/>
      <c r="Y657" s="384"/>
      <c r="Z657" s="384"/>
      <c r="AA657" s="384"/>
      <c r="AB657" s="384"/>
      <c r="AC657" s="384"/>
      <c r="AD657" s="384"/>
      <c r="AE657" s="384"/>
      <c r="AF657" s="384"/>
      <c r="AG657" s="384"/>
      <c r="AH657" s="384"/>
      <c r="AI657" s="384"/>
      <c r="AJ657" s="384"/>
      <c r="AK657" s="384"/>
      <c r="AL657" s="384"/>
      <c r="AM657" s="384"/>
      <c r="AN657" s="384"/>
      <c r="AO657" s="384"/>
      <c r="AP657" s="384"/>
      <c r="AQ657" s="384"/>
      <c r="AR657" s="384"/>
      <c r="AS657" s="384"/>
      <c r="AT657" s="384"/>
      <c r="AU657" s="384"/>
      <c r="AV657" s="384"/>
      <c r="AW657" s="384"/>
      <c r="AX657" s="384"/>
      <c r="AY657" s="384"/>
      <c r="AZ657" s="336"/>
      <c r="BA657" s="336"/>
      <c r="BB657" s="384"/>
      <c r="BC657" s="384"/>
      <c r="BD657" s="384"/>
      <c r="BE657" s="384"/>
      <c r="BF657" s="384"/>
      <c r="BG657" s="384"/>
      <c r="BH657" s="384"/>
      <c r="BI657" s="384"/>
      <c r="BJ657" s="384"/>
      <c r="BK657" s="384"/>
      <c r="BL657" s="384"/>
      <c r="BM657" s="384"/>
      <c r="BN657" s="384"/>
      <c r="BO657" s="384"/>
      <c r="BP657" s="384"/>
      <c r="BQ657" s="384"/>
      <c r="BR657" s="384"/>
      <c r="BS657" s="384"/>
      <c r="BT657" s="211"/>
    </row>
    <row r="658" spans="1:72" s="206" customFormat="1" x14ac:dyDescent="0.35">
      <c r="A658" s="463" t="s">
        <v>293</v>
      </c>
      <c r="B658" s="384"/>
      <c r="C658" s="384"/>
      <c r="D658" s="384"/>
      <c r="E658" s="384"/>
      <c r="F658" s="384"/>
      <c r="G658" s="384"/>
      <c r="H658" s="384"/>
      <c r="I658" s="384"/>
      <c r="J658" s="384"/>
      <c r="K658" s="384"/>
      <c r="L658" s="384"/>
      <c r="M658" s="384"/>
      <c r="N658" s="384"/>
      <c r="O658" s="384"/>
      <c r="P658" s="384"/>
      <c r="Q658" s="384"/>
      <c r="R658" s="384"/>
      <c r="S658" s="384"/>
      <c r="T658" s="384"/>
      <c r="U658" s="384"/>
      <c r="V658" s="384"/>
      <c r="W658" s="384"/>
      <c r="X658" s="384"/>
      <c r="Y658" s="384"/>
      <c r="Z658" s="384"/>
      <c r="AA658" s="384"/>
      <c r="AB658" s="384"/>
      <c r="AC658" s="384"/>
      <c r="AD658" s="384"/>
      <c r="AE658" s="384"/>
      <c r="AF658" s="384"/>
      <c r="AG658" s="384"/>
      <c r="AH658" s="384"/>
      <c r="AI658" s="384"/>
      <c r="AJ658" s="384"/>
      <c r="AK658" s="384"/>
      <c r="AL658" s="384"/>
      <c r="AM658" s="384"/>
      <c r="AN658" s="384"/>
      <c r="AO658" s="384"/>
      <c r="AP658" s="384"/>
      <c r="AQ658" s="384"/>
      <c r="AR658" s="384"/>
      <c r="AS658" s="384"/>
      <c r="AT658" s="384"/>
      <c r="AU658" s="384"/>
      <c r="AV658" s="384"/>
      <c r="AW658" s="384"/>
      <c r="AX658" s="384"/>
      <c r="AY658" s="384"/>
      <c r="AZ658" s="336"/>
      <c r="BA658" s="336"/>
      <c r="BB658" s="384"/>
      <c r="BC658" s="384"/>
      <c r="BD658" s="384"/>
      <c r="BE658" s="384"/>
      <c r="BF658" s="384"/>
      <c r="BG658" s="384"/>
      <c r="BH658" s="384"/>
      <c r="BI658" s="384"/>
      <c r="BJ658" s="384"/>
      <c r="BK658" s="384"/>
      <c r="BL658" s="384"/>
      <c r="BM658" s="384"/>
      <c r="BN658" s="384"/>
      <c r="BO658" s="384"/>
      <c r="BP658" s="384"/>
      <c r="BQ658" s="384"/>
      <c r="BR658" s="384"/>
      <c r="BS658" s="384"/>
      <c r="BT658" s="211"/>
    </row>
    <row r="659" spans="1:72" s="206" customFormat="1" x14ac:dyDescent="0.35">
      <c r="A659" s="463" t="s">
        <v>631</v>
      </c>
      <c r="B659" s="384"/>
      <c r="C659" s="384"/>
      <c r="D659" s="384"/>
      <c r="E659" s="384"/>
      <c r="F659" s="384"/>
      <c r="G659" s="384"/>
      <c r="H659" s="384"/>
      <c r="I659" s="384"/>
      <c r="J659" s="384"/>
      <c r="K659" s="384"/>
      <c r="L659" s="384"/>
      <c r="M659" s="384"/>
      <c r="N659" s="384"/>
      <c r="O659" s="384"/>
      <c r="P659" s="384"/>
      <c r="Q659" s="384"/>
      <c r="R659" s="384"/>
      <c r="S659" s="384"/>
      <c r="T659" s="384"/>
      <c r="U659" s="384"/>
      <c r="V659" s="384"/>
      <c r="W659" s="384"/>
      <c r="X659" s="384"/>
      <c r="Y659" s="384"/>
      <c r="Z659" s="384"/>
      <c r="AA659" s="384"/>
      <c r="AB659" s="384"/>
      <c r="AC659" s="384"/>
      <c r="AD659" s="384"/>
      <c r="AE659" s="384"/>
      <c r="AF659" s="384"/>
      <c r="AG659" s="384"/>
      <c r="AH659" s="384"/>
      <c r="AI659" s="384"/>
      <c r="AJ659" s="384"/>
      <c r="AK659" s="384"/>
      <c r="AL659" s="384"/>
      <c r="AM659" s="384"/>
      <c r="AN659" s="384"/>
      <c r="AO659" s="384"/>
      <c r="AP659" s="384"/>
      <c r="AQ659" s="384"/>
      <c r="AR659" s="384"/>
      <c r="AS659" s="384"/>
      <c r="AT659" s="384"/>
      <c r="AU659" s="384"/>
      <c r="AV659" s="384"/>
      <c r="AW659" s="384"/>
      <c r="AX659" s="384"/>
      <c r="AY659" s="384"/>
      <c r="AZ659" s="336"/>
      <c r="BA659" s="336"/>
      <c r="BB659" s="384"/>
      <c r="BC659" s="384"/>
      <c r="BD659" s="384"/>
      <c r="BE659" s="384"/>
      <c r="BF659" s="384"/>
      <c r="BG659" s="384"/>
      <c r="BH659" s="384"/>
      <c r="BI659" s="384"/>
      <c r="BJ659" s="384"/>
      <c r="BK659" s="384"/>
      <c r="BL659" s="384"/>
      <c r="BM659" s="384"/>
      <c r="BN659" s="384"/>
      <c r="BO659" s="384"/>
      <c r="BP659" s="384"/>
      <c r="BQ659" s="384"/>
      <c r="BR659" s="384"/>
      <c r="BS659" s="384"/>
      <c r="BT659" s="211"/>
    </row>
    <row r="660" spans="1:72" s="206" customFormat="1" x14ac:dyDescent="0.35">
      <c r="A660" s="463" t="s">
        <v>632</v>
      </c>
      <c r="B660" s="384"/>
      <c r="C660" s="384"/>
      <c r="D660" s="384"/>
      <c r="E660" s="384"/>
      <c r="F660" s="384"/>
      <c r="G660" s="384"/>
      <c r="H660" s="384"/>
      <c r="I660" s="384"/>
      <c r="J660" s="384"/>
      <c r="K660" s="384"/>
      <c r="L660" s="384"/>
      <c r="M660" s="384"/>
      <c r="N660" s="384"/>
      <c r="O660" s="384"/>
      <c r="P660" s="384"/>
      <c r="Q660" s="384"/>
      <c r="R660" s="384"/>
      <c r="S660" s="384"/>
      <c r="T660" s="384"/>
      <c r="U660" s="384"/>
      <c r="V660" s="384"/>
      <c r="W660" s="384"/>
      <c r="X660" s="384"/>
      <c r="Y660" s="384"/>
      <c r="Z660" s="384"/>
      <c r="AA660" s="384"/>
      <c r="AB660" s="384"/>
      <c r="AC660" s="384"/>
      <c r="AD660" s="384"/>
      <c r="AE660" s="384"/>
      <c r="AF660" s="384"/>
      <c r="AG660" s="384"/>
      <c r="AH660" s="384"/>
      <c r="AI660" s="384"/>
      <c r="AJ660" s="384"/>
      <c r="AK660" s="384"/>
      <c r="AL660" s="384"/>
      <c r="AM660" s="384"/>
      <c r="AN660" s="384"/>
      <c r="AO660" s="384"/>
      <c r="AP660" s="384"/>
      <c r="AQ660" s="384"/>
      <c r="AR660" s="384"/>
      <c r="AS660" s="384"/>
      <c r="AT660" s="384"/>
      <c r="AU660" s="384"/>
      <c r="AV660" s="384"/>
      <c r="AW660" s="384"/>
      <c r="AX660" s="384"/>
      <c r="AY660" s="384"/>
      <c r="AZ660" s="336"/>
      <c r="BA660" s="336"/>
      <c r="BB660" s="384"/>
      <c r="BC660" s="384"/>
      <c r="BD660" s="384"/>
      <c r="BE660" s="384"/>
      <c r="BF660" s="384"/>
      <c r="BG660" s="384"/>
      <c r="BH660" s="384"/>
      <c r="BI660" s="384"/>
      <c r="BJ660" s="384"/>
      <c r="BK660" s="384"/>
      <c r="BL660" s="384"/>
      <c r="BM660" s="384"/>
      <c r="BN660" s="384"/>
      <c r="BO660" s="384"/>
      <c r="BP660" s="384"/>
      <c r="BQ660" s="384"/>
      <c r="BR660" s="384"/>
      <c r="BS660" s="384"/>
      <c r="BT660" s="211"/>
    </row>
    <row r="661" spans="1:72" s="206" customFormat="1" x14ac:dyDescent="0.35">
      <c r="A661" s="463" t="s">
        <v>633</v>
      </c>
      <c r="B661" s="384"/>
      <c r="C661" s="384"/>
      <c r="D661" s="384"/>
      <c r="E661" s="384"/>
      <c r="F661" s="384"/>
      <c r="G661" s="384"/>
      <c r="H661" s="384"/>
      <c r="I661" s="384"/>
      <c r="J661" s="384"/>
      <c r="K661" s="384"/>
      <c r="L661" s="384"/>
      <c r="M661" s="384"/>
      <c r="N661" s="384"/>
      <c r="O661" s="384"/>
      <c r="P661" s="384"/>
      <c r="Q661" s="384"/>
      <c r="R661" s="384"/>
      <c r="S661" s="384"/>
      <c r="T661" s="384"/>
      <c r="U661" s="384"/>
      <c r="V661" s="384"/>
      <c r="W661" s="384"/>
      <c r="X661" s="384"/>
      <c r="Y661" s="384"/>
      <c r="Z661" s="384"/>
      <c r="AA661" s="384"/>
      <c r="AB661" s="384"/>
      <c r="AC661" s="384"/>
      <c r="AD661" s="384"/>
      <c r="AE661" s="384"/>
      <c r="AF661" s="384"/>
      <c r="AG661" s="384"/>
      <c r="AH661" s="384"/>
      <c r="AI661" s="384"/>
      <c r="AJ661" s="384"/>
      <c r="AK661" s="384"/>
      <c r="AL661" s="384"/>
      <c r="AM661" s="384"/>
      <c r="AN661" s="384"/>
      <c r="AO661" s="384"/>
      <c r="AP661" s="384"/>
      <c r="AQ661" s="384"/>
      <c r="AR661" s="384"/>
      <c r="AS661" s="384"/>
      <c r="AT661" s="384"/>
      <c r="AU661" s="384"/>
      <c r="AV661" s="384"/>
      <c r="AW661" s="384"/>
      <c r="AX661" s="384"/>
      <c r="AY661" s="384"/>
      <c r="AZ661" s="336"/>
      <c r="BA661" s="336"/>
      <c r="BB661" s="384"/>
      <c r="BC661" s="384"/>
      <c r="BD661" s="384"/>
      <c r="BE661" s="384"/>
      <c r="BF661" s="384"/>
      <c r="BG661" s="384"/>
      <c r="BH661" s="384"/>
      <c r="BI661" s="384"/>
      <c r="BJ661" s="384"/>
      <c r="BK661" s="384"/>
      <c r="BL661" s="384"/>
      <c r="BM661" s="384"/>
      <c r="BN661" s="384"/>
      <c r="BO661" s="384"/>
      <c r="BP661" s="384"/>
      <c r="BQ661" s="384"/>
      <c r="BR661" s="384"/>
      <c r="BS661" s="384"/>
      <c r="BT661" s="211"/>
    </row>
    <row r="662" spans="1:72" s="206" customFormat="1" x14ac:dyDescent="0.35">
      <c r="A662" s="463" t="s">
        <v>489</v>
      </c>
      <c r="B662" s="384"/>
      <c r="C662" s="384"/>
      <c r="D662" s="384"/>
      <c r="E662" s="384"/>
      <c r="F662" s="384"/>
      <c r="G662" s="384"/>
      <c r="H662" s="384"/>
      <c r="I662" s="384"/>
      <c r="J662" s="384"/>
      <c r="K662" s="384"/>
      <c r="L662" s="384"/>
      <c r="M662" s="384"/>
      <c r="N662" s="384"/>
      <c r="O662" s="384"/>
      <c r="P662" s="384"/>
      <c r="Q662" s="384"/>
      <c r="R662" s="384"/>
      <c r="S662" s="384"/>
      <c r="T662" s="384"/>
      <c r="U662" s="384"/>
      <c r="V662" s="384"/>
      <c r="W662" s="384"/>
      <c r="X662" s="384"/>
      <c r="Y662" s="384"/>
      <c r="Z662" s="384"/>
      <c r="AA662" s="384"/>
      <c r="AB662" s="384"/>
      <c r="AC662" s="384"/>
      <c r="AD662" s="384"/>
      <c r="AE662" s="384"/>
      <c r="AF662" s="384"/>
      <c r="AG662" s="384"/>
      <c r="AH662" s="384"/>
      <c r="AI662" s="384"/>
      <c r="AJ662" s="384"/>
      <c r="AK662" s="384"/>
      <c r="AL662" s="384"/>
      <c r="AM662" s="384"/>
      <c r="AN662" s="384"/>
      <c r="AO662" s="384"/>
      <c r="AP662" s="384"/>
      <c r="AQ662" s="384"/>
      <c r="AR662" s="384"/>
      <c r="AS662" s="384"/>
      <c r="AT662" s="384"/>
      <c r="AU662" s="384"/>
      <c r="AV662" s="384"/>
      <c r="AW662" s="384"/>
      <c r="AX662" s="384"/>
      <c r="AY662" s="384"/>
      <c r="AZ662" s="336"/>
      <c r="BA662" s="336"/>
      <c r="BB662" s="384"/>
      <c r="BC662" s="384"/>
      <c r="BD662" s="384"/>
      <c r="BE662" s="384"/>
      <c r="BF662" s="384"/>
      <c r="BG662" s="384"/>
      <c r="BH662" s="384"/>
      <c r="BI662" s="384"/>
      <c r="BJ662" s="384"/>
      <c r="BK662" s="384"/>
      <c r="BL662" s="384"/>
      <c r="BM662" s="384"/>
      <c r="BN662" s="384"/>
      <c r="BO662" s="384"/>
      <c r="BP662" s="384"/>
      <c r="BQ662" s="384"/>
      <c r="BR662" s="384"/>
      <c r="BS662" s="384"/>
      <c r="BT662" s="211"/>
    </row>
    <row r="663" spans="1:72" s="206" customFormat="1" x14ac:dyDescent="0.35">
      <c r="A663" s="385"/>
      <c r="B663" s="384"/>
      <c r="C663" s="384"/>
      <c r="D663" s="384"/>
      <c r="E663" s="384"/>
      <c r="F663" s="384"/>
      <c r="G663" s="384"/>
      <c r="H663" s="384"/>
      <c r="I663" s="384"/>
      <c r="J663" s="384"/>
      <c r="K663" s="384"/>
      <c r="L663" s="384"/>
      <c r="M663" s="384"/>
      <c r="N663" s="384"/>
      <c r="O663" s="384"/>
      <c r="P663" s="384"/>
      <c r="Q663" s="384"/>
      <c r="R663" s="384"/>
      <c r="S663" s="384"/>
      <c r="T663" s="384"/>
      <c r="U663" s="384"/>
      <c r="V663" s="384"/>
      <c r="W663" s="384"/>
      <c r="X663" s="384"/>
      <c r="Y663" s="384"/>
      <c r="Z663" s="384"/>
      <c r="AA663" s="384"/>
      <c r="AB663" s="384"/>
      <c r="AC663" s="384"/>
      <c r="AD663" s="384"/>
      <c r="AE663" s="384"/>
      <c r="AF663" s="384"/>
      <c r="AG663" s="384"/>
      <c r="AH663" s="384"/>
      <c r="AI663" s="384"/>
      <c r="AJ663" s="384"/>
      <c r="AK663" s="384"/>
      <c r="AL663" s="384"/>
      <c r="AM663" s="384"/>
      <c r="AN663" s="384"/>
      <c r="AO663" s="384"/>
      <c r="AP663" s="384"/>
      <c r="AQ663" s="384"/>
      <c r="AR663" s="384"/>
      <c r="AS663" s="384"/>
      <c r="AT663" s="384"/>
      <c r="AU663" s="384"/>
      <c r="AV663" s="384"/>
      <c r="AW663" s="384"/>
      <c r="AX663" s="384"/>
      <c r="AY663" s="384"/>
      <c r="AZ663" s="336"/>
      <c r="BA663" s="336"/>
      <c r="BB663" s="384"/>
      <c r="BC663" s="384"/>
      <c r="BD663" s="384"/>
      <c r="BE663" s="384"/>
      <c r="BF663" s="384"/>
      <c r="BG663" s="384"/>
      <c r="BH663" s="384"/>
      <c r="BI663" s="384"/>
      <c r="BJ663" s="384"/>
      <c r="BK663" s="384"/>
      <c r="BL663" s="384"/>
      <c r="BM663" s="384"/>
      <c r="BN663" s="384"/>
      <c r="BO663" s="384"/>
      <c r="BP663" s="384"/>
      <c r="BQ663" s="384"/>
      <c r="BR663" s="384"/>
      <c r="BS663" s="384"/>
      <c r="BT663" s="211"/>
    </row>
    <row r="664" spans="1:72" s="206" customFormat="1" x14ac:dyDescent="0.35">
      <c r="A664" s="381"/>
      <c r="B664" s="384"/>
      <c r="C664" s="384"/>
      <c r="D664" s="384"/>
      <c r="E664" s="384"/>
      <c r="F664" s="384"/>
      <c r="G664" s="384"/>
      <c r="H664" s="384"/>
      <c r="I664" s="384"/>
      <c r="J664" s="384"/>
      <c r="K664" s="384"/>
      <c r="L664" s="384"/>
      <c r="M664" s="384"/>
      <c r="N664" s="384"/>
      <c r="O664" s="384"/>
      <c r="P664" s="384"/>
      <c r="Q664" s="384"/>
      <c r="R664" s="384"/>
      <c r="S664" s="384"/>
      <c r="T664" s="384"/>
      <c r="U664" s="384"/>
      <c r="V664" s="384"/>
      <c r="W664" s="384"/>
      <c r="X664" s="384"/>
      <c r="Y664" s="384"/>
      <c r="Z664" s="384"/>
      <c r="AA664" s="384"/>
      <c r="AB664" s="384"/>
      <c r="AC664" s="384"/>
      <c r="AD664" s="384"/>
      <c r="AE664" s="384"/>
      <c r="AF664" s="384"/>
      <c r="AG664" s="384"/>
      <c r="AH664" s="384"/>
      <c r="AI664" s="384"/>
      <c r="AJ664" s="384"/>
      <c r="AK664" s="384"/>
      <c r="AL664" s="384"/>
      <c r="AM664" s="384"/>
      <c r="AN664" s="384"/>
      <c r="AO664" s="384"/>
      <c r="AP664" s="384"/>
      <c r="AQ664" s="384"/>
      <c r="AR664" s="384"/>
      <c r="AS664" s="384"/>
      <c r="AT664" s="384"/>
      <c r="AU664" s="384"/>
      <c r="AV664" s="384"/>
      <c r="AW664" s="384"/>
      <c r="AX664" s="384"/>
      <c r="AY664" s="384"/>
      <c r="AZ664" s="336"/>
      <c r="BA664" s="336"/>
      <c r="BB664" s="384"/>
      <c r="BC664" s="384"/>
      <c r="BD664" s="384"/>
      <c r="BE664" s="384"/>
      <c r="BF664" s="384"/>
      <c r="BG664" s="384"/>
      <c r="BH664" s="384"/>
      <c r="BI664" s="384"/>
      <c r="BJ664" s="384"/>
      <c r="BK664" s="384"/>
      <c r="BL664" s="384"/>
      <c r="BM664" s="384"/>
      <c r="BN664" s="384"/>
      <c r="BO664" s="384"/>
      <c r="BP664" s="384"/>
      <c r="BQ664" s="384"/>
      <c r="BR664" s="384"/>
      <c r="BS664" s="384"/>
      <c r="BT664" s="211"/>
    </row>
    <row r="665" spans="1:72" s="1" customFormat="1" x14ac:dyDescent="0.35">
      <c r="A665" s="606" t="s">
        <v>256</v>
      </c>
      <c r="B665" s="572"/>
      <c r="C665" s="572"/>
      <c r="D665" s="572"/>
      <c r="E665" s="572"/>
      <c r="F665" s="572"/>
      <c r="G665" s="572"/>
      <c r="H665" s="572"/>
      <c r="I665" s="572"/>
      <c r="J665" s="572"/>
      <c r="K665" s="572"/>
      <c r="L665" s="572"/>
      <c r="M665" s="572"/>
      <c r="N665" s="572"/>
      <c r="O665" s="572"/>
      <c r="P665" s="572"/>
      <c r="Q665" s="572"/>
      <c r="R665" s="572"/>
      <c r="S665" s="572"/>
      <c r="T665" s="572"/>
      <c r="U665" s="572"/>
      <c r="V665" s="572"/>
      <c r="W665" s="572"/>
      <c r="X665" s="572"/>
      <c r="Y665" s="572"/>
      <c r="Z665" s="572"/>
      <c r="AA665" s="572"/>
      <c r="AB665" s="572"/>
      <c r="AC665" s="572"/>
      <c r="AD665" s="572"/>
      <c r="AE665" s="572"/>
      <c r="AF665" s="572"/>
      <c r="AG665" s="572"/>
      <c r="AH665" s="572"/>
      <c r="AI665" s="572"/>
      <c r="AJ665" s="572"/>
      <c r="AK665" s="572"/>
      <c r="AL665" s="572"/>
      <c r="AM665" s="572"/>
      <c r="AN665" s="572"/>
      <c r="AO665" s="572"/>
      <c r="AP665" s="572"/>
      <c r="AQ665" s="572"/>
      <c r="AR665" s="572"/>
      <c r="AS665" s="572"/>
      <c r="AT665" s="572"/>
      <c r="AU665" s="572"/>
      <c r="AV665" s="572" t="str">
        <f t="shared" ref="AV665:AX665" si="868">AV5</f>
        <v>Q2-2024</v>
      </c>
      <c r="AW665" s="572" t="str">
        <f t="shared" si="868"/>
        <v>Q3-2024</v>
      </c>
      <c r="AX665" s="572" t="str">
        <f t="shared" si="868"/>
        <v>Q4-2024</v>
      </c>
      <c r="AY665" s="572"/>
      <c r="AZ665" s="572"/>
      <c r="BA665" s="572"/>
      <c r="BB665" s="572"/>
      <c r="BC665" s="572"/>
      <c r="BD665" s="572"/>
      <c r="BE665" s="572"/>
      <c r="BF665" s="572"/>
      <c r="BG665" s="572"/>
      <c r="BH665" s="572"/>
      <c r="BI665" s="572"/>
      <c r="BJ665" s="572"/>
      <c r="BK665" s="572"/>
      <c r="BL665" s="572"/>
      <c r="BM665" s="572"/>
      <c r="BN665" s="572"/>
      <c r="BO665" s="572" t="str">
        <f>BO5</f>
        <v>FY2024</v>
      </c>
      <c r="BP665" s="572" t="str">
        <f>BP5</f>
        <v>FY2025</v>
      </c>
      <c r="BQ665" s="572" t="str">
        <f>BQ5</f>
        <v>FY2026</v>
      </c>
      <c r="BR665" s="572" t="str">
        <f>BR5</f>
        <v>FY2027</v>
      </c>
      <c r="BS665" s="607" t="str">
        <f>BS5</f>
        <v>FY2028</v>
      </c>
      <c r="BT665" s="530"/>
    </row>
    <row r="666" spans="1:72" s="1" customFormat="1" x14ac:dyDescent="0.35">
      <c r="A666" s="608" t="s">
        <v>257</v>
      </c>
      <c r="B666" s="529"/>
      <c r="C666" s="529"/>
      <c r="D666" s="529"/>
      <c r="E666" s="529"/>
      <c r="F666" s="529"/>
      <c r="G666" s="529"/>
      <c r="H666" s="529"/>
      <c r="I666" s="529"/>
      <c r="J666" s="529"/>
      <c r="K666" s="529"/>
      <c r="L666" s="529"/>
      <c r="M666" s="529"/>
      <c r="N666" s="529"/>
      <c r="O666" s="529"/>
      <c r="P666" s="529"/>
      <c r="Q666" s="529"/>
      <c r="R666" s="529"/>
      <c r="S666" s="529"/>
      <c r="T666" s="529"/>
      <c r="U666" s="529"/>
      <c r="V666" s="529"/>
      <c r="W666" s="529"/>
      <c r="X666" s="529"/>
      <c r="Y666" s="529"/>
      <c r="Z666" s="529"/>
      <c r="AA666" s="529"/>
      <c r="AB666" s="529"/>
      <c r="AC666" s="529"/>
      <c r="AD666" s="529"/>
      <c r="AE666" s="529"/>
      <c r="AF666" s="529"/>
      <c r="AG666" s="529"/>
      <c r="AH666" s="529"/>
      <c r="AI666" s="529"/>
      <c r="AJ666" s="529"/>
      <c r="AK666" s="529"/>
      <c r="AL666" s="529"/>
      <c r="AM666" s="529"/>
      <c r="AN666" s="529"/>
      <c r="AO666" s="529"/>
      <c r="AP666" s="529"/>
      <c r="AQ666" s="529"/>
      <c r="AR666" s="529"/>
      <c r="AS666" s="529"/>
      <c r="AT666" s="529"/>
      <c r="AU666" s="529"/>
      <c r="AV666" s="529" t="str">
        <f t="shared" ref="AV666:AX666" ca="1" si="869">IF(MO.DataSourceIndex=3,IF(LEFT(INDIRECT(ADDRESS(ROW()-1,COLUMN())),2)="FY","ANNUAL",IF(LEFT(INDIRECT(ADDRESS(ROW()-1,COLUMN())),1)="Q","QUARTERLY","")),IF(LEFT(INDIRECT(ADDRESS(ROW()-1,COLUMN())),2)="FY","FY",IF(LEFT(INDIRECT(ADDRESS(ROW()-1,COLUMN())),1)="Q","FQ","FH")))</f>
        <v>FQ</v>
      </c>
      <c r="AW666" s="529" t="str">
        <f t="shared" ca="1" si="869"/>
        <v>FQ</v>
      </c>
      <c r="AX666" s="529" t="str">
        <f t="shared" ca="1" si="869"/>
        <v>FQ</v>
      </c>
      <c r="AY666" s="529"/>
      <c r="AZ666" s="529"/>
      <c r="BA666" s="529"/>
      <c r="BB666" s="529"/>
      <c r="BC666" s="529"/>
      <c r="BD666" s="529"/>
      <c r="BE666" s="529"/>
      <c r="BF666" s="529"/>
      <c r="BG666" s="529"/>
      <c r="BH666" s="529"/>
      <c r="BI666" s="529"/>
      <c r="BJ666" s="529"/>
      <c r="BK666" s="529"/>
      <c r="BL666" s="529"/>
      <c r="BM666" s="529"/>
      <c r="BN666" s="529"/>
      <c r="BO666" s="529" t="str">
        <f ca="1">IF(MO.DataSourceIndex=3,IF(LEFT(INDIRECT(ADDRESS(ROW()-1,COLUMN())),2)="FY","ANNUAL",IF(LEFT(INDIRECT(ADDRESS(ROW()-1,COLUMN())),1)="Q","QUARTERLY","")),IF(LEFT(INDIRECT(ADDRESS(ROW()-1,COLUMN())),2)="FY","FY",IF(LEFT(INDIRECT(ADDRESS(ROW()-1,COLUMN())),1)="Q","FQ","FH")))</f>
        <v>FY</v>
      </c>
      <c r="BP666" s="529" t="str">
        <f ca="1">IF(MO.DataSourceIndex=3,IF(LEFT(INDIRECT(ADDRESS(ROW()-1,COLUMN())),2)="FY","ANNUAL",IF(LEFT(INDIRECT(ADDRESS(ROW()-1,COLUMN())),1)="Q","QUARTERLY","")),IF(LEFT(INDIRECT(ADDRESS(ROW()-1,COLUMN())),2)="FY","FY",IF(LEFT(INDIRECT(ADDRESS(ROW()-1,COLUMN())),1)="Q","FQ","FH")))</f>
        <v>FY</v>
      </c>
      <c r="BQ666" s="529" t="str">
        <f ca="1">IF(MO.DataSourceIndex=3,IF(LEFT(INDIRECT(ADDRESS(ROW()-1,COLUMN())),2)="FY","ANNUAL",IF(LEFT(INDIRECT(ADDRESS(ROW()-1,COLUMN())),1)="Q","QUARTERLY","")),IF(LEFT(INDIRECT(ADDRESS(ROW()-1,COLUMN())),2)="FY","FY",IF(LEFT(INDIRECT(ADDRESS(ROW()-1,COLUMN())),1)="Q","FQ","FH")))</f>
        <v>FY</v>
      </c>
      <c r="BR666" s="529" t="str">
        <f ca="1">IF(MO.DataSourceIndex=3,IF(LEFT(INDIRECT(ADDRESS(ROW()-1,COLUMN())),2)="FY","ANNUAL",IF(LEFT(INDIRECT(ADDRESS(ROW()-1,COLUMN())),1)="Q","QUARTERLY","")),IF(LEFT(INDIRECT(ADDRESS(ROW()-1,COLUMN())),2)="FY","FY",IF(LEFT(INDIRECT(ADDRESS(ROW()-1,COLUMN())),1)="Q","FQ","FH")))</f>
        <v>FY</v>
      </c>
      <c r="BS666" s="609" t="str">
        <f ca="1">IF(MO.DataSourceIndex=3,IF(LEFT(INDIRECT(ADDRESS(ROW()-1,COLUMN())),2)="FY","ANNUAL",IF(LEFT(INDIRECT(ADDRESS(ROW()-1,COLUMN())),1)="Q","QUARTERLY","")),IF(LEFT(INDIRECT(ADDRESS(ROW()-1,COLUMN())),2)="FY","FY",IF(LEFT(INDIRECT(ADDRESS(ROW()-1,COLUMN())),1)="Q","FQ","FH")))</f>
        <v>FY</v>
      </c>
      <c r="BT666" s="530"/>
    </row>
    <row r="667" spans="1:72" s="1" customFormat="1" x14ac:dyDescent="0.35">
      <c r="A667" s="608" t="s">
        <v>258</v>
      </c>
      <c r="B667" s="529"/>
      <c r="C667" s="529"/>
      <c r="D667" s="529"/>
      <c r="E667" s="529"/>
      <c r="F667" s="529"/>
      <c r="G667" s="529"/>
      <c r="H667" s="529"/>
      <c r="I667" s="529"/>
      <c r="J667" s="529"/>
      <c r="K667" s="529"/>
      <c r="L667" s="529"/>
      <c r="M667" s="529"/>
      <c r="N667" s="529"/>
      <c r="O667" s="529"/>
      <c r="P667" s="529"/>
      <c r="Q667" s="529"/>
      <c r="R667" s="529"/>
      <c r="S667" s="529"/>
      <c r="T667" s="529"/>
      <c r="U667" s="529"/>
      <c r="V667" s="529"/>
      <c r="W667" s="529"/>
      <c r="X667" s="529"/>
      <c r="Y667" s="529"/>
      <c r="Z667" s="529"/>
      <c r="AA667" s="529"/>
      <c r="AB667" s="529"/>
      <c r="AC667" s="529"/>
      <c r="AD667" s="529"/>
      <c r="AE667" s="529"/>
      <c r="AF667" s="529"/>
      <c r="AG667" s="529"/>
      <c r="AH667" s="529"/>
      <c r="AI667" s="529"/>
      <c r="AJ667" s="529"/>
      <c r="AK667" s="529"/>
      <c r="AL667" s="529"/>
      <c r="AM667" s="529"/>
      <c r="AN667" s="529"/>
      <c r="AO667" s="529"/>
      <c r="AP667" s="529"/>
      <c r="AQ667" s="529"/>
      <c r="AR667" s="529"/>
      <c r="AS667" s="529"/>
      <c r="AT667" s="529"/>
      <c r="AU667" s="529"/>
      <c r="AV667" s="529">
        <f t="shared" ref="AV667:AX667" ca="1" si="870">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1</v>
      </c>
      <c r="AW667" s="529">
        <f t="shared" ca="1" si="870"/>
        <v>2</v>
      </c>
      <c r="AX667" s="529">
        <f t="shared" ca="1" si="870"/>
        <v>3</v>
      </c>
      <c r="AY667" s="529"/>
      <c r="AZ667" s="529"/>
      <c r="BA667" s="529"/>
      <c r="BB667" s="529"/>
      <c r="BC667" s="529"/>
      <c r="BD667" s="529"/>
      <c r="BE667" s="529"/>
      <c r="BF667" s="529"/>
      <c r="BG667" s="529"/>
      <c r="BH667" s="529"/>
      <c r="BI667" s="529"/>
      <c r="BJ667" s="529"/>
      <c r="BK667" s="529"/>
      <c r="BL667" s="529"/>
      <c r="BM667" s="529"/>
      <c r="BN667" s="529"/>
      <c r="BO667" s="529">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1</v>
      </c>
      <c r="BP667" s="529">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2</v>
      </c>
      <c r="BQ667" s="529">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3</v>
      </c>
      <c r="BR667" s="529">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4</v>
      </c>
      <c r="BS667" s="609">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5</v>
      </c>
      <c r="BT667" s="530"/>
    </row>
    <row r="668" spans="1:72" s="1" customFormat="1" x14ac:dyDescent="0.35">
      <c r="A668" s="290" t="str">
        <f>$A$129</f>
        <v>Consensus Estimates - Gross Margin, %</v>
      </c>
      <c r="B668" s="532"/>
      <c r="C668" s="113"/>
      <c r="D668" s="114"/>
      <c r="E668" s="114"/>
      <c r="F668" s="114"/>
      <c r="G668" s="114"/>
      <c r="H668" s="114"/>
      <c r="I668" s="114"/>
      <c r="J668" s="114"/>
      <c r="K668" s="529"/>
      <c r="L668" s="529"/>
      <c r="M668" s="529"/>
      <c r="N668" s="529"/>
      <c r="O668" s="529"/>
      <c r="P668" s="529"/>
      <c r="Q668" s="529"/>
      <c r="R668" s="529"/>
      <c r="S668" s="529"/>
      <c r="T668" s="529"/>
      <c r="U668" s="529"/>
      <c r="V668" s="529"/>
      <c r="W668" s="529"/>
      <c r="X668" s="529"/>
      <c r="Y668" s="529"/>
      <c r="Z668" s="529"/>
      <c r="AA668" s="529"/>
      <c r="AB668" s="529"/>
      <c r="AC668" s="529"/>
      <c r="AD668" s="529"/>
      <c r="AE668" s="529"/>
      <c r="AF668" s="529"/>
      <c r="AG668" s="529"/>
      <c r="AH668" s="529"/>
      <c r="AI668" s="529"/>
      <c r="AJ668" s="529"/>
      <c r="AK668" s="529"/>
      <c r="AL668" s="529"/>
      <c r="AM668" s="529"/>
      <c r="AN668" s="529"/>
      <c r="AO668" s="529"/>
      <c r="AP668" s="529"/>
      <c r="AQ668" s="529"/>
      <c r="AR668" s="529"/>
      <c r="AS668" s="529"/>
      <c r="AT668" s="529"/>
      <c r="AU668" s="529"/>
      <c r="AV668" s="114"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W668" s="114"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X668" s="114"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Y668" s="114"/>
      <c r="AZ668" s="113"/>
      <c r="BA668" s="113"/>
      <c r="BB668" s="113"/>
      <c r="BC668" s="113"/>
      <c r="BD668" s="114"/>
      <c r="BE668" s="529"/>
      <c r="BF668" s="529"/>
      <c r="BG668" s="529"/>
      <c r="BH668" s="529"/>
      <c r="BI668" s="529"/>
      <c r="BJ668" s="529"/>
      <c r="BK668" s="529"/>
      <c r="BL668" s="529"/>
      <c r="BM668" s="529"/>
      <c r="BN668" s="529"/>
      <c r="BO668" s="114"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P668" s="114"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Q668" s="114"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R668" s="114"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S668" s="287"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T668" s="530"/>
    </row>
    <row r="669" spans="1:72" s="17" customFormat="1" x14ac:dyDescent="0.35">
      <c r="A669" s="290" t="str">
        <f>$A$191</f>
        <v>Consensus Estimates - Net Revenue</v>
      </c>
      <c r="B669" s="532"/>
      <c r="C669" s="115"/>
      <c r="D669" s="532"/>
      <c r="E669" s="532"/>
      <c r="F669" s="532"/>
      <c r="G669" s="532"/>
      <c r="H669" s="532"/>
      <c r="I669" s="532"/>
      <c r="J669" s="532"/>
      <c r="K669" s="532"/>
      <c r="L669" s="532"/>
      <c r="M669" s="532"/>
      <c r="N669" s="532"/>
      <c r="O669" s="532"/>
      <c r="P669" s="532"/>
      <c r="Q669" s="532"/>
      <c r="R669" s="532"/>
      <c r="S669" s="532"/>
      <c r="T669" s="532"/>
      <c r="U669" s="532"/>
      <c r="V669" s="532"/>
      <c r="W669" s="532"/>
      <c r="X669" s="532"/>
      <c r="Y669" s="532"/>
      <c r="Z669" s="532"/>
      <c r="AA669" s="532"/>
      <c r="AB669" s="532"/>
      <c r="AC669" s="532"/>
      <c r="AD669" s="532"/>
      <c r="AE669" s="532"/>
      <c r="AF669" s="532"/>
      <c r="AG669" s="532"/>
      <c r="AH669" s="532"/>
      <c r="AI669" s="532"/>
      <c r="AJ669" s="532"/>
      <c r="AK669" s="532"/>
      <c r="AL669" s="532"/>
      <c r="AM669" s="532"/>
      <c r="AN669" s="532"/>
      <c r="AO669" s="532"/>
      <c r="AP669" s="532"/>
      <c r="AQ669" s="532"/>
      <c r="AR669" s="532"/>
      <c r="AS669" s="532"/>
      <c r="AT669" s="532"/>
      <c r="AU669" s="532"/>
      <c r="AV669" s="532"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W669" s="532"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X669" s="532"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Y669" s="532"/>
      <c r="AZ669" s="115"/>
      <c r="BA669" s="115"/>
      <c r="BB669" s="115"/>
      <c r="BC669" s="115"/>
      <c r="BD669" s="532"/>
      <c r="BE669" s="532"/>
      <c r="BF669" s="532"/>
      <c r="BG669" s="532"/>
      <c r="BH669" s="532"/>
      <c r="BI669" s="532"/>
      <c r="BJ669" s="532"/>
      <c r="BK669" s="532"/>
      <c r="BL669" s="532"/>
      <c r="BM669" s="532"/>
      <c r="BN669" s="532"/>
      <c r="BO669" s="532"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P669" s="532"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Q669" s="532"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R669" s="532"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S669" s="288"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T669" s="533"/>
    </row>
    <row r="670" spans="1:72" s="17" customFormat="1" x14ac:dyDescent="0.35">
      <c r="A670" s="290" t="e">
        <f>$A$206</f>
        <v>#REF!</v>
      </c>
      <c r="B670" s="532"/>
      <c r="C670" s="115"/>
      <c r="D670" s="532"/>
      <c r="E670" s="532"/>
      <c r="F670" s="532"/>
      <c r="G670" s="532"/>
      <c r="H670" s="532"/>
      <c r="I670" s="532"/>
      <c r="J670" s="532"/>
      <c r="K670" s="532"/>
      <c r="L670" s="532"/>
      <c r="M670" s="532"/>
      <c r="N670" s="532"/>
      <c r="O670" s="532"/>
      <c r="P670" s="532"/>
      <c r="Q670" s="532"/>
      <c r="R670" s="532"/>
      <c r="S670" s="532"/>
      <c r="T670" s="532"/>
      <c r="U670" s="532"/>
      <c r="V670" s="532"/>
      <c r="W670" s="532"/>
      <c r="X670" s="532"/>
      <c r="Y670" s="532"/>
      <c r="Z670" s="532"/>
      <c r="AA670" s="532"/>
      <c r="AB670" s="532"/>
      <c r="AC670" s="532"/>
      <c r="AD670" s="532"/>
      <c r="AE670" s="532"/>
      <c r="AF670" s="532"/>
      <c r="AG670" s="532"/>
      <c r="AH670" s="532"/>
      <c r="AI670" s="532"/>
      <c r="AJ670" s="532"/>
      <c r="AK670" s="532"/>
      <c r="AL670" s="532"/>
      <c r="AM670" s="532"/>
      <c r="AN670" s="532"/>
      <c r="AO670" s="532"/>
      <c r="AP670" s="532"/>
      <c r="AQ670" s="532"/>
      <c r="AR670" s="532"/>
      <c r="AS670" s="532"/>
      <c r="AT670" s="532"/>
      <c r="AU670" s="532"/>
      <c r="AV670" s="532"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W670" s="532"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X670" s="532"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Y670" s="532"/>
      <c r="AZ670" s="115"/>
      <c r="BA670" s="115"/>
      <c r="BB670" s="115"/>
      <c r="BC670" s="115"/>
      <c r="BD670" s="532"/>
      <c r="BE670" s="532"/>
      <c r="BF670" s="532"/>
      <c r="BG670" s="532"/>
      <c r="BH670" s="532"/>
      <c r="BI670" s="532"/>
      <c r="BJ670" s="532"/>
      <c r="BK670" s="532"/>
      <c r="BL670" s="532"/>
      <c r="BM670" s="532"/>
      <c r="BN670" s="532"/>
      <c r="BO670" s="532"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P670" s="532"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Q670" s="532"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R670" s="532"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S670" s="288"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T670" s="533"/>
    </row>
    <row r="671" spans="1:72" s="17" customFormat="1" x14ac:dyDescent="0.35">
      <c r="A671" s="290" t="e">
        <f>$A$199</f>
        <v>#REF!</v>
      </c>
      <c r="B671" s="532"/>
      <c r="C671" s="115"/>
      <c r="D671" s="532"/>
      <c r="E671" s="532"/>
      <c r="F671" s="532"/>
      <c r="G671" s="532"/>
      <c r="H671" s="532"/>
      <c r="I671" s="532"/>
      <c r="J671" s="532"/>
      <c r="K671" s="532"/>
      <c r="L671" s="532"/>
      <c r="M671" s="532"/>
      <c r="N671" s="532"/>
      <c r="O671" s="532"/>
      <c r="P671" s="532"/>
      <c r="Q671" s="532"/>
      <c r="R671" s="532"/>
      <c r="S671" s="532"/>
      <c r="T671" s="532"/>
      <c r="U671" s="532"/>
      <c r="V671" s="532"/>
      <c r="W671" s="532"/>
      <c r="X671" s="532"/>
      <c r="Y671" s="532"/>
      <c r="Z671" s="532"/>
      <c r="AA671" s="532"/>
      <c r="AB671" s="532"/>
      <c r="AC671" s="532"/>
      <c r="AD671" s="532"/>
      <c r="AE671" s="532"/>
      <c r="AF671" s="532"/>
      <c r="AG671" s="532"/>
      <c r="AH671" s="532"/>
      <c r="AI671" s="532"/>
      <c r="AJ671" s="532"/>
      <c r="AK671" s="532"/>
      <c r="AL671" s="532"/>
      <c r="AM671" s="532"/>
      <c r="AN671" s="532"/>
      <c r="AO671" s="532"/>
      <c r="AP671" s="532"/>
      <c r="AQ671" s="532"/>
      <c r="AR671" s="532"/>
      <c r="AS671" s="532"/>
      <c r="AT671" s="532"/>
      <c r="AU671" s="532"/>
      <c r="AV671" s="532" t="str">
        <f ca="1">IFERROR(CHOOSE(MO.DataSourceIndex,BDP(MO.Ticker.Bloomberg&amp;" EQUITY","BEST_EBIT","BEST_FPERIOD_OVERRIDE="&amp;INDEX(tb_ConsensusEstimate,3,COLUMN())&amp;INDEX(tb_ConsensusEstimate,2,COLUMN())),_xll.ciqfunctions.udf.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AW671" s="532" t="str">
        <f ca="1">IFERROR(CHOOSE(MO.DataSourceIndex,BDP(MO.Ticker.Bloomberg&amp;" EQUITY","BEST_EBIT","BEST_FPERIOD_OVERRIDE="&amp;INDEX(tb_ConsensusEstimate,3,COLUMN())&amp;INDEX(tb_ConsensusEstimate,2,COLUMN())),_xll.ciqfunctions.udf.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AX671" s="532" t="str">
        <f ca="1">IFERROR(CHOOSE(MO.DataSourceIndex,BDP(MO.Ticker.Bloomberg&amp;" EQUITY","BEST_EBIT","BEST_FPERIOD_OVERRIDE="&amp;INDEX(tb_ConsensusEstimate,3,COLUMN())&amp;INDEX(tb_ConsensusEstimate,2,COLUMN())),_xll.ciqfunctions.udf.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AY671" s="532"/>
      <c r="AZ671" s="115"/>
      <c r="BA671" s="115"/>
      <c r="BB671" s="115"/>
      <c r="BC671" s="115"/>
      <c r="BD671" s="532"/>
      <c r="BE671" s="532"/>
      <c r="BF671" s="532"/>
      <c r="BG671" s="532"/>
      <c r="BH671" s="532"/>
      <c r="BI671" s="532"/>
      <c r="BJ671" s="532"/>
      <c r="BK671" s="532"/>
      <c r="BL671" s="532"/>
      <c r="BM671" s="532"/>
      <c r="BN671" s="532"/>
      <c r="BO671" s="532" t="str">
        <f ca="1">IFERROR(CHOOSE(MO.DataSourceIndex,BDP(MO.Ticker.Bloomberg&amp;" EQUITY","BEST_EBIT","BEST_FPERIOD_OVERRIDE="&amp;INDEX(tb_ConsensusEstimate,3,COLUMN())&amp;INDEX(tb_ConsensusEstimate,2,COLUMN())),_xll.ciqfunctions.udf.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P671" s="532" t="str">
        <f ca="1">IFERROR(CHOOSE(MO.DataSourceIndex,BDP(MO.Ticker.Bloomberg&amp;" EQUITY","BEST_EBIT","BEST_FPERIOD_OVERRIDE="&amp;INDEX(tb_ConsensusEstimate,3,COLUMN())&amp;INDEX(tb_ConsensusEstimate,2,COLUMN())),_xll.ciqfunctions.udf.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Q671" s="532" t="str">
        <f ca="1">IFERROR(CHOOSE(MO.DataSourceIndex,BDP(MO.Ticker.Bloomberg&amp;" EQUITY","BEST_EBIT","BEST_FPERIOD_OVERRIDE="&amp;INDEX(tb_ConsensusEstimate,3,COLUMN())&amp;INDEX(tb_ConsensusEstimate,2,COLUMN())),_xll.ciqfunctions.udf.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R671" s="532" t="str">
        <f ca="1">IFERROR(CHOOSE(MO.DataSourceIndex,BDP(MO.Ticker.Bloomberg&amp;" EQUITY","BEST_EBIT","BEST_FPERIOD_OVERRIDE="&amp;INDEX(tb_ConsensusEstimate,3,COLUMN())&amp;INDEX(tb_ConsensusEstimate,2,COLUMN())),_xll.ciqfunctions.udf.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S671" s="288" t="str">
        <f ca="1">IFERROR(CHOOSE(MO.DataSourceIndex,BDP(MO.Ticker.Bloomberg&amp;" EQUITY","BEST_EBIT","BEST_FPERIOD_OVERRIDE="&amp;INDEX(tb_ConsensusEstimate,3,COLUMN())&amp;INDEX(tb_ConsensusEstimate,2,COLUMN())),_xll.ciqfunctions.udf.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T671" s="533"/>
    </row>
    <row r="672" spans="1:72" s="17" customFormat="1" x14ac:dyDescent="0.35">
      <c r="A672" s="290" t="str">
        <f>$A$233</f>
        <v>Consensus Estimates - Adjusted Earnings Per Share - WAD</v>
      </c>
      <c r="B672" s="532"/>
      <c r="C672" s="116"/>
      <c r="D672" s="532"/>
      <c r="E672" s="532"/>
      <c r="F672" s="532"/>
      <c r="G672" s="532"/>
      <c r="H672" s="532"/>
      <c r="I672" s="532"/>
      <c r="J672" s="532"/>
      <c r="K672" s="532"/>
      <c r="L672" s="532"/>
      <c r="M672" s="532"/>
      <c r="N672" s="532"/>
      <c r="O672" s="532"/>
      <c r="P672" s="532"/>
      <c r="Q672" s="532"/>
      <c r="R672" s="532"/>
      <c r="S672" s="532"/>
      <c r="T672" s="532"/>
      <c r="U672" s="532"/>
      <c r="V672" s="532"/>
      <c r="W672" s="532"/>
      <c r="X672" s="532"/>
      <c r="Y672" s="532"/>
      <c r="Z672" s="532"/>
      <c r="AA672" s="532"/>
      <c r="AB672" s="532"/>
      <c r="AC672" s="532"/>
      <c r="AD672" s="532"/>
      <c r="AE672" s="532"/>
      <c r="AF672" s="532"/>
      <c r="AG672" s="532"/>
      <c r="AH672" s="532"/>
      <c r="AI672" s="532"/>
      <c r="AJ672" s="532"/>
      <c r="AK672" s="532"/>
      <c r="AL672" s="532"/>
      <c r="AM672" s="532"/>
      <c r="AN672" s="532"/>
      <c r="AO672" s="532"/>
      <c r="AP672" s="532"/>
      <c r="AQ672" s="532"/>
      <c r="AR672" s="532"/>
      <c r="AS672" s="532"/>
      <c r="AT672" s="532"/>
      <c r="AU672" s="532"/>
      <c r="AV672" s="532"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W672" s="532"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X672" s="532"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Y672" s="532"/>
      <c r="AZ672" s="116"/>
      <c r="BA672" s="116"/>
      <c r="BB672" s="116"/>
      <c r="BC672" s="116"/>
      <c r="BD672" s="532"/>
      <c r="BE672" s="532"/>
      <c r="BF672" s="532"/>
      <c r="BG672" s="532"/>
      <c r="BH672" s="532"/>
      <c r="BI672" s="532"/>
      <c r="BJ672" s="532"/>
      <c r="BK672" s="532"/>
      <c r="BL672" s="532"/>
      <c r="BM672" s="532"/>
      <c r="BN672" s="532"/>
      <c r="BO672" s="532"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P672" s="532"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Q672" s="532"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R672" s="532"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S672" s="288"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T672" s="533"/>
    </row>
    <row r="673" spans="1:72" s="17" customFormat="1" x14ac:dyDescent="0.35">
      <c r="A673" s="290" t="str">
        <f>$A$262</f>
        <v>Consensus Estimates - Cash Flow Per Diluted Share</v>
      </c>
      <c r="B673" s="532"/>
      <c r="C673" s="116"/>
      <c r="D673" s="532"/>
      <c r="E673" s="532"/>
      <c r="F673" s="532"/>
      <c r="G673" s="532"/>
      <c r="H673" s="532"/>
      <c r="I673" s="532"/>
      <c r="J673" s="532"/>
      <c r="K673" s="532"/>
      <c r="L673" s="532"/>
      <c r="M673" s="532"/>
      <c r="N673" s="532"/>
      <c r="O673" s="532"/>
      <c r="P673" s="532"/>
      <c r="Q673" s="532"/>
      <c r="R673" s="532"/>
      <c r="S673" s="532"/>
      <c r="T673" s="532"/>
      <c r="U673" s="532"/>
      <c r="V673" s="532"/>
      <c r="W673" s="532"/>
      <c r="X673" s="532"/>
      <c r="Y673" s="532"/>
      <c r="Z673" s="532"/>
      <c r="AA673" s="532"/>
      <c r="AB673" s="532"/>
      <c r="AC673" s="532"/>
      <c r="AD673" s="532"/>
      <c r="AE673" s="532"/>
      <c r="AF673" s="532"/>
      <c r="AG673" s="532"/>
      <c r="AH673" s="532"/>
      <c r="AI673" s="532"/>
      <c r="AJ673" s="532"/>
      <c r="AK673" s="532"/>
      <c r="AL673" s="532"/>
      <c r="AM673" s="532"/>
      <c r="AN673" s="532"/>
      <c r="AO673" s="532"/>
      <c r="AP673" s="532"/>
      <c r="AQ673" s="532"/>
      <c r="AR673" s="532"/>
      <c r="AS673" s="532"/>
      <c r="AT673" s="532"/>
      <c r="AU673" s="532"/>
      <c r="AV673" s="532"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W673" s="532"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X673" s="532"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Y673" s="532"/>
      <c r="AZ673" s="116"/>
      <c r="BA673" s="116"/>
      <c r="BB673" s="116"/>
      <c r="BC673" s="116"/>
      <c r="BD673" s="532"/>
      <c r="BE673" s="532"/>
      <c r="BF673" s="532"/>
      <c r="BG673" s="532"/>
      <c r="BH673" s="532"/>
      <c r="BI673" s="532"/>
      <c r="BJ673" s="532"/>
      <c r="BK673" s="532"/>
      <c r="BL673" s="532"/>
      <c r="BM673" s="532"/>
      <c r="BN673" s="532"/>
      <c r="BO673" s="532"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P673" s="532"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Q673" s="532"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R673" s="532"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S673" s="288"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T673" s="533"/>
    </row>
    <row r="674" spans="1:72" s="17" customFormat="1" x14ac:dyDescent="0.35">
      <c r="A674" s="290" t="str">
        <f>A264</f>
        <v>Consensus Estimates - Capex</v>
      </c>
      <c r="B674" s="532"/>
      <c r="C674" s="115"/>
      <c r="D674" s="532"/>
      <c r="E674" s="532"/>
      <c r="F674" s="532"/>
      <c r="G674" s="532"/>
      <c r="H674" s="532"/>
      <c r="I674" s="532"/>
      <c r="J674" s="532"/>
      <c r="K674" s="532"/>
      <c r="L674" s="532"/>
      <c r="M674" s="532"/>
      <c r="N674" s="532"/>
      <c r="O674" s="532"/>
      <c r="P674" s="532"/>
      <c r="Q674" s="532"/>
      <c r="R674" s="532"/>
      <c r="S674" s="532"/>
      <c r="T674" s="532"/>
      <c r="U674" s="532"/>
      <c r="V674" s="532"/>
      <c r="W674" s="532"/>
      <c r="X674" s="532"/>
      <c r="Y674" s="532"/>
      <c r="Z674" s="532"/>
      <c r="AA674" s="532"/>
      <c r="AB674" s="532"/>
      <c r="AC674" s="532"/>
      <c r="AD674" s="532"/>
      <c r="AE674" s="532"/>
      <c r="AF674" s="532"/>
      <c r="AG674" s="532"/>
      <c r="AH674" s="532"/>
      <c r="AI674" s="532"/>
      <c r="AJ674" s="532"/>
      <c r="AK674" s="532"/>
      <c r="AL674" s="532"/>
      <c r="AM674" s="532"/>
      <c r="AN674" s="532"/>
      <c r="AO674" s="532"/>
      <c r="AP674" s="532"/>
      <c r="AQ674" s="532"/>
      <c r="AR674" s="532"/>
      <c r="AS674" s="532"/>
      <c r="AT674" s="532"/>
      <c r="AU674" s="532"/>
      <c r="AV674" s="532"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W674" s="532"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X674" s="532"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Y674" s="532"/>
      <c r="AZ674" s="115"/>
      <c r="BA674" s="115"/>
      <c r="BB674" s="115"/>
      <c r="BC674" s="115"/>
      <c r="BD674" s="532"/>
      <c r="BE674" s="532"/>
      <c r="BF674" s="532"/>
      <c r="BG674" s="532"/>
      <c r="BH674" s="532"/>
      <c r="BI674" s="532"/>
      <c r="BJ674" s="532"/>
      <c r="BK674" s="532"/>
      <c r="BL674" s="532"/>
      <c r="BM674" s="532"/>
      <c r="BN674" s="532"/>
      <c r="BO674" s="532"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P674" s="532"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Q674" s="532"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R674" s="532"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S674" s="288"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T674" s="533"/>
    </row>
    <row r="675" spans="1:72" s="17" customFormat="1" x14ac:dyDescent="0.35">
      <c r="A675" s="291"/>
      <c r="B675" s="535"/>
      <c r="C675" s="535"/>
      <c r="D675" s="535"/>
      <c r="E675" s="535"/>
      <c r="F675" s="535"/>
      <c r="G675" s="535"/>
      <c r="H675" s="535"/>
      <c r="I675" s="535"/>
      <c r="J675" s="535"/>
      <c r="K675" s="535"/>
      <c r="L675" s="535"/>
      <c r="M675" s="535"/>
      <c r="N675" s="535"/>
      <c r="O675" s="535"/>
      <c r="P675" s="535"/>
      <c r="Q675" s="535"/>
      <c r="R675" s="535"/>
      <c r="S675" s="535"/>
      <c r="T675" s="535"/>
      <c r="U675" s="535"/>
      <c r="V675" s="535"/>
      <c r="W675" s="535"/>
      <c r="X675" s="535"/>
      <c r="Y675" s="535"/>
      <c r="Z675" s="535"/>
      <c r="AA675" s="535"/>
      <c r="AB675" s="535"/>
      <c r="AC675" s="535"/>
      <c r="AD675" s="535"/>
      <c r="AE675" s="535"/>
      <c r="AF675" s="535"/>
      <c r="AG675" s="535"/>
      <c r="AH675" s="535"/>
      <c r="AI675" s="535"/>
      <c r="AJ675" s="535"/>
      <c r="AK675" s="535"/>
      <c r="AL675" s="535"/>
      <c r="AM675" s="535"/>
      <c r="AN675" s="535"/>
      <c r="AO675" s="535"/>
      <c r="AP675" s="535"/>
      <c r="AQ675" s="535"/>
      <c r="AR675" s="535"/>
      <c r="AS675" s="535"/>
      <c r="AT675" s="535"/>
      <c r="AU675" s="535"/>
      <c r="AV675" s="535"/>
      <c r="AW675" s="535"/>
      <c r="AX675" s="535"/>
      <c r="AY675" s="535"/>
      <c r="AZ675" s="286"/>
      <c r="BA675" s="286"/>
      <c r="BB675" s="535"/>
      <c r="BC675" s="535"/>
      <c r="BD675" s="535"/>
      <c r="BE675" s="535"/>
      <c r="BF675" s="535"/>
      <c r="BG675" s="535"/>
      <c r="BH675" s="535"/>
      <c r="BI675" s="535"/>
      <c r="BJ675" s="535"/>
      <c r="BK675" s="535"/>
      <c r="BL675" s="535"/>
      <c r="BM675" s="535"/>
      <c r="BN675" s="535"/>
      <c r="BO675" s="535"/>
      <c r="BP675" s="535"/>
      <c r="BQ675" s="535"/>
      <c r="BR675" s="535"/>
      <c r="BS675" s="289"/>
      <c r="BT675" s="533"/>
    </row>
    <row r="676" spans="1:72" s="17" customFormat="1" x14ac:dyDescent="0.35">
      <c r="A676" s="285"/>
      <c r="B676" s="538"/>
      <c r="C676" s="538"/>
      <c r="D676" s="538"/>
      <c r="E676" s="538"/>
      <c r="F676" s="538"/>
      <c r="G676" s="538"/>
      <c r="H676" s="538"/>
      <c r="I676" s="538"/>
      <c r="J676" s="538"/>
      <c r="K676" s="538"/>
      <c r="L676" s="538"/>
      <c r="M676" s="538"/>
      <c r="N676" s="538"/>
      <c r="O676" s="538"/>
      <c r="P676" s="538"/>
      <c r="Q676" s="538"/>
      <c r="R676" s="538"/>
      <c r="S676" s="538"/>
      <c r="T676" s="538"/>
      <c r="U676" s="538"/>
      <c r="V676" s="538"/>
      <c r="W676" s="538"/>
      <c r="X676" s="538"/>
      <c r="Y676" s="538"/>
      <c r="Z676" s="538"/>
      <c r="AA676" s="538"/>
      <c r="AB676" s="538"/>
      <c r="AC676" s="538"/>
      <c r="AD676" s="538"/>
      <c r="AE676" s="538"/>
      <c r="AF676" s="538"/>
      <c r="AG676" s="538"/>
      <c r="AH676" s="538"/>
      <c r="AI676" s="538"/>
      <c r="AJ676" s="538"/>
      <c r="AK676" s="538"/>
      <c r="AL676" s="538"/>
      <c r="AM676" s="538"/>
      <c r="AN676" s="538"/>
      <c r="AO676" s="538"/>
      <c r="AP676" s="538"/>
      <c r="AQ676" s="538"/>
      <c r="AR676" s="538"/>
      <c r="AS676" s="538"/>
      <c r="AT676" s="538"/>
      <c r="AU676" s="538"/>
      <c r="AV676" s="538"/>
      <c r="AW676" s="538"/>
      <c r="AX676" s="538"/>
      <c r="AY676" s="538"/>
      <c r="AZ676" s="137"/>
      <c r="BA676" s="137"/>
      <c r="BB676" s="538"/>
      <c r="BC676" s="538"/>
      <c r="BD676" s="538"/>
      <c r="BE676" s="538"/>
      <c r="BF676" s="538"/>
      <c r="BG676" s="538"/>
      <c r="BH676" s="538"/>
      <c r="BI676" s="538"/>
      <c r="BJ676" s="538"/>
      <c r="BK676" s="538"/>
      <c r="BL676" s="538"/>
      <c r="BM676" s="538"/>
      <c r="BN676" s="538"/>
      <c r="BO676" s="538"/>
      <c r="BP676" s="538"/>
      <c r="BQ676" s="538"/>
      <c r="BR676" s="538"/>
      <c r="BS676" s="538"/>
      <c r="BT676" s="533"/>
    </row>
    <row r="677" spans="1:72" s="17" customFormat="1" x14ac:dyDescent="0.35">
      <c r="A677" s="236" t="s">
        <v>259</v>
      </c>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c r="Y677" s="233"/>
      <c r="Z677" s="233"/>
      <c r="AA677" s="233"/>
      <c r="AB677" s="233"/>
      <c r="AC677" s="233"/>
      <c r="AD677" s="233"/>
      <c r="AE677" s="233"/>
      <c r="AF677" s="233"/>
      <c r="AG677" s="233"/>
      <c r="AH677" s="233"/>
      <c r="AI677" s="233"/>
      <c r="AJ677" s="233"/>
      <c r="AK677" s="233"/>
      <c r="AL677" s="233"/>
      <c r="AM677" s="233"/>
      <c r="AN677" s="233"/>
      <c r="AO677" s="233"/>
      <c r="AP677" s="233"/>
      <c r="AQ677" s="233"/>
      <c r="AR677" s="233"/>
      <c r="AS677" s="233"/>
      <c r="AT677" s="233"/>
      <c r="AU677" s="233"/>
      <c r="AV677" s="233"/>
      <c r="AW677" s="233"/>
      <c r="AX677" s="233"/>
      <c r="AY677" s="233"/>
      <c r="AZ677" s="234"/>
      <c r="BA677" s="234"/>
      <c r="BB677" s="233"/>
      <c r="BC677" s="233"/>
      <c r="BD677" s="233"/>
      <c r="BE677" s="233"/>
      <c r="BF677" s="233"/>
      <c r="BG677" s="233"/>
      <c r="BH677" s="233"/>
      <c r="BI677" s="233"/>
      <c r="BJ677" s="233"/>
      <c r="BK677" s="233"/>
      <c r="BL677" s="233"/>
      <c r="BM677" s="233"/>
      <c r="BN677" s="233"/>
      <c r="BO677" s="233"/>
      <c r="BP677" s="233"/>
      <c r="BQ677" s="233"/>
      <c r="BR677" s="233"/>
      <c r="BS677" s="235"/>
      <c r="BT677" s="273"/>
    </row>
    <row r="678" spans="1:72" s="17" customFormat="1" x14ac:dyDescent="0.35">
      <c r="A678" s="237" t="s">
        <v>260</v>
      </c>
      <c r="B678" s="532"/>
      <c r="C678" s="433">
        <f t="shared" ref="C678:AH678" si="871">INDEX(MO_Common_QEndDate,0,COLUMN())-INDEX(MO_Common_FPDays,0,COLUMN())+1</f>
        <v>41091</v>
      </c>
      <c r="D678" s="433">
        <f t="shared" si="871"/>
        <v>41183</v>
      </c>
      <c r="E678" s="433">
        <f t="shared" si="871"/>
        <v>41275</v>
      </c>
      <c r="F678" s="433">
        <f t="shared" si="871"/>
        <v>41365</v>
      </c>
      <c r="G678" s="433">
        <f t="shared" si="871"/>
        <v>41456</v>
      </c>
      <c r="H678" s="433">
        <f t="shared" si="871"/>
        <v>41548</v>
      </c>
      <c r="I678" s="433">
        <f t="shared" si="871"/>
        <v>41640</v>
      </c>
      <c r="J678" s="433">
        <f t="shared" si="871"/>
        <v>41730</v>
      </c>
      <c r="K678" s="433">
        <f t="shared" si="871"/>
        <v>41821</v>
      </c>
      <c r="L678" s="433">
        <f t="shared" si="871"/>
        <v>41913</v>
      </c>
      <c r="M678" s="433">
        <f t="shared" si="871"/>
        <v>42005</v>
      </c>
      <c r="N678" s="433">
        <f t="shared" si="871"/>
        <v>42095</v>
      </c>
      <c r="O678" s="433">
        <f t="shared" si="871"/>
        <v>42186</v>
      </c>
      <c r="P678" s="433">
        <f t="shared" si="871"/>
        <v>42278</v>
      </c>
      <c r="Q678" s="433">
        <f t="shared" si="871"/>
        <v>42370</v>
      </c>
      <c r="R678" s="433">
        <f t="shared" si="871"/>
        <v>42461</v>
      </c>
      <c r="S678" s="433">
        <f t="shared" si="871"/>
        <v>42552</v>
      </c>
      <c r="T678" s="433">
        <f t="shared" si="871"/>
        <v>42644</v>
      </c>
      <c r="U678" s="433">
        <f t="shared" si="871"/>
        <v>42736</v>
      </c>
      <c r="V678" s="433">
        <f t="shared" si="871"/>
        <v>42826</v>
      </c>
      <c r="W678" s="433">
        <f t="shared" si="871"/>
        <v>42917</v>
      </c>
      <c r="X678" s="433">
        <f t="shared" si="871"/>
        <v>43009</v>
      </c>
      <c r="Y678" s="433">
        <f t="shared" si="871"/>
        <v>43101</v>
      </c>
      <c r="Z678" s="433">
        <f t="shared" si="871"/>
        <v>43191</v>
      </c>
      <c r="AA678" s="433">
        <f t="shared" si="871"/>
        <v>43282</v>
      </c>
      <c r="AB678" s="433">
        <f t="shared" si="871"/>
        <v>43374</v>
      </c>
      <c r="AC678" s="433">
        <f t="shared" si="871"/>
        <v>43466</v>
      </c>
      <c r="AD678" s="433">
        <f t="shared" si="871"/>
        <v>43556</v>
      </c>
      <c r="AE678" s="433">
        <f t="shared" si="871"/>
        <v>43647</v>
      </c>
      <c r="AF678" s="433">
        <f t="shared" si="871"/>
        <v>43739</v>
      </c>
      <c r="AG678" s="433">
        <f t="shared" si="871"/>
        <v>43831</v>
      </c>
      <c r="AH678" s="433">
        <f t="shared" si="871"/>
        <v>43922</v>
      </c>
      <c r="AI678" s="433">
        <f t="shared" ref="AI678:AX678" si="872">INDEX(MO_Common_QEndDate,0,COLUMN())-INDEX(MO_Common_FPDays,0,COLUMN())+1</f>
        <v>44013</v>
      </c>
      <c r="AJ678" s="433">
        <f t="shared" si="872"/>
        <v>44105</v>
      </c>
      <c r="AK678" s="433">
        <f t="shared" si="872"/>
        <v>44197</v>
      </c>
      <c r="AL678" s="433">
        <f t="shared" si="872"/>
        <v>44287</v>
      </c>
      <c r="AM678" s="433">
        <f t="shared" si="872"/>
        <v>44378</v>
      </c>
      <c r="AN678" s="433">
        <f t="shared" si="872"/>
        <v>44470</v>
      </c>
      <c r="AO678" s="433">
        <f t="shared" si="872"/>
        <v>44562</v>
      </c>
      <c r="AP678" s="433">
        <f t="shared" si="872"/>
        <v>44652</v>
      </c>
      <c r="AQ678" s="433">
        <f t="shared" si="872"/>
        <v>44743</v>
      </c>
      <c r="AR678" s="433">
        <f t="shared" si="872"/>
        <v>44835</v>
      </c>
      <c r="AS678" s="433">
        <f t="shared" si="872"/>
        <v>44927</v>
      </c>
      <c r="AT678" s="433">
        <f t="shared" si="872"/>
        <v>45017</v>
      </c>
      <c r="AU678" s="433">
        <f t="shared" si="872"/>
        <v>45108</v>
      </c>
      <c r="AV678" s="433">
        <f t="shared" si="872"/>
        <v>45200</v>
      </c>
      <c r="AW678" s="433">
        <f t="shared" si="872"/>
        <v>45292</v>
      </c>
      <c r="AX678" s="433">
        <f t="shared" si="872"/>
        <v>45383</v>
      </c>
      <c r="AY678" s="433"/>
      <c r="AZ678" s="432">
        <f t="shared" ref="AZ678:BS678" si="873">INDEX(MO_Common_QEndDate,0,COLUMN())-INDEX(MO_Common_FPDays,0,COLUMN())+1</f>
        <v>39630</v>
      </c>
      <c r="BA678" s="432">
        <f t="shared" si="873"/>
        <v>39995</v>
      </c>
      <c r="BB678" s="433">
        <f t="shared" si="873"/>
        <v>40360</v>
      </c>
      <c r="BC678" s="433">
        <f t="shared" si="873"/>
        <v>40725</v>
      </c>
      <c r="BD678" s="433">
        <f t="shared" si="873"/>
        <v>41091</v>
      </c>
      <c r="BE678" s="433">
        <f t="shared" si="873"/>
        <v>41456</v>
      </c>
      <c r="BF678" s="433">
        <f t="shared" si="873"/>
        <v>41821</v>
      </c>
      <c r="BG678" s="433">
        <f t="shared" si="873"/>
        <v>42186</v>
      </c>
      <c r="BH678" s="433">
        <f t="shared" si="873"/>
        <v>42552</v>
      </c>
      <c r="BI678" s="433">
        <f t="shared" si="873"/>
        <v>42917</v>
      </c>
      <c r="BJ678" s="433">
        <f t="shared" si="873"/>
        <v>43282</v>
      </c>
      <c r="BK678" s="433">
        <f t="shared" si="873"/>
        <v>43647</v>
      </c>
      <c r="BL678" s="433">
        <f t="shared" si="873"/>
        <v>44013</v>
      </c>
      <c r="BM678" s="433">
        <f t="shared" si="873"/>
        <v>44378</v>
      </c>
      <c r="BN678" s="433">
        <f t="shared" si="873"/>
        <v>44743</v>
      </c>
      <c r="BO678" s="433">
        <f t="shared" si="873"/>
        <v>45108</v>
      </c>
      <c r="BP678" s="433" t="e">
        <f t="shared" si="873"/>
        <v>#REF!</v>
      </c>
      <c r="BQ678" s="433" t="e">
        <f t="shared" si="873"/>
        <v>#REF!</v>
      </c>
      <c r="BR678" s="433" t="e">
        <f t="shared" si="873"/>
        <v>#REF!</v>
      </c>
      <c r="BS678" s="434" t="e">
        <f t="shared" si="873"/>
        <v>#REF!</v>
      </c>
      <c r="BT678" s="273"/>
    </row>
    <row r="679" spans="1:72" s="17" customFormat="1" x14ac:dyDescent="0.35">
      <c r="A679" s="237" t="s">
        <v>261</v>
      </c>
      <c r="B679" s="532"/>
      <c r="C679" s="433" t="b">
        <f>TRUE</f>
        <v>1</v>
      </c>
      <c r="D679" s="433" t="b">
        <f>TRUE</f>
        <v>1</v>
      </c>
      <c r="E679" s="433" t="b">
        <f>TRUE</f>
        <v>1</v>
      </c>
      <c r="F679" s="433" t="b">
        <f>TRUE</f>
        <v>1</v>
      </c>
      <c r="G679" s="433" t="b">
        <f>TRUE</f>
        <v>1</v>
      </c>
      <c r="H679" s="433" t="b">
        <f>TRUE</f>
        <v>1</v>
      </c>
      <c r="I679" s="433" t="b">
        <f>TRUE</f>
        <v>1</v>
      </c>
      <c r="J679" s="433" t="b">
        <f>TRUE</f>
        <v>1</v>
      </c>
      <c r="K679" s="433" t="b">
        <f>TRUE</f>
        <v>1</v>
      </c>
      <c r="L679" s="433" t="b">
        <f>TRUE</f>
        <v>1</v>
      </c>
      <c r="M679" s="433" t="b">
        <f>TRUE</f>
        <v>1</v>
      </c>
      <c r="N679" s="433" t="b">
        <f>TRUE</f>
        <v>1</v>
      </c>
      <c r="O679" s="433" t="b">
        <f>TRUE</f>
        <v>1</v>
      </c>
      <c r="P679" s="433" t="b">
        <f>TRUE</f>
        <v>1</v>
      </c>
      <c r="Q679" s="433" t="b">
        <f>TRUE</f>
        <v>1</v>
      </c>
      <c r="R679" s="433" t="b">
        <f>TRUE</f>
        <v>1</v>
      </c>
      <c r="S679" s="433" t="b">
        <f>TRUE</f>
        <v>1</v>
      </c>
      <c r="T679" s="433" t="b">
        <f>TRUE</f>
        <v>1</v>
      </c>
      <c r="U679" s="433" t="b">
        <f>TRUE</f>
        <v>1</v>
      </c>
      <c r="V679" s="433" t="b">
        <f>TRUE</f>
        <v>1</v>
      </c>
      <c r="W679" s="433" t="b">
        <f>TRUE</f>
        <v>1</v>
      </c>
      <c r="X679" s="433" t="b">
        <f>TRUE</f>
        <v>1</v>
      </c>
      <c r="Y679" s="433" t="b">
        <f>TRUE</f>
        <v>1</v>
      </c>
      <c r="Z679" s="433" t="b">
        <f>TRUE</f>
        <v>1</v>
      </c>
      <c r="AA679" s="433" t="b">
        <f>TRUE</f>
        <v>1</v>
      </c>
      <c r="AB679" s="433" t="b">
        <f>TRUE</f>
        <v>1</v>
      </c>
      <c r="AC679" s="433" t="b">
        <f>TRUE</f>
        <v>1</v>
      </c>
      <c r="AD679" s="433" t="b">
        <f>TRUE</f>
        <v>1</v>
      </c>
      <c r="AE679" s="433" t="b">
        <f>TRUE</f>
        <v>1</v>
      </c>
      <c r="AF679" s="433" t="b">
        <f>TRUE</f>
        <v>1</v>
      </c>
      <c r="AG679" s="433" t="b">
        <f>TRUE</f>
        <v>1</v>
      </c>
      <c r="AH679" s="433" t="b">
        <f>TRUE</f>
        <v>1</v>
      </c>
      <c r="AI679" s="433" t="b">
        <f>TRUE</f>
        <v>1</v>
      </c>
      <c r="AJ679" s="433" t="b">
        <f>TRUE</f>
        <v>1</v>
      </c>
      <c r="AK679" s="433" t="b">
        <f>TRUE</f>
        <v>1</v>
      </c>
      <c r="AL679" s="433" t="b">
        <f>TRUE</f>
        <v>1</v>
      </c>
      <c r="AM679" s="433" t="b">
        <f>TRUE</f>
        <v>1</v>
      </c>
      <c r="AN679" s="433" t="b">
        <f>TRUE</f>
        <v>1</v>
      </c>
      <c r="AO679" s="433" t="b">
        <f>TRUE</f>
        <v>1</v>
      </c>
      <c r="AP679" s="433" t="b">
        <f>TRUE</f>
        <v>1</v>
      </c>
      <c r="AQ679" s="433" t="b">
        <f>TRUE</f>
        <v>1</v>
      </c>
      <c r="AR679" s="433" t="b">
        <f>TRUE</f>
        <v>1</v>
      </c>
      <c r="AS679" s="433" t="b">
        <f>TRUE</f>
        <v>1</v>
      </c>
      <c r="AT679" s="433" t="b">
        <f>TRUE</f>
        <v>1</v>
      </c>
      <c r="AU679" s="433" t="b">
        <f>TRUE</f>
        <v>1</v>
      </c>
      <c r="AV679" s="433" t="b">
        <f>FALSE</f>
        <v>0</v>
      </c>
      <c r="AW679" s="433" t="b">
        <f>FALSE</f>
        <v>0</v>
      </c>
      <c r="AX679" s="433" t="b">
        <f>FALSE</f>
        <v>0</v>
      </c>
      <c r="AY679" s="433"/>
      <c r="AZ679" s="432" t="b">
        <f>TRUE</f>
        <v>1</v>
      </c>
      <c r="BA679" s="432" t="b">
        <f>TRUE</f>
        <v>1</v>
      </c>
      <c r="BB679" s="433" t="b">
        <f>TRUE</f>
        <v>1</v>
      </c>
      <c r="BC679" s="433" t="b">
        <f>TRUE</f>
        <v>1</v>
      </c>
      <c r="BD679" s="433" t="b">
        <f>TRUE</f>
        <v>1</v>
      </c>
      <c r="BE679" s="433" t="b">
        <f>TRUE</f>
        <v>1</v>
      </c>
      <c r="BF679" s="433" t="b">
        <f>TRUE</f>
        <v>1</v>
      </c>
      <c r="BG679" s="433" t="b">
        <f>TRUE</f>
        <v>1</v>
      </c>
      <c r="BH679" s="433" t="b">
        <f>TRUE</f>
        <v>1</v>
      </c>
      <c r="BI679" s="433" t="b">
        <f>TRUE</f>
        <v>1</v>
      </c>
      <c r="BJ679" s="433" t="b">
        <f>TRUE</f>
        <v>1</v>
      </c>
      <c r="BK679" s="433" t="b">
        <f>TRUE</f>
        <v>1</v>
      </c>
      <c r="BL679" s="433" t="b">
        <f>TRUE</f>
        <v>1</v>
      </c>
      <c r="BM679" s="433" t="b">
        <f>TRUE</f>
        <v>1</v>
      </c>
      <c r="BN679" s="433" t="b">
        <f>TRUE</f>
        <v>1</v>
      </c>
      <c r="BO679" s="433" t="b">
        <f>FALSE</f>
        <v>0</v>
      </c>
      <c r="BP679" s="433" t="b">
        <f>FALSE</f>
        <v>0</v>
      </c>
      <c r="BQ679" s="433" t="b">
        <f>FALSE</f>
        <v>0</v>
      </c>
      <c r="BR679" s="433" t="b">
        <f>FALSE</f>
        <v>0</v>
      </c>
      <c r="BS679" s="434" t="b">
        <f>FALSE</f>
        <v>0</v>
      </c>
      <c r="BT679" s="273"/>
    </row>
    <row r="680" spans="1:72" s="242" customFormat="1" x14ac:dyDescent="0.35">
      <c r="A680" s="238" t="str">
        <f ca="1">"Stock High: "&amp;IF(OR(MO.RealTimeStockPriceToggle=FALSE,VLOOKUP(MO.DataSourceName,MO_SPT_StockHigh_Sources,COLUMN()+2,FALSE)="N/A"),"Real-Time Off Source",MO.DataSourceName)</f>
        <v>Stock High: Real-Time Off Source</v>
      </c>
      <c r="B680" s="239"/>
      <c r="C680" s="239">
        <f t="shared" ref="C680:AH680" ca="1" si="874">IF(OR(MO.RealTimeStockPriceToggle=FALSE,VLOOKUP(MO.DataSourceName,MO_SPT_StockHigh_Sources,COLUMN(),FALSE)="N/A"),VLOOKUP("Real-Time Off Source",MO_SPT_StockHigh_Sources,COLUMN(),FALSE),VLOOKUP(MO.DataSourceName,MO_SPT_StockHigh_Sources,COLUMN(),FALSE))</f>
        <v>25.39</v>
      </c>
      <c r="D680" s="239">
        <f t="shared" ca="1" si="874"/>
        <v>22.4</v>
      </c>
      <c r="E680" s="239">
        <f t="shared" ca="1" si="874"/>
        <v>24.54</v>
      </c>
      <c r="F680" s="239">
        <f t="shared" ca="1" si="874"/>
        <v>30.89</v>
      </c>
      <c r="G680" s="239">
        <f t="shared" ca="1" si="874"/>
        <v>38.14</v>
      </c>
      <c r="H680" s="239">
        <f t="shared" ca="1" si="874"/>
        <v>31.66</v>
      </c>
      <c r="I680" s="239">
        <f t="shared" ca="1" si="874"/>
        <v>23.55</v>
      </c>
      <c r="J680" s="239">
        <f t="shared" ca="1" si="874"/>
        <v>26.2</v>
      </c>
      <c r="K680" s="239">
        <f t="shared" ca="1" si="874"/>
        <v>24.51</v>
      </c>
      <c r="L680" s="239">
        <f t="shared" ca="1" si="874"/>
        <v>16.59</v>
      </c>
      <c r="M680" s="239">
        <f t="shared" ca="1" si="874"/>
        <v>17.71</v>
      </c>
      <c r="N680" s="239">
        <f t="shared" ca="1" si="874"/>
        <v>17.63</v>
      </c>
      <c r="O680" s="239">
        <f t="shared" ca="1" si="874"/>
        <v>14.95</v>
      </c>
      <c r="P680" s="239">
        <f t="shared" ca="1" si="874"/>
        <v>14.45</v>
      </c>
      <c r="Q680" s="239">
        <f t="shared" ca="1" si="874"/>
        <v>11.19</v>
      </c>
      <c r="R680" s="239">
        <f t="shared" ca="1" si="874"/>
        <v>12.91</v>
      </c>
      <c r="S680" s="239">
        <f t="shared" ca="1" si="874"/>
        <v>14.41</v>
      </c>
      <c r="T680" s="239">
        <f t="shared" ca="1" si="874"/>
        <v>17.84</v>
      </c>
      <c r="U680" s="239">
        <f t="shared" ca="1" si="874"/>
        <v>20.67</v>
      </c>
      <c r="V680" s="239">
        <f t="shared" ca="1" si="874"/>
        <v>21.18</v>
      </c>
      <c r="W680" s="239">
        <f t="shared" ca="1" si="874"/>
        <v>18.79</v>
      </c>
      <c r="X680" s="239">
        <f t="shared" ca="1" si="874"/>
        <v>18.34</v>
      </c>
      <c r="Y680" s="239">
        <f t="shared" ca="1" si="874"/>
        <v>18.27</v>
      </c>
      <c r="Z680" s="239">
        <f t="shared" ca="1" si="874"/>
        <v>17.37</v>
      </c>
      <c r="AA680" s="239">
        <f t="shared" ca="1" si="874"/>
        <v>18.03</v>
      </c>
      <c r="AB680" s="239">
        <f t="shared" ca="1" si="874"/>
        <v>24.79</v>
      </c>
      <c r="AC680" s="239">
        <f t="shared" ca="1" si="874"/>
        <v>34.130000000000003</v>
      </c>
      <c r="AD680" s="239">
        <f t="shared" ca="1" si="874"/>
        <v>37</v>
      </c>
      <c r="AE680" s="239">
        <f t="shared" ca="1" si="874"/>
        <v>31.55</v>
      </c>
      <c r="AF680" s="239">
        <f t="shared" ca="1" si="874"/>
        <v>26.44</v>
      </c>
      <c r="AG680" s="239">
        <f t="shared" ca="1" si="874"/>
        <v>23.94</v>
      </c>
      <c r="AH680" s="239">
        <f t="shared" ca="1" si="874"/>
        <v>27.98</v>
      </c>
      <c r="AI680" s="239">
        <f t="shared" ref="AI680:AX680" ca="1" si="875">IF(OR(MO.RealTimeStockPriceToggle=FALSE,VLOOKUP(MO.DataSourceName,MO_SPT_StockHigh_Sources,COLUMN(),FALSE)="N/A"),VLOOKUP("Real-Time Off Source",MO_SPT_StockHigh_Sources,COLUMN(),FALSE),VLOOKUP(MO.DataSourceName,MO_SPT_StockHigh_Sources,COLUMN(),FALSE))</f>
        <v>51.6</v>
      </c>
      <c r="AJ680" s="239">
        <f t="shared" ca="1" si="875"/>
        <v>30.99</v>
      </c>
      <c r="AK680" s="239">
        <f t="shared" ca="1" si="875"/>
        <v>31.2</v>
      </c>
      <c r="AL680" s="239">
        <f t="shared" ca="1" si="875"/>
        <v>34.44</v>
      </c>
      <c r="AM680" s="239">
        <f t="shared" ca="1" si="875"/>
        <v>36.369999999999997</v>
      </c>
      <c r="AN680" s="239">
        <f t="shared" ca="1" si="875"/>
        <v>37.700000000000003</v>
      </c>
      <c r="AO680" s="239">
        <f t="shared" ca="1" si="875"/>
        <v>36.68</v>
      </c>
      <c r="AP680" s="239">
        <f t="shared" ca="1" si="875"/>
        <v>41.31</v>
      </c>
      <c r="AQ680" s="239">
        <f t="shared" ca="1" si="875"/>
        <v>44.68</v>
      </c>
      <c r="AR680" s="239">
        <f t="shared" ca="1" si="875"/>
        <v>46.56</v>
      </c>
      <c r="AS680" s="239">
        <f t="shared" ca="1" si="875"/>
        <v>44.08</v>
      </c>
      <c r="AT680" s="239">
        <f t="shared" ca="1" si="875"/>
        <v>42.96</v>
      </c>
      <c r="AU680" s="239">
        <f t="shared" ca="1" si="875"/>
        <v>45.44</v>
      </c>
      <c r="AV680" s="239">
        <f t="shared" ca="1" si="875"/>
        <v>0</v>
      </c>
      <c r="AW680" s="239">
        <f t="shared" ca="1" si="875"/>
        <v>0</v>
      </c>
      <c r="AX680" s="239">
        <f t="shared" ca="1" si="875"/>
        <v>0</v>
      </c>
      <c r="AY680" s="239"/>
      <c r="AZ680" s="240">
        <f t="shared" ref="AZ680:BS680" ca="1" si="876">IF(OR(MO.RealTimeStockPriceToggle=FALSE,VLOOKUP(MO.DataSourceName,MO_SPT_StockHigh_Sources,COLUMN(),FALSE)="N/A"),VLOOKUP("Real-Time Off Source",MO_SPT_StockHigh_Sources,COLUMN(),FALSE),VLOOKUP(MO.DataSourceName,MO_SPT_StockHigh_Sources,COLUMN(),FALSE))</f>
        <v>25.83</v>
      </c>
      <c r="BA680" s="240">
        <f t="shared" ca="1" si="876"/>
        <v>25.83</v>
      </c>
      <c r="BB680" s="239">
        <f t="shared" ca="1" si="876"/>
        <v>39.74</v>
      </c>
      <c r="BC680" s="239">
        <f t="shared" ca="1" si="876"/>
        <v>37</v>
      </c>
      <c r="BD680" s="239">
        <f t="shared" ca="1" si="876"/>
        <v>30.89</v>
      </c>
      <c r="BE680" s="239">
        <f t="shared" ca="1" si="876"/>
        <v>38.14</v>
      </c>
      <c r="BF680" s="239">
        <f t="shared" ca="1" si="876"/>
        <v>24.51</v>
      </c>
      <c r="BG680" s="239">
        <f t="shared" ca="1" si="876"/>
        <v>14.95</v>
      </c>
      <c r="BH680" s="239">
        <f t="shared" ca="1" si="876"/>
        <v>21.18</v>
      </c>
      <c r="BI680" s="239">
        <f t="shared" ca="1" si="876"/>
        <v>18.79</v>
      </c>
      <c r="BJ680" s="239">
        <f t="shared" ca="1" si="876"/>
        <v>37</v>
      </c>
      <c r="BK680" s="239">
        <f t="shared" ca="1" si="876"/>
        <v>31.55</v>
      </c>
      <c r="BL680" s="239">
        <f t="shared" ca="1" si="876"/>
        <v>51.6</v>
      </c>
      <c r="BM680" s="239">
        <f t="shared" ca="1" si="876"/>
        <v>41.31</v>
      </c>
      <c r="BN680" s="239">
        <f t="shared" ca="1" si="876"/>
        <v>46.56</v>
      </c>
      <c r="BO680" s="239">
        <f t="shared" ca="1" si="876"/>
        <v>0</v>
      </c>
      <c r="BP680" s="239">
        <f t="shared" ca="1" si="876"/>
        <v>0</v>
      </c>
      <c r="BQ680" s="239">
        <f t="shared" ca="1" si="876"/>
        <v>0</v>
      </c>
      <c r="BR680" s="239">
        <f t="shared" ca="1" si="876"/>
        <v>0</v>
      </c>
      <c r="BS680" s="241">
        <f t="shared" ca="1" si="876"/>
        <v>0</v>
      </c>
      <c r="BT680" s="274"/>
    </row>
    <row r="681" spans="1:72" s="242" customFormat="1" hidden="1" outlineLevel="1" x14ac:dyDescent="0.35">
      <c r="A681" s="243" t="s">
        <v>262</v>
      </c>
      <c r="B681" s="239"/>
      <c r="C681" s="657">
        <v>25.39</v>
      </c>
      <c r="D681" s="657">
        <v>22.4</v>
      </c>
      <c r="E681" s="657">
        <v>24.54</v>
      </c>
      <c r="F681" s="657">
        <v>30.89</v>
      </c>
      <c r="G681" s="657">
        <v>38.14</v>
      </c>
      <c r="H681" s="657">
        <v>31.66</v>
      </c>
      <c r="I681" s="657">
        <v>23.55</v>
      </c>
      <c r="J681" s="657">
        <v>26.2</v>
      </c>
      <c r="K681" s="657">
        <v>24.51</v>
      </c>
      <c r="L681" s="657">
        <v>16.59</v>
      </c>
      <c r="M681" s="657">
        <v>17.71</v>
      </c>
      <c r="N681" s="657">
        <v>17.63</v>
      </c>
      <c r="O681" s="657">
        <v>14.95</v>
      </c>
      <c r="P681" s="657">
        <v>14.45</v>
      </c>
      <c r="Q681" s="657">
        <v>11.19</v>
      </c>
      <c r="R681" s="657">
        <v>12.91</v>
      </c>
      <c r="S681" s="657">
        <v>14.41</v>
      </c>
      <c r="T681" s="657">
        <v>17.84</v>
      </c>
      <c r="U681" s="657">
        <v>20.67</v>
      </c>
      <c r="V681" s="657">
        <v>21.18</v>
      </c>
      <c r="W681" s="657">
        <v>18.79</v>
      </c>
      <c r="X681" s="657">
        <v>18.34</v>
      </c>
      <c r="Y681" s="657">
        <v>18.27</v>
      </c>
      <c r="Z681" s="657">
        <v>17.37</v>
      </c>
      <c r="AA681" s="657">
        <v>18.03</v>
      </c>
      <c r="AB681" s="657">
        <v>24.79</v>
      </c>
      <c r="AC681" s="657">
        <v>34.130000000000003</v>
      </c>
      <c r="AD681" s="657">
        <v>37</v>
      </c>
      <c r="AE681" s="657">
        <v>31.55</v>
      </c>
      <c r="AF681" s="657">
        <v>26.44</v>
      </c>
      <c r="AG681" s="657">
        <v>23.94</v>
      </c>
      <c r="AH681" s="657">
        <v>27.98</v>
      </c>
      <c r="AI681" s="657">
        <v>51.6</v>
      </c>
      <c r="AJ681" s="657">
        <v>30.99</v>
      </c>
      <c r="AK681" s="657">
        <v>31.2</v>
      </c>
      <c r="AL681" s="657">
        <v>34.44</v>
      </c>
      <c r="AM681" s="657">
        <v>36.369999999999997</v>
      </c>
      <c r="AN681" s="657">
        <v>37.700000000000003</v>
      </c>
      <c r="AO681" s="657">
        <v>36.68</v>
      </c>
      <c r="AP681" s="657">
        <v>41.31</v>
      </c>
      <c r="AQ681" s="657">
        <v>44.68</v>
      </c>
      <c r="AR681" s="657">
        <v>46.56</v>
      </c>
      <c r="AS681" s="657">
        <v>44.08</v>
      </c>
      <c r="AT681" s="657">
        <v>42.96</v>
      </c>
      <c r="AU681" s="657">
        <v>45.44</v>
      </c>
      <c r="AV681" s="239"/>
      <c r="AW681" s="239"/>
      <c r="AX681" s="239"/>
      <c r="AY681" s="239"/>
      <c r="AZ681" s="658">
        <v>25.83</v>
      </c>
      <c r="BA681" s="658">
        <v>25.83</v>
      </c>
      <c r="BB681" s="657">
        <v>39.74</v>
      </c>
      <c r="BC681" s="657">
        <v>37</v>
      </c>
      <c r="BD681" s="657">
        <v>30.89</v>
      </c>
      <c r="BE681" s="657">
        <v>38.14</v>
      </c>
      <c r="BF681" s="657">
        <v>24.51</v>
      </c>
      <c r="BG681" s="657">
        <v>14.95</v>
      </c>
      <c r="BH681" s="657">
        <v>21.18</v>
      </c>
      <c r="BI681" s="657">
        <v>18.79</v>
      </c>
      <c r="BJ681" s="657">
        <v>37</v>
      </c>
      <c r="BK681" s="657">
        <v>31.55</v>
      </c>
      <c r="BL681" s="657">
        <v>51.6</v>
      </c>
      <c r="BM681" s="657">
        <v>41.31</v>
      </c>
      <c r="BN681" s="657">
        <v>46.56</v>
      </c>
      <c r="BO681" s="239"/>
      <c r="BP681" s="239"/>
      <c r="BQ681" s="239"/>
      <c r="BR681" s="239"/>
      <c r="BS681" s="241"/>
      <c r="BT681" s="274"/>
    </row>
    <row r="682" spans="1:72" s="242" customFormat="1" hidden="1" outlineLevel="1" x14ac:dyDescent="0.35">
      <c r="A682" s="243" t="s">
        <v>7</v>
      </c>
      <c r="B682" s="239"/>
      <c r="C682" s="239" t="str">
        <f ca="1">IFERROR(BDP(MO.Ticker.Bloomberg&amp;" Equity","INTERVAL_HIGH","MARKET_DATA_OVERRIDE=PX_LAST","START_DATE_OVERRIDE",TEXT(INDEX(MO_SNA_FPStartDate,0,COLUMN()),"YYYYMMDD"),"END_DATE_OVERRIDE",TEXT(INDEX(MO_Common_QEndDate,0,COLUMN()),"YYYYMMDD")),"N/A")</f>
        <v>N/A</v>
      </c>
      <c r="D682" s="239" t="str">
        <f ca="1">IFERROR(BDP(MO.Ticker.Bloomberg&amp;" Equity","INTERVAL_HIGH","MARKET_DATA_OVERRIDE=PX_LAST","START_DATE_OVERRIDE",TEXT(INDEX(MO_SNA_FPStartDate,0,COLUMN()),"YYYYMMDD"),"END_DATE_OVERRIDE",TEXT(INDEX(MO_Common_QEndDate,0,COLUMN()),"YYYYMMDD")),"N/A")</f>
        <v>N/A</v>
      </c>
      <c r="E682" s="239" t="str">
        <f ca="1">IFERROR(BDP(MO.Ticker.Bloomberg&amp;" Equity","INTERVAL_HIGH","MARKET_DATA_OVERRIDE=PX_LAST","START_DATE_OVERRIDE",TEXT(INDEX(MO_SNA_FPStartDate,0,COLUMN()),"YYYYMMDD"),"END_DATE_OVERRIDE",TEXT(INDEX(MO_Common_QEndDate,0,COLUMN()),"YYYYMMDD")),"N/A")</f>
        <v>N/A</v>
      </c>
      <c r="F682" s="239" t="str">
        <f ca="1">IFERROR(BDP(MO.Ticker.Bloomberg&amp;" Equity","INTERVAL_HIGH","MARKET_DATA_OVERRIDE=PX_LAST","START_DATE_OVERRIDE",TEXT(INDEX(MO_SNA_FPStartDate,0,COLUMN()),"YYYYMMDD"),"END_DATE_OVERRIDE",TEXT(INDEX(MO_Common_QEndDate,0,COLUMN()),"YYYYMMDD")),"N/A")</f>
        <v>N/A</v>
      </c>
      <c r="G682" s="239" t="str">
        <f ca="1">IFERROR(BDP(MO.Ticker.Bloomberg&amp;" Equity","INTERVAL_HIGH","MARKET_DATA_OVERRIDE=PX_LAST","START_DATE_OVERRIDE",TEXT(INDEX(MO_SNA_FPStartDate,0,COLUMN()),"YYYYMMDD"),"END_DATE_OVERRIDE",TEXT(INDEX(MO_Common_QEndDate,0,COLUMN()),"YYYYMMDD")),"N/A")</f>
        <v>N/A</v>
      </c>
      <c r="H682" s="239" t="str">
        <f ca="1">IFERROR(BDP(MO.Ticker.Bloomberg&amp;" Equity","INTERVAL_HIGH","MARKET_DATA_OVERRIDE=PX_LAST","START_DATE_OVERRIDE",TEXT(INDEX(MO_SNA_FPStartDate,0,COLUMN()),"YYYYMMDD"),"END_DATE_OVERRIDE",TEXT(INDEX(MO_Common_QEndDate,0,COLUMN()),"YYYYMMDD")),"N/A")</f>
        <v>N/A</v>
      </c>
      <c r="I682" s="239" t="str">
        <f ca="1">IFERROR(BDP(MO.Ticker.Bloomberg&amp;" Equity","INTERVAL_HIGH","MARKET_DATA_OVERRIDE=PX_LAST","START_DATE_OVERRIDE",TEXT(INDEX(MO_SNA_FPStartDate,0,COLUMN()),"YYYYMMDD"),"END_DATE_OVERRIDE",TEXT(INDEX(MO_Common_QEndDate,0,COLUMN()),"YYYYMMDD")),"N/A")</f>
        <v>N/A</v>
      </c>
      <c r="J682" s="239" t="str">
        <f ca="1">IFERROR(BDP(MO.Ticker.Bloomberg&amp;" Equity","INTERVAL_HIGH","MARKET_DATA_OVERRIDE=PX_LAST","START_DATE_OVERRIDE",TEXT(INDEX(MO_SNA_FPStartDate,0,COLUMN()),"YYYYMMDD"),"END_DATE_OVERRIDE",TEXT(INDEX(MO_Common_QEndDate,0,COLUMN()),"YYYYMMDD")),"N/A")</f>
        <v>N/A</v>
      </c>
      <c r="K682" s="239" t="str">
        <f ca="1">IFERROR(BDP(MO.Ticker.Bloomberg&amp;" Equity","INTERVAL_HIGH","MARKET_DATA_OVERRIDE=PX_LAST","START_DATE_OVERRIDE",TEXT(INDEX(MO_SNA_FPStartDate,0,COLUMN()),"YYYYMMDD"),"END_DATE_OVERRIDE",TEXT(INDEX(MO_Common_QEndDate,0,COLUMN()),"YYYYMMDD")),"N/A")</f>
        <v>N/A</v>
      </c>
      <c r="L682" s="239" t="str">
        <f ca="1">IFERROR(BDP(MO.Ticker.Bloomberg&amp;" Equity","INTERVAL_HIGH","MARKET_DATA_OVERRIDE=PX_LAST","START_DATE_OVERRIDE",TEXT(INDEX(MO_SNA_FPStartDate,0,COLUMN()),"YYYYMMDD"),"END_DATE_OVERRIDE",TEXT(INDEX(MO_Common_QEndDate,0,COLUMN()),"YYYYMMDD")),"N/A")</f>
        <v>N/A</v>
      </c>
      <c r="M682" s="239" t="str">
        <f ca="1">IFERROR(BDP(MO.Ticker.Bloomberg&amp;" Equity","INTERVAL_HIGH","MARKET_DATA_OVERRIDE=PX_LAST","START_DATE_OVERRIDE",TEXT(INDEX(MO_SNA_FPStartDate,0,COLUMN()),"YYYYMMDD"),"END_DATE_OVERRIDE",TEXT(INDEX(MO_Common_QEndDate,0,COLUMN()),"YYYYMMDD")),"N/A")</f>
        <v>N/A</v>
      </c>
      <c r="N682" s="239" t="str">
        <f ca="1">IFERROR(BDP(MO.Ticker.Bloomberg&amp;" Equity","INTERVAL_HIGH","MARKET_DATA_OVERRIDE=PX_LAST","START_DATE_OVERRIDE",TEXT(INDEX(MO_SNA_FPStartDate,0,COLUMN()),"YYYYMMDD"),"END_DATE_OVERRIDE",TEXT(INDEX(MO_Common_QEndDate,0,COLUMN()),"YYYYMMDD")),"N/A")</f>
        <v>N/A</v>
      </c>
      <c r="O682" s="239" t="str">
        <f ca="1">IFERROR(BDP(MO.Ticker.Bloomberg&amp;" Equity","INTERVAL_HIGH","MARKET_DATA_OVERRIDE=PX_LAST","START_DATE_OVERRIDE",TEXT(INDEX(MO_SNA_FPStartDate,0,COLUMN()),"YYYYMMDD"),"END_DATE_OVERRIDE",TEXT(INDEX(MO_Common_QEndDate,0,COLUMN()),"YYYYMMDD")),"N/A")</f>
        <v>N/A</v>
      </c>
      <c r="P682" s="239" t="str">
        <f ca="1">IFERROR(BDP(MO.Ticker.Bloomberg&amp;" Equity","INTERVAL_HIGH","MARKET_DATA_OVERRIDE=PX_LAST","START_DATE_OVERRIDE",TEXT(INDEX(MO_SNA_FPStartDate,0,COLUMN()),"YYYYMMDD"),"END_DATE_OVERRIDE",TEXT(INDEX(MO_Common_QEndDate,0,COLUMN()),"YYYYMMDD")),"N/A")</f>
        <v>N/A</v>
      </c>
      <c r="Q682" s="239" t="str">
        <f ca="1">IFERROR(BDP(MO.Ticker.Bloomberg&amp;" Equity","INTERVAL_HIGH","MARKET_DATA_OVERRIDE=PX_LAST","START_DATE_OVERRIDE",TEXT(INDEX(MO_SNA_FPStartDate,0,COLUMN()),"YYYYMMDD"),"END_DATE_OVERRIDE",TEXT(INDEX(MO_Common_QEndDate,0,COLUMN()),"YYYYMMDD")),"N/A")</f>
        <v>N/A</v>
      </c>
      <c r="R682" s="239" t="str">
        <f ca="1">IFERROR(BDP(MO.Ticker.Bloomberg&amp;" Equity","INTERVAL_HIGH","MARKET_DATA_OVERRIDE=PX_LAST","START_DATE_OVERRIDE",TEXT(INDEX(MO_SNA_FPStartDate,0,COLUMN()),"YYYYMMDD"),"END_DATE_OVERRIDE",TEXT(INDEX(MO_Common_QEndDate,0,COLUMN()),"YYYYMMDD")),"N/A")</f>
        <v>N/A</v>
      </c>
      <c r="S682" s="239" t="str">
        <f ca="1">IFERROR(BDP(MO.Ticker.Bloomberg&amp;" Equity","INTERVAL_HIGH","MARKET_DATA_OVERRIDE=PX_LAST","START_DATE_OVERRIDE",TEXT(INDEX(MO_SNA_FPStartDate,0,COLUMN()),"YYYYMMDD"),"END_DATE_OVERRIDE",TEXT(INDEX(MO_Common_QEndDate,0,COLUMN()),"YYYYMMDD")),"N/A")</f>
        <v>N/A</v>
      </c>
      <c r="T682" s="239" t="str">
        <f ca="1">IFERROR(BDP(MO.Ticker.Bloomberg&amp;" Equity","INTERVAL_HIGH","MARKET_DATA_OVERRIDE=PX_LAST","START_DATE_OVERRIDE",TEXT(INDEX(MO_SNA_FPStartDate,0,COLUMN()),"YYYYMMDD"),"END_DATE_OVERRIDE",TEXT(INDEX(MO_Common_QEndDate,0,COLUMN()),"YYYYMMDD")),"N/A")</f>
        <v>N/A</v>
      </c>
      <c r="U682" s="239" t="str">
        <f ca="1">IFERROR(BDP(MO.Ticker.Bloomberg&amp;" Equity","INTERVAL_HIGH","MARKET_DATA_OVERRIDE=PX_LAST","START_DATE_OVERRIDE",TEXT(INDEX(MO_SNA_FPStartDate,0,COLUMN()),"YYYYMMDD"),"END_DATE_OVERRIDE",TEXT(INDEX(MO_Common_QEndDate,0,COLUMN()),"YYYYMMDD")),"N/A")</f>
        <v>N/A</v>
      </c>
      <c r="V682" s="239" t="str">
        <f ca="1">IFERROR(BDP(MO.Ticker.Bloomberg&amp;" Equity","INTERVAL_HIGH","MARKET_DATA_OVERRIDE=PX_LAST","START_DATE_OVERRIDE",TEXT(INDEX(MO_SNA_FPStartDate,0,COLUMN()),"YYYYMMDD"),"END_DATE_OVERRIDE",TEXT(INDEX(MO_Common_QEndDate,0,COLUMN()),"YYYYMMDD")),"N/A")</f>
        <v>N/A</v>
      </c>
      <c r="W682" s="239" t="str">
        <f ca="1">IFERROR(BDP(MO.Ticker.Bloomberg&amp;" Equity","INTERVAL_HIGH","MARKET_DATA_OVERRIDE=PX_LAST","START_DATE_OVERRIDE",TEXT(INDEX(MO_SNA_FPStartDate,0,COLUMN()),"YYYYMMDD"),"END_DATE_OVERRIDE",TEXT(INDEX(MO_Common_QEndDate,0,COLUMN()),"YYYYMMDD")),"N/A")</f>
        <v>N/A</v>
      </c>
      <c r="X682" s="239" t="str">
        <f ca="1">IFERROR(BDP(MO.Ticker.Bloomberg&amp;" Equity","INTERVAL_HIGH","MARKET_DATA_OVERRIDE=PX_LAST","START_DATE_OVERRIDE",TEXT(INDEX(MO_SNA_FPStartDate,0,COLUMN()),"YYYYMMDD"),"END_DATE_OVERRIDE",TEXT(INDEX(MO_Common_QEndDate,0,COLUMN()),"YYYYMMDD")),"N/A")</f>
        <v>N/A</v>
      </c>
      <c r="Y682" s="239" t="str">
        <f ca="1">IFERROR(BDP(MO.Ticker.Bloomberg&amp;" Equity","INTERVAL_HIGH","MARKET_DATA_OVERRIDE=PX_LAST","START_DATE_OVERRIDE",TEXT(INDEX(MO_SNA_FPStartDate,0,COLUMN()),"YYYYMMDD"),"END_DATE_OVERRIDE",TEXT(INDEX(MO_Common_QEndDate,0,COLUMN()),"YYYYMMDD")),"N/A")</f>
        <v>N/A</v>
      </c>
      <c r="Z682" s="239" t="str">
        <f ca="1">IFERROR(BDP(MO.Ticker.Bloomberg&amp;" Equity","INTERVAL_HIGH","MARKET_DATA_OVERRIDE=PX_LAST","START_DATE_OVERRIDE",TEXT(INDEX(MO_SNA_FPStartDate,0,COLUMN()),"YYYYMMDD"),"END_DATE_OVERRIDE",TEXT(INDEX(MO_Common_QEndDate,0,COLUMN()),"YYYYMMDD")),"N/A")</f>
        <v>N/A</v>
      </c>
      <c r="AA682" s="239" t="str">
        <f ca="1">IFERROR(BDP(MO.Ticker.Bloomberg&amp;" Equity","INTERVAL_HIGH","MARKET_DATA_OVERRIDE=PX_LAST","START_DATE_OVERRIDE",TEXT(INDEX(MO_SNA_FPStartDate,0,COLUMN()),"YYYYMMDD"),"END_DATE_OVERRIDE",TEXT(INDEX(MO_Common_QEndDate,0,COLUMN()),"YYYYMMDD")),"N/A")</f>
        <v>N/A</v>
      </c>
      <c r="AB682" s="239" t="str">
        <f ca="1">IFERROR(BDP(MO.Ticker.Bloomberg&amp;" Equity","INTERVAL_HIGH","MARKET_DATA_OVERRIDE=PX_LAST","START_DATE_OVERRIDE",TEXT(INDEX(MO_SNA_FPStartDate,0,COLUMN()),"YYYYMMDD"),"END_DATE_OVERRIDE",TEXT(INDEX(MO_Common_QEndDate,0,COLUMN()),"YYYYMMDD")),"N/A")</f>
        <v>N/A</v>
      </c>
      <c r="AC682" s="239" t="str">
        <f ca="1">IFERROR(BDP(MO.Ticker.Bloomberg&amp;" Equity","INTERVAL_HIGH","MARKET_DATA_OVERRIDE=PX_LAST","START_DATE_OVERRIDE",TEXT(INDEX(MO_SNA_FPStartDate,0,COLUMN()),"YYYYMMDD"),"END_DATE_OVERRIDE",TEXT(INDEX(MO_Common_QEndDate,0,COLUMN()),"YYYYMMDD")),"N/A")</f>
        <v>N/A</v>
      </c>
      <c r="AD682" s="239" t="str">
        <f ca="1">IFERROR(BDP(MO.Ticker.Bloomberg&amp;" Equity","INTERVAL_HIGH","MARKET_DATA_OVERRIDE=PX_LAST","START_DATE_OVERRIDE",TEXT(INDEX(MO_SNA_FPStartDate,0,COLUMN()),"YYYYMMDD"),"END_DATE_OVERRIDE",TEXT(INDEX(MO_Common_QEndDate,0,COLUMN()),"YYYYMMDD")),"N/A")</f>
        <v>N/A</v>
      </c>
      <c r="AE682" s="239" t="str">
        <f ca="1">IFERROR(BDP(MO.Ticker.Bloomberg&amp;" Equity","INTERVAL_HIGH","MARKET_DATA_OVERRIDE=PX_LAST","START_DATE_OVERRIDE",TEXT(INDEX(MO_SNA_FPStartDate,0,COLUMN()),"YYYYMMDD"),"END_DATE_OVERRIDE",TEXT(INDEX(MO_Common_QEndDate,0,COLUMN()),"YYYYMMDD")),"N/A")</f>
        <v>N/A</v>
      </c>
      <c r="AF682" s="239" t="str">
        <f ca="1">IFERROR(BDP(MO.Ticker.Bloomberg&amp;" Equity","INTERVAL_HIGH","MARKET_DATA_OVERRIDE=PX_LAST","START_DATE_OVERRIDE",TEXT(INDEX(MO_SNA_FPStartDate,0,COLUMN()),"YYYYMMDD"),"END_DATE_OVERRIDE",TEXT(INDEX(MO_Common_QEndDate,0,COLUMN()),"YYYYMMDD")),"N/A")</f>
        <v>N/A</v>
      </c>
      <c r="AG682" s="239" t="str">
        <f ca="1">IFERROR(BDP(MO.Ticker.Bloomberg&amp;" Equity","INTERVAL_HIGH","MARKET_DATA_OVERRIDE=PX_LAST","START_DATE_OVERRIDE",TEXT(INDEX(MO_SNA_FPStartDate,0,COLUMN()),"YYYYMMDD"),"END_DATE_OVERRIDE",TEXT(INDEX(MO_Common_QEndDate,0,COLUMN()),"YYYYMMDD")),"N/A")</f>
        <v>N/A</v>
      </c>
      <c r="AH682" s="239" t="str">
        <f ca="1">IFERROR(BDP(MO.Ticker.Bloomberg&amp;" Equity","INTERVAL_HIGH","MARKET_DATA_OVERRIDE=PX_LAST","START_DATE_OVERRIDE",TEXT(INDEX(MO_SNA_FPStartDate,0,COLUMN()),"YYYYMMDD"),"END_DATE_OVERRIDE",TEXT(INDEX(MO_Common_QEndDate,0,COLUMN()),"YYYYMMDD")),"N/A")</f>
        <v>N/A</v>
      </c>
      <c r="AI682" s="239" t="str">
        <f ca="1">IFERROR(BDP(MO.Ticker.Bloomberg&amp;" Equity","INTERVAL_HIGH","MARKET_DATA_OVERRIDE=PX_LAST","START_DATE_OVERRIDE",TEXT(INDEX(MO_SNA_FPStartDate,0,COLUMN()),"YYYYMMDD"),"END_DATE_OVERRIDE",TEXT(INDEX(MO_Common_QEndDate,0,COLUMN()),"YYYYMMDD")),"N/A")</f>
        <v>N/A</v>
      </c>
      <c r="AJ682" s="239" t="str">
        <f ca="1">IFERROR(BDP(MO.Ticker.Bloomberg&amp;" Equity","INTERVAL_HIGH","MARKET_DATA_OVERRIDE=PX_LAST","START_DATE_OVERRIDE",TEXT(INDEX(MO_SNA_FPStartDate,0,COLUMN()),"YYYYMMDD"),"END_DATE_OVERRIDE",TEXT(INDEX(MO_Common_QEndDate,0,COLUMN()),"YYYYMMDD")),"N/A")</f>
        <v>N/A</v>
      </c>
      <c r="AK682" s="239" t="str">
        <f ca="1">IFERROR(BDP(MO.Ticker.Bloomberg&amp;" Equity","INTERVAL_HIGH","MARKET_DATA_OVERRIDE=PX_LAST","START_DATE_OVERRIDE",TEXT(INDEX(MO_SNA_FPStartDate,0,COLUMN()),"YYYYMMDD"),"END_DATE_OVERRIDE",TEXT(INDEX(MO_Common_QEndDate,0,COLUMN()),"YYYYMMDD")),"N/A")</f>
        <v>N/A</v>
      </c>
      <c r="AL682" s="239" t="str">
        <f ca="1">IFERROR(BDP(MO.Ticker.Bloomberg&amp;" Equity","INTERVAL_HIGH","MARKET_DATA_OVERRIDE=PX_LAST","START_DATE_OVERRIDE",TEXT(INDEX(MO_SNA_FPStartDate,0,COLUMN()),"YYYYMMDD"),"END_DATE_OVERRIDE",TEXT(INDEX(MO_Common_QEndDate,0,COLUMN()),"YYYYMMDD")),"N/A")</f>
        <v>N/A</v>
      </c>
      <c r="AM682" s="239" t="str">
        <f ca="1">IFERROR(BDP(MO.Ticker.Bloomberg&amp;" Equity","INTERVAL_HIGH","MARKET_DATA_OVERRIDE=PX_LAST","START_DATE_OVERRIDE",TEXT(INDEX(MO_SNA_FPStartDate,0,COLUMN()),"YYYYMMDD"),"END_DATE_OVERRIDE",TEXT(INDEX(MO_Common_QEndDate,0,COLUMN()),"YYYYMMDD")),"N/A")</f>
        <v>N/A</v>
      </c>
      <c r="AN682" s="239" t="str">
        <f ca="1">IFERROR(BDP(MO.Ticker.Bloomberg&amp;" Equity","INTERVAL_HIGH","MARKET_DATA_OVERRIDE=PX_LAST","START_DATE_OVERRIDE",TEXT(INDEX(MO_SNA_FPStartDate,0,COLUMN()),"YYYYMMDD"),"END_DATE_OVERRIDE",TEXT(INDEX(MO_Common_QEndDate,0,COLUMN()),"YYYYMMDD")),"N/A")</f>
        <v>N/A</v>
      </c>
      <c r="AO682" s="239" t="str">
        <f ca="1">IFERROR(BDP(MO.Ticker.Bloomberg&amp;" Equity","INTERVAL_HIGH","MARKET_DATA_OVERRIDE=PX_LAST","START_DATE_OVERRIDE",TEXT(INDEX(MO_SNA_FPStartDate,0,COLUMN()),"YYYYMMDD"),"END_DATE_OVERRIDE",TEXT(INDEX(MO_Common_QEndDate,0,COLUMN()),"YYYYMMDD")),"N/A")</f>
        <v>N/A</v>
      </c>
      <c r="AP682" s="239" t="str">
        <f ca="1">IFERROR(BDP(MO.Ticker.Bloomberg&amp;" Equity","INTERVAL_HIGH","MARKET_DATA_OVERRIDE=PX_LAST","START_DATE_OVERRIDE",TEXT(INDEX(MO_SNA_FPStartDate,0,COLUMN()),"YYYYMMDD"),"END_DATE_OVERRIDE",TEXT(INDEX(MO_Common_QEndDate,0,COLUMN()),"YYYYMMDD")),"N/A")</f>
        <v>N/A</v>
      </c>
      <c r="AQ682" s="239" t="str">
        <f ca="1">IFERROR(BDP(MO.Ticker.Bloomberg&amp;" Equity","INTERVAL_HIGH","MARKET_DATA_OVERRIDE=PX_LAST","START_DATE_OVERRIDE",TEXT(INDEX(MO_SNA_FPStartDate,0,COLUMN()),"YYYYMMDD"),"END_DATE_OVERRIDE",TEXT(INDEX(MO_Common_QEndDate,0,COLUMN()),"YYYYMMDD")),"N/A")</f>
        <v>N/A</v>
      </c>
      <c r="AR682" s="239" t="str">
        <f ca="1">IFERROR(BDP(MO.Ticker.Bloomberg&amp;" Equity","INTERVAL_HIGH","MARKET_DATA_OVERRIDE=PX_LAST","START_DATE_OVERRIDE",TEXT(INDEX(MO_SNA_FPStartDate,0,COLUMN()),"YYYYMMDD"),"END_DATE_OVERRIDE",TEXT(INDEX(MO_Common_QEndDate,0,COLUMN()),"YYYYMMDD")),"N/A")</f>
        <v>N/A</v>
      </c>
      <c r="AS682" s="239" t="str">
        <f ca="1">IFERROR(BDP(MO.Ticker.Bloomberg&amp;" Equity","INTERVAL_HIGH","MARKET_DATA_OVERRIDE=PX_LAST","START_DATE_OVERRIDE",TEXT(INDEX(MO_SNA_FPStartDate,0,COLUMN()),"YYYYMMDD"),"END_DATE_OVERRIDE",TEXT(INDEX(MO_Common_QEndDate,0,COLUMN()),"YYYYMMDD")),"N/A")</f>
        <v>N/A</v>
      </c>
      <c r="AT682" s="239" t="str">
        <f ca="1">IFERROR(BDP(MO.Ticker.Bloomberg&amp;" Equity","INTERVAL_HIGH","MARKET_DATA_OVERRIDE=PX_LAST","START_DATE_OVERRIDE",TEXT(INDEX(MO_SNA_FPStartDate,0,COLUMN()),"YYYYMMDD"),"END_DATE_OVERRIDE",TEXT(INDEX(MO_Common_QEndDate,0,COLUMN()),"YYYYMMDD")),"N/A")</f>
        <v>N/A</v>
      </c>
      <c r="AU682" s="239" t="str">
        <f ca="1">IFERROR(BDP(MO.Ticker.Bloomberg&amp;" Equity","INTERVAL_HIGH","MARKET_DATA_OVERRIDE=PX_LAST","START_DATE_OVERRIDE",TEXT(INDEX(MO_SNA_FPStartDate,0,COLUMN()),"YYYYMMDD"),"END_DATE_OVERRIDE",TEXT(INDEX(MO_Common_QEndDate,0,COLUMN()),"YYYYMMDD")),"N/A")</f>
        <v>N/A</v>
      </c>
      <c r="AV682" s="239" t="str">
        <f ca="1">IFERROR(BDP(MO.Ticker.Bloomberg&amp;" Equity","INTERVAL_HIGH","MARKET_DATA_OVERRIDE=PX_LAST","START_DATE_OVERRIDE",TEXT(INDEX(MO_SNA_FPStartDate,0,COLUMN()),"YYYYMMDD"),"END_DATE_OVERRIDE",TEXT(INDEX(MO_Common_QEndDate,0,COLUMN()),"YYYYMMDD")),"N/A")</f>
        <v>N/A</v>
      </c>
      <c r="AW682" s="239" t="str">
        <f ca="1">IFERROR(BDP(MO.Ticker.Bloomberg&amp;" Equity","INTERVAL_HIGH","MARKET_DATA_OVERRIDE=PX_LAST","START_DATE_OVERRIDE",TEXT(INDEX(MO_SNA_FPStartDate,0,COLUMN()),"YYYYMMDD"),"END_DATE_OVERRIDE",TEXT(INDEX(MO_Common_QEndDate,0,COLUMN()),"YYYYMMDD")),"N/A")</f>
        <v>N/A</v>
      </c>
      <c r="AX682" s="239" t="str">
        <f ca="1">IFERROR(BDP(MO.Ticker.Bloomberg&amp;" Equity","INTERVAL_HIGH","MARKET_DATA_OVERRIDE=PX_LAST","START_DATE_OVERRIDE",TEXT(INDEX(MO_SNA_FPStartDate,0,COLUMN()),"YYYYMMDD"),"END_DATE_OVERRIDE",TEXT(INDEX(MO_Common_QEndDate,0,COLUMN()),"YYYYMMDD")),"N/A")</f>
        <v>N/A</v>
      </c>
      <c r="AY682" s="239"/>
      <c r="AZ682" s="240" t="str">
        <f ca="1">IFERROR(BDP(MO.Ticker.Bloomberg&amp;" Equity","INTERVAL_HIGH","MARKET_DATA_OVERRIDE=PX_LAST","START_DATE_OVERRIDE",TEXT(INDEX(MO_SNA_FPStartDate,0,COLUMN()),"YYYYMMDD"),"END_DATE_OVERRIDE",TEXT(INDEX(MO_Common_QEndDate,0,COLUMN()),"YYYYMMDD")),"N/A")</f>
        <v>N/A</v>
      </c>
      <c r="BA682" s="240" t="str">
        <f ca="1">IFERROR(BDP(MO.Ticker.Bloomberg&amp;" Equity","INTERVAL_HIGH","MARKET_DATA_OVERRIDE=PX_LAST","START_DATE_OVERRIDE",TEXT(INDEX(MO_SNA_FPStartDate,0,COLUMN()),"YYYYMMDD"),"END_DATE_OVERRIDE",TEXT(INDEX(MO_Common_QEndDate,0,COLUMN()),"YYYYMMDD")),"N/A")</f>
        <v>N/A</v>
      </c>
      <c r="BB682" s="239" t="str">
        <f ca="1">IFERROR(BDP(MO.Ticker.Bloomberg&amp;" Equity","INTERVAL_HIGH","MARKET_DATA_OVERRIDE=PX_LAST","START_DATE_OVERRIDE",TEXT(INDEX(MO_SNA_FPStartDate,0,COLUMN()),"YYYYMMDD"),"END_DATE_OVERRIDE",TEXT(INDEX(MO_Common_QEndDate,0,COLUMN()),"YYYYMMDD")),"N/A")</f>
        <v>N/A</v>
      </c>
      <c r="BC682" s="239" t="str">
        <f ca="1">IFERROR(BDP(MO.Ticker.Bloomberg&amp;" Equity","INTERVAL_HIGH","MARKET_DATA_OVERRIDE=PX_LAST","START_DATE_OVERRIDE",TEXT(INDEX(MO_SNA_FPStartDate,0,COLUMN()),"YYYYMMDD"),"END_DATE_OVERRIDE",TEXT(INDEX(MO_Common_QEndDate,0,COLUMN()),"YYYYMMDD")),"N/A")</f>
        <v>N/A</v>
      </c>
      <c r="BD682" s="239" t="str">
        <f ca="1">IFERROR(BDP(MO.Ticker.Bloomberg&amp;" Equity","INTERVAL_HIGH","MARKET_DATA_OVERRIDE=PX_LAST","START_DATE_OVERRIDE",TEXT(INDEX(MO_SNA_FPStartDate,0,COLUMN()),"YYYYMMDD"),"END_DATE_OVERRIDE",TEXT(INDEX(MO_Common_QEndDate,0,COLUMN()),"YYYYMMDD")),"N/A")</f>
        <v>N/A</v>
      </c>
      <c r="BE682" s="239" t="str">
        <f ca="1">IFERROR(BDP(MO.Ticker.Bloomberg&amp;" Equity","INTERVAL_HIGH","MARKET_DATA_OVERRIDE=PX_LAST","START_DATE_OVERRIDE",TEXT(INDEX(MO_SNA_FPStartDate,0,COLUMN()),"YYYYMMDD"),"END_DATE_OVERRIDE",TEXT(INDEX(MO_Common_QEndDate,0,COLUMN()),"YYYYMMDD")),"N/A")</f>
        <v>N/A</v>
      </c>
      <c r="BF682" s="239" t="str">
        <f ca="1">IFERROR(BDP(MO.Ticker.Bloomberg&amp;" Equity","INTERVAL_HIGH","MARKET_DATA_OVERRIDE=PX_LAST","START_DATE_OVERRIDE",TEXT(INDEX(MO_SNA_FPStartDate,0,COLUMN()),"YYYYMMDD"),"END_DATE_OVERRIDE",TEXT(INDEX(MO_Common_QEndDate,0,COLUMN()),"YYYYMMDD")),"N/A")</f>
        <v>N/A</v>
      </c>
      <c r="BG682" s="239" t="str">
        <f ca="1">IFERROR(BDP(MO.Ticker.Bloomberg&amp;" Equity","INTERVAL_HIGH","MARKET_DATA_OVERRIDE=PX_LAST","START_DATE_OVERRIDE",TEXT(INDEX(MO_SNA_FPStartDate,0,COLUMN()),"YYYYMMDD"),"END_DATE_OVERRIDE",TEXT(INDEX(MO_Common_QEndDate,0,COLUMN()),"YYYYMMDD")),"N/A")</f>
        <v>N/A</v>
      </c>
      <c r="BH682" s="239" t="str">
        <f ca="1">IFERROR(BDP(MO.Ticker.Bloomberg&amp;" Equity","INTERVAL_HIGH","MARKET_DATA_OVERRIDE=PX_LAST","START_DATE_OVERRIDE",TEXT(INDEX(MO_SNA_FPStartDate,0,COLUMN()),"YYYYMMDD"),"END_DATE_OVERRIDE",TEXT(INDEX(MO_Common_QEndDate,0,COLUMN()),"YYYYMMDD")),"N/A")</f>
        <v>N/A</v>
      </c>
      <c r="BI682" s="239" t="str">
        <f ca="1">IFERROR(BDP(MO.Ticker.Bloomberg&amp;" Equity","INTERVAL_HIGH","MARKET_DATA_OVERRIDE=PX_LAST","START_DATE_OVERRIDE",TEXT(INDEX(MO_SNA_FPStartDate,0,COLUMN()),"YYYYMMDD"),"END_DATE_OVERRIDE",TEXT(INDEX(MO_Common_QEndDate,0,COLUMN()),"YYYYMMDD")),"N/A")</f>
        <v>N/A</v>
      </c>
      <c r="BJ682" s="239" t="str">
        <f ca="1">IFERROR(BDP(MO.Ticker.Bloomberg&amp;" Equity","INTERVAL_HIGH","MARKET_DATA_OVERRIDE=PX_LAST","START_DATE_OVERRIDE",TEXT(INDEX(MO_SNA_FPStartDate,0,COLUMN()),"YYYYMMDD"),"END_DATE_OVERRIDE",TEXT(INDEX(MO_Common_QEndDate,0,COLUMN()),"YYYYMMDD")),"N/A")</f>
        <v>N/A</v>
      </c>
      <c r="BK682" s="239" t="str">
        <f ca="1">IFERROR(BDP(MO.Ticker.Bloomberg&amp;" Equity","INTERVAL_HIGH","MARKET_DATA_OVERRIDE=PX_LAST","START_DATE_OVERRIDE",TEXT(INDEX(MO_SNA_FPStartDate,0,COLUMN()),"YYYYMMDD"),"END_DATE_OVERRIDE",TEXT(INDEX(MO_Common_QEndDate,0,COLUMN()),"YYYYMMDD")),"N/A")</f>
        <v>N/A</v>
      </c>
      <c r="BL682" s="239" t="str">
        <f ca="1">IFERROR(BDP(MO.Ticker.Bloomberg&amp;" Equity","INTERVAL_HIGH","MARKET_DATA_OVERRIDE=PX_LAST","START_DATE_OVERRIDE",TEXT(INDEX(MO_SNA_FPStartDate,0,COLUMN()),"YYYYMMDD"),"END_DATE_OVERRIDE",TEXT(INDEX(MO_Common_QEndDate,0,COLUMN()),"YYYYMMDD")),"N/A")</f>
        <v>N/A</v>
      </c>
      <c r="BM682" s="239" t="str">
        <f ca="1">IFERROR(BDP(MO.Ticker.Bloomberg&amp;" Equity","INTERVAL_HIGH","MARKET_DATA_OVERRIDE=PX_LAST","START_DATE_OVERRIDE",TEXT(INDEX(MO_SNA_FPStartDate,0,COLUMN()),"YYYYMMDD"),"END_DATE_OVERRIDE",TEXT(INDEX(MO_Common_QEndDate,0,COLUMN()),"YYYYMMDD")),"N/A")</f>
        <v>N/A</v>
      </c>
      <c r="BN682" s="239" t="str">
        <f ca="1">IFERROR(BDP(MO.Ticker.Bloomberg&amp;" Equity","INTERVAL_HIGH","MARKET_DATA_OVERRIDE=PX_LAST","START_DATE_OVERRIDE",TEXT(INDEX(MO_SNA_FPStartDate,0,COLUMN()),"YYYYMMDD"),"END_DATE_OVERRIDE",TEXT(INDEX(MO_Common_QEndDate,0,COLUMN()),"YYYYMMDD")),"N/A")</f>
        <v>N/A</v>
      </c>
      <c r="BO682" s="239" t="str">
        <f ca="1">IFERROR(BDP(MO.Ticker.Bloomberg&amp;" Equity","INTERVAL_HIGH","MARKET_DATA_OVERRIDE=PX_LAST","START_DATE_OVERRIDE",TEXT(INDEX(MO_SNA_FPStartDate,0,COLUMN()),"YYYYMMDD"),"END_DATE_OVERRIDE",TEXT(INDEX(MO_Common_QEndDate,0,COLUMN()),"YYYYMMDD")),"N/A")</f>
        <v>N/A</v>
      </c>
      <c r="BP682" s="239" t="str">
        <f ca="1">IFERROR(BDP(MO.Ticker.Bloomberg&amp;" Equity","INTERVAL_HIGH","MARKET_DATA_OVERRIDE=PX_LAST","START_DATE_OVERRIDE",TEXT(INDEX(MO_SNA_FPStartDate,0,COLUMN()),"YYYYMMDD"),"END_DATE_OVERRIDE",TEXT(INDEX(MO_Common_QEndDate,0,COLUMN()),"YYYYMMDD")),"N/A")</f>
        <v>N/A</v>
      </c>
      <c r="BQ682" s="239" t="str">
        <f ca="1">IFERROR(BDP(MO.Ticker.Bloomberg&amp;" Equity","INTERVAL_HIGH","MARKET_DATA_OVERRIDE=PX_LAST","START_DATE_OVERRIDE",TEXT(INDEX(MO_SNA_FPStartDate,0,COLUMN()),"YYYYMMDD"),"END_DATE_OVERRIDE",TEXT(INDEX(MO_Common_QEndDate,0,COLUMN()),"YYYYMMDD")),"N/A")</f>
        <v>N/A</v>
      </c>
      <c r="BR682" s="239" t="str">
        <f ca="1">IFERROR(BDP(MO.Ticker.Bloomberg&amp;" Equity","INTERVAL_HIGH","MARKET_DATA_OVERRIDE=PX_LAST","START_DATE_OVERRIDE",TEXT(INDEX(MO_SNA_FPStartDate,0,COLUMN()),"YYYYMMDD"),"END_DATE_OVERRIDE",TEXT(INDEX(MO_Common_QEndDate,0,COLUMN()),"YYYYMMDD")),"N/A")</f>
        <v>N/A</v>
      </c>
      <c r="BS682" s="241" t="str">
        <f ca="1">IFERROR(BDP(MO.Ticker.Bloomberg&amp;" Equity","INTERVAL_HIGH","MARKET_DATA_OVERRIDE=PX_LAST","START_DATE_OVERRIDE",TEXT(INDEX(MO_SNA_FPStartDate,0,COLUMN()),"YYYYMMDD"),"END_DATE_OVERRIDE",TEXT(INDEX(MO_Common_QEndDate,0,COLUMN()),"YYYYMMDD")),"N/A")</f>
        <v>N/A</v>
      </c>
      <c r="BT682" s="274"/>
    </row>
    <row r="683" spans="1:72" s="242" customFormat="1" hidden="1" outlineLevel="1" x14ac:dyDescent="0.35">
      <c r="A683" s="243" t="s">
        <v>263</v>
      </c>
      <c r="B683" s="239"/>
      <c r="C683" s="239">
        <f>IFERROR(_xll.ciqfunctions.udf.CIQHI(MO.Ticker.CapIQ,"IQ_LASTSALEPRICE",INDEX(MO_SNA_FPStartDate,0,COLUMN()),INDEX(MO_Common_QEndDate,0,COLUMN())),"N/A")</f>
        <v>24.77</v>
      </c>
      <c r="D683" s="239">
        <f>IFERROR(_xll.ciqfunctions.udf.CIQHI(MO.Ticker.CapIQ,"IQ_LASTSALEPRICE",INDEX(MO_SNA_FPStartDate,0,COLUMN()),INDEX(MO_Common_QEndDate,0,COLUMN())),"N/A")</f>
        <v>22.25</v>
      </c>
      <c r="E683" s="239">
        <f>IFERROR(_xll.ciqfunctions.udf.CIQHI(MO.Ticker.CapIQ,"IQ_LASTSALEPRICE",INDEX(MO_SNA_FPStartDate,0,COLUMN()),INDEX(MO_Common_QEndDate,0,COLUMN())),"N/A")</f>
        <v>24.11</v>
      </c>
      <c r="F683" s="239">
        <f>IFERROR(_xll.ciqfunctions.udf.CIQHI(MO.Ticker.CapIQ,"IQ_LASTSALEPRICE",INDEX(MO_SNA_FPStartDate,0,COLUMN()),INDEX(MO_Common_QEndDate,0,COLUMN())),"N/A")</f>
        <v>30.56</v>
      </c>
      <c r="G683" s="239">
        <f>IFERROR(_xll.ciqfunctions.udf.CIQHI(MO.Ticker.CapIQ,"IQ_LASTSALEPRICE",INDEX(MO_SNA_FPStartDate,0,COLUMN()),INDEX(MO_Common_QEndDate,0,COLUMN())),"N/A")</f>
        <v>37.85</v>
      </c>
      <c r="H683" s="239">
        <f>IFERROR(_xll.ciqfunctions.udf.CIQHI(MO.Ticker.CapIQ,"IQ_LASTSALEPRICE",INDEX(MO_SNA_FPStartDate,0,COLUMN()),INDEX(MO_Common_QEndDate,0,COLUMN())),"N/A")</f>
        <v>31.48</v>
      </c>
      <c r="I683" s="239">
        <f>IFERROR(_xll.ciqfunctions.udf.CIQHI(MO.Ticker.CapIQ,"IQ_LASTSALEPRICE",INDEX(MO_SNA_FPStartDate,0,COLUMN()),INDEX(MO_Common_QEndDate,0,COLUMN())),"N/A")</f>
        <v>23.13</v>
      </c>
      <c r="J683" s="239">
        <f>IFERROR(_xll.ciqfunctions.udf.CIQHI(MO.Ticker.CapIQ,"IQ_LASTSALEPRICE",INDEX(MO_SNA_FPStartDate,0,COLUMN()),INDEX(MO_Common_QEndDate,0,COLUMN())),"N/A")</f>
        <v>25.98</v>
      </c>
      <c r="K683" s="239">
        <f>IFERROR(_xll.ciqfunctions.udf.CIQHI(MO.Ticker.CapIQ,"IQ_LASTSALEPRICE",INDEX(MO_SNA_FPStartDate,0,COLUMN()),INDEX(MO_Common_QEndDate,0,COLUMN())),"N/A")</f>
        <v>24.11</v>
      </c>
      <c r="L683" s="239">
        <f>IFERROR(_xll.ciqfunctions.udf.CIQHI(MO.Ticker.CapIQ,"IQ_LASTSALEPRICE",INDEX(MO_SNA_FPStartDate,0,COLUMN()),INDEX(MO_Common_QEndDate,0,COLUMN())),"N/A")</f>
        <v>16.47</v>
      </c>
      <c r="M683" s="239">
        <f>IFERROR(_xll.ciqfunctions.udf.CIQHI(MO.Ticker.CapIQ,"IQ_LASTSALEPRICE",INDEX(MO_SNA_FPStartDate,0,COLUMN()),INDEX(MO_Common_QEndDate,0,COLUMN())),"N/A")</f>
        <v>17.46</v>
      </c>
      <c r="N683" s="239">
        <f>IFERROR(_xll.ciqfunctions.udf.CIQHI(MO.Ticker.CapIQ,"IQ_LASTSALEPRICE",INDEX(MO_SNA_FPStartDate,0,COLUMN()),INDEX(MO_Common_QEndDate,0,COLUMN())),"N/A")</f>
        <v>17.440000000000001</v>
      </c>
      <c r="O683" s="239">
        <f>IFERROR(_xll.ciqfunctions.udf.CIQHI(MO.Ticker.CapIQ,"IQ_LASTSALEPRICE",INDEX(MO_SNA_FPStartDate,0,COLUMN()),INDEX(MO_Common_QEndDate,0,COLUMN())),"N/A")</f>
        <v>14.88</v>
      </c>
      <c r="P683" s="239">
        <f>IFERROR(_xll.ciqfunctions.udf.CIQHI(MO.Ticker.CapIQ,"IQ_LASTSALEPRICE",INDEX(MO_SNA_FPStartDate,0,COLUMN()),INDEX(MO_Common_QEndDate,0,COLUMN())),"N/A")</f>
        <v>14.11</v>
      </c>
      <c r="Q683" s="239">
        <f>IFERROR(_xll.ciqfunctions.udf.CIQHI(MO.Ticker.CapIQ,"IQ_LASTSALEPRICE",INDEX(MO_SNA_FPStartDate,0,COLUMN()),INDEX(MO_Common_QEndDate,0,COLUMN())),"N/A")</f>
        <v>11.15</v>
      </c>
      <c r="R683" s="239">
        <f>IFERROR(_xll.ciqfunctions.udf.CIQHI(MO.Ticker.CapIQ,"IQ_LASTSALEPRICE",INDEX(MO_SNA_FPStartDate,0,COLUMN()),INDEX(MO_Common_QEndDate,0,COLUMN())),"N/A")</f>
        <v>12.57</v>
      </c>
      <c r="S683" s="239">
        <f>IFERROR(_xll.ciqfunctions.udf.CIQHI(MO.Ticker.CapIQ,"IQ_LASTSALEPRICE",INDEX(MO_SNA_FPStartDate,0,COLUMN()),INDEX(MO_Common_QEndDate,0,COLUMN())),"N/A")</f>
        <v>14.35</v>
      </c>
      <c r="T683" s="239">
        <f>IFERROR(_xll.ciqfunctions.udf.CIQHI(MO.Ticker.CapIQ,"IQ_LASTSALEPRICE",INDEX(MO_SNA_FPStartDate,0,COLUMN()),INDEX(MO_Common_QEndDate,0,COLUMN())),"N/A")</f>
        <v>17.53</v>
      </c>
      <c r="U683" s="239">
        <f>IFERROR(_xll.ciqfunctions.udf.CIQHI(MO.Ticker.CapIQ,"IQ_LASTSALEPRICE",INDEX(MO_SNA_FPStartDate,0,COLUMN()),INDEX(MO_Common_QEndDate,0,COLUMN())),"N/A")</f>
        <v>20.190000000000001</v>
      </c>
      <c r="V683" s="239">
        <f>IFERROR(_xll.ciqfunctions.udf.CIQHI(MO.Ticker.CapIQ,"IQ_LASTSALEPRICE",INDEX(MO_SNA_FPStartDate,0,COLUMN()),INDEX(MO_Common_QEndDate,0,COLUMN())),"N/A")</f>
        <v>20.91</v>
      </c>
      <c r="W683" s="239">
        <f>IFERROR(_xll.ciqfunctions.udf.CIQHI(MO.Ticker.CapIQ,"IQ_LASTSALEPRICE",INDEX(MO_SNA_FPStartDate,0,COLUMN()),INDEX(MO_Common_QEndDate,0,COLUMN())),"N/A")</f>
        <v>18.54</v>
      </c>
      <c r="X683" s="239">
        <f>IFERROR(_xll.ciqfunctions.udf.CIQHI(MO.Ticker.CapIQ,"IQ_LASTSALEPRICE",INDEX(MO_SNA_FPStartDate,0,COLUMN()),INDEX(MO_Common_QEndDate,0,COLUMN())),"N/A")</f>
        <v>18.14</v>
      </c>
      <c r="Y683" s="239">
        <f>IFERROR(_xll.ciqfunctions.udf.CIQHI(MO.Ticker.CapIQ,"IQ_LASTSALEPRICE",INDEX(MO_SNA_FPStartDate,0,COLUMN()),INDEX(MO_Common_QEndDate,0,COLUMN())),"N/A")</f>
        <v>17.98</v>
      </c>
      <c r="Z683" s="239">
        <f>IFERROR(_xll.ciqfunctions.udf.CIQHI(MO.Ticker.CapIQ,"IQ_LASTSALEPRICE",INDEX(MO_SNA_FPStartDate,0,COLUMN()),INDEX(MO_Common_QEndDate,0,COLUMN())),"N/A")</f>
        <v>17.100000000000001</v>
      </c>
      <c r="AA683" s="239">
        <f>IFERROR(_xll.ciqfunctions.udf.CIQHI(MO.Ticker.CapIQ,"IQ_LASTSALEPRICE",INDEX(MO_SNA_FPStartDate,0,COLUMN()),INDEX(MO_Common_QEndDate,0,COLUMN())),"N/A")</f>
        <v>18.03</v>
      </c>
      <c r="AB683" s="239">
        <f>IFERROR(_xll.ciqfunctions.udf.CIQHI(MO.Ticker.CapIQ,"IQ_LASTSALEPRICE",INDEX(MO_SNA_FPStartDate,0,COLUMN()),INDEX(MO_Common_QEndDate,0,COLUMN())),"N/A")</f>
        <v>24.79</v>
      </c>
      <c r="AC683" s="239">
        <f>IFERROR(_xll.ciqfunctions.udf.CIQHI(MO.Ticker.CapIQ,"IQ_LASTSALEPRICE",INDEX(MO_SNA_FPStartDate,0,COLUMN()),INDEX(MO_Common_QEndDate,0,COLUMN())),"N/A")</f>
        <v>34.130000000000003</v>
      </c>
      <c r="AD683" s="239">
        <f>IFERROR(_xll.ciqfunctions.udf.CIQHI(MO.Ticker.CapIQ,"IQ_LASTSALEPRICE",INDEX(MO_SNA_FPStartDate,0,COLUMN()),INDEX(MO_Common_QEndDate,0,COLUMN())),"N/A")</f>
        <v>37</v>
      </c>
      <c r="AE683" s="239">
        <f>IFERROR(_xll.ciqfunctions.udf.CIQHI(MO.Ticker.CapIQ,"IQ_LASTSALEPRICE",INDEX(MO_SNA_FPStartDate,0,COLUMN()),INDEX(MO_Common_QEndDate,0,COLUMN())),"N/A")</f>
        <v>31.55</v>
      </c>
      <c r="AF683" s="239">
        <f>IFERROR(_xll.ciqfunctions.udf.CIQHI(MO.Ticker.CapIQ,"IQ_LASTSALEPRICE",INDEX(MO_SNA_FPStartDate,0,COLUMN()),INDEX(MO_Common_QEndDate,0,COLUMN())),"N/A")</f>
        <v>26.44</v>
      </c>
      <c r="AG683" s="239">
        <f>IFERROR(_xll.ciqfunctions.udf.CIQHI(MO.Ticker.CapIQ,"IQ_LASTSALEPRICE",INDEX(MO_SNA_FPStartDate,0,COLUMN()),INDEX(MO_Common_QEndDate,0,COLUMN())),"N/A")</f>
        <v>23.94</v>
      </c>
      <c r="AH683" s="239">
        <f>IFERROR(_xll.ciqfunctions.udf.CIQHI(MO.Ticker.CapIQ,"IQ_LASTSALEPRICE",INDEX(MO_SNA_FPStartDate,0,COLUMN()),INDEX(MO_Common_QEndDate,0,COLUMN())),"N/A")</f>
        <v>27.98</v>
      </c>
      <c r="AI683" s="239">
        <f>IFERROR(_xll.ciqfunctions.udf.CIQHI(MO.Ticker.CapIQ,"IQ_LASTSALEPRICE",INDEX(MO_SNA_FPStartDate,0,COLUMN()),INDEX(MO_Common_QEndDate,0,COLUMN())),"N/A")</f>
        <v>51.6</v>
      </c>
      <c r="AJ683" s="239">
        <f>IFERROR(_xll.ciqfunctions.udf.CIQHI(MO.Ticker.CapIQ,"IQ_LASTSALEPRICE",INDEX(MO_SNA_FPStartDate,0,COLUMN()),INDEX(MO_Common_QEndDate,0,COLUMN())),"N/A")</f>
        <v>30.99</v>
      </c>
      <c r="AK683" s="239">
        <f>IFERROR(_xll.ciqfunctions.udf.CIQHI(MO.Ticker.CapIQ,"IQ_LASTSALEPRICE",INDEX(MO_SNA_FPStartDate,0,COLUMN()),INDEX(MO_Common_QEndDate,0,COLUMN())),"N/A")</f>
        <v>31.2</v>
      </c>
      <c r="AL683" s="239">
        <f>IFERROR(_xll.ciqfunctions.udf.CIQHI(MO.Ticker.CapIQ,"IQ_LASTSALEPRICE",INDEX(MO_SNA_FPStartDate,0,COLUMN()),INDEX(MO_Common_QEndDate,0,COLUMN())),"N/A")</f>
        <v>34.44</v>
      </c>
      <c r="AM683" s="239">
        <f>IFERROR(_xll.ciqfunctions.udf.CIQHI(MO.Ticker.CapIQ,"IQ_LASTSALEPRICE",INDEX(MO_SNA_FPStartDate,0,COLUMN()),INDEX(MO_Common_QEndDate,0,COLUMN())),"N/A")</f>
        <v>36.369999999999997</v>
      </c>
      <c r="AN683" s="239">
        <f>IFERROR(_xll.ciqfunctions.udf.CIQHI(MO.Ticker.CapIQ,"IQ_LASTSALEPRICE",INDEX(MO_SNA_FPStartDate,0,COLUMN()),INDEX(MO_Common_QEndDate,0,COLUMN())),"N/A")</f>
        <v>37.700000000000003</v>
      </c>
      <c r="AO683" s="239">
        <f>IFERROR(_xll.ciqfunctions.udf.CIQHI(MO.Ticker.CapIQ,"IQ_LASTSALEPRICE",INDEX(MO_SNA_FPStartDate,0,COLUMN()),INDEX(MO_Common_QEndDate,0,COLUMN())),"N/A")</f>
        <v>36.68</v>
      </c>
      <c r="AP683" s="239">
        <f>IFERROR(_xll.ciqfunctions.udf.CIQHI(MO.Ticker.CapIQ,"IQ_LASTSALEPRICE",INDEX(MO_SNA_FPStartDate,0,COLUMN()),INDEX(MO_Common_QEndDate,0,COLUMN())),"N/A")</f>
        <v>41.31</v>
      </c>
      <c r="AQ683" s="239">
        <f>IFERROR(_xll.ciqfunctions.udf.CIQHI(MO.Ticker.CapIQ,"IQ_LASTSALEPRICE",INDEX(MO_SNA_FPStartDate,0,COLUMN()),INDEX(MO_Common_QEndDate,0,COLUMN())),"N/A")</f>
        <v>44.68</v>
      </c>
      <c r="AR683" s="239">
        <f>IFERROR(_xll.ciqfunctions.udf.CIQHI(MO.Ticker.CapIQ,"IQ_LASTSALEPRICE",INDEX(MO_SNA_FPStartDate,0,COLUMN()),INDEX(MO_Common_QEndDate,0,COLUMN())),"N/A")</f>
        <v>46.56</v>
      </c>
      <c r="AS683" s="239">
        <f>IFERROR(_xll.ciqfunctions.udf.CIQHI(MO.Ticker.CapIQ,"IQ_LASTSALEPRICE",INDEX(MO_SNA_FPStartDate,0,COLUMN()),INDEX(MO_Common_QEndDate,0,COLUMN())),"N/A")</f>
        <v>44.08</v>
      </c>
      <c r="AT683" s="239">
        <f>IFERROR(_xll.ciqfunctions.udf.CIQHI(MO.Ticker.CapIQ,"IQ_LASTSALEPRICE",INDEX(MO_SNA_FPStartDate,0,COLUMN()),INDEX(MO_Common_QEndDate,0,COLUMN())),"N/A")</f>
        <v>42.96</v>
      </c>
      <c r="AU683" s="239">
        <f>IFERROR(_xll.ciqfunctions.udf.CIQHI(MO.Ticker.CapIQ,"IQ_LASTSALEPRICE",INDEX(MO_SNA_FPStartDate,0,COLUMN()),INDEX(MO_Common_QEndDate,0,COLUMN())),"N/A")</f>
        <v>45.44</v>
      </c>
      <c r="AV683" s="239">
        <f>IFERROR(_xll.ciqfunctions.udf.CIQHI(MO.Ticker.CapIQ,"IQ_LASTSALEPRICE",INDEX(MO_SNA_FPStartDate,0,COLUMN()),INDEX(MO_Common_QEndDate,0,COLUMN())),"N/A")</f>
        <v>62.27</v>
      </c>
      <c r="AW683" s="239">
        <f>IFERROR(_xll.ciqfunctions.udf.CIQHI(MO.Ticker.CapIQ,"IQ_LASTSALEPRICE",INDEX(MO_SNA_FPStartDate,0,COLUMN()),INDEX(MO_Common_QEndDate,0,COLUMN())),"N/A")</f>
        <v>64.06</v>
      </c>
      <c r="AX683" s="239">
        <f>IFERROR(_xll.ciqfunctions.udf.CIQHI(MO.Ticker.CapIQ,"IQ_LASTSALEPRICE",INDEX(MO_SNA_FPStartDate,0,COLUMN()),INDEX(MO_Common_QEndDate,0,COLUMN())),"N/A")</f>
        <v>72.77</v>
      </c>
      <c r="AY683" s="239"/>
      <c r="AZ683" s="240">
        <f>IFERROR(_xll.ciqfunctions.udf.CIQHI(MO.Ticker.CapIQ,"IQ_LASTSALEPRICE",INDEX(MO_SNA_FPStartDate,0,COLUMN()),INDEX(MO_Common_QEndDate,0,COLUMN())),"N/A")</f>
        <v>29</v>
      </c>
      <c r="BA683" s="240">
        <f>IFERROR(_xll.ciqfunctions.udf.CIQHI(MO.Ticker.CapIQ,"IQ_LASTSALEPRICE",INDEX(MO_SNA_FPStartDate,0,COLUMN()),INDEX(MO_Common_QEndDate,0,COLUMN())),"N/A")</f>
        <v>25.6</v>
      </c>
      <c r="BB683" s="239">
        <f>IFERROR(_xll.ciqfunctions.udf.CIQHI(MO.Ticker.CapIQ,"IQ_LASTSALEPRICE",INDEX(MO_SNA_FPStartDate,0,COLUMN()),INDEX(MO_Common_QEndDate,0,COLUMN())),"N/A")</f>
        <v>39.369999999999997</v>
      </c>
      <c r="BC683" s="239">
        <f>IFERROR(_xll.ciqfunctions.udf.CIQHI(MO.Ticker.CapIQ,"IQ_LASTSALEPRICE",INDEX(MO_SNA_FPStartDate,0,COLUMN()),INDEX(MO_Common_QEndDate,0,COLUMN())),"N/A")</f>
        <v>36.85</v>
      </c>
      <c r="BD683" s="239">
        <f>IFERROR(_xll.ciqfunctions.udf.CIQHI(MO.Ticker.CapIQ,"IQ_LASTSALEPRICE",INDEX(MO_SNA_FPStartDate,0,COLUMN()),INDEX(MO_Common_QEndDate,0,COLUMN())),"N/A")</f>
        <v>30.56</v>
      </c>
      <c r="BE683" s="239">
        <f>IFERROR(_xll.ciqfunctions.udf.CIQHI(MO.Ticker.CapIQ,"IQ_LASTSALEPRICE",INDEX(MO_SNA_FPStartDate,0,COLUMN()),INDEX(MO_Common_QEndDate,0,COLUMN())),"N/A")</f>
        <v>37.85</v>
      </c>
      <c r="BF683" s="239">
        <f>IFERROR(_xll.ciqfunctions.udf.CIQHI(MO.Ticker.CapIQ,"IQ_LASTSALEPRICE",INDEX(MO_SNA_FPStartDate,0,COLUMN()),INDEX(MO_Common_QEndDate,0,COLUMN())),"N/A")</f>
        <v>24.11</v>
      </c>
      <c r="BG683" s="239">
        <f>IFERROR(_xll.ciqfunctions.udf.CIQHI(MO.Ticker.CapIQ,"IQ_LASTSALEPRICE",INDEX(MO_SNA_FPStartDate,0,COLUMN()),INDEX(MO_Common_QEndDate,0,COLUMN())),"N/A")</f>
        <v>14.88</v>
      </c>
      <c r="BH683" s="239">
        <f>IFERROR(_xll.ciqfunctions.udf.CIQHI(MO.Ticker.CapIQ,"IQ_LASTSALEPRICE",INDEX(MO_SNA_FPStartDate,0,COLUMN()),INDEX(MO_Common_QEndDate,0,COLUMN())),"N/A")</f>
        <v>20.91</v>
      </c>
      <c r="BI683" s="239">
        <f>IFERROR(_xll.ciqfunctions.udf.CIQHI(MO.Ticker.CapIQ,"IQ_LASTSALEPRICE",INDEX(MO_SNA_FPStartDate,0,COLUMN()),INDEX(MO_Common_QEndDate,0,COLUMN())),"N/A")</f>
        <v>18.54</v>
      </c>
      <c r="BJ683" s="239">
        <f>IFERROR(_xll.ciqfunctions.udf.CIQHI(MO.Ticker.CapIQ,"IQ_LASTSALEPRICE",INDEX(MO_SNA_FPStartDate,0,COLUMN()),INDEX(MO_Common_QEndDate,0,COLUMN())),"N/A")</f>
        <v>37</v>
      </c>
      <c r="BK683" s="239">
        <f>IFERROR(_xll.ciqfunctions.udf.CIQHI(MO.Ticker.CapIQ,"IQ_LASTSALEPRICE",INDEX(MO_SNA_FPStartDate,0,COLUMN()),INDEX(MO_Common_QEndDate,0,COLUMN())),"N/A")</f>
        <v>31.55</v>
      </c>
      <c r="BL683" s="239">
        <f>IFERROR(_xll.ciqfunctions.udf.CIQHI(MO.Ticker.CapIQ,"IQ_LASTSALEPRICE",INDEX(MO_SNA_FPStartDate,0,COLUMN()),INDEX(MO_Common_QEndDate,0,COLUMN())),"N/A")</f>
        <v>51.6</v>
      </c>
      <c r="BM683" s="239">
        <f>IFERROR(_xll.ciqfunctions.udf.CIQHI(MO.Ticker.CapIQ,"IQ_LASTSALEPRICE",INDEX(MO_SNA_FPStartDate,0,COLUMN()),INDEX(MO_Common_QEndDate,0,COLUMN())),"N/A")</f>
        <v>41.31</v>
      </c>
      <c r="BN683" s="239">
        <f>IFERROR(_xll.ciqfunctions.udf.CIQHI(MO.Ticker.CapIQ,"IQ_LASTSALEPRICE",INDEX(MO_SNA_FPStartDate,0,COLUMN()),INDEX(MO_Common_QEndDate,0,COLUMN())),"N/A")</f>
        <v>46.56</v>
      </c>
      <c r="BO683" s="239">
        <f>IFERROR(_xll.ciqfunctions.udf.CIQHI(MO.Ticker.CapIQ,"IQ_LASTSALEPRICE",INDEX(MO_SNA_FPStartDate,0,COLUMN()),INDEX(MO_Common_QEndDate,0,COLUMN())),"N/A")</f>
        <v>72.77</v>
      </c>
      <c r="BP683" s="239" t="str">
        <f>IFERROR(_xll.ciqfunctions.udf.CIQHI(MO.Ticker.CapIQ,"IQ_LASTSALEPRICE",INDEX(MO_SNA_FPStartDate,0,COLUMN()),INDEX(MO_Common_QEndDate,0,COLUMN())),"N/A")</f>
        <v>#PEND</v>
      </c>
      <c r="BQ683" s="239" t="str">
        <f>IFERROR(_xll.ciqfunctions.udf.CIQHI(MO.Ticker.CapIQ,"IQ_LASTSALEPRICE",INDEX(MO_SNA_FPStartDate,0,COLUMN()),INDEX(MO_Common_QEndDate,0,COLUMN())),"N/A")</f>
        <v>#PEND</v>
      </c>
      <c r="BR683" s="239" t="str">
        <f>IFERROR(_xll.ciqfunctions.udf.CIQHI(MO.Ticker.CapIQ,"IQ_LASTSALEPRICE",INDEX(MO_SNA_FPStartDate,0,COLUMN()),INDEX(MO_Common_QEndDate,0,COLUMN())),"N/A")</f>
        <v>#PEND</v>
      </c>
      <c r="BS683" s="241" t="str">
        <f>IFERROR(_xll.ciqfunctions.udf.CIQHI(MO.Ticker.CapIQ,"IQ_LASTSALEPRICE",INDEX(MO_SNA_FPStartDate,0,COLUMN()),INDEX(MO_Common_QEndDate,0,COLUMN())),"N/A")</f>
        <v>#PEND</v>
      </c>
      <c r="BT683" s="274"/>
    </row>
    <row r="684" spans="1:72" s="242" customFormat="1" hidden="1" outlineLevel="1" x14ac:dyDescent="0.35">
      <c r="A684" s="243" t="s">
        <v>264</v>
      </c>
      <c r="B684" s="239"/>
      <c r="C684" s="239" t="str">
        <f ca="1">IFERROR(FDS(MO.Ticker.FactSet,"P_PRICE_HIGH"&amp;"("&amp;INDEX(MO_SNA_FPStartDate,0,COLUMN())&amp;","&amp;INDEX(MO_Common_QEndDate,0,COLUMN())&amp;",,,,""PRICE"",""CLOSE"")"),"N/A")</f>
        <v>N/A</v>
      </c>
      <c r="D684" s="239" t="str">
        <f ca="1">IFERROR(FDS(MO.Ticker.FactSet,"P_PRICE_HIGH"&amp;"("&amp;INDEX(MO_SNA_FPStartDate,0,COLUMN())&amp;","&amp;INDEX(MO_Common_QEndDate,0,COLUMN())&amp;",,,,""PRICE"",""CLOSE"")"),"N/A")</f>
        <v>N/A</v>
      </c>
      <c r="E684" s="239" t="str">
        <f ca="1">IFERROR(FDS(MO.Ticker.FactSet,"P_PRICE_HIGH"&amp;"("&amp;INDEX(MO_SNA_FPStartDate,0,COLUMN())&amp;","&amp;INDEX(MO_Common_QEndDate,0,COLUMN())&amp;",,,,""PRICE"",""CLOSE"")"),"N/A")</f>
        <v>N/A</v>
      </c>
      <c r="F684" s="239" t="str">
        <f ca="1">IFERROR(FDS(MO.Ticker.FactSet,"P_PRICE_HIGH"&amp;"("&amp;INDEX(MO_SNA_FPStartDate,0,COLUMN())&amp;","&amp;INDEX(MO_Common_QEndDate,0,COLUMN())&amp;",,,,""PRICE"",""CLOSE"")"),"N/A")</f>
        <v>N/A</v>
      </c>
      <c r="G684" s="239" t="str">
        <f ca="1">IFERROR(FDS(MO.Ticker.FactSet,"P_PRICE_HIGH"&amp;"("&amp;INDEX(MO_SNA_FPStartDate,0,COLUMN())&amp;","&amp;INDEX(MO_Common_QEndDate,0,COLUMN())&amp;",,,,""PRICE"",""CLOSE"")"),"N/A")</f>
        <v>N/A</v>
      </c>
      <c r="H684" s="239" t="str">
        <f ca="1">IFERROR(FDS(MO.Ticker.FactSet,"P_PRICE_HIGH"&amp;"("&amp;INDEX(MO_SNA_FPStartDate,0,COLUMN())&amp;","&amp;INDEX(MO_Common_QEndDate,0,COLUMN())&amp;",,,,""PRICE"",""CLOSE"")"),"N/A")</f>
        <v>N/A</v>
      </c>
      <c r="I684" s="239" t="str">
        <f ca="1">IFERROR(FDS(MO.Ticker.FactSet,"P_PRICE_HIGH"&amp;"("&amp;INDEX(MO_SNA_FPStartDate,0,COLUMN())&amp;","&amp;INDEX(MO_Common_QEndDate,0,COLUMN())&amp;",,,,""PRICE"",""CLOSE"")"),"N/A")</f>
        <v>N/A</v>
      </c>
      <c r="J684" s="239" t="str">
        <f ca="1">IFERROR(FDS(MO.Ticker.FactSet,"P_PRICE_HIGH"&amp;"("&amp;INDEX(MO_SNA_FPStartDate,0,COLUMN())&amp;","&amp;INDEX(MO_Common_QEndDate,0,COLUMN())&amp;",,,,""PRICE"",""CLOSE"")"),"N/A")</f>
        <v>N/A</v>
      </c>
      <c r="K684" s="239" t="str">
        <f ca="1">IFERROR(FDS(MO.Ticker.FactSet,"P_PRICE_HIGH"&amp;"("&amp;INDEX(MO_SNA_FPStartDate,0,COLUMN())&amp;","&amp;INDEX(MO_Common_QEndDate,0,COLUMN())&amp;",,,,""PRICE"",""CLOSE"")"),"N/A")</f>
        <v>N/A</v>
      </c>
      <c r="L684" s="239" t="str">
        <f ca="1">IFERROR(FDS(MO.Ticker.FactSet,"P_PRICE_HIGH"&amp;"("&amp;INDEX(MO_SNA_FPStartDate,0,COLUMN())&amp;","&amp;INDEX(MO_Common_QEndDate,0,COLUMN())&amp;",,,,""PRICE"",""CLOSE"")"),"N/A")</f>
        <v>N/A</v>
      </c>
      <c r="M684" s="239" t="str">
        <f ca="1">IFERROR(FDS(MO.Ticker.FactSet,"P_PRICE_HIGH"&amp;"("&amp;INDEX(MO_SNA_FPStartDate,0,COLUMN())&amp;","&amp;INDEX(MO_Common_QEndDate,0,COLUMN())&amp;",,,,""PRICE"",""CLOSE"")"),"N/A")</f>
        <v>N/A</v>
      </c>
      <c r="N684" s="239" t="str">
        <f ca="1">IFERROR(FDS(MO.Ticker.FactSet,"P_PRICE_HIGH"&amp;"("&amp;INDEX(MO_SNA_FPStartDate,0,COLUMN())&amp;","&amp;INDEX(MO_Common_QEndDate,0,COLUMN())&amp;",,,,""PRICE"",""CLOSE"")"),"N/A")</f>
        <v>N/A</v>
      </c>
      <c r="O684" s="239" t="str">
        <f ca="1">IFERROR(FDS(MO.Ticker.FactSet,"P_PRICE_HIGH"&amp;"("&amp;INDEX(MO_SNA_FPStartDate,0,COLUMN())&amp;","&amp;INDEX(MO_Common_QEndDate,0,COLUMN())&amp;",,,,""PRICE"",""CLOSE"")"),"N/A")</f>
        <v>N/A</v>
      </c>
      <c r="P684" s="239" t="str">
        <f ca="1">IFERROR(FDS(MO.Ticker.FactSet,"P_PRICE_HIGH"&amp;"("&amp;INDEX(MO_SNA_FPStartDate,0,COLUMN())&amp;","&amp;INDEX(MO_Common_QEndDate,0,COLUMN())&amp;",,,,""PRICE"",""CLOSE"")"),"N/A")</f>
        <v>N/A</v>
      </c>
      <c r="Q684" s="239" t="str">
        <f ca="1">IFERROR(FDS(MO.Ticker.FactSet,"P_PRICE_HIGH"&amp;"("&amp;INDEX(MO_SNA_FPStartDate,0,COLUMN())&amp;","&amp;INDEX(MO_Common_QEndDate,0,COLUMN())&amp;",,,,""PRICE"",""CLOSE"")"),"N/A")</f>
        <v>N/A</v>
      </c>
      <c r="R684" s="239" t="str">
        <f ca="1">IFERROR(FDS(MO.Ticker.FactSet,"P_PRICE_HIGH"&amp;"("&amp;INDEX(MO_SNA_FPStartDate,0,COLUMN())&amp;","&amp;INDEX(MO_Common_QEndDate,0,COLUMN())&amp;",,,,""PRICE"",""CLOSE"")"),"N/A")</f>
        <v>N/A</v>
      </c>
      <c r="S684" s="239" t="str">
        <f ca="1">IFERROR(FDS(MO.Ticker.FactSet,"P_PRICE_HIGH"&amp;"("&amp;INDEX(MO_SNA_FPStartDate,0,COLUMN())&amp;","&amp;INDEX(MO_Common_QEndDate,0,COLUMN())&amp;",,,,""PRICE"",""CLOSE"")"),"N/A")</f>
        <v>N/A</v>
      </c>
      <c r="T684" s="239" t="str">
        <f ca="1">IFERROR(FDS(MO.Ticker.FactSet,"P_PRICE_HIGH"&amp;"("&amp;INDEX(MO_SNA_FPStartDate,0,COLUMN())&amp;","&amp;INDEX(MO_Common_QEndDate,0,COLUMN())&amp;",,,,""PRICE"",""CLOSE"")"),"N/A")</f>
        <v>N/A</v>
      </c>
      <c r="U684" s="239" t="str">
        <f ca="1">IFERROR(FDS(MO.Ticker.FactSet,"P_PRICE_HIGH"&amp;"("&amp;INDEX(MO_SNA_FPStartDate,0,COLUMN())&amp;","&amp;INDEX(MO_Common_QEndDate,0,COLUMN())&amp;",,,,""PRICE"",""CLOSE"")"),"N/A")</f>
        <v>N/A</v>
      </c>
      <c r="V684" s="239" t="str">
        <f ca="1">IFERROR(FDS(MO.Ticker.FactSet,"P_PRICE_HIGH"&amp;"("&amp;INDEX(MO_SNA_FPStartDate,0,COLUMN())&amp;","&amp;INDEX(MO_Common_QEndDate,0,COLUMN())&amp;",,,,""PRICE"",""CLOSE"")"),"N/A")</f>
        <v>N/A</v>
      </c>
      <c r="W684" s="239" t="str">
        <f ca="1">IFERROR(FDS(MO.Ticker.FactSet,"P_PRICE_HIGH"&amp;"("&amp;INDEX(MO_SNA_FPStartDate,0,COLUMN())&amp;","&amp;INDEX(MO_Common_QEndDate,0,COLUMN())&amp;",,,,""PRICE"",""CLOSE"")"),"N/A")</f>
        <v>N/A</v>
      </c>
      <c r="X684" s="239" t="str">
        <f ca="1">IFERROR(FDS(MO.Ticker.FactSet,"P_PRICE_HIGH"&amp;"("&amp;INDEX(MO_SNA_FPStartDate,0,COLUMN())&amp;","&amp;INDEX(MO_Common_QEndDate,0,COLUMN())&amp;",,,,""PRICE"",""CLOSE"")"),"N/A")</f>
        <v>N/A</v>
      </c>
      <c r="Y684" s="239" t="str">
        <f ca="1">IFERROR(FDS(MO.Ticker.FactSet,"P_PRICE_HIGH"&amp;"("&amp;INDEX(MO_SNA_FPStartDate,0,COLUMN())&amp;","&amp;INDEX(MO_Common_QEndDate,0,COLUMN())&amp;",,,,""PRICE"",""CLOSE"")"),"N/A")</f>
        <v>N/A</v>
      </c>
      <c r="Z684" s="239" t="str">
        <f ca="1">IFERROR(FDS(MO.Ticker.FactSet,"P_PRICE_HIGH"&amp;"("&amp;INDEX(MO_SNA_FPStartDate,0,COLUMN())&amp;","&amp;INDEX(MO_Common_QEndDate,0,COLUMN())&amp;",,,,""PRICE"",""CLOSE"")"),"N/A")</f>
        <v>N/A</v>
      </c>
      <c r="AA684" s="239" t="str">
        <f ca="1">IFERROR(FDS(MO.Ticker.FactSet,"P_PRICE_HIGH"&amp;"("&amp;INDEX(MO_SNA_FPStartDate,0,COLUMN())&amp;","&amp;INDEX(MO_Common_QEndDate,0,COLUMN())&amp;",,,,""PRICE"",""CLOSE"")"),"N/A")</f>
        <v>N/A</v>
      </c>
      <c r="AB684" s="239" t="str">
        <f ca="1">IFERROR(FDS(MO.Ticker.FactSet,"P_PRICE_HIGH"&amp;"("&amp;INDEX(MO_SNA_FPStartDate,0,COLUMN())&amp;","&amp;INDEX(MO_Common_QEndDate,0,COLUMN())&amp;",,,,""PRICE"",""CLOSE"")"),"N/A")</f>
        <v>N/A</v>
      </c>
      <c r="AC684" s="239" t="str">
        <f ca="1">IFERROR(FDS(MO.Ticker.FactSet,"P_PRICE_HIGH"&amp;"("&amp;INDEX(MO_SNA_FPStartDate,0,COLUMN())&amp;","&amp;INDEX(MO_Common_QEndDate,0,COLUMN())&amp;",,,,""PRICE"",""CLOSE"")"),"N/A")</f>
        <v>N/A</v>
      </c>
      <c r="AD684" s="239" t="str">
        <f ca="1">IFERROR(FDS(MO.Ticker.FactSet,"P_PRICE_HIGH"&amp;"("&amp;INDEX(MO_SNA_FPStartDate,0,COLUMN())&amp;","&amp;INDEX(MO_Common_QEndDate,0,COLUMN())&amp;",,,,""PRICE"",""CLOSE"")"),"N/A")</f>
        <v>N/A</v>
      </c>
      <c r="AE684" s="239" t="str">
        <f ca="1">IFERROR(FDS(MO.Ticker.FactSet,"P_PRICE_HIGH"&amp;"("&amp;INDEX(MO_SNA_FPStartDate,0,COLUMN())&amp;","&amp;INDEX(MO_Common_QEndDate,0,COLUMN())&amp;",,,,""PRICE"",""CLOSE"")"),"N/A")</f>
        <v>N/A</v>
      </c>
      <c r="AF684" s="239" t="str">
        <f ca="1">IFERROR(FDS(MO.Ticker.FactSet,"P_PRICE_HIGH"&amp;"("&amp;INDEX(MO_SNA_FPStartDate,0,COLUMN())&amp;","&amp;INDEX(MO_Common_QEndDate,0,COLUMN())&amp;",,,,""PRICE"",""CLOSE"")"),"N/A")</f>
        <v>N/A</v>
      </c>
      <c r="AG684" s="239" t="str">
        <f ca="1">IFERROR(FDS(MO.Ticker.FactSet,"P_PRICE_HIGH"&amp;"("&amp;INDEX(MO_SNA_FPStartDate,0,COLUMN())&amp;","&amp;INDEX(MO_Common_QEndDate,0,COLUMN())&amp;",,,,""PRICE"",""CLOSE"")"),"N/A")</f>
        <v>N/A</v>
      </c>
      <c r="AH684" s="239" t="str">
        <f ca="1">IFERROR(FDS(MO.Ticker.FactSet,"P_PRICE_HIGH"&amp;"("&amp;INDEX(MO_SNA_FPStartDate,0,COLUMN())&amp;","&amp;INDEX(MO_Common_QEndDate,0,COLUMN())&amp;",,,,""PRICE"",""CLOSE"")"),"N/A")</f>
        <v>N/A</v>
      </c>
      <c r="AI684" s="239" t="str">
        <f ca="1">IFERROR(FDS(MO.Ticker.FactSet,"P_PRICE_HIGH"&amp;"("&amp;INDEX(MO_SNA_FPStartDate,0,COLUMN())&amp;","&amp;INDEX(MO_Common_QEndDate,0,COLUMN())&amp;",,,,""PRICE"",""CLOSE"")"),"N/A")</f>
        <v>N/A</v>
      </c>
      <c r="AJ684" s="239" t="str">
        <f ca="1">IFERROR(FDS(MO.Ticker.FactSet,"P_PRICE_HIGH"&amp;"("&amp;INDEX(MO_SNA_FPStartDate,0,COLUMN())&amp;","&amp;INDEX(MO_Common_QEndDate,0,COLUMN())&amp;",,,,""PRICE"",""CLOSE"")"),"N/A")</f>
        <v>N/A</v>
      </c>
      <c r="AK684" s="239" t="str">
        <f ca="1">IFERROR(FDS(MO.Ticker.FactSet,"P_PRICE_HIGH"&amp;"("&amp;INDEX(MO_SNA_FPStartDate,0,COLUMN())&amp;","&amp;INDEX(MO_Common_QEndDate,0,COLUMN())&amp;",,,,""PRICE"",""CLOSE"")"),"N/A")</f>
        <v>N/A</v>
      </c>
      <c r="AL684" s="239" t="str">
        <f ca="1">IFERROR(FDS(MO.Ticker.FactSet,"P_PRICE_HIGH"&amp;"("&amp;INDEX(MO_SNA_FPStartDate,0,COLUMN())&amp;","&amp;INDEX(MO_Common_QEndDate,0,COLUMN())&amp;",,,,""PRICE"",""CLOSE"")"),"N/A")</f>
        <v>N/A</v>
      </c>
      <c r="AM684" s="239" t="str">
        <f ca="1">IFERROR(FDS(MO.Ticker.FactSet,"P_PRICE_HIGH"&amp;"("&amp;INDEX(MO_SNA_FPStartDate,0,COLUMN())&amp;","&amp;INDEX(MO_Common_QEndDate,0,COLUMN())&amp;",,,,""PRICE"",""CLOSE"")"),"N/A")</f>
        <v>N/A</v>
      </c>
      <c r="AN684" s="239" t="str">
        <f ca="1">IFERROR(FDS(MO.Ticker.FactSet,"P_PRICE_HIGH"&amp;"("&amp;INDEX(MO_SNA_FPStartDate,0,COLUMN())&amp;","&amp;INDEX(MO_Common_QEndDate,0,COLUMN())&amp;",,,,""PRICE"",""CLOSE"")"),"N/A")</f>
        <v>N/A</v>
      </c>
      <c r="AO684" s="239" t="str">
        <f ca="1">IFERROR(FDS(MO.Ticker.FactSet,"P_PRICE_HIGH"&amp;"("&amp;INDEX(MO_SNA_FPStartDate,0,COLUMN())&amp;","&amp;INDEX(MO_Common_QEndDate,0,COLUMN())&amp;",,,,""PRICE"",""CLOSE"")"),"N/A")</f>
        <v>N/A</v>
      </c>
      <c r="AP684" s="239" t="str">
        <f ca="1">IFERROR(FDS(MO.Ticker.FactSet,"P_PRICE_HIGH"&amp;"("&amp;INDEX(MO_SNA_FPStartDate,0,COLUMN())&amp;","&amp;INDEX(MO_Common_QEndDate,0,COLUMN())&amp;",,,,""PRICE"",""CLOSE"")"),"N/A")</f>
        <v>N/A</v>
      </c>
      <c r="AQ684" s="239" t="str">
        <f ca="1">IFERROR(FDS(MO.Ticker.FactSet,"P_PRICE_HIGH"&amp;"("&amp;INDEX(MO_SNA_FPStartDate,0,COLUMN())&amp;","&amp;INDEX(MO_Common_QEndDate,0,COLUMN())&amp;",,,,""PRICE"",""CLOSE"")"),"N/A")</f>
        <v>N/A</v>
      </c>
      <c r="AR684" s="239" t="str">
        <f ca="1">IFERROR(FDS(MO.Ticker.FactSet,"P_PRICE_HIGH"&amp;"("&amp;INDEX(MO_SNA_FPStartDate,0,COLUMN())&amp;","&amp;INDEX(MO_Common_QEndDate,0,COLUMN())&amp;",,,,""PRICE"",""CLOSE"")"),"N/A")</f>
        <v>N/A</v>
      </c>
      <c r="AS684" s="239" t="str">
        <f ca="1">IFERROR(FDS(MO.Ticker.FactSet,"P_PRICE_HIGH"&amp;"("&amp;INDEX(MO_SNA_FPStartDate,0,COLUMN())&amp;","&amp;INDEX(MO_Common_QEndDate,0,COLUMN())&amp;",,,,""PRICE"",""CLOSE"")"),"N/A")</f>
        <v>N/A</v>
      </c>
      <c r="AT684" s="239" t="str">
        <f ca="1">IFERROR(FDS(MO.Ticker.FactSet,"P_PRICE_HIGH"&amp;"("&amp;INDEX(MO_SNA_FPStartDate,0,COLUMN())&amp;","&amp;INDEX(MO_Common_QEndDate,0,COLUMN())&amp;",,,,""PRICE"",""CLOSE"")"),"N/A")</f>
        <v>N/A</v>
      </c>
      <c r="AU684" s="239" t="str">
        <f ca="1">IFERROR(FDS(MO.Ticker.FactSet,"P_PRICE_HIGH"&amp;"("&amp;INDEX(MO_SNA_FPStartDate,0,COLUMN())&amp;","&amp;INDEX(MO_Common_QEndDate,0,COLUMN())&amp;",,,,""PRICE"",""CLOSE"")"),"N/A")</f>
        <v>N/A</v>
      </c>
      <c r="AV684" s="239" t="str">
        <f ca="1">IFERROR(FDS(MO.Ticker.FactSet,"P_PRICE_HIGH"&amp;"("&amp;INDEX(MO_SNA_FPStartDate,0,COLUMN())&amp;","&amp;INDEX(MO_Common_QEndDate,0,COLUMN())&amp;",,,,""PRICE"",""CLOSE"")"),"N/A")</f>
        <v>N/A</v>
      </c>
      <c r="AW684" s="239" t="str">
        <f ca="1">IFERROR(FDS(MO.Ticker.FactSet,"P_PRICE_HIGH"&amp;"("&amp;INDEX(MO_SNA_FPStartDate,0,COLUMN())&amp;","&amp;INDEX(MO_Common_QEndDate,0,COLUMN())&amp;",,,,""PRICE"",""CLOSE"")"),"N/A")</f>
        <v>N/A</v>
      </c>
      <c r="AX684" s="239" t="str">
        <f ca="1">IFERROR(FDS(MO.Ticker.FactSet,"P_PRICE_HIGH"&amp;"("&amp;INDEX(MO_SNA_FPStartDate,0,COLUMN())&amp;","&amp;INDEX(MO_Common_QEndDate,0,COLUMN())&amp;",,,,""PRICE"",""CLOSE"")"),"N/A")</f>
        <v>N/A</v>
      </c>
      <c r="AY684" s="239"/>
      <c r="AZ684" s="240" t="str">
        <f ca="1">IFERROR(FDS(MO.Ticker.FactSet,"P_PRICE_HIGH"&amp;"("&amp;INDEX(MO_SNA_FPStartDate,0,COLUMN())&amp;","&amp;INDEX(MO_Common_QEndDate,0,COLUMN())&amp;",,,,""PRICE"",""CLOSE"")"),"N/A")</f>
        <v>N/A</v>
      </c>
      <c r="BA684" s="240" t="str">
        <f ca="1">IFERROR(FDS(MO.Ticker.FactSet,"P_PRICE_HIGH"&amp;"("&amp;INDEX(MO_SNA_FPStartDate,0,COLUMN())&amp;","&amp;INDEX(MO_Common_QEndDate,0,COLUMN())&amp;",,,,""PRICE"",""CLOSE"")"),"N/A")</f>
        <v>N/A</v>
      </c>
      <c r="BB684" s="239" t="str">
        <f ca="1">IFERROR(FDS(MO.Ticker.FactSet,"P_PRICE_HIGH"&amp;"("&amp;INDEX(MO_SNA_FPStartDate,0,COLUMN())&amp;","&amp;INDEX(MO_Common_QEndDate,0,COLUMN())&amp;",,,,""PRICE"",""CLOSE"")"),"N/A")</f>
        <v>N/A</v>
      </c>
      <c r="BC684" s="239" t="str">
        <f ca="1">IFERROR(FDS(MO.Ticker.FactSet,"P_PRICE_HIGH"&amp;"("&amp;INDEX(MO_SNA_FPStartDate,0,COLUMN())&amp;","&amp;INDEX(MO_Common_QEndDate,0,COLUMN())&amp;",,,,""PRICE"",""CLOSE"")"),"N/A")</f>
        <v>N/A</v>
      </c>
      <c r="BD684" s="239" t="str">
        <f ca="1">IFERROR(FDS(MO.Ticker.FactSet,"P_PRICE_HIGH"&amp;"("&amp;INDEX(MO_SNA_FPStartDate,0,COLUMN())&amp;","&amp;INDEX(MO_Common_QEndDate,0,COLUMN())&amp;",,,,""PRICE"",""CLOSE"")"),"N/A")</f>
        <v>N/A</v>
      </c>
      <c r="BE684" s="239" t="str">
        <f ca="1">IFERROR(FDS(MO.Ticker.FactSet,"P_PRICE_HIGH"&amp;"("&amp;INDEX(MO_SNA_FPStartDate,0,COLUMN())&amp;","&amp;INDEX(MO_Common_QEndDate,0,COLUMN())&amp;",,,,""PRICE"",""CLOSE"")"),"N/A")</f>
        <v>N/A</v>
      </c>
      <c r="BF684" s="239" t="str">
        <f ca="1">IFERROR(FDS(MO.Ticker.FactSet,"P_PRICE_HIGH"&amp;"("&amp;INDEX(MO_SNA_FPStartDate,0,COLUMN())&amp;","&amp;INDEX(MO_Common_QEndDate,0,COLUMN())&amp;",,,,""PRICE"",""CLOSE"")"),"N/A")</f>
        <v>N/A</v>
      </c>
      <c r="BG684" s="239" t="str">
        <f ca="1">IFERROR(FDS(MO.Ticker.FactSet,"P_PRICE_HIGH"&amp;"("&amp;INDEX(MO_SNA_FPStartDate,0,COLUMN())&amp;","&amp;INDEX(MO_Common_QEndDate,0,COLUMN())&amp;",,,,""PRICE"",""CLOSE"")"),"N/A")</f>
        <v>N/A</v>
      </c>
      <c r="BH684" s="239" t="str">
        <f ca="1">IFERROR(FDS(MO.Ticker.FactSet,"P_PRICE_HIGH"&amp;"("&amp;INDEX(MO_SNA_FPStartDate,0,COLUMN())&amp;","&amp;INDEX(MO_Common_QEndDate,0,COLUMN())&amp;",,,,""PRICE"",""CLOSE"")"),"N/A")</f>
        <v>N/A</v>
      </c>
      <c r="BI684" s="239" t="str">
        <f ca="1">IFERROR(FDS(MO.Ticker.FactSet,"P_PRICE_HIGH"&amp;"("&amp;INDEX(MO_SNA_FPStartDate,0,COLUMN())&amp;","&amp;INDEX(MO_Common_QEndDate,0,COLUMN())&amp;",,,,""PRICE"",""CLOSE"")"),"N/A")</f>
        <v>N/A</v>
      </c>
      <c r="BJ684" s="239" t="str">
        <f ca="1">IFERROR(FDS(MO.Ticker.FactSet,"P_PRICE_HIGH"&amp;"("&amp;INDEX(MO_SNA_FPStartDate,0,COLUMN())&amp;","&amp;INDEX(MO_Common_QEndDate,0,COLUMN())&amp;",,,,""PRICE"",""CLOSE"")"),"N/A")</f>
        <v>N/A</v>
      </c>
      <c r="BK684" s="239" t="str">
        <f ca="1">IFERROR(FDS(MO.Ticker.FactSet,"P_PRICE_HIGH"&amp;"("&amp;INDEX(MO_SNA_FPStartDate,0,COLUMN())&amp;","&amp;INDEX(MO_Common_QEndDate,0,COLUMN())&amp;",,,,""PRICE"",""CLOSE"")"),"N/A")</f>
        <v>N/A</v>
      </c>
      <c r="BL684" s="239" t="str">
        <f ca="1">IFERROR(FDS(MO.Ticker.FactSet,"P_PRICE_HIGH"&amp;"("&amp;INDEX(MO_SNA_FPStartDate,0,COLUMN())&amp;","&amp;INDEX(MO_Common_QEndDate,0,COLUMN())&amp;",,,,""PRICE"",""CLOSE"")"),"N/A")</f>
        <v>N/A</v>
      </c>
      <c r="BM684" s="239" t="str">
        <f ca="1">IFERROR(FDS(MO.Ticker.FactSet,"P_PRICE_HIGH"&amp;"("&amp;INDEX(MO_SNA_FPStartDate,0,COLUMN())&amp;","&amp;INDEX(MO_Common_QEndDate,0,COLUMN())&amp;",,,,""PRICE"",""CLOSE"")"),"N/A")</f>
        <v>N/A</v>
      </c>
      <c r="BN684" s="239" t="str">
        <f ca="1">IFERROR(FDS(MO.Ticker.FactSet,"P_PRICE_HIGH"&amp;"("&amp;INDEX(MO_SNA_FPStartDate,0,COLUMN())&amp;","&amp;INDEX(MO_Common_QEndDate,0,COLUMN())&amp;",,,,""PRICE"",""CLOSE"")"),"N/A")</f>
        <v>N/A</v>
      </c>
      <c r="BO684" s="239" t="str">
        <f ca="1">IFERROR(FDS(MO.Ticker.FactSet,"P_PRICE_HIGH"&amp;"("&amp;INDEX(MO_SNA_FPStartDate,0,COLUMN())&amp;","&amp;INDEX(MO_Common_QEndDate,0,COLUMN())&amp;",,,,""PRICE"",""CLOSE"")"),"N/A")</f>
        <v>N/A</v>
      </c>
      <c r="BP684" s="239" t="str">
        <f ca="1">IFERROR(FDS(MO.Ticker.FactSet,"P_PRICE_HIGH"&amp;"("&amp;INDEX(MO_SNA_FPStartDate,0,COLUMN())&amp;","&amp;INDEX(MO_Common_QEndDate,0,COLUMN())&amp;",,,,""PRICE"",""CLOSE"")"),"N/A")</f>
        <v>N/A</v>
      </c>
      <c r="BQ684" s="239" t="str">
        <f ca="1">IFERROR(FDS(MO.Ticker.FactSet,"P_PRICE_HIGH"&amp;"("&amp;INDEX(MO_SNA_FPStartDate,0,COLUMN())&amp;","&amp;INDEX(MO_Common_QEndDate,0,COLUMN())&amp;",,,,""PRICE"",""CLOSE"")"),"N/A")</f>
        <v>N/A</v>
      </c>
      <c r="BR684" s="239" t="str">
        <f ca="1">IFERROR(FDS(MO.Ticker.FactSet,"P_PRICE_HIGH"&amp;"("&amp;INDEX(MO_SNA_FPStartDate,0,COLUMN())&amp;","&amp;INDEX(MO_Common_QEndDate,0,COLUMN())&amp;",,,,""PRICE"",""CLOSE"")"),"N/A")</f>
        <v>N/A</v>
      </c>
      <c r="BS684" s="241" t="str">
        <f ca="1">IFERROR(FDS(MO.Ticker.FactSet,"P_PRICE_HIGH"&amp;"("&amp;INDEX(MO_SNA_FPStartDate,0,COLUMN())&amp;","&amp;INDEX(MO_Common_QEndDate,0,COLUMN())&amp;",,,,""PRICE"",""CLOSE"")"),"N/A")</f>
        <v>N/A</v>
      </c>
      <c r="BT684" s="274"/>
    </row>
    <row r="685" spans="1:72" s="242" customFormat="1" hidden="1" outlineLevel="1" x14ac:dyDescent="0.35">
      <c r="A685" s="243" t="s">
        <v>497</v>
      </c>
      <c r="B685" s="239"/>
      <c r="C685" s="239" t="str">
        <f ca="1">IFERROR(_xll.TR(MO.Ticker.Thomson,"MAX(TR.Pricehigh)","sdate:#1 edate:#2",,INDEX(MO_SNA_FPStartDate,0,COLUMN()),INDEX(MO_Common_QEndDate,0,COLUMN())),"N/A")</f>
        <v>N/A</v>
      </c>
      <c r="D685" s="239" t="str">
        <f ca="1">IFERROR(_xll.TR(MO.Ticker.Thomson,"MAX(TR.Pricehigh)","sdate:#1 edate:#2",,INDEX(MO_SNA_FPStartDate,0,COLUMN()),INDEX(MO_Common_QEndDate,0,COLUMN())),"N/A")</f>
        <v>N/A</v>
      </c>
      <c r="E685" s="239" t="str">
        <f ca="1">IFERROR(_xll.TR(MO.Ticker.Thomson,"MAX(TR.Pricehigh)","sdate:#1 edate:#2",,INDEX(MO_SNA_FPStartDate,0,COLUMN()),INDEX(MO_Common_QEndDate,0,COLUMN())),"N/A")</f>
        <v>N/A</v>
      </c>
      <c r="F685" s="239" t="str">
        <f ca="1">IFERROR(_xll.TR(MO.Ticker.Thomson,"MAX(TR.Pricehigh)","sdate:#1 edate:#2",,INDEX(MO_SNA_FPStartDate,0,COLUMN()),INDEX(MO_Common_QEndDate,0,COLUMN())),"N/A")</f>
        <v>N/A</v>
      </c>
      <c r="G685" s="239" t="str">
        <f ca="1">IFERROR(_xll.TR(MO.Ticker.Thomson,"MAX(TR.Pricehigh)","sdate:#1 edate:#2",,INDEX(MO_SNA_FPStartDate,0,COLUMN()),INDEX(MO_Common_QEndDate,0,COLUMN())),"N/A")</f>
        <v>N/A</v>
      </c>
      <c r="H685" s="239" t="str">
        <f ca="1">IFERROR(_xll.TR(MO.Ticker.Thomson,"MAX(TR.Pricehigh)","sdate:#1 edate:#2",,INDEX(MO_SNA_FPStartDate,0,COLUMN()),INDEX(MO_Common_QEndDate,0,COLUMN())),"N/A")</f>
        <v>N/A</v>
      </c>
      <c r="I685" s="239" t="str">
        <f ca="1">IFERROR(_xll.TR(MO.Ticker.Thomson,"MAX(TR.Pricehigh)","sdate:#1 edate:#2",,INDEX(MO_SNA_FPStartDate,0,COLUMN()),INDEX(MO_Common_QEndDate,0,COLUMN())),"N/A")</f>
        <v>N/A</v>
      </c>
      <c r="J685" s="239" t="str">
        <f ca="1">IFERROR(_xll.TR(MO.Ticker.Thomson,"MAX(TR.Pricehigh)","sdate:#1 edate:#2",,INDEX(MO_SNA_FPStartDate,0,COLUMN()),INDEX(MO_Common_QEndDate,0,COLUMN())),"N/A")</f>
        <v>N/A</v>
      </c>
      <c r="K685" s="239" t="str">
        <f ca="1">IFERROR(_xll.TR(MO.Ticker.Thomson,"MAX(TR.Pricehigh)","sdate:#1 edate:#2",,INDEX(MO_SNA_FPStartDate,0,COLUMN()),INDEX(MO_Common_QEndDate,0,COLUMN())),"N/A")</f>
        <v>N/A</v>
      </c>
      <c r="L685" s="239" t="str">
        <f ca="1">IFERROR(_xll.TR(MO.Ticker.Thomson,"MAX(TR.Pricehigh)","sdate:#1 edate:#2",,INDEX(MO_SNA_FPStartDate,0,COLUMN()),INDEX(MO_Common_QEndDate,0,COLUMN())),"N/A")</f>
        <v>N/A</v>
      </c>
      <c r="M685" s="239" t="str">
        <f ca="1">IFERROR(_xll.TR(MO.Ticker.Thomson,"MAX(TR.Pricehigh)","sdate:#1 edate:#2",,INDEX(MO_SNA_FPStartDate,0,COLUMN()),INDEX(MO_Common_QEndDate,0,COLUMN())),"N/A")</f>
        <v>N/A</v>
      </c>
      <c r="N685" s="239" t="str">
        <f ca="1">IFERROR(_xll.TR(MO.Ticker.Thomson,"MAX(TR.Pricehigh)","sdate:#1 edate:#2",,INDEX(MO_SNA_FPStartDate,0,COLUMN()),INDEX(MO_Common_QEndDate,0,COLUMN())),"N/A")</f>
        <v>N/A</v>
      </c>
      <c r="O685" s="239" t="str">
        <f ca="1">IFERROR(_xll.TR(MO.Ticker.Thomson,"MAX(TR.Pricehigh)","sdate:#1 edate:#2",,INDEX(MO_SNA_FPStartDate,0,COLUMN()),INDEX(MO_Common_QEndDate,0,COLUMN())),"N/A")</f>
        <v>N/A</v>
      </c>
      <c r="P685" s="239" t="str">
        <f ca="1">IFERROR(_xll.TR(MO.Ticker.Thomson,"MAX(TR.Pricehigh)","sdate:#1 edate:#2",,INDEX(MO_SNA_FPStartDate,0,COLUMN()),INDEX(MO_Common_QEndDate,0,COLUMN())),"N/A")</f>
        <v>N/A</v>
      </c>
      <c r="Q685" s="239" t="str">
        <f ca="1">IFERROR(_xll.TR(MO.Ticker.Thomson,"MAX(TR.Pricehigh)","sdate:#1 edate:#2",,INDEX(MO_SNA_FPStartDate,0,COLUMN()),INDEX(MO_Common_QEndDate,0,COLUMN())),"N/A")</f>
        <v>N/A</v>
      </c>
      <c r="R685" s="239" t="str">
        <f ca="1">IFERROR(_xll.TR(MO.Ticker.Thomson,"MAX(TR.Pricehigh)","sdate:#1 edate:#2",,INDEX(MO_SNA_FPStartDate,0,COLUMN()),INDEX(MO_Common_QEndDate,0,COLUMN())),"N/A")</f>
        <v>N/A</v>
      </c>
      <c r="S685" s="239" t="str">
        <f ca="1">IFERROR(_xll.TR(MO.Ticker.Thomson,"MAX(TR.Pricehigh)","sdate:#1 edate:#2",,INDEX(MO_SNA_FPStartDate,0,COLUMN()),INDEX(MO_Common_QEndDate,0,COLUMN())),"N/A")</f>
        <v>N/A</v>
      </c>
      <c r="T685" s="239" t="str">
        <f ca="1">IFERROR(_xll.TR(MO.Ticker.Thomson,"MAX(TR.Pricehigh)","sdate:#1 edate:#2",,INDEX(MO_SNA_FPStartDate,0,COLUMN()),INDEX(MO_Common_QEndDate,0,COLUMN())),"N/A")</f>
        <v>N/A</v>
      </c>
      <c r="U685" s="239" t="str">
        <f ca="1">IFERROR(_xll.TR(MO.Ticker.Thomson,"MAX(TR.Pricehigh)","sdate:#1 edate:#2",,INDEX(MO_SNA_FPStartDate,0,COLUMN()),INDEX(MO_Common_QEndDate,0,COLUMN())),"N/A")</f>
        <v>N/A</v>
      </c>
      <c r="V685" s="239" t="str">
        <f ca="1">IFERROR(_xll.TR(MO.Ticker.Thomson,"MAX(TR.Pricehigh)","sdate:#1 edate:#2",,INDEX(MO_SNA_FPStartDate,0,COLUMN()),INDEX(MO_Common_QEndDate,0,COLUMN())),"N/A")</f>
        <v>N/A</v>
      </c>
      <c r="W685" s="239" t="str">
        <f ca="1">IFERROR(_xll.TR(MO.Ticker.Thomson,"MAX(TR.Pricehigh)","sdate:#1 edate:#2",,INDEX(MO_SNA_FPStartDate,0,COLUMN()),INDEX(MO_Common_QEndDate,0,COLUMN())),"N/A")</f>
        <v>N/A</v>
      </c>
      <c r="X685" s="239" t="str">
        <f ca="1">IFERROR(_xll.TR(MO.Ticker.Thomson,"MAX(TR.Pricehigh)","sdate:#1 edate:#2",,INDEX(MO_SNA_FPStartDate,0,COLUMN()),INDEX(MO_Common_QEndDate,0,COLUMN())),"N/A")</f>
        <v>N/A</v>
      </c>
      <c r="Y685" s="239" t="str">
        <f ca="1">IFERROR(_xll.TR(MO.Ticker.Thomson,"MAX(TR.Pricehigh)","sdate:#1 edate:#2",,INDEX(MO_SNA_FPStartDate,0,COLUMN()),INDEX(MO_Common_QEndDate,0,COLUMN())),"N/A")</f>
        <v>N/A</v>
      </c>
      <c r="Z685" s="239" t="str">
        <f ca="1">IFERROR(_xll.TR(MO.Ticker.Thomson,"MAX(TR.Pricehigh)","sdate:#1 edate:#2",,INDEX(MO_SNA_FPStartDate,0,COLUMN()),INDEX(MO_Common_QEndDate,0,COLUMN())),"N/A")</f>
        <v>N/A</v>
      </c>
      <c r="AA685" s="239" t="str">
        <f ca="1">IFERROR(_xll.TR(MO.Ticker.Thomson,"MAX(TR.Pricehigh)","sdate:#1 edate:#2",,INDEX(MO_SNA_FPStartDate,0,COLUMN()),INDEX(MO_Common_QEndDate,0,COLUMN())),"N/A")</f>
        <v>N/A</v>
      </c>
      <c r="AB685" s="239" t="str">
        <f ca="1">IFERROR(_xll.TR(MO.Ticker.Thomson,"MAX(TR.Pricehigh)","sdate:#1 edate:#2",,INDEX(MO_SNA_FPStartDate,0,COLUMN()),INDEX(MO_Common_QEndDate,0,COLUMN())),"N/A")</f>
        <v>N/A</v>
      </c>
      <c r="AC685" s="239" t="str">
        <f ca="1">IFERROR(_xll.TR(MO.Ticker.Thomson,"MAX(TR.Pricehigh)","sdate:#1 edate:#2",,INDEX(MO_SNA_FPStartDate,0,COLUMN()),INDEX(MO_Common_QEndDate,0,COLUMN())),"N/A")</f>
        <v>N/A</v>
      </c>
      <c r="AD685" s="239" t="str">
        <f ca="1">IFERROR(_xll.TR(MO.Ticker.Thomson,"MAX(TR.Pricehigh)","sdate:#1 edate:#2",,INDEX(MO_SNA_FPStartDate,0,COLUMN()),INDEX(MO_Common_QEndDate,0,COLUMN())),"N/A")</f>
        <v>N/A</v>
      </c>
      <c r="AE685" s="239" t="str">
        <f ca="1">IFERROR(_xll.TR(MO.Ticker.Thomson,"MAX(TR.Pricehigh)","sdate:#1 edate:#2",,INDEX(MO_SNA_FPStartDate,0,COLUMN()),INDEX(MO_Common_QEndDate,0,COLUMN())),"N/A")</f>
        <v>N/A</v>
      </c>
      <c r="AF685" s="239" t="str">
        <f ca="1">IFERROR(_xll.TR(MO.Ticker.Thomson,"MAX(TR.Pricehigh)","sdate:#1 edate:#2",,INDEX(MO_SNA_FPStartDate,0,COLUMN()),INDEX(MO_Common_QEndDate,0,COLUMN())),"N/A")</f>
        <v>N/A</v>
      </c>
      <c r="AG685" s="239" t="str">
        <f ca="1">IFERROR(_xll.TR(MO.Ticker.Thomson,"MAX(TR.Pricehigh)","sdate:#1 edate:#2",,INDEX(MO_SNA_FPStartDate,0,COLUMN()),INDEX(MO_Common_QEndDate,0,COLUMN())),"N/A")</f>
        <v>N/A</v>
      </c>
      <c r="AH685" s="239" t="str">
        <f ca="1">IFERROR(_xll.TR(MO.Ticker.Thomson,"MAX(TR.Pricehigh)","sdate:#1 edate:#2",,INDEX(MO_SNA_FPStartDate,0,COLUMN()),INDEX(MO_Common_QEndDate,0,COLUMN())),"N/A")</f>
        <v>N/A</v>
      </c>
      <c r="AI685" s="239" t="str">
        <f ca="1">IFERROR(_xll.TR(MO.Ticker.Thomson,"MAX(TR.Pricehigh)","sdate:#1 edate:#2",,INDEX(MO_SNA_FPStartDate,0,COLUMN()),INDEX(MO_Common_QEndDate,0,COLUMN())),"N/A")</f>
        <v>N/A</v>
      </c>
      <c r="AJ685" s="239" t="str">
        <f ca="1">IFERROR(_xll.TR(MO.Ticker.Thomson,"MAX(TR.Pricehigh)","sdate:#1 edate:#2",,INDEX(MO_SNA_FPStartDate,0,COLUMN()),INDEX(MO_Common_QEndDate,0,COLUMN())),"N/A")</f>
        <v>N/A</v>
      </c>
      <c r="AK685" s="239" t="str">
        <f ca="1">IFERROR(_xll.TR(MO.Ticker.Thomson,"MAX(TR.Pricehigh)","sdate:#1 edate:#2",,INDEX(MO_SNA_FPStartDate,0,COLUMN()),INDEX(MO_Common_QEndDate,0,COLUMN())),"N/A")</f>
        <v>N/A</v>
      </c>
      <c r="AL685" s="239" t="str">
        <f ca="1">IFERROR(_xll.TR(MO.Ticker.Thomson,"MAX(TR.Pricehigh)","sdate:#1 edate:#2",,INDEX(MO_SNA_FPStartDate,0,COLUMN()),INDEX(MO_Common_QEndDate,0,COLUMN())),"N/A")</f>
        <v>N/A</v>
      </c>
      <c r="AM685" s="239" t="str">
        <f ca="1">IFERROR(_xll.TR(MO.Ticker.Thomson,"MAX(TR.Pricehigh)","sdate:#1 edate:#2",,INDEX(MO_SNA_FPStartDate,0,COLUMN()),INDEX(MO_Common_QEndDate,0,COLUMN())),"N/A")</f>
        <v>N/A</v>
      </c>
      <c r="AN685" s="239" t="str">
        <f ca="1">IFERROR(_xll.TR(MO.Ticker.Thomson,"MAX(TR.Pricehigh)","sdate:#1 edate:#2",,INDEX(MO_SNA_FPStartDate,0,COLUMN()),INDEX(MO_Common_QEndDate,0,COLUMN())),"N/A")</f>
        <v>N/A</v>
      </c>
      <c r="AO685" s="239" t="str">
        <f ca="1">IFERROR(_xll.TR(MO.Ticker.Thomson,"MAX(TR.Pricehigh)","sdate:#1 edate:#2",,INDEX(MO_SNA_FPStartDate,0,COLUMN()),INDEX(MO_Common_QEndDate,0,COLUMN())),"N/A")</f>
        <v>N/A</v>
      </c>
      <c r="AP685" s="239" t="str">
        <f ca="1">IFERROR(_xll.TR(MO.Ticker.Thomson,"MAX(TR.Pricehigh)","sdate:#1 edate:#2",,INDEX(MO_SNA_FPStartDate,0,COLUMN()),INDEX(MO_Common_QEndDate,0,COLUMN())),"N/A")</f>
        <v>N/A</v>
      </c>
      <c r="AQ685" s="239" t="str">
        <f ca="1">IFERROR(_xll.TR(MO.Ticker.Thomson,"MAX(TR.Pricehigh)","sdate:#1 edate:#2",,INDEX(MO_SNA_FPStartDate,0,COLUMN()),INDEX(MO_Common_QEndDate,0,COLUMN())),"N/A")</f>
        <v>N/A</v>
      </c>
      <c r="AR685" s="239" t="str">
        <f ca="1">IFERROR(_xll.TR(MO.Ticker.Thomson,"MAX(TR.Pricehigh)","sdate:#1 edate:#2",,INDEX(MO_SNA_FPStartDate,0,COLUMN()),INDEX(MO_Common_QEndDate,0,COLUMN())),"N/A")</f>
        <v>N/A</v>
      </c>
      <c r="AS685" s="239" t="str">
        <f ca="1">IFERROR(_xll.TR(MO.Ticker.Thomson,"MAX(TR.Pricehigh)","sdate:#1 edate:#2",,INDEX(MO_SNA_FPStartDate,0,COLUMN()),INDEX(MO_Common_QEndDate,0,COLUMN())),"N/A")</f>
        <v>N/A</v>
      </c>
      <c r="AT685" s="239" t="str">
        <f ca="1">IFERROR(_xll.TR(MO.Ticker.Thomson,"MAX(TR.Pricehigh)","sdate:#1 edate:#2",,INDEX(MO_SNA_FPStartDate,0,COLUMN()),INDEX(MO_Common_QEndDate,0,COLUMN())),"N/A")</f>
        <v>N/A</v>
      </c>
      <c r="AU685" s="239" t="str">
        <f ca="1">IFERROR(_xll.TR(MO.Ticker.Thomson,"MAX(TR.Pricehigh)","sdate:#1 edate:#2",,INDEX(MO_SNA_FPStartDate,0,COLUMN()),INDEX(MO_Common_QEndDate,0,COLUMN())),"N/A")</f>
        <v>N/A</v>
      </c>
      <c r="AV685" s="239" t="str">
        <f ca="1">IFERROR(_xll.TR(MO.Ticker.Thomson,"MAX(TR.Pricehigh)","sdate:#1 edate:#2",,INDEX(MO_SNA_FPStartDate,0,COLUMN()),INDEX(MO_Common_QEndDate,0,COLUMN())),"N/A")</f>
        <v>N/A</v>
      </c>
      <c r="AW685" s="239" t="str">
        <f ca="1">IFERROR(_xll.TR(MO.Ticker.Thomson,"MAX(TR.Pricehigh)","sdate:#1 edate:#2",,INDEX(MO_SNA_FPStartDate,0,COLUMN()),INDEX(MO_Common_QEndDate,0,COLUMN())),"N/A")</f>
        <v>N/A</v>
      </c>
      <c r="AX685" s="239" t="str">
        <f ca="1">IFERROR(_xll.TR(MO.Ticker.Thomson,"MAX(TR.Pricehigh)","sdate:#1 edate:#2",,INDEX(MO_SNA_FPStartDate,0,COLUMN()),INDEX(MO_Common_QEndDate,0,COLUMN())),"N/A")</f>
        <v>N/A</v>
      </c>
      <c r="AY685" s="239"/>
      <c r="AZ685" s="240" t="str">
        <f ca="1">IFERROR(_xll.TR(MO.Ticker.Thomson,"MAX(TR.Pricehigh)","sdate:#1 edate:#2",,INDEX(MO_SNA_FPStartDate,0,COLUMN()),INDEX(MO_Common_QEndDate,0,COLUMN())),"N/A")</f>
        <v>N/A</v>
      </c>
      <c r="BA685" s="240" t="str">
        <f ca="1">IFERROR(_xll.TR(MO.Ticker.Thomson,"MAX(TR.Pricehigh)","sdate:#1 edate:#2",,INDEX(MO_SNA_FPStartDate,0,COLUMN()),INDEX(MO_Common_QEndDate,0,COLUMN())),"N/A")</f>
        <v>N/A</v>
      </c>
      <c r="BB685" s="239" t="str">
        <f ca="1">IFERROR(_xll.TR(MO.Ticker.Thomson,"MAX(TR.Pricehigh)","sdate:#1 edate:#2",,INDEX(MO_SNA_FPStartDate,0,COLUMN()),INDEX(MO_Common_QEndDate,0,COLUMN())),"N/A")</f>
        <v>N/A</v>
      </c>
      <c r="BC685" s="239" t="str">
        <f ca="1">IFERROR(_xll.TR(MO.Ticker.Thomson,"MAX(TR.Pricehigh)","sdate:#1 edate:#2",,INDEX(MO_SNA_FPStartDate,0,COLUMN()),INDEX(MO_Common_QEndDate,0,COLUMN())),"N/A")</f>
        <v>N/A</v>
      </c>
      <c r="BD685" s="239" t="str">
        <f ca="1">IFERROR(_xll.TR(MO.Ticker.Thomson,"MAX(TR.Pricehigh)","sdate:#1 edate:#2",,INDEX(MO_SNA_FPStartDate,0,COLUMN()),INDEX(MO_Common_QEndDate,0,COLUMN())),"N/A")</f>
        <v>N/A</v>
      </c>
      <c r="BE685" s="239" t="str">
        <f ca="1">IFERROR(_xll.TR(MO.Ticker.Thomson,"MAX(TR.Pricehigh)","sdate:#1 edate:#2",,INDEX(MO_SNA_FPStartDate,0,COLUMN()),INDEX(MO_Common_QEndDate,0,COLUMN())),"N/A")</f>
        <v>N/A</v>
      </c>
      <c r="BF685" s="239" t="str">
        <f ca="1">IFERROR(_xll.TR(MO.Ticker.Thomson,"MAX(TR.Pricehigh)","sdate:#1 edate:#2",,INDEX(MO_SNA_FPStartDate,0,COLUMN()),INDEX(MO_Common_QEndDate,0,COLUMN())),"N/A")</f>
        <v>N/A</v>
      </c>
      <c r="BG685" s="239" t="str">
        <f ca="1">IFERROR(_xll.TR(MO.Ticker.Thomson,"MAX(TR.Pricehigh)","sdate:#1 edate:#2",,INDEX(MO_SNA_FPStartDate,0,COLUMN()),INDEX(MO_Common_QEndDate,0,COLUMN())),"N/A")</f>
        <v>N/A</v>
      </c>
      <c r="BH685" s="239" t="str">
        <f ca="1">IFERROR(_xll.TR(MO.Ticker.Thomson,"MAX(TR.Pricehigh)","sdate:#1 edate:#2",,INDEX(MO_SNA_FPStartDate,0,COLUMN()),INDEX(MO_Common_QEndDate,0,COLUMN())),"N/A")</f>
        <v>N/A</v>
      </c>
      <c r="BI685" s="239" t="str">
        <f ca="1">IFERROR(_xll.TR(MO.Ticker.Thomson,"MAX(TR.Pricehigh)","sdate:#1 edate:#2",,INDEX(MO_SNA_FPStartDate,0,COLUMN()),INDEX(MO_Common_QEndDate,0,COLUMN())),"N/A")</f>
        <v>N/A</v>
      </c>
      <c r="BJ685" s="239" t="str">
        <f ca="1">IFERROR(_xll.TR(MO.Ticker.Thomson,"MAX(TR.Pricehigh)","sdate:#1 edate:#2",,INDEX(MO_SNA_FPStartDate,0,COLUMN()),INDEX(MO_Common_QEndDate,0,COLUMN())),"N/A")</f>
        <v>N/A</v>
      </c>
      <c r="BK685" s="239" t="str">
        <f ca="1">IFERROR(_xll.TR(MO.Ticker.Thomson,"MAX(TR.Pricehigh)","sdate:#1 edate:#2",,INDEX(MO_SNA_FPStartDate,0,COLUMN()),INDEX(MO_Common_QEndDate,0,COLUMN())),"N/A")</f>
        <v>N/A</v>
      </c>
      <c r="BL685" s="239" t="str">
        <f ca="1">IFERROR(_xll.TR(MO.Ticker.Thomson,"MAX(TR.Pricehigh)","sdate:#1 edate:#2",,INDEX(MO_SNA_FPStartDate,0,COLUMN()),INDEX(MO_Common_QEndDate,0,COLUMN())),"N/A")</f>
        <v>N/A</v>
      </c>
      <c r="BM685" s="239" t="str">
        <f ca="1">IFERROR(_xll.TR(MO.Ticker.Thomson,"MAX(TR.Pricehigh)","sdate:#1 edate:#2",,INDEX(MO_SNA_FPStartDate,0,COLUMN()),INDEX(MO_Common_QEndDate,0,COLUMN())),"N/A")</f>
        <v>N/A</v>
      </c>
      <c r="BN685" s="239" t="str">
        <f ca="1">IFERROR(_xll.TR(MO.Ticker.Thomson,"MAX(TR.Pricehigh)","sdate:#1 edate:#2",,INDEX(MO_SNA_FPStartDate,0,COLUMN()),INDEX(MO_Common_QEndDate,0,COLUMN())),"N/A")</f>
        <v>N/A</v>
      </c>
      <c r="BO685" s="239" t="str">
        <f ca="1">IFERROR(_xll.TR(MO.Ticker.Thomson,"MAX(TR.Pricehigh)","sdate:#1 edate:#2",,INDEX(MO_SNA_FPStartDate,0,COLUMN()),INDEX(MO_Common_QEndDate,0,COLUMN())),"N/A")</f>
        <v>N/A</v>
      </c>
      <c r="BP685" s="239" t="str">
        <f ca="1">IFERROR(_xll.TR(MO.Ticker.Thomson,"MAX(TR.Pricehigh)","sdate:#1 edate:#2",,INDEX(MO_SNA_FPStartDate,0,COLUMN()),INDEX(MO_Common_QEndDate,0,COLUMN())),"N/A")</f>
        <v>N/A</v>
      </c>
      <c r="BQ685" s="239" t="str">
        <f ca="1">IFERROR(_xll.TR(MO.Ticker.Thomson,"MAX(TR.Pricehigh)","sdate:#1 edate:#2",,INDEX(MO_SNA_FPStartDate,0,COLUMN()),INDEX(MO_Common_QEndDate,0,COLUMN())),"N/A")</f>
        <v>N/A</v>
      </c>
      <c r="BR685" s="239" t="str">
        <f ca="1">IFERROR(_xll.TR(MO.Ticker.Thomson,"MAX(TR.Pricehigh)","sdate:#1 edate:#2",,INDEX(MO_SNA_FPStartDate,0,COLUMN()),INDEX(MO_Common_QEndDate,0,COLUMN())),"N/A")</f>
        <v>N/A</v>
      </c>
      <c r="BS685" s="241" t="str">
        <f ca="1">IFERROR(_xll.TR(MO.Ticker.Thomson,"MAX(TR.Pricehigh)","sdate:#1 edate:#2",,INDEX(MO_SNA_FPStartDate,0,COLUMN()),INDEX(MO_Common_QEndDate,0,COLUMN())),"N/A")</f>
        <v>N/A</v>
      </c>
      <c r="BT685" s="274"/>
    </row>
    <row r="686" spans="1:72" s="17" customFormat="1" hidden="1" outlineLevel="1" x14ac:dyDescent="0.35">
      <c r="A686" s="139"/>
      <c r="B686" s="532"/>
      <c r="C686" s="532"/>
      <c r="D686" s="532"/>
      <c r="E686" s="532"/>
      <c r="F686" s="532"/>
      <c r="G686" s="532"/>
      <c r="H686" s="532"/>
      <c r="I686" s="532"/>
      <c r="J686" s="532"/>
      <c r="K686" s="532"/>
      <c r="L686" s="532"/>
      <c r="M686" s="532"/>
      <c r="N686" s="532"/>
      <c r="O686" s="532"/>
      <c r="P686" s="532"/>
      <c r="Q686" s="532"/>
      <c r="R686" s="532"/>
      <c r="S686" s="532"/>
      <c r="T686" s="532"/>
      <c r="U686" s="532"/>
      <c r="V686" s="532"/>
      <c r="W686" s="532"/>
      <c r="X686" s="532"/>
      <c r="Y686" s="532"/>
      <c r="Z686" s="532"/>
      <c r="AA686" s="532"/>
      <c r="AB686" s="532"/>
      <c r="AC686" s="532"/>
      <c r="AD686" s="532"/>
      <c r="AE686" s="532"/>
      <c r="AF686" s="532"/>
      <c r="AG686" s="532"/>
      <c r="AH686" s="532"/>
      <c r="AI686" s="532"/>
      <c r="AJ686" s="532"/>
      <c r="AK686" s="532"/>
      <c r="AL686" s="532"/>
      <c r="AM686" s="532"/>
      <c r="AN686" s="532"/>
      <c r="AO686" s="532"/>
      <c r="AP686" s="532"/>
      <c r="AQ686" s="532"/>
      <c r="AR686" s="532"/>
      <c r="AS686" s="532"/>
      <c r="AT686" s="532"/>
      <c r="AU686" s="532"/>
      <c r="AV686" s="532"/>
      <c r="AW686" s="532"/>
      <c r="AX686" s="532"/>
      <c r="AY686" s="532"/>
      <c r="AZ686" s="115"/>
      <c r="BA686" s="115"/>
      <c r="BB686" s="532"/>
      <c r="BC686" s="532"/>
      <c r="BD686" s="532"/>
      <c r="BE686" s="532"/>
      <c r="BF686" s="532"/>
      <c r="BG686" s="532"/>
      <c r="BH686" s="532"/>
      <c r="BI686" s="532"/>
      <c r="BJ686" s="532"/>
      <c r="BK686" s="532"/>
      <c r="BL686" s="532"/>
      <c r="BM686" s="532"/>
      <c r="BN686" s="532"/>
      <c r="BO686" s="532"/>
      <c r="BP686" s="532"/>
      <c r="BQ686" s="532"/>
      <c r="BR686" s="532"/>
      <c r="BS686" s="138"/>
      <c r="BT686" s="273"/>
    </row>
    <row r="687" spans="1:72" s="242" customFormat="1" collapsed="1" x14ac:dyDescent="0.35">
      <c r="A687" s="238" t="str">
        <f ca="1">"Stock Low: "&amp;IF(OR(MO.RealTimeStockPriceToggle=FALSE,VLOOKUP(MO.DataSourceName,MO_SPT_StockLow_Sources,COLUMN()+2,FALSE)="N/A"),"Real-Time Off Source",MO.DataSourceName)</f>
        <v>Stock Low: Real-Time Off Source</v>
      </c>
      <c r="B687" s="239"/>
      <c r="C687" s="239">
        <f t="shared" ref="C687:AH687" ca="1" si="877">IF(OR(MO.RealTimeStockPriceToggle=FALSE,VLOOKUP(MO.DataSourceName,MO_SPT_StockLow_Sources,COLUMN(),FALSE)="N/A"),VLOOKUP("Real-Time Off Source",MO_SPT_StockLow_Sources,COLUMN(),FALSE),VLOOKUP(MO.DataSourceName,MO_SPT_StockLow_Sources,COLUMN(),FALSE))</f>
        <v>17.190000000000001</v>
      </c>
      <c r="D687" s="239">
        <f t="shared" ca="1" si="877"/>
        <v>15.83</v>
      </c>
      <c r="E687" s="239">
        <f t="shared" ca="1" si="877"/>
        <v>17.77</v>
      </c>
      <c r="F687" s="239">
        <f t="shared" ca="1" si="877"/>
        <v>23.24</v>
      </c>
      <c r="G687" s="239">
        <f t="shared" ca="1" si="877"/>
        <v>25.95</v>
      </c>
      <c r="H687" s="239">
        <f t="shared" ca="1" si="877"/>
        <v>17.149999999999999</v>
      </c>
      <c r="I687" s="239">
        <f t="shared" ca="1" si="877"/>
        <v>19.66</v>
      </c>
      <c r="J687" s="239">
        <f t="shared" ca="1" si="877"/>
        <v>21.14</v>
      </c>
      <c r="K687" s="239">
        <f t="shared" ca="1" si="877"/>
        <v>15.96</v>
      </c>
      <c r="L687" s="239">
        <f t="shared" ca="1" si="877"/>
        <v>11.08</v>
      </c>
      <c r="M687" s="239">
        <f t="shared" ca="1" si="877"/>
        <v>10.07</v>
      </c>
      <c r="N687" s="239">
        <f t="shared" ca="1" si="877"/>
        <v>12.53</v>
      </c>
      <c r="O687" s="239">
        <f t="shared" ca="1" si="877"/>
        <v>12.15</v>
      </c>
      <c r="P687" s="239">
        <f t="shared" ca="1" si="877"/>
        <v>8.8000000000000007</v>
      </c>
      <c r="Q687" s="239">
        <f t="shared" ca="1" si="877"/>
        <v>7.11</v>
      </c>
      <c r="R687" s="239">
        <f t="shared" ca="1" si="877"/>
        <v>9.16</v>
      </c>
      <c r="S687" s="239">
        <f t="shared" ca="1" si="877"/>
        <v>10.67</v>
      </c>
      <c r="T687" s="239">
        <f t="shared" ca="1" si="877"/>
        <v>10.17</v>
      </c>
      <c r="U687" s="239">
        <f t="shared" ca="1" si="877"/>
        <v>16.16</v>
      </c>
      <c r="V687" s="239">
        <f t="shared" ca="1" si="877"/>
        <v>17.16</v>
      </c>
      <c r="W687" s="239">
        <f t="shared" ca="1" si="877"/>
        <v>16.350000000000001</v>
      </c>
      <c r="X687" s="239">
        <f t="shared" ca="1" si="877"/>
        <v>15.07</v>
      </c>
      <c r="Y687" s="239">
        <f t="shared" ca="1" si="877"/>
        <v>14.01</v>
      </c>
      <c r="Z687" s="239">
        <f t="shared" ca="1" si="877"/>
        <v>12.72</v>
      </c>
      <c r="AA687" s="239">
        <f t="shared" ca="1" si="877"/>
        <v>16.170000000000002</v>
      </c>
      <c r="AB687" s="239">
        <f t="shared" ca="1" si="877"/>
        <v>16.38</v>
      </c>
      <c r="AC687" s="239">
        <f t="shared" ca="1" si="877"/>
        <v>23.93</v>
      </c>
      <c r="AD687" s="239">
        <f t="shared" ca="1" si="877"/>
        <v>28.37</v>
      </c>
      <c r="AE687" s="239">
        <f t="shared" ca="1" si="877"/>
        <v>26</v>
      </c>
      <c r="AF687" s="239">
        <f t="shared" ca="1" si="877"/>
        <v>18.96</v>
      </c>
      <c r="AG687" s="239">
        <f t="shared" ca="1" si="877"/>
        <v>15.86</v>
      </c>
      <c r="AH687" s="239">
        <f t="shared" ca="1" si="877"/>
        <v>17.850000000000001</v>
      </c>
      <c r="AI687" s="239">
        <f t="shared" ref="AI687:AX687" ca="1" si="878">IF(OR(MO.RealTimeStockPriceToggle=FALSE,VLOOKUP(MO.DataSourceName,MO_SPT_StockLow_Sources,COLUMN(),FALSE)="N/A"),VLOOKUP("Real-Time Off Source",MO_SPT_StockLow_Sources,COLUMN(),FALSE),VLOOKUP(MO.DataSourceName,MO_SPT_StockLow_Sources,COLUMN(),FALSE))</f>
        <v>26.34</v>
      </c>
      <c r="AJ687" s="239">
        <f t="shared" ca="1" si="878"/>
        <v>21.05</v>
      </c>
      <c r="AK687" s="239">
        <f t="shared" ca="1" si="878"/>
        <v>20.89</v>
      </c>
      <c r="AL687" s="239">
        <f t="shared" ca="1" si="878"/>
        <v>26.34</v>
      </c>
      <c r="AM687" s="239">
        <f t="shared" ca="1" si="878"/>
        <v>28.63</v>
      </c>
      <c r="AN687" s="239">
        <f t="shared" ca="1" si="878"/>
        <v>31.56</v>
      </c>
      <c r="AO687" s="239">
        <f t="shared" ca="1" si="878"/>
        <v>26.86</v>
      </c>
      <c r="AP687" s="239">
        <f t="shared" ca="1" si="878"/>
        <v>33.46</v>
      </c>
      <c r="AQ687" s="239">
        <f t="shared" ca="1" si="878"/>
        <v>35.15</v>
      </c>
      <c r="AR687" s="239">
        <f t="shared" ca="1" si="878"/>
        <v>31.28</v>
      </c>
      <c r="AS687" s="239">
        <f t="shared" ca="1" si="878"/>
        <v>31.77</v>
      </c>
      <c r="AT687" s="239">
        <f t="shared" ca="1" si="878"/>
        <v>37.229999999999997</v>
      </c>
      <c r="AU687" s="239">
        <f t="shared" ca="1" si="878"/>
        <v>35.82</v>
      </c>
      <c r="AV687" s="239">
        <f t="shared" ca="1" si="878"/>
        <v>0</v>
      </c>
      <c r="AW687" s="239">
        <f t="shared" ca="1" si="878"/>
        <v>0</v>
      </c>
      <c r="AX687" s="239">
        <f t="shared" ca="1" si="878"/>
        <v>0</v>
      </c>
      <c r="AY687" s="239"/>
      <c r="AZ687" s="240">
        <f t="shared" ref="AZ687:BS687" ca="1" si="879">IF(OR(MO.RealTimeStockPriceToggle=FALSE,VLOOKUP(MO.DataSourceName,MO_SPT_StockLow_Sources,COLUMN(),FALSE)="N/A"),VLOOKUP("Real-Time Off Source",MO_SPT_StockLow_Sources,COLUMN(),FALSE),VLOOKUP(MO.DataSourceName,MO_SPT_StockLow_Sources,COLUMN(),FALSE))</f>
        <v>15.28</v>
      </c>
      <c r="BA687" s="240">
        <f t="shared" ca="1" si="879"/>
        <v>15.28</v>
      </c>
      <c r="BB687" s="239">
        <f t="shared" ca="1" si="879"/>
        <v>21.21</v>
      </c>
      <c r="BC687" s="239">
        <f t="shared" ca="1" si="879"/>
        <v>17.07</v>
      </c>
      <c r="BD687" s="239">
        <f t="shared" ca="1" si="879"/>
        <v>15.83</v>
      </c>
      <c r="BE687" s="239">
        <f t="shared" ca="1" si="879"/>
        <v>17.149999999999999</v>
      </c>
      <c r="BF687" s="239">
        <f t="shared" ca="1" si="879"/>
        <v>10.07</v>
      </c>
      <c r="BG687" s="239">
        <f t="shared" ca="1" si="879"/>
        <v>7.11</v>
      </c>
      <c r="BH687" s="239">
        <f t="shared" ca="1" si="879"/>
        <v>10.17</v>
      </c>
      <c r="BI687" s="239">
        <f t="shared" ca="1" si="879"/>
        <v>12.72</v>
      </c>
      <c r="BJ687" s="239">
        <f t="shared" ca="1" si="879"/>
        <v>16.170000000000002</v>
      </c>
      <c r="BK687" s="239">
        <f t="shared" ca="1" si="879"/>
        <v>15.86</v>
      </c>
      <c r="BL687" s="239">
        <f t="shared" ca="1" si="879"/>
        <v>20.89</v>
      </c>
      <c r="BM687" s="239">
        <f t="shared" ca="1" si="879"/>
        <v>26.86</v>
      </c>
      <c r="BN687" s="239">
        <f t="shared" ca="1" si="879"/>
        <v>31.28</v>
      </c>
      <c r="BO687" s="239">
        <f t="shared" ca="1" si="879"/>
        <v>0</v>
      </c>
      <c r="BP687" s="239">
        <f t="shared" ca="1" si="879"/>
        <v>0</v>
      </c>
      <c r="BQ687" s="239">
        <f t="shared" ca="1" si="879"/>
        <v>0</v>
      </c>
      <c r="BR687" s="239">
        <f t="shared" ca="1" si="879"/>
        <v>0</v>
      </c>
      <c r="BS687" s="241">
        <f t="shared" ca="1" si="879"/>
        <v>0</v>
      </c>
      <c r="BT687" s="274"/>
    </row>
    <row r="688" spans="1:72" s="242" customFormat="1" hidden="1" outlineLevel="1" x14ac:dyDescent="0.35">
      <c r="A688" s="243" t="s">
        <v>262</v>
      </c>
      <c r="B688" s="239"/>
      <c r="C688" s="657">
        <v>17.190000000000001</v>
      </c>
      <c r="D688" s="657">
        <v>15.83</v>
      </c>
      <c r="E688" s="657">
        <v>17.77</v>
      </c>
      <c r="F688" s="657">
        <v>23.24</v>
      </c>
      <c r="G688" s="657">
        <v>25.95</v>
      </c>
      <c r="H688" s="657">
        <v>17.149999999999999</v>
      </c>
      <c r="I688" s="657">
        <v>19.66</v>
      </c>
      <c r="J688" s="657">
        <v>21.14</v>
      </c>
      <c r="K688" s="657">
        <v>15.96</v>
      </c>
      <c r="L688" s="657">
        <v>11.08</v>
      </c>
      <c r="M688" s="657">
        <v>10.07</v>
      </c>
      <c r="N688" s="657">
        <v>12.53</v>
      </c>
      <c r="O688" s="657">
        <v>12.15</v>
      </c>
      <c r="P688" s="657">
        <v>8.8000000000000007</v>
      </c>
      <c r="Q688" s="657">
        <v>7.11</v>
      </c>
      <c r="R688" s="657">
        <v>9.16</v>
      </c>
      <c r="S688" s="657">
        <v>10.67</v>
      </c>
      <c r="T688" s="657">
        <v>10.17</v>
      </c>
      <c r="U688" s="657">
        <v>16.16</v>
      </c>
      <c r="V688" s="657">
        <v>17.16</v>
      </c>
      <c r="W688" s="657">
        <v>16.350000000000001</v>
      </c>
      <c r="X688" s="657">
        <v>15.07</v>
      </c>
      <c r="Y688" s="657">
        <v>14.01</v>
      </c>
      <c r="Z688" s="657">
        <v>12.72</v>
      </c>
      <c r="AA688" s="657">
        <v>16.170000000000002</v>
      </c>
      <c r="AB688" s="657">
        <v>16.38</v>
      </c>
      <c r="AC688" s="657">
        <v>23.93</v>
      </c>
      <c r="AD688" s="657">
        <v>28.37</v>
      </c>
      <c r="AE688" s="657">
        <v>26</v>
      </c>
      <c r="AF688" s="657">
        <v>18.96</v>
      </c>
      <c r="AG688" s="657">
        <v>15.86</v>
      </c>
      <c r="AH688" s="657">
        <v>17.850000000000001</v>
      </c>
      <c r="AI688" s="657">
        <v>26.34</v>
      </c>
      <c r="AJ688" s="657">
        <v>21.05</v>
      </c>
      <c r="AK688" s="657">
        <v>20.89</v>
      </c>
      <c r="AL688" s="657">
        <v>26.34</v>
      </c>
      <c r="AM688" s="657">
        <v>28.63</v>
      </c>
      <c r="AN688" s="657">
        <v>31.56</v>
      </c>
      <c r="AO688" s="657">
        <v>26.86</v>
      </c>
      <c r="AP688" s="657">
        <v>33.46</v>
      </c>
      <c r="AQ688" s="657">
        <v>35.15</v>
      </c>
      <c r="AR688" s="657">
        <v>31.28</v>
      </c>
      <c r="AS688" s="657">
        <v>31.77</v>
      </c>
      <c r="AT688" s="657">
        <v>37.229999999999997</v>
      </c>
      <c r="AU688" s="657">
        <v>35.82</v>
      </c>
      <c r="AV688" s="239"/>
      <c r="AW688" s="239"/>
      <c r="AX688" s="239"/>
      <c r="AY688" s="239"/>
      <c r="AZ688" s="658">
        <v>15.28</v>
      </c>
      <c r="BA688" s="658">
        <v>15.28</v>
      </c>
      <c r="BB688" s="657">
        <v>21.21</v>
      </c>
      <c r="BC688" s="657">
        <v>17.07</v>
      </c>
      <c r="BD688" s="657">
        <v>15.83</v>
      </c>
      <c r="BE688" s="657">
        <v>17.149999999999999</v>
      </c>
      <c r="BF688" s="657">
        <v>10.07</v>
      </c>
      <c r="BG688" s="657">
        <v>7.11</v>
      </c>
      <c r="BH688" s="657">
        <v>10.17</v>
      </c>
      <c r="BI688" s="657">
        <v>12.72</v>
      </c>
      <c r="BJ688" s="657">
        <v>16.170000000000002</v>
      </c>
      <c r="BK688" s="657">
        <v>15.86</v>
      </c>
      <c r="BL688" s="657">
        <v>20.89</v>
      </c>
      <c r="BM688" s="657">
        <v>26.86</v>
      </c>
      <c r="BN688" s="657">
        <v>31.28</v>
      </c>
      <c r="BO688" s="239"/>
      <c r="BP688" s="239"/>
      <c r="BQ688" s="239"/>
      <c r="BR688" s="239"/>
      <c r="BS688" s="241"/>
      <c r="BT688" s="274"/>
    </row>
    <row r="689" spans="1:72" s="242" customFormat="1" hidden="1" outlineLevel="1" x14ac:dyDescent="0.35">
      <c r="A689" s="243" t="s">
        <v>7</v>
      </c>
      <c r="B689" s="239"/>
      <c r="C689" s="239" t="str">
        <f ca="1">IFERROR(BDP(MO.Ticker.Bloomberg&amp;" Equity","INTERVAL_LOW","MARKET_DATA_OVERRIDE=PX_LAST","START_DATE_OVERRIDE",TEXT(INDEX(MO_SNA_FPStartDate,0,COLUMN()),"YYYYMMDD"),"END_DATE_OVERRIDE",TEXT(INDEX(MO_Common_QEndDate,0,COLUMN()),"YYYYMMDD")),"N/A")</f>
        <v>N/A</v>
      </c>
      <c r="D689" s="239" t="str">
        <f ca="1">IFERROR(BDP(MO.Ticker.Bloomberg&amp;" Equity","INTERVAL_LOW","MARKET_DATA_OVERRIDE=PX_LAST","START_DATE_OVERRIDE",TEXT(INDEX(MO_SNA_FPStartDate,0,COLUMN()),"YYYYMMDD"),"END_DATE_OVERRIDE",TEXT(INDEX(MO_Common_QEndDate,0,COLUMN()),"YYYYMMDD")),"N/A")</f>
        <v>N/A</v>
      </c>
      <c r="E689" s="239" t="str">
        <f ca="1">IFERROR(BDP(MO.Ticker.Bloomberg&amp;" Equity","INTERVAL_LOW","MARKET_DATA_OVERRIDE=PX_LAST","START_DATE_OVERRIDE",TEXT(INDEX(MO_SNA_FPStartDate,0,COLUMN()),"YYYYMMDD"),"END_DATE_OVERRIDE",TEXT(INDEX(MO_Common_QEndDate,0,COLUMN()),"YYYYMMDD")),"N/A")</f>
        <v>N/A</v>
      </c>
      <c r="F689" s="239" t="str">
        <f ca="1">IFERROR(BDP(MO.Ticker.Bloomberg&amp;" Equity","INTERVAL_LOW","MARKET_DATA_OVERRIDE=PX_LAST","START_DATE_OVERRIDE",TEXT(INDEX(MO_SNA_FPStartDate,0,COLUMN()),"YYYYMMDD"),"END_DATE_OVERRIDE",TEXT(INDEX(MO_Common_QEndDate,0,COLUMN()),"YYYYMMDD")),"N/A")</f>
        <v>N/A</v>
      </c>
      <c r="G689" s="239" t="str">
        <f ca="1">IFERROR(BDP(MO.Ticker.Bloomberg&amp;" Equity","INTERVAL_LOW","MARKET_DATA_OVERRIDE=PX_LAST","START_DATE_OVERRIDE",TEXT(INDEX(MO_SNA_FPStartDate,0,COLUMN()),"YYYYMMDD"),"END_DATE_OVERRIDE",TEXT(INDEX(MO_Common_QEndDate,0,COLUMN()),"YYYYMMDD")),"N/A")</f>
        <v>N/A</v>
      </c>
      <c r="H689" s="239" t="str">
        <f ca="1">IFERROR(BDP(MO.Ticker.Bloomberg&amp;" Equity","INTERVAL_LOW","MARKET_DATA_OVERRIDE=PX_LAST","START_DATE_OVERRIDE",TEXT(INDEX(MO_SNA_FPStartDate,0,COLUMN()),"YYYYMMDD"),"END_DATE_OVERRIDE",TEXT(INDEX(MO_Common_QEndDate,0,COLUMN()),"YYYYMMDD")),"N/A")</f>
        <v>N/A</v>
      </c>
      <c r="I689" s="239" t="str">
        <f ca="1">IFERROR(BDP(MO.Ticker.Bloomberg&amp;" Equity","INTERVAL_LOW","MARKET_DATA_OVERRIDE=PX_LAST","START_DATE_OVERRIDE",TEXT(INDEX(MO_SNA_FPStartDate,0,COLUMN()),"YYYYMMDD"),"END_DATE_OVERRIDE",TEXT(INDEX(MO_Common_QEndDate,0,COLUMN()),"YYYYMMDD")),"N/A")</f>
        <v>N/A</v>
      </c>
      <c r="J689" s="239" t="str">
        <f ca="1">IFERROR(BDP(MO.Ticker.Bloomberg&amp;" Equity","INTERVAL_LOW","MARKET_DATA_OVERRIDE=PX_LAST","START_DATE_OVERRIDE",TEXT(INDEX(MO_SNA_FPStartDate,0,COLUMN()),"YYYYMMDD"),"END_DATE_OVERRIDE",TEXT(INDEX(MO_Common_QEndDate,0,COLUMN()),"YYYYMMDD")),"N/A")</f>
        <v>N/A</v>
      </c>
      <c r="K689" s="239" t="str">
        <f ca="1">IFERROR(BDP(MO.Ticker.Bloomberg&amp;" Equity","INTERVAL_LOW","MARKET_DATA_OVERRIDE=PX_LAST","START_DATE_OVERRIDE",TEXT(INDEX(MO_SNA_FPStartDate,0,COLUMN()),"YYYYMMDD"),"END_DATE_OVERRIDE",TEXT(INDEX(MO_Common_QEndDate,0,COLUMN()),"YYYYMMDD")),"N/A")</f>
        <v>N/A</v>
      </c>
      <c r="L689" s="239" t="str">
        <f ca="1">IFERROR(BDP(MO.Ticker.Bloomberg&amp;" Equity","INTERVAL_LOW","MARKET_DATA_OVERRIDE=PX_LAST","START_DATE_OVERRIDE",TEXT(INDEX(MO_SNA_FPStartDate,0,COLUMN()),"YYYYMMDD"),"END_DATE_OVERRIDE",TEXT(INDEX(MO_Common_QEndDate,0,COLUMN()),"YYYYMMDD")),"N/A")</f>
        <v>N/A</v>
      </c>
      <c r="M689" s="239" t="str">
        <f ca="1">IFERROR(BDP(MO.Ticker.Bloomberg&amp;" Equity","INTERVAL_LOW","MARKET_DATA_OVERRIDE=PX_LAST","START_DATE_OVERRIDE",TEXT(INDEX(MO_SNA_FPStartDate,0,COLUMN()),"YYYYMMDD"),"END_DATE_OVERRIDE",TEXT(INDEX(MO_Common_QEndDate,0,COLUMN()),"YYYYMMDD")),"N/A")</f>
        <v>N/A</v>
      </c>
      <c r="N689" s="239" t="str">
        <f ca="1">IFERROR(BDP(MO.Ticker.Bloomberg&amp;" Equity","INTERVAL_LOW","MARKET_DATA_OVERRIDE=PX_LAST","START_DATE_OVERRIDE",TEXT(INDEX(MO_SNA_FPStartDate,0,COLUMN()),"YYYYMMDD"),"END_DATE_OVERRIDE",TEXT(INDEX(MO_Common_QEndDate,0,COLUMN()),"YYYYMMDD")),"N/A")</f>
        <v>N/A</v>
      </c>
      <c r="O689" s="239" t="str">
        <f ca="1">IFERROR(BDP(MO.Ticker.Bloomberg&amp;" Equity","INTERVAL_LOW","MARKET_DATA_OVERRIDE=PX_LAST","START_DATE_OVERRIDE",TEXT(INDEX(MO_SNA_FPStartDate,0,COLUMN()),"YYYYMMDD"),"END_DATE_OVERRIDE",TEXT(INDEX(MO_Common_QEndDate,0,COLUMN()),"YYYYMMDD")),"N/A")</f>
        <v>N/A</v>
      </c>
      <c r="P689" s="239" t="str">
        <f ca="1">IFERROR(BDP(MO.Ticker.Bloomberg&amp;" Equity","INTERVAL_LOW","MARKET_DATA_OVERRIDE=PX_LAST","START_DATE_OVERRIDE",TEXT(INDEX(MO_SNA_FPStartDate,0,COLUMN()),"YYYYMMDD"),"END_DATE_OVERRIDE",TEXT(INDEX(MO_Common_QEndDate,0,COLUMN()),"YYYYMMDD")),"N/A")</f>
        <v>N/A</v>
      </c>
      <c r="Q689" s="239" t="str">
        <f ca="1">IFERROR(BDP(MO.Ticker.Bloomberg&amp;" Equity","INTERVAL_LOW","MARKET_DATA_OVERRIDE=PX_LAST","START_DATE_OVERRIDE",TEXT(INDEX(MO_SNA_FPStartDate,0,COLUMN()),"YYYYMMDD"),"END_DATE_OVERRIDE",TEXT(INDEX(MO_Common_QEndDate,0,COLUMN()),"YYYYMMDD")),"N/A")</f>
        <v>N/A</v>
      </c>
      <c r="R689" s="239" t="str">
        <f ca="1">IFERROR(BDP(MO.Ticker.Bloomberg&amp;" Equity","INTERVAL_LOW","MARKET_DATA_OVERRIDE=PX_LAST","START_DATE_OVERRIDE",TEXT(INDEX(MO_SNA_FPStartDate,0,COLUMN()),"YYYYMMDD"),"END_DATE_OVERRIDE",TEXT(INDEX(MO_Common_QEndDate,0,COLUMN()),"YYYYMMDD")),"N/A")</f>
        <v>N/A</v>
      </c>
      <c r="S689" s="239" t="str">
        <f ca="1">IFERROR(BDP(MO.Ticker.Bloomberg&amp;" Equity","INTERVAL_LOW","MARKET_DATA_OVERRIDE=PX_LAST","START_DATE_OVERRIDE",TEXT(INDEX(MO_SNA_FPStartDate,0,COLUMN()),"YYYYMMDD"),"END_DATE_OVERRIDE",TEXT(INDEX(MO_Common_QEndDate,0,COLUMN()),"YYYYMMDD")),"N/A")</f>
        <v>N/A</v>
      </c>
      <c r="T689" s="239" t="str">
        <f ca="1">IFERROR(BDP(MO.Ticker.Bloomberg&amp;" Equity","INTERVAL_LOW","MARKET_DATA_OVERRIDE=PX_LAST","START_DATE_OVERRIDE",TEXT(INDEX(MO_SNA_FPStartDate,0,COLUMN()),"YYYYMMDD"),"END_DATE_OVERRIDE",TEXT(INDEX(MO_Common_QEndDate,0,COLUMN()),"YYYYMMDD")),"N/A")</f>
        <v>N/A</v>
      </c>
      <c r="U689" s="239" t="str">
        <f ca="1">IFERROR(BDP(MO.Ticker.Bloomberg&amp;" Equity","INTERVAL_LOW","MARKET_DATA_OVERRIDE=PX_LAST","START_DATE_OVERRIDE",TEXT(INDEX(MO_SNA_FPStartDate,0,COLUMN()),"YYYYMMDD"),"END_DATE_OVERRIDE",TEXT(INDEX(MO_Common_QEndDate,0,COLUMN()),"YYYYMMDD")),"N/A")</f>
        <v>N/A</v>
      </c>
      <c r="V689" s="239" t="str">
        <f ca="1">IFERROR(BDP(MO.Ticker.Bloomberg&amp;" Equity","INTERVAL_LOW","MARKET_DATA_OVERRIDE=PX_LAST","START_DATE_OVERRIDE",TEXT(INDEX(MO_SNA_FPStartDate,0,COLUMN()),"YYYYMMDD"),"END_DATE_OVERRIDE",TEXT(INDEX(MO_Common_QEndDate,0,COLUMN()),"YYYYMMDD")),"N/A")</f>
        <v>N/A</v>
      </c>
      <c r="W689" s="239" t="str">
        <f ca="1">IFERROR(BDP(MO.Ticker.Bloomberg&amp;" Equity","INTERVAL_LOW","MARKET_DATA_OVERRIDE=PX_LAST","START_DATE_OVERRIDE",TEXT(INDEX(MO_SNA_FPStartDate,0,COLUMN()),"YYYYMMDD"),"END_DATE_OVERRIDE",TEXT(INDEX(MO_Common_QEndDate,0,COLUMN()),"YYYYMMDD")),"N/A")</f>
        <v>N/A</v>
      </c>
      <c r="X689" s="239" t="str">
        <f ca="1">IFERROR(BDP(MO.Ticker.Bloomberg&amp;" Equity","INTERVAL_LOW","MARKET_DATA_OVERRIDE=PX_LAST","START_DATE_OVERRIDE",TEXT(INDEX(MO_SNA_FPStartDate,0,COLUMN()),"YYYYMMDD"),"END_DATE_OVERRIDE",TEXT(INDEX(MO_Common_QEndDate,0,COLUMN()),"YYYYMMDD")),"N/A")</f>
        <v>N/A</v>
      </c>
      <c r="Y689" s="239" t="str">
        <f ca="1">IFERROR(BDP(MO.Ticker.Bloomberg&amp;" Equity","INTERVAL_LOW","MARKET_DATA_OVERRIDE=PX_LAST","START_DATE_OVERRIDE",TEXT(INDEX(MO_SNA_FPStartDate,0,COLUMN()),"YYYYMMDD"),"END_DATE_OVERRIDE",TEXT(INDEX(MO_Common_QEndDate,0,COLUMN()),"YYYYMMDD")),"N/A")</f>
        <v>N/A</v>
      </c>
      <c r="Z689" s="239" t="str">
        <f ca="1">IFERROR(BDP(MO.Ticker.Bloomberg&amp;" Equity","INTERVAL_LOW","MARKET_DATA_OVERRIDE=PX_LAST","START_DATE_OVERRIDE",TEXT(INDEX(MO_SNA_FPStartDate,0,COLUMN()),"YYYYMMDD"),"END_DATE_OVERRIDE",TEXT(INDEX(MO_Common_QEndDate,0,COLUMN()),"YYYYMMDD")),"N/A")</f>
        <v>N/A</v>
      </c>
      <c r="AA689" s="239" t="str">
        <f ca="1">IFERROR(BDP(MO.Ticker.Bloomberg&amp;" Equity","INTERVAL_LOW","MARKET_DATA_OVERRIDE=PX_LAST","START_DATE_OVERRIDE",TEXT(INDEX(MO_SNA_FPStartDate,0,COLUMN()),"YYYYMMDD"),"END_DATE_OVERRIDE",TEXT(INDEX(MO_Common_QEndDate,0,COLUMN()),"YYYYMMDD")),"N/A")</f>
        <v>N/A</v>
      </c>
      <c r="AB689" s="239" t="str">
        <f ca="1">IFERROR(BDP(MO.Ticker.Bloomberg&amp;" Equity","INTERVAL_LOW","MARKET_DATA_OVERRIDE=PX_LAST","START_DATE_OVERRIDE",TEXT(INDEX(MO_SNA_FPStartDate,0,COLUMN()),"YYYYMMDD"),"END_DATE_OVERRIDE",TEXT(INDEX(MO_Common_QEndDate,0,COLUMN()),"YYYYMMDD")),"N/A")</f>
        <v>N/A</v>
      </c>
      <c r="AC689" s="239" t="str">
        <f ca="1">IFERROR(BDP(MO.Ticker.Bloomberg&amp;" Equity","INTERVAL_LOW","MARKET_DATA_OVERRIDE=PX_LAST","START_DATE_OVERRIDE",TEXT(INDEX(MO_SNA_FPStartDate,0,COLUMN()),"YYYYMMDD"),"END_DATE_OVERRIDE",TEXT(INDEX(MO_Common_QEndDate,0,COLUMN()),"YYYYMMDD")),"N/A")</f>
        <v>N/A</v>
      </c>
      <c r="AD689" s="239" t="str">
        <f ca="1">IFERROR(BDP(MO.Ticker.Bloomberg&amp;" Equity","INTERVAL_LOW","MARKET_DATA_OVERRIDE=PX_LAST","START_DATE_OVERRIDE",TEXT(INDEX(MO_SNA_FPStartDate,0,COLUMN()),"YYYYMMDD"),"END_DATE_OVERRIDE",TEXT(INDEX(MO_Common_QEndDate,0,COLUMN()),"YYYYMMDD")),"N/A")</f>
        <v>N/A</v>
      </c>
      <c r="AE689" s="239" t="str">
        <f ca="1">IFERROR(BDP(MO.Ticker.Bloomberg&amp;" Equity","INTERVAL_LOW","MARKET_DATA_OVERRIDE=PX_LAST","START_DATE_OVERRIDE",TEXT(INDEX(MO_SNA_FPStartDate,0,COLUMN()),"YYYYMMDD"),"END_DATE_OVERRIDE",TEXT(INDEX(MO_Common_QEndDate,0,COLUMN()),"YYYYMMDD")),"N/A")</f>
        <v>N/A</v>
      </c>
      <c r="AF689" s="239" t="str">
        <f ca="1">IFERROR(BDP(MO.Ticker.Bloomberg&amp;" Equity","INTERVAL_LOW","MARKET_DATA_OVERRIDE=PX_LAST","START_DATE_OVERRIDE",TEXT(INDEX(MO_SNA_FPStartDate,0,COLUMN()),"YYYYMMDD"),"END_DATE_OVERRIDE",TEXT(INDEX(MO_Common_QEndDate,0,COLUMN()),"YYYYMMDD")),"N/A")</f>
        <v>N/A</v>
      </c>
      <c r="AG689" s="239" t="str">
        <f ca="1">IFERROR(BDP(MO.Ticker.Bloomberg&amp;" Equity","INTERVAL_LOW","MARKET_DATA_OVERRIDE=PX_LAST","START_DATE_OVERRIDE",TEXT(INDEX(MO_SNA_FPStartDate,0,COLUMN()),"YYYYMMDD"),"END_DATE_OVERRIDE",TEXT(INDEX(MO_Common_QEndDate,0,COLUMN()),"YYYYMMDD")),"N/A")</f>
        <v>N/A</v>
      </c>
      <c r="AH689" s="239" t="str">
        <f ca="1">IFERROR(BDP(MO.Ticker.Bloomberg&amp;" Equity","INTERVAL_LOW","MARKET_DATA_OVERRIDE=PX_LAST","START_DATE_OVERRIDE",TEXT(INDEX(MO_SNA_FPStartDate,0,COLUMN()),"YYYYMMDD"),"END_DATE_OVERRIDE",TEXT(INDEX(MO_Common_QEndDate,0,COLUMN()),"YYYYMMDD")),"N/A")</f>
        <v>N/A</v>
      </c>
      <c r="AI689" s="239" t="str">
        <f ca="1">IFERROR(BDP(MO.Ticker.Bloomberg&amp;" Equity","INTERVAL_LOW","MARKET_DATA_OVERRIDE=PX_LAST","START_DATE_OVERRIDE",TEXT(INDEX(MO_SNA_FPStartDate,0,COLUMN()),"YYYYMMDD"),"END_DATE_OVERRIDE",TEXT(INDEX(MO_Common_QEndDate,0,COLUMN()),"YYYYMMDD")),"N/A")</f>
        <v>N/A</v>
      </c>
      <c r="AJ689" s="239" t="str">
        <f ca="1">IFERROR(BDP(MO.Ticker.Bloomberg&amp;" Equity","INTERVAL_LOW","MARKET_DATA_OVERRIDE=PX_LAST","START_DATE_OVERRIDE",TEXT(INDEX(MO_SNA_FPStartDate,0,COLUMN()),"YYYYMMDD"),"END_DATE_OVERRIDE",TEXT(INDEX(MO_Common_QEndDate,0,COLUMN()),"YYYYMMDD")),"N/A")</f>
        <v>N/A</v>
      </c>
      <c r="AK689" s="239" t="str">
        <f ca="1">IFERROR(BDP(MO.Ticker.Bloomberg&amp;" Equity","INTERVAL_LOW","MARKET_DATA_OVERRIDE=PX_LAST","START_DATE_OVERRIDE",TEXT(INDEX(MO_SNA_FPStartDate,0,COLUMN()),"YYYYMMDD"),"END_DATE_OVERRIDE",TEXT(INDEX(MO_Common_QEndDate,0,COLUMN()),"YYYYMMDD")),"N/A")</f>
        <v>N/A</v>
      </c>
      <c r="AL689" s="239" t="str">
        <f ca="1">IFERROR(BDP(MO.Ticker.Bloomberg&amp;" Equity","INTERVAL_LOW","MARKET_DATA_OVERRIDE=PX_LAST","START_DATE_OVERRIDE",TEXT(INDEX(MO_SNA_FPStartDate,0,COLUMN()),"YYYYMMDD"),"END_DATE_OVERRIDE",TEXT(INDEX(MO_Common_QEndDate,0,COLUMN()),"YYYYMMDD")),"N/A")</f>
        <v>N/A</v>
      </c>
      <c r="AM689" s="239" t="str">
        <f ca="1">IFERROR(BDP(MO.Ticker.Bloomberg&amp;" Equity","INTERVAL_LOW","MARKET_DATA_OVERRIDE=PX_LAST","START_DATE_OVERRIDE",TEXT(INDEX(MO_SNA_FPStartDate,0,COLUMN()),"YYYYMMDD"),"END_DATE_OVERRIDE",TEXT(INDEX(MO_Common_QEndDate,0,COLUMN()),"YYYYMMDD")),"N/A")</f>
        <v>N/A</v>
      </c>
      <c r="AN689" s="239" t="str">
        <f ca="1">IFERROR(BDP(MO.Ticker.Bloomberg&amp;" Equity","INTERVAL_LOW","MARKET_DATA_OVERRIDE=PX_LAST","START_DATE_OVERRIDE",TEXT(INDEX(MO_SNA_FPStartDate,0,COLUMN()),"YYYYMMDD"),"END_DATE_OVERRIDE",TEXT(INDEX(MO_Common_QEndDate,0,COLUMN()),"YYYYMMDD")),"N/A")</f>
        <v>N/A</v>
      </c>
      <c r="AO689" s="239" t="str">
        <f ca="1">IFERROR(BDP(MO.Ticker.Bloomberg&amp;" Equity","INTERVAL_LOW","MARKET_DATA_OVERRIDE=PX_LAST","START_DATE_OVERRIDE",TEXT(INDEX(MO_SNA_FPStartDate,0,COLUMN()),"YYYYMMDD"),"END_DATE_OVERRIDE",TEXT(INDEX(MO_Common_QEndDate,0,COLUMN()),"YYYYMMDD")),"N/A")</f>
        <v>N/A</v>
      </c>
      <c r="AP689" s="239" t="str">
        <f ca="1">IFERROR(BDP(MO.Ticker.Bloomberg&amp;" Equity","INTERVAL_LOW","MARKET_DATA_OVERRIDE=PX_LAST","START_DATE_OVERRIDE",TEXT(INDEX(MO_SNA_FPStartDate,0,COLUMN()),"YYYYMMDD"),"END_DATE_OVERRIDE",TEXT(INDEX(MO_Common_QEndDate,0,COLUMN()),"YYYYMMDD")),"N/A")</f>
        <v>N/A</v>
      </c>
      <c r="AQ689" s="239" t="str">
        <f ca="1">IFERROR(BDP(MO.Ticker.Bloomberg&amp;" Equity","INTERVAL_LOW","MARKET_DATA_OVERRIDE=PX_LAST","START_DATE_OVERRIDE",TEXT(INDEX(MO_SNA_FPStartDate,0,COLUMN()),"YYYYMMDD"),"END_DATE_OVERRIDE",TEXT(INDEX(MO_Common_QEndDate,0,COLUMN()),"YYYYMMDD")),"N/A")</f>
        <v>N/A</v>
      </c>
      <c r="AR689" s="239" t="str">
        <f ca="1">IFERROR(BDP(MO.Ticker.Bloomberg&amp;" Equity","INTERVAL_LOW","MARKET_DATA_OVERRIDE=PX_LAST","START_DATE_OVERRIDE",TEXT(INDEX(MO_SNA_FPStartDate,0,COLUMN()),"YYYYMMDD"),"END_DATE_OVERRIDE",TEXT(INDEX(MO_Common_QEndDate,0,COLUMN()),"YYYYMMDD")),"N/A")</f>
        <v>N/A</v>
      </c>
      <c r="AS689" s="239" t="str">
        <f ca="1">IFERROR(BDP(MO.Ticker.Bloomberg&amp;" Equity","INTERVAL_LOW","MARKET_DATA_OVERRIDE=PX_LAST","START_DATE_OVERRIDE",TEXT(INDEX(MO_SNA_FPStartDate,0,COLUMN()),"YYYYMMDD"),"END_DATE_OVERRIDE",TEXT(INDEX(MO_Common_QEndDate,0,COLUMN()),"YYYYMMDD")),"N/A")</f>
        <v>N/A</v>
      </c>
      <c r="AT689" s="239" t="str">
        <f ca="1">IFERROR(BDP(MO.Ticker.Bloomberg&amp;" Equity","INTERVAL_LOW","MARKET_DATA_OVERRIDE=PX_LAST","START_DATE_OVERRIDE",TEXT(INDEX(MO_SNA_FPStartDate,0,COLUMN()),"YYYYMMDD"),"END_DATE_OVERRIDE",TEXT(INDEX(MO_Common_QEndDate,0,COLUMN()),"YYYYMMDD")),"N/A")</f>
        <v>N/A</v>
      </c>
      <c r="AU689" s="239" t="str">
        <f ca="1">IFERROR(BDP(MO.Ticker.Bloomberg&amp;" Equity","INTERVAL_LOW","MARKET_DATA_OVERRIDE=PX_LAST","START_DATE_OVERRIDE",TEXT(INDEX(MO_SNA_FPStartDate,0,COLUMN()),"YYYYMMDD"),"END_DATE_OVERRIDE",TEXT(INDEX(MO_Common_QEndDate,0,COLUMN()),"YYYYMMDD")),"N/A")</f>
        <v>N/A</v>
      </c>
      <c r="AV689" s="239" t="str">
        <f ca="1">IFERROR(BDP(MO.Ticker.Bloomberg&amp;" Equity","INTERVAL_LOW","MARKET_DATA_OVERRIDE=PX_LAST","START_DATE_OVERRIDE",TEXT(INDEX(MO_SNA_FPStartDate,0,COLUMN()),"YYYYMMDD"),"END_DATE_OVERRIDE",TEXT(INDEX(MO_Common_QEndDate,0,COLUMN()),"YYYYMMDD")),"N/A")</f>
        <v>N/A</v>
      </c>
      <c r="AW689" s="239" t="str">
        <f ca="1">IFERROR(BDP(MO.Ticker.Bloomberg&amp;" Equity","INTERVAL_LOW","MARKET_DATA_OVERRIDE=PX_LAST","START_DATE_OVERRIDE",TEXT(INDEX(MO_SNA_FPStartDate,0,COLUMN()),"YYYYMMDD"),"END_DATE_OVERRIDE",TEXT(INDEX(MO_Common_QEndDate,0,COLUMN()),"YYYYMMDD")),"N/A")</f>
        <v>N/A</v>
      </c>
      <c r="AX689" s="239" t="str">
        <f ca="1">IFERROR(BDP(MO.Ticker.Bloomberg&amp;" Equity","INTERVAL_LOW","MARKET_DATA_OVERRIDE=PX_LAST","START_DATE_OVERRIDE",TEXT(INDEX(MO_SNA_FPStartDate,0,COLUMN()),"YYYYMMDD"),"END_DATE_OVERRIDE",TEXT(INDEX(MO_Common_QEndDate,0,COLUMN()),"YYYYMMDD")),"N/A")</f>
        <v>N/A</v>
      </c>
      <c r="AY689" s="239"/>
      <c r="AZ689" s="240" t="str">
        <f ca="1">IFERROR(BDP(MO.Ticker.Bloomberg&amp;" Equity","INTERVAL_LOW","MARKET_DATA_OVERRIDE=PX_LAST","START_DATE_OVERRIDE",TEXT(INDEX(MO_SNA_FPStartDate,0,COLUMN()),"YYYYMMDD"),"END_DATE_OVERRIDE",TEXT(INDEX(MO_Common_QEndDate,0,COLUMN()),"YYYYMMDD")),"N/A")</f>
        <v>N/A</v>
      </c>
      <c r="BA689" s="240" t="str">
        <f ca="1">IFERROR(BDP(MO.Ticker.Bloomberg&amp;" Equity","INTERVAL_LOW","MARKET_DATA_OVERRIDE=PX_LAST","START_DATE_OVERRIDE",TEXT(INDEX(MO_SNA_FPStartDate,0,COLUMN()),"YYYYMMDD"),"END_DATE_OVERRIDE",TEXT(INDEX(MO_Common_QEndDate,0,COLUMN()),"YYYYMMDD")),"N/A")</f>
        <v>N/A</v>
      </c>
      <c r="BB689" s="239" t="str">
        <f ca="1">IFERROR(BDP(MO.Ticker.Bloomberg&amp;" Equity","INTERVAL_LOW","MARKET_DATA_OVERRIDE=PX_LAST","START_DATE_OVERRIDE",TEXT(INDEX(MO_SNA_FPStartDate,0,COLUMN()),"YYYYMMDD"),"END_DATE_OVERRIDE",TEXT(INDEX(MO_Common_QEndDate,0,COLUMN()),"YYYYMMDD")),"N/A")</f>
        <v>N/A</v>
      </c>
      <c r="BC689" s="239" t="str">
        <f ca="1">IFERROR(BDP(MO.Ticker.Bloomberg&amp;" Equity","INTERVAL_LOW","MARKET_DATA_OVERRIDE=PX_LAST","START_DATE_OVERRIDE",TEXT(INDEX(MO_SNA_FPStartDate,0,COLUMN()),"YYYYMMDD"),"END_DATE_OVERRIDE",TEXT(INDEX(MO_Common_QEndDate,0,COLUMN()),"YYYYMMDD")),"N/A")</f>
        <v>N/A</v>
      </c>
      <c r="BD689" s="239" t="str">
        <f ca="1">IFERROR(BDP(MO.Ticker.Bloomberg&amp;" Equity","INTERVAL_LOW","MARKET_DATA_OVERRIDE=PX_LAST","START_DATE_OVERRIDE",TEXT(INDEX(MO_SNA_FPStartDate,0,COLUMN()),"YYYYMMDD"),"END_DATE_OVERRIDE",TEXT(INDEX(MO_Common_QEndDate,0,COLUMN()),"YYYYMMDD")),"N/A")</f>
        <v>N/A</v>
      </c>
      <c r="BE689" s="239" t="str">
        <f ca="1">IFERROR(BDP(MO.Ticker.Bloomberg&amp;" Equity","INTERVAL_LOW","MARKET_DATA_OVERRIDE=PX_LAST","START_DATE_OVERRIDE",TEXT(INDEX(MO_SNA_FPStartDate,0,COLUMN()),"YYYYMMDD"),"END_DATE_OVERRIDE",TEXT(INDEX(MO_Common_QEndDate,0,COLUMN()),"YYYYMMDD")),"N/A")</f>
        <v>N/A</v>
      </c>
      <c r="BF689" s="239" t="str">
        <f ca="1">IFERROR(BDP(MO.Ticker.Bloomberg&amp;" Equity","INTERVAL_LOW","MARKET_DATA_OVERRIDE=PX_LAST","START_DATE_OVERRIDE",TEXT(INDEX(MO_SNA_FPStartDate,0,COLUMN()),"YYYYMMDD"),"END_DATE_OVERRIDE",TEXT(INDEX(MO_Common_QEndDate,0,COLUMN()),"YYYYMMDD")),"N/A")</f>
        <v>N/A</v>
      </c>
      <c r="BG689" s="239" t="str">
        <f ca="1">IFERROR(BDP(MO.Ticker.Bloomberg&amp;" Equity","INTERVAL_LOW","MARKET_DATA_OVERRIDE=PX_LAST","START_DATE_OVERRIDE",TEXT(INDEX(MO_SNA_FPStartDate,0,COLUMN()),"YYYYMMDD"),"END_DATE_OVERRIDE",TEXT(INDEX(MO_Common_QEndDate,0,COLUMN()),"YYYYMMDD")),"N/A")</f>
        <v>N/A</v>
      </c>
      <c r="BH689" s="239" t="str">
        <f ca="1">IFERROR(BDP(MO.Ticker.Bloomberg&amp;" Equity","INTERVAL_LOW","MARKET_DATA_OVERRIDE=PX_LAST","START_DATE_OVERRIDE",TEXT(INDEX(MO_SNA_FPStartDate,0,COLUMN()),"YYYYMMDD"),"END_DATE_OVERRIDE",TEXT(INDEX(MO_Common_QEndDate,0,COLUMN()),"YYYYMMDD")),"N/A")</f>
        <v>N/A</v>
      </c>
      <c r="BI689" s="239" t="str">
        <f ca="1">IFERROR(BDP(MO.Ticker.Bloomberg&amp;" Equity","INTERVAL_LOW","MARKET_DATA_OVERRIDE=PX_LAST","START_DATE_OVERRIDE",TEXT(INDEX(MO_SNA_FPStartDate,0,COLUMN()),"YYYYMMDD"),"END_DATE_OVERRIDE",TEXT(INDEX(MO_Common_QEndDate,0,COLUMN()),"YYYYMMDD")),"N/A")</f>
        <v>N/A</v>
      </c>
      <c r="BJ689" s="239" t="str">
        <f ca="1">IFERROR(BDP(MO.Ticker.Bloomberg&amp;" Equity","INTERVAL_LOW","MARKET_DATA_OVERRIDE=PX_LAST","START_DATE_OVERRIDE",TEXT(INDEX(MO_SNA_FPStartDate,0,COLUMN()),"YYYYMMDD"),"END_DATE_OVERRIDE",TEXT(INDEX(MO_Common_QEndDate,0,COLUMN()),"YYYYMMDD")),"N/A")</f>
        <v>N/A</v>
      </c>
      <c r="BK689" s="239" t="str">
        <f ca="1">IFERROR(BDP(MO.Ticker.Bloomberg&amp;" Equity","INTERVAL_LOW","MARKET_DATA_OVERRIDE=PX_LAST","START_DATE_OVERRIDE",TEXT(INDEX(MO_SNA_FPStartDate,0,COLUMN()),"YYYYMMDD"),"END_DATE_OVERRIDE",TEXT(INDEX(MO_Common_QEndDate,0,COLUMN()),"YYYYMMDD")),"N/A")</f>
        <v>N/A</v>
      </c>
      <c r="BL689" s="239" t="str">
        <f ca="1">IFERROR(BDP(MO.Ticker.Bloomberg&amp;" Equity","INTERVAL_LOW","MARKET_DATA_OVERRIDE=PX_LAST","START_DATE_OVERRIDE",TEXT(INDEX(MO_SNA_FPStartDate,0,COLUMN()),"YYYYMMDD"),"END_DATE_OVERRIDE",TEXT(INDEX(MO_Common_QEndDate,0,COLUMN()),"YYYYMMDD")),"N/A")</f>
        <v>N/A</v>
      </c>
      <c r="BM689" s="239" t="str">
        <f ca="1">IFERROR(BDP(MO.Ticker.Bloomberg&amp;" Equity","INTERVAL_LOW","MARKET_DATA_OVERRIDE=PX_LAST","START_DATE_OVERRIDE",TEXT(INDEX(MO_SNA_FPStartDate,0,COLUMN()),"YYYYMMDD"),"END_DATE_OVERRIDE",TEXT(INDEX(MO_Common_QEndDate,0,COLUMN()),"YYYYMMDD")),"N/A")</f>
        <v>N/A</v>
      </c>
      <c r="BN689" s="239" t="str">
        <f ca="1">IFERROR(BDP(MO.Ticker.Bloomberg&amp;" Equity","INTERVAL_LOW","MARKET_DATA_OVERRIDE=PX_LAST","START_DATE_OVERRIDE",TEXT(INDEX(MO_SNA_FPStartDate,0,COLUMN()),"YYYYMMDD"),"END_DATE_OVERRIDE",TEXT(INDEX(MO_Common_QEndDate,0,COLUMN()),"YYYYMMDD")),"N/A")</f>
        <v>N/A</v>
      </c>
      <c r="BO689" s="239" t="str">
        <f ca="1">IFERROR(BDP(MO.Ticker.Bloomberg&amp;" Equity","INTERVAL_LOW","MARKET_DATA_OVERRIDE=PX_LAST","START_DATE_OVERRIDE",TEXT(INDEX(MO_SNA_FPStartDate,0,COLUMN()),"YYYYMMDD"),"END_DATE_OVERRIDE",TEXT(INDEX(MO_Common_QEndDate,0,COLUMN()),"YYYYMMDD")),"N/A")</f>
        <v>N/A</v>
      </c>
      <c r="BP689" s="239" t="str">
        <f ca="1">IFERROR(BDP(MO.Ticker.Bloomberg&amp;" Equity","INTERVAL_LOW","MARKET_DATA_OVERRIDE=PX_LAST","START_DATE_OVERRIDE",TEXT(INDEX(MO_SNA_FPStartDate,0,COLUMN()),"YYYYMMDD"),"END_DATE_OVERRIDE",TEXT(INDEX(MO_Common_QEndDate,0,COLUMN()),"YYYYMMDD")),"N/A")</f>
        <v>N/A</v>
      </c>
      <c r="BQ689" s="239" t="str">
        <f ca="1">IFERROR(BDP(MO.Ticker.Bloomberg&amp;" Equity","INTERVAL_LOW","MARKET_DATA_OVERRIDE=PX_LAST","START_DATE_OVERRIDE",TEXT(INDEX(MO_SNA_FPStartDate,0,COLUMN()),"YYYYMMDD"),"END_DATE_OVERRIDE",TEXT(INDEX(MO_Common_QEndDate,0,COLUMN()),"YYYYMMDD")),"N/A")</f>
        <v>N/A</v>
      </c>
      <c r="BR689" s="239" t="str">
        <f ca="1">IFERROR(BDP(MO.Ticker.Bloomberg&amp;" Equity","INTERVAL_LOW","MARKET_DATA_OVERRIDE=PX_LAST","START_DATE_OVERRIDE",TEXT(INDEX(MO_SNA_FPStartDate,0,COLUMN()),"YYYYMMDD"),"END_DATE_OVERRIDE",TEXT(INDEX(MO_Common_QEndDate,0,COLUMN()),"YYYYMMDD")),"N/A")</f>
        <v>N/A</v>
      </c>
      <c r="BS689" s="241" t="str">
        <f ca="1">IFERROR(BDP(MO.Ticker.Bloomberg&amp;" Equity","INTERVAL_LOW","MARKET_DATA_OVERRIDE=PX_LAST","START_DATE_OVERRIDE",TEXT(INDEX(MO_SNA_FPStartDate,0,COLUMN()),"YYYYMMDD"),"END_DATE_OVERRIDE",TEXT(INDEX(MO_Common_QEndDate,0,COLUMN()),"YYYYMMDD")),"N/A")</f>
        <v>N/A</v>
      </c>
      <c r="BT689" s="274"/>
    </row>
    <row r="690" spans="1:72" s="242" customFormat="1" hidden="1" outlineLevel="1" x14ac:dyDescent="0.35">
      <c r="A690" s="243" t="s">
        <v>263</v>
      </c>
      <c r="B690" s="239"/>
      <c r="C690" s="239">
        <f>IFERROR(_xll.ciqfunctions.udf.CIQLO(MO.Ticker.CapIQ,"IQ_LASTSALEPRICE",INDEX(MO_SNA_FPStartDate,0,COLUMN()),INDEX(MO_Common_QEndDate,0,COLUMN())),"N/A")</f>
        <v>17.47</v>
      </c>
      <c r="D690" s="239">
        <f>IFERROR(_xll.ciqfunctions.udf.CIQLO(MO.Ticker.CapIQ,"IQ_LASTSALEPRICE",INDEX(MO_SNA_FPStartDate,0,COLUMN()),INDEX(MO_Common_QEndDate,0,COLUMN())),"N/A")</f>
        <v>16.170000000000002</v>
      </c>
      <c r="E690" s="239">
        <f>IFERROR(_xll.ciqfunctions.udf.CIQLO(MO.Ticker.CapIQ,"IQ_LASTSALEPRICE",INDEX(MO_SNA_FPStartDate,0,COLUMN()),INDEX(MO_Common_QEndDate,0,COLUMN())),"N/A")</f>
        <v>17.95</v>
      </c>
      <c r="F690" s="239">
        <f>IFERROR(_xll.ciqfunctions.udf.CIQLO(MO.Ticker.CapIQ,"IQ_LASTSALEPRICE",INDEX(MO_SNA_FPStartDate,0,COLUMN()),INDEX(MO_Common_QEndDate,0,COLUMN())),"N/A")</f>
        <v>23.51</v>
      </c>
      <c r="G690" s="239">
        <f>IFERROR(_xll.ciqfunctions.udf.CIQLO(MO.Ticker.CapIQ,"IQ_LASTSALEPRICE",INDEX(MO_SNA_FPStartDate,0,COLUMN()),INDEX(MO_Common_QEndDate,0,COLUMN())),"N/A")</f>
        <v>26.08</v>
      </c>
      <c r="H690" s="239">
        <f>IFERROR(_xll.ciqfunctions.udf.CIQLO(MO.Ticker.CapIQ,"IQ_LASTSALEPRICE",INDEX(MO_SNA_FPStartDate,0,COLUMN()),INDEX(MO_Common_QEndDate,0,COLUMN())),"N/A")</f>
        <v>17.600000000000001</v>
      </c>
      <c r="I690" s="239">
        <f>IFERROR(_xll.ciqfunctions.udf.CIQLO(MO.Ticker.CapIQ,"IQ_LASTSALEPRICE",INDEX(MO_SNA_FPStartDate,0,COLUMN()),INDEX(MO_Common_QEndDate,0,COLUMN())),"N/A")</f>
        <v>19.89</v>
      </c>
      <c r="J690" s="239">
        <f>IFERROR(_xll.ciqfunctions.udf.CIQLO(MO.Ticker.CapIQ,"IQ_LASTSALEPRICE",INDEX(MO_SNA_FPStartDate,0,COLUMN()),INDEX(MO_Common_QEndDate,0,COLUMN())),"N/A")</f>
        <v>21.4</v>
      </c>
      <c r="K690" s="239">
        <f>IFERROR(_xll.ciqfunctions.udf.CIQLO(MO.Ticker.CapIQ,"IQ_LASTSALEPRICE",INDEX(MO_SNA_FPStartDate,0,COLUMN()),INDEX(MO_Common_QEndDate,0,COLUMN())),"N/A")</f>
        <v>15.96</v>
      </c>
      <c r="L690" s="239">
        <f>IFERROR(_xll.ciqfunctions.udf.CIQLO(MO.Ticker.CapIQ,"IQ_LASTSALEPRICE",INDEX(MO_SNA_FPStartDate,0,COLUMN()),INDEX(MO_Common_QEndDate,0,COLUMN())),"N/A")</f>
        <v>11.26</v>
      </c>
      <c r="M690" s="239">
        <f>IFERROR(_xll.ciqfunctions.udf.CIQLO(MO.Ticker.CapIQ,"IQ_LASTSALEPRICE",INDEX(MO_SNA_FPStartDate,0,COLUMN()),INDEX(MO_Common_QEndDate,0,COLUMN())),"N/A")</f>
        <v>10.25</v>
      </c>
      <c r="N690" s="239">
        <f>IFERROR(_xll.ciqfunctions.udf.CIQLO(MO.Ticker.CapIQ,"IQ_LASTSALEPRICE",INDEX(MO_SNA_FPStartDate,0,COLUMN()),INDEX(MO_Common_QEndDate,0,COLUMN())),"N/A")</f>
        <v>12.65</v>
      </c>
      <c r="O690" s="239">
        <f>IFERROR(_xll.ciqfunctions.udf.CIQLO(MO.Ticker.CapIQ,"IQ_LASTSALEPRICE",INDEX(MO_SNA_FPStartDate,0,COLUMN()),INDEX(MO_Common_QEndDate,0,COLUMN())),"N/A")</f>
        <v>12.28</v>
      </c>
      <c r="P690" s="239">
        <f>IFERROR(_xll.ciqfunctions.udf.CIQLO(MO.Ticker.CapIQ,"IQ_LASTSALEPRICE",INDEX(MO_SNA_FPStartDate,0,COLUMN()),INDEX(MO_Common_QEndDate,0,COLUMN())),"N/A")</f>
        <v>8.8000000000000007</v>
      </c>
      <c r="Q690" s="239">
        <f>IFERROR(_xll.ciqfunctions.udf.CIQLO(MO.Ticker.CapIQ,"IQ_LASTSALEPRICE",INDEX(MO_SNA_FPStartDate,0,COLUMN()),INDEX(MO_Common_QEndDate,0,COLUMN())),"N/A")</f>
        <v>7.32</v>
      </c>
      <c r="R690" s="239">
        <f>IFERROR(_xll.ciqfunctions.udf.CIQLO(MO.Ticker.CapIQ,"IQ_LASTSALEPRICE",INDEX(MO_SNA_FPStartDate,0,COLUMN()),INDEX(MO_Common_QEndDate,0,COLUMN())),"N/A")</f>
        <v>9.3800000000000008</v>
      </c>
      <c r="S690" s="239">
        <f>IFERROR(_xll.ciqfunctions.udf.CIQLO(MO.Ticker.CapIQ,"IQ_LASTSALEPRICE",INDEX(MO_SNA_FPStartDate,0,COLUMN()),INDEX(MO_Common_QEndDate,0,COLUMN())),"N/A")</f>
        <v>11.35</v>
      </c>
      <c r="T690" s="239">
        <f>IFERROR(_xll.ciqfunctions.udf.CIQLO(MO.Ticker.CapIQ,"IQ_LASTSALEPRICE",INDEX(MO_SNA_FPStartDate,0,COLUMN()),INDEX(MO_Common_QEndDate,0,COLUMN())),"N/A")</f>
        <v>10.6</v>
      </c>
      <c r="U690" s="239">
        <f>IFERROR(_xll.ciqfunctions.udf.CIQLO(MO.Ticker.CapIQ,"IQ_LASTSALEPRICE",INDEX(MO_SNA_FPStartDate,0,COLUMN()),INDEX(MO_Common_QEndDate,0,COLUMN())),"N/A")</f>
        <v>16.3</v>
      </c>
      <c r="V690" s="239">
        <f>IFERROR(_xll.ciqfunctions.udf.CIQLO(MO.Ticker.CapIQ,"IQ_LASTSALEPRICE",INDEX(MO_SNA_FPStartDate,0,COLUMN()),INDEX(MO_Common_QEndDate,0,COLUMN())),"N/A")</f>
        <v>17.38</v>
      </c>
      <c r="W690" s="239">
        <f>IFERROR(_xll.ciqfunctions.udf.CIQLO(MO.Ticker.CapIQ,"IQ_LASTSALEPRICE",INDEX(MO_SNA_FPStartDate,0,COLUMN()),INDEX(MO_Common_QEndDate,0,COLUMN())),"N/A")</f>
        <v>16.82</v>
      </c>
      <c r="X690" s="239">
        <f>IFERROR(_xll.ciqfunctions.udf.CIQLO(MO.Ticker.CapIQ,"IQ_LASTSALEPRICE",INDEX(MO_SNA_FPStartDate,0,COLUMN()),INDEX(MO_Common_QEndDate,0,COLUMN())),"N/A")</f>
        <v>15.11</v>
      </c>
      <c r="Y690" s="239">
        <f>IFERROR(_xll.ciqfunctions.udf.CIQLO(MO.Ticker.CapIQ,"IQ_LASTSALEPRICE",INDEX(MO_SNA_FPStartDate,0,COLUMN()),INDEX(MO_Common_QEndDate,0,COLUMN())),"N/A")</f>
        <v>14.18</v>
      </c>
      <c r="Z690" s="239">
        <f>IFERROR(_xll.ciqfunctions.udf.CIQLO(MO.Ticker.CapIQ,"IQ_LASTSALEPRICE",INDEX(MO_SNA_FPStartDate,0,COLUMN()),INDEX(MO_Common_QEndDate,0,COLUMN())),"N/A")</f>
        <v>12.96</v>
      </c>
      <c r="AA690" s="239">
        <f>IFERROR(_xll.ciqfunctions.udf.CIQLO(MO.Ticker.CapIQ,"IQ_LASTSALEPRICE",INDEX(MO_SNA_FPStartDate,0,COLUMN()),INDEX(MO_Common_QEndDate,0,COLUMN())),"N/A")</f>
        <v>16.170000000000002</v>
      </c>
      <c r="AB690" s="239">
        <f>IFERROR(_xll.ciqfunctions.udf.CIQLO(MO.Ticker.CapIQ,"IQ_LASTSALEPRICE",INDEX(MO_SNA_FPStartDate,0,COLUMN()),INDEX(MO_Common_QEndDate,0,COLUMN())),"N/A")</f>
        <v>16.38</v>
      </c>
      <c r="AC690" s="239">
        <f>IFERROR(_xll.ciqfunctions.udf.CIQLO(MO.Ticker.CapIQ,"IQ_LASTSALEPRICE",INDEX(MO_SNA_FPStartDate,0,COLUMN()),INDEX(MO_Common_QEndDate,0,COLUMN())),"N/A")</f>
        <v>23.93</v>
      </c>
      <c r="AD690" s="239">
        <f>IFERROR(_xll.ciqfunctions.udf.CIQLO(MO.Ticker.CapIQ,"IQ_LASTSALEPRICE",INDEX(MO_SNA_FPStartDate,0,COLUMN()),INDEX(MO_Common_QEndDate,0,COLUMN())),"N/A")</f>
        <v>28.37</v>
      </c>
      <c r="AE690" s="239">
        <f>IFERROR(_xll.ciqfunctions.udf.CIQLO(MO.Ticker.CapIQ,"IQ_LASTSALEPRICE",INDEX(MO_SNA_FPStartDate,0,COLUMN()),INDEX(MO_Common_QEndDate,0,COLUMN())),"N/A")</f>
        <v>26</v>
      </c>
      <c r="AF690" s="239">
        <f>IFERROR(_xll.ciqfunctions.udf.CIQLO(MO.Ticker.CapIQ,"IQ_LASTSALEPRICE",INDEX(MO_SNA_FPStartDate,0,COLUMN()),INDEX(MO_Common_QEndDate,0,COLUMN())),"N/A")</f>
        <v>18.96</v>
      </c>
      <c r="AG690" s="239">
        <f>IFERROR(_xll.ciqfunctions.udf.CIQLO(MO.Ticker.CapIQ,"IQ_LASTSALEPRICE",INDEX(MO_SNA_FPStartDate,0,COLUMN()),INDEX(MO_Common_QEndDate,0,COLUMN())),"N/A")</f>
        <v>15.86</v>
      </c>
      <c r="AH690" s="239">
        <f>IFERROR(_xll.ciqfunctions.udf.CIQLO(MO.Ticker.CapIQ,"IQ_LASTSALEPRICE",INDEX(MO_SNA_FPStartDate,0,COLUMN()),INDEX(MO_Common_QEndDate,0,COLUMN())),"N/A")</f>
        <v>17.850000000000001</v>
      </c>
      <c r="AI690" s="239">
        <f>IFERROR(_xll.ciqfunctions.udf.CIQLO(MO.Ticker.CapIQ,"IQ_LASTSALEPRICE",INDEX(MO_SNA_FPStartDate,0,COLUMN()),INDEX(MO_Common_QEndDate,0,COLUMN())),"N/A")</f>
        <v>26.34</v>
      </c>
      <c r="AJ690" s="239">
        <f>IFERROR(_xll.ciqfunctions.udf.CIQLO(MO.Ticker.CapIQ,"IQ_LASTSALEPRICE",INDEX(MO_SNA_FPStartDate,0,COLUMN()),INDEX(MO_Common_QEndDate,0,COLUMN())),"N/A")</f>
        <v>21.05</v>
      </c>
      <c r="AK690" s="239">
        <f>IFERROR(_xll.ciqfunctions.udf.CIQLO(MO.Ticker.CapIQ,"IQ_LASTSALEPRICE",INDEX(MO_SNA_FPStartDate,0,COLUMN()),INDEX(MO_Common_QEndDate,0,COLUMN())),"N/A")</f>
        <v>20.89</v>
      </c>
      <c r="AL690" s="239">
        <f>IFERROR(_xll.ciqfunctions.udf.CIQLO(MO.Ticker.CapIQ,"IQ_LASTSALEPRICE",INDEX(MO_SNA_FPStartDate,0,COLUMN()),INDEX(MO_Common_QEndDate,0,COLUMN())),"N/A")</f>
        <v>26.34</v>
      </c>
      <c r="AM690" s="239">
        <f>IFERROR(_xll.ciqfunctions.udf.CIQLO(MO.Ticker.CapIQ,"IQ_LASTSALEPRICE",INDEX(MO_SNA_FPStartDate,0,COLUMN()),INDEX(MO_Common_QEndDate,0,COLUMN())),"N/A")</f>
        <v>28.63</v>
      </c>
      <c r="AN690" s="239">
        <f>IFERROR(_xll.ciqfunctions.udf.CIQLO(MO.Ticker.CapIQ,"IQ_LASTSALEPRICE",INDEX(MO_SNA_FPStartDate,0,COLUMN()),INDEX(MO_Common_QEndDate,0,COLUMN())),"N/A")</f>
        <v>31.56</v>
      </c>
      <c r="AO690" s="239">
        <f>IFERROR(_xll.ciqfunctions.udf.CIQLO(MO.Ticker.CapIQ,"IQ_LASTSALEPRICE",INDEX(MO_SNA_FPStartDate,0,COLUMN()),INDEX(MO_Common_QEndDate,0,COLUMN())),"N/A")</f>
        <v>26.86</v>
      </c>
      <c r="AP690" s="239">
        <f>IFERROR(_xll.ciqfunctions.udf.CIQLO(MO.Ticker.CapIQ,"IQ_LASTSALEPRICE",INDEX(MO_SNA_FPStartDate,0,COLUMN()),INDEX(MO_Common_QEndDate,0,COLUMN())),"N/A")</f>
        <v>33.46</v>
      </c>
      <c r="AQ690" s="239">
        <f>IFERROR(_xll.ciqfunctions.udf.CIQLO(MO.Ticker.CapIQ,"IQ_LASTSALEPRICE",INDEX(MO_SNA_FPStartDate,0,COLUMN()),INDEX(MO_Common_QEndDate,0,COLUMN())),"N/A")</f>
        <v>35.15</v>
      </c>
      <c r="AR690" s="239">
        <f>IFERROR(_xll.ciqfunctions.udf.CIQLO(MO.Ticker.CapIQ,"IQ_LASTSALEPRICE",INDEX(MO_SNA_FPStartDate,0,COLUMN()),INDEX(MO_Common_QEndDate,0,COLUMN())),"N/A")</f>
        <v>31.28</v>
      </c>
      <c r="AS690" s="239">
        <f>IFERROR(_xll.ciqfunctions.udf.CIQLO(MO.Ticker.CapIQ,"IQ_LASTSALEPRICE",INDEX(MO_SNA_FPStartDate,0,COLUMN()),INDEX(MO_Common_QEndDate,0,COLUMN())),"N/A")</f>
        <v>31.77</v>
      </c>
      <c r="AT690" s="239">
        <f>IFERROR(_xll.ciqfunctions.udf.CIQLO(MO.Ticker.CapIQ,"IQ_LASTSALEPRICE",INDEX(MO_SNA_FPStartDate,0,COLUMN()),INDEX(MO_Common_QEndDate,0,COLUMN())),"N/A")</f>
        <v>37.229999999999997</v>
      </c>
      <c r="AU690" s="239">
        <f>IFERROR(_xll.ciqfunctions.udf.CIQLO(MO.Ticker.CapIQ,"IQ_LASTSALEPRICE",INDEX(MO_SNA_FPStartDate,0,COLUMN()),INDEX(MO_Common_QEndDate,0,COLUMN())),"N/A")</f>
        <v>35.82</v>
      </c>
      <c r="AV690" s="239">
        <f>IFERROR(_xll.ciqfunctions.udf.CIQLO(MO.Ticker.CapIQ,"IQ_LASTSALEPRICE",INDEX(MO_SNA_FPStartDate,0,COLUMN()),INDEX(MO_Common_QEndDate,0,COLUMN())),"N/A")</f>
        <v>43.81</v>
      </c>
      <c r="AW690" s="239">
        <f>IFERROR(_xll.ciqfunctions.udf.CIQLO(MO.Ticker.CapIQ,"IQ_LASTSALEPRICE",INDEX(MO_SNA_FPStartDate,0,COLUMN()),INDEX(MO_Common_QEndDate,0,COLUMN())),"N/A")</f>
        <v>55.38</v>
      </c>
      <c r="AX690" s="239">
        <f>IFERROR(_xll.ciqfunctions.udf.CIQLO(MO.Ticker.CapIQ,"IQ_LASTSALEPRICE",INDEX(MO_SNA_FPStartDate,0,COLUMN()),INDEX(MO_Common_QEndDate,0,COLUMN())),"N/A")</f>
        <v>56.53</v>
      </c>
      <c r="AY690" s="239"/>
      <c r="AZ690" s="240">
        <f>IFERROR(_xll.ciqfunctions.udf.CIQLO(MO.Ticker.CapIQ,"IQ_LASTSALEPRICE",INDEX(MO_SNA_FPStartDate,0,COLUMN()),INDEX(MO_Common_QEndDate,0,COLUMN())),"N/A")</f>
        <v>12.38</v>
      </c>
      <c r="BA690" s="240">
        <f>IFERROR(_xll.ciqfunctions.udf.CIQLO(MO.Ticker.CapIQ,"IQ_LASTSALEPRICE",INDEX(MO_SNA_FPStartDate,0,COLUMN()),INDEX(MO_Common_QEndDate,0,COLUMN())),"N/A")</f>
        <v>15.62</v>
      </c>
      <c r="BB690" s="239">
        <f>IFERROR(_xll.ciqfunctions.udf.CIQLO(MO.Ticker.CapIQ,"IQ_LASTSALEPRICE",INDEX(MO_SNA_FPStartDate,0,COLUMN()),INDEX(MO_Common_QEndDate,0,COLUMN())),"N/A")</f>
        <v>21.4</v>
      </c>
      <c r="BC690" s="239">
        <f>IFERROR(_xll.ciqfunctions.udf.CIQLO(MO.Ticker.CapIQ,"IQ_LASTSALEPRICE",INDEX(MO_SNA_FPStartDate,0,COLUMN()),INDEX(MO_Common_QEndDate,0,COLUMN())),"N/A")</f>
        <v>17.25</v>
      </c>
      <c r="BD690" s="239">
        <f>IFERROR(_xll.ciqfunctions.udf.CIQLO(MO.Ticker.CapIQ,"IQ_LASTSALEPRICE",INDEX(MO_SNA_FPStartDate,0,COLUMN()),INDEX(MO_Common_QEndDate,0,COLUMN())),"N/A")</f>
        <v>16.170000000000002</v>
      </c>
      <c r="BE690" s="239">
        <f>IFERROR(_xll.ciqfunctions.udf.CIQLO(MO.Ticker.CapIQ,"IQ_LASTSALEPRICE",INDEX(MO_SNA_FPStartDate,0,COLUMN()),INDEX(MO_Common_QEndDate,0,COLUMN())),"N/A")</f>
        <v>17.600000000000001</v>
      </c>
      <c r="BF690" s="239">
        <f>IFERROR(_xll.ciqfunctions.udf.CIQLO(MO.Ticker.CapIQ,"IQ_LASTSALEPRICE",INDEX(MO_SNA_FPStartDate,0,COLUMN()),INDEX(MO_Common_QEndDate,0,COLUMN())),"N/A")</f>
        <v>10.25</v>
      </c>
      <c r="BG690" s="239">
        <f>IFERROR(_xll.ciqfunctions.udf.CIQLO(MO.Ticker.CapIQ,"IQ_LASTSALEPRICE",INDEX(MO_SNA_FPStartDate,0,COLUMN()),INDEX(MO_Common_QEndDate,0,COLUMN())),"N/A")</f>
        <v>7.32</v>
      </c>
      <c r="BH690" s="239">
        <f>IFERROR(_xll.ciqfunctions.udf.CIQLO(MO.Ticker.CapIQ,"IQ_LASTSALEPRICE",INDEX(MO_SNA_FPStartDate,0,COLUMN()),INDEX(MO_Common_QEndDate,0,COLUMN())),"N/A")</f>
        <v>10.6</v>
      </c>
      <c r="BI690" s="239">
        <f>IFERROR(_xll.ciqfunctions.udf.CIQLO(MO.Ticker.CapIQ,"IQ_LASTSALEPRICE",INDEX(MO_SNA_FPStartDate,0,COLUMN()),INDEX(MO_Common_QEndDate,0,COLUMN())),"N/A")</f>
        <v>12.96</v>
      </c>
      <c r="BJ690" s="239">
        <f>IFERROR(_xll.ciqfunctions.udf.CIQLO(MO.Ticker.CapIQ,"IQ_LASTSALEPRICE",INDEX(MO_SNA_FPStartDate,0,COLUMN()),INDEX(MO_Common_QEndDate,0,COLUMN())),"N/A")</f>
        <v>16.170000000000002</v>
      </c>
      <c r="BK690" s="239">
        <f>IFERROR(_xll.ciqfunctions.udf.CIQLO(MO.Ticker.CapIQ,"IQ_LASTSALEPRICE",INDEX(MO_SNA_FPStartDate,0,COLUMN()),INDEX(MO_Common_QEndDate,0,COLUMN())),"N/A")</f>
        <v>15.86</v>
      </c>
      <c r="BL690" s="239">
        <f>IFERROR(_xll.ciqfunctions.udf.CIQLO(MO.Ticker.CapIQ,"IQ_LASTSALEPRICE",INDEX(MO_SNA_FPStartDate,0,COLUMN()),INDEX(MO_Common_QEndDate,0,COLUMN())),"N/A")</f>
        <v>20.89</v>
      </c>
      <c r="BM690" s="239">
        <f>IFERROR(_xll.ciqfunctions.udf.CIQLO(MO.Ticker.CapIQ,"IQ_LASTSALEPRICE",INDEX(MO_SNA_FPStartDate,0,COLUMN()),INDEX(MO_Common_QEndDate,0,COLUMN())),"N/A")</f>
        <v>26.86</v>
      </c>
      <c r="BN690" s="239">
        <f>IFERROR(_xll.ciqfunctions.udf.CIQLO(MO.Ticker.CapIQ,"IQ_LASTSALEPRICE",INDEX(MO_SNA_FPStartDate,0,COLUMN()),INDEX(MO_Common_QEndDate,0,COLUMN())),"N/A")</f>
        <v>31.28</v>
      </c>
      <c r="BO690" s="239">
        <f>IFERROR(_xll.ciqfunctions.udf.CIQLO(MO.Ticker.CapIQ,"IQ_LASTSALEPRICE",INDEX(MO_SNA_FPStartDate,0,COLUMN()),INDEX(MO_Common_QEndDate,0,COLUMN())),"N/A")</f>
        <v>35.82</v>
      </c>
      <c r="BP690" s="239" t="str">
        <f>IFERROR(_xll.ciqfunctions.udf.CIQLO(MO.Ticker.CapIQ,"IQ_LASTSALEPRICE",INDEX(MO_SNA_FPStartDate,0,COLUMN()),INDEX(MO_Common_QEndDate,0,COLUMN())),"N/A")</f>
        <v>#PEND</v>
      </c>
      <c r="BQ690" s="239" t="str">
        <f>IFERROR(_xll.ciqfunctions.udf.CIQLO(MO.Ticker.CapIQ,"IQ_LASTSALEPRICE",INDEX(MO_SNA_FPStartDate,0,COLUMN()),INDEX(MO_Common_QEndDate,0,COLUMN())),"N/A")</f>
        <v>#PEND</v>
      </c>
      <c r="BR690" s="239" t="str">
        <f>IFERROR(_xll.ciqfunctions.udf.CIQLO(MO.Ticker.CapIQ,"IQ_LASTSALEPRICE",INDEX(MO_SNA_FPStartDate,0,COLUMN()),INDEX(MO_Common_QEndDate,0,COLUMN())),"N/A")</f>
        <v>#PEND</v>
      </c>
      <c r="BS690" s="241" t="str">
        <f>IFERROR(_xll.ciqfunctions.udf.CIQLO(MO.Ticker.CapIQ,"IQ_LASTSALEPRICE",INDEX(MO_SNA_FPStartDate,0,COLUMN()),INDEX(MO_Common_QEndDate,0,COLUMN())),"N/A")</f>
        <v>#PEND</v>
      </c>
      <c r="BT690" s="274"/>
    </row>
    <row r="691" spans="1:72" s="242" customFormat="1" hidden="1" outlineLevel="1" x14ac:dyDescent="0.35">
      <c r="A691" s="243" t="s">
        <v>264</v>
      </c>
      <c r="B691" s="239"/>
      <c r="C691" s="239" t="str">
        <f ca="1">IFERROR(FDS(MO.Ticker.FactSet,"P_PRICE_LOW"&amp;"("&amp;INDEX(MO_SNA_FPStartDate,0,COLUMN())&amp;","&amp;INDEX(MO_Common_QEndDate,0,COLUMN())&amp;",,,,""PRICE"",""CLOSE"")"),"N/A")</f>
        <v>N/A</v>
      </c>
      <c r="D691" s="239" t="str">
        <f ca="1">IFERROR(FDS(MO.Ticker.FactSet,"P_PRICE_LOW"&amp;"("&amp;INDEX(MO_SNA_FPStartDate,0,COLUMN())&amp;","&amp;INDEX(MO_Common_QEndDate,0,COLUMN())&amp;",,,,""PRICE"",""CLOSE"")"),"N/A")</f>
        <v>N/A</v>
      </c>
      <c r="E691" s="239" t="str">
        <f ca="1">IFERROR(FDS(MO.Ticker.FactSet,"P_PRICE_LOW"&amp;"("&amp;INDEX(MO_SNA_FPStartDate,0,COLUMN())&amp;","&amp;INDEX(MO_Common_QEndDate,0,COLUMN())&amp;",,,,""PRICE"",""CLOSE"")"),"N/A")</f>
        <v>N/A</v>
      </c>
      <c r="F691" s="239" t="str">
        <f ca="1">IFERROR(FDS(MO.Ticker.FactSet,"P_PRICE_LOW"&amp;"("&amp;INDEX(MO_SNA_FPStartDate,0,COLUMN())&amp;","&amp;INDEX(MO_Common_QEndDate,0,COLUMN())&amp;",,,,""PRICE"",""CLOSE"")"),"N/A")</f>
        <v>N/A</v>
      </c>
      <c r="G691" s="239" t="str">
        <f ca="1">IFERROR(FDS(MO.Ticker.FactSet,"P_PRICE_LOW"&amp;"("&amp;INDEX(MO_SNA_FPStartDate,0,COLUMN())&amp;","&amp;INDEX(MO_Common_QEndDate,0,COLUMN())&amp;",,,,""PRICE"",""CLOSE"")"),"N/A")</f>
        <v>N/A</v>
      </c>
      <c r="H691" s="239" t="str">
        <f ca="1">IFERROR(FDS(MO.Ticker.FactSet,"P_PRICE_LOW"&amp;"("&amp;INDEX(MO_SNA_FPStartDate,0,COLUMN())&amp;","&amp;INDEX(MO_Common_QEndDate,0,COLUMN())&amp;",,,,""PRICE"",""CLOSE"")"),"N/A")</f>
        <v>N/A</v>
      </c>
      <c r="I691" s="239" t="str">
        <f ca="1">IFERROR(FDS(MO.Ticker.FactSet,"P_PRICE_LOW"&amp;"("&amp;INDEX(MO_SNA_FPStartDate,0,COLUMN())&amp;","&amp;INDEX(MO_Common_QEndDate,0,COLUMN())&amp;",,,,""PRICE"",""CLOSE"")"),"N/A")</f>
        <v>N/A</v>
      </c>
      <c r="J691" s="239" t="str">
        <f ca="1">IFERROR(FDS(MO.Ticker.FactSet,"P_PRICE_LOW"&amp;"("&amp;INDEX(MO_SNA_FPStartDate,0,COLUMN())&amp;","&amp;INDEX(MO_Common_QEndDate,0,COLUMN())&amp;",,,,""PRICE"",""CLOSE"")"),"N/A")</f>
        <v>N/A</v>
      </c>
      <c r="K691" s="239" t="str">
        <f ca="1">IFERROR(FDS(MO.Ticker.FactSet,"P_PRICE_LOW"&amp;"("&amp;INDEX(MO_SNA_FPStartDate,0,COLUMN())&amp;","&amp;INDEX(MO_Common_QEndDate,0,COLUMN())&amp;",,,,""PRICE"",""CLOSE"")"),"N/A")</f>
        <v>N/A</v>
      </c>
      <c r="L691" s="239" t="str">
        <f ca="1">IFERROR(FDS(MO.Ticker.FactSet,"P_PRICE_LOW"&amp;"("&amp;INDEX(MO_SNA_FPStartDate,0,COLUMN())&amp;","&amp;INDEX(MO_Common_QEndDate,0,COLUMN())&amp;",,,,""PRICE"",""CLOSE"")"),"N/A")</f>
        <v>N/A</v>
      </c>
      <c r="M691" s="239" t="str">
        <f ca="1">IFERROR(FDS(MO.Ticker.FactSet,"P_PRICE_LOW"&amp;"("&amp;INDEX(MO_SNA_FPStartDate,0,COLUMN())&amp;","&amp;INDEX(MO_Common_QEndDate,0,COLUMN())&amp;",,,,""PRICE"",""CLOSE"")"),"N/A")</f>
        <v>N/A</v>
      </c>
      <c r="N691" s="239" t="str">
        <f ca="1">IFERROR(FDS(MO.Ticker.FactSet,"P_PRICE_LOW"&amp;"("&amp;INDEX(MO_SNA_FPStartDate,0,COLUMN())&amp;","&amp;INDEX(MO_Common_QEndDate,0,COLUMN())&amp;",,,,""PRICE"",""CLOSE"")"),"N/A")</f>
        <v>N/A</v>
      </c>
      <c r="O691" s="239" t="str">
        <f ca="1">IFERROR(FDS(MO.Ticker.FactSet,"P_PRICE_LOW"&amp;"("&amp;INDEX(MO_SNA_FPStartDate,0,COLUMN())&amp;","&amp;INDEX(MO_Common_QEndDate,0,COLUMN())&amp;",,,,""PRICE"",""CLOSE"")"),"N/A")</f>
        <v>N/A</v>
      </c>
      <c r="P691" s="239" t="str">
        <f ca="1">IFERROR(FDS(MO.Ticker.FactSet,"P_PRICE_LOW"&amp;"("&amp;INDEX(MO_SNA_FPStartDate,0,COLUMN())&amp;","&amp;INDEX(MO_Common_QEndDate,0,COLUMN())&amp;",,,,""PRICE"",""CLOSE"")"),"N/A")</f>
        <v>N/A</v>
      </c>
      <c r="Q691" s="239" t="str">
        <f ca="1">IFERROR(FDS(MO.Ticker.FactSet,"P_PRICE_LOW"&amp;"("&amp;INDEX(MO_SNA_FPStartDate,0,COLUMN())&amp;","&amp;INDEX(MO_Common_QEndDate,0,COLUMN())&amp;",,,,""PRICE"",""CLOSE"")"),"N/A")</f>
        <v>N/A</v>
      </c>
      <c r="R691" s="239" t="str">
        <f ca="1">IFERROR(FDS(MO.Ticker.FactSet,"P_PRICE_LOW"&amp;"("&amp;INDEX(MO_SNA_FPStartDate,0,COLUMN())&amp;","&amp;INDEX(MO_Common_QEndDate,0,COLUMN())&amp;",,,,""PRICE"",""CLOSE"")"),"N/A")</f>
        <v>N/A</v>
      </c>
      <c r="S691" s="239" t="str">
        <f ca="1">IFERROR(FDS(MO.Ticker.FactSet,"P_PRICE_LOW"&amp;"("&amp;INDEX(MO_SNA_FPStartDate,0,COLUMN())&amp;","&amp;INDEX(MO_Common_QEndDate,0,COLUMN())&amp;",,,,""PRICE"",""CLOSE"")"),"N/A")</f>
        <v>N/A</v>
      </c>
      <c r="T691" s="239" t="str">
        <f ca="1">IFERROR(FDS(MO.Ticker.FactSet,"P_PRICE_LOW"&amp;"("&amp;INDEX(MO_SNA_FPStartDate,0,COLUMN())&amp;","&amp;INDEX(MO_Common_QEndDate,0,COLUMN())&amp;",,,,""PRICE"",""CLOSE"")"),"N/A")</f>
        <v>N/A</v>
      </c>
      <c r="U691" s="239" t="str">
        <f ca="1">IFERROR(FDS(MO.Ticker.FactSet,"P_PRICE_LOW"&amp;"("&amp;INDEX(MO_SNA_FPStartDate,0,COLUMN())&amp;","&amp;INDEX(MO_Common_QEndDate,0,COLUMN())&amp;",,,,""PRICE"",""CLOSE"")"),"N/A")</f>
        <v>N/A</v>
      </c>
      <c r="V691" s="239" t="str">
        <f ca="1">IFERROR(FDS(MO.Ticker.FactSet,"P_PRICE_LOW"&amp;"("&amp;INDEX(MO_SNA_FPStartDate,0,COLUMN())&amp;","&amp;INDEX(MO_Common_QEndDate,0,COLUMN())&amp;",,,,""PRICE"",""CLOSE"")"),"N/A")</f>
        <v>N/A</v>
      </c>
      <c r="W691" s="239" t="str">
        <f ca="1">IFERROR(FDS(MO.Ticker.FactSet,"P_PRICE_LOW"&amp;"("&amp;INDEX(MO_SNA_FPStartDate,0,COLUMN())&amp;","&amp;INDEX(MO_Common_QEndDate,0,COLUMN())&amp;",,,,""PRICE"",""CLOSE"")"),"N/A")</f>
        <v>N/A</v>
      </c>
      <c r="X691" s="239" t="str">
        <f ca="1">IFERROR(FDS(MO.Ticker.FactSet,"P_PRICE_LOW"&amp;"("&amp;INDEX(MO_SNA_FPStartDate,0,COLUMN())&amp;","&amp;INDEX(MO_Common_QEndDate,0,COLUMN())&amp;",,,,""PRICE"",""CLOSE"")"),"N/A")</f>
        <v>N/A</v>
      </c>
      <c r="Y691" s="239" t="str">
        <f ca="1">IFERROR(FDS(MO.Ticker.FactSet,"P_PRICE_LOW"&amp;"("&amp;INDEX(MO_SNA_FPStartDate,0,COLUMN())&amp;","&amp;INDEX(MO_Common_QEndDate,0,COLUMN())&amp;",,,,""PRICE"",""CLOSE"")"),"N/A")</f>
        <v>N/A</v>
      </c>
      <c r="Z691" s="239" t="str">
        <f ca="1">IFERROR(FDS(MO.Ticker.FactSet,"P_PRICE_LOW"&amp;"("&amp;INDEX(MO_SNA_FPStartDate,0,COLUMN())&amp;","&amp;INDEX(MO_Common_QEndDate,0,COLUMN())&amp;",,,,""PRICE"",""CLOSE"")"),"N/A")</f>
        <v>N/A</v>
      </c>
      <c r="AA691" s="239" t="str">
        <f ca="1">IFERROR(FDS(MO.Ticker.FactSet,"P_PRICE_LOW"&amp;"("&amp;INDEX(MO_SNA_FPStartDate,0,COLUMN())&amp;","&amp;INDEX(MO_Common_QEndDate,0,COLUMN())&amp;",,,,""PRICE"",""CLOSE"")"),"N/A")</f>
        <v>N/A</v>
      </c>
      <c r="AB691" s="239" t="str">
        <f ca="1">IFERROR(FDS(MO.Ticker.FactSet,"P_PRICE_LOW"&amp;"("&amp;INDEX(MO_SNA_FPStartDate,0,COLUMN())&amp;","&amp;INDEX(MO_Common_QEndDate,0,COLUMN())&amp;",,,,""PRICE"",""CLOSE"")"),"N/A")</f>
        <v>N/A</v>
      </c>
      <c r="AC691" s="239" t="str">
        <f ca="1">IFERROR(FDS(MO.Ticker.FactSet,"P_PRICE_LOW"&amp;"("&amp;INDEX(MO_SNA_FPStartDate,0,COLUMN())&amp;","&amp;INDEX(MO_Common_QEndDate,0,COLUMN())&amp;",,,,""PRICE"",""CLOSE"")"),"N/A")</f>
        <v>N/A</v>
      </c>
      <c r="AD691" s="239" t="str">
        <f ca="1">IFERROR(FDS(MO.Ticker.FactSet,"P_PRICE_LOW"&amp;"("&amp;INDEX(MO_SNA_FPStartDate,0,COLUMN())&amp;","&amp;INDEX(MO_Common_QEndDate,0,COLUMN())&amp;",,,,""PRICE"",""CLOSE"")"),"N/A")</f>
        <v>N/A</v>
      </c>
      <c r="AE691" s="239" t="str">
        <f ca="1">IFERROR(FDS(MO.Ticker.FactSet,"P_PRICE_LOW"&amp;"("&amp;INDEX(MO_SNA_FPStartDate,0,COLUMN())&amp;","&amp;INDEX(MO_Common_QEndDate,0,COLUMN())&amp;",,,,""PRICE"",""CLOSE"")"),"N/A")</f>
        <v>N/A</v>
      </c>
      <c r="AF691" s="239" t="str">
        <f ca="1">IFERROR(FDS(MO.Ticker.FactSet,"P_PRICE_LOW"&amp;"("&amp;INDEX(MO_SNA_FPStartDate,0,COLUMN())&amp;","&amp;INDEX(MO_Common_QEndDate,0,COLUMN())&amp;",,,,""PRICE"",""CLOSE"")"),"N/A")</f>
        <v>N/A</v>
      </c>
      <c r="AG691" s="239" t="str">
        <f ca="1">IFERROR(FDS(MO.Ticker.FactSet,"P_PRICE_LOW"&amp;"("&amp;INDEX(MO_SNA_FPStartDate,0,COLUMN())&amp;","&amp;INDEX(MO_Common_QEndDate,0,COLUMN())&amp;",,,,""PRICE"",""CLOSE"")"),"N/A")</f>
        <v>N/A</v>
      </c>
      <c r="AH691" s="239" t="str">
        <f ca="1">IFERROR(FDS(MO.Ticker.FactSet,"P_PRICE_LOW"&amp;"("&amp;INDEX(MO_SNA_FPStartDate,0,COLUMN())&amp;","&amp;INDEX(MO_Common_QEndDate,0,COLUMN())&amp;",,,,""PRICE"",""CLOSE"")"),"N/A")</f>
        <v>N/A</v>
      </c>
      <c r="AI691" s="239" t="str">
        <f ca="1">IFERROR(FDS(MO.Ticker.FactSet,"P_PRICE_LOW"&amp;"("&amp;INDEX(MO_SNA_FPStartDate,0,COLUMN())&amp;","&amp;INDEX(MO_Common_QEndDate,0,COLUMN())&amp;",,,,""PRICE"",""CLOSE"")"),"N/A")</f>
        <v>N/A</v>
      </c>
      <c r="AJ691" s="239" t="str">
        <f ca="1">IFERROR(FDS(MO.Ticker.FactSet,"P_PRICE_LOW"&amp;"("&amp;INDEX(MO_SNA_FPStartDate,0,COLUMN())&amp;","&amp;INDEX(MO_Common_QEndDate,0,COLUMN())&amp;",,,,""PRICE"",""CLOSE"")"),"N/A")</f>
        <v>N/A</v>
      </c>
      <c r="AK691" s="239" t="str">
        <f ca="1">IFERROR(FDS(MO.Ticker.FactSet,"P_PRICE_LOW"&amp;"("&amp;INDEX(MO_SNA_FPStartDate,0,COLUMN())&amp;","&amp;INDEX(MO_Common_QEndDate,0,COLUMN())&amp;",,,,""PRICE"",""CLOSE"")"),"N/A")</f>
        <v>N/A</v>
      </c>
      <c r="AL691" s="239" t="str">
        <f ca="1">IFERROR(FDS(MO.Ticker.FactSet,"P_PRICE_LOW"&amp;"("&amp;INDEX(MO_SNA_FPStartDate,0,COLUMN())&amp;","&amp;INDEX(MO_Common_QEndDate,0,COLUMN())&amp;",,,,""PRICE"",""CLOSE"")"),"N/A")</f>
        <v>N/A</v>
      </c>
      <c r="AM691" s="239" t="str">
        <f ca="1">IFERROR(FDS(MO.Ticker.FactSet,"P_PRICE_LOW"&amp;"("&amp;INDEX(MO_SNA_FPStartDate,0,COLUMN())&amp;","&amp;INDEX(MO_Common_QEndDate,0,COLUMN())&amp;",,,,""PRICE"",""CLOSE"")"),"N/A")</f>
        <v>N/A</v>
      </c>
      <c r="AN691" s="239" t="str">
        <f ca="1">IFERROR(FDS(MO.Ticker.FactSet,"P_PRICE_LOW"&amp;"("&amp;INDEX(MO_SNA_FPStartDate,0,COLUMN())&amp;","&amp;INDEX(MO_Common_QEndDate,0,COLUMN())&amp;",,,,""PRICE"",""CLOSE"")"),"N/A")</f>
        <v>N/A</v>
      </c>
      <c r="AO691" s="239" t="str">
        <f ca="1">IFERROR(FDS(MO.Ticker.FactSet,"P_PRICE_LOW"&amp;"("&amp;INDEX(MO_SNA_FPStartDate,0,COLUMN())&amp;","&amp;INDEX(MO_Common_QEndDate,0,COLUMN())&amp;",,,,""PRICE"",""CLOSE"")"),"N/A")</f>
        <v>N/A</v>
      </c>
      <c r="AP691" s="239" t="str">
        <f ca="1">IFERROR(FDS(MO.Ticker.FactSet,"P_PRICE_LOW"&amp;"("&amp;INDEX(MO_SNA_FPStartDate,0,COLUMN())&amp;","&amp;INDEX(MO_Common_QEndDate,0,COLUMN())&amp;",,,,""PRICE"",""CLOSE"")"),"N/A")</f>
        <v>N/A</v>
      </c>
      <c r="AQ691" s="239" t="str">
        <f ca="1">IFERROR(FDS(MO.Ticker.FactSet,"P_PRICE_LOW"&amp;"("&amp;INDEX(MO_SNA_FPStartDate,0,COLUMN())&amp;","&amp;INDEX(MO_Common_QEndDate,0,COLUMN())&amp;",,,,""PRICE"",""CLOSE"")"),"N/A")</f>
        <v>N/A</v>
      </c>
      <c r="AR691" s="239" t="str">
        <f ca="1">IFERROR(FDS(MO.Ticker.FactSet,"P_PRICE_LOW"&amp;"("&amp;INDEX(MO_SNA_FPStartDate,0,COLUMN())&amp;","&amp;INDEX(MO_Common_QEndDate,0,COLUMN())&amp;",,,,""PRICE"",""CLOSE"")"),"N/A")</f>
        <v>N/A</v>
      </c>
      <c r="AS691" s="239" t="str">
        <f ca="1">IFERROR(FDS(MO.Ticker.FactSet,"P_PRICE_LOW"&amp;"("&amp;INDEX(MO_SNA_FPStartDate,0,COLUMN())&amp;","&amp;INDEX(MO_Common_QEndDate,0,COLUMN())&amp;",,,,""PRICE"",""CLOSE"")"),"N/A")</f>
        <v>N/A</v>
      </c>
      <c r="AT691" s="239" t="str">
        <f ca="1">IFERROR(FDS(MO.Ticker.FactSet,"P_PRICE_LOW"&amp;"("&amp;INDEX(MO_SNA_FPStartDate,0,COLUMN())&amp;","&amp;INDEX(MO_Common_QEndDate,0,COLUMN())&amp;",,,,""PRICE"",""CLOSE"")"),"N/A")</f>
        <v>N/A</v>
      </c>
      <c r="AU691" s="239" t="str">
        <f ca="1">IFERROR(FDS(MO.Ticker.FactSet,"P_PRICE_LOW"&amp;"("&amp;INDEX(MO_SNA_FPStartDate,0,COLUMN())&amp;","&amp;INDEX(MO_Common_QEndDate,0,COLUMN())&amp;",,,,""PRICE"",""CLOSE"")"),"N/A")</f>
        <v>N/A</v>
      </c>
      <c r="AV691" s="239" t="str">
        <f ca="1">IFERROR(FDS(MO.Ticker.FactSet,"P_PRICE_LOW"&amp;"("&amp;INDEX(MO_SNA_FPStartDate,0,COLUMN())&amp;","&amp;INDEX(MO_Common_QEndDate,0,COLUMN())&amp;",,,,""PRICE"",""CLOSE"")"),"N/A")</f>
        <v>N/A</v>
      </c>
      <c r="AW691" s="239" t="str">
        <f ca="1">IFERROR(FDS(MO.Ticker.FactSet,"P_PRICE_LOW"&amp;"("&amp;INDEX(MO_SNA_FPStartDate,0,COLUMN())&amp;","&amp;INDEX(MO_Common_QEndDate,0,COLUMN())&amp;",,,,""PRICE"",""CLOSE"")"),"N/A")</f>
        <v>N/A</v>
      </c>
      <c r="AX691" s="239" t="str">
        <f ca="1">IFERROR(FDS(MO.Ticker.FactSet,"P_PRICE_LOW"&amp;"("&amp;INDEX(MO_SNA_FPStartDate,0,COLUMN())&amp;","&amp;INDEX(MO_Common_QEndDate,0,COLUMN())&amp;",,,,""PRICE"",""CLOSE"")"),"N/A")</f>
        <v>N/A</v>
      </c>
      <c r="AY691" s="239"/>
      <c r="AZ691" s="240" t="str">
        <f ca="1">IFERROR(FDS(MO.Ticker.FactSet,"P_PRICE_LOW"&amp;"("&amp;INDEX(MO_SNA_FPStartDate,0,COLUMN())&amp;","&amp;INDEX(MO_Common_QEndDate,0,COLUMN())&amp;",,,,""PRICE"",""CLOSE"")"),"N/A")</f>
        <v>N/A</v>
      </c>
      <c r="BA691" s="240" t="str">
        <f ca="1">IFERROR(FDS(MO.Ticker.FactSet,"P_PRICE_LOW"&amp;"("&amp;INDEX(MO_SNA_FPStartDate,0,COLUMN())&amp;","&amp;INDEX(MO_Common_QEndDate,0,COLUMN())&amp;",,,,""PRICE"",""CLOSE"")"),"N/A")</f>
        <v>N/A</v>
      </c>
      <c r="BB691" s="239" t="str">
        <f ca="1">IFERROR(FDS(MO.Ticker.FactSet,"P_PRICE_LOW"&amp;"("&amp;INDEX(MO_SNA_FPStartDate,0,COLUMN())&amp;","&amp;INDEX(MO_Common_QEndDate,0,COLUMN())&amp;",,,,""PRICE"",""CLOSE"")"),"N/A")</f>
        <v>N/A</v>
      </c>
      <c r="BC691" s="239" t="str">
        <f ca="1">IFERROR(FDS(MO.Ticker.FactSet,"P_PRICE_LOW"&amp;"("&amp;INDEX(MO_SNA_FPStartDate,0,COLUMN())&amp;","&amp;INDEX(MO_Common_QEndDate,0,COLUMN())&amp;",,,,""PRICE"",""CLOSE"")"),"N/A")</f>
        <v>N/A</v>
      </c>
      <c r="BD691" s="239" t="str">
        <f ca="1">IFERROR(FDS(MO.Ticker.FactSet,"P_PRICE_LOW"&amp;"("&amp;INDEX(MO_SNA_FPStartDate,0,COLUMN())&amp;","&amp;INDEX(MO_Common_QEndDate,0,COLUMN())&amp;",,,,""PRICE"",""CLOSE"")"),"N/A")</f>
        <v>N/A</v>
      </c>
      <c r="BE691" s="239" t="str">
        <f ca="1">IFERROR(FDS(MO.Ticker.FactSet,"P_PRICE_LOW"&amp;"("&amp;INDEX(MO_SNA_FPStartDate,0,COLUMN())&amp;","&amp;INDEX(MO_Common_QEndDate,0,COLUMN())&amp;",,,,""PRICE"",""CLOSE"")"),"N/A")</f>
        <v>N/A</v>
      </c>
      <c r="BF691" s="239" t="str">
        <f ca="1">IFERROR(FDS(MO.Ticker.FactSet,"P_PRICE_LOW"&amp;"("&amp;INDEX(MO_SNA_FPStartDate,0,COLUMN())&amp;","&amp;INDEX(MO_Common_QEndDate,0,COLUMN())&amp;",,,,""PRICE"",""CLOSE"")"),"N/A")</f>
        <v>N/A</v>
      </c>
      <c r="BG691" s="239" t="str">
        <f ca="1">IFERROR(FDS(MO.Ticker.FactSet,"P_PRICE_LOW"&amp;"("&amp;INDEX(MO_SNA_FPStartDate,0,COLUMN())&amp;","&amp;INDEX(MO_Common_QEndDate,0,COLUMN())&amp;",,,,""PRICE"",""CLOSE"")"),"N/A")</f>
        <v>N/A</v>
      </c>
      <c r="BH691" s="239" t="str">
        <f ca="1">IFERROR(FDS(MO.Ticker.FactSet,"P_PRICE_LOW"&amp;"("&amp;INDEX(MO_SNA_FPStartDate,0,COLUMN())&amp;","&amp;INDEX(MO_Common_QEndDate,0,COLUMN())&amp;",,,,""PRICE"",""CLOSE"")"),"N/A")</f>
        <v>N/A</v>
      </c>
      <c r="BI691" s="239" t="str">
        <f ca="1">IFERROR(FDS(MO.Ticker.FactSet,"P_PRICE_LOW"&amp;"("&amp;INDEX(MO_SNA_FPStartDate,0,COLUMN())&amp;","&amp;INDEX(MO_Common_QEndDate,0,COLUMN())&amp;",,,,""PRICE"",""CLOSE"")"),"N/A")</f>
        <v>N/A</v>
      </c>
      <c r="BJ691" s="239" t="str">
        <f ca="1">IFERROR(FDS(MO.Ticker.FactSet,"P_PRICE_LOW"&amp;"("&amp;INDEX(MO_SNA_FPStartDate,0,COLUMN())&amp;","&amp;INDEX(MO_Common_QEndDate,0,COLUMN())&amp;",,,,""PRICE"",""CLOSE"")"),"N/A")</f>
        <v>N/A</v>
      </c>
      <c r="BK691" s="239" t="str">
        <f ca="1">IFERROR(FDS(MO.Ticker.FactSet,"P_PRICE_LOW"&amp;"("&amp;INDEX(MO_SNA_FPStartDate,0,COLUMN())&amp;","&amp;INDEX(MO_Common_QEndDate,0,COLUMN())&amp;",,,,""PRICE"",""CLOSE"")"),"N/A")</f>
        <v>N/A</v>
      </c>
      <c r="BL691" s="239" t="str">
        <f ca="1">IFERROR(FDS(MO.Ticker.FactSet,"P_PRICE_LOW"&amp;"("&amp;INDEX(MO_SNA_FPStartDate,0,COLUMN())&amp;","&amp;INDEX(MO_Common_QEndDate,0,COLUMN())&amp;",,,,""PRICE"",""CLOSE"")"),"N/A")</f>
        <v>N/A</v>
      </c>
      <c r="BM691" s="239" t="str">
        <f ca="1">IFERROR(FDS(MO.Ticker.FactSet,"P_PRICE_LOW"&amp;"("&amp;INDEX(MO_SNA_FPStartDate,0,COLUMN())&amp;","&amp;INDEX(MO_Common_QEndDate,0,COLUMN())&amp;",,,,""PRICE"",""CLOSE"")"),"N/A")</f>
        <v>N/A</v>
      </c>
      <c r="BN691" s="239" t="str">
        <f ca="1">IFERROR(FDS(MO.Ticker.FactSet,"P_PRICE_LOW"&amp;"("&amp;INDEX(MO_SNA_FPStartDate,0,COLUMN())&amp;","&amp;INDEX(MO_Common_QEndDate,0,COLUMN())&amp;",,,,""PRICE"",""CLOSE"")"),"N/A")</f>
        <v>N/A</v>
      </c>
      <c r="BO691" s="239" t="str">
        <f ca="1">IFERROR(FDS(MO.Ticker.FactSet,"P_PRICE_LOW"&amp;"("&amp;INDEX(MO_SNA_FPStartDate,0,COLUMN())&amp;","&amp;INDEX(MO_Common_QEndDate,0,COLUMN())&amp;",,,,""PRICE"",""CLOSE"")"),"N/A")</f>
        <v>N/A</v>
      </c>
      <c r="BP691" s="239" t="str">
        <f ca="1">IFERROR(FDS(MO.Ticker.FactSet,"P_PRICE_LOW"&amp;"("&amp;INDEX(MO_SNA_FPStartDate,0,COLUMN())&amp;","&amp;INDEX(MO_Common_QEndDate,0,COLUMN())&amp;",,,,""PRICE"",""CLOSE"")"),"N/A")</f>
        <v>N/A</v>
      </c>
      <c r="BQ691" s="239" t="str">
        <f ca="1">IFERROR(FDS(MO.Ticker.FactSet,"P_PRICE_LOW"&amp;"("&amp;INDEX(MO_SNA_FPStartDate,0,COLUMN())&amp;","&amp;INDEX(MO_Common_QEndDate,0,COLUMN())&amp;",,,,""PRICE"",""CLOSE"")"),"N/A")</f>
        <v>N/A</v>
      </c>
      <c r="BR691" s="239" t="str">
        <f ca="1">IFERROR(FDS(MO.Ticker.FactSet,"P_PRICE_LOW"&amp;"("&amp;INDEX(MO_SNA_FPStartDate,0,COLUMN())&amp;","&amp;INDEX(MO_Common_QEndDate,0,COLUMN())&amp;",,,,""PRICE"",""CLOSE"")"),"N/A")</f>
        <v>N/A</v>
      </c>
      <c r="BS691" s="241" t="str">
        <f ca="1">IFERROR(FDS(MO.Ticker.FactSet,"P_PRICE_LOW"&amp;"("&amp;INDEX(MO_SNA_FPStartDate,0,COLUMN())&amp;","&amp;INDEX(MO_Common_QEndDate,0,COLUMN())&amp;",,,,""PRICE"",""CLOSE"")"),"N/A")</f>
        <v>N/A</v>
      </c>
      <c r="BT691" s="274"/>
    </row>
    <row r="692" spans="1:72" s="242" customFormat="1" hidden="1" outlineLevel="1" x14ac:dyDescent="0.35">
      <c r="A692" s="243" t="s">
        <v>497</v>
      </c>
      <c r="B692" s="239"/>
      <c r="C692" s="239" t="str">
        <f ca="1">IFERROR(_xll.TR(MO.Ticker.Thomson,"Min(TR.PriceLow)","sdate:#1 edate:#2",,INDEX(MO_SNA_FPStartDate,0,COLUMN()),INDEX(MO_Common_QEndDate,0,COLUMN())),"N/A")</f>
        <v>N/A</v>
      </c>
      <c r="D692" s="239" t="str">
        <f ca="1">IFERROR(_xll.TR(MO.Ticker.Thomson,"Min(TR.PriceLow)","sdate:#1 edate:#2",,INDEX(MO_SNA_FPStartDate,0,COLUMN()),INDEX(MO_Common_QEndDate,0,COLUMN())),"N/A")</f>
        <v>N/A</v>
      </c>
      <c r="E692" s="239" t="str">
        <f ca="1">IFERROR(_xll.TR(MO.Ticker.Thomson,"Min(TR.PriceLow)","sdate:#1 edate:#2",,INDEX(MO_SNA_FPStartDate,0,COLUMN()),INDEX(MO_Common_QEndDate,0,COLUMN())),"N/A")</f>
        <v>N/A</v>
      </c>
      <c r="F692" s="239" t="str">
        <f ca="1">IFERROR(_xll.TR(MO.Ticker.Thomson,"Min(TR.PriceLow)","sdate:#1 edate:#2",,INDEX(MO_SNA_FPStartDate,0,COLUMN()),INDEX(MO_Common_QEndDate,0,COLUMN())),"N/A")</f>
        <v>N/A</v>
      </c>
      <c r="G692" s="239" t="str">
        <f ca="1">IFERROR(_xll.TR(MO.Ticker.Thomson,"Min(TR.PriceLow)","sdate:#1 edate:#2",,INDEX(MO_SNA_FPStartDate,0,COLUMN()),INDEX(MO_Common_QEndDate,0,COLUMN())),"N/A")</f>
        <v>N/A</v>
      </c>
      <c r="H692" s="239" t="str">
        <f ca="1">IFERROR(_xll.TR(MO.Ticker.Thomson,"Min(TR.PriceLow)","sdate:#1 edate:#2",,INDEX(MO_SNA_FPStartDate,0,COLUMN()),INDEX(MO_Common_QEndDate,0,COLUMN())),"N/A")</f>
        <v>N/A</v>
      </c>
      <c r="I692" s="239" t="str">
        <f ca="1">IFERROR(_xll.TR(MO.Ticker.Thomson,"Min(TR.PriceLow)","sdate:#1 edate:#2",,INDEX(MO_SNA_FPStartDate,0,COLUMN()),INDEX(MO_Common_QEndDate,0,COLUMN())),"N/A")</f>
        <v>N/A</v>
      </c>
      <c r="J692" s="239" t="str">
        <f ca="1">IFERROR(_xll.TR(MO.Ticker.Thomson,"Min(TR.PriceLow)","sdate:#1 edate:#2",,INDEX(MO_SNA_FPStartDate,0,COLUMN()),INDEX(MO_Common_QEndDate,0,COLUMN())),"N/A")</f>
        <v>N/A</v>
      </c>
      <c r="K692" s="239" t="str">
        <f ca="1">IFERROR(_xll.TR(MO.Ticker.Thomson,"Min(TR.PriceLow)","sdate:#1 edate:#2",,INDEX(MO_SNA_FPStartDate,0,COLUMN()),INDEX(MO_Common_QEndDate,0,COLUMN())),"N/A")</f>
        <v>N/A</v>
      </c>
      <c r="L692" s="239" t="str">
        <f ca="1">IFERROR(_xll.TR(MO.Ticker.Thomson,"Min(TR.PriceLow)","sdate:#1 edate:#2",,INDEX(MO_SNA_FPStartDate,0,COLUMN()),INDEX(MO_Common_QEndDate,0,COLUMN())),"N/A")</f>
        <v>N/A</v>
      </c>
      <c r="M692" s="239" t="str">
        <f ca="1">IFERROR(_xll.TR(MO.Ticker.Thomson,"Min(TR.PriceLow)","sdate:#1 edate:#2",,INDEX(MO_SNA_FPStartDate,0,COLUMN()),INDEX(MO_Common_QEndDate,0,COLUMN())),"N/A")</f>
        <v>N/A</v>
      </c>
      <c r="N692" s="239" t="str">
        <f ca="1">IFERROR(_xll.TR(MO.Ticker.Thomson,"Min(TR.PriceLow)","sdate:#1 edate:#2",,INDEX(MO_SNA_FPStartDate,0,COLUMN()),INDEX(MO_Common_QEndDate,0,COLUMN())),"N/A")</f>
        <v>N/A</v>
      </c>
      <c r="O692" s="239" t="str">
        <f ca="1">IFERROR(_xll.TR(MO.Ticker.Thomson,"Min(TR.PriceLow)","sdate:#1 edate:#2",,INDEX(MO_SNA_FPStartDate,0,COLUMN()),INDEX(MO_Common_QEndDate,0,COLUMN())),"N/A")</f>
        <v>N/A</v>
      </c>
      <c r="P692" s="239" t="str">
        <f ca="1">IFERROR(_xll.TR(MO.Ticker.Thomson,"Min(TR.PriceLow)","sdate:#1 edate:#2",,INDEX(MO_SNA_FPStartDate,0,COLUMN()),INDEX(MO_Common_QEndDate,0,COLUMN())),"N/A")</f>
        <v>N/A</v>
      </c>
      <c r="Q692" s="239" t="str">
        <f ca="1">IFERROR(_xll.TR(MO.Ticker.Thomson,"Min(TR.PriceLow)","sdate:#1 edate:#2",,INDEX(MO_SNA_FPStartDate,0,COLUMN()),INDEX(MO_Common_QEndDate,0,COLUMN())),"N/A")</f>
        <v>N/A</v>
      </c>
      <c r="R692" s="239" t="str">
        <f ca="1">IFERROR(_xll.TR(MO.Ticker.Thomson,"Min(TR.PriceLow)","sdate:#1 edate:#2",,INDEX(MO_SNA_FPStartDate,0,COLUMN()),INDEX(MO_Common_QEndDate,0,COLUMN())),"N/A")</f>
        <v>N/A</v>
      </c>
      <c r="S692" s="239" t="str">
        <f ca="1">IFERROR(_xll.TR(MO.Ticker.Thomson,"Min(TR.PriceLow)","sdate:#1 edate:#2",,INDEX(MO_SNA_FPStartDate,0,COLUMN()),INDEX(MO_Common_QEndDate,0,COLUMN())),"N/A")</f>
        <v>N/A</v>
      </c>
      <c r="T692" s="239" t="str">
        <f ca="1">IFERROR(_xll.TR(MO.Ticker.Thomson,"Min(TR.PriceLow)","sdate:#1 edate:#2",,INDEX(MO_SNA_FPStartDate,0,COLUMN()),INDEX(MO_Common_QEndDate,0,COLUMN())),"N/A")</f>
        <v>N/A</v>
      </c>
      <c r="U692" s="239" t="str">
        <f ca="1">IFERROR(_xll.TR(MO.Ticker.Thomson,"Min(TR.PriceLow)","sdate:#1 edate:#2",,INDEX(MO_SNA_FPStartDate,0,COLUMN()),INDEX(MO_Common_QEndDate,0,COLUMN())),"N/A")</f>
        <v>N/A</v>
      </c>
      <c r="V692" s="239" t="str">
        <f ca="1">IFERROR(_xll.TR(MO.Ticker.Thomson,"Min(TR.PriceLow)","sdate:#1 edate:#2",,INDEX(MO_SNA_FPStartDate,0,COLUMN()),INDEX(MO_Common_QEndDate,0,COLUMN())),"N/A")</f>
        <v>N/A</v>
      </c>
      <c r="W692" s="239" t="str">
        <f ca="1">IFERROR(_xll.TR(MO.Ticker.Thomson,"Min(TR.PriceLow)","sdate:#1 edate:#2",,INDEX(MO_SNA_FPStartDate,0,COLUMN()),INDEX(MO_Common_QEndDate,0,COLUMN())),"N/A")</f>
        <v>N/A</v>
      </c>
      <c r="X692" s="239" t="str">
        <f ca="1">IFERROR(_xll.TR(MO.Ticker.Thomson,"Min(TR.PriceLow)","sdate:#1 edate:#2",,INDEX(MO_SNA_FPStartDate,0,COLUMN()),INDEX(MO_Common_QEndDate,0,COLUMN())),"N/A")</f>
        <v>N/A</v>
      </c>
      <c r="Y692" s="239" t="str">
        <f ca="1">IFERROR(_xll.TR(MO.Ticker.Thomson,"Min(TR.PriceLow)","sdate:#1 edate:#2",,INDEX(MO_SNA_FPStartDate,0,COLUMN()),INDEX(MO_Common_QEndDate,0,COLUMN())),"N/A")</f>
        <v>N/A</v>
      </c>
      <c r="Z692" s="239" t="str">
        <f ca="1">IFERROR(_xll.TR(MO.Ticker.Thomson,"Min(TR.PriceLow)","sdate:#1 edate:#2",,INDEX(MO_SNA_FPStartDate,0,COLUMN()),INDEX(MO_Common_QEndDate,0,COLUMN())),"N/A")</f>
        <v>N/A</v>
      </c>
      <c r="AA692" s="239" t="str">
        <f ca="1">IFERROR(_xll.TR(MO.Ticker.Thomson,"Min(TR.PriceLow)","sdate:#1 edate:#2",,INDEX(MO_SNA_FPStartDate,0,COLUMN()),INDEX(MO_Common_QEndDate,0,COLUMN())),"N/A")</f>
        <v>N/A</v>
      </c>
      <c r="AB692" s="239" t="str">
        <f ca="1">IFERROR(_xll.TR(MO.Ticker.Thomson,"Min(TR.PriceLow)","sdate:#1 edate:#2",,INDEX(MO_SNA_FPStartDate,0,COLUMN()),INDEX(MO_Common_QEndDate,0,COLUMN())),"N/A")</f>
        <v>N/A</v>
      </c>
      <c r="AC692" s="239" t="str">
        <f ca="1">IFERROR(_xll.TR(MO.Ticker.Thomson,"Min(TR.PriceLow)","sdate:#1 edate:#2",,INDEX(MO_SNA_FPStartDate,0,COLUMN()),INDEX(MO_Common_QEndDate,0,COLUMN())),"N/A")</f>
        <v>N/A</v>
      </c>
      <c r="AD692" s="239" t="str">
        <f ca="1">IFERROR(_xll.TR(MO.Ticker.Thomson,"Min(TR.PriceLow)","sdate:#1 edate:#2",,INDEX(MO_SNA_FPStartDate,0,COLUMN()),INDEX(MO_Common_QEndDate,0,COLUMN())),"N/A")</f>
        <v>N/A</v>
      </c>
      <c r="AE692" s="239" t="str">
        <f ca="1">IFERROR(_xll.TR(MO.Ticker.Thomson,"Min(TR.PriceLow)","sdate:#1 edate:#2",,INDEX(MO_SNA_FPStartDate,0,COLUMN()),INDEX(MO_Common_QEndDate,0,COLUMN())),"N/A")</f>
        <v>N/A</v>
      </c>
      <c r="AF692" s="239" t="str">
        <f ca="1">IFERROR(_xll.TR(MO.Ticker.Thomson,"Min(TR.PriceLow)","sdate:#1 edate:#2",,INDEX(MO_SNA_FPStartDate,0,COLUMN()),INDEX(MO_Common_QEndDate,0,COLUMN())),"N/A")</f>
        <v>N/A</v>
      </c>
      <c r="AG692" s="239" t="str">
        <f ca="1">IFERROR(_xll.TR(MO.Ticker.Thomson,"Min(TR.PriceLow)","sdate:#1 edate:#2",,INDEX(MO_SNA_FPStartDate,0,COLUMN()),INDEX(MO_Common_QEndDate,0,COLUMN())),"N/A")</f>
        <v>N/A</v>
      </c>
      <c r="AH692" s="239" t="str">
        <f ca="1">IFERROR(_xll.TR(MO.Ticker.Thomson,"Min(TR.PriceLow)","sdate:#1 edate:#2",,INDEX(MO_SNA_FPStartDate,0,COLUMN()),INDEX(MO_Common_QEndDate,0,COLUMN())),"N/A")</f>
        <v>N/A</v>
      </c>
      <c r="AI692" s="239" t="str">
        <f ca="1">IFERROR(_xll.TR(MO.Ticker.Thomson,"Min(TR.PriceLow)","sdate:#1 edate:#2",,INDEX(MO_SNA_FPStartDate,0,COLUMN()),INDEX(MO_Common_QEndDate,0,COLUMN())),"N/A")</f>
        <v>N/A</v>
      </c>
      <c r="AJ692" s="239" t="str">
        <f ca="1">IFERROR(_xll.TR(MO.Ticker.Thomson,"Min(TR.PriceLow)","sdate:#1 edate:#2",,INDEX(MO_SNA_FPStartDate,0,COLUMN()),INDEX(MO_Common_QEndDate,0,COLUMN())),"N/A")</f>
        <v>N/A</v>
      </c>
      <c r="AK692" s="239" t="str">
        <f ca="1">IFERROR(_xll.TR(MO.Ticker.Thomson,"Min(TR.PriceLow)","sdate:#1 edate:#2",,INDEX(MO_SNA_FPStartDate,0,COLUMN()),INDEX(MO_Common_QEndDate,0,COLUMN())),"N/A")</f>
        <v>N/A</v>
      </c>
      <c r="AL692" s="239" t="str">
        <f ca="1">IFERROR(_xll.TR(MO.Ticker.Thomson,"Min(TR.PriceLow)","sdate:#1 edate:#2",,INDEX(MO_SNA_FPStartDate,0,COLUMN()),INDEX(MO_Common_QEndDate,0,COLUMN())),"N/A")</f>
        <v>N/A</v>
      </c>
      <c r="AM692" s="239" t="str">
        <f ca="1">IFERROR(_xll.TR(MO.Ticker.Thomson,"Min(TR.PriceLow)","sdate:#1 edate:#2",,INDEX(MO_SNA_FPStartDate,0,COLUMN()),INDEX(MO_Common_QEndDate,0,COLUMN())),"N/A")</f>
        <v>N/A</v>
      </c>
      <c r="AN692" s="239" t="str">
        <f ca="1">IFERROR(_xll.TR(MO.Ticker.Thomson,"Min(TR.PriceLow)","sdate:#1 edate:#2",,INDEX(MO_SNA_FPStartDate,0,COLUMN()),INDEX(MO_Common_QEndDate,0,COLUMN())),"N/A")</f>
        <v>N/A</v>
      </c>
      <c r="AO692" s="239" t="str">
        <f ca="1">IFERROR(_xll.TR(MO.Ticker.Thomson,"Min(TR.PriceLow)","sdate:#1 edate:#2",,INDEX(MO_SNA_FPStartDate,0,COLUMN()),INDEX(MO_Common_QEndDate,0,COLUMN())),"N/A")</f>
        <v>N/A</v>
      </c>
      <c r="AP692" s="239" t="str">
        <f ca="1">IFERROR(_xll.TR(MO.Ticker.Thomson,"Min(TR.PriceLow)","sdate:#1 edate:#2",,INDEX(MO_SNA_FPStartDate,0,COLUMN()),INDEX(MO_Common_QEndDate,0,COLUMN())),"N/A")</f>
        <v>N/A</v>
      </c>
      <c r="AQ692" s="239" t="str">
        <f ca="1">IFERROR(_xll.TR(MO.Ticker.Thomson,"Min(TR.PriceLow)","sdate:#1 edate:#2",,INDEX(MO_SNA_FPStartDate,0,COLUMN()),INDEX(MO_Common_QEndDate,0,COLUMN())),"N/A")</f>
        <v>N/A</v>
      </c>
      <c r="AR692" s="239" t="str">
        <f ca="1">IFERROR(_xll.TR(MO.Ticker.Thomson,"Min(TR.PriceLow)","sdate:#1 edate:#2",,INDEX(MO_SNA_FPStartDate,0,COLUMN()),INDEX(MO_Common_QEndDate,0,COLUMN())),"N/A")</f>
        <v>N/A</v>
      </c>
      <c r="AS692" s="239" t="str">
        <f ca="1">IFERROR(_xll.TR(MO.Ticker.Thomson,"Min(TR.PriceLow)","sdate:#1 edate:#2",,INDEX(MO_SNA_FPStartDate,0,COLUMN()),INDEX(MO_Common_QEndDate,0,COLUMN())),"N/A")</f>
        <v>N/A</v>
      </c>
      <c r="AT692" s="239" t="str">
        <f ca="1">IFERROR(_xll.TR(MO.Ticker.Thomson,"Min(TR.PriceLow)","sdate:#1 edate:#2",,INDEX(MO_SNA_FPStartDate,0,COLUMN()),INDEX(MO_Common_QEndDate,0,COLUMN())),"N/A")</f>
        <v>N/A</v>
      </c>
      <c r="AU692" s="239" t="str">
        <f ca="1">IFERROR(_xll.TR(MO.Ticker.Thomson,"Min(TR.PriceLow)","sdate:#1 edate:#2",,INDEX(MO_SNA_FPStartDate,0,COLUMN()),INDEX(MO_Common_QEndDate,0,COLUMN())),"N/A")</f>
        <v>N/A</v>
      </c>
      <c r="AV692" s="239" t="str">
        <f ca="1">IFERROR(_xll.TR(MO.Ticker.Thomson,"Min(TR.PriceLow)","sdate:#1 edate:#2",,INDEX(MO_SNA_FPStartDate,0,COLUMN()),INDEX(MO_Common_QEndDate,0,COLUMN())),"N/A")</f>
        <v>N/A</v>
      </c>
      <c r="AW692" s="239" t="str">
        <f ca="1">IFERROR(_xll.TR(MO.Ticker.Thomson,"Min(TR.PriceLow)","sdate:#1 edate:#2",,INDEX(MO_SNA_FPStartDate,0,COLUMN()),INDEX(MO_Common_QEndDate,0,COLUMN())),"N/A")</f>
        <v>N/A</v>
      </c>
      <c r="AX692" s="239" t="str">
        <f ca="1">IFERROR(_xll.TR(MO.Ticker.Thomson,"Min(TR.PriceLow)","sdate:#1 edate:#2",,INDEX(MO_SNA_FPStartDate,0,COLUMN()),INDEX(MO_Common_QEndDate,0,COLUMN())),"N/A")</f>
        <v>N/A</v>
      </c>
      <c r="AY692" s="239"/>
      <c r="AZ692" s="240" t="str">
        <f ca="1">IFERROR(_xll.TR(MO.Ticker.Thomson,"Min(TR.PriceLow)","sdate:#1 edate:#2",,INDEX(MO_SNA_FPStartDate,0,COLUMN()),INDEX(MO_Common_QEndDate,0,COLUMN())),"N/A")</f>
        <v>N/A</v>
      </c>
      <c r="BA692" s="240" t="str">
        <f ca="1">IFERROR(_xll.TR(MO.Ticker.Thomson,"Min(TR.PriceLow)","sdate:#1 edate:#2",,INDEX(MO_SNA_FPStartDate,0,COLUMN()),INDEX(MO_Common_QEndDate,0,COLUMN())),"N/A")</f>
        <v>N/A</v>
      </c>
      <c r="BB692" s="239" t="str">
        <f ca="1">IFERROR(_xll.TR(MO.Ticker.Thomson,"Min(TR.PriceLow)","sdate:#1 edate:#2",,INDEX(MO_SNA_FPStartDate,0,COLUMN()),INDEX(MO_Common_QEndDate,0,COLUMN())),"N/A")</f>
        <v>N/A</v>
      </c>
      <c r="BC692" s="239" t="str">
        <f ca="1">IFERROR(_xll.TR(MO.Ticker.Thomson,"Min(TR.PriceLow)","sdate:#1 edate:#2",,INDEX(MO_SNA_FPStartDate,0,COLUMN()),INDEX(MO_Common_QEndDate,0,COLUMN())),"N/A")</f>
        <v>N/A</v>
      </c>
      <c r="BD692" s="239" t="str">
        <f ca="1">IFERROR(_xll.TR(MO.Ticker.Thomson,"Min(TR.PriceLow)","sdate:#1 edate:#2",,INDEX(MO_SNA_FPStartDate,0,COLUMN()),INDEX(MO_Common_QEndDate,0,COLUMN())),"N/A")</f>
        <v>N/A</v>
      </c>
      <c r="BE692" s="239" t="str">
        <f ca="1">IFERROR(_xll.TR(MO.Ticker.Thomson,"Min(TR.PriceLow)","sdate:#1 edate:#2",,INDEX(MO_SNA_FPStartDate,0,COLUMN()),INDEX(MO_Common_QEndDate,0,COLUMN())),"N/A")</f>
        <v>N/A</v>
      </c>
      <c r="BF692" s="239" t="str">
        <f ca="1">IFERROR(_xll.TR(MO.Ticker.Thomson,"Min(TR.PriceLow)","sdate:#1 edate:#2",,INDEX(MO_SNA_FPStartDate,0,COLUMN()),INDEX(MO_Common_QEndDate,0,COLUMN())),"N/A")</f>
        <v>N/A</v>
      </c>
      <c r="BG692" s="239" t="str">
        <f ca="1">IFERROR(_xll.TR(MO.Ticker.Thomson,"Min(TR.PriceLow)","sdate:#1 edate:#2",,INDEX(MO_SNA_FPStartDate,0,COLUMN()),INDEX(MO_Common_QEndDate,0,COLUMN())),"N/A")</f>
        <v>N/A</v>
      </c>
      <c r="BH692" s="239" t="str">
        <f ca="1">IFERROR(_xll.TR(MO.Ticker.Thomson,"Min(TR.PriceLow)","sdate:#1 edate:#2",,INDEX(MO_SNA_FPStartDate,0,COLUMN()),INDEX(MO_Common_QEndDate,0,COLUMN())),"N/A")</f>
        <v>N/A</v>
      </c>
      <c r="BI692" s="239" t="str">
        <f ca="1">IFERROR(_xll.TR(MO.Ticker.Thomson,"Min(TR.PriceLow)","sdate:#1 edate:#2",,INDEX(MO_SNA_FPStartDate,0,COLUMN()),INDEX(MO_Common_QEndDate,0,COLUMN())),"N/A")</f>
        <v>N/A</v>
      </c>
      <c r="BJ692" s="239" t="str">
        <f ca="1">IFERROR(_xll.TR(MO.Ticker.Thomson,"Min(TR.PriceLow)","sdate:#1 edate:#2",,INDEX(MO_SNA_FPStartDate,0,COLUMN()),INDEX(MO_Common_QEndDate,0,COLUMN())),"N/A")</f>
        <v>N/A</v>
      </c>
      <c r="BK692" s="239" t="str">
        <f ca="1">IFERROR(_xll.TR(MO.Ticker.Thomson,"Min(TR.PriceLow)","sdate:#1 edate:#2",,INDEX(MO_SNA_FPStartDate,0,COLUMN()),INDEX(MO_Common_QEndDate,0,COLUMN())),"N/A")</f>
        <v>N/A</v>
      </c>
      <c r="BL692" s="239" t="str">
        <f ca="1">IFERROR(_xll.TR(MO.Ticker.Thomson,"Min(TR.PriceLow)","sdate:#1 edate:#2",,INDEX(MO_SNA_FPStartDate,0,COLUMN()),INDEX(MO_Common_QEndDate,0,COLUMN())),"N/A")</f>
        <v>N/A</v>
      </c>
      <c r="BM692" s="239" t="str">
        <f ca="1">IFERROR(_xll.TR(MO.Ticker.Thomson,"Min(TR.PriceLow)","sdate:#1 edate:#2",,INDEX(MO_SNA_FPStartDate,0,COLUMN()),INDEX(MO_Common_QEndDate,0,COLUMN())),"N/A")</f>
        <v>N/A</v>
      </c>
      <c r="BN692" s="239" t="str">
        <f ca="1">IFERROR(_xll.TR(MO.Ticker.Thomson,"Min(TR.PriceLow)","sdate:#1 edate:#2",,INDEX(MO_SNA_FPStartDate,0,COLUMN()),INDEX(MO_Common_QEndDate,0,COLUMN())),"N/A")</f>
        <v>N/A</v>
      </c>
      <c r="BO692" s="239" t="str">
        <f ca="1">IFERROR(_xll.TR(MO.Ticker.Thomson,"Min(TR.PriceLow)","sdate:#1 edate:#2",,INDEX(MO_SNA_FPStartDate,0,COLUMN()),INDEX(MO_Common_QEndDate,0,COLUMN())),"N/A")</f>
        <v>N/A</v>
      </c>
      <c r="BP692" s="239" t="str">
        <f ca="1">IFERROR(_xll.TR(MO.Ticker.Thomson,"Min(TR.PriceLow)","sdate:#1 edate:#2",,INDEX(MO_SNA_FPStartDate,0,COLUMN()),INDEX(MO_Common_QEndDate,0,COLUMN())),"N/A")</f>
        <v>N/A</v>
      </c>
      <c r="BQ692" s="239" t="str">
        <f ca="1">IFERROR(_xll.TR(MO.Ticker.Thomson,"Min(TR.PriceLow)","sdate:#1 edate:#2",,INDEX(MO_SNA_FPStartDate,0,COLUMN()),INDEX(MO_Common_QEndDate,0,COLUMN())),"N/A")</f>
        <v>N/A</v>
      </c>
      <c r="BR692" s="239" t="str">
        <f ca="1">IFERROR(_xll.TR(MO.Ticker.Thomson,"Min(TR.PriceLow)","sdate:#1 edate:#2",,INDEX(MO_SNA_FPStartDate,0,COLUMN()),INDEX(MO_Common_QEndDate,0,COLUMN())),"N/A")</f>
        <v>N/A</v>
      </c>
      <c r="BS692" s="241" t="str">
        <f ca="1">IFERROR(_xll.TR(MO.Ticker.Thomson,"Min(TR.PriceLow)","sdate:#1 edate:#2",,INDEX(MO_SNA_FPStartDate,0,COLUMN()),INDEX(MO_Common_QEndDate,0,COLUMN())),"N/A")</f>
        <v>N/A</v>
      </c>
      <c r="BT692" s="274"/>
    </row>
    <row r="693" spans="1:72" s="17" customFormat="1" hidden="1" outlineLevel="1" x14ac:dyDescent="0.35">
      <c r="A693" s="139"/>
      <c r="B693" s="532"/>
      <c r="C693" s="532"/>
      <c r="D693" s="532"/>
      <c r="E693" s="532"/>
      <c r="F693" s="532"/>
      <c r="G693" s="532"/>
      <c r="H693" s="532"/>
      <c r="I693" s="532"/>
      <c r="J693" s="532"/>
      <c r="K693" s="532"/>
      <c r="L693" s="532"/>
      <c r="M693" s="532"/>
      <c r="N693" s="532"/>
      <c r="O693" s="532"/>
      <c r="P693" s="532"/>
      <c r="Q693" s="532"/>
      <c r="R693" s="532"/>
      <c r="S693" s="532"/>
      <c r="T693" s="532"/>
      <c r="U693" s="532"/>
      <c r="V693" s="532"/>
      <c r="W693" s="532"/>
      <c r="X693" s="532"/>
      <c r="Y693" s="532"/>
      <c r="Z693" s="532"/>
      <c r="AA693" s="532"/>
      <c r="AB693" s="532"/>
      <c r="AC693" s="532"/>
      <c r="AD693" s="532"/>
      <c r="AE693" s="532"/>
      <c r="AF693" s="532"/>
      <c r="AG693" s="532"/>
      <c r="AH693" s="532"/>
      <c r="AI693" s="532"/>
      <c r="AJ693" s="532"/>
      <c r="AK693" s="532"/>
      <c r="AL693" s="532"/>
      <c r="AM693" s="532"/>
      <c r="AN693" s="532"/>
      <c r="AO693" s="532"/>
      <c r="AP693" s="532"/>
      <c r="AQ693" s="532"/>
      <c r="AR693" s="532"/>
      <c r="AS693" s="532"/>
      <c r="AT693" s="532"/>
      <c r="AU693" s="532"/>
      <c r="AV693" s="532"/>
      <c r="AW693" s="532"/>
      <c r="AX693" s="532"/>
      <c r="AY693" s="532"/>
      <c r="AZ693" s="115"/>
      <c r="BA693" s="115"/>
      <c r="BB693" s="532"/>
      <c r="BC693" s="532"/>
      <c r="BD693" s="532"/>
      <c r="BE693" s="532"/>
      <c r="BF693" s="532"/>
      <c r="BG693" s="532"/>
      <c r="BH693" s="532"/>
      <c r="BI693" s="532"/>
      <c r="BJ693" s="532"/>
      <c r="BK693" s="532"/>
      <c r="BL693" s="532"/>
      <c r="BM693" s="532"/>
      <c r="BN693" s="532"/>
      <c r="BO693" s="532"/>
      <c r="BP693" s="532"/>
      <c r="BQ693" s="532"/>
      <c r="BR693" s="532"/>
      <c r="BS693" s="138"/>
      <c r="BT693" s="273"/>
    </row>
    <row r="694" spans="1:72" s="242" customFormat="1" collapsed="1" x14ac:dyDescent="0.35">
      <c r="A694" s="238" t="str">
        <f ca="1">"Stock Average: "&amp;IF(OR(MO.RealTimeStockPriceToggle=FALSE,VLOOKUP(MO.DataSourceName,MO_SPT_StockAverage_Sources,COLUMN()+2,FALSE)="N/A"),"Real-Time Off Source",MO.DataSourceName)</f>
        <v>Stock Average: Real-Time Off Source</v>
      </c>
      <c r="B694" s="239"/>
      <c r="C694" s="239">
        <f t="shared" ref="C694:AH694" ca="1" si="880">IF(OR(MO.RealTimeStockPriceToggle=FALSE,VLOOKUP(MO.DataSourceName,MO_SPT_StockAverage_Sources,COLUMN(),FALSE)="N/A"),VLOOKUP("Real-Time Off Source",MO_SPT_StockAverage_Sources,COLUMN(),FALSE),VLOOKUP(MO.DataSourceName,MO_SPT_StockAverage_Sources,COLUMN(),FALSE))</f>
        <v>21.29</v>
      </c>
      <c r="D694" s="239">
        <f t="shared" ca="1" si="880"/>
        <v>19.114999999999998</v>
      </c>
      <c r="E694" s="239">
        <f t="shared" ca="1" si="880"/>
        <v>21.155000000000001</v>
      </c>
      <c r="F694" s="239">
        <f t="shared" ca="1" si="880"/>
        <v>27.065000000000001</v>
      </c>
      <c r="G694" s="239">
        <f t="shared" ca="1" si="880"/>
        <v>32.045000000000002</v>
      </c>
      <c r="H694" s="239">
        <f t="shared" ca="1" si="880"/>
        <v>24.405000000000001</v>
      </c>
      <c r="I694" s="239">
        <f t="shared" ca="1" si="880"/>
        <v>21.605</v>
      </c>
      <c r="J694" s="239">
        <f t="shared" ca="1" si="880"/>
        <v>23.67</v>
      </c>
      <c r="K694" s="239">
        <f t="shared" ca="1" si="880"/>
        <v>20.234999999999999</v>
      </c>
      <c r="L694" s="239">
        <f t="shared" ca="1" si="880"/>
        <v>13.835000000000001</v>
      </c>
      <c r="M694" s="239">
        <f t="shared" ca="1" si="880"/>
        <v>13.89</v>
      </c>
      <c r="N694" s="239">
        <f t="shared" ca="1" si="880"/>
        <v>15.08</v>
      </c>
      <c r="O694" s="239">
        <f t="shared" ca="1" si="880"/>
        <v>13.55</v>
      </c>
      <c r="P694" s="239">
        <f t="shared" ca="1" si="880"/>
        <v>11.625</v>
      </c>
      <c r="Q694" s="239">
        <f t="shared" ca="1" si="880"/>
        <v>9.15</v>
      </c>
      <c r="R694" s="239">
        <f t="shared" ca="1" si="880"/>
        <v>11.035</v>
      </c>
      <c r="S694" s="239">
        <f t="shared" ca="1" si="880"/>
        <v>12.54</v>
      </c>
      <c r="T694" s="239">
        <f t="shared" ca="1" si="880"/>
        <v>14.005000000000001</v>
      </c>
      <c r="U694" s="239">
        <f t="shared" ca="1" si="880"/>
        <v>18.414999999999999</v>
      </c>
      <c r="V694" s="239">
        <f t="shared" ca="1" si="880"/>
        <v>19.170000000000002</v>
      </c>
      <c r="W694" s="239">
        <f t="shared" ca="1" si="880"/>
        <v>17.57</v>
      </c>
      <c r="X694" s="239">
        <f t="shared" ca="1" si="880"/>
        <v>16.704999999999998</v>
      </c>
      <c r="Y694" s="239">
        <f t="shared" ca="1" si="880"/>
        <v>16.14</v>
      </c>
      <c r="Z694" s="239">
        <f t="shared" ca="1" si="880"/>
        <v>15.045</v>
      </c>
      <c r="AA694" s="239">
        <f t="shared" ca="1" si="880"/>
        <v>17.076984126984101</v>
      </c>
      <c r="AB694" s="239">
        <f t="shared" ca="1" si="880"/>
        <v>21.332063492063501</v>
      </c>
      <c r="AC694" s="239">
        <f t="shared" ca="1" si="880"/>
        <v>30.490491803278701</v>
      </c>
      <c r="AD694" s="239">
        <f t="shared" ca="1" si="880"/>
        <v>32.176507936507903</v>
      </c>
      <c r="AE694" s="239">
        <f t="shared" ca="1" si="880"/>
        <v>28.723749999999999</v>
      </c>
      <c r="AF694" s="239">
        <f t="shared" ca="1" si="880"/>
        <v>21.356718749999999</v>
      </c>
      <c r="AG694" s="239">
        <f t="shared" ca="1" si="880"/>
        <v>18.446935483870998</v>
      </c>
      <c r="AH694" s="239">
        <f t="shared" ca="1" si="880"/>
        <v>24.053492063492101</v>
      </c>
      <c r="AI694" s="239">
        <f t="shared" ref="AI694:AX694" ca="1" si="881">IF(OR(MO.RealTimeStockPriceToggle=FALSE,VLOOKUP(MO.DataSourceName,MO_SPT_StockAverage_Sources,COLUMN(),FALSE)="N/A"),VLOOKUP("Real-Time Off Source",MO_SPT_StockAverage_Sources,COLUMN(),FALSE),VLOOKUP(MO.DataSourceName,MO_SPT_StockAverage_Sources,COLUMN(),FALSE))</f>
        <v>38.671875</v>
      </c>
      <c r="AJ694" s="239">
        <f t="shared" ca="1" si="881"/>
        <v>24.83171875</v>
      </c>
      <c r="AK694" s="239">
        <f t="shared" ca="1" si="881"/>
        <v>25.9619672131148</v>
      </c>
      <c r="AL694" s="239">
        <f t="shared" ca="1" si="881"/>
        <v>29.8095238095238</v>
      </c>
      <c r="AM694" s="239">
        <f t="shared" ca="1" si="881"/>
        <v>32.806093750000002</v>
      </c>
      <c r="AN694" s="239">
        <f t="shared" ca="1" si="881"/>
        <v>34.519374999999997</v>
      </c>
      <c r="AO694" s="239">
        <f t="shared" ca="1" si="881"/>
        <v>33.188709677419297</v>
      </c>
      <c r="AP694" s="239">
        <f t="shared" ca="1" si="881"/>
        <v>37.030645161290302</v>
      </c>
      <c r="AQ694" s="239">
        <f t="shared" ca="1" si="881"/>
        <v>40.293437500000003</v>
      </c>
      <c r="AR694" s="239">
        <f t="shared" ca="1" si="881"/>
        <v>36.712222222222202</v>
      </c>
      <c r="AS694" s="239">
        <f t="shared" ca="1" si="881"/>
        <v>39.240161290322597</v>
      </c>
      <c r="AT694" s="239">
        <f t="shared" ca="1" si="881"/>
        <v>40.010483870967803</v>
      </c>
      <c r="AU694" s="239">
        <f t="shared" ca="1" si="881"/>
        <v>40.673015873015899</v>
      </c>
      <c r="AV694" s="239">
        <f t="shared" ca="1" si="881"/>
        <v>0</v>
      </c>
      <c r="AW694" s="239">
        <f t="shared" ca="1" si="881"/>
        <v>0</v>
      </c>
      <c r="AX694" s="239">
        <f t="shared" ca="1" si="881"/>
        <v>0</v>
      </c>
      <c r="AY694" s="239"/>
      <c r="AZ694" s="240">
        <f t="shared" ref="AZ694:BS694" ca="1" si="882">IF(OR(MO.RealTimeStockPriceToggle=FALSE,VLOOKUP(MO.DataSourceName,MO_SPT_StockAverage_Sources,COLUMN(),FALSE)="N/A"),VLOOKUP("Real-Time Off Source",MO_SPT_StockAverage_Sources,COLUMN(),FALSE),VLOOKUP(MO.DataSourceName,MO_SPT_StockAverage_Sources,COLUMN(),FALSE))</f>
        <v>20.493749999999999</v>
      </c>
      <c r="BA694" s="240">
        <f t="shared" ca="1" si="882"/>
        <v>20.493749999999999</v>
      </c>
      <c r="BB694" s="239">
        <f t="shared" ca="1" si="882"/>
        <v>29.46875</v>
      </c>
      <c r="BC694" s="239">
        <f t="shared" ca="1" si="882"/>
        <v>25.161249999999999</v>
      </c>
      <c r="BD694" s="239">
        <f t="shared" ca="1" si="882"/>
        <v>22.15625</v>
      </c>
      <c r="BE694" s="239">
        <f t="shared" ca="1" si="882"/>
        <v>25.431249999999999</v>
      </c>
      <c r="BF694" s="239">
        <f t="shared" ca="1" si="882"/>
        <v>15.76</v>
      </c>
      <c r="BG694" s="239">
        <f t="shared" ca="1" si="882"/>
        <v>11.34</v>
      </c>
      <c r="BH694" s="239">
        <f t="shared" ca="1" si="882"/>
        <v>16.032499999999999</v>
      </c>
      <c r="BI694" s="239">
        <f t="shared" ca="1" si="882"/>
        <v>16.364999999999998</v>
      </c>
      <c r="BJ694" s="239">
        <f t="shared" ca="1" si="882"/>
        <v>25.227239999999998</v>
      </c>
      <c r="BK694" s="239">
        <f t="shared" ca="1" si="882"/>
        <v>23.178774703557298</v>
      </c>
      <c r="BL694" s="239">
        <f t="shared" ca="1" si="882"/>
        <v>29.864722222222198</v>
      </c>
      <c r="BM694" s="239">
        <f t="shared" ca="1" si="882"/>
        <v>34.374722222222204</v>
      </c>
      <c r="BN694" s="239">
        <f t="shared" ca="1" si="882"/>
        <v>39.0645019920319</v>
      </c>
      <c r="BO694" s="239">
        <f t="shared" ca="1" si="882"/>
        <v>0</v>
      </c>
      <c r="BP694" s="239">
        <f t="shared" ca="1" si="882"/>
        <v>0</v>
      </c>
      <c r="BQ694" s="239">
        <f t="shared" ca="1" si="882"/>
        <v>0</v>
      </c>
      <c r="BR694" s="239">
        <f t="shared" ca="1" si="882"/>
        <v>0</v>
      </c>
      <c r="BS694" s="241">
        <f t="shared" ca="1" si="882"/>
        <v>0</v>
      </c>
      <c r="BT694" s="274"/>
    </row>
    <row r="695" spans="1:72" s="242" customFormat="1" hidden="1" outlineLevel="1" x14ac:dyDescent="0.35">
      <c r="A695" s="243" t="s">
        <v>262</v>
      </c>
      <c r="B695" s="239"/>
      <c r="C695" s="657">
        <v>21.29</v>
      </c>
      <c r="D695" s="657">
        <v>19.114999999999998</v>
      </c>
      <c r="E695" s="657">
        <v>21.155000000000001</v>
      </c>
      <c r="F695" s="657">
        <v>27.065000000000001</v>
      </c>
      <c r="G695" s="657">
        <v>32.045000000000002</v>
      </c>
      <c r="H695" s="657">
        <v>24.405000000000001</v>
      </c>
      <c r="I695" s="657">
        <v>21.605</v>
      </c>
      <c r="J695" s="657">
        <v>23.67</v>
      </c>
      <c r="K695" s="657">
        <v>20.234999999999999</v>
      </c>
      <c r="L695" s="657">
        <v>13.835000000000001</v>
      </c>
      <c r="M695" s="657">
        <v>13.89</v>
      </c>
      <c r="N695" s="657">
        <v>15.08</v>
      </c>
      <c r="O695" s="657">
        <v>13.55</v>
      </c>
      <c r="P695" s="657">
        <v>11.625</v>
      </c>
      <c r="Q695" s="657">
        <v>9.15</v>
      </c>
      <c r="R695" s="657">
        <v>11.035</v>
      </c>
      <c r="S695" s="657">
        <v>12.54</v>
      </c>
      <c r="T695" s="657">
        <v>14.005000000000001</v>
      </c>
      <c r="U695" s="657">
        <v>18.414999999999999</v>
      </c>
      <c r="V695" s="657">
        <v>19.170000000000002</v>
      </c>
      <c r="W695" s="657">
        <v>17.57</v>
      </c>
      <c r="X695" s="657">
        <v>16.704999999999998</v>
      </c>
      <c r="Y695" s="657">
        <v>16.14</v>
      </c>
      <c r="Z695" s="657">
        <v>15.045</v>
      </c>
      <c r="AA695" s="657">
        <v>17.076984126984101</v>
      </c>
      <c r="AB695" s="657">
        <v>21.332063492063501</v>
      </c>
      <c r="AC695" s="657">
        <v>30.490491803278701</v>
      </c>
      <c r="AD695" s="657">
        <v>32.176507936507903</v>
      </c>
      <c r="AE695" s="657">
        <v>28.723749999999999</v>
      </c>
      <c r="AF695" s="657">
        <v>21.356718749999999</v>
      </c>
      <c r="AG695" s="657">
        <v>18.446935483870998</v>
      </c>
      <c r="AH695" s="657">
        <v>24.053492063492101</v>
      </c>
      <c r="AI695" s="657">
        <v>38.671875</v>
      </c>
      <c r="AJ695" s="657">
        <v>24.83171875</v>
      </c>
      <c r="AK695" s="657">
        <v>25.9619672131148</v>
      </c>
      <c r="AL695" s="657">
        <v>29.8095238095238</v>
      </c>
      <c r="AM695" s="657">
        <v>32.806093750000002</v>
      </c>
      <c r="AN695" s="657">
        <v>34.519374999999997</v>
      </c>
      <c r="AO695" s="657">
        <v>33.188709677419297</v>
      </c>
      <c r="AP695" s="657">
        <v>37.030645161290302</v>
      </c>
      <c r="AQ695" s="657">
        <v>40.293437500000003</v>
      </c>
      <c r="AR695" s="657">
        <v>36.712222222222202</v>
      </c>
      <c r="AS695" s="657">
        <v>39.240161290322597</v>
      </c>
      <c r="AT695" s="657">
        <v>40.010483870967803</v>
      </c>
      <c r="AU695" s="657">
        <v>40.673015873015899</v>
      </c>
      <c r="AV695" s="239"/>
      <c r="AW695" s="239"/>
      <c r="AX695" s="239"/>
      <c r="AY695" s="239"/>
      <c r="AZ695" s="658">
        <v>20.493749999999999</v>
      </c>
      <c r="BA695" s="658">
        <v>20.493749999999999</v>
      </c>
      <c r="BB695" s="657">
        <v>29.46875</v>
      </c>
      <c r="BC695" s="657">
        <v>25.161249999999999</v>
      </c>
      <c r="BD695" s="657">
        <v>22.15625</v>
      </c>
      <c r="BE695" s="657">
        <v>25.431249999999999</v>
      </c>
      <c r="BF695" s="657">
        <v>15.76</v>
      </c>
      <c r="BG695" s="657">
        <v>11.34</v>
      </c>
      <c r="BH695" s="657">
        <v>16.032499999999999</v>
      </c>
      <c r="BI695" s="657">
        <v>16.364999999999998</v>
      </c>
      <c r="BJ695" s="657">
        <v>25.227239999999998</v>
      </c>
      <c r="BK695" s="657">
        <v>23.178774703557298</v>
      </c>
      <c r="BL695" s="657">
        <v>29.864722222222198</v>
      </c>
      <c r="BM695" s="657">
        <v>34.374722222222204</v>
      </c>
      <c r="BN695" s="657">
        <v>39.0645019920319</v>
      </c>
      <c r="BO695" s="239"/>
      <c r="BP695" s="239"/>
      <c r="BQ695" s="239"/>
      <c r="BR695" s="239"/>
      <c r="BS695" s="241"/>
      <c r="BT695" s="274"/>
    </row>
    <row r="696" spans="1:72" s="242" customFormat="1" hidden="1" outlineLevel="1" x14ac:dyDescent="0.35">
      <c r="A696" s="243" t="s">
        <v>7</v>
      </c>
      <c r="B696" s="239"/>
      <c r="C696" s="239" t="str">
        <f ca="1">IFERROR(BDP(MO.Ticker.Bloomberg&amp;" Equity","INTERVAL_AVG","MARKET_DATA_OVERRIDE=PX_LAST","START_DATE_OVERRIDE",TEXT(INDEX(MO_SNA_FPStartDate,0,COLUMN()),"YYYYMMDD"),"END_DATE_OVERRIDE",TEXT(INDEX(MO_Common_QEndDate,0,COLUMN()),"YYYYMMDD")),"N/A")</f>
        <v>N/A</v>
      </c>
      <c r="D696" s="239" t="str">
        <f ca="1">IFERROR(BDP(MO.Ticker.Bloomberg&amp;" Equity","INTERVAL_AVG","MARKET_DATA_OVERRIDE=PX_LAST","START_DATE_OVERRIDE",TEXT(INDEX(MO_SNA_FPStartDate,0,COLUMN()),"YYYYMMDD"),"END_DATE_OVERRIDE",TEXT(INDEX(MO_Common_QEndDate,0,COLUMN()),"YYYYMMDD")),"N/A")</f>
        <v>N/A</v>
      </c>
      <c r="E696" s="239" t="str">
        <f ca="1">IFERROR(BDP(MO.Ticker.Bloomberg&amp;" Equity","INTERVAL_AVG","MARKET_DATA_OVERRIDE=PX_LAST","START_DATE_OVERRIDE",TEXT(INDEX(MO_SNA_FPStartDate,0,COLUMN()),"YYYYMMDD"),"END_DATE_OVERRIDE",TEXT(INDEX(MO_Common_QEndDate,0,COLUMN()),"YYYYMMDD")),"N/A")</f>
        <v>N/A</v>
      </c>
      <c r="F696" s="239" t="str">
        <f ca="1">IFERROR(BDP(MO.Ticker.Bloomberg&amp;" Equity","INTERVAL_AVG","MARKET_DATA_OVERRIDE=PX_LAST","START_DATE_OVERRIDE",TEXT(INDEX(MO_SNA_FPStartDate,0,COLUMN()),"YYYYMMDD"),"END_DATE_OVERRIDE",TEXT(INDEX(MO_Common_QEndDate,0,COLUMN()),"YYYYMMDD")),"N/A")</f>
        <v>N/A</v>
      </c>
      <c r="G696" s="239" t="str">
        <f ca="1">IFERROR(BDP(MO.Ticker.Bloomberg&amp;" Equity","INTERVAL_AVG","MARKET_DATA_OVERRIDE=PX_LAST","START_DATE_OVERRIDE",TEXT(INDEX(MO_SNA_FPStartDate,0,COLUMN()),"YYYYMMDD"),"END_DATE_OVERRIDE",TEXT(INDEX(MO_Common_QEndDate,0,COLUMN()),"YYYYMMDD")),"N/A")</f>
        <v>N/A</v>
      </c>
      <c r="H696" s="239" t="str">
        <f ca="1">IFERROR(BDP(MO.Ticker.Bloomberg&amp;" Equity","INTERVAL_AVG","MARKET_DATA_OVERRIDE=PX_LAST","START_DATE_OVERRIDE",TEXT(INDEX(MO_SNA_FPStartDate,0,COLUMN()),"YYYYMMDD"),"END_DATE_OVERRIDE",TEXT(INDEX(MO_Common_QEndDate,0,COLUMN()),"YYYYMMDD")),"N/A")</f>
        <v>N/A</v>
      </c>
      <c r="I696" s="239" t="str">
        <f ca="1">IFERROR(BDP(MO.Ticker.Bloomberg&amp;" Equity","INTERVAL_AVG","MARKET_DATA_OVERRIDE=PX_LAST","START_DATE_OVERRIDE",TEXT(INDEX(MO_SNA_FPStartDate,0,COLUMN()),"YYYYMMDD"),"END_DATE_OVERRIDE",TEXT(INDEX(MO_Common_QEndDate,0,COLUMN()),"YYYYMMDD")),"N/A")</f>
        <v>N/A</v>
      </c>
      <c r="J696" s="239" t="str">
        <f ca="1">IFERROR(BDP(MO.Ticker.Bloomberg&amp;" Equity","INTERVAL_AVG","MARKET_DATA_OVERRIDE=PX_LAST","START_DATE_OVERRIDE",TEXT(INDEX(MO_SNA_FPStartDate,0,COLUMN()),"YYYYMMDD"),"END_DATE_OVERRIDE",TEXT(INDEX(MO_Common_QEndDate,0,COLUMN()),"YYYYMMDD")),"N/A")</f>
        <v>N/A</v>
      </c>
      <c r="K696" s="239" t="str">
        <f ca="1">IFERROR(BDP(MO.Ticker.Bloomberg&amp;" Equity","INTERVAL_AVG","MARKET_DATA_OVERRIDE=PX_LAST","START_DATE_OVERRIDE",TEXT(INDEX(MO_SNA_FPStartDate,0,COLUMN()),"YYYYMMDD"),"END_DATE_OVERRIDE",TEXT(INDEX(MO_Common_QEndDate,0,COLUMN()),"YYYYMMDD")),"N/A")</f>
        <v>N/A</v>
      </c>
      <c r="L696" s="239" t="str">
        <f ca="1">IFERROR(BDP(MO.Ticker.Bloomberg&amp;" Equity","INTERVAL_AVG","MARKET_DATA_OVERRIDE=PX_LAST","START_DATE_OVERRIDE",TEXT(INDEX(MO_SNA_FPStartDate,0,COLUMN()),"YYYYMMDD"),"END_DATE_OVERRIDE",TEXT(INDEX(MO_Common_QEndDate,0,COLUMN()),"YYYYMMDD")),"N/A")</f>
        <v>N/A</v>
      </c>
      <c r="M696" s="239" t="str">
        <f ca="1">IFERROR(BDP(MO.Ticker.Bloomberg&amp;" Equity","INTERVAL_AVG","MARKET_DATA_OVERRIDE=PX_LAST","START_DATE_OVERRIDE",TEXT(INDEX(MO_SNA_FPStartDate,0,COLUMN()),"YYYYMMDD"),"END_DATE_OVERRIDE",TEXT(INDEX(MO_Common_QEndDate,0,COLUMN()),"YYYYMMDD")),"N/A")</f>
        <v>N/A</v>
      </c>
      <c r="N696" s="239" t="str">
        <f ca="1">IFERROR(BDP(MO.Ticker.Bloomberg&amp;" Equity","INTERVAL_AVG","MARKET_DATA_OVERRIDE=PX_LAST","START_DATE_OVERRIDE",TEXT(INDEX(MO_SNA_FPStartDate,0,COLUMN()),"YYYYMMDD"),"END_DATE_OVERRIDE",TEXT(INDEX(MO_Common_QEndDate,0,COLUMN()),"YYYYMMDD")),"N/A")</f>
        <v>N/A</v>
      </c>
      <c r="O696" s="239" t="str">
        <f ca="1">IFERROR(BDP(MO.Ticker.Bloomberg&amp;" Equity","INTERVAL_AVG","MARKET_DATA_OVERRIDE=PX_LAST","START_DATE_OVERRIDE",TEXT(INDEX(MO_SNA_FPStartDate,0,COLUMN()),"YYYYMMDD"),"END_DATE_OVERRIDE",TEXT(INDEX(MO_Common_QEndDate,0,COLUMN()),"YYYYMMDD")),"N/A")</f>
        <v>N/A</v>
      </c>
      <c r="P696" s="239" t="str">
        <f ca="1">IFERROR(BDP(MO.Ticker.Bloomberg&amp;" Equity","INTERVAL_AVG","MARKET_DATA_OVERRIDE=PX_LAST","START_DATE_OVERRIDE",TEXT(INDEX(MO_SNA_FPStartDate,0,COLUMN()),"YYYYMMDD"),"END_DATE_OVERRIDE",TEXT(INDEX(MO_Common_QEndDate,0,COLUMN()),"YYYYMMDD")),"N/A")</f>
        <v>N/A</v>
      </c>
      <c r="Q696" s="239" t="str">
        <f ca="1">IFERROR(BDP(MO.Ticker.Bloomberg&amp;" Equity","INTERVAL_AVG","MARKET_DATA_OVERRIDE=PX_LAST","START_DATE_OVERRIDE",TEXT(INDEX(MO_SNA_FPStartDate,0,COLUMN()),"YYYYMMDD"),"END_DATE_OVERRIDE",TEXT(INDEX(MO_Common_QEndDate,0,COLUMN()),"YYYYMMDD")),"N/A")</f>
        <v>N/A</v>
      </c>
      <c r="R696" s="239" t="str">
        <f ca="1">IFERROR(BDP(MO.Ticker.Bloomberg&amp;" Equity","INTERVAL_AVG","MARKET_DATA_OVERRIDE=PX_LAST","START_DATE_OVERRIDE",TEXT(INDEX(MO_SNA_FPStartDate,0,COLUMN()),"YYYYMMDD"),"END_DATE_OVERRIDE",TEXT(INDEX(MO_Common_QEndDate,0,COLUMN()),"YYYYMMDD")),"N/A")</f>
        <v>N/A</v>
      </c>
      <c r="S696" s="239" t="str">
        <f ca="1">IFERROR(BDP(MO.Ticker.Bloomberg&amp;" Equity","INTERVAL_AVG","MARKET_DATA_OVERRIDE=PX_LAST","START_DATE_OVERRIDE",TEXT(INDEX(MO_SNA_FPStartDate,0,COLUMN()),"YYYYMMDD"),"END_DATE_OVERRIDE",TEXT(INDEX(MO_Common_QEndDate,0,COLUMN()),"YYYYMMDD")),"N/A")</f>
        <v>N/A</v>
      </c>
      <c r="T696" s="239" t="str">
        <f ca="1">IFERROR(BDP(MO.Ticker.Bloomberg&amp;" Equity","INTERVAL_AVG","MARKET_DATA_OVERRIDE=PX_LAST","START_DATE_OVERRIDE",TEXT(INDEX(MO_SNA_FPStartDate,0,COLUMN()),"YYYYMMDD"),"END_DATE_OVERRIDE",TEXT(INDEX(MO_Common_QEndDate,0,COLUMN()),"YYYYMMDD")),"N/A")</f>
        <v>N/A</v>
      </c>
      <c r="U696" s="239" t="str">
        <f ca="1">IFERROR(BDP(MO.Ticker.Bloomberg&amp;" Equity","INTERVAL_AVG","MARKET_DATA_OVERRIDE=PX_LAST","START_DATE_OVERRIDE",TEXT(INDEX(MO_SNA_FPStartDate,0,COLUMN()),"YYYYMMDD"),"END_DATE_OVERRIDE",TEXT(INDEX(MO_Common_QEndDate,0,COLUMN()),"YYYYMMDD")),"N/A")</f>
        <v>N/A</v>
      </c>
      <c r="V696" s="239" t="str">
        <f ca="1">IFERROR(BDP(MO.Ticker.Bloomberg&amp;" Equity","INTERVAL_AVG","MARKET_DATA_OVERRIDE=PX_LAST","START_DATE_OVERRIDE",TEXT(INDEX(MO_SNA_FPStartDate,0,COLUMN()),"YYYYMMDD"),"END_DATE_OVERRIDE",TEXT(INDEX(MO_Common_QEndDate,0,COLUMN()),"YYYYMMDD")),"N/A")</f>
        <v>N/A</v>
      </c>
      <c r="W696" s="239" t="str">
        <f ca="1">IFERROR(BDP(MO.Ticker.Bloomberg&amp;" Equity","INTERVAL_AVG","MARKET_DATA_OVERRIDE=PX_LAST","START_DATE_OVERRIDE",TEXT(INDEX(MO_SNA_FPStartDate,0,COLUMN()),"YYYYMMDD"),"END_DATE_OVERRIDE",TEXT(INDEX(MO_Common_QEndDate,0,COLUMN()),"YYYYMMDD")),"N/A")</f>
        <v>N/A</v>
      </c>
      <c r="X696" s="239" t="str">
        <f ca="1">IFERROR(BDP(MO.Ticker.Bloomberg&amp;" Equity","INTERVAL_AVG","MARKET_DATA_OVERRIDE=PX_LAST","START_DATE_OVERRIDE",TEXT(INDEX(MO_SNA_FPStartDate,0,COLUMN()),"YYYYMMDD"),"END_DATE_OVERRIDE",TEXT(INDEX(MO_Common_QEndDate,0,COLUMN()),"YYYYMMDD")),"N/A")</f>
        <v>N/A</v>
      </c>
      <c r="Y696" s="239" t="str">
        <f ca="1">IFERROR(BDP(MO.Ticker.Bloomberg&amp;" Equity","INTERVAL_AVG","MARKET_DATA_OVERRIDE=PX_LAST","START_DATE_OVERRIDE",TEXT(INDEX(MO_SNA_FPStartDate,0,COLUMN()),"YYYYMMDD"),"END_DATE_OVERRIDE",TEXT(INDEX(MO_Common_QEndDate,0,COLUMN()),"YYYYMMDD")),"N/A")</f>
        <v>N/A</v>
      </c>
      <c r="Z696" s="239" t="str">
        <f ca="1">IFERROR(BDP(MO.Ticker.Bloomberg&amp;" Equity","INTERVAL_AVG","MARKET_DATA_OVERRIDE=PX_LAST","START_DATE_OVERRIDE",TEXT(INDEX(MO_SNA_FPStartDate,0,COLUMN()),"YYYYMMDD"),"END_DATE_OVERRIDE",TEXT(INDEX(MO_Common_QEndDate,0,COLUMN()),"YYYYMMDD")),"N/A")</f>
        <v>N/A</v>
      </c>
      <c r="AA696" s="239" t="str">
        <f ca="1">IFERROR(BDP(MO.Ticker.Bloomberg&amp;" Equity","INTERVAL_AVG","MARKET_DATA_OVERRIDE=PX_LAST","START_DATE_OVERRIDE",TEXT(INDEX(MO_SNA_FPStartDate,0,COLUMN()),"YYYYMMDD"),"END_DATE_OVERRIDE",TEXT(INDEX(MO_Common_QEndDate,0,COLUMN()),"YYYYMMDD")),"N/A")</f>
        <v>N/A</v>
      </c>
      <c r="AB696" s="239" t="str">
        <f ca="1">IFERROR(BDP(MO.Ticker.Bloomberg&amp;" Equity","INTERVAL_AVG","MARKET_DATA_OVERRIDE=PX_LAST","START_DATE_OVERRIDE",TEXT(INDEX(MO_SNA_FPStartDate,0,COLUMN()),"YYYYMMDD"),"END_DATE_OVERRIDE",TEXT(INDEX(MO_Common_QEndDate,0,COLUMN()),"YYYYMMDD")),"N/A")</f>
        <v>N/A</v>
      </c>
      <c r="AC696" s="239" t="str">
        <f ca="1">IFERROR(BDP(MO.Ticker.Bloomberg&amp;" Equity","INTERVAL_AVG","MARKET_DATA_OVERRIDE=PX_LAST","START_DATE_OVERRIDE",TEXT(INDEX(MO_SNA_FPStartDate,0,COLUMN()),"YYYYMMDD"),"END_DATE_OVERRIDE",TEXT(INDEX(MO_Common_QEndDate,0,COLUMN()),"YYYYMMDD")),"N/A")</f>
        <v>N/A</v>
      </c>
      <c r="AD696" s="239" t="str">
        <f ca="1">IFERROR(BDP(MO.Ticker.Bloomberg&amp;" Equity","INTERVAL_AVG","MARKET_DATA_OVERRIDE=PX_LAST","START_DATE_OVERRIDE",TEXT(INDEX(MO_SNA_FPStartDate,0,COLUMN()),"YYYYMMDD"),"END_DATE_OVERRIDE",TEXT(INDEX(MO_Common_QEndDate,0,COLUMN()),"YYYYMMDD")),"N/A")</f>
        <v>N/A</v>
      </c>
      <c r="AE696" s="239" t="str">
        <f ca="1">IFERROR(BDP(MO.Ticker.Bloomberg&amp;" Equity","INTERVAL_AVG","MARKET_DATA_OVERRIDE=PX_LAST","START_DATE_OVERRIDE",TEXT(INDEX(MO_SNA_FPStartDate,0,COLUMN()),"YYYYMMDD"),"END_DATE_OVERRIDE",TEXT(INDEX(MO_Common_QEndDate,0,COLUMN()),"YYYYMMDD")),"N/A")</f>
        <v>N/A</v>
      </c>
      <c r="AF696" s="239" t="str">
        <f ca="1">IFERROR(BDP(MO.Ticker.Bloomberg&amp;" Equity","INTERVAL_AVG","MARKET_DATA_OVERRIDE=PX_LAST","START_DATE_OVERRIDE",TEXT(INDEX(MO_SNA_FPStartDate,0,COLUMN()),"YYYYMMDD"),"END_DATE_OVERRIDE",TEXT(INDEX(MO_Common_QEndDate,0,COLUMN()),"YYYYMMDD")),"N/A")</f>
        <v>N/A</v>
      </c>
      <c r="AG696" s="239" t="str">
        <f ca="1">IFERROR(BDP(MO.Ticker.Bloomberg&amp;" Equity","INTERVAL_AVG","MARKET_DATA_OVERRIDE=PX_LAST","START_DATE_OVERRIDE",TEXT(INDEX(MO_SNA_FPStartDate,0,COLUMN()),"YYYYMMDD"),"END_DATE_OVERRIDE",TEXT(INDEX(MO_Common_QEndDate,0,COLUMN()),"YYYYMMDD")),"N/A")</f>
        <v>N/A</v>
      </c>
      <c r="AH696" s="239" t="str">
        <f ca="1">IFERROR(BDP(MO.Ticker.Bloomberg&amp;" Equity","INTERVAL_AVG","MARKET_DATA_OVERRIDE=PX_LAST","START_DATE_OVERRIDE",TEXT(INDEX(MO_SNA_FPStartDate,0,COLUMN()),"YYYYMMDD"),"END_DATE_OVERRIDE",TEXT(INDEX(MO_Common_QEndDate,0,COLUMN()),"YYYYMMDD")),"N/A")</f>
        <v>N/A</v>
      </c>
      <c r="AI696" s="239" t="str">
        <f ca="1">IFERROR(BDP(MO.Ticker.Bloomberg&amp;" Equity","INTERVAL_AVG","MARKET_DATA_OVERRIDE=PX_LAST","START_DATE_OVERRIDE",TEXT(INDEX(MO_SNA_FPStartDate,0,COLUMN()),"YYYYMMDD"),"END_DATE_OVERRIDE",TEXT(INDEX(MO_Common_QEndDate,0,COLUMN()),"YYYYMMDD")),"N/A")</f>
        <v>N/A</v>
      </c>
      <c r="AJ696" s="239" t="str">
        <f ca="1">IFERROR(BDP(MO.Ticker.Bloomberg&amp;" Equity","INTERVAL_AVG","MARKET_DATA_OVERRIDE=PX_LAST","START_DATE_OVERRIDE",TEXT(INDEX(MO_SNA_FPStartDate,0,COLUMN()),"YYYYMMDD"),"END_DATE_OVERRIDE",TEXT(INDEX(MO_Common_QEndDate,0,COLUMN()),"YYYYMMDD")),"N/A")</f>
        <v>N/A</v>
      </c>
      <c r="AK696" s="239" t="str">
        <f ca="1">IFERROR(BDP(MO.Ticker.Bloomberg&amp;" Equity","INTERVAL_AVG","MARKET_DATA_OVERRIDE=PX_LAST","START_DATE_OVERRIDE",TEXT(INDEX(MO_SNA_FPStartDate,0,COLUMN()),"YYYYMMDD"),"END_DATE_OVERRIDE",TEXT(INDEX(MO_Common_QEndDate,0,COLUMN()),"YYYYMMDD")),"N/A")</f>
        <v>N/A</v>
      </c>
      <c r="AL696" s="239" t="str">
        <f ca="1">IFERROR(BDP(MO.Ticker.Bloomberg&amp;" Equity","INTERVAL_AVG","MARKET_DATA_OVERRIDE=PX_LAST","START_DATE_OVERRIDE",TEXT(INDEX(MO_SNA_FPStartDate,0,COLUMN()),"YYYYMMDD"),"END_DATE_OVERRIDE",TEXT(INDEX(MO_Common_QEndDate,0,COLUMN()),"YYYYMMDD")),"N/A")</f>
        <v>N/A</v>
      </c>
      <c r="AM696" s="239" t="str">
        <f ca="1">IFERROR(BDP(MO.Ticker.Bloomberg&amp;" Equity","INTERVAL_AVG","MARKET_DATA_OVERRIDE=PX_LAST","START_DATE_OVERRIDE",TEXT(INDEX(MO_SNA_FPStartDate,0,COLUMN()),"YYYYMMDD"),"END_DATE_OVERRIDE",TEXT(INDEX(MO_Common_QEndDate,0,COLUMN()),"YYYYMMDD")),"N/A")</f>
        <v>N/A</v>
      </c>
      <c r="AN696" s="239" t="str">
        <f ca="1">IFERROR(BDP(MO.Ticker.Bloomberg&amp;" Equity","INTERVAL_AVG","MARKET_DATA_OVERRIDE=PX_LAST","START_DATE_OVERRIDE",TEXT(INDEX(MO_SNA_FPStartDate,0,COLUMN()),"YYYYMMDD"),"END_DATE_OVERRIDE",TEXT(INDEX(MO_Common_QEndDate,0,COLUMN()),"YYYYMMDD")),"N/A")</f>
        <v>N/A</v>
      </c>
      <c r="AO696" s="239" t="str">
        <f ca="1">IFERROR(BDP(MO.Ticker.Bloomberg&amp;" Equity","INTERVAL_AVG","MARKET_DATA_OVERRIDE=PX_LAST","START_DATE_OVERRIDE",TEXT(INDEX(MO_SNA_FPStartDate,0,COLUMN()),"YYYYMMDD"),"END_DATE_OVERRIDE",TEXT(INDEX(MO_Common_QEndDate,0,COLUMN()),"YYYYMMDD")),"N/A")</f>
        <v>N/A</v>
      </c>
      <c r="AP696" s="239" t="str">
        <f ca="1">IFERROR(BDP(MO.Ticker.Bloomberg&amp;" Equity","INTERVAL_AVG","MARKET_DATA_OVERRIDE=PX_LAST","START_DATE_OVERRIDE",TEXT(INDEX(MO_SNA_FPStartDate,0,COLUMN()),"YYYYMMDD"),"END_DATE_OVERRIDE",TEXT(INDEX(MO_Common_QEndDate,0,COLUMN()),"YYYYMMDD")),"N/A")</f>
        <v>N/A</v>
      </c>
      <c r="AQ696" s="239" t="str">
        <f ca="1">IFERROR(BDP(MO.Ticker.Bloomberg&amp;" Equity","INTERVAL_AVG","MARKET_DATA_OVERRIDE=PX_LAST","START_DATE_OVERRIDE",TEXT(INDEX(MO_SNA_FPStartDate,0,COLUMN()),"YYYYMMDD"),"END_DATE_OVERRIDE",TEXT(INDEX(MO_Common_QEndDate,0,COLUMN()),"YYYYMMDD")),"N/A")</f>
        <v>N/A</v>
      </c>
      <c r="AR696" s="239" t="str">
        <f ca="1">IFERROR(BDP(MO.Ticker.Bloomberg&amp;" Equity","INTERVAL_AVG","MARKET_DATA_OVERRIDE=PX_LAST","START_DATE_OVERRIDE",TEXT(INDEX(MO_SNA_FPStartDate,0,COLUMN()),"YYYYMMDD"),"END_DATE_OVERRIDE",TEXT(INDEX(MO_Common_QEndDate,0,COLUMN()),"YYYYMMDD")),"N/A")</f>
        <v>N/A</v>
      </c>
      <c r="AS696" s="239" t="str">
        <f ca="1">IFERROR(BDP(MO.Ticker.Bloomberg&amp;" Equity","INTERVAL_AVG","MARKET_DATA_OVERRIDE=PX_LAST","START_DATE_OVERRIDE",TEXT(INDEX(MO_SNA_FPStartDate,0,COLUMN()),"YYYYMMDD"),"END_DATE_OVERRIDE",TEXT(INDEX(MO_Common_QEndDate,0,COLUMN()),"YYYYMMDD")),"N/A")</f>
        <v>N/A</v>
      </c>
      <c r="AT696" s="239" t="str">
        <f ca="1">IFERROR(BDP(MO.Ticker.Bloomberg&amp;" Equity","INTERVAL_AVG","MARKET_DATA_OVERRIDE=PX_LAST","START_DATE_OVERRIDE",TEXT(INDEX(MO_SNA_FPStartDate,0,COLUMN()),"YYYYMMDD"),"END_DATE_OVERRIDE",TEXT(INDEX(MO_Common_QEndDate,0,COLUMN()),"YYYYMMDD")),"N/A")</f>
        <v>N/A</v>
      </c>
      <c r="AU696" s="239" t="str">
        <f ca="1">IFERROR(BDP(MO.Ticker.Bloomberg&amp;" Equity","INTERVAL_AVG","MARKET_DATA_OVERRIDE=PX_LAST","START_DATE_OVERRIDE",TEXT(INDEX(MO_SNA_FPStartDate,0,COLUMN()),"YYYYMMDD"),"END_DATE_OVERRIDE",TEXT(INDEX(MO_Common_QEndDate,0,COLUMN()),"YYYYMMDD")),"N/A")</f>
        <v>N/A</v>
      </c>
      <c r="AV696" s="239" t="str">
        <f ca="1">IFERROR(BDP(MO.Ticker.Bloomberg&amp;" Equity","INTERVAL_AVG","MARKET_DATA_OVERRIDE=PX_LAST","START_DATE_OVERRIDE",TEXT(INDEX(MO_SNA_FPStartDate,0,COLUMN()),"YYYYMMDD"),"END_DATE_OVERRIDE",TEXT(INDEX(MO_Common_QEndDate,0,COLUMN()),"YYYYMMDD")),"N/A")</f>
        <v>N/A</v>
      </c>
      <c r="AW696" s="239" t="str">
        <f ca="1">IFERROR(BDP(MO.Ticker.Bloomberg&amp;" Equity","INTERVAL_AVG","MARKET_DATA_OVERRIDE=PX_LAST","START_DATE_OVERRIDE",TEXT(INDEX(MO_SNA_FPStartDate,0,COLUMN()),"YYYYMMDD"),"END_DATE_OVERRIDE",TEXT(INDEX(MO_Common_QEndDate,0,COLUMN()),"YYYYMMDD")),"N/A")</f>
        <v>N/A</v>
      </c>
      <c r="AX696" s="239" t="str">
        <f ca="1">IFERROR(BDP(MO.Ticker.Bloomberg&amp;" Equity","INTERVAL_AVG","MARKET_DATA_OVERRIDE=PX_LAST","START_DATE_OVERRIDE",TEXT(INDEX(MO_SNA_FPStartDate,0,COLUMN()),"YYYYMMDD"),"END_DATE_OVERRIDE",TEXT(INDEX(MO_Common_QEndDate,0,COLUMN()),"YYYYMMDD")),"N/A")</f>
        <v>N/A</v>
      </c>
      <c r="AY696" s="239"/>
      <c r="AZ696" s="240" t="str">
        <f ca="1">IFERROR(BDP(MO.Ticker.Bloomberg&amp;" Equity","INTERVAL_AVG","MARKET_DATA_OVERRIDE=PX_LAST","START_DATE_OVERRIDE",TEXT(INDEX(MO_SNA_FPStartDate,0,COLUMN()),"YYYYMMDD"),"END_DATE_OVERRIDE",TEXT(INDEX(MO_Common_QEndDate,0,COLUMN()),"YYYYMMDD")),"N/A")</f>
        <v>N/A</v>
      </c>
      <c r="BA696" s="240" t="str">
        <f ca="1">IFERROR(BDP(MO.Ticker.Bloomberg&amp;" Equity","INTERVAL_AVG","MARKET_DATA_OVERRIDE=PX_LAST","START_DATE_OVERRIDE",TEXT(INDEX(MO_SNA_FPStartDate,0,COLUMN()),"YYYYMMDD"),"END_DATE_OVERRIDE",TEXT(INDEX(MO_Common_QEndDate,0,COLUMN()),"YYYYMMDD")),"N/A")</f>
        <v>N/A</v>
      </c>
      <c r="BB696" s="239" t="str">
        <f ca="1">IFERROR(BDP(MO.Ticker.Bloomberg&amp;" Equity","INTERVAL_AVG","MARKET_DATA_OVERRIDE=PX_LAST","START_DATE_OVERRIDE",TEXT(INDEX(MO_SNA_FPStartDate,0,COLUMN()),"YYYYMMDD"),"END_DATE_OVERRIDE",TEXT(INDEX(MO_Common_QEndDate,0,COLUMN()),"YYYYMMDD")),"N/A")</f>
        <v>N/A</v>
      </c>
      <c r="BC696" s="239" t="str">
        <f ca="1">IFERROR(BDP(MO.Ticker.Bloomberg&amp;" Equity","INTERVAL_AVG","MARKET_DATA_OVERRIDE=PX_LAST","START_DATE_OVERRIDE",TEXT(INDEX(MO_SNA_FPStartDate,0,COLUMN()),"YYYYMMDD"),"END_DATE_OVERRIDE",TEXT(INDEX(MO_Common_QEndDate,0,COLUMN()),"YYYYMMDD")),"N/A")</f>
        <v>N/A</v>
      </c>
      <c r="BD696" s="239" t="str">
        <f ca="1">IFERROR(BDP(MO.Ticker.Bloomberg&amp;" Equity","INTERVAL_AVG","MARKET_DATA_OVERRIDE=PX_LAST","START_DATE_OVERRIDE",TEXT(INDEX(MO_SNA_FPStartDate,0,COLUMN()),"YYYYMMDD"),"END_DATE_OVERRIDE",TEXT(INDEX(MO_Common_QEndDate,0,COLUMN()),"YYYYMMDD")),"N/A")</f>
        <v>N/A</v>
      </c>
      <c r="BE696" s="239" t="str">
        <f ca="1">IFERROR(BDP(MO.Ticker.Bloomberg&amp;" Equity","INTERVAL_AVG","MARKET_DATA_OVERRIDE=PX_LAST","START_DATE_OVERRIDE",TEXT(INDEX(MO_SNA_FPStartDate,0,COLUMN()),"YYYYMMDD"),"END_DATE_OVERRIDE",TEXT(INDEX(MO_Common_QEndDate,0,COLUMN()),"YYYYMMDD")),"N/A")</f>
        <v>N/A</v>
      </c>
      <c r="BF696" s="239" t="str">
        <f ca="1">IFERROR(BDP(MO.Ticker.Bloomberg&amp;" Equity","INTERVAL_AVG","MARKET_DATA_OVERRIDE=PX_LAST","START_DATE_OVERRIDE",TEXT(INDEX(MO_SNA_FPStartDate,0,COLUMN()),"YYYYMMDD"),"END_DATE_OVERRIDE",TEXT(INDEX(MO_Common_QEndDate,0,COLUMN()),"YYYYMMDD")),"N/A")</f>
        <v>N/A</v>
      </c>
      <c r="BG696" s="239" t="str">
        <f ca="1">IFERROR(BDP(MO.Ticker.Bloomberg&amp;" Equity","INTERVAL_AVG","MARKET_DATA_OVERRIDE=PX_LAST","START_DATE_OVERRIDE",TEXT(INDEX(MO_SNA_FPStartDate,0,COLUMN()),"YYYYMMDD"),"END_DATE_OVERRIDE",TEXT(INDEX(MO_Common_QEndDate,0,COLUMN()),"YYYYMMDD")),"N/A")</f>
        <v>N/A</v>
      </c>
      <c r="BH696" s="239" t="str">
        <f ca="1">IFERROR(BDP(MO.Ticker.Bloomberg&amp;" Equity","INTERVAL_AVG","MARKET_DATA_OVERRIDE=PX_LAST","START_DATE_OVERRIDE",TEXT(INDEX(MO_SNA_FPStartDate,0,COLUMN()),"YYYYMMDD"),"END_DATE_OVERRIDE",TEXT(INDEX(MO_Common_QEndDate,0,COLUMN()),"YYYYMMDD")),"N/A")</f>
        <v>N/A</v>
      </c>
      <c r="BI696" s="239" t="str">
        <f ca="1">IFERROR(BDP(MO.Ticker.Bloomberg&amp;" Equity","INTERVAL_AVG","MARKET_DATA_OVERRIDE=PX_LAST","START_DATE_OVERRIDE",TEXT(INDEX(MO_SNA_FPStartDate,0,COLUMN()),"YYYYMMDD"),"END_DATE_OVERRIDE",TEXT(INDEX(MO_Common_QEndDate,0,COLUMN()),"YYYYMMDD")),"N/A")</f>
        <v>N/A</v>
      </c>
      <c r="BJ696" s="239" t="str">
        <f ca="1">IFERROR(BDP(MO.Ticker.Bloomberg&amp;" Equity","INTERVAL_AVG","MARKET_DATA_OVERRIDE=PX_LAST","START_DATE_OVERRIDE",TEXT(INDEX(MO_SNA_FPStartDate,0,COLUMN()),"YYYYMMDD"),"END_DATE_OVERRIDE",TEXT(INDEX(MO_Common_QEndDate,0,COLUMN()),"YYYYMMDD")),"N/A")</f>
        <v>N/A</v>
      </c>
      <c r="BK696" s="239" t="str">
        <f ca="1">IFERROR(BDP(MO.Ticker.Bloomberg&amp;" Equity","INTERVAL_AVG","MARKET_DATA_OVERRIDE=PX_LAST","START_DATE_OVERRIDE",TEXT(INDEX(MO_SNA_FPStartDate,0,COLUMN()),"YYYYMMDD"),"END_DATE_OVERRIDE",TEXT(INDEX(MO_Common_QEndDate,0,COLUMN()),"YYYYMMDD")),"N/A")</f>
        <v>N/A</v>
      </c>
      <c r="BL696" s="239" t="str">
        <f ca="1">IFERROR(BDP(MO.Ticker.Bloomberg&amp;" Equity","INTERVAL_AVG","MARKET_DATA_OVERRIDE=PX_LAST","START_DATE_OVERRIDE",TEXT(INDEX(MO_SNA_FPStartDate,0,COLUMN()),"YYYYMMDD"),"END_DATE_OVERRIDE",TEXT(INDEX(MO_Common_QEndDate,0,COLUMN()),"YYYYMMDD")),"N/A")</f>
        <v>N/A</v>
      </c>
      <c r="BM696" s="239" t="str">
        <f ca="1">IFERROR(BDP(MO.Ticker.Bloomberg&amp;" Equity","INTERVAL_AVG","MARKET_DATA_OVERRIDE=PX_LAST","START_DATE_OVERRIDE",TEXT(INDEX(MO_SNA_FPStartDate,0,COLUMN()),"YYYYMMDD"),"END_DATE_OVERRIDE",TEXT(INDEX(MO_Common_QEndDate,0,COLUMN()),"YYYYMMDD")),"N/A")</f>
        <v>N/A</v>
      </c>
      <c r="BN696" s="239" t="str">
        <f ca="1">IFERROR(BDP(MO.Ticker.Bloomberg&amp;" Equity","INTERVAL_AVG","MARKET_DATA_OVERRIDE=PX_LAST","START_DATE_OVERRIDE",TEXT(INDEX(MO_SNA_FPStartDate,0,COLUMN()),"YYYYMMDD"),"END_DATE_OVERRIDE",TEXT(INDEX(MO_Common_QEndDate,0,COLUMN()),"YYYYMMDD")),"N/A")</f>
        <v>N/A</v>
      </c>
      <c r="BO696" s="239" t="str">
        <f ca="1">IFERROR(BDP(MO.Ticker.Bloomberg&amp;" Equity","INTERVAL_AVG","MARKET_DATA_OVERRIDE=PX_LAST","START_DATE_OVERRIDE",TEXT(INDEX(MO_SNA_FPStartDate,0,COLUMN()),"YYYYMMDD"),"END_DATE_OVERRIDE",TEXT(INDEX(MO_Common_QEndDate,0,COLUMN()),"YYYYMMDD")),"N/A")</f>
        <v>N/A</v>
      </c>
      <c r="BP696" s="239" t="str">
        <f ca="1">IFERROR(BDP(MO.Ticker.Bloomberg&amp;" Equity","INTERVAL_AVG","MARKET_DATA_OVERRIDE=PX_LAST","START_DATE_OVERRIDE",TEXT(INDEX(MO_SNA_FPStartDate,0,COLUMN()),"YYYYMMDD"),"END_DATE_OVERRIDE",TEXT(INDEX(MO_Common_QEndDate,0,COLUMN()),"YYYYMMDD")),"N/A")</f>
        <v>N/A</v>
      </c>
      <c r="BQ696" s="239" t="str">
        <f ca="1">IFERROR(BDP(MO.Ticker.Bloomberg&amp;" Equity","INTERVAL_AVG","MARKET_DATA_OVERRIDE=PX_LAST","START_DATE_OVERRIDE",TEXT(INDEX(MO_SNA_FPStartDate,0,COLUMN()),"YYYYMMDD"),"END_DATE_OVERRIDE",TEXT(INDEX(MO_Common_QEndDate,0,COLUMN()),"YYYYMMDD")),"N/A")</f>
        <v>N/A</v>
      </c>
      <c r="BR696" s="239" t="str">
        <f ca="1">IFERROR(BDP(MO.Ticker.Bloomberg&amp;" Equity","INTERVAL_AVG","MARKET_DATA_OVERRIDE=PX_LAST","START_DATE_OVERRIDE",TEXT(INDEX(MO_SNA_FPStartDate,0,COLUMN()),"YYYYMMDD"),"END_DATE_OVERRIDE",TEXT(INDEX(MO_Common_QEndDate,0,COLUMN()),"YYYYMMDD")),"N/A")</f>
        <v>N/A</v>
      </c>
      <c r="BS696" s="241" t="str">
        <f ca="1">IFERROR(BDP(MO.Ticker.Bloomberg&amp;" Equity","INTERVAL_AVG","MARKET_DATA_OVERRIDE=PX_LAST","START_DATE_OVERRIDE",TEXT(INDEX(MO_SNA_FPStartDate,0,COLUMN()),"YYYYMMDD"),"END_DATE_OVERRIDE",TEXT(INDEX(MO_Common_QEndDate,0,COLUMN()),"YYYYMMDD")),"N/A")</f>
        <v>N/A</v>
      </c>
      <c r="BT696" s="274"/>
    </row>
    <row r="697" spans="1:72" s="242" customFormat="1" hidden="1" outlineLevel="1" x14ac:dyDescent="0.35">
      <c r="A697" s="243" t="s">
        <v>263</v>
      </c>
      <c r="B697" s="239"/>
      <c r="C697" s="239">
        <f>IFERROR(_xll.ciqfunctions.udf.CIQAVG(MO.Ticker.CapIQ,"IQ_LASTSALEPRICE",INDEX(MO_SNA_FPStartDate,0,COLUMN()),INDEX(MO_Common_QEndDate,0,COLUMN())),"N/A")</f>
        <v>21.0625396825397</v>
      </c>
      <c r="D697" s="239">
        <f>IFERROR(_xll.ciqfunctions.udf.CIQAVG(MO.Ticker.CapIQ,"IQ_LASTSALEPRICE",INDEX(MO_SNA_FPStartDate,0,COLUMN()),INDEX(MO_Common_QEndDate,0,COLUMN())),"N/A")</f>
        <v>19.757096774193499</v>
      </c>
      <c r="E697" s="239">
        <f>IFERROR(_xll.ciqfunctions.udf.CIQAVG(MO.Ticker.CapIQ,"IQ_LASTSALEPRICE",INDEX(MO_SNA_FPStartDate,0,COLUMN()),INDEX(MO_Common_QEndDate,0,COLUMN())),"N/A")</f>
        <v>20.9308333333333</v>
      </c>
      <c r="F697" s="239">
        <f>IFERROR(_xll.ciqfunctions.udf.CIQAVG(MO.Ticker.CapIQ,"IQ_LASTSALEPRICE",INDEX(MO_SNA_FPStartDate,0,COLUMN()),INDEX(MO_Common_QEndDate,0,COLUMN())),"N/A")</f>
        <v>26.7934375</v>
      </c>
      <c r="G697" s="239">
        <f>IFERROR(_xll.ciqfunctions.udf.CIQAVG(MO.Ticker.CapIQ,"IQ_LASTSALEPRICE",INDEX(MO_SNA_FPStartDate,0,COLUMN()),INDEX(MO_Common_QEndDate,0,COLUMN())),"N/A")</f>
        <v>32.010624999999997</v>
      </c>
      <c r="H697" s="239">
        <f>IFERROR(_xll.ciqfunctions.udf.CIQAVG(MO.Ticker.CapIQ,"IQ_LASTSALEPRICE",INDEX(MO_SNA_FPStartDate,0,COLUMN()),INDEX(MO_Common_QEndDate,0,COLUMN())),"N/A")</f>
        <v>20.843125000000001</v>
      </c>
      <c r="I697" s="239">
        <f>IFERROR(_xll.ciqfunctions.udf.CIQAVG(MO.Ticker.CapIQ,"IQ_LASTSALEPRICE",INDEX(MO_SNA_FPStartDate,0,COLUMN()),INDEX(MO_Common_QEndDate,0,COLUMN())),"N/A")</f>
        <v>21.7590163934426</v>
      </c>
      <c r="J697" s="239">
        <f>IFERROR(_xll.ciqfunctions.udf.CIQAVG(MO.Ticker.CapIQ,"IQ_LASTSALEPRICE",INDEX(MO_SNA_FPStartDate,0,COLUMN()),INDEX(MO_Common_QEndDate,0,COLUMN())),"N/A")</f>
        <v>23.425873015873002</v>
      </c>
      <c r="K697" s="239">
        <f>IFERROR(_xll.ciqfunctions.udf.CIQAVG(MO.Ticker.CapIQ,"IQ_LASTSALEPRICE",INDEX(MO_SNA_FPStartDate,0,COLUMN()),INDEX(MO_Common_QEndDate,0,COLUMN())),"N/A")</f>
        <v>20.268750000000001</v>
      </c>
      <c r="L697" s="239">
        <f>IFERROR(_xll.ciqfunctions.udf.CIQAVG(MO.Ticker.CapIQ,"IQ_LASTSALEPRICE",INDEX(MO_SNA_FPStartDate,0,COLUMN()),INDEX(MO_Common_QEndDate,0,COLUMN())),"N/A")</f>
        <v>13.085000000000001</v>
      </c>
      <c r="M697" s="239">
        <f>IFERROR(_xll.ciqfunctions.udf.CIQAVG(MO.Ticker.CapIQ,"IQ_LASTSALEPRICE",INDEX(MO_SNA_FPStartDate,0,COLUMN()),INDEX(MO_Common_QEndDate,0,COLUMN())),"N/A")</f>
        <v>14.853770491803299</v>
      </c>
      <c r="N697" s="239">
        <f>IFERROR(_xll.ciqfunctions.udf.CIQAVG(MO.Ticker.CapIQ,"IQ_LASTSALEPRICE",INDEX(MO_SNA_FPStartDate,0,COLUMN()),INDEX(MO_Common_QEndDate,0,COLUMN())),"N/A")</f>
        <v>14.8953968253968</v>
      </c>
      <c r="O697" s="239">
        <f>IFERROR(_xll.ciqfunctions.udf.CIQAVG(MO.Ticker.CapIQ,"IQ_LASTSALEPRICE",INDEX(MO_SNA_FPStartDate,0,COLUMN()),INDEX(MO_Common_QEndDate,0,COLUMN())),"N/A")</f>
        <v>13.40046875</v>
      </c>
      <c r="P697" s="239">
        <f>IFERROR(_xll.ciqfunctions.udf.CIQAVG(MO.Ticker.CapIQ,"IQ_LASTSALEPRICE",INDEX(MO_SNA_FPStartDate,0,COLUMN()),INDEX(MO_Common_QEndDate,0,COLUMN())),"N/A")</f>
        <v>10.6425</v>
      </c>
      <c r="Q697" s="239">
        <f>IFERROR(_xll.ciqfunctions.udf.CIQAVG(MO.Ticker.CapIQ,"IQ_LASTSALEPRICE",INDEX(MO_SNA_FPStartDate,0,COLUMN()),INDEX(MO_Common_QEndDate,0,COLUMN())),"N/A")</f>
        <v>9.4488524590163898</v>
      </c>
      <c r="R697" s="239">
        <f>IFERROR(_xll.ciqfunctions.udf.CIQAVG(MO.Ticker.CapIQ,"IQ_LASTSALEPRICE",INDEX(MO_SNA_FPStartDate,0,COLUMN()),INDEX(MO_Common_QEndDate,0,COLUMN())),"N/A")</f>
        <v>11.31890625</v>
      </c>
      <c r="S697" s="239">
        <f>IFERROR(_xll.ciqfunctions.udf.CIQAVG(MO.Ticker.CapIQ,"IQ_LASTSALEPRICE",INDEX(MO_SNA_FPStartDate,0,COLUMN()),INDEX(MO_Common_QEndDate,0,COLUMN())),"N/A")</f>
        <v>12.75828125</v>
      </c>
      <c r="T697" s="239">
        <f>IFERROR(_xll.ciqfunctions.udf.CIQAVG(MO.Ticker.CapIQ,"IQ_LASTSALEPRICE",INDEX(MO_SNA_FPStartDate,0,COLUMN()),INDEX(MO_Common_QEndDate,0,COLUMN())),"N/A")</f>
        <v>14.454126984127001</v>
      </c>
      <c r="U697" s="239">
        <f>IFERROR(_xll.ciqfunctions.udf.CIQAVG(MO.Ticker.CapIQ,"IQ_LASTSALEPRICE",INDEX(MO_SNA_FPStartDate,0,COLUMN()),INDEX(MO_Common_QEndDate,0,COLUMN())),"N/A")</f>
        <v>18.096451612903198</v>
      </c>
      <c r="V697" s="239">
        <f>IFERROR(_xll.ciqfunctions.udf.CIQAVG(MO.Ticker.CapIQ,"IQ_LASTSALEPRICE",INDEX(MO_SNA_FPStartDate,0,COLUMN()),INDEX(MO_Common_QEndDate,0,COLUMN())),"N/A")</f>
        <v>19.1846031746032</v>
      </c>
      <c r="W697" s="239">
        <f>IFERROR(_xll.ciqfunctions.udf.CIQAVG(MO.Ticker.CapIQ,"IQ_LASTSALEPRICE",INDEX(MO_SNA_FPStartDate,0,COLUMN()),INDEX(MO_Common_QEndDate,0,COLUMN())),"N/A")</f>
        <v>17.7390476190476</v>
      </c>
      <c r="X697" s="239">
        <f>IFERROR(_xll.ciqfunctions.udf.CIQAVG(MO.Ticker.CapIQ,"IQ_LASTSALEPRICE",INDEX(MO_SNA_FPStartDate,0,COLUMN()),INDEX(MO_Common_QEndDate,0,COLUMN())),"N/A")</f>
        <v>16.640317460317501</v>
      </c>
      <c r="Y697" s="239">
        <f>IFERROR(_xll.ciqfunctions.udf.CIQAVG(MO.Ticker.CapIQ,"IQ_LASTSALEPRICE",INDEX(MO_SNA_FPStartDate,0,COLUMN()),INDEX(MO_Common_QEndDate,0,COLUMN())),"N/A")</f>
        <v>15.661147540983601</v>
      </c>
      <c r="Z697" s="239">
        <f>IFERROR(_xll.ciqfunctions.udf.CIQAVG(MO.Ticker.CapIQ,"IQ_LASTSALEPRICE",INDEX(MO_SNA_FPStartDate,0,COLUMN()),INDEX(MO_Common_QEndDate,0,COLUMN())),"N/A")</f>
        <v>15.5025</v>
      </c>
      <c r="AA697" s="239">
        <f>IFERROR(_xll.ciqfunctions.udf.CIQAVG(MO.Ticker.CapIQ,"IQ_LASTSALEPRICE",INDEX(MO_SNA_FPStartDate,0,COLUMN()),INDEX(MO_Common_QEndDate,0,COLUMN())),"N/A")</f>
        <v>17.076984126984101</v>
      </c>
      <c r="AB697" s="239">
        <f>IFERROR(_xll.ciqfunctions.udf.CIQAVG(MO.Ticker.CapIQ,"IQ_LASTSALEPRICE",INDEX(MO_SNA_FPStartDate,0,COLUMN()),INDEX(MO_Common_QEndDate,0,COLUMN())),"N/A")</f>
        <v>21.332063492063501</v>
      </c>
      <c r="AC697" s="239">
        <f>IFERROR(_xll.ciqfunctions.udf.CIQAVG(MO.Ticker.CapIQ,"IQ_LASTSALEPRICE",INDEX(MO_SNA_FPStartDate,0,COLUMN()),INDEX(MO_Common_QEndDate,0,COLUMN())),"N/A")</f>
        <v>30.490491803278701</v>
      </c>
      <c r="AD697" s="239">
        <f>IFERROR(_xll.ciqfunctions.udf.CIQAVG(MO.Ticker.CapIQ,"IQ_LASTSALEPRICE",INDEX(MO_SNA_FPStartDate,0,COLUMN()),INDEX(MO_Common_QEndDate,0,COLUMN())),"N/A")</f>
        <v>32.176507936507903</v>
      </c>
      <c r="AE697" s="239">
        <f>IFERROR(_xll.ciqfunctions.udf.CIQAVG(MO.Ticker.CapIQ,"IQ_LASTSALEPRICE",INDEX(MO_SNA_FPStartDate,0,COLUMN()),INDEX(MO_Common_QEndDate,0,COLUMN())),"N/A")</f>
        <v>28.723749999999999</v>
      </c>
      <c r="AF697" s="239">
        <f>IFERROR(_xll.ciqfunctions.udf.CIQAVG(MO.Ticker.CapIQ,"IQ_LASTSALEPRICE",INDEX(MO_SNA_FPStartDate,0,COLUMN()),INDEX(MO_Common_QEndDate,0,COLUMN())),"N/A")</f>
        <v>21.356718749999999</v>
      </c>
      <c r="AG697" s="239">
        <f>IFERROR(_xll.ciqfunctions.udf.CIQAVG(MO.Ticker.CapIQ,"IQ_LASTSALEPRICE",INDEX(MO_SNA_FPStartDate,0,COLUMN()),INDEX(MO_Common_QEndDate,0,COLUMN())),"N/A")</f>
        <v>18.446935483870998</v>
      </c>
      <c r="AH697" s="239">
        <f>IFERROR(_xll.ciqfunctions.udf.CIQAVG(MO.Ticker.CapIQ,"IQ_LASTSALEPRICE",INDEX(MO_SNA_FPStartDate,0,COLUMN()),INDEX(MO_Common_QEndDate,0,COLUMN())),"N/A")</f>
        <v>24.053492063492101</v>
      </c>
      <c r="AI697" s="239">
        <f>IFERROR(_xll.ciqfunctions.udf.CIQAVG(MO.Ticker.CapIQ,"IQ_LASTSALEPRICE",INDEX(MO_SNA_FPStartDate,0,COLUMN()),INDEX(MO_Common_QEndDate,0,COLUMN())),"N/A")</f>
        <v>38.671875</v>
      </c>
      <c r="AJ697" s="239">
        <f>IFERROR(_xll.ciqfunctions.udf.CIQAVG(MO.Ticker.CapIQ,"IQ_LASTSALEPRICE",INDEX(MO_SNA_FPStartDate,0,COLUMN()),INDEX(MO_Common_QEndDate,0,COLUMN())),"N/A")</f>
        <v>24.83171875</v>
      </c>
      <c r="AK697" s="239">
        <f>IFERROR(_xll.ciqfunctions.udf.CIQAVG(MO.Ticker.CapIQ,"IQ_LASTSALEPRICE",INDEX(MO_SNA_FPStartDate,0,COLUMN()),INDEX(MO_Common_QEndDate,0,COLUMN())),"N/A")</f>
        <v>25.9619672131148</v>
      </c>
      <c r="AL697" s="239">
        <f>IFERROR(_xll.ciqfunctions.udf.CIQAVG(MO.Ticker.CapIQ,"IQ_LASTSALEPRICE",INDEX(MO_SNA_FPStartDate,0,COLUMN()),INDEX(MO_Common_QEndDate,0,COLUMN())),"N/A")</f>
        <v>29.8095238095238</v>
      </c>
      <c r="AM697" s="239">
        <f>IFERROR(_xll.ciqfunctions.udf.CIQAVG(MO.Ticker.CapIQ,"IQ_LASTSALEPRICE",INDEX(MO_SNA_FPStartDate,0,COLUMN()),INDEX(MO_Common_QEndDate,0,COLUMN())),"N/A")</f>
        <v>32.806093750000002</v>
      </c>
      <c r="AN697" s="239">
        <f>IFERROR(_xll.ciqfunctions.udf.CIQAVG(MO.Ticker.CapIQ,"IQ_LASTSALEPRICE",INDEX(MO_SNA_FPStartDate,0,COLUMN()),INDEX(MO_Common_QEndDate,0,COLUMN())),"N/A")</f>
        <v>34.519374999999997</v>
      </c>
      <c r="AO697" s="239">
        <f>IFERROR(_xll.ciqfunctions.udf.CIQAVG(MO.Ticker.CapIQ,"IQ_LASTSALEPRICE",INDEX(MO_SNA_FPStartDate,0,COLUMN()),INDEX(MO_Common_QEndDate,0,COLUMN())),"N/A")</f>
        <v>33.188709677419403</v>
      </c>
      <c r="AP697" s="239">
        <f>IFERROR(_xll.ciqfunctions.udf.CIQAVG(MO.Ticker.CapIQ,"IQ_LASTSALEPRICE",INDEX(MO_SNA_FPStartDate,0,COLUMN()),INDEX(MO_Common_QEndDate,0,COLUMN())),"N/A")</f>
        <v>37.030645161290302</v>
      </c>
      <c r="AQ697" s="239">
        <f>IFERROR(_xll.ciqfunctions.udf.CIQAVG(MO.Ticker.CapIQ,"IQ_LASTSALEPRICE",INDEX(MO_SNA_FPStartDate,0,COLUMN()),INDEX(MO_Common_QEndDate,0,COLUMN())),"N/A")</f>
        <v>40.293437500000003</v>
      </c>
      <c r="AR697" s="239">
        <f>IFERROR(_xll.ciqfunctions.udf.CIQAVG(MO.Ticker.CapIQ,"IQ_LASTSALEPRICE",INDEX(MO_SNA_FPStartDate,0,COLUMN()),INDEX(MO_Common_QEndDate,0,COLUMN())),"N/A")</f>
        <v>36.712222222222202</v>
      </c>
      <c r="AS697" s="239">
        <f>IFERROR(_xll.ciqfunctions.udf.CIQAVG(MO.Ticker.CapIQ,"IQ_LASTSALEPRICE",INDEX(MO_SNA_FPStartDate,0,COLUMN()),INDEX(MO_Common_QEndDate,0,COLUMN())),"N/A")</f>
        <v>39.240161290322597</v>
      </c>
      <c r="AT697" s="239">
        <f>IFERROR(_xll.ciqfunctions.udf.CIQAVG(MO.Ticker.CapIQ,"IQ_LASTSALEPRICE",INDEX(MO_SNA_FPStartDate,0,COLUMN()),INDEX(MO_Common_QEndDate,0,COLUMN())),"N/A")</f>
        <v>40.010483870967697</v>
      </c>
      <c r="AU697" s="239">
        <f>IFERROR(_xll.ciqfunctions.udf.CIQAVG(MO.Ticker.CapIQ,"IQ_LASTSALEPRICE",INDEX(MO_SNA_FPStartDate,0,COLUMN()),INDEX(MO_Common_QEndDate,0,COLUMN())),"N/A")</f>
        <v>40.673015873015899</v>
      </c>
      <c r="AV697" s="239">
        <f>IFERROR(_xll.ciqfunctions.udf.CIQAVG(MO.Ticker.CapIQ,"IQ_LASTSALEPRICE",INDEX(MO_SNA_FPStartDate,0,COLUMN()),INDEX(MO_Common_QEndDate,0,COLUMN())),"N/A")</f>
        <v>54.7350793650794</v>
      </c>
      <c r="AW697" s="239">
        <f>IFERROR(_xll.ciqfunctions.udf.CIQAVG(MO.Ticker.CapIQ,"IQ_LASTSALEPRICE",INDEX(MO_SNA_FPStartDate,0,COLUMN()),INDEX(MO_Common_QEndDate,0,COLUMN())),"N/A")</f>
        <v>60.2977049180328</v>
      </c>
      <c r="AX697" s="239">
        <f>IFERROR(_xll.ciqfunctions.udf.CIQAVG(MO.Ticker.CapIQ,"IQ_LASTSALEPRICE",INDEX(MO_SNA_FPStartDate,0,COLUMN()),INDEX(MO_Common_QEndDate,0,COLUMN())),"N/A")</f>
        <v>66.691587301587305</v>
      </c>
      <c r="AY697" s="239"/>
      <c r="AZ697" s="240">
        <f>IFERROR(_xll.ciqfunctions.udf.CIQAVG(MO.Ticker.CapIQ,"IQ_LASTSALEPRICE",INDEX(MO_SNA_FPStartDate,0,COLUMN()),INDEX(MO_Common_QEndDate,0,COLUMN())),"N/A")</f>
        <v>19.991884920634899</v>
      </c>
      <c r="BA697" s="240">
        <f>IFERROR(_xll.ciqfunctions.udf.CIQAVG(MO.Ticker.CapIQ,"IQ_LASTSALEPRICE",INDEX(MO_SNA_FPStartDate,0,COLUMN()),INDEX(MO_Common_QEndDate,0,COLUMN())),"N/A")</f>
        <v>20.4517063492064</v>
      </c>
      <c r="BB697" s="239">
        <f>IFERROR(_xll.ciqfunctions.udf.CIQAVG(MO.Ticker.CapIQ,"IQ_LASTSALEPRICE",INDEX(MO_SNA_FPStartDate,0,COLUMN()),INDEX(MO_Common_QEndDate,0,COLUMN())),"N/A")</f>
        <v>29.501778656126501</v>
      </c>
      <c r="BC697" s="239">
        <f>IFERROR(_xll.ciqfunctions.udf.CIQAVG(MO.Ticker.CapIQ,"IQ_LASTSALEPRICE",INDEX(MO_SNA_FPStartDate,0,COLUMN()),INDEX(MO_Common_QEndDate,0,COLUMN())),"N/A")</f>
        <v>25.410714285714299</v>
      </c>
      <c r="BD697" s="239">
        <f>IFERROR(_xll.ciqfunctions.udf.CIQAVG(MO.Ticker.CapIQ,"IQ_LASTSALEPRICE",INDEX(MO_SNA_FPStartDate,0,COLUMN()),INDEX(MO_Common_QEndDate,0,COLUMN())),"N/A")</f>
        <v>22.178755020080299</v>
      </c>
      <c r="BE697" s="239">
        <f>IFERROR(_xll.ciqfunctions.udf.CIQAVG(MO.Ticker.CapIQ,"IQ_LASTSALEPRICE",INDEX(MO_SNA_FPStartDate,0,COLUMN()),INDEX(MO_Common_QEndDate,0,COLUMN())),"N/A")</f>
        <v>24.5467063492063</v>
      </c>
      <c r="BF697" s="239">
        <f>IFERROR(_xll.ciqfunctions.udf.CIQAVG(MO.Ticker.CapIQ,"IQ_LASTSALEPRICE",INDEX(MO_SNA_FPStartDate,0,COLUMN()),INDEX(MO_Common_QEndDate,0,COLUMN())),"N/A")</f>
        <v>15.7901984126984</v>
      </c>
      <c r="BG697" s="239">
        <f>IFERROR(_xll.ciqfunctions.udf.CIQAVG(MO.Ticker.CapIQ,"IQ_LASTSALEPRICE",INDEX(MO_SNA_FPStartDate,0,COLUMN()),INDEX(MO_Common_QEndDate,0,COLUMN())),"N/A")</f>
        <v>11.2234782608696</v>
      </c>
      <c r="BH697" s="239">
        <f>IFERROR(_xll.ciqfunctions.udf.CIQAVG(MO.Ticker.CapIQ,"IQ_LASTSALEPRICE",INDEX(MO_SNA_FPStartDate,0,COLUMN()),INDEX(MO_Common_QEndDate,0,COLUMN())),"N/A")</f>
        <v>16.102182539682499</v>
      </c>
      <c r="BI697" s="239">
        <f>IFERROR(_xll.ciqfunctions.udf.CIQAVG(MO.Ticker.CapIQ,"IQ_LASTSALEPRICE",INDEX(MO_SNA_FPStartDate,0,COLUMN()),INDEX(MO_Common_QEndDate,0,COLUMN())),"N/A")</f>
        <v>16.3880079681275</v>
      </c>
      <c r="BJ697" s="239">
        <f>IFERROR(_xll.ciqfunctions.udf.CIQAVG(MO.Ticker.CapIQ,"IQ_LASTSALEPRICE",INDEX(MO_SNA_FPStartDate,0,COLUMN()),INDEX(MO_Common_QEndDate,0,COLUMN())),"N/A")</f>
        <v>25.227239999999998</v>
      </c>
      <c r="BK697" s="239">
        <f>IFERROR(_xll.ciqfunctions.udf.CIQAVG(MO.Ticker.CapIQ,"IQ_LASTSALEPRICE",INDEX(MO_SNA_FPStartDate,0,COLUMN()),INDEX(MO_Common_QEndDate,0,COLUMN())),"N/A")</f>
        <v>23.178774703557298</v>
      </c>
      <c r="BL697" s="239">
        <f>IFERROR(_xll.ciqfunctions.udf.CIQAVG(MO.Ticker.CapIQ,"IQ_LASTSALEPRICE",INDEX(MO_SNA_FPStartDate,0,COLUMN()),INDEX(MO_Common_QEndDate,0,COLUMN())),"N/A")</f>
        <v>29.864722222222198</v>
      </c>
      <c r="BM697" s="239">
        <f>IFERROR(_xll.ciqfunctions.udf.CIQAVG(MO.Ticker.CapIQ,"IQ_LASTSALEPRICE",INDEX(MO_SNA_FPStartDate,0,COLUMN()),INDEX(MO_Common_QEndDate,0,COLUMN())),"N/A")</f>
        <v>34.374722222222204</v>
      </c>
      <c r="BN697" s="239">
        <f>IFERROR(_xll.ciqfunctions.udf.CIQAVG(MO.Ticker.CapIQ,"IQ_LASTSALEPRICE",INDEX(MO_SNA_FPStartDate,0,COLUMN()),INDEX(MO_Common_QEndDate,0,COLUMN())),"N/A")</f>
        <v>39.0645019920319</v>
      </c>
      <c r="BO697" s="239">
        <f>IFERROR(_xll.ciqfunctions.udf.CIQAVG(MO.Ticker.CapIQ,"IQ_LASTSALEPRICE",INDEX(MO_SNA_FPStartDate,0,COLUMN()),INDEX(MO_Common_QEndDate,0,COLUMN())),"N/A")</f>
        <v>55.56176</v>
      </c>
      <c r="BP697" s="239" t="str">
        <f>IFERROR(_xll.ciqfunctions.udf.CIQAVG(MO.Ticker.CapIQ,"IQ_LASTSALEPRICE",INDEX(MO_SNA_FPStartDate,0,COLUMN()),INDEX(MO_Common_QEndDate,0,COLUMN())),"N/A")</f>
        <v>#PEND</v>
      </c>
      <c r="BQ697" s="239" t="str">
        <f>IFERROR(_xll.ciqfunctions.udf.CIQAVG(MO.Ticker.CapIQ,"IQ_LASTSALEPRICE",INDEX(MO_SNA_FPStartDate,0,COLUMN()),INDEX(MO_Common_QEndDate,0,COLUMN())),"N/A")</f>
        <v>#PEND</v>
      </c>
      <c r="BR697" s="239" t="str">
        <f>IFERROR(_xll.ciqfunctions.udf.CIQAVG(MO.Ticker.CapIQ,"IQ_LASTSALEPRICE",INDEX(MO_SNA_FPStartDate,0,COLUMN()),INDEX(MO_Common_QEndDate,0,COLUMN())),"N/A")</f>
        <v>#PEND</v>
      </c>
      <c r="BS697" s="241" t="str">
        <f>IFERROR(_xll.ciqfunctions.udf.CIQAVG(MO.Ticker.CapIQ,"IQ_LASTSALEPRICE",INDEX(MO_SNA_FPStartDate,0,COLUMN()),INDEX(MO_Common_QEndDate,0,COLUMN())),"N/A")</f>
        <v>#PEND</v>
      </c>
      <c r="BT697" s="274"/>
    </row>
    <row r="698" spans="1:72" s="242" customFormat="1" hidden="1" outlineLevel="1" x14ac:dyDescent="0.35">
      <c r="A698" s="243" t="s">
        <v>264</v>
      </c>
      <c r="B698" s="239"/>
      <c r="C698" s="239" t="str">
        <f ca="1">IFERROR(FDS(MO.Ticker.FactSet,"P_PRICE_AVG"&amp;"("&amp;INDEX(MO_SNA_FPStartDate,0,COLUMN())&amp;","&amp;INDEX(MO_Common_QEndDate,0,COLUMN())&amp;",,,,""PRICE"",""CLOSE"")"),"N/A")</f>
        <v>N/A</v>
      </c>
      <c r="D698" s="239" t="str">
        <f ca="1">IFERROR(FDS(MO.Ticker.FactSet,"P_PRICE_AVG"&amp;"("&amp;INDEX(MO_SNA_FPStartDate,0,COLUMN())&amp;","&amp;INDEX(MO_Common_QEndDate,0,COLUMN())&amp;",,,,""PRICE"",""CLOSE"")"),"N/A")</f>
        <v>N/A</v>
      </c>
      <c r="E698" s="239" t="str">
        <f ca="1">IFERROR(FDS(MO.Ticker.FactSet,"P_PRICE_AVG"&amp;"("&amp;INDEX(MO_SNA_FPStartDate,0,COLUMN())&amp;","&amp;INDEX(MO_Common_QEndDate,0,COLUMN())&amp;",,,,""PRICE"",""CLOSE"")"),"N/A")</f>
        <v>N/A</v>
      </c>
      <c r="F698" s="239" t="str">
        <f ca="1">IFERROR(FDS(MO.Ticker.FactSet,"P_PRICE_AVG"&amp;"("&amp;INDEX(MO_SNA_FPStartDate,0,COLUMN())&amp;","&amp;INDEX(MO_Common_QEndDate,0,COLUMN())&amp;",,,,""PRICE"",""CLOSE"")"),"N/A")</f>
        <v>N/A</v>
      </c>
      <c r="G698" s="239" t="str">
        <f ca="1">IFERROR(FDS(MO.Ticker.FactSet,"P_PRICE_AVG"&amp;"("&amp;INDEX(MO_SNA_FPStartDate,0,COLUMN())&amp;","&amp;INDEX(MO_Common_QEndDate,0,COLUMN())&amp;",,,,""PRICE"",""CLOSE"")"),"N/A")</f>
        <v>N/A</v>
      </c>
      <c r="H698" s="239" t="str">
        <f ca="1">IFERROR(FDS(MO.Ticker.FactSet,"P_PRICE_AVG"&amp;"("&amp;INDEX(MO_SNA_FPStartDate,0,COLUMN())&amp;","&amp;INDEX(MO_Common_QEndDate,0,COLUMN())&amp;",,,,""PRICE"",""CLOSE"")"),"N/A")</f>
        <v>N/A</v>
      </c>
      <c r="I698" s="239" t="str">
        <f ca="1">IFERROR(FDS(MO.Ticker.FactSet,"P_PRICE_AVG"&amp;"("&amp;INDEX(MO_SNA_FPStartDate,0,COLUMN())&amp;","&amp;INDEX(MO_Common_QEndDate,0,COLUMN())&amp;",,,,""PRICE"",""CLOSE"")"),"N/A")</f>
        <v>N/A</v>
      </c>
      <c r="J698" s="239" t="str">
        <f ca="1">IFERROR(FDS(MO.Ticker.FactSet,"P_PRICE_AVG"&amp;"("&amp;INDEX(MO_SNA_FPStartDate,0,COLUMN())&amp;","&amp;INDEX(MO_Common_QEndDate,0,COLUMN())&amp;",,,,""PRICE"",""CLOSE"")"),"N/A")</f>
        <v>N/A</v>
      </c>
      <c r="K698" s="239" t="str">
        <f ca="1">IFERROR(FDS(MO.Ticker.FactSet,"P_PRICE_AVG"&amp;"("&amp;INDEX(MO_SNA_FPStartDate,0,COLUMN())&amp;","&amp;INDEX(MO_Common_QEndDate,0,COLUMN())&amp;",,,,""PRICE"",""CLOSE"")"),"N/A")</f>
        <v>N/A</v>
      </c>
      <c r="L698" s="239" t="str">
        <f ca="1">IFERROR(FDS(MO.Ticker.FactSet,"P_PRICE_AVG"&amp;"("&amp;INDEX(MO_SNA_FPStartDate,0,COLUMN())&amp;","&amp;INDEX(MO_Common_QEndDate,0,COLUMN())&amp;",,,,""PRICE"",""CLOSE"")"),"N/A")</f>
        <v>N/A</v>
      </c>
      <c r="M698" s="239" t="str">
        <f ca="1">IFERROR(FDS(MO.Ticker.FactSet,"P_PRICE_AVG"&amp;"("&amp;INDEX(MO_SNA_FPStartDate,0,COLUMN())&amp;","&amp;INDEX(MO_Common_QEndDate,0,COLUMN())&amp;",,,,""PRICE"",""CLOSE"")"),"N/A")</f>
        <v>N/A</v>
      </c>
      <c r="N698" s="239" t="str">
        <f ca="1">IFERROR(FDS(MO.Ticker.FactSet,"P_PRICE_AVG"&amp;"("&amp;INDEX(MO_SNA_FPStartDate,0,COLUMN())&amp;","&amp;INDEX(MO_Common_QEndDate,0,COLUMN())&amp;",,,,""PRICE"",""CLOSE"")"),"N/A")</f>
        <v>N/A</v>
      </c>
      <c r="O698" s="239" t="str">
        <f ca="1">IFERROR(FDS(MO.Ticker.FactSet,"P_PRICE_AVG"&amp;"("&amp;INDEX(MO_SNA_FPStartDate,0,COLUMN())&amp;","&amp;INDEX(MO_Common_QEndDate,0,COLUMN())&amp;",,,,""PRICE"",""CLOSE"")"),"N/A")</f>
        <v>N/A</v>
      </c>
      <c r="P698" s="239" t="str">
        <f ca="1">IFERROR(FDS(MO.Ticker.FactSet,"P_PRICE_AVG"&amp;"("&amp;INDEX(MO_SNA_FPStartDate,0,COLUMN())&amp;","&amp;INDEX(MO_Common_QEndDate,0,COLUMN())&amp;",,,,""PRICE"",""CLOSE"")"),"N/A")</f>
        <v>N/A</v>
      </c>
      <c r="Q698" s="239" t="str">
        <f ca="1">IFERROR(FDS(MO.Ticker.FactSet,"P_PRICE_AVG"&amp;"("&amp;INDEX(MO_SNA_FPStartDate,0,COLUMN())&amp;","&amp;INDEX(MO_Common_QEndDate,0,COLUMN())&amp;",,,,""PRICE"",""CLOSE"")"),"N/A")</f>
        <v>N/A</v>
      </c>
      <c r="R698" s="239" t="str">
        <f ca="1">IFERROR(FDS(MO.Ticker.FactSet,"P_PRICE_AVG"&amp;"("&amp;INDEX(MO_SNA_FPStartDate,0,COLUMN())&amp;","&amp;INDEX(MO_Common_QEndDate,0,COLUMN())&amp;",,,,""PRICE"",""CLOSE"")"),"N/A")</f>
        <v>N/A</v>
      </c>
      <c r="S698" s="239" t="str">
        <f ca="1">IFERROR(FDS(MO.Ticker.FactSet,"P_PRICE_AVG"&amp;"("&amp;INDEX(MO_SNA_FPStartDate,0,COLUMN())&amp;","&amp;INDEX(MO_Common_QEndDate,0,COLUMN())&amp;",,,,""PRICE"",""CLOSE"")"),"N/A")</f>
        <v>N/A</v>
      </c>
      <c r="T698" s="239" t="str">
        <f ca="1">IFERROR(FDS(MO.Ticker.FactSet,"P_PRICE_AVG"&amp;"("&amp;INDEX(MO_SNA_FPStartDate,0,COLUMN())&amp;","&amp;INDEX(MO_Common_QEndDate,0,COLUMN())&amp;",,,,""PRICE"",""CLOSE"")"),"N/A")</f>
        <v>N/A</v>
      </c>
      <c r="U698" s="239" t="str">
        <f ca="1">IFERROR(FDS(MO.Ticker.FactSet,"P_PRICE_AVG"&amp;"("&amp;INDEX(MO_SNA_FPStartDate,0,COLUMN())&amp;","&amp;INDEX(MO_Common_QEndDate,0,COLUMN())&amp;",,,,""PRICE"",""CLOSE"")"),"N/A")</f>
        <v>N/A</v>
      </c>
      <c r="V698" s="239" t="str">
        <f ca="1">IFERROR(FDS(MO.Ticker.FactSet,"P_PRICE_AVG"&amp;"("&amp;INDEX(MO_SNA_FPStartDate,0,COLUMN())&amp;","&amp;INDEX(MO_Common_QEndDate,0,COLUMN())&amp;",,,,""PRICE"",""CLOSE"")"),"N/A")</f>
        <v>N/A</v>
      </c>
      <c r="W698" s="239" t="str">
        <f ca="1">IFERROR(FDS(MO.Ticker.FactSet,"P_PRICE_AVG"&amp;"("&amp;INDEX(MO_SNA_FPStartDate,0,COLUMN())&amp;","&amp;INDEX(MO_Common_QEndDate,0,COLUMN())&amp;",,,,""PRICE"",""CLOSE"")"),"N/A")</f>
        <v>N/A</v>
      </c>
      <c r="X698" s="239" t="str">
        <f ca="1">IFERROR(FDS(MO.Ticker.FactSet,"P_PRICE_AVG"&amp;"("&amp;INDEX(MO_SNA_FPStartDate,0,COLUMN())&amp;","&amp;INDEX(MO_Common_QEndDate,0,COLUMN())&amp;",,,,""PRICE"",""CLOSE"")"),"N/A")</f>
        <v>N/A</v>
      </c>
      <c r="Y698" s="239" t="str">
        <f ca="1">IFERROR(FDS(MO.Ticker.FactSet,"P_PRICE_AVG"&amp;"("&amp;INDEX(MO_SNA_FPStartDate,0,COLUMN())&amp;","&amp;INDEX(MO_Common_QEndDate,0,COLUMN())&amp;",,,,""PRICE"",""CLOSE"")"),"N/A")</f>
        <v>N/A</v>
      </c>
      <c r="Z698" s="239" t="str">
        <f ca="1">IFERROR(FDS(MO.Ticker.FactSet,"P_PRICE_AVG"&amp;"("&amp;INDEX(MO_SNA_FPStartDate,0,COLUMN())&amp;","&amp;INDEX(MO_Common_QEndDate,0,COLUMN())&amp;",,,,""PRICE"",""CLOSE"")"),"N/A")</f>
        <v>N/A</v>
      </c>
      <c r="AA698" s="239" t="str">
        <f ca="1">IFERROR(FDS(MO.Ticker.FactSet,"P_PRICE_AVG"&amp;"("&amp;INDEX(MO_SNA_FPStartDate,0,COLUMN())&amp;","&amp;INDEX(MO_Common_QEndDate,0,COLUMN())&amp;",,,,""PRICE"",""CLOSE"")"),"N/A")</f>
        <v>N/A</v>
      </c>
      <c r="AB698" s="239" t="str">
        <f ca="1">IFERROR(FDS(MO.Ticker.FactSet,"P_PRICE_AVG"&amp;"("&amp;INDEX(MO_SNA_FPStartDate,0,COLUMN())&amp;","&amp;INDEX(MO_Common_QEndDate,0,COLUMN())&amp;",,,,""PRICE"",""CLOSE"")"),"N/A")</f>
        <v>N/A</v>
      </c>
      <c r="AC698" s="239" t="str">
        <f ca="1">IFERROR(FDS(MO.Ticker.FactSet,"P_PRICE_AVG"&amp;"("&amp;INDEX(MO_SNA_FPStartDate,0,COLUMN())&amp;","&amp;INDEX(MO_Common_QEndDate,0,COLUMN())&amp;",,,,""PRICE"",""CLOSE"")"),"N/A")</f>
        <v>N/A</v>
      </c>
      <c r="AD698" s="239" t="str">
        <f ca="1">IFERROR(FDS(MO.Ticker.FactSet,"P_PRICE_AVG"&amp;"("&amp;INDEX(MO_SNA_FPStartDate,0,COLUMN())&amp;","&amp;INDEX(MO_Common_QEndDate,0,COLUMN())&amp;",,,,""PRICE"",""CLOSE"")"),"N/A")</f>
        <v>N/A</v>
      </c>
      <c r="AE698" s="239" t="str">
        <f ca="1">IFERROR(FDS(MO.Ticker.FactSet,"P_PRICE_AVG"&amp;"("&amp;INDEX(MO_SNA_FPStartDate,0,COLUMN())&amp;","&amp;INDEX(MO_Common_QEndDate,0,COLUMN())&amp;",,,,""PRICE"",""CLOSE"")"),"N/A")</f>
        <v>N/A</v>
      </c>
      <c r="AF698" s="239" t="str">
        <f ca="1">IFERROR(FDS(MO.Ticker.FactSet,"P_PRICE_AVG"&amp;"("&amp;INDEX(MO_SNA_FPStartDate,0,COLUMN())&amp;","&amp;INDEX(MO_Common_QEndDate,0,COLUMN())&amp;",,,,""PRICE"",""CLOSE"")"),"N/A")</f>
        <v>N/A</v>
      </c>
      <c r="AG698" s="239" t="str">
        <f ca="1">IFERROR(FDS(MO.Ticker.FactSet,"P_PRICE_AVG"&amp;"("&amp;INDEX(MO_SNA_FPStartDate,0,COLUMN())&amp;","&amp;INDEX(MO_Common_QEndDate,0,COLUMN())&amp;",,,,""PRICE"",""CLOSE"")"),"N/A")</f>
        <v>N/A</v>
      </c>
      <c r="AH698" s="239" t="str">
        <f ca="1">IFERROR(FDS(MO.Ticker.FactSet,"P_PRICE_AVG"&amp;"("&amp;INDEX(MO_SNA_FPStartDate,0,COLUMN())&amp;","&amp;INDEX(MO_Common_QEndDate,0,COLUMN())&amp;",,,,""PRICE"",""CLOSE"")"),"N/A")</f>
        <v>N/A</v>
      </c>
      <c r="AI698" s="239" t="str">
        <f ca="1">IFERROR(FDS(MO.Ticker.FactSet,"P_PRICE_AVG"&amp;"("&amp;INDEX(MO_SNA_FPStartDate,0,COLUMN())&amp;","&amp;INDEX(MO_Common_QEndDate,0,COLUMN())&amp;",,,,""PRICE"",""CLOSE"")"),"N/A")</f>
        <v>N/A</v>
      </c>
      <c r="AJ698" s="239" t="str">
        <f ca="1">IFERROR(FDS(MO.Ticker.FactSet,"P_PRICE_AVG"&amp;"("&amp;INDEX(MO_SNA_FPStartDate,0,COLUMN())&amp;","&amp;INDEX(MO_Common_QEndDate,0,COLUMN())&amp;",,,,""PRICE"",""CLOSE"")"),"N/A")</f>
        <v>N/A</v>
      </c>
      <c r="AK698" s="239" t="str">
        <f ca="1">IFERROR(FDS(MO.Ticker.FactSet,"P_PRICE_AVG"&amp;"("&amp;INDEX(MO_SNA_FPStartDate,0,COLUMN())&amp;","&amp;INDEX(MO_Common_QEndDate,0,COLUMN())&amp;",,,,""PRICE"",""CLOSE"")"),"N/A")</f>
        <v>N/A</v>
      </c>
      <c r="AL698" s="239" t="str">
        <f ca="1">IFERROR(FDS(MO.Ticker.FactSet,"P_PRICE_AVG"&amp;"("&amp;INDEX(MO_SNA_FPStartDate,0,COLUMN())&amp;","&amp;INDEX(MO_Common_QEndDate,0,COLUMN())&amp;",,,,""PRICE"",""CLOSE"")"),"N/A")</f>
        <v>N/A</v>
      </c>
      <c r="AM698" s="239" t="str">
        <f ca="1">IFERROR(FDS(MO.Ticker.FactSet,"P_PRICE_AVG"&amp;"("&amp;INDEX(MO_SNA_FPStartDate,0,COLUMN())&amp;","&amp;INDEX(MO_Common_QEndDate,0,COLUMN())&amp;",,,,""PRICE"",""CLOSE"")"),"N/A")</f>
        <v>N/A</v>
      </c>
      <c r="AN698" s="239" t="str">
        <f ca="1">IFERROR(FDS(MO.Ticker.FactSet,"P_PRICE_AVG"&amp;"("&amp;INDEX(MO_SNA_FPStartDate,0,COLUMN())&amp;","&amp;INDEX(MO_Common_QEndDate,0,COLUMN())&amp;",,,,""PRICE"",""CLOSE"")"),"N/A")</f>
        <v>N/A</v>
      </c>
      <c r="AO698" s="239" t="str">
        <f ca="1">IFERROR(FDS(MO.Ticker.FactSet,"P_PRICE_AVG"&amp;"("&amp;INDEX(MO_SNA_FPStartDate,0,COLUMN())&amp;","&amp;INDEX(MO_Common_QEndDate,0,COLUMN())&amp;",,,,""PRICE"",""CLOSE"")"),"N/A")</f>
        <v>N/A</v>
      </c>
      <c r="AP698" s="239" t="str">
        <f ca="1">IFERROR(FDS(MO.Ticker.FactSet,"P_PRICE_AVG"&amp;"("&amp;INDEX(MO_SNA_FPStartDate,0,COLUMN())&amp;","&amp;INDEX(MO_Common_QEndDate,0,COLUMN())&amp;",,,,""PRICE"",""CLOSE"")"),"N/A")</f>
        <v>N/A</v>
      </c>
      <c r="AQ698" s="239" t="str">
        <f ca="1">IFERROR(FDS(MO.Ticker.FactSet,"P_PRICE_AVG"&amp;"("&amp;INDEX(MO_SNA_FPStartDate,0,COLUMN())&amp;","&amp;INDEX(MO_Common_QEndDate,0,COLUMN())&amp;",,,,""PRICE"",""CLOSE"")"),"N/A")</f>
        <v>N/A</v>
      </c>
      <c r="AR698" s="239" t="str">
        <f ca="1">IFERROR(FDS(MO.Ticker.FactSet,"P_PRICE_AVG"&amp;"("&amp;INDEX(MO_SNA_FPStartDate,0,COLUMN())&amp;","&amp;INDEX(MO_Common_QEndDate,0,COLUMN())&amp;",,,,""PRICE"",""CLOSE"")"),"N/A")</f>
        <v>N/A</v>
      </c>
      <c r="AS698" s="239" t="str">
        <f ca="1">IFERROR(FDS(MO.Ticker.FactSet,"P_PRICE_AVG"&amp;"("&amp;INDEX(MO_SNA_FPStartDate,0,COLUMN())&amp;","&amp;INDEX(MO_Common_QEndDate,0,COLUMN())&amp;",,,,""PRICE"",""CLOSE"")"),"N/A")</f>
        <v>N/A</v>
      </c>
      <c r="AT698" s="239" t="str">
        <f ca="1">IFERROR(FDS(MO.Ticker.FactSet,"P_PRICE_AVG"&amp;"("&amp;INDEX(MO_SNA_FPStartDate,0,COLUMN())&amp;","&amp;INDEX(MO_Common_QEndDate,0,COLUMN())&amp;",,,,""PRICE"",""CLOSE"")"),"N/A")</f>
        <v>N/A</v>
      </c>
      <c r="AU698" s="239" t="str">
        <f ca="1">IFERROR(FDS(MO.Ticker.FactSet,"P_PRICE_AVG"&amp;"("&amp;INDEX(MO_SNA_FPStartDate,0,COLUMN())&amp;","&amp;INDEX(MO_Common_QEndDate,0,COLUMN())&amp;",,,,""PRICE"",""CLOSE"")"),"N/A")</f>
        <v>N/A</v>
      </c>
      <c r="AV698" s="239" t="str">
        <f ca="1">IFERROR(FDS(MO.Ticker.FactSet,"P_PRICE_AVG"&amp;"("&amp;INDEX(MO_SNA_FPStartDate,0,COLUMN())&amp;","&amp;INDEX(MO_Common_QEndDate,0,COLUMN())&amp;",,,,""PRICE"",""CLOSE"")"),"N/A")</f>
        <v>N/A</v>
      </c>
      <c r="AW698" s="239" t="str">
        <f ca="1">IFERROR(FDS(MO.Ticker.FactSet,"P_PRICE_AVG"&amp;"("&amp;INDEX(MO_SNA_FPStartDate,0,COLUMN())&amp;","&amp;INDEX(MO_Common_QEndDate,0,COLUMN())&amp;",,,,""PRICE"",""CLOSE"")"),"N/A")</f>
        <v>N/A</v>
      </c>
      <c r="AX698" s="239" t="str">
        <f ca="1">IFERROR(FDS(MO.Ticker.FactSet,"P_PRICE_AVG"&amp;"("&amp;INDEX(MO_SNA_FPStartDate,0,COLUMN())&amp;","&amp;INDEX(MO_Common_QEndDate,0,COLUMN())&amp;",,,,""PRICE"",""CLOSE"")"),"N/A")</f>
        <v>N/A</v>
      </c>
      <c r="AY698" s="239"/>
      <c r="AZ698" s="240" t="str">
        <f ca="1">IFERROR(FDS(MO.Ticker.FactSet,"P_PRICE_AVG"&amp;"("&amp;INDEX(MO_SNA_FPStartDate,0,COLUMN())&amp;","&amp;INDEX(MO_Common_QEndDate,0,COLUMN())&amp;",,,,""PRICE"",""CLOSE"")"),"N/A")</f>
        <v>N/A</v>
      </c>
      <c r="BA698" s="240" t="str">
        <f ca="1">IFERROR(FDS(MO.Ticker.FactSet,"P_PRICE_AVG"&amp;"("&amp;INDEX(MO_SNA_FPStartDate,0,COLUMN())&amp;","&amp;INDEX(MO_Common_QEndDate,0,COLUMN())&amp;",,,,""PRICE"",""CLOSE"")"),"N/A")</f>
        <v>N/A</v>
      </c>
      <c r="BB698" s="239" t="str">
        <f ca="1">IFERROR(FDS(MO.Ticker.FactSet,"P_PRICE_AVG"&amp;"("&amp;INDEX(MO_SNA_FPStartDate,0,COLUMN())&amp;","&amp;INDEX(MO_Common_QEndDate,0,COLUMN())&amp;",,,,""PRICE"",""CLOSE"")"),"N/A")</f>
        <v>N/A</v>
      </c>
      <c r="BC698" s="239" t="str">
        <f ca="1">IFERROR(FDS(MO.Ticker.FactSet,"P_PRICE_AVG"&amp;"("&amp;INDEX(MO_SNA_FPStartDate,0,COLUMN())&amp;","&amp;INDEX(MO_Common_QEndDate,0,COLUMN())&amp;",,,,""PRICE"",""CLOSE"")"),"N/A")</f>
        <v>N/A</v>
      </c>
      <c r="BD698" s="239" t="str">
        <f ca="1">IFERROR(FDS(MO.Ticker.FactSet,"P_PRICE_AVG"&amp;"("&amp;INDEX(MO_SNA_FPStartDate,0,COLUMN())&amp;","&amp;INDEX(MO_Common_QEndDate,0,COLUMN())&amp;",,,,""PRICE"",""CLOSE"")"),"N/A")</f>
        <v>N/A</v>
      </c>
      <c r="BE698" s="239" t="str">
        <f ca="1">IFERROR(FDS(MO.Ticker.FactSet,"P_PRICE_AVG"&amp;"("&amp;INDEX(MO_SNA_FPStartDate,0,COLUMN())&amp;","&amp;INDEX(MO_Common_QEndDate,0,COLUMN())&amp;",,,,""PRICE"",""CLOSE"")"),"N/A")</f>
        <v>N/A</v>
      </c>
      <c r="BF698" s="239" t="str">
        <f ca="1">IFERROR(FDS(MO.Ticker.FactSet,"P_PRICE_AVG"&amp;"("&amp;INDEX(MO_SNA_FPStartDate,0,COLUMN())&amp;","&amp;INDEX(MO_Common_QEndDate,0,COLUMN())&amp;",,,,""PRICE"",""CLOSE"")"),"N/A")</f>
        <v>N/A</v>
      </c>
      <c r="BG698" s="239" t="str">
        <f ca="1">IFERROR(FDS(MO.Ticker.FactSet,"P_PRICE_AVG"&amp;"("&amp;INDEX(MO_SNA_FPStartDate,0,COLUMN())&amp;","&amp;INDEX(MO_Common_QEndDate,0,COLUMN())&amp;",,,,""PRICE"",""CLOSE"")"),"N/A")</f>
        <v>N/A</v>
      </c>
      <c r="BH698" s="239" t="str">
        <f ca="1">IFERROR(FDS(MO.Ticker.FactSet,"P_PRICE_AVG"&amp;"("&amp;INDEX(MO_SNA_FPStartDate,0,COLUMN())&amp;","&amp;INDEX(MO_Common_QEndDate,0,COLUMN())&amp;",,,,""PRICE"",""CLOSE"")"),"N/A")</f>
        <v>N/A</v>
      </c>
      <c r="BI698" s="239" t="str">
        <f ca="1">IFERROR(FDS(MO.Ticker.FactSet,"P_PRICE_AVG"&amp;"("&amp;INDEX(MO_SNA_FPStartDate,0,COLUMN())&amp;","&amp;INDEX(MO_Common_QEndDate,0,COLUMN())&amp;",,,,""PRICE"",""CLOSE"")"),"N/A")</f>
        <v>N/A</v>
      </c>
      <c r="BJ698" s="239" t="str">
        <f ca="1">IFERROR(FDS(MO.Ticker.FactSet,"P_PRICE_AVG"&amp;"("&amp;INDEX(MO_SNA_FPStartDate,0,COLUMN())&amp;","&amp;INDEX(MO_Common_QEndDate,0,COLUMN())&amp;",,,,""PRICE"",""CLOSE"")"),"N/A")</f>
        <v>N/A</v>
      </c>
      <c r="BK698" s="239" t="str">
        <f ca="1">IFERROR(FDS(MO.Ticker.FactSet,"P_PRICE_AVG"&amp;"("&amp;INDEX(MO_SNA_FPStartDate,0,COLUMN())&amp;","&amp;INDEX(MO_Common_QEndDate,0,COLUMN())&amp;",,,,""PRICE"",""CLOSE"")"),"N/A")</f>
        <v>N/A</v>
      </c>
      <c r="BL698" s="239" t="str">
        <f ca="1">IFERROR(FDS(MO.Ticker.FactSet,"P_PRICE_AVG"&amp;"("&amp;INDEX(MO_SNA_FPStartDate,0,COLUMN())&amp;","&amp;INDEX(MO_Common_QEndDate,0,COLUMN())&amp;",,,,""PRICE"",""CLOSE"")"),"N/A")</f>
        <v>N/A</v>
      </c>
      <c r="BM698" s="239" t="str">
        <f ca="1">IFERROR(FDS(MO.Ticker.FactSet,"P_PRICE_AVG"&amp;"("&amp;INDEX(MO_SNA_FPStartDate,0,COLUMN())&amp;","&amp;INDEX(MO_Common_QEndDate,0,COLUMN())&amp;",,,,""PRICE"",""CLOSE"")"),"N/A")</f>
        <v>N/A</v>
      </c>
      <c r="BN698" s="239" t="str">
        <f ca="1">IFERROR(FDS(MO.Ticker.FactSet,"P_PRICE_AVG"&amp;"("&amp;INDEX(MO_SNA_FPStartDate,0,COLUMN())&amp;","&amp;INDEX(MO_Common_QEndDate,0,COLUMN())&amp;",,,,""PRICE"",""CLOSE"")"),"N/A")</f>
        <v>N/A</v>
      </c>
      <c r="BO698" s="239" t="str">
        <f ca="1">IFERROR(FDS(MO.Ticker.FactSet,"P_PRICE_AVG"&amp;"("&amp;INDEX(MO_SNA_FPStartDate,0,COLUMN())&amp;","&amp;INDEX(MO_Common_QEndDate,0,COLUMN())&amp;",,,,""PRICE"",""CLOSE"")"),"N/A")</f>
        <v>N/A</v>
      </c>
      <c r="BP698" s="239" t="str">
        <f ca="1">IFERROR(FDS(MO.Ticker.FactSet,"P_PRICE_AVG"&amp;"("&amp;INDEX(MO_SNA_FPStartDate,0,COLUMN())&amp;","&amp;INDEX(MO_Common_QEndDate,0,COLUMN())&amp;",,,,""PRICE"",""CLOSE"")"),"N/A")</f>
        <v>N/A</v>
      </c>
      <c r="BQ698" s="239" t="str">
        <f ca="1">IFERROR(FDS(MO.Ticker.FactSet,"P_PRICE_AVG"&amp;"("&amp;INDEX(MO_SNA_FPStartDate,0,COLUMN())&amp;","&amp;INDEX(MO_Common_QEndDate,0,COLUMN())&amp;",,,,""PRICE"",""CLOSE"")"),"N/A")</f>
        <v>N/A</v>
      </c>
      <c r="BR698" s="239" t="str">
        <f ca="1">IFERROR(FDS(MO.Ticker.FactSet,"P_PRICE_AVG"&amp;"("&amp;INDEX(MO_SNA_FPStartDate,0,COLUMN())&amp;","&amp;INDEX(MO_Common_QEndDate,0,COLUMN())&amp;",,,,""PRICE"",""CLOSE"")"),"N/A")</f>
        <v>N/A</v>
      </c>
      <c r="BS698" s="241" t="str">
        <f ca="1">IFERROR(FDS(MO.Ticker.FactSet,"P_PRICE_AVG"&amp;"("&amp;INDEX(MO_SNA_FPStartDate,0,COLUMN())&amp;","&amp;INDEX(MO_Common_QEndDate,0,COLUMN())&amp;",,,,""PRICE"",""CLOSE"")"),"N/A")</f>
        <v>N/A</v>
      </c>
      <c r="BT698" s="274"/>
    </row>
    <row r="699" spans="1:72" s="242" customFormat="1" hidden="1" outlineLevel="1" x14ac:dyDescent="0.35">
      <c r="A699" s="243" t="s">
        <v>497</v>
      </c>
      <c r="B699" s="239"/>
      <c r="C699" s="239" t="str">
        <f ca="1">IFERROR(_xll.TR(MO.Ticker.Thomson,"AVG(TR.Priceclose)","sdate:#1 edate:#2",,INDEX(MO_SNA_FPStartDate,0,COLUMN()),INDEX(MO_Common_QEndDate,0,COLUMN())),"N/A")</f>
        <v>N/A</v>
      </c>
      <c r="D699" s="239" t="str">
        <f ca="1">IFERROR(_xll.TR(MO.Ticker.Thomson,"AVG(TR.Priceclose)","sdate:#1 edate:#2",,INDEX(MO_SNA_FPStartDate,0,COLUMN()),INDEX(MO_Common_QEndDate,0,COLUMN())),"N/A")</f>
        <v>N/A</v>
      </c>
      <c r="E699" s="239" t="str">
        <f ca="1">IFERROR(_xll.TR(MO.Ticker.Thomson,"AVG(TR.Priceclose)","sdate:#1 edate:#2",,INDEX(MO_SNA_FPStartDate,0,COLUMN()),INDEX(MO_Common_QEndDate,0,COLUMN())),"N/A")</f>
        <v>N/A</v>
      </c>
      <c r="F699" s="239" t="str">
        <f ca="1">IFERROR(_xll.TR(MO.Ticker.Thomson,"AVG(TR.Priceclose)","sdate:#1 edate:#2",,INDEX(MO_SNA_FPStartDate,0,COLUMN()),INDEX(MO_Common_QEndDate,0,COLUMN())),"N/A")</f>
        <v>N/A</v>
      </c>
      <c r="G699" s="239" t="str">
        <f ca="1">IFERROR(_xll.TR(MO.Ticker.Thomson,"AVG(TR.Priceclose)","sdate:#1 edate:#2",,INDEX(MO_SNA_FPStartDate,0,COLUMN()),INDEX(MO_Common_QEndDate,0,COLUMN())),"N/A")</f>
        <v>N/A</v>
      </c>
      <c r="H699" s="239" t="str">
        <f ca="1">IFERROR(_xll.TR(MO.Ticker.Thomson,"AVG(TR.Priceclose)","sdate:#1 edate:#2",,INDEX(MO_SNA_FPStartDate,0,COLUMN()),INDEX(MO_Common_QEndDate,0,COLUMN())),"N/A")</f>
        <v>N/A</v>
      </c>
      <c r="I699" s="239" t="str">
        <f ca="1">IFERROR(_xll.TR(MO.Ticker.Thomson,"AVG(TR.Priceclose)","sdate:#1 edate:#2",,INDEX(MO_SNA_FPStartDate,0,COLUMN()),INDEX(MO_Common_QEndDate,0,COLUMN())),"N/A")</f>
        <v>N/A</v>
      </c>
      <c r="J699" s="239" t="str">
        <f ca="1">IFERROR(_xll.TR(MO.Ticker.Thomson,"AVG(TR.Priceclose)","sdate:#1 edate:#2",,INDEX(MO_SNA_FPStartDate,0,COLUMN()),INDEX(MO_Common_QEndDate,0,COLUMN())),"N/A")</f>
        <v>N/A</v>
      </c>
      <c r="K699" s="239" t="str">
        <f ca="1">IFERROR(_xll.TR(MO.Ticker.Thomson,"AVG(TR.Priceclose)","sdate:#1 edate:#2",,INDEX(MO_SNA_FPStartDate,0,COLUMN()),INDEX(MO_Common_QEndDate,0,COLUMN())),"N/A")</f>
        <v>N/A</v>
      </c>
      <c r="L699" s="239" t="str">
        <f ca="1">IFERROR(_xll.TR(MO.Ticker.Thomson,"AVG(TR.Priceclose)","sdate:#1 edate:#2",,INDEX(MO_SNA_FPStartDate,0,COLUMN()),INDEX(MO_Common_QEndDate,0,COLUMN())),"N/A")</f>
        <v>N/A</v>
      </c>
      <c r="M699" s="239" t="str">
        <f ca="1">IFERROR(_xll.TR(MO.Ticker.Thomson,"AVG(TR.Priceclose)","sdate:#1 edate:#2",,INDEX(MO_SNA_FPStartDate,0,COLUMN()),INDEX(MO_Common_QEndDate,0,COLUMN())),"N/A")</f>
        <v>N/A</v>
      </c>
      <c r="N699" s="239" t="str">
        <f ca="1">IFERROR(_xll.TR(MO.Ticker.Thomson,"AVG(TR.Priceclose)","sdate:#1 edate:#2",,INDEX(MO_SNA_FPStartDate,0,COLUMN()),INDEX(MO_Common_QEndDate,0,COLUMN())),"N/A")</f>
        <v>N/A</v>
      </c>
      <c r="O699" s="239" t="str">
        <f ca="1">IFERROR(_xll.TR(MO.Ticker.Thomson,"AVG(TR.Priceclose)","sdate:#1 edate:#2",,INDEX(MO_SNA_FPStartDate,0,COLUMN()),INDEX(MO_Common_QEndDate,0,COLUMN())),"N/A")</f>
        <v>N/A</v>
      </c>
      <c r="P699" s="239" t="str">
        <f ca="1">IFERROR(_xll.TR(MO.Ticker.Thomson,"AVG(TR.Priceclose)","sdate:#1 edate:#2",,INDEX(MO_SNA_FPStartDate,0,COLUMN()),INDEX(MO_Common_QEndDate,0,COLUMN())),"N/A")</f>
        <v>N/A</v>
      </c>
      <c r="Q699" s="239" t="str">
        <f ca="1">IFERROR(_xll.TR(MO.Ticker.Thomson,"AVG(TR.Priceclose)","sdate:#1 edate:#2",,INDEX(MO_SNA_FPStartDate,0,COLUMN()),INDEX(MO_Common_QEndDate,0,COLUMN())),"N/A")</f>
        <v>N/A</v>
      </c>
      <c r="R699" s="239" t="str">
        <f ca="1">IFERROR(_xll.TR(MO.Ticker.Thomson,"AVG(TR.Priceclose)","sdate:#1 edate:#2",,INDEX(MO_SNA_FPStartDate,0,COLUMN()),INDEX(MO_Common_QEndDate,0,COLUMN())),"N/A")</f>
        <v>N/A</v>
      </c>
      <c r="S699" s="239" t="str">
        <f ca="1">IFERROR(_xll.TR(MO.Ticker.Thomson,"AVG(TR.Priceclose)","sdate:#1 edate:#2",,INDEX(MO_SNA_FPStartDate,0,COLUMN()),INDEX(MO_Common_QEndDate,0,COLUMN())),"N/A")</f>
        <v>N/A</v>
      </c>
      <c r="T699" s="239" t="str">
        <f ca="1">IFERROR(_xll.TR(MO.Ticker.Thomson,"AVG(TR.Priceclose)","sdate:#1 edate:#2",,INDEX(MO_SNA_FPStartDate,0,COLUMN()),INDEX(MO_Common_QEndDate,0,COLUMN())),"N/A")</f>
        <v>N/A</v>
      </c>
      <c r="U699" s="239" t="str">
        <f ca="1">IFERROR(_xll.TR(MO.Ticker.Thomson,"AVG(TR.Priceclose)","sdate:#1 edate:#2",,INDEX(MO_SNA_FPStartDate,0,COLUMN()),INDEX(MO_Common_QEndDate,0,COLUMN())),"N/A")</f>
        <v>N/A</v>
      </c>
      <c r="V699" s="239" t="str">
        <f ca="1">IFERROR(_xll.TR(MO.Ticker.Thomson,"AVG(TR.Priceclose)","sdate:#1 edate:#2",,INDEX(MO_SNA_FPStartDate,0,COLUMN()),INDEX(MO_Common_QEndDate,0,COLUMN())),"N/A")</f>
        <v>N/A</v>
      </c>
      <c r="W699" s="239" t="str">
        <f ca="1">IFERROR(_xll.TR(MO.Ticker.Thomson,"AVG(TR.Priceclose)","sdate:#1 edate:#2",,INDEX(MO_SNA_FPStartDate,0,COLUMN()),INDEX(MO_Common_QEndDate,0,COLUMN())),"N/A")</f>
        <v>N/A</v>
      </c>
      <c r="X699" s="239" t="str">
        <f ca="1">IFERROR(_xll.TR(MO.Ticker.Thomson,"AVG(TR.Priceclose)","sdate:#1 edate:#2",,INDEX(MO_SNA_FPStartDate,0,COLUMN()),INDEX(MO_Common_QEndDate,0,COLUMN())),"N/A")</f>
        <v>N/A</v>
      </c>
      <c r="Y699" s="239" t="str">
        <f ca="1">IFERROR(_xll.TR(MO.Ticker.Thomson,"AVG(TR.Priceclose)","sdate:#1 edate:#2",,INDEX(MO_SNA_FPStartDate,0,COLUMN()),INDEX(MO_Common_QEndDate,0,COLUMN())),"N/A")</f>
        <v>N/A</v>
      </c>
      <c r="Z699" s="239" t="str">
        <f ca="1">IFERROR(_xll.TR(MO.Ticker.Thomson,"AVG(TR.Priceclose)","sdate:#1 edate:#2",,INDEX(MO_SNA_FPStartDate,0,COLUMN()),INDEX(MO_Common_QEndDate,0,COLUMN())),"N/A")</f>
        <v>N/A</v>
      </c>
      <c r="AA699" s="239" t="str">
        <f ca="1">IFERROR(_xll.TR(MO.Ticker.Thomson,"AVG(TR.Priceclose)","sdate:#1 edate:#2",,INDEX(MO_SNA_FPStartDate,0,COLUMN()),INDEX(MO_Common_QEndDate,0,COLUMN())),"N/A")</f>
        <v>N/A</v>
      </c>
      <c r="AB699" s="239" t="str">
        <f ca="1">IFERROR(_xll.TR(MO.Ticker.Thomson,"AVG(TR.Priceclose)","sdate:#1 edate:#2",,INDEX(MO_SNA_FPStartDate,0,COLUMN()),INDEX(MO_Common_QEndDate,0,COLUMN())),"N/A")</f>
        <v>N/A</v>
      </c>
      <c r="AC699" s="239" t="str">
        <f ca="1">IFERROR(_xll.TR(MO.Ticker.Thomson,"AVG(TR.Priceclose)","sdate:#1 edate:#2",,INDEX(MO_SNA_FPStartDate,0,COLUMN()),INDEX(MO_Common_QEndDate,0,COLUMN())),"N/A")</f>
        <v>N/A</v>
      </c>
      <c r="AD699" s="239" t="str">
        <f ca="1">IFERROR(_xll.TR(MO.Ticker.Thomson,"AVG(TR.Priceclose)","sdate:#1 edate:#2",,INDEX(MO_SNA_FPStartDate,0,COLUMN()),INDEX(MO_Common_QEndDate,0,COLUMN())),"N/A")</f>
        <v>N/A</v>
      </c>
      <c r="AE699" s="239" t="str">
        <f ca="1">IFERROR(_xll.TR(MO.Ticker.Thomson,"AVG(TR.Priceclose)","sdate:#1 edate:#2",,INDEX(MO_SNA_FPStartDate,0,COLUMN()),INDEX(MO_Common_QEndDate,0,COLUMN())),"N/A")</f>
        <v>N/A</v>
      </c>
      <c r="AF699" s="239" t="str">
        <f ca="1">IFERROR(_xll.TR(MO.Ticker.Thomson,"AVG(TR.Priceclose)","sdate:#1 edate:#2",,INDEX(MO_SNA_FPStartDate,0,COLUMN()),INDEX(MO_Common_QEndDate,0,COLUMN())),"N/A")</f>
        <v>N/A</v>
      </c>
      <c r="AG699" s="239" t="str">
        <f ca="1">IFERROR(_xll.TR(MO.Ticker.Thomson,"AVG(TR.Priceclose)","sdate:#1 edate:#2",,INDEX(MO_SNA_FPStartDate,0,COLUMN()),INDEX(MO_Common_QEndDate,0,COLUMN())),"N/A")</f>
        <v>N/A</v>
      </c>
      <c r="AH699" s="239" t="str">
        <f ca="1">IFERROR(_xll.TR(MO.Ticker.Thomson,"AVG(TR.Priceclose)","sdate:#1 edate:#2",,INDEX(MO_SNA_FPStartDate,0,COLUMN()),INDEX(MO_Common_QEndDate,0,COLUMN())),"N/A")</f>
        <v>N/A</v>
      </c>
      <c r="AI699" s="239" t="str">
        <f ca="1">IFERROR(_xll.TR(MO.Ticker.Thomson,"AVG(TR.Priceclose)","sdate:#1 edate:#2",,INDEX(MO_SNA_FPStartDate,0,COLUMN()),INDEX(MO_Common_QEndDate,0,COLUMN())),"N/A")</f>
        <v>N/A</v>
      </c>
      <c r="AJ699" s="239" t="str">
        <f ca="1">IFERROR(_xll.TR(MO.Ticker.Thomson,"AVG(TR.Priceclose)","sdate:#1 edate:#2",,INDEX(MO_SNA_FPStartDate,0,COLUMN()),INDEX(MO_Common_QEndDate,0,COLUMN())),"N/A")</f>
        <v>N/A</v>
      </c>
      <c r="AK699" s="239" t="str">
        <f ca="1">IFERROR(_xll.TR(MO.Ticker.Thomson,"AVG(TR.Priceclose)","sdate:#1 edate:#2",,INDEX(MO_SNA_FPStartDate,0,COLUMN()),INDEX(MO_Common_QEndDate,0,COLUMN())),"N/A")</f>
        <v>N/A</v>
      </c>
      <c r="AL699" s="239" t="str">
        <f ca="1">IFERROR(_xll.TR(MO.Ticker.Thomson,"AVG(TR.Priceclose)","sdate:#1 edate:#2",,INDEX(MO_SNA_FPStartDate,0,COLUMN()),INDEX(MO_Common_QEndDate,0,COLUMN())),"N/A")</f>
        <v>N/A</v>
      </c>
      <c r="AM699" s="239" t="str">
        <f ca="1">IFERROR(_xll.TR(MO.Ticker.Thomson,"AVG(TR.Priceclose)","sdate:#1 edate:#2",,INDEX(MO_SNA_FPStartDate,0,COLUMN()),INDEX(MO_Common_QEndDate,0,COLUMN())),"N/A")</f>
        <v>N/A</v>
      </c>
      <c r="AN699" s="239" t="str">
        <f ca="1">IFERROR(_xll.TR(MO.Ticker.Thomson,"AVG(TR.Priceclose)","sdate:#1 edate:#2",,INDEX(MO_SNA_FPStartDate,0,COLUMN()),INDEX(MO_Common_QEndDate,0,COLUMN())),"N/A")</f>
        <v>N/A</v>
      </c>
      <c r="AO699" s="239" t="str">
        <f ca="1">IFERROR(_xll.TR(MO.Ticker.Thomson,"AVG(TR.Priceclose)","sdate:#1 edate:#2",,INDEX(MO_SNA_FPStartDate,0,COLUMN()),INDEX(MO_Common_QEndDate,0,COLUMN())),"N/A")</f>
        <v>N/A</v>
      </c>
      <c r="AP699" s="239" t="str">
        <f ca="1">IFERROR(_xll.TR(MO.Ticker.Thomson,"AVG(TR.Priceclose)","sdate:#1 edate:#2",,INDEX(MO_SNA_FPStartDate,0,COLUMN()),INDEX(MO_Common_QEndDate,0,COLUMN())),"N/A")</f>
        <v>N/A</v>
      </c>
      <c r="AQ699" s="239" t="str">
        <f ca="1">IFERROR(_xll.TR(MO.Ticker.Thomson,"AVG(TR.Priceclose)","sdate:#1 edate:#2",,INDEX(MO_SNA_FPStartDate,0,COLUMN()),INDEX(MO_Common_QEndDate,0,COLUMN())),"N/A")</f>
        <v>N/A</v>
      </c>
      <c r="AR699" s="239" t="str">
        <f ca="1">IFERROR(_xll.TR(MO.Ticker.Thomson,"AVG(TR.Priceclose)","sdate:#1 edate:#2",,INDEX(MO_SNA_FPStartDate,0,COLUMN()),INDEX(MO_Common_QEndDate,0,COLUMN())),"N/A")</f>
        <v>N/A</v>
      </c>
      <c r="AS699" s="239" t="str">
        <f ca="1">IFERROR(_xll.TR(MO.Ticker.Thomson,"AVG(TR.Priceclose)","sdate:#1 edate:#2",,INDEX(MO_SNA_FPStartDate,0,COLUMN()),INDEX(MO_Common_QEndDate,0,COLUMN())),"N/A")</f>
        <v>N/A</v>
      </c>
      <c r="AT699" s="239" t="str">
        <f ca="1">IFERROR(_xll.TR(MO.Ticker.Thomson,"AVG(TR.Priceclose)","sdate:#1 edate:#2",,INDEX(MO_SNA_FPStartDate,0,COLUMN()),INDEX(MO_Common_QEndDate,0,COLUMN())),"N/A")</f>
        <v>N/A</v>
      </c>
      <c r="AU699" s="239" t="str">
        <f ca="1">IFERROR(_xll.TR(MO.Ticker.Thomson,"AVG(TR.Priceclose)","sdate:#1 edate:#2",,INDEX(MO_SNA_FPStartDate,0,COLUMN()),INDEX(MO_Common_QEndDate,0,COLUMN())),"N/A")</f>
        <v>N/A</v>
      </c>
      <c r="AV699" s="239" t="str">
        <f ca="1">IFERROR(_xll.TR(MO.Ticker.Thomson,"AVG(TR.Priceclose)","sdate:#1 edate:#2",,INDEX(MO_SNA_FPStartDate,0,COLUMN()),INDEX(MO_Common_QEndDate,0,COLUMN())),"N/A")</f>
        <v>N/A</v>
      </c>
      <c r="AW699" s="239" t="str">
        <f ca="1">IFERROR(_xll.TR(MO.Ticker.Thomson,"AVG(TR.Priceclose)","sdate:#1 edate:#2",,INDEX(MO_SNA_FPStartDate,0,COLUMN()),INDEX(MO_Common_QEndDate,0,COLUMN())),"N/A")</f>
        <v>N/A</v>
      </c>
      <c r="AX699" s="239" t="str">
        <f ca="1">IFERROR(_xll.TR(MO.Ticker.Thomson,"AVG(TR.Priceclose)","sdate:#1 edate:#2",,INDEX(MO_SNA_FPStartDate,0,COLUMN()),INDEX(MO_Common_QEndDate,0,COLUMN())),"N/A")</f>
        <v>N/A</v>
      </c>
      <c r="AY699" s="239"/>
      <c r="AZ699" s="240" t="str">
        <f ca="1">IFERROR(_xll.TR(MO.Ticker.Thomson,"AVG(TR.Priceclose)","sdate:#1 edate:#2",,INDEX(MO_SNA_FPStartDate,0,COLUMN()),INDEX(MO_Common_QEndDate,0,COLUMN())),"N/A")</f>
        <v>N/A</v>
      </c>
      <c r="BA699" s="240" t="str">
        <f ca="1">IFERROR(_xll.TR(MO.Ticker.Thomson,"AVG(TR.Priceclose)","sdate:#1 edate:#2",,INDEX(MO_SNA_FPStartDate,0,COLUMN()),INDEX(MO_Common_QEndDate,0,COLUMN())),"N/A")</f>
        <v>N/A</v>
      </c>
      <c r="BB699" s="239" t="str">
        <f ca="1">IFERROR(_xll.TR(MO.Ticker.Thomson,"AVG(TR.Priceclose)","sdate:#1 edate:#2",,INDEX(MO_SNA_FPStartDate,0,COLUMN()),INDEX(MO_Common_QEndDate,0,COLUMN())),"N/A")</f>
        <v>N/A</v>
      </c>
      <c r="BC699" s="239" t="str">
        <f ca="1">IFERROR(_xll.TR(MO.Ticker.Thomson,"AVG(TR.Priceclose)","sdate:#1 edate:#2",,INDEX(MO_SNA_FPStartDate,0,COLUMN()),INDEX(MO_Common_QEndDate,0,COLUMN())),"N/A")</f>
        <v>N/A</v>
      </c>
      <c r="BD699" s="239" t="str">
        <f ca="1">IFERROR(_xll.TR(MO.Ticker.Thomson,"AVG(TR.Priceclose)","sdate:#1 edate:#2",,INDEX(MO_SNA_FPStartDate,0,COLUMN()),INDEX(MO_Common_QEndDate,0,COLUMN())),"N/A")</f>
        <v>N/A</v>
      </c>
      <c r="BE699" s="239" t="str">
        <f ca="1">IFERROR(_xll.TR(MO.Ticker.Thomson,"AVG(TR.Priceclose)","sdate:#1 edate:#2",,INDEX(MO_SNA_FPStartDate,0,COLUMN()),INDEX(MO_Common_QEndDate,0,COLUMN())),"N/A")</f>
        <v>N/A</v>
      </c>
      <c r="BF699" s="239" t="str">
        <f ca="1">IFERROR(_xll.TR(MO.Ticker.Thomson,"AVG(TR.Priceclose)","sdate:#1 edate:#2",,INDEX(MO_SNA_FPStartDate,0,COLUMN()),INDEX(MO_Common_QEndDate,0,COLUMN())),"N/A")</f>
        <v>N/A</v>
      </c>
      <c r="BG699" s="239" t="str">
        <f ca="1">IFERROR(_xll.TR(MO.Ticker.Thomson,"AVG(TR.Priceclose)","sdate:#1 edate:#2",,INDEX(MO_SNA_FPStartDate,0,COLUMN()),INDEX(MO_Common_QEndDate,0,COLUMN())),"N/A")</f>
        <v>N/A</v>
      </c>
      <c r="BH699" s="239" t="str">
        <f ca="1">IFERROR(_xll.TR(MO.Ticker.Thomson,"AVG(TR.Priceclose)","sdate:#1 edate:#2",,INDEX(MO_SNA_FPStartDate,0,COLUMN()),INDEX(MO_Common_QEndDate,0,COLUMN())),"N/A")</f>
        <v>N/A</v>
      </c>
      <c r="BI699" s="239" t="str">
        <f ca="1">IFERROR(_xll.TR(MO.Ticker.Thomson,"AVG(TR.Priceclose)","sdate:#1 edate:#2",,INDEX(MO_SNA_FPStartDate,0,COLUMN()),INDEX(MO_Common_QEndDate,0,COLUMN())),"N/A")</f>
        <v>N/A</v>
      </c>
      <c r="BJ699" s="239" t="str">
        <f ca="1">IFERROR(_xll.TR(MO.Ticker.Thomson,"AVG(TR.Priceclose)","sdate:#1 edate:#2",,INDEX(MO_SNA_FPStartDate,0,COLUMN()),INDEX(MO_Common_QEndDate,0,COLUMN())),"N/A")</f>
        <v>N/A</v>
      </c>
      <c r="BK699" s="239" t="str">
        <f ca="1">IFERROR(_xll.TR(MO.Ticker.Thomson,"AVG(TR.Priceclose)","sdate:#1 edate:#2",,INDEX(MO_SNA_FPStartDate,0,COLUMN()),INDEX(MO_Common_QEndDate,0,COLUMN())),"N/A")</f>
        <v>N/A</v>
      </c>
      <c r="BL699" s="239" t="str">
        <f ca="1">IFERROR(_xll.TR(MO.Ticker.Thomson,"AVG(TR.Priceclose)","sdate:#1 edate:#2",,INDEX(MO_SNA_FPStartDate,0,COLUMN()),INDEX(MO_Common_QEndDate,0,COLUMN())),"N/A")</f>
        <v>N/A</v>
      </c>
      <c r="BM699" s="239" t="str">
        <f ca="1">IFERROR(_xll.TR(MO.Ticker.Thomson,"AVG(TR.Priceclose)","sdate:#1 edate:#2",,INDEX(MO_SNA_FPStartDate,0,COLUMN()),INDEX(MO_Common_QEndDate,0,COLUMN())),"N/A")</f>
        <v>N/A</v>
      </c>
      <c r="BN699" s="239" t="str">
        <f ca="1">IFERROR(_xll.TR(MO.Ticker.Thomson,"AVG(TR.Priceclose)","sdate:#1 edate:#2",,INDEX(MO_SNA_FPStartDate,0,COLUMN()),INDEX(MO_Common_QEndDate,0,COLUMN())),"N/A")</f>
        <v>N/A</v>
      </c>
      <c r="BO699" s="239" t="str">
        <f ca="1">IFERROR(_xll.TR(MO.Ticker.Thomson,"AVG(TR.Priceclose)","sdate:#1 edate:#2",,INDEX(MO_SNA_FPStartDate,0,COLUMN()),INDEX(MO_Common_QEndDate,0,COLUMN())),"N/A")</f>
        <v>N/A</v>
      </c>
      <c r="BP699" s="239" t="str">
        <f ca="1">IFERROR(_xll.TR(MO.Ticker.Thomson,"AVG(TR.Priceclose)","sdate:#1 edate:#2",,INDEX(MO_SNA_FPStartDate,0,COLUMN()),INDEX(MO_Common_QEndDate,0,COLUMN())),"N/A")</f>
        <v>N/A</v>
      </c>
      <c r="BQ699" s="239" t="str">
        <f ca="1">IFERROR(_xll.TR(MO.Ticker.Thomson,"AVG(TR.Priceclose)","sdate:#1 edate:#2",,INDEX(MO_SNA_FPStartDate,0,COLUMN()),INDEX(MO_Common_QEndDate,0,COLUMN())),"N/A")</f>
        <v>N/A</v>
      </c>
      <c r="BR699" s="239" t="str">
        <f ca="1">IFERROR(_xll.TR(MO.Ticker.Thomson,"AVG(TR.Priceclose)","sdate:#1 edate:#2",,INDEX(MO_SNA_FPStartDate,0,COLUMN()),INDEX(MO_Common_QEndDate,0,COLUMN())),"N/A")</f>
        <v>N/A</v>
      </c>
      <c r="BS699" s="241" t="str">
        <f ca="1">IFERROR(_xll.TR(MO.Ticker.Thomson,"AVG(TR.Priceclose)","sdate:#1 edate:#2",,INDEX(MO_SNA_FPStartDate,0,COLUMN()),INDEX(MO_Common_QEndDate,0,COLUMN())),"N/A")</f>
        <v>N/A</v>
      </c>
      <c r="BT699" s="274"/>
    </row>
    <row r="700" spans="1:72" s="17" customFormat="1" hidden="1" outlineLevel="1" x14ac:dyDescent="0.35">
      <c r="A700" s="139"/>
      <c r="B700" s="532"/>
      <c r="C700" s="532"/>
      <c r="D700" s="532"/>
      <c r="E700" s="532"/>
      <c r="F700" s="532"/>
      <c r="G700" s="532"/>
      <c r="H700" s="532"/>
      <c r="I700" s="532"/>
      <c r="J700" s="532"/>
      <c r="K700" s="532"/>
      <c r="L700" s="532"/>
      <c r="M700" s="532"/>
      <c r="N700" s="532"/>
      <c r="O700" s="532"/>
      <c r="P700" s="532"/>
      <c r="Q700" s="532"/>
      <c r="R700" s="532"/>
      <c r="S700" s="532"/>
      <c r="T700" s="532"/>
      <c r="U700" s="532"/>
      <c r="V700" s="532"/>
      <c r="W700" s="532"/>
      <c r="X700" s="532"/>
      <c r="Y700" s="532"/>
      <c r="Z700" s="532"/>
      <c r="AA700" s="532"/>
      <c r="AB700" s="532"/>
      <c r="AC700" s="532"/>
      <c r="AD700" s="532"/>
      <c r="AE700" s="532"/>
      <c r="AF700" s="532"/>
      <c r="AG700" s="532"/>
      <c r="AH700" s="532"/>
      <c r="AI700" s="532"/>
      <c r="AJ700" s="532"/>
      <c r="AK700" s="532"/>
      <c r="AL700" s="532"/>
      <c r="AM700" s="532"/>
      <c r="AN700" s="532"/>
      <c r="AO700" s="532"/>
      <c r="AP700" s="532"/>
      <c r="AQ700" s="532"/>
      <c r="AR700" s="532"/>
      <c r="AS700" s="532"/>
      <c r="AT700" s="532"/>
      <c r="AU700" s="532"/>
      <c r="AV700" s="532"/>
      <c r="AW700" s="532"/>
      <c r="AX700" s="532"/>
      <c r="AY700" s="532"/>
      <c r="AZ700" s="115"/>
      <c r="BA700" s="115"/>
      <c r="BB700" s="532"/>
      <c r="BC700" s="532"/>
      <c r="BD700" s="532"/>
      <c r="BE700" s="532"/>
      <c r="BF700" s="532"/>
      <c r="BG700" s="532"/>
      <c r="BH700" s="532"/>
      <c r="BI700" s="532"/>
      <c r="BJ700" s="532"/>
      <c r="BK700" s="532"/>
      <c r="BL700" s="532"/>
      <c r="BM700" s="532"/>
      <c r="BN700" s="532"/>
      <c r="BO700" s="532"/>
      <c r="BP700" s="532"/>
      <c r="BQ700" s="532"/>
      <c r="BR700" s="532"/>
      <c r="BS700" s="138"/>
      <c r="BT700" s="273"/>
    </row>
    <row r="701" spans="1:72" s="246" customFormat="1" collapsed="1" x14ac:dyDescent="0.35">
      <c r="A701" s="244" t="str">
        <f ca="1">"FX Average: "&amp;IF(OR(MO.RealTimeStockPriceToggle=FALSE,VLOOKUP(MO.DataSourceName,MO_SPT_FXAverage_Sources,COLUMN()+2,FALSE)="N/A"),"Real-Time Off Source",MO.DataSourceName)</f>
        <v>FX Average: Real-Time Off Source</v>
      </c>
      <c r="B701" s="438"/>
      <c r="C701" s="438">
        <f t="shared" ref="C701:AH701" ca="1" si="883">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D701" s="438">
        <f t="shared" ca="1" si="883"/>
        <v>1</v>
      </c>
      <c r="E701" s="438">
        <f t="shared" ca="1" si="883"/>
        <v>1</v>
      </c>
      <c r="F701" s="438">
        <f t="shared" ca="1" si="883"/>
        <v>1</v>
      </c>
      <c r="G701" s="438">
        <f t="shared" ca="1" si="883"/>
        <v>1</v>
      </c>
      <c r="H701" s="438">
        <f t="shared" ca="1" si="883"/>
        <v>1</v>
      </c>
      <c r="I701" s="438">
        <f t="shared" ca="1" si="883"/>
        <v>1</v>
      </c>
      <c r="J701" s="438">
        <f t="shared" ca="1" si="883"/>
        <v>1</v>
      </c>
      <c r="K701" s="438">
        <f t="shared" ca="1" si="883"/>
        <v>1</v>
      </c>
      <c r="L701" s="438">
        <f t="shared" ca="1" si="883"/>
        <v>1</v>
      </c>
      <c r="M701" s="438">
        <f t="shared" ca="1" si="883"/>
        <v>1</v>
      </c>
      <c r="N701" s="438">
        <f t="shared" ca="1" si="883"/>
        <v>1</v>
      </c>
      <c r="O701" s="438">
        <f t="shared" ca="1" si="883"/>
        <v>1</v>
      </c>
      <c r="P701" s="438">
        <f t="shared" ca="1" si="883"/>
        <v>1</v>
      </c>
      <c r="Q701" s="438">
        <f t="shared" ca="1" si="883"/>
        <v>1</v>
      </c>
      <c r="R701" s="438">
        <f t="shared" ca="1" si="883"/>
        <v>1</v>
      </c>
      <c r="S701" s="438">
        <f t="shared" ca="1" si="883"/>
        <v>1</v>
      </c>
      <c r="T701" s="438">
        <f t="shared" ca="1" si="883"/>
        <v>1</v>
      </c>
      <c r="U701" s="438">
        <f t="shared" ca="1" si="883"/>
        <v>1</v>
      </c>
      <c r="V701" s="438">
        <f t="shared" ca="1" si="883"/>
        <v>1</v>
      </c>
      <c r="W701" s="438">
        <f t="shared" ca="1" si="883"/>
        <v>1</v>
      </c>
      <c r="X701" s="438">
        <f t="shared" ca="1" si="883"/>
        <v>1</v>
      </c>
      <c r="Y701" s="438">
        <f t="shared" ca="1" si="883"/>
        <v>1</v>
      </c>
      <c r="Z701" s="438">
        <f t="shared" ca="1" si="883"/>
        <v>1</v>
      </c>
      <c r="AA701" s="438">
        <f t="shared" ca="1" si="883"/>
        <v>1</v>
      </c>
      <c r="AB701" s="438">
        <f t="shared" ca="1" si="883"/>
        <v>1</v>
      </c>
      <c r="AC701" s="438">
        <f t="shared" ca="1" si="883"/>
        <v>1</v>
      </c>
      <c r="AD701" s="438">
        <f t="shared" ca="1" si="883"/>
        <v>1</v>
      </c>
      <c r="AE701" s="438">
        <f t="shared" ca="1" si="883"/>
        <v>1</v>
      </c>
      <c r="AF701" s="438">
        <f t="shared" ca="1" si="883"/>
        <v>1</v>
      </c>
      <c r="AG701" s="438">
        <f t="shared" ca="1" si="883"/>
        <v>1</v>
      </c>
      <c r="AH701" s="438">
        <f t="shared" ca="1" si="883"/>
        <v>1</v>
      </c>
      <c r="AI701" s="438">
        <f t="shared" ref="AI701:AX701" ca="1" si="884">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AJ701" s="438">
        <f t="shared" ca="1" si="884"/>
        <v>1</v>
      </c>
      <c r="AK701" s="438">
        <f t="shared" ca="1" si="884"/>
        <v>1</v>
      </c>
      <c r="AL701" s="438">
        <f t="shared" ca="1" si="884"/>
        <v>1</v>
      </c>
      <c r="AM701" s="438">
        <f t="shared" ca="1" si="884"/>
        <v>1</v>
      </c>
      <c r="AN701" s="438">
        <f t="shared" ca="1" si="884"/>
        <v>1</v>
      </c>
      <c r="AO701" s="438">
        <f t="shared" ca="1" si="884"/>
        <v>1</v>
      </c>
      <c r="AP701" s="438">
        <f t="shared" ca="1" si="884"/>
        <v>1</v>
      </c>
      <c r="AQ701" s="438">
        <f t="shared" ca="1" si="884"/>
        <v>1</v>
      </c>
      <c r="AR701" s="438">
        <f t="shared" ca="1" si="884"/>
        <v>1</v>
      </c>
      <c r="AS701" s="438">
        <f t="shared" ca="1" si="884"/>
        <v>1</v>
      </c>
      <c r="AT701" s="438">
        <f t="shared" ca="1" si="884"/>
        <v>1</v>
      </c>
      <c r="AU701" s="438">
        <f t="shared" ca="1" si="884"/>
        <v>1</v>
      </c>
      <c r="AV701" s="438">
        <f t="shared" ca="1" si="884"/>
        <v>1</v>
      </c>
      <c r="AW701" s="438">
        <f t="shared" ca="1" si="884"/>
        <v>1</v>
      </c>
      <c r="AX701" s="438">
        <f t="shared" ca="1" si="884"/>
        <v>1</v>
      </c>
      <c r="AY701" s="438"/>
      <c r="AZ701" s="437">
        <f t="shared" ref="AZ701:BS701" ca="1" si="885">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BA701" s="437">
        <f t="shared" ca="1" si="885"/>
        <v>1</v>
      </c>
      <c r="BB701" s="438">
        <f t="shared" ca="1" si="885"/>
        <v>1</v>
      </c>
      <c r="BC701" s="438">
        <f t="shared" ca="1" si="885"/>
        <v>1</v>
      </c>
      <c r="BD701" s="438">
        <f t="shared" ca="1" si="885"/>
        <v>1</v>
      </c>
      <c r="BE701" s="438">
        <f t="shared" ca="1" si="885"/>
        <v>1</v>
      </c>
      <c r="BF701" s="438">
        <f t="shared" ca="1" si="885"/>
        <v>1</v>
      </c>
      <c r="BG701" s="438">
        <f t="shared" ca="1" si="885"/>
        <v>1</v>
      </c>
      <c r="BH701" s="438">
        <f t="shared" ca="1" si="885"/>
        <v>1</v>
      </c>
      <c r="BI701" s="438">
        <f t="shared" ca="1" si="885"/>
        <v>1</v>
      </c>
      <c r="BJ701" s="438">
        <f t="shared" ca="1" si="885"/>
        <v>1</v>
      </c>
      <c r="BK701" s="438">
        <f t="shared" ca="1" si="885"/>
        <v>1</v>
      </c>
      <c r="BL701" s="438">
        <f t="shared" ca="1" si="885"/>
        <v>1</v>
      </c>
      <c r="BM701" s="438">
        <f t="shared" ca="1" si="885"/>
        <v>1</v>
      </c>
      <c r="BN701" s="438">
        <f t="shared" ca="1" si="885"/>
        <v>1</v>
      </c>
      <c r="BO701" s="438">
        <f t="shared" ca="1" si="885"/>
        <v>1</v>
      </c>
      <c r="BP701" s="438">
        <f t="shared" ca="1" si="885"/>
        <v>1</v>
      </c>
      <c r="BQ701" s="438">
        <f t="shared" ca="1" si="885"/>
        <v>1</v>
      </c>
      <c r="BR701" s="438">
        <f t="shared" ca="1" si="885"/>
        <v>1</v>
      </c>
      <c r="BS701" s="439">
        <f t="shared" ca="1" si="885"/>
        <v>1</v>
      </c>
      <c r="BT701" s="275"/>
    </row>
    <row r="702" spans="1:72" s="246" customFormat="1" hidden="1" outlineLevel="1" x14ac:dyDescent="0.35">
      <c r="A702" s="247" t="s">
        <v>262</v>
      </c>
      <c r="B702" s="438"/>
      <c r="C702" s="659">
        <v>1</v>
      </c>
      <c r="D702" s="659">
        <v>1</v>
      </c>
      <c r="E702" s="659">
        <v>1</v>
      </c>
      <c r="F702" s="659">
        <v>1</v>
      </c>
      <c r="G702" s="659">
        <v>1</v>
      </c>
      <c r="H702" s="659">
        <v>1</v>
      </c>
      <c r="I702" s="659">
        <v>1</v>
      </c>
      <c r="J702" s="659">
        <v>1</v>
      </c>
      <c r="K702" s="659">
        <v>1</v>
      </c>
      <c r="L702" s="659">
        <v>1</v>
      </c>
      <c r="M702" s="659">
        <v>1</v>
      </c>
      <c r="N702" s="659">
        <v>1</v>
      </c>
      <c r="O702" s="659">
        <v>1</v>
      </c>
      <c r="P702" s="659">
        <v>1</v>
      </c>
      <c r="Q702" s="659">
        <v>1</v>
      </c>
      <c r="R702" s="659">
        <v>1</v>
      </c>
      <c r="S702" s="659">
        <v>1</v>
      </c>
      <c r="T702" s="659">
        <v>1</v>
      </c>
      <c r="U702" s="659">
        <v>1</v>
      </c>
      <c r="V702" s="659">
        <v>1</v>
      </c>
      <c r="W702" s="659">
        <v>1</v>
      </c>
      <c r="X702" s="659">
        <v>1</v>
      </c>
      <c r="Y702" s="659">
        <v>1</v>
      </c>
      <c r="Z702" s="659">
        <v>1</v>
      </c>
      <c r="AA702" s="659">
        <v>1</v>
      </c>
      <c r="AB702" s="659">
        <v>1</v>
      </c>
      <c r="AC702" s="659">
        <v>1</v>
      </c>
      <c r="AD702" s="659">
        <v>1</v>
      </c>
      <c r="AE702" s="659">
        <v>1</v>
      </c>
      <c r="AF702" s="659">
        <v>1</v>
      </c>
      <c r="AG702" s="659">
        <v>1</v>
      </c>
      <c r="AH702" s="659">
        <v>1</v>
      </c>
      <c r="AI702" s="659">
        <v>1</v>
      </c>
      <c r="AJ702" s="659">
        <v>1</v>
      </c>
      <c r="AK702" s="659">
        <v>1</v>
      </c>
      <c r="AL702" s="659">
        <v>1</v>
      </c>
      <c r="AM702" s="659">
        <v>1</v>
      </c>
      <c r="AN702" s="659">
        <v>1</v>
      </c>
      <c r="AO702" s="659">
        <v>1</v>
      </c>
      <c r="AP702" s="659">
        <v>1</v>
      </c>
      <c r="AQ702" s="659">
        <v>1</v>
      </c>
      <c r="AR702" s="659">
        <v>1</v>
      </c>
      <c r="AS702" s="659">
        <v>1</v>
      </c>
      <c r="AT702" s="659">
        <v>1</v>
      </c>
      <c r="AU702" s="659">
        <v>1</v>
      </c>
      <c r="AV702" s="438">
        <f t="shared" ref="AV702:AX702" si="886">MO.MRFX.Hardcoded</f>
        <v>1</v>
      </c>
      <c r="AW702" s="438">
        <f t="shared" si="886"/>
        <v>1</v>
      </c>
      <c r="AX702" s="438">
        <f t="shared" si="886"/>
        <v>1</v>
      </c>
      <c r="AY702" s="438"/>
      <c r="AZ702" s="660">
        <v>1</v>
      </c>
      <c r="BA702" s="660">
        <v>1</v>
      </c>
      <c r="BB702" s="659">
        <v>1</v>
      </c>
      <c r="BC702" s="659">
        <v>1</v>
      </c>
      <c r="BD702" s="659">
        <v>1</v>
      </c>
      <c r="BE702" s="659">
        <v>1</v>
      </c>
      <c r="BF702" s="659">
        <v>1</v>
      </c>
      <c r="BG702" s="659">
        <v>1</v>
      </c>
      <c r="BH702" s="659">
        <v>1</v>
      </c>
      <c r="BI702" s="659">
        <v>1</v>
      </c>
      <c r="BJ702" s="659">
        <v>1</v>
      </c>
      <c r="BK702" s="659">
        <v>1</v>
      </c>
      <c r="BL702" s="659">
        <v>1</v>
      </c>
      <c r="BM702" s="659">
        <v>1</v>
      </c>
      <c r="BN702" s="659">
        <v>1</v>
      </c>
      <c r="BO702" s="438">
        <f>MO.MRFX.Hardcoded</f>
        <v>1</v>
      </c>
      <c r="BP702" s="438">
        <f>MO.MRFX.Hardcoded</f>
        <v>1</v>
      </c>
      <c r="BQ702" s="438">
        <f>MO.MRFX.Hardcoded</f>
        <v>1</v>
      </c>
      <c r="BR702" s="438">
        <f>MO.MRFX.Hardcoded</f>
        <v>1</v>
      </c>
      <c r="BS702" s="439">
        <f>MO.MRFX.Hardcoded</f>
        <v>1</v>
      </c>
      <c r="BT702" s="275"/>
    </row>
    <row r="703" spans="1:72" s="246" customFormat="1" hidden="1" outlineLevel="1" x14ac:dyDescent="0.35">
      <c r="A703" s="247" t="s">
        <v>7</v>
      </c>
      <c r="B703" s="438"/>
      <c r="C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D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E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F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G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H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I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J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K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L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M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N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O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P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Q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R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S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T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U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V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W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X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Y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Z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A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B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C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D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E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F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G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H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I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J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K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L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M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N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O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P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Q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R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S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T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U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V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W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X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Y703" s="438"/>
      <c r="AZ703" s="43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A703" s="43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B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C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D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E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F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G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H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I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J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K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L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M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N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O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P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Q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R703" s="4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S703" s="43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T703" s="275"/>
    </row>
    <row r="704" spans="1:72" s="246" customFormat="1" hidden="1" outlineLevel="1" x14ac:dyDescent="0.35">
      <c r="A704" s="247" t="s">
        <v>263</v>
      </c>
      <c r="B704" s="438"/>
      <c r="C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D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E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F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G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H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I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J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K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L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M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N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O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P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Q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R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S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T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U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V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W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X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Y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Z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A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B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C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D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E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F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G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H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I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J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K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L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M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N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O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P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Q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R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S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T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U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V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W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X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AY704" s="438"/>
      <c r="AZ704" s="437">
        <f ca="1">IFERROR(IF(INDEX(MO_Common_QEndDate,0,COLUMN())&gt;TODAY(),_xll.ciqfunctions.udf.CIQ("$"&amp;HP.TradeCurrency&amp;MO.ReportCurrency,"IQ_LASTSALEPRICE"),_xll.ciqfunctions.udf.CIQAVG("$"&amp;HP.TradeCurrency&amp;MO.ReportCurrency,"IQ_LASTSALEPRICE",INDEX(MO_SNA_FPStartDate,0,COLUMN()),INDEX(MO_Common_QEndDate,0,COLUMN()))),"N/A")</f>
        <v>1</v>
      </c>
      <c r="BA704" s="437">
        <f ca="1">IFERROR(IF(INDEX(MO_Common_QEndDate,0,COLUMN())&gt;TODAY(),_xll.ciqfunctions.udf.CIQ("$"&amp;HP.TradeCurrency&amp;MO.ReportCurrency,"IQ_LASTSALEPRICE"),_xll.ciqfunctions.udf.CIQAVG("$"&amp;HP.TradeCurrency&amp;MO.ReportCurrency,"IQ_LASTSALEPRICE",INDEX(MO_SNA_FPStartDate,0,COLUMN()),INDEX(MO_Common_QEndDate,0,COLUMN()))),"N/A")</f>
        <v>1</v>
      </c>
      <c r="BB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C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D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E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F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G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H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I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J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K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L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M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N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O704" s="438">
        <f ca="1">IFERROR(IF(INDEX(MO_Common_QEndDate,0,COLUMN())&gt;TODAY(),_xll.ciqfunctions.udf.CIQ("$"&amp;HP.TradeCurrency&amp;MO.ReportCurrency,"IQ_LASTSALEPRICE"),_xll.ciqfunctions.udf.CIQAVG("$"&amp;HP.TradeCurrency&amp;MO.ReportCurrency,"IQ_LASTSALEPRICE",INDEX(MO_SNA_FPStartDate,0,COLUMN()),INDEX(MO_Common_QEndDate,0,COLUMN()))),"N/A")</f>
        <v>1</v>
      </c>
      <c r="BP704" s="438" t="str">
        <f ca="1">IFERROR(IF(INDEX(MO_Common_QEndDate,0,COLUMN())&gt;TODAY(),_xll.ciqfunctions.udf.CIQ("$"&amp;HP.TradeCurrency&amp;MO.ReportCurrency,"IQ_LASTSALEPRICE"),_xll.ciqfunctions.udf.CIQAVG("$"&amp;HP.TradeCurrency&amp;MO.ReportCurrency,"IQ_LASTSALEPRICE",INDEX(MO_SNA_FPStartDate,0,COLUMN()),INDEX(MO_Common_QEndDate,0,COLUMN()))),"N/A")</f>
        <v>N/A</v>
      </c>
      <c r="BQ704" s="438" t="str">
        <f ca="1">IFERROR(IF(INDEX(MO_Common_QEndDate,0,COLUMN())&gt;TODAY(),_xll.ciqfunctions.udf.CIQ("$"&amp;HP.TradeCurrency&amp;MO.ReportCurrency,"IQ_LASTSALEPRICE"),_xll.ciqfunctions.udf.CIQAVG("$"&amp;HP.TradeCurrency&amp;MO.ReportCurrency,"IQ_LASTSALEPRICE",INDEX(MO_SNA_FPStartDate,0,COLUMN()),INDEX(MO_Common_QEndDate,0,COLUMN()))),"N/A")</f>
        <v>N/A</v>
      </c>
      <c r="BR704" s="438" t="str">
        <f ca="1">IFERROR(IF(INDEX(MO_Common_QEndDate,0,COLUMN())&gt;TODAY(),_xll.ciqfunctions.udf.CIQ("$"&amp;HP.TradeCurrency&amp;MO.ReportCurrency,"IQ_LASTSALEPRICE"),_xll.ciqfunctions.udf.CIQAVG("$"&amp;HP.TradeCurrency&amp;MO.ReportCurrency,"IQ_LASTSALEPRICE",INDEX(MO_SNA_FPStartDate,0,COLUMN()),INDEX(MO_Common_QEndDate,0,COLUMN()))),"N/A")</f>
        <v>N/A</v>
      </c>
      <c r="BS704" s="439" t="str">
        <f ca="1">IFERROR(IF(INDEX(MO_Common_QEndDate,0,COLUMN())&gt;TODAY(),_xll.ciqfunctions.udf.CIQ("$"&amp;HP.TradeCurrency&amp;MO.ReportCurrency,"IQ_LASTSALEPRICE"),_xll.ciqfunctions.udf.CIQAVG("$"&amp;HP.TradeCurrency&amp;MO.ReportCurrency,"IQ_LASTSALEPRICE",INDEX(MO_SNA_FPStartDate,0,COLUMN()),INDEX(MO_Common_QEndDate,0,COLUMN()))),"N/A")</f>
        <v>N/A</v>
      </c>
      <c r="BT704" s="275"/>
    </row>
    <row r="705" spans="1:72" s="246" customFormat="1" hidden="1" outlineLevel="1" x14ac:dyDescent="0.35">
      <c r="A705" s="247" t="s">
        <v>264</v>
      </c>
      <c r="B705" s="438"/>
      <c r="C705" s="438" t="str">
        <f ca="1">IFERROR(IF(INDEX(MO_Common_QEndDate,0,COLUMN())&gt;TODAY(),FDS(MO.ReportCurrency&amp;HP.TradeCurrency,"FG_PRICE(NOW)"),FDS(MO.ReportCurrency&amp;HP.TradeCurrency,"P_PRICE_AVG("&amp;INDEX(MO_SNA_FPStartDate,0,COLUMN())&amp;","&amp;INDEX(MO_Common_QEndDate,0,COLUMN())&amp;",,,,0)")),"N/A")</f>
        <v>N/A</v>
      </c>
      <c r="D705" s="438" t="str">
        <f ca="1">IFERROR(IF(INDEX(MO_Common_QEndDate,0,COLUMN())&gt;TODAY(),FDS(MO.ReportCurrency&amp;HP.TradeCurrency,"FG_PRICE(NOW)"),FDS(MO.ReportCurrency&amp;HP.TradeCurrency,"P_PRICE_AVG("&amp;INDEX(MO_SNA_FPStartDate,0,COLUMN())&amp;","&amp;INDEX(MO_Common_QEndDate,0,COLUMN())&amp;",,,,0)")),"N/A")</f>
        <v>N/A</v>
      </c>
      <c r="E705" s="438" t="str">
        <f ca="1">IFERROR(IF(INDEX(MO_Common_QEndDate,0,COLUMN())&gt;TODAY(),FDS(MO.ReportCurrency&amp;HP.TradeCurrency,"FG_PRICE(NOW)"),FDS(MO.ReportCurrency&amp;HP.TradeCurrency,"P_PRICE_AVG("&amp;INDEX(MO_SNA_FPStartDate,0,COLUMN())&amp;","&amp;INDEX(MO_Common_QEndDate,0,COLUMN())&amp;",,,,0)")),"N/A")</f>
        <v>N/A</v>
      </c>
      <c r="F705" s="438" t="str">
        <f ca="1">IFERROR(IF(INDEX(MO_Common_QEndDate,0,COLUMN())&gt;TODAY(),FDS(MO.ReportCurrency&amp;HP.TradeCurrency,"FG_PRICE(NOW)"),FDS(MO.ReportCurrency&amp;HP.TradeCurrency,"P_PRICE_AVG("&amp;INDEX(MO_SNA_FPStartDate,0,COLUMN())&amp;","&amp;INDEX(MO_Common_QEndDate,0,COLUMN())&amp;",,,,0)")),"N/A")</f>
        <v>N/A</v>
      </c>
      <c r="G705" s="438" t="str">
        <f ca="1">IFERROR(IF(INDEX(MO_Common_QEndDate,0,COLUMN())&gt;TODAY(),FDS(MO.ReportCurrency&amp;HP.TradeCurrency,"FG_PRICE(NOW)"),FDS(MO.ReportCurrency&amp;HP.TradeCurrency,"P_PRICE_AVG("&amp;INDEX(MO_SNA_FPStartDate,0,COLUMN())&amp;","&amp;INDEX(MO_Common_QEndDate,0,COLUMN())&amp;",,,,0)")),"N/A")</f>
        <v>N/A</v>
      </c>
      <c r="H705" s="438" t="str">
        <f ca="1">IFERROR(IF(INDEX(MO_Common_QEndDate,0,COLUMN())&gt;TODAY(),FDS(MO.ReportCurrency&amp;HP.TradeCurrency,"FG_PRICE(NOW)"),FDS(MO.ReportCurrency&amp;HP.TradeCurrency,"P_PRICE_AVG("&amp;INDEX(MO_SNA_FPStartDate,0,COLUMN())&amp;","&amp;INDEX(MO_Common_QEndDate,0,COLUMN())&amp;",,,,0)")),"N/A")</f>
        <v>N/A</v>
      </c>
      <c r="I705" s="438" t="str">
        <f ca="1">IFERROR(IF(INDEX(MO_Common_QEndDate,0,COLUMN())&gt;TODAY(),FDS(MO.ReportCurrency&amp;HP.TradeCurrency,"FG_PRICE(NOW)"),FDS(MO.ReportCurrency&amp;HP.TradeCurrency,"P_PRICE_AVG("&amp;INDEX(MO_SNA_FPStartDate,0,COLUMN())&amp;","&amp;INDEX(MO_Common_QEndDate,0,COLUMN())&amp;",,,,0)")),"N/A")</f>
        <v>N/A</v>
      </c>
      <c r="J705" s="438" t="str">
        <f ca="1">IFERROR(IF(INDEX(MO_Common_QEndDate,0,COLUMN())&gt;TODAY(),FDS(MO.ReportCurrency&amp;HP.TradeCurrency,"FG_PRICE(NOW)"),FDS(MO.ReportCurrency&amp;HP.TradeCurrency,"P_PRICE_AVG("&amp;INDEX(MO_SNA_FPStartDate,0,COLUMN())&amp;","&amp;INDEX(MO_Common_QEndDate,0,COLUMN())&amp;",,,,0)")),"N/A")</f>
        <v>N/A</v>
      </c>
      <c r="K705" s="438" t="str">
        <f ca="1">IFERROR(IF(INDEX(MO_Common_QEndDate,0,COLUMN())&gt;TODAY(),FDS(MO.ReportCurrency&amp;HP.TradeCurrency,"FG_PRICE(NOW)"),FDS(MO.ReportCurrency&amp;HP.TradeCurrency,"P_PRICE_AVG("&amp;INDEX(MO_SNA_FPStartDate,0,COLUMN())&amp;","&amp;INDEX(MO_Common_QEndDate,0,COLUMN())&amp;",,,,0)")),"N/A")</f>
        <v>N/A</v>
      </c>
      <c r="L705" s="438" t="str">
        <f ca="1">IFERROR(IF(INDEX(MO_Common_QEndDate,0,COLUMN())&gt;TODAY(),FDS(MO.ReportCurrency&amp;HP.TradeCurrency,"FG_PRICE(NOW)"),FDS(MO.ReportCurrency&amp;HP.TradeCurrency,"P_PRICE_AVG("&amp;INDEX(MO_SNA_FPStartDate,0,COLUMN())&amp;","&amp;INDEX(MO_Common_QEndDate,0,COLUMN())&amp;",,,,0)")),"N/A")</f>
        <v>N/A</v>
      </c>
      <c r="M705" s="438" t="str">
        <f ca="1">IFERROR(IF(INDEX(MO_Common_QEndDate,0,COLUMN())&gt;TODAY(),FDS(MO.ReportCurrency&amp;HP.TradeCurrency,"FG_PRICE(NOW)"),FDS(MO.ReportCurrency&amp;HP.TradeCurrency,"P_PRICE_AVG("&amp;INDEX(MO_SNA_FPStartDate,0,COLUMN())&amp;","&amp;INDEX(MO_Common_QEndDate,0,COLUMN())&amp;",,,,0)")),"N/A")</f>
        <v>N/A</v>
      </c>
      <c r="N705" s="438" t="str">
        <f ca="1">IFERROR(IF(INDEX(MO_Common_QEndDate,0,COLUMN())&gt;TODAY(),FDS(MO.ReportCurrency&amp;HP.TradeCurrency,"FG_PRICE(NOW)"),FDS(MO.ReportCurrency&amp;HP.TradeCurrency,"P_PRICE_AVG("&amp;INDEX(MO_SNA_FPStartDate,0,COLUMN())&amp;","&amp;INDEX(MO_Common_QEndDate,0,COLUMN())&amp;",,,,0)")),"N/A")</f>
        <v>N/A</v>
      </c>
      <c r="O705" s="438" t="str">
        <f ca="1">IFERROR(IF(INDEX(MO_Common_QEndDate,0,COLUMN())&gt;TODAY(),FDS(MO.ReportCurrency&amp;HP.TradeCurrency,"FG_PRICE(NOW)"),FDS(MO.ReportCurrency&amp;HP.TradeCurrency,"P_PRICE_AVG("&amp;INDEX(MO_SNA_FPStartDate,0,COLUMN())&amp;","&amp;INDEX(MO_Common_QEndDate,0,COLUMN())&amp;",,,,0)")),"N/A")</f>
        <v>N/A</v>
      </c>
      <c r="P705" s="438" t="str">
        <f ca="1">IFERROR(IF(INDEX(MO_Common_QEndDate,0,COLUMN())&gt;TODAY(),FDS(MO.ReportCurrency&amp;HP.TradeCurrency,"FG_PRICE(NOW)"),FDS(MO.ReportCurrency&amp;HP.TradeCurrency,"P_PRICE_AVG("&amp;INDEX(MO_SNA_FPStartDate,0,COLUMN())&amp;","&amp;INDEX(MO_Common_QEndDate,0,COLUMN())&amp;",,,,0)")),"N/A")</f>
        <v>N/A</v>
      </c>
      <c r="Q705" s="438" t="str">
        <f ca="1">IFERROR(IF(INDEX(MO_Common_QEndDate,0,COLUMN())&gt;TODAY(),FDS(MO.ReportCurrency&amp;HP.TradeCurrency,"FG_PRICE(NOW)"),FDS(MO.ReportCurrency&amp;HP.TradeCurrency,"P_PRICE_AVG("&amp;INDEX(MO_SNA_FPStartDate,0,COLUMN())&amp;","&amp;INDEX(MO_Common_QEndDate,0,COLUMN())&amp;",,,,0)")),"N/A")</f>
        <v>N/A</v>
      </c>
      <c r="R705" s="438" t="str">
        <f ca="1">IFERROR(IF(INDEX(MO_Common_QEndDate,0,COLUMN())&gt;TODAY(),FDS(MO.ReportCurrency&amp;HP.TradeCurrency,"FG_PRICE(NOW)"),FDS(MO.ReportCurrency&amp;HP.TradeCurrency,"P_PRICE_AVG("&amp;INDEX(MO_SNA_FPStartDate,0,COLUMN())&amp;","&amp;INDEX(MO_Common_QEndDate,0,COLUMN())&amp;",,,,0)")),"N/A")</f>
        <v>N/A</v>
      </c>
      <c r="S705" s="438" t="str">
        <f ca="1">IFERROR(IF(INDEX(MO_Common_QEndDate,0,COLUMN())&gt;TODAY(),FDS(MO.ReportCurrency&amp;HP.TradeCurrency,"FG_PRICE(NOW)"),FDS(MO.ReportCurrency&amp;HP.TradeCurrency,"P_PRICE_AVG("&amp;INDEX(MO_SNA_FPStartDate,0,COLUMN())&amp;","&amp;INDEX(MO_Common_QEndDate,0,COLUMN())&amp;",,,,0)")),"N/A")</f>
        <v>N/A</v>
      </c>
      <c r="T705" s="438" t="str">
        <f ca="1">IFERROR(IF(INDEX(MO_Common_QEndDate,0,COLUMN())&gt;TODAY(),FDS(MO.ReportCurrency&amp;HP.TradeCurrency,"FG_PRICE(NOW)"),FDS(MO.ReportCurrency&amp;HP.TradeCurrency,"P_PRICE_AVG("&amp;INDEX(MO_SNA_FPStartDate,0,COLUMN())&amp;","&amp;INDEX(MO_Common_QEndDate,0,COLUMN())&amp;",,,,0)")),"N/A")</f>
        <v>N/A</v>
      </c>
      <c r="U705" s="438" t="str">
        <f ca="1">IFERROR(IF(INDEX(MO_Common_QEndDate,0,COLUMN())&gt;TODAY(),FDS(MO.ReportCurrency&amp;HP.TradeCurrency,"FG_PRICE(NOW)"),FDS(MO.ReportCurrency&amp;HP.TradeCurrency,"P_PRICE_AVG("&amp;INDEX(MO_SNA_FPStartDate,0,COLUMN())&amp;","&amp;INDEX(MO_Common_QEndDate,0,COLUMN())&amp;",,,,0)")),"N/A")</f>
        <v>N/A</v>
      </c>
      <c r="V705" s="438" t="str">
        <f ca="1">IFERROR(IF(INDEX(MO_Common_QEndDate,0,COLUMN())&gt;TODAY(),FDS(MO.ReportCurrency&amp;HP.TradeCurrency,"FG_PRICE(NOW)"),FDS(MO.ReportCurrency&amp;HP.TradeCurrency,"P_PRICE_AVG("&amp;INDEX(MO_SNA_FPStartDate,0,COLUMN())&amp;","&amp;INDEX(MO_Common_QEndDate,0,COLUMN())&amp;",,,,0)")),"N/A")</f>
        <v>N/A</v>
      </c>
      <c r="W705" s="438" t="str">
        <f ca="1">IFERROR(IF(INDEX(MO_Common_QEndDate,0,COLUMN())&gt;TODAY(),FDS(MO.ReportCurrency&amp;HP.TradeCurrency,"FG_PRICE(NOW)"),FDS(MO.ReportCurrency&amp;HP.TradeCurrency,"P_PRICE_AVG("&amp;INDEX(MO_SNA_FPStartDate,0,COLUMN())&amp;","&amp;INDEX(MO_Common_QEndDate,0,COLUMN())&amp;",,,,0)")),"N/A")</f>
        <v>N/A</v>
      </c>
      <c r="X705" s="438" t="str">
        <f ca="1">IFERROR(IF(INDEX(MO_Common_QEndDate,0,COLUMN())&gt;TODAY(),FDS(MO.ReportCurrency&amp;HP.TradeCurrency,"FG_PRICE(NOW)"),FDS(MO.ReportCurrency&amp;HP.TradeCurrency,"P_PRICE_AVG("&amp;INDEX(MO_SNA_FPStartDate,0,COLUMN())&amp;","&amp;INDEX(MO_Common_QEndDate,0,COLUMN())&amp;",,,,0)")),"N/A")</f>
        <v>N/A</v>
      </c>
      <c r="Y705" s="438" t="str">
        <f ca="1">IFERROR(IF(INDEX(MO_Common_QEndDate,0,COLUMN())&gt;TODAY(),FDS(MO.ReportCurrency&amp;HP.TradeCurrency,"FG_PRICE(NOW)"),FDS(MO.ReportCurrency&amp;HP.TradeCurrency,"P_PRICE_AVG("&amp;INDEX(MO_SNA_FPStartDate,0,COLUMN())&amp;","&amp;INDEX(MO_Common_QEndDate,0,COLUMN())&amp;",,,,0)")),"N/A")</f>
        <v>N/A</v>
      </c>
      <c r="Z705" s="438" t="str">
        <f ca="1">IFERROR(IF(INDEX(MO_Common_QEndDate,0,COLUMN())&gt;TODAY(),FDS(MO.ReportCurrency&amp;HP.TradeCurrency,"FG_PRICE(NOW)"),FDS(MO.ReportCurrency&amp;HP.TradeCurrency,"P_PRICE_AVG("&amp;INDEX(MO_SNA_FPStartDate,0,COLUMN())&amp;","&amp;INDEX(MO_Common_QEndDate,0,COLUMN())&amp;",,,,0)")),"N/A")</f>
        <v>N/A</v>
      </c>
      <c r="AA705" s="438" t="str">
        <f ca="1">IFERROR(IF(INDEX(MO_Common_QEndDate,0,COLUMN())&gt;TODAY(),FDS(MO.ReportCurrency&amp;HP.TradeCurrency,"FG_PRICE(NOW)"),FDS(MO.ReportCurrency&amp;HP.TradeCurrency,"P_PRICE_AVG("&amp;INDEX(MO_SNA_FPStartDate,0,COLUMN())&amp;","&amp;INDEX(MO_Common_QEndDate,0,COLUMN())&amp;",,,,0)")),"N/A")</f>
        <v>N/A</v>
      </c>
      <c r="AB705" s="438" t="str">
        <f ca="1">IFERROR(IF(INDEX(MO_Common_QEndDate,0,COLUMN())&gt;TODAY(),FDS(MO.ReportCurrency&amp;HP.TradeCurrency,"FG_PRICE(NOW)"),FDS(MO.ReportCurrency&amp;HP.TradeCurrency,"P_PRICE_AVG("&amp;INDEX(MO_SNA_FPStartDate,0,COLUMN())&amp;","&amp;INDEX(MO_Common_QEndDate,0,COLUMN())&amp;",,,,0)")),"N/A")</f>
        <v>N/A</v>
      </c>
      <c r="AC705" s="438" t="str">
        <f ca="1">IFERROR(IF(INDEX(MO_Common_QEndDate,0,COLUMN())&gt;TODAY(),FDS(MO.ReportCurrency&amp;HP.TradeCurrency,"FG_PRICE(NOW)"),FDS(MO.ReportCurrency&amp;HP.TradeCurrency,"P_PRICE_AVG("&amp;INDEX(MO_SNA_FPStartDate,0,COLUMN())&amp;","&amp;INDEX(MO_Common_QEndDate,0,COLUMN())&amp;",,,,0)")),"N/A")</f>
        <v>N/A</v>
      </c>
      <c r="AD705" s="438" t="str">
        <f ca="1">IFERROR(IF(INDEX(MO_Common_QEndDate,0,COLUMN())&gt;TODAY(),FDS(MO.ReportCurrency&amp;HP.TradeCurrency,"FG_PRICE(NOW)"),FDS(MO.ReportCurrency&amp;HP.TradeCurrency,"P_PRICE_AVG("&amp;INDEX(MO_SNA_FPStartDate,0,COLUMN())&amp;","&amp;INDEX(MO_Common_QEndDate,0,COLUMN())&amp;",,,,0)")),"N/A")</f>
        <v>N/A</v>
      </c>
      <c r="AE705" s="438" t="str">
        <f ca="1">IFERROR(IF(INDEX(MO_Common_QEndDate,0,COLUMN())&gt;TODAY(),FDS(MO.ReportCurrency&amp;HP.TradeCurrency,"FG_PRICE(NOW)"),FDS(MO.ReportCurrency&amp;HP.TradeCurrency,"P_PRICE_AVG("&amp;INDEX(MO_SNA_FPStartDate,0,COLUMN())&amp;","&amp;INDEX(MO_Common_QEndDate,0,COLUMN())&amp;",,,,0)")),"N/A")</f>
        <v>N/A</v>
      </c>
      <c r="AF705" s="438" t="str">
        <f ca="1">IFERROR(IF(INDEX(MO_Common_QEndDate,0,COLUMN())&gt;TODAY(),FDS(MO.ReportCurrency&amp;HP.TradeCurrency,"FG_PRICE(NOW)"),FDS(MO.ReportCurrency&amp;HP.TradeCurrency,"P_PRICE_AVG("&amp;INDEX(MO_SNA_FPStartDate,0,COLUMN())&amp;","&amp;INDEX(MO_Common_QEndDate,0,COLUMN())&amp;",,,,0)")),"N/A")</f>
        <v>N/A</v>
      </c>
      <c r="AG705" s="438" t="str">
        <f ca="1">IFERROR(IF(INDEX(MO_Common_QEndDate,0,COLUMN())&gt;TODAY(),FDS(MO.ReportCurrency&amp;HP.TradeCurrency,"FG_PRICE(NOW)"),FDS(MO.ReportCurrency&amp;HP.TradeCurrency,"P_PRICE_AVG("&amp;INDEX(MO_SNA_FPStartDate,0,COLUMN())&amp;","&amp;INDEX(MO_Common_QEndDate,0,COLUMN())&amp;",,,,0)")),"N/A")</f>
        <v>N/A</v>
      </c>
      <c r="AH705" s="438" t="str">
        <f ca="1">IFERROR(IF(INDEX(MO_Common_QEndDate,0,COLUMN())&gt;TODAY(),FDS(MO.ReportCurrency&amp;HP.TradeCurrency,"FG_PRICE(NOW)"),FDS(MO.ReportCurrency&amp;HP.TradeCurrency,"P_PRICE_AVG("&amp;INDEX(MO_SNA_FPStartDate,0,COLUMN())&amp;","&amp;INDEX(MO_Common_QEndDate,0,COLUMN())&amp;",,,,0)")),"N/A")</f>
        <v>N/A</v>
      </c>
      <c r="AI705" s="438" t="str">
        <f ca="1">IFERROR(IF(INDEX(MO_Common_QEndDate,0,COLUMN())&gt;TODAY(),FDS(MO.ReportCurrency&amp;HP.TradeCurrency,"FG_PRICE(NOW)"),FDS(MO.ReportCurrency&amp;HP.TradeCurrency,"P_PRICE_AVG("&amp;INDEX(MO_SNA_FPStartDate,0,COLUMN())&amp;","&amp;INDEX(MO_Common_QEndDate,0,COLUMN())&amp;",,,,0)")),"N/A")</f>
        <v>N/A</v>
      </c>
      <c r="AJ705" s="438" t="str">
        <f ca="1">IFERROR(IF(INDEX(MO_Common_QEndDate,0,COLUMN())&gt;TODAY(),FDS(MO.ReportCurrency&amp;HP.TradeCurrency,"FG_PRICE(NOW)"),FDS(MO.ReportCurrency&amp;HP.TradeCurrency,"P_PRICE_AVG("&amp;INDEX(MO_SNA_FPStartDate,0,COLUMN())&amp;","&amp;INDEX(MO_Common_QEndDate,0,COLUMN())&amp;",,,,0)")),"N/A")</f>
        <v>N/A</v>
      </c>
      <c r="AK705" s="438" t="str">
        <f ca="1">IFERROR(IF(INDEX(MO_Common_QEndDate,0,COLUMN())&gt;TODAY(),FDS(MO.ReportCurrency&amp;HP.TradeCurrency,"FG_PRICE(NOW)"),FDS(MO.ReportCurrency&amp;HP.TradeCurrency,"P_PRICE_AVG("&amp;INDEX(MO_SNA_FPStartDate,0,COLUMN())&amp;","&amp;INDEX(MO_Common_QEndDate,0,COLUMN())&amp;",,,,0)")),"N/A")</f>
        <v>N/A</v>
      </c>
      <c r="AL705" s="438" t="str">
        <f ca="1">IFERROR(IF(INDEX(MO_Common_QEndDate,0,COLUMN())&gt;TODAY(),FDS(MO.ReportCurrency&amp;HP.TradeCurrency,"FG_PRICE(NOW)"),FDS(MO.ReportCurrency&amp;HP.TradeCurrency,"P_PRICE_AVG("&amp;INDEX(MO_SNA_FPStartDate,0,COLUMN())&amp;","&amp;INDEX(MO_Common_QEndDate,0,COLUMN())&amp;",,,,0)")),"N/A")</f>
        <v>N/A</v>
      </c>
      <c r="AM705" s="438" t="str">
        <f ca="1">IFERROR(IF(INDEX(MO_Common_QEndDate,0,COLUMN())&gt;TODAY(),FDS(MO.ReportCurrency&amp;HP.TradeCurrency,"FG_PRICE(NOW)"),FDS(MO.ReportCurrency&amp;HP.TradeCurrency,"P_PRICE_AVG("&amp;INDEX(MO_SNA_FPStartDate,0,COLUMN())&amp;","&amp;INDEX(MO_Common_QEndDate,0,COLUMN())&amp;",,,,0)")),"N/A")</f>
        <v>N/A</v>
      </c>
      <c r="AN705" s="438" t="str">
        <f ca="1">IFERROR(IF(INDEX(MO_Common_QEndDate,0,COLUMN())&gt;TODAY(),FDS(MO.ReportCurrency&amp;HP.TradeCurrency,"FG_PRICE(NOW)"),FDS(MO.ReportCurrency&amp;HP.TradeCurrency,"P_PRICE_AVG("&amp;INDEX(MO_SNA_FPStartDate,0,COLUMN())&amp;","&amp;INDEX(MO_Common_QEndDate,0,COLUMN())&amp;",,,,0)")),"N/A")</f>
        <v>N/A</v>
      </c>
      <c r="AO705" s="438" t="str">
        <f ca="1">IFERROR(IF(INDEX(MO_Common_QEndDate,0,COLUMN())&gt;TODAY(),FDS(MO.ReportCurrency&amp;HP.TradeCurrency,"FG_PRICE(NOW)"),FDS(MO.ReportCurrency&amp;HP.TradeCurrency,"P_PRICE_AVG("&amp;INDEX(MO_SNA_FPStartDate,0,COLUMN())&amp;","&amp;INDEX(MO_Common_QEndDate,0,COLUMN())&amp;",,,,0)")),"N/A")</f>
        <v>N/A</v>
      </c>
      <c r="AP705" s="438" t="str">
        <f ca="1">IFERROR(IF(INDEX(MO_Common_QEndDate,0,COLUMN())&gt;TODAY(),FDS(MO.ReportCurrency&amp;HP.TradeCurrency,"FG_PRICE(NOW)"),FDS(MO.ReportCurrency&amp;HP.TradeCurrency,"P_PRICE_AVG("&amp;INDEX(MO_SNA_FPStartDate,0,COLUMN())&amp;","&amp;INDEX(MO_Common_QEndDate,0,COLUMN())&amp;",,,,0)")),"N/A")</f>
        <v>N/A</v>
      </c>
      <c r="AQ705" s="438" t="str">
        <f ca="1">IFERROR(IF(INDEX(MO_Common_QEndDate,0,COLUMN())&gt;TODAY(),FDS(MO.ReportCurrency&amp;HP.TradeCurrency,"FG_PRICE(NOW)"),FDS(MO.ReportCurrency&amp;HP.TradeCurrency,"P_PRICE_AVG("&amp;INDEX(MO_SNA_FPStartDate,0,COLUMN())&amp;","&amp;INDEX(MO_Common_QEndDate,0,COLUMN())&amp;",,,,0)")),"N/A")</f>
        <v>N/A</v>
      </c>
      <c r="AR705" s="438" t="str">
        <f ca="1">IFERROR(IF(INDEX(MO_Common_QEndDate,0,COLUMN())&gt;TODAY(),FDS(MO.ReportCurrency&amp;HP.TradeCurrency,"FG_PRICE(NOW)"),FDS(MO.ReportCurrency&amp;HP.TradeCurrency,"P_PRICE_AVG("&amp;INDEX(MO_SNA_FPStartDate,0,COLUMN())&amp;","&amp;INDEX(MO_Common_QEndDate,0,COLUMN())&amp;",,,,0)")),"N/A")</f>
        <v>N/A</v>
      </c>
      <c r="AS705" s="438" t="str">
        <f ca="1">IFERROR(IF(INDEX(MO_Common_QEndDate,0,COLUMN())&gt;TODAY(),FDS(MO.ReportCurrency&amp;HP.TradeCurrency,"FG_PRICE(NOW)"),FDS(MO.ReportCurrency&amp;HP.TradeCurrency,"P_PRICE_AVG("&amp;INDEX(MO_SNA_FPStartDate,0,COLUMN())&amp;","&amp;INDEX(MO_Common_QEndDate,0,COLUMN())&amp;",,,,0)")),"N/A")</f>
        <v>N/A</v>
      </c>
      <c r="AT705" s="438" t="str">
        <f ca="1">IFERROR(IF(INDEX(MO_Common_QEndDate,0,COLUMN())&gt;TODAY(),FDS(MO.ReportCurrency&amp;HP.TradeCurrency,"FG_PRICE(NOW)"),FDS(MO.ReportCurrency&amp;HP.TradeCurrency,"P_PRICE_AVG("&amp;INDEX(MO_SNA_FPStartDate,0,COLUMN())&amp;","&amp;INDEX(MO_Common_QEndDate,0,COLUMN())&amp;",,,,0)")),"N/A")</f>
        <v>N/A</v>
      </c>
      <c r="AU705" s="438" t="str">
        <f ca="1">IFERROR(IF(INDEX(MO_Common_QEndDate,0,COLUMN())&gt;TODAY(),FDS(MO.ReportCurrency&amp;HP.TradeCurrency,"FG_PRICE(NOW)"),FDS(MO.ReportCurrency&amp;HP.TradeCurrency,"P_PRICE_AVG("&amp;INDEX(MO_SNA_FPStartDate,0,COLUMN())&amp;","&amp;INDEX(MO_Common_QEndDate,0,COLUMN())&amp;",,,,0)")),"N/A")</f>
        <v>N/A</v>
      </c>
      <c r="AV705" s="438" t="str">
        <f ca="1">IFERROR(IF(INDEX(MO_Common_QEndDate,0,COLUMN())&gt;TODAY(),FDS(MO.ReportCurrency&amp;HP.TradeCurrency,"FG_PRICE(NOW)"),FDS(MO.ReportCurrency&amp;HP.TradeCurrency,"P_PRICE_AVG("&amp;INDEX(MO_SNA_FPStartDate,0,COLUMN())&amp;","&amp;INDEX(MO_Common_QEndDate,0,COLUMN())&amp;",,,,0)")),"N/A")</f>
        <v>N/A</v>
      </c>
      <c r="AW705" s="438" t="str">
        <f ca="1">IFERROR(IF(INDEX(MO_Common_QEndDate,0,COLUMN())&gt;TODAY(),FDS(MO.ReportCurrency&amp;HP.TradeCurrency,"FG_PRICE(NOW)"),FDS(MO.ReportCurrency&amp;HP.TradeCurrency,"P_PRICE_AVG("&amp;INDEX(MO_SNA_FPStartDate,0,COLUMN())&amp;","&amp;INDEX(MO_Common_QEndDate,0,COLUMN())&amp;",,,,0)")),"N/A")</f>
        <v>N/A</v>
      </c>
      <c r="AX705" s="438" t="str">
        <f ca="1">IFERROR(IF(INDEX(MO_Common_QEndDate,0,COLUMN())&gt;TODAY(),FDS(MO.ReportCurrency&amp;HP.TradeCurrency,"FG_PRICE(NOW)"),FDS(MO.ReportCurrency&amp;HP.TradeCurrency,"P_PRICE_AVG("&amp;INDEX(MO_SNA_FPStartDate,0,COLUMN())&amp;","&amp;INDEX(MO_Common_QEndDate,0,COLUMN())&amp;",,,,0)")),"N/A")</f>
        <v>N/A</v>
      </c>
      <c r="AY705" s="438"/>
      <c r="AZ705" s="437" t="str">
        <f ca="1">IFERROR(IF(INDEX(MO_Common_QEndDate,0,COLUMN())&gt;TODAY(),FDS(MO.ReportCurrency&amp;HP.TradeCurrency,"FG_PRICE(NOW)"),FDS(MO.ReportCurrency&amp;HP.TradeCurrency,"P_PRICE_AVG("&amp;INDEX(MO_SNA_FPStartDate,0,COLUMN())&amp;","&amp;INDEX(MO_Common_QEndDate,0,COLUMN())&amp;",,,,0)")),"N/A")</f>
        <v>N/A</v>
      </c>
      <c r="BA705" s="437" t="str">
        <f ca="1">IFERROR(IF(INDEX(MO_Common_QEndDate,0,COLUMN())&gt;TODAY(),FDS(MO.ReportCurrency&amp;HP.TradeCurrency,"FG_PRICE(NOW)"),FDS(MO.ReportCurrency&amp;HP.TradeCurrency,"P_PRICE_AVG("&amp;INDEX(MO_SNA_FPStartDate,0,COLUMN())&amp;","&amp;INDEX(MO_Common_QEndDate,0,COLUMN())&amp;",,,,0)")),"N/A")</f>
        <v>N/A</v>
      </c>
      <c r="BB705" s="438" t="str">
        <f ca="1">IFERROR(IF(INDEX(MO_Common_QEndDate,0,COLUMN())&gt;TODAY(),FDS(MO.ReportCurrency&amp;HP.TradeCurrency,"FG_PRICE(NOW)"),FDS(MO.ReportCurrency&amp;HP.TradeCurrency,"P_PRICE_AVG("&amp;INDEX(MO_SNA_FPStartDate,0,COLUMN())&amp;","&amp;INDEX(MO_Common_QEndDate,0,COLUMN())&amp;",,,,0)")),"N/A")</f>
        <v>N/A</v>
      </c>
      <c r="BC705" s="438" t="str">
        <f ca="1">IFERROR(IF(INDEX(MO_Common_QEndDate,0,COLUMN())&gt;TODAY(),FDS(MO.ReportCurrency&amp;HP.TradeCurrency,"FG_PRICE(NOW)"),FDS(MO.ReportCurrency&amp;HP.TradeCurrency,"P_PRICE_AVG("&amp;INDEX(MO_SNA_FPStartDate,0,COLUMN())&amp;","&amp;INDEX(MO_Common_QEndDate,0,COLUMN())&amp;",,,,0)")),"N/A")</f>
        <v>N/A</v>
      </c>
      <c r="BD705" s="438" t="str">
        <f ca="1">IFERROR(IF(INDEX(MO_Common_QEndDate,0,COLUMN())&gt;TODAY(),FDS(MO.ReportCurrency&amp;HP.TradeCurrency,"FG_PRICE(NOW)"),FDS(MO.ReportCurrency&amp;HP.TradeCurrency,"P_PRICE_AVG("&amp;INDEX(MO_SNA_FPStartDate,0,COLUMN())&amp;","&amp;INDEX(MO_Common_QEndDate,0,COLUMN())&amp;",,,,0)")),"N/A")</f>
        <v>N/A</v>
      </c>
      <c r="BE705" s="438" t="str">
        <f ca="1">IFERROR(IF(INDEX(MO_Common_QEndDate,0,COLUMN())&gt;TODAY(),FDS(MO.ReportCurrency&amp;HP.TradeCurrency,"FG_PRICE(NOW)"),FDS(MO.ReportCurrency&amp;HP.TradeCurrency,"P_PRICE_AVG("&amp;INDEX(MO_SNA_FPStartDate,0,COLUMN())&amp;","&amp;INDEX(MO_Common_QEndDate,0,COLUMN())&amp;",,,,0)")),"N/A")</f>
        <v>N/A</v>
      </c>
      <c r="BF705" s="438" t="str">
        <f ca="1">IFERROR(IF(INDEX(MO_Common_QEndDate,0,COLUMN())&gt;TODAY(),FDS(MO.ReportCurrency&amp;HP.TradeCurrency,"FG_PRICE(NOW)"),FDS(MO.ReportCurrency&amp;HP.TradeCurrency,"P_PRICE_AVG("&amp;INDEX(MO_SNA_FPStartDate,0,COLUMN())&amp;","&amp;INDEX(MO_Common_QEndDate,0,COLUMN())&amp;",,,,0)")),"N/A")</f>
        <v>N/A</v>
      </c>
      <c r="BG705" s="438" t="str">
        <f ca="1">IFERROR(IF(INDEX(MO_Common_QEndDate,0,COLUMN())&gt;TODAY(),FDS(MO.ReportCurrency&amp;HP.TradeCurrency,"FG_PRICE(NOW)"),FDS(MO.ReportCurrency&amp;HP.TradeCurrency,"P_PRICE_AVG("&amp;INDEX(MO_SNA_FPStartDate,0,COLUMN())&amp;","&amp;INDEX(MO_Common_QEndDate,0,COLUMN())&amp;",,,,0)")),"N/A")</f>
        <v>N/A</v>
      </c>
      <c r="BH705" s="438" t="str">
        <f ca="1">IFERROR(IF(INDEX(MO_Common_QEndDate,0,COLUMN())&gt;TODAY(),FDS(MO.ReportCurrency&amp;HP.TradeCurrency,"FG_PRICE(NOW)"),FDS(MO.ReportCurrency&amp;HP.TradeCurrency,"P_PRICE_AVG("&amp;INDEX(MO_SNA_FPStartDate,0,COLUMN())&amp;","&amp;INDEX(MO_Common_QEndDate,0,COLUMN())&amp;",,,,0)")),"N/A")</f>
        <v>N/A</v>
      </c>
      <c r="BI705" s="438" t="str">
        <f ca="1">IFERROR(IF(INDEX(MO_Common_QEndDate,0,COLUMN())&gt;TODAY(),FDS(MO.ReportCurrency&amp;HP.TradeCurrency,"FG_PRICE(NOW)"),FDS(MO.ReportCurrency&amp;HP.TradeCurrency,"P_PRICE_AVG("&amp;INDEX(MO_SNA_FPStartDate,0,COLUMN())&amp;","&amp;INDEX(MO_Common_QEndDate,0,COLUMN())&amp;",,,,0)")),"N/A")</f>
        <v>N/A</v>
      </c>
      <c r="BJ705" s="438" t="str">
        <f ca="1">IFERROR(IF(INDEX(MO_Common_QEndDate,0,COLUMN())&gt;TODAY(),FDS(MO.ReportCurrency&amp;HP.TradeCurrency,"FG_PRICE(NOW)"),FDS(MO.ReportCurrency&amp;HP.TradeCurrency,"P_PRICE_AVG("&amp;INDEX(MO_SNA_FPStartDate,0,COLUMN())&amp;","&amp;INDEX(MO_Common_QEndDate,0,COLUMN())&amp;",,,,0)")),"N/A")</f>
        <v>N/A</v>
      </c>
      <c r="BK705" s="438" t="str">
        <f ca="1">IFERROR(IF(INDEX(MO_Common_QEndDate,0,COLUMN())&gt;TODAY(),FDS(MO.ReportCurrency&amp;HP.TradeCurrency,"FG_PRICE(NOW)"),FDS(MO.ReportCurrency&amp;HP.TradeCurrency,"P_PRICE_AVG("&amp;INDEX(MO_SNA_FPStartDate,0,COLUMN())&amp;","&amp;INDEX(MO_Common_QEndDate,0,COLUMN())&amp;",,,,0)")),"N/A")</f>
        <v>N/A</v>
      </c>
      <c r="BL705" s="438" t="str">
        <f ca="1">IFERROR(IF(INDEX(MO_Common_QEndDate,0,COLUMN())&gt;TODAY(),FDS(MO.ReportCurrency&amp;HP.TradeCurrency,"FG_PRICE(NOW)"),FDS(MO.ReportCurrency&amp;HP.TradeCurrency,"P_PRICE_AVG("&amp;INDEX(MO_SNA_FPStartDate,0,COLUMN())&amp;","&amp;INDEX(MO_Common_QEndDate,0,COLUMN())&amp;",,,,0)")),"N/A")</f>
        <v>N/A</v>
      </c>
      <c r="BM705" s="438" t="str">
        <f ca="1">IFERROR(IF(INDEX(MO_Common_QEndDate,0,COLUMN())&gt;TODAY(),FDS(MO.ReportCurrency&amp;HP.TradeCurrency,"FG_PRICE(NOW)"),FDS(MO.ReportCurrency&amp;HP.TradeCurrency,"P_PRICE_AVG("&amp;INDEX(MO_SNA_FPStartDate,0,COLUMN())&amp;","&amp;INDEX(MO_Common_QEndDate,0,COLUMN())&amp;",,,,0)")),"N/A")</f>
        <v>N/A</v>
      </c>
      <c r="BN705" s="438" t="str">
        <f ca="1">IFERROR(IF(INDEX(MO_Common_QEndDate,0,COLUMN())&gt;TODAY(),FDS(MO.ReportCurrency&amp;HP.TradeCurrency,"FG_PRICE(NOW)"),FDS(MO.ReportCurrency&amp;HP.TradeCurrency,"P_PRICE_AVG("&amp;INDEX(MO_SNA_FPStartDate,0,COLUMN())&amp;","&amp;INDEX(MO_Common_QEndDate,0,COLUMN())&amp;",,,,0)")),"N/A")</f>
        <v>N/A</v>
      </c>
      <c r="BO705" s="438" t="str">
        <f ca="1">IFERROR(IF(INDEX(MO_Common_QEndDate,0,COLUMN())&gt;TODAY(),FDS(MO.ReportCurrency&amp;HP.TradeCurrency,"FG_PRICE(NOW)"),FDS(MO.ReportCurrency&amp;HP.TradeCurrency,"P_PRICE_AVG("&amp;INDEX(MO_SNA_FPStartDate,0,COLUMN())&amp;","&amp;INDEX(MO_Common_QEndDate,0,COLUMN())&amp;",,,,0)")),"N/A")</f>
        <v>N/A</v>
      </c>
      <c r="BP705" s="438" t="str">
        <f ca="1">IFERROR(IF(INDEX(MO_Common_QEndDate,0,COLUMN())&gt;TODAY(),FDS(MO.ReportCurrency&amp;HP.TradeCurrency,"FG_PRICE(NOW)"),FDS(MO.ReportCurrency&amp;HP.TradeCurrency,"P_PRICE_AVG("&amp;INDEX(MO_SNA_FPStartDate,0,COLUMN())&amp;","&amp;INDEX(MO_Common_QEndDate,0,COLUMN())&amp;",,,,0)")),"N/A")</f>
        <v>N/A</v>
      </c>
      <c r="BQ705" s="438" t="str">
        <f ca="1">IFERROR(IF(INDEX(MO_Common_QEndDate,0,COLUMN())&gt;TODAY(),FDS(MO.ReportCurrency&amp;HP.TradeCurrency,"FG_PRICE(NOW)"),FDS(MO.ReportCurrency&amp;HP.TradeCurrency,"P_PRICE_AVG("&amp;INDEX(MO_SNA_FPStartDate,0,COLUMN())&amp;","&amp;INDEX(MO_Common_QEndDate,0,COLUMN())&amp;",,,,0)")),"N/A")</f>
        <v>N/A</v>
      </c>
      <c r="BR705" s="438" t="str">
        <f ca="1">IFERROR(IF(INDEX(MO_Common_QEndDate,0,COLUMN())&gt;TODAY(),FDS(MO.ReportCurrency&amp;HP.TradeCurrency,"FG_PRICE(NOW)"),FDS(MO.ReportCurrency&amp;HP.TradeCurrency,"P_PRICE_AVG("&amp;INDEX(MO_SNA_FPStartDate,0,COLUMN())&amp;","&amp;INDEX(MO_Common_QEndDate,0,COLUMN())&amp;",,,,0)")),"N/A")</f>
        <v>N/A</v>
      </c>
      <c r="BS705" s="439" t="str">
        <f ca="1">IFERROR(IF(INDEX(MO_Common_QEndDate,0,COLUMN())&gt;TODAY(),FDS(MO.ReportCurrency&amp;HP.TradeCurrency,"FG_PRICE(NOW)"),FDS(MO.ReportCurrency&amp;HP.TradeCurrency,"P_PRICE_AVG("&amp;INDEX(MO_SNA_FPStartDate,0,COLUMN())&amp;","&amp;INDEX(MO_Common_QEndDate,0,COLUMN())&amp;",,,,0)")),"N/A")</f>
        <v>N/A</v>
      </c>
      <c r="BT705" s="275"/>
    </row>
    <row r="706" spans="1:72" s="246" customFormat="1" hidden="1" outlineLevel="1" x14ac:dyDescent="0.35">
      <c r="A706" s="247" t="s">
        <v>497</v>
      </c>
      <c r="B706" s="438"/>
      <c r="C706" s="438" t="str">
        <f t="shared" ref="C706:AH706" si="887">"N/A"</f>
        <v>N/A</v>
      </c>
      <c r="D706" s="438" t="str">
        <f t="shared" si="887"/>
        <v>N/A</v>
      </c>
      <c r="E706" s="438" t="str">
        <f t="shared" si="887"/>
        <v>N/A</v>
      </c>
      <c r="F706" s="438" t="str">
        <f t="shared" si="887"/>
        <v>N/A</v>
      </c>
      <c r="G706" s="438" t="str">
        <f t="shared" si="887"/>
        <v>N/A</v>
      </c>
      <c r="H706" s="438" t="str">
        <f t="shared" si="887"/>
        <v>N/A</v>
      </c>
      <c r="I706" s="438" t="str">
        <f t="shared" si="887"/>
        <v>N/A</v>
      </c>
      <c r="J706" s="438" t="str">
        <f t="shared" si="887"/>
        <v>N/A</v>
      </c>
      <c r="K706" s="438" t="str">
        <f t="shared" si="887"/>
        <v>N/A</v>
      </c>
      <c r="L706" s="438" t="str">
        <f t="shared" si="887"/>
        <v>N/A</v>
      </c>
      <c r="M706" s="438" t="str">
        <f t="shared" si="887"/>
        <v>N/A</v>
      </c>
      <c r="N706" s="438" t="str">
        <f t="shared" si="887"/>
        <v>N/A</v>
      </c>
      <c r="O706" s="438" t="str">
        <f t="shared" si="887"/>
        <v>N/A</v>
      </c>
      <c r="P706" s="438" t="str">
        <f t="shared" si="887"/>
        <v>N/A</v>
      </c>
      <c r="Q706" s="438" t="str">
        <f t="shared" si="887"/>
        <v>N/A</v>
      </c>
      <c r="R706" s="438" t="str">
        <f t="shared" si="887"/>
        <v>N/A</v>
      </c>
      <c r="S706" s="438" t="str">
        <f t="shared" si="887"/>
        <v>N/A</v>
      </c>
      <c r="T706" s="438" t="str">
        <f t="shared" si="887"/>
        <v>N/A</v>
      </c>
      <c r="U706" s="438" t="str">
        <f t="shared" si="887"/>
        <v>N/A</v>
      </c>
      <c r="V706" s="438" t="str">
        <f t="shared" si="887"/>
        <v>N/A</v>
      </c>
      <c r="W706" s="438" t="str">
        <f t="shared" si="887"/>
        <v>N/A</v>
      </c>
      <c r="X706" s="438" t="str">
        <f t="shared" si="887"/>
        <v>N/A</v>
      </c>
      <c r="Y706" s="438" t="str">
        <f t="shared" si="887"/>
        <v>N/A</v>
      </c>
      <c r="Z706" s="438" t="str">
        <f t="shared" si="887"/>
        <v>N/A</v>
      </c>
      <c r="AA706" s="438" t="str">
        <f t="shared" si="887"/>
        <v>N/A</v>
      </c>
      <c r="AB706" s="438" t="str">
        <f t="shared" si="887"/>
        <v>N/A</v>
      </c>
      <c r="AC706" s="438" t="str">
        <f t="shared" si="887"/>
        <v>N/A</v>
      </c>
      <c r="AD706" s="438" t="str">
        <f t="shared" si="887"/>
        <v>N/A</v>
      </c>
      <c r="AE706" s="438" t="str">
        <f t="shared" si="887"/>
        <v>N/A</v>
      </c>
      <c r="AF706" s="438" t="str">
        <f t="shared" si="887"/>
        <v>N/A</v>
      </c>
      <c r="AG706" s="438" t="str">
        <f t="shared" si="887"/>
        <v>N/A</v>
      </c>
      <c r="AH706" s="438" t="str">
        <f t="shared" si="887"/>
        <v>N/A</v>
      </c>
      <c r="AI706" s="438" t="str">
        <f t="shared" ref="AI706:AX706" si="888">"N/A"</f>
        <v>N/A</v>
      </c>
      <c r="AJ706" s="438" t="str">
        <f t="shared" si="888"/>
        <v>N/A</v>
      </c>
      <c r="AK706" s="438" t="str">
        <f t="shared" si="888"/>
        <v>N/A</v>
      </c>
      <c r="AL706" s="438" t="str">
        <f t="shared" si="888"/>
        <v>N/A</v>
      </c>
      <c r="AM706" s="438" t="str">
        <f t="shared" si="888"/>
        <v>N/A</v>
      </c>
      <c r="AN706" s="438" t="str">
        <f t="shared" si="888"/>
        <v>N/A</v>
      </c>
      <c r="AO706" s="438" t="str">
        <f t="shared" si="888"/>
        <v>N/A</v>
      </c>
      <c r="AP706" s="438" t="str">
        <f t="shared" si="888"/>
        <v>N/A</v>
      </c>
      <c r="AQ706" s="438" t="str">
        <f t="shared" si="888"/>
        <v>N/A</v>
      </c>
      <c r="AR706" s="438" t="str">
        <f t="shared" si="888"/>
        <v>N/A</v>
      </c>
      <c r="AS706" s="438" t="str">
        <f t="shared" si="888"/>
        <v>N/A</v>
      </c>
      <c r="AT706" s="438" t="str">
        <f t="shared" si="888"/>
        <v>N/A</v>
      </c>
      <c r="AU706" s="438" t="str">
        <f t="shared" si="888"/>
        <v>N/A</v>
      </c>
      <c r="AV706" s="438" t="str">
        <f t="shared" si="888"/>
        <v>N/A</v>
      </c>
      <c r="AW706" s="438" t="str">
        <f t="shared" si="888"/>
        <v>N/A</v>
      </c>
      <c r="AX706" s="438" t="str">
        <f t="shared" si="888"/>
        <v>N/A</v>
      </c>
      <c r="AY706" s="438"/>
      <c r="AZ706" s="437" t="str">
        <f t="shared" ref="AZ706:BS706" si="889">"N/A"</f>
        <v>N/A</v>
      </c>
      <c r="BA706" s="437" t="str">
        <f t="shared" si="889"/>
        <v>N/A</v>
      </c>
      <c r="BB706" s="438" t="str">
        <f t="shared" si="889"/>
        <v>N/A</v>
      </c>
      <c r="BC706" s="438" t="str">
        <f t="shared" si="889"/>
        <v>N/A</v>
      </c>
      <c r="BD706" s="438" t="str">
        <f t="shared" si="889"/>
        <v>N/A</v>
      </c>
      <c r="BE706" s="438" t="str">
        <f t="shared" si="889"/>
        <v>N/A</v>
      </c>
      <c r="BF706" s="438" t="str">
        <f t="shared" si="889"/>
        <v>N/A</v>
      </c>
      <c r="BG706" s="438" t="str">
        <f t="shared" si="889"/>
        <v>N/A</v>
      </c>
      <c r="BH706" s="438" t="str">
        <f t="shared" si="889"/>
        <v>N/A</v>
      </c>
      <c r="BI706" s="438" t="str">
        <f t="shared" si="889"/>
        <v>N/A</v>
      </c>
      <c r="BJ706" s="438" t="str">
        <f t="shared" si="889"/>
        <v>N/A</v>
      </c>
      <c r="BK706" s="438" t="str">
        <f t="shared" si="889"/>
        <v>N/A</v>
      </c>
      <c r="BL706" s="438" t="str">
        <f t="shared" si="889"/>
        <v>N/A</v>
      </c>
      <c r="BM706" s="438" t="str">
        <f t="shared" si="889"/>
        <v>N/A</v>
      </c>
      <c r="BN706" s="438" t="str">
        <f t="shared" si="889"/>
        <v>N/A</v>
      </c>
      <c r="BO706" s="438" t="str">
        <f t="shared" si="889"/>
        <v>N/A</v>
      </c>
      <c r="BP706" s="438" t="str">
        <f t="shared" si="889"/>
        <v>N/A</v>
      </c>
      <c r="BQ706" s="438" t="str">
        <f t="shared" si="889"/>
        <v>N/A</v>
      </c>
      <c r="BR706" s="438" t="str">
        <f t="shared" si="889"/>
        <v>N/A</v>
      </c>
      <c r="BS706" s="439" t="str">
        <f t="shared" si="889"/>
        <v>N/A</v>
      </c>
      <c r="BT706" s="275"/>
    </row>
    <row r="707" spans="1:72" s="17" customFormat="1" hidden="1" outlineLevel="1" collapsed="1" x14ac:dyDescent="0.35">
      <c r="A707" s="139"/>
      <c r="B707" s="532"/>
      <c r="C707" s="532"/>
      <c r="D707" s="532"/>
      <c r="E707" s="532"/>
      <c r="F707" s="532"/>
      <c r="G707" s="532"/>
      <c r="H707" s="532"/>
      <c r="I707" s="532"/>
      <c r="J707" s="532"/>
      <c r="K707" s="532"/>
      <c r="L707" s="532"/>
      <c r="M707" s="532"/>
      <c r="N707" s="532"/>
      <c r="O707" s="532"/>
      <c r="P707" s="532"/>
      <c r="Q707" s="532"/>
      <c r="R707" s="532"/>
      <c r="S707" s="532"/>
      <c r="T707" s="532"/>
      <c r="U707" s="532"/>
      <c r="V707" s="532"/>
      <c r="W707" s="532"/>
      <c r="X707" s="532"/>
      <c r="Y707" s="532"/>
      <c r="Z707" s="532"/>
      <c r="AA707" s="532"/>
      <c r="AB707" s="532"/>
      <c r="AC707" s="532"/>
      <c r="AD707" s="532"/>
      <c r="AE707" s="532"/>
      <c r="AF707" s="532"/>
      <c r="AG707" s="532"/>
      <c r="AH707" s="532"/>
      <c r="AI707" s="532"/>
      <c r="AJ707" s="532"/>
      <c r="AK707" s="532"/>
      <c r="AL707" s="532"/>
      <c r="AM707" s="532"/>
      <c r="AN707" s="532"/>
      <c r="AO707" s="532"/>
      <c r="AP707" s="532"/>
      <c r="AQ707" s="532"/>
      <c r="AR707" s="532"/>
      <c r="AS707" s="532"/>
      <c r="AT707" s="532"/>
      <c r="AU707" s="532"/>
      <c r="AV707" s="532"/>
      <c r="AW707" s="532"/>
      <c r="AX707" s="532"/>
      <c r="AY707" s="532"/>
      <c r="AZ707" s="115"/>
      <c r="BA707" s="115"/>
      <c r="BB707" s="532"/>
      <c r="BC707" s="532"/>
      <c r="BD707" s="532"/>
      <c r="BE707" s="532"/>
      <c r="BF707" s="532"/>
      <c r="BG707" s="532"/>
      <c r="BH707" s="532"/>
      <c r="BI707" s="532"/>
      <c r="BJ707" s="532"/>
      <c r="BK707" s="532"/>
      <c r="BL707" s="532"/>
      <c r="BM707" s="532"/>
      <c r="BN707" s="532"/>
      <c r="BO707" s="532"/>
      <c r="BP707" s="532"/>
      <c r="BQ707" s="532"/>
      <c r="BR707" s="532"/>
      <c r="BS707" s="138"/>
      <c r="BT707" s="273"/>
    </row>
    <row r="708" spans="1:72" s="17" customFormat="1" collapsed="1" x14ac:dyDescent="0.35">
      <c r="A708" s="139" t="s">
        <v>605</v>
      </c>
      <c r="B708" s="532"/>
      <c r="C708" s="433">
        <f t="shared" ref="C708:AH708" si="890">WORKDAY(INDEX(MO_Common_QEndDate,0,COLUMN()),-1)</f>
        <v>41180</v>
      </c>
      <c r="D708" s="433">
        <f t="shared" si="890"/>
        <v>41271</v>
      </c>
      <c r="E708" s="433">
        <f t="shared" si="890"/>
        <v>41362</v>
      </c>
      <c r="F708" s="433">
        <f t="shared" si="890"/>
        <v>41453</v>
      </c>
      <c r="G708" s="433">
        <f t="shared" si="890"/>
        <v>41544</v>
      </c>
      <c r="H708" s="433">
        <f t="shared" si="890"/>
        <v>41638</v>
      </c>
      <c r="I708" s="433">
        <f t="shared" si="890"/>
        <v>41726</v>
      </c>
      <c r="J708" s="433">
        <f t="shared" si="890"/>
        <v>41817</v>
      </c>
      <c r="K708" s="433">
        <f t="shared" si="890"/>
        <v>41911</v>
      </c>
      <c r="L708" s="433">
        <f t="shared" si="890"/>
        <v>42003</v>
      </c>
      <c r="M708" s="433">
        <f t="shared" si="890"/>
        <v>42093</v>
      </c>
      <c r="N708" s="433">
        <f t="shared" si="890"/>
        <v>42184</v>
      </c>
      <c r="O708" s="433">
        <f t="shared" si="890"/>
        <v>42276</v>
      </c>
      <c r="P708" s="433">
        <f t="shared" si="890"/>
        <v>42368</v>
      </c>
      <c r="Q708" s="433">
        <f t="shared" si="890"/>
        <v>42459</v>
      </c>
      <c r="R708" s="433">
        <f t="shared" si="890"/>
        <v>42550</v>
      </c>
      <c r="S708" s="433">
        <f t="shared" si="890"/>
        <v>42642</v>
      </c>
      <c r="T708" s="433">
        <f t="shared" si="890"/>
        <v>42734</v>
      </c>
      <c r="U708" s="433">
        <f t="shared" si="890"/>
        <v>42824</v>
      </c>
      <c r="V708" s="433">
        <f t="shared" si="890"/>
        <v>42915</v>
      </c>
      <c r="W708" s="433">
        <f t="shared" si="890"/>
        <v>43007</v>
      </c>
      <c r="X708" s="433">
        <f t="shared" si="890"/>
        <v>43098</v>
      </c>
      <c r="Y708" s="433">
        <f t="shared" si="890"/>
        <v>43189</v>
      </c>
      <c r="Z708" s="433">
        <f t="shared" si="890"/>
        <v>43280</v>
      </c>
      <c r="AA708" s="433">
        <f t="shared" si="890"/>
        <v>43371</v>
      </c>
      <c r="AB708" s="433">
        <f t="shared" si="890"/>
        <v>43462</v>
      </c>
      <c r="AC708" s="433">
        <f t="shared" si="890"/>
        <v>43553</v>
      </c>
      <c r="AD708" s="433">
        <f t="shared" si="890"/>
        <v>43644</v>
      </c>
      <c r="AE708" s="433">
        <f t="shared" si="890"/>
        <v>43735</v>
      </c>
      <c r="AF708" s="433">
        <f t="shared" si="890"/>
        <v>43829</v>
      </c>
      <c r="AG708" s="433">
        <f t="shared" si="890"/>
        <v>43920</v>
      </c>
      <c r="AH708" s="433">
        <f t="shared" si="890"/>
        <v>44011</v>
      </c>
      <c r="AI708" s="433">
        <f t="shared" ref="AI708:AX708" si="891">WORKDAY(INDEX(MO_Common_QEndDate,0,COLUMN()),-1)</f>
        <v>44103</v>
      </c>
      <c r="AJ708" s="433">
        <f t="shared" si="891"/>
        <v>44195</v>
      </c>
      <c r="AK708" s="433">
        <f t="shared" si="891"/>
        <v>44285</v>
      </c>
      <c r="AL708" s="433">
        <f t="shared" si="891"/>
        <v>44376</v>
      </c>
      <c r="AM708" s="433">
        <f t="shared" si="891"/>
        <v>44468</v>
      </c>
      <c r="AN708" s="433">
        <f t="shared" si="891"/>
        <v>44560</v>
      </c>
      <c r="AO708" s="433">
        <f t="shared" si="891"/>
        <v>44650</v>
      </c>
      <c r="AP708" s="433">
        <f t="shared" si="891"/>
        <v>44741</v>
      </c>
      <c r="AQ708" s="433">
        <f t="shared" si="891"/>
        <v>44833</v>
      </c>
      <c r="AR708" s="433">
        <f t="shared" si="891"/>
        <v>44925</v>
      </c>
      <c r="AS708" s="433">
        <f t="shared" si="891"/>
        <v>45015</v>
      </c>
      <c r="AT708" s="433">
        <f t="shared" si="891"/>
        <v>45106</v>
      </c>
      <c r="AU708" s="433">
        <f t="shared" si="891"/>
        <v>45198</v>
      </c>
      <c r="AV708" s="433">
        <f t="shared" si="891"/>
        <v>45289</v>
      </c>
      <c r="AW708" s="433">
        <f t="shared" si="891"/>
        <v>45380</v>
      </c>
      <c r="AX708" s="433">
        <f t="shared" si="891"/>
        <v>45471</v>
      </c>
      <c r="AY708" s="433"/>
      <c r="AZ708" s="432">
        <f t="shared" ref="AZ708:BS708" si="892">WORKDAY(INDEX(MO_Common_QEndDate,0,COLUMN()),-1)</f>
        <v>39993</v>
      </c>
      <c r="BA708" s="432">
        <f t="shared" si="892"/>
        <v>40358</v>
      </c>
      <c r="BB708" s="433">
        <f t="shared" si="892"/>
        <v>40723</v>
      </c>
      <c r="BC708" s="433">
        <f t="shared" si="892"/>
        <v>41089</v>
      </c>
      <c r="BD708" s="433">
        <f t="shared" si="892"/>
        <v>41453</v>
      </c>
      <c r="BE708" s="433">
        <f t="shared" si="892"/>
        <v>41817</v>
      </c>
      <c r="BF708" s="433">
        <f t="shared" si="892"/>
        <v>42184</v>
      </c>
      <c r="BG708" s="433">
        <f t="shared" si="892"/>
        <v>42550</v>
      </c>
      <c r="BH708" s="433">
        <f t="shared" si="892"/>
        <v>42915</v>
      </c>
      <c r="BI708" s="433">
        <f t="shared" si="892"/>
        <v>43280</v>
      </c>
      <c r="BJ708" s="433">
        <f t="shared" si="892"/>
        <v>43644</v>
      </c>
      <c r="BK708" s="433">
        <f t="shared" si="892"/>
        <v>44011</v>
      </c>
      <c r="BL708" s="433">
        <f t="shared" si="892"/>
        <v>44376</v>
      </c>
      <c r="BM708" s="433">
        <f t="shared" si="892"/>
        <v>44741</v>
      </c>
      <c r="BN708" s="433">
        <f t="shared" si="892"/>
        <v>45106</v>
      </c>
      <c r="BO708" s="433">
        <f t="shared" si="892"/>
        <v>45471</v>
      </c>
      <c r="BP708" s="433" t="e">
        <f t="shared" si="892"/>
        <v>#REF!</v>
      </c>
      <c r="BQ708" s="433" t="e">
        <f t="shared" si="892"/>
        <v>#REF!</v>
      </c>
      <c r="BR708" s="433" t="e">
        <f t="shared" si="892"/>
        <v>#REF!</v>
      </c>
      <c r="BS708" s="434" t="e">
        <f t="shared" si="892"/>
        <v>#REF!</v>
      </c>
      <c r="BT708" s="273"/>
    </row>
    <row r="709" spans="1:72" s="17" customFormat="1" collapsed="1" x14ac:dyDescent="0.35">
      <c r="A709" s="139" t="s">
        <v>606</v>
      </c>
      <c r="B709" s="532"/>
      <c r="C709" s="661">
        <v>20.2</v>
      </c>
      <c r="D709" s="661">
        <v>20.11</v>
      </c>
      <c r="E709" s="661">
        <v>24.11</v>
      </c>
      <c r="F709" s="661">
        <v>26.27</v>
      </c>
      <c r="G709" s="661">
        <v>31.44</v>
      </c>
      <c r="H709" s="661">
        <v>21.72</v>
      </c>
      <c r="I709" s="661">
        <v>22.1</v>
      </c>
      <c r="J709" s="661">
        <v>24.32</v>
      </c>
      <c r="K709" s="661">
        <v>16.350000000000001</v>
      </c>
      <c r="L709" s="661">
        <v>11.85</v>
      </c>
      <c r="M709" s="661">
        <v>15.96</v>
      </c>
      <c r="N709" s="661">
        <v>13.2</v>
      </c>
      <c r="O709" s="661">
        <v>12.62</v>
      </c>
      <c r="P709" s="661">
        <v>8.8800000000000008</v>
      </c>
      <c r="Q709" s="661">
        <v>10.050000000000001</v>
      </c>
      <c r="R709" s="661">
        <v>12.09</v>
      </c>
      <c r="S709" s="661">
        <v>14.05</v>
      </c>
      <c r="T709" s="661">
        <v>17.16</v>
      </c>
      <c r="U709" s="661">
        <v>18.649999999999999</v>
      </c>
      <c r="V709" s="661">
        <v>18.03</v>
      </c>
      <c r="W709" s="661">
        <v>17.84</v>
      </c>
      <c r="X709" s="661">
        <v>15.9</v>
      </c>
      <c r="Y709" s="661">
        <v>14.18</v>
      </c>
      <c r="Z709" s="661">
        <v>16.37</v>
      </c>
      <c r="AA709" s="661">
        <v>17.7</v>
      </c>
      <c r="AB709" s="661">
        <v>24.42</v>
      </c>
      <c r="AC709" s="661">
        <v>34.130000000000003</v>
      </c>
      <c r="AD709" s="661">
        <v>30.41</v>
      </c>
      <c r="AE709" s="661">
        <v>26.48</v>
      </c>
      <c r="AF709" s="661">
        <v>19.850000000000001</v>
      </c>
      <c r="AG709" s="661">
        <v>18.57</v>
      </c>
      <c r="AH709" s="661">
        <v>26.72</v>
      </c>
      <c r="AI709" s="661">
        <v>27.08</v>
      </c>
      <c r="AJ709" s="661">
        <v>21.58</v>
      </c>
      <c r="AK709" s="661">
        <v>29.6</v>
      </c>
      <c r="AL709" s="661">
        <v>32.630000000000003</v>
      </c>
      <c r="AM709" s="661">
        <v>35.07</v>
      </c>
      <c r="AN709" s="661">
        <v>33.11</v>
      </c>
      <c r="AO709" s="661">
        <v>35.770000000000003</v>
      </c>
      <c r="AP709" s="661">
        <v>41.31</v>
      </c>
      <c r="AQ709" s="661">
        <v>42.37</v>
      </c>
      <c r="AR709" s="661">
        <v>31.28</v>
      </c>
      <c r="AS709" s="661">
        <v>39.03</v>
      </c>
      <c r="AT709" s="661">
        <v>37.29</v>
      </c>
      <c r="AU709" s="661">
        <v>45.03</v>
      </c>
      <c r="AV709" s="435"/>
      <c r="AW709" s="435"/>
      <c r="AX709" s="435"/>
      <c r="AY709" s="435"/>
      <c r="AZ709" s="662">
        <v>20.88</v>
      </c>
      <c r="BA709" s="662">
        <v>23.02</v>
      </c>
      <c r="BB709" s="661">
        <v>32.76</v>
      </c>
      <c r="BC709" s="661">
        <v>23.3</v>
      </c>
      <c r="BD709" s="661">
        <v>26.27</v>
      </c>
      <c r="BE709" s="661">
        <v>24.32</v>
      </c>
      <c r="BF709" s="661">
        <v>13.2</v>
      </c>
      <c r="BG709" s="661">
        <v>12.09</v>
      </c>
      <c r="BH709" s="661">
        <v>18.03</v>
      </c>
      <c r="BI709" s="661">
        <v>16.37</v>
      </c>
      <c r="BJ709" s="661">
        <v>30.41</v>
      </c>
      <c r="BK709" s="661">
        <v>26.72</v>
      </c>
      <c r="BL709" s="661">
        <v>32.630000000000003</v>
      </c>
      <c r="BM709" s="661">
        <v>41.31</v>
      </c>
      <c r="BN709" s="661">
        <v>37.29</v>
      </c>
      <c r="BO709" s="435"/>
      <c r="BP709" s="435"/>
      <c r="BQ709" s="435"/>
      <c r="BR709" s="435"/>
      <c r="BS709" s="436"/>
      <c r="BT709" s="273"/>
    </row>
    <row r="710" spans="1:72" s="17" customFormat="1" collapsed="1" x14ac:dyDescent="0.35">
      <c r="A710" s="139" t="s">
        <v>607</v>
      </c>
      <c r="B710" s="532"/>
      <c r="C710" s="659">
        <v>1</v>
      </c>
      <c r="D710" s="659">
        <v>1</v>
      </c>
      <c r="E710" s="659">
        <v>1</v>
      </c>
      <c r="F710" s="659">
        <v>1</v>
      </c>
      <c r="G710" s="659">
        <v>1</v>
      </c>
      <c r="H710" s="659">
        <v>1</v>
      </c>
      <c r="I710" s="659">
        <v>1</v>
      </c>
      <c r="J710" s="659">
        <v>1</v>
      </c>
      <c r="K710" s="659">
        <v>1</v>
      </c>
      <c r="L710" s="659">
        <v>1</v>
      </c>
      <c r="M710" s="659">
        <v>1</v>
      </c>
      <c r="N710" s="659">
        <v>1</v>
      </c>
      <c r="O710" s="659">
        <v>1</v>
      </c>
      <c r="P710" s="659">
        <v>1</v>
      </c>
      <c r="Q710" s="659">
        <v>1</v>
      </c>
      <c r="R710" s="659">
        <v>1</v>
      </c>
      <c r="S710" s="659">
        <v>1</v>
      </c>
      <c r="T710" s="659">
        <v>1</v>
      </c>
      <c r="U710" s="659">
        <v>1</v>
      </c>
      <c r="V710" s="659">
        <v>1</v>
      </c>
      <c r="W710" s="659">
        <v>1</v>
      </c>
      <c r="X710" s="659">
        <v>1</v>
      </c>
      <c r="Y710" s="659">
        <v>1</v>
      </c>
      <c r="Z710" s="659">
        <v>1</v>
      </c>
      <c r="AA710" s="659">
        <v>1</v>
      </c>
      <c r="AB710" s="659">
        <v>1</v>
      </c>
      <c r="AC710" s="659">
        <v>1</v>
      </c>
      <c r="AD710" s="659">
        <v>1</v>
      </c>
      <c r="AE710" s="659">
        <v>1</v>
      </c>
      <c r="AF710" s="659">
        <v>1</v>
      </c>
      <c r="AG710" s="659">
        <v>1</v>
      </c>
      <c r="AH710" s="659">
        <v>1</v>
      </c>
      <c r="AI710" s="659">
        <v>1</v>
      </c>
      <c r="AJ710" s="659">
        <v>1</v>
      </c>
      <c r="AK710" s="659">
        <v>1</v>
      </c>
      <c r="AL710" s="659">
        <v>1</v>
      </c>
      <c r="AM710" s="659">
        <v>1</v>
      </c>
      <c r="AN710" s="659">
        <v>1</v>
      </c>
      <c r="AO710" s="659">
        <v>1</v>
      </c>
      <c r="AP710" s="659">
        <v>1</v>
      </c>
      <c r="AQ710" s="659">
        <v>1</v>
      </c>
      <c r="AR710" s="659">
        <v>1</v>
      </c>
      <c r="AS710" s="659">
        <v>1</v>
      </c>
      <c r="AT710" s="659">
        <v>1</v>
      </c>
      <c r="AU710" s="659">
        <v>1</v>
      </c>
      <c r="AV710" s="438"/>
      <c r="AW710" s="438"/>
      <c r="AX710" s="438"/>
      <c r="AY710" s="438"/>
      <c r="AZ710" s="660">
        <v>1</v>
      </c>
      <c r="BA710" s="660">
        <v>1</v>
      </c>
      <c r="BB710" s="659">
        <v>1</v>
      </c>
      <c r="BC710" s="659">
        <v>1</v>
      </c>
      <c r="BD710" s="659">
        <v>1</v>
      </c>
      <c r="BE710" s="659">
        <v>1</v>
      </c>
      <c r="BF710" s="659">
        <v>1</v>
      </c>
      <c r="BG710" s="659">
        <v>1</v>
      </c>
      <c r="BH710" s="659">
        <v>1</v>
      </c>
      <c r="BI710" s="659">
        <v>1</v>
      </c>
      <c r="BJ710" s="659">
        <v>1</v>
      </c>
      <c r="BK710" s="659">
        <v>1</v>
      </c>
      <c r="BL710" s="659">
        <v>1</v>
      </c>
      <c r="BM710" s="659">
        <v>1</v>
      </c>
      <c r="BN710" s="659">
        <v>1</v>
      </c>
      <c r="BO710" s="438"/>
      <c r="BP710" s="438"/>
      <c r="BQ710" s="438"/>
      <c r="BR710" s="438"/>
      <c r="BS710" s="439"/>
      <c r="BT710" s="273"/>
    </row>
    <row r="711" spans="1:72" s="17" customFormat="1" collapsed="1" x14ac:dyDescent="0.35">
      <c r="A711" s="440"/>
      <c r="B711" s="535"/>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c r="Z711" s="442"/>
      <c r="AA711" s="442"/>
      <c r="AB711" s="442"/>
      <c r="AC711" s="442"/>
      <c r="AD711" s="442"/>
      <c r="AE711" s="442"/>
      <c r="AF711" s="442"/>
      <c r="AG711" s="442"/>
      <c r="AH711" s="442"/>
      <c r="AI711" s="442"/>
      <c r="AJ711" s="442"/>
      <c r="AK711" s="442"/>
      <c r="AL711" s="442"/>
      <c r="AM711" s="442"/>
      <c r="AN711" s="442"/>
      <c r="AO711" s="442"/>
      <c r="AP711" s="442"/>
      <c r="AQ711" s="442"/>
      <c r="AR711" s="442"/>
      <c r="AS711" s="442"/>
      <c r="AT711" s="442"/>
      <c r="AU711" s="442"/>
      <c r="AV711" s="442"/>
      <c r="AW711" s="442"/>
      <c r="AX711" s="442"/>
      <c r="AY711" s="442"/>
      <c r="AZ711" s="441"/>
      <c r="BA711" s="441"/>
      <c r="BB711" s="442"/>
      <c r="BC711" s="442"/>
      <c r="BD711" s="442"/>
      <c r="BE711" s="442"/>
      <c r="BF711" s="442"/>
      <c r="BG711" s="442"/>
      <c r="BH711" s="442"/>
      <c r="BI711" s="442"/>
      <c r="BJ711" s="442"/>
      <c r="BK711" s="442"/>
      <c r="BL711" s="442"/>
      <c r="BM711" s="442"/>
      <c r="BN711" s="442"/>
      <c r="BO711" s="442"/>
      <c r="BP711" s="442"/>
      <c r="BQ711" s="442"/>
      <c r="BR711" s="442"/>
      <c r="BS711" s="443"/>
      <c r="BT711" s="273"/>
    </row>
    <row r="712" spans="1:72" s="17" customFormat="1" x14ac:dyDescent="0.35">
      <c r="A712" s="386"/>
      <c r="B712" s="387"/>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c r="Y712" s="233"/>
      <c r="Z712" s="233"/>
      <c r="AA712" s="233"/>
      <c r="AB712" s="233"/>
      <c r="AC712" s="233"/>
      <c r="AD712" s="233"/>
      <c r="AE712" s="233"/>
      <c r="AF712" s="233"/>
      <c r="AG712" s="233"/>
      <c r="AH712" s="233"/>
      <c r="AI712" s="233"/>
      <c r="AJ712" s="233"/>
      <c r="AK712" s="233"/>
      <c r="AL712" s="233"/>
      <c r="AM712" s="233"/>
      <c r="AN712" s="233"/>
      <c r="AO712" s="233"/>
      <c r="AP712" s="233"/>
      <c r="AQ712" s="233"/>
      <c r="AR712" s="233"/>
      <c r="AS712" s="233"/>
      <c r="AT712" s="233"/>
      <c r="AU712" s="233"/>
      <c r="AV712" s="233"/>
      <c r="AW712" s="233"/>
      <c r="AX712" s="233"/>
      <c r="AY712" s="233"/>
      <c r="AZ712" s="234"/>
      <c r="BA712" s="234"/>
      <c r="BB712" s="233"/>
      <c r="BC712" s="233"/>
      <c r="BD712" s="233"/>
      <c r="BE712" s="233"/>
      <c r="BF712" s="233"/>
      <c r="BG712" s="233"/>
      <c r="BH712" s="233"/>
      <c r="BI712" s="233"/>
      <c r="BJ712" s="233"/>
      <c r="BK712" s="233"/>
      <c r="BL712" s="233"/>
      <c r="BM712" s="233"/>
      <c r="BN712" s="233"/>
      <c r="BO712" s="233"/>
      <c r="BP712" s="233"/>
      <c r="BQ712" s="233"/>
      <c r="BR712" s="233"/>
      <c r="BS712" s="233"/>
      <c r="BT712" s="533"/>
    </row>
    <row r="713" spans="1:72" s="17" customFormat="1" x14ac:dyDescent="0.35">
      <c r="A713" s="205" t="s">
        <v>265</v>
      </c>
      <c r="B713" s="233"/>
      <c r="C713" s="532"/>
      <c r="D713" s="532"/>
      <c r="E713" s="532"/>
      <c r="F713" s="532"/>
      <c r="G713" s="532"/>
      <c r="H713" s="532"/>
      <c r="I713" s="532"/>
      <c r="J713" s="532"/>
      <c r="K713" s="532"/>
      <c r="L713" s="532"/>
      <c r="M713" s="532"/>
      <c r="N713" s="532"/>
      <c r="O713" s="532"/>
      <c r="P713" s="532"/>
      <c r="Q713" s="532"/>
      <c r="R713" s="532"/>
      <c r="S713" s="532"/>
      <c r="T713" s="532"/>
      <c r="U713" s="532"/>
      <c r="V713" s="532"/>
      <c r="W713" s="532"/>
      <c r="X713" s="532"/>
      <c r="Y713" s="532"/>
      <c r="Z713" s="532"/>
      <c r="AA713" s="532"/>
      <c r="AB713" s="532"/>
      <c r="AC713" s="532"/>
      <c r="AD713" s="532"/>
      <c r="AE713" s="532"/>
      <c r="AF713" s="532"/>
      <c r="AG713" s="532"/>
      <c r="AH713" s="532"/>
      <c r="AI713" s="532"/>
      <c r="AJ713" s="532"/>
      <c r="AK713" s="532"/>
      <c r="AL713" s="532"/>
      <c r="AM713" s="532"/>
      <c r="AN713" s="532"/>
      <c r="AO713" s="532"/>
      <c r="AP713" s="532"/>
      <c r="AQ713" s="532"/>
      <c r="AR713" s="532"/>
      <c r="AS713" s="532"/>
      <c r="AT713" s="532"/>
      <c r="AU713" s="532"/>
      <c r="AV713" s="532"/>
      <c r="AW713" s="532"/>
      <c r="AX713" s="532"/>
      <c r="AY713" s="532"/>
      <c r="AZ713" s="532"/>
      <c r="BA713" s="532"/>
      <c r="BB713" s="532"/>
      <c r="BC713" s="532"/>
      <c r="BD713" s="532"/>
      <c r="BE713" s="532"/>
      <c r="BF713" s="532"/>
      <c r="BG713" s="532"/>
      <c r="BH713" s="532"/>
      <c r="BI713" s="532"/>
      <c r="BJ713" s="532"/>
      <c r="BK713" s="532"/>
      <c r="BL713" s="532"/>
      <c r="BM713" s="532"/>
      <c r="BN713" s="532"/>
      <c r="BO713" s="532"/>
      <c r="BP713" s="532"/>
      <c r="BQ713" s="532"/>
      <c r="BR713" s="532"/>
      <c r="BS713" s="532"/>
      <c r="BT713" s="533"/>
    </row>
    <row r="714" spans="1:72" s="242" customFormat="1" x14ac:dyDescent="0.35">
      <c r="A714" s="248" t="s">
        <v>266</v>
      </c>
      <c r="B714" s="239">
        <f>FP.LastPrice</f>
        <v>54.44</v>
      </c>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c r="BQ714" s="239"/>
      <c r="BR714" s="239"/>
      <c r="BS714" s="239"/>
      <c r="BT714" s="207"/>
    </row>
    <row r="715" spans="1:72" x14ac:dyDescent="0.35">
      <c r="A715" s="208" t="s">
        <v>267</v>
      </c>
      <c r="B715" s="395">
        <f>FP.LastPriceDate</f>
        <v>45226</v>
      </c>
      <c r="C715" s="144"/>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c r="Z715" s="144"/>
      <c r="AA715" s="144"/>
      <c r="AB715" s="144"/>
      <c r="AC715" s="144"/>
      <c r="AD715" s="144"/>
      <c r="AE715" s="144"/>
      <c r="AF715" s="144"/>
      <c r="AG715" s="144"/>
      <c r="AH715" s="144"/>
      <c r="AI715" s="144"/>
      <c r="AJ715" s="144"/>
      <c r="AK715" s="144"/>
      <c r="AL715" s="144"/>
      <c r="AM715" s="144"/>
      <c r="AN715" s="144"/>
      <c r="AO715" s="144"/>
      <c r="AP715" s="144"/>
      <c r="AQ715" s="144"/>
      <c r="AR715" s="144"/>
      <c r="AS715" s="144"/>
      <c r="AT715" s="144"/>
      <c r="AU715" s="144"/>
      <c r="AV715" s="144"/>
      <c r="AW715" s="144"/>
      <c r="AX715" s="144"/>
      <c r="AY715" s="144"/>
      <c r="AZ715" s="144"/>
      <c r="BA715" s="144"/>
      <c r="BB715" s="144"/>
      <c r="BC715" s="144"/>
      <c r="BD715" s="144"/>
      <c r="BE715" s="144"/>
      <c r="BF715" s="144"/>
      <c r="BG715" s="144"/>
      <c r="BH715" s="144"/>
      <c r="BI715" s="144"/>
      <c r="BJ715" s="144"/>
      <c r="BK715" s="144"/>
      <c r="BL715" s="144"/>
      <c r="BM715" s="144"/>
      <c r="BN715" s="144"/>
      <c r="BO715" s="144"/>
      <c r="BP715" s="144"/>
      <c r="BQ715" s="144"/>
      <c r="BR715" s="144"/>
      <c r="BS715" s="144"/>
      <c r="BT715" s="209"/>
    </row>
    <row r="716" spans="1:72" x14ac:dyDescent="0.35">
      <c r="A716" s="208" t="s">
        <v>268</v>
      </c>
      <c r="B716" s="209" t="b">
        <f>IF(FP.RealTimeToggle="ON",TRUE,FALSE)</f>
        <v>0</v>
      </c>
      <c r="C716" s="144"/>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c r="Z716" s="144"/>
      <c r="AA716" s="144"/>
      <c r="AB716" s="144"/>
      <c r="AC716" s="144"/>
      <c r="AD716" s="144"/>
      <c r="AE716" s="144"/>
      <c r="AF716" s="144"/>
      <c r="AG716" s="144"/>
      <c r="AH716" s="144"/>
      <c r="AI716" s="144"/>
      <c r="AJ716" s="144"/>
      <c r="AK716" s="144"/>
      <c r="AL716" s="144"/>
      <c r="AM716" s="144"/>
      <c r="AN716" s="144"/>
      <c r="AO716" s="144"/>
      <c r="AP716" s="144"/>
      <c r="AQ716" s="144"/>
      <c r="AR716" s="144"/>
      <c r="AS716" s="144"/>
      <c r="AT716" s="144"/>
      <c r="AU716" s="144"/>
      <c r="AV716" s="144"/>
      <c r="AW716" s="144"/>
      <c r="AX716" s="144"/>
      <c r="AY716" s="144"/>
      <c r="AZ716" s="144"/>
      <c r="BA716" s="144"/>
      <c r="BB716" s="144"/>
      <c r="BC716" s="144"/>
      <c r="BD716" s="144"/>
      <c r="BE716" s="144"/>
      <c r="BF716" s="144"/>
      <c r="BG716" s="144"/>
      <c r="BH716" s="144"/>
      <c r="BI716" s="144"/>
      <c r="BJ716" s="144"/>
      <c r="BK716" s="144"/>
      <c r="BL716" s="144"/>
      <c r="BM716" s="144"/>
      <c r="BN716" s="144"/>
      <c r="BO716" s="144"/>
      <c r="BP716" s="144"/>
      <c r="BQ716" s="144"/>
      <c r="BR716" s="144"/>
      <c r="BS716" s="144"/>
      <c r="BT716" s="209"/>
    </row>
    <row r="717" spans="1:72" s="242" customFormat="1" x14ac:dyDescent="0.35">
      <c r="A717" s="248" t="s">
        <v>269</v>
      </c>
      <c r="B717" s="207" t="str">
        <f ca="1">IFERROR(CHOOSE(MO.DataSourceIndex,BDP(MO.Ticker.Bloomberg&amp;" EQUITY","LAST_PRICE"),_xll.ciqfunctions.udf.CIQ(MO.Ticker.CapIQ,"IQ_LASTSALEPRICE"),FDS(MO.Ticker.FactSet,"FG_PRICE(NOW)"),_xll.TR(MO.Ticker.Thomson,"TRDPRC_1")),"N/A")</f>
        <v>N/A</v>
      </c>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c r="BQ717" s="239"/>
      <c r="BR717" s="239"/>
      <c r="BS717" s="239"/>
      <c r="BT717" s="207"/>
    </row>
    <row r="718" spans="1:72" s="242" customFormat="1" x14ac:dyDescent="0.35">
      <c r="A718" s="248" t="s">
        <v>635</v>
      </c>
      <c r="B718" s="207" t="b">
        <f>OR(AND(OR(EXACT(HP.TradeCurrency.HardCoded,"GBp"),EXACT(HP.TradeCurrency.HardCoded,"GBX")),EXACT(HP.ReportCurrency,"GBP")),AND(OR(EXACT(HP.TradeCurrency.HardCoded,"ZAc"),EXACT(HP.TradeCurrency.HardCoded,"ZAC")),EXACT(HP.ReportCurrency,"ZAR")))</f>
        <v>0</v>
      </c>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c r="BQ718" s="239"/>
      <c r="BR718" s="239"/>
      <c r="BS718" s="239"/>
      <c r="BT718" s="207"/>
    </row>
    <row r="719" spans="1:72" s="242" customFormat="1" x14ac:dyDescent="0.35">
      <c r="A719" s="248" t="s">
        <v>270</v>
      </c>
      <c r="B719" s="207" t="str">
        <f ca="1">IFERROR(CHOOSE(MO.DataSourceIndex,BDP(HP.Ticker&amp;" Equity","CRNCY"),_xll.ciqfunctions.udf.CIQ(HP.Ticker,"IQ_TRADING_CURRENCY"),FDS(HP.Ticker,"P_CURRENCY(""ISO"")"),_xll.TR(HP.Ticker,"Currency")),HP.TradeCurrency.HardCoded)</f>
        <v>USD</v>
      </c>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c r="BQ719" s="239"/>
      <c r="BR719" s="239"/>
      <c r="BS719" s="239"/>
      <c r="BT719" s="207"/>
    </row>
    <row r="720" spans="1:72" s="242" customFormat="1" x14ac:dyDescent="0.35">
      <c r="A720" s="248" t="s">
        <v>271</v>
      </c>
      <c r="B720" s="657" t="s">
        <v>10</v>
      </c>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c r="BQ720" s="239"/>
      <c r="BR720" s="239"/>
      <c r="BS720" s="239"/>
      <c r="BT720" s="207"/>
    </row>
    <row r="721" spans="1:72" s="242" customFormat="1" x14ac:dyDescent="0.35">
      <c r="A721" s="248" t="s">
        <v>272</v>
      </c>
      <c r="B721" s="657" t="s">
        <v>10</v>
      </c>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c r="BQ721" s="239"/>
      <c r="BR721" s="239"/>
      <c r="BS721" s="239"/>
      <c r="BT721" s="207"/>
    </row>
    <row r="722" spans="1:72" s="242" customFormat="1" x14ac:dyDescent="0.35">
      <c r="A722" s="248" t="s">
        <v>273</v>
      </c>
      <c r="B722" s="245">
        <f ca="1">IF(EXACT(MO.ReportFX,HP.TradeCurrency),1,IF(OR(INDEX(MO_SPT_FXAverage,1,MO.MRFPColumnNumber+1)="N/A",ISERROR(INDEX(MO_SPT_FXAverage,1,MO.MRFPColumnNumber+1))),MO.MRFX.Hardcoded,INDEX(MO_SPT_FXAverage,1,MO.MRFPColumnNumber+1)))</f>
        <v>1</v>
      </c>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c r="BQ722" s="239"/>
      <c r="BR722" s="239"/>
      <c r="BS722" s="239"/>
      <c r="BT722" s="207"/>
    </row>
    <row r="723" spans="1:72" s="242" customFormat="1" x14ac:dyDescent="0.35">
      <c r="A723" s="248" t="s">
        <v>274</v>
      </c>
      <c r="B723" s="659">
        <v>1</v>
      </c>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c r="BQ723" s="239"/>
      <c r="BR723" s="239"/>
      <c r="BS723" s="239"/>
      <c r="BT723" s="207"/>
    </row>
    <row r="724" spans="1:72" s="206" customFormat="1" x14ac:dyDescent="0.35">
      <c r="A724" s="210" t="s">
        <v>275</v>
      </c>
      <c r="B724" s="211">
        <f>MATCH(MO.MRFP,MO_Common_ColumnHeader,0)</f>
        <v>47</v>
      </c>
      <c r="C724" s="384"/>
      <c r="D724" s="384"/>
      <c r="E724" s="384"/>
      <c r="F724" s="384"/>
      <c r="G724" s="384"/>
      <c r="H724" s="384"/>
      <c r="I724" s="384"/>
      <c r="J724" s="384"/>
      <c r="K724" s="384"/>
      <c r="L724" s="384"/>
      <c r="M724" s="384"/>
      <c r="N724" s="384"/>
      <c r="O724" s="384"/>
      <c r="P724" s="384"/>
      <c r="Q724" s="384"/>
      <c r="R724" s="384"/>
      <c r="S724" s="384"/>
      <c r="T724" s="384"/>
      <c r="U724" s="384"/>
      <c r="V724" s="384"/>
      <c r="W724" s="384"/>
      <c r="X724" s="384"/>
      <c r="Y724" s="384"/>
      <c r="Z724" s="384"/>
      <c r="AA724" s="384"/>
      <c r="AB724" s="384"/>
      <c r="AC724" s="384"/>
      <c r="AD724" s="384"/>
      <c r="AE724" s="384"/>
      <c r="AF724" s="384"/>
      <c r="AG724" s="384"/>
      <c r="AH724" s="384"/>
      <c r="AI724" s="384"/>
      <c r="AJ724" s="384"/>
      <c r="AK724" s="384"/>
      <c r="AL724" s="384"/>
      <c r="AM724" s="384"/>
      <c r="AN724" s="384"/>
      <c r="AO724" s="384"/>
      <c r="AP724" s="384"/>
      <c r="AQ724" s="384"/>
      <c r="AR724" s="384"/>
      <c r="AS724" s="384"/>
      <c r="AT724" s="384"/>
      <c r="AU724" s="384"/>
      <c r="AV724" s="384"/>
      <c r="AW724" s="384"/>
      <c r="AX724" s="384"/>
      <c r="AY724" s="384"/>
      <c r="AZ724" s="384"/>
      <c r="BA724" s="384"/>
      <c r="BB724" s="384"/>
      <c r="BC724" s="384"/>
      <c r="BD724" s="384"/>
      <c r="BE724" s="384"/>
      <c r="BF724" s="384"/>
      <c r="BG724" s="384"/>
      <c r="BH724" s="384"/>
      <c r="BI724" s="384"/>
      <c r="BJ724" s="384"/>
      <c r="BK724" s="384"/>
      <c r="BL724" s="384"/>
      <c r="BM724" s="384"/>
      <c r="BN724" s="384"/>
      <c r="BO724" s="384"/>
      <c r="BP724" s="384"/>
      <c r="BQ724" s="384"/>
      <c r="BR724" s="384"/>
      <c r="BS724" s="384"/>
      <c r="BT724" s="211"/>
    </row>
    <row r="725" spans="1:72" s="206" customFormat="1" x14ac:dyDescent="0.35">
      <c r="A725" s="210" t="s">
        <v>276</v>
      </c>
      <c r="B725" s="663" t="s">
        <v>648</v>
      </c>
      <c r="C725" s="384"/>
      <c r="D725" s="384"/>
      <c r="E725" s="384"/>
      <c r="F725" s="384"/>
      <c r="G725" s="384"/>
      <c r="H725" s="384"/>
      <c r="I725" s="384"/>
      <c r="J725" s="384"/>
      <c r="K725" s="384"/>
      <c r="L725" s="384"/>
      <c r="M725" s="384"/>
      <c r="N725" s="384"/>
      <c r="O725" s="384"/>
      <c r="P725" s="384"/>
      <c r="Q725" s="384"/>
      <c r="R725" s="384"/>
      <c r="S725" s="384"/>
      <c r="T725" s="384"/>
      <c r="U725" s="384"/>
      <c r="V725" s="384"/>
      <c r="W725" s="384"/>
      <c r="X725" s="384"/>
      <c r="Y725" s="384"/>
      <c r="Z725" s="384"/>
      <c r="AA725" s="384"/>
      <c r="AB725" s="384"/>
      <c r="AC725" s="384"/>
      <c r="AD725" s="384"/>
      <c r="AE725" s="384"/>
      <c r="AF725" s="384"/>
      <c r="AG725" s="384"/>
      <c r="AH725" s="384"/>
      <c r="AI725" s="384"/>
      <c r="AJ725" s="384"/>
      <c r="AK725" s="384"/>
      <c r="AL725" s="384"/>
      <c r="AM725" s="384"/>
      <c r="AN725" s="384"/>
      <c r="AO725" s="384"/>
      <c r="AP725" s="384"/>
      <c r="AQ725" s="384"/>
      <c r="AR725" s="384"/>
      <c r="AS725" s="384"/>
      <c r="AT725" s="384"/>
      <c r="AU725" s="384"/>
      <c r="AV725" s="384"/>
      <c r="AW725" s="384"/>
      <c r="AX725" s="384"/>
      <c r="AY725" s="384"/>
      <c r="AZ725" s="384"/>
      <c r="BA725" s="384"/>
      <c r="BB725" s="384"/>
      <c r="BC725" s="384"/>
      <c r="BD725" s="384"/>
      <c r="BE725" s="384"/>
      <c r="BF725" s="384"/>
      <c r="BG725" s="384"/>
      <c r="BH725" s="384"/>
      <c r="BI725" s="384"/>
      <c r="BJ725" s="384"/>
      <c r="BK725" s="384"/>
      <c r="BL725" s="384"/>
      <c r="BM725" s="384"/>
      <c r="BN725" s="384"/>
      <c r="BO725" s="384"/>
      <c r="BP725" s="384"/>
      <c r="BQ725" s="384"/>
      <c r="BR725" s="384"/>
      <c r="BS725" s="384"/>
      <c r="BT725" s="211"/>
    </row>
    <row r="726" spans="1:72" s="206" customFormat="1" x14ac:dyDescent="0.35">
      <c r="A726" s="210" t="s">
        <v>277</v>
      </c>
      <c r="B726" s="211" t="str">
        <f>"FY"&amp;RIGHT(MO.MRFP,4)</f>
        <v>FY2024</v>
      </c>
      <c r="C726" s="384"/>
      <c r="D726" s="384"/>
      <c r="E726" s="384"/>
      <c r="F726" s="384"/>
      <c r="G726" s="384"/>
      <c r="H726" s="384"/>
      <c r="I726" s="384"/>
      <c r="J726" s="384"/>
      <c r="K726" s="384"/>
      <c r="L726" s="384"/>
      <c r="M726" s="384"/>
      <c r="N726" s="384"/>
      <c r="O726" s="384"/>
      <c r="P726" s="384"/>
      <c r="Q726" s="384"/>
      <c r="R726" s="384"/>
      <c r="S726" s="384"/>
      <c r="T726" s="384"/>
      <c r="U726" s="384"/>
      <c r="V726" s="384"/>
      <c r="W726" s="384"/>
      <c r="X726" s="384"/>
      <c r="Y726" s="384"/>
      <c r="Z726" s="384"/>
      <c r="AA726" s="384"/>
      <c r="AB726" s="384"/>
      <c r="AC726" s="384"/>
      <c r="AD726" s="384"/>
      <c r="AE726" s="384"/>
      <c r="AF726" s="384"/>
      <c r="AG726" s="384"/>
      <c r="AH726" s="384"/>
      <c r="AI726" s="384"/>
      <c r="AJ726" s="384"/>
      <c r="AK726" s="384"/>
      <c r="AL726" s="384"/>
      <c r="AM726" s="384"/>
      <c r="AN726" s="384"/>
      <c r="AO726" s="384"/>
      <c r="AP726" s="384"/>
      <c r="AQ726" s="384"/>
      <c r="AR726" s="384"/>
      <c r="AS726" s="384"/>
      <c r="AT726" s="384"/>
      <c r="AU726" s="384"/>
      <c r="AV726" s="384"/>
      <c r="AW726" s="384"/>
      <c r="AX726" s="384"/>
      <c r="AY726" s="384"/>
      <c r="AZ726" s="384"/>
      <c r="BA726" s="384"/>
      <c r="BB726" s="384"/>
      <c r="BC726" s="384"/>
      <c r="BD726" s="384"/>
      <c r="BE726" s="384"/>
      <c r="BF726" s="384"/>
      <c r="BG726" s="384"/>
      <c r="BH726" s="384"/>
      <c r="BI726" s="384"/>
      <c r="BJ726" s="384"/>
      <c r="BK726" s="384"/>
      <c r="BL726" s="384"/>
      <c r="BM726" s="384"/>
      <c r="BN726" s="384"/>
      <c r="BO726" s="384"/>
      <c r="BP726" s="384"/>
      <c r="BQ726" s="384"/>
      <c r="BR726" s="384"/>
      <c r="BS726" s="384"/>
      <c r="BT726" s="211"/>
    </row>
    <row r="727" spans="1:72" s="206" customFormat="1" x14ac:dyDescent="0.35">
      <c r="A727" s="210" t="s">
        <v>382</v>
      </c>
      <c r="B727" s="211" t="str">
        <f>"FY"&amp;RIGHT(MO.MRFP,4)+IF(LEFT(MO.MRFP,2)="FY",1,0)</f>
        <v>FY2024</v>
      </c>
      <c r="C727" s="384"/>
      <c r="D727" s="384"/>
      <c r="E727" s="384"/>
      <c r="F727" s="384"/>
      <c r="G727" s="384"/>
      <c r="H727" s="384"/>
      <c r="I727" s="384"/>
      <c r="J727" s="384"/>
      <c r="K727" s="384"/>
      <c r="L727" s="384"/>
      <c r="M727" s="384"/>
      <c r="N727" s="384"/>
      <c r="O727" s="384"/>
      <c r="P727" s="384"/>
      <c r="Q727" s="384"/>
      <c r="R727" s="384"/>
      <c r="S727" s="384"/>
      <c r="T727" s="384"/>
      <c r="U727" s="384"/>
      <c r="V727" s="384"/>
      <c r="W727" s="384"/>
      <c r="X727" s="384"/>
      <c r="Y727" s="384"/>
      <c r="Z727" s="384"/>
      <c r="AA727" s="384"/>
      <c r="AB727" s="384"/>
      <c r="AC727" s="384"/>
      <c r="AD727" s="384"/>
      <c r="AE727" s="384"/>
      <c r="AF727" s="384"/>
      <c r="AG727" s="384"/>
      <c r="AH727" s="384"/>
      <c r="AI727" s="384"/>
      <c r="AJ727" s="384"/>
      <c r="AK727" s="384"/>
      <c r="AL727" s="384"/>
      <c r="AM727" s="384"/>
      <c r="AN727" s="384"/>
      <c r="AO727" s="384"/>
      <c r="AP727" s="384"/>
      <c r="AQ727" s="384"/>
      <c r="AR727" s="384"/>
      <c r="AS727" s="384"/>
      <c r="AT727" s="384"/>
      <c r="AU727" s="384"/>
      <c r="AV727" s="384"/>
      <c r="AW727" s="384"/>
      <c r="AX727" s="384"/>
      <c r="AY727" s="384"/>
      <c r="AZ727" s="384"/>
      <c r="BA727" s="384"/>
      <c r="BB727" s="384"/>
      <c r="BC727" s="384"/>
      <c r="BD727" s="384"/>
      <c r="BE727" s="384"/>
      <c r="BF727" s="384"/>
      <c r="BG727" s="384"/>
      <c r="BH727" s="384"/>
      <c r="BI727" s="384"/>
      <c r="BJ727" s="384"/>
      <c r="BK727" s="384"/>
      <c r="BL727" s="384"/>
      <c r="BM727" s="384"/>
      <c r="BN727" s="384"/>
      <c r="BO727" s="384"/>
      <c r="BP727" s="384"/>
      <c r="BQ727" s="384"/>
      <c r="BR727" s="384"/>
      <c r="BS727" s="384"/>
      <c r="BT727" s="211"/>
    </row>
    <row r="728" spans="1:72" s="206" customFormat="1" x14ac:dyDescent="0.35">
      <c r="A728" s="210" t="s">
        <v>634</v>
      </c>
      <c r="B728" s="211">
        <f>COUNTA(tb_KPIs)-1</f>
        <v>5</v>
      </c>
      <c r="C728" s="384"/>
      <c r="D728" s="384"/>
      <c r="E728" s="384"/>
      <c r="F728" s="384"/>
      <c r="G728" s="384"/>
      <c r="H728" s="384"/>
      <c r="I728" s="384"/>
      <c r="J728" s="384"/>
      <c r="K728" s="384"/>
      <c r="L728" s="384"/>
      <c r="M728" s="384"/>
      <c r="N728" s="384"/>
      <c r="O728" s="384"/>
      <c r="P728" s="384"/>
      <c r="Q728" s="384"/>
      <c r="R728" s="384"/>
      <c r="S728" s="384"/>
      <c r="T728" s="384"/>
      <c r="U728" s="384"/>
      <c r="V728" s="384"/>
      <c r="W728" s="384"/>
      <c r="X728" s="384"/>
      <c r="Y728" s="384"/>
      <c r="Z728" s="384"/>
      <c r="AA728" s="384"/>
      <c r="AB728" s="384"/>
      <c r="AC728" s="384"/>
      <c r="AD728" s="384"/>
      <c r="AE728" s="384"/>
      <c r="AF728" s="384"/>
      <c r="AG728" s="384"/>
      <c r="AH728" s="384"/>
      <c r="AI728" s="384"/>
      <c r="AJ728" s="384"/>
      <c r="AK728" s="384"/>
      <c r="AL728" s="384"/>
      <c r="AM728" s="384"/>
      <c r="AN728" s="384"/>
      <c r="AO728" s="384"/>
      <c r="AP728" s="384"/>
      <c r="AQ728" s="384"/>
      <c r="AR728" s="384"/>
      <c r="AS728" s="384"/>
      <c r="AT728" s="384"/>
      <c r="AU728" s="384"/>
      <c r="AV728" s="384"/>
      <c r="AW728" s="384"/>
      <c r="AX728" s="384"/>
      <c r="AY728" s="384"/>
      <c r="AZ728" s="384"/>
      <c r="BA728" s="384"/>
      <c r="BB728" s="384"/>
      <c r="BC728" s="384"/>
      <c r="BD728" s="384"/>
      <c r="BE728" s="384"/>
      <c r="BF728" s="384"/>
      <c r="BG728" s="384"/>
      <c r="BH728" s="384"/>
      <c r="BI728" s="384"/>
      <c r="BJ728" s="384"/>
      <c r="BK728" s="384"/>
      <c r="BL728" s="384"/>
      <c r="BM728" s="384"/>
      <c r="BN728" s="384"/>
      <c r="BO728" s="384"/>
      <c r="BP728" s="384"/>
      <c r="BQ728" s="384"/>
      <c r="BR728" s="384"/>
      <c r="BS728" s="384"/>
      <c r="BT728" s="211"/>
    </row>
    <row r="729" spans="1:72" s="206" customFormat="1" x14ac:dyDescent="0.35">
      <c r="A729" s="212" t="s">
        <v>278</v>
      </c>
      <c r="B729" s="213">
        <f>IF(MO.DataSourceName="Bloomberg",1,IF(MO.DataSourceName="Capital IQ",2,IF(MO.DataSourceName="FactSet",3,IF(MO.DataSourceName="Refinitiv",4,1))))</f>
        <v>1</v>
      </c>
      <c r="C729" s="384"/>
      <c r="D729" s="384"/>
      <c r="E729" s="384"/>
      <c r="F729" s="384"/>
      <c r="G729" s="384"/>
      <c r="H729" s="384"/>
      <c r="I729" s="384"/>
      <c r="J729" s="384"/>
      <c r="K729" s="384"/>
      <c r="L729" s="384"/>
      <c r="M729" s="384"/>
      <c r="N729" s="384"/>
      <c r="O729" s="384"/>
      <c r="P729" s="384"/>
      <c r="Q729" s="384"/>
      <c r="R729" s="384"/>
      <c r="S729" s="384"/>
      <c r="T729" s="384"/>
      <c r="U729" s="384"/>
      <c r="V729" s="384"/>
      <c r="W729" s="384"/>
      <c r="X729" s="384"/>
      <c r="Y729" s="384"/>
      <c r="Z729" s="384"/>
      <c r="AA729" s="384"/>
      <c r="AB729" s="384"/>
      <c r="AC729" s="384"/>
      <c r="AD729" s="384"/>
      <c r="AE729" s="384"/>
      <c r="AF729" s="384"/>
      <c r="AG729" s="384"/>
      <c r="AH729" s="384"/>
      <c r="AI729" s="384"/>
      <c r="AJ729" s="384"/>
      <c r="AK729" s="384"/>
      <c r="AL729" s="384"/>
      <c r="AM729" s="384"/>
      <c r="AN729" s="384"/>
      <c r="AO729" s="384"/>
      <c r="AP729" s="384"/>
      <c r="AQ729" s="384"/>
      <c r="AR729" s="384"/>
      <c r="AS729" s="384"/>
      <c r="AT729" s="384"/>
      <c r="AU729" s="384"/>
      <c r="AV729" s="384"/>
      <c r="AW729" s="384"/>
      <c r="AX729" s="384"/>
      <c r="AY729" s="384"/>
      <c r="AZ729" s="384"/>
      <c r="BA729" s="384"/>
      <c r="BB729" s="384"/>
      <c r="BC729" s="384"/>
      <c r="BD729" s="384"/>
      <c r="BE729" s="384"/>
      <c r="BF729" s="384"/>
      <c r="BG729" s="384"/>
      <c r="BH729" s="384"/>
      <c r="BI729" s="384"/>
      <c r="BJ729" s="384"/>
      <c r="BK729" s="384"/>
      <c r="BL729" s="384"/>
      <c r="BM729" s="384"/>
      <c r="BN729" s="384"/>
      <c r="BO729" s="384"/>
      <c r="BP729" s="384"/>
      <c r="BQ729" s="384"/>
      <c r="BR729" s="384"/>
      <c r="BS729" s="384"/>
      <c r="BT729" s="211"/>
    </row>
    <row r="730" spans="1:72" x14ac:dyDescent="0.35">
      <c r="A730" s="388"/>
      <c r="B730" s="388"/>
      <c r="C730" s="144"/>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c r="Z730" s="144"/>
      <c r="AA730" s="144"/>
      <c r="AB730" s="144"/>
      <c r="AC730" s="144"/>
      <c r="AD730" s="144"/>
      <c r="AE730" s="144"/>
      <c r="AF730" s="144"/>
      <c r="AG730" s="144"/>
      <c r="AH730" s="144"/>
      <c r="AI730" s="144"/>
      <c r="AJ730" s="144"/>
      <c r="AK730" s="144"/>
      <c r="AL730" s="144"/>
      <c r="AM730" s="144"/>
      <c r="AN730" s="144"/>
      <c r="AO730" s="144"/>
      <c r="AP730" s="144"/>
      <c r="AQ730" s="144"/>
      <c r="AR730" s="144"/>
      <c r="AS730" s="144"/>
      <c r="AT730" s="144"/>
      <c r="AU730" s="144"/>
      <c r="AV730" s="144"/>
      <c r="AW730" s="144"/>
      <c r="AX730" s="144"/>
      <c r="AY730" s="144"/>
      <c r="AZ730" s="144"/>
      <c r="BA730" s="144"/>
      <c r="BB730" s="144"/>
      <c r="BC730" s="144"/>
      <c r="BD730" s="144"/>
      <c r="BE730" s="144"/>
      <c r="BF730" s="144"/>
      <c r="BG730" s="144"/>
      <c r="BH730" s="144"/>
      <c r="BI730" s="144"/>
      <c r="BJ730" s="144"/>
      <c r="BK730" s="144"/>
      <c r="BL730" s="144"/>
      <c r="BM730" s="144"/>
      <c r="BN730" s="144"/>
      <c r="BO730" s="144"/>
      <c r="BP730" s="144"/>
      <c r="BQ730" s="144"/>
      <c r="BR730" s="144"/>
      <c r="BS730" s="144"/>
      <c r="BT730" s="209"/>
    </row>
    <row r="731" spans="1:72" x14ac:dyDescent="0.35">
      <c r="A731" s="315" t="s">
        <v>439</v>
      </c>
      <c r="B731" s="214"/>
      <c r="C731" s="214"/>
      <c r="D731" s="214"/>
      <c r="E731" s="214"/>
      <c r="F731" s="214"/>
      <c r="G731" s="214"/>
      <c r="H731" s="214"/>
      <c r="I731" s="214"/>
      <c r="J731" s="214"/>
      <c r="K731" s="214"/>
      <c r="L731" s="214"/>
      <c r="M731" s="214"/>
      <c r="N731" s="214"/>
      <c r="O731" s="214"/>
      <c r="P731" s="214"/>
      <c r="Q731" s="214"/>
      <c r="R731" s="214"/>
      <c r="S731" s="214"/>
      <c r="T731" s="214"/>
      <c r="U731" s="214"/>
      <c r="V731" s="214"/>
      <c r="W731" s="214"/>
      <c r="X731" s="214"/>
      <c r="Y731" s="214"/>
      <c r="Z731" s="214"/>
      <c r="AA731" s="214"/>
      <c r="AB731" s="214"/>
      <c r="AC731" s="214"/>
      <c r="AD731" s="214"/>
      <c r="AE731" s="214"/>
      <c r="AF731" s="214"/>
      <c r="AG731" s="214"/>
      <c r="AH731" s="214"/>
      <c r="AI731" s="214"/>
      <c r="AJ731" s="214"/>
      <c r="AK731" s="214"/>
      <c r="AL731" s="214"/>
      <c r="AM731" s="214"/>
      <c r="AN731" s="214"/>
      <c r="AO731" s="214"/>
      <c r="AP731" s="214"/>
      <c r="AQ731" s="214"/>
      <c r="AR731" s="214"/>
      <c r="AS731" s="214"/>
      <c r="AT731" s="214"/>
      <c r="AU731" s="214"/>
      <c r="AV731" s="214"/>
      <c r="AW731" s="214"/>
      <c r="AX731" s="214"/>
      <c r="AY731" s="214"/>
      <c r="AZ731" s="214"/>
      <c r="BA731" s="214"/>
      <c r="BB731" s="214"/>
      <c r="BC731" s="214"/>
      <c r="BD731" s="214"/>
      <c r="BE731" s="214"/>
      <c r="BF731" s="214"/>
      <c r="BG731" s="214"/>
      <c r="BH731" s="214"/>
      <c r="BI731" s="214"/>
      <c r="BJ731" s="214"/>
      <c r="BK731" s="214"/>
      <c r="BL731" s="214"/>
      <c r="BM731" s="214"/>
      <c r="BN731" s="214"/>
      <c r="BO731" s="214"/>
      <c r="BP731" s="214"/>
      <c r="BQ731" s="214"/>
      <c r="BR731" s="214"/>
      <c r="BS731" s="214"/>
      <c r="BT731" s="209"/>
    </row>
    <row r="732" spans="1:72" x14ac:dyDescent="0.35">
      <c r="A732" s="209"/>
      <c r="B732" s="209"/>
      <c r="C732" s="209"/>
      <c r="D732" s="209"/>
      <c r="E732" s="209"/>
      <c r="F732" s="209"/>
      <c r="G732" s="209"/>
      <c r="H732" s="209"/>
      <c r="I732" s="209"/>
      <c r="J732" s="209"/>
      <c r="K732" s="209"/>
      <c r="L732" s="209"/>
      <c r="M732" s="209"/>
      <c r="N732" s="209"/>
      <c r="O732" s="209"/>
      <c r="P732" s="209"/>
      <c r="Q732" s="209"/>
      <c r="R732" s="209"/>
      <c r="S732" s="209"/>
      <c r="T732" s="209"/>
      <c r="U732" s="209"/>
      <c r="V732" s="209"/>
      <c r="W732" s="209"/>
      <c r="X732" s="209"/>
      <c r="Y732" s="209"/>
      <c r="Z732" s="209"/>
      <c r="AA732" s="209"/>
      <c r="AB732" s="209"/>
      <c r="AC732" s="209"/>
      <c r="AD732" s="209"/>
      <c r="AE732" s="209"/>
      <c r="AF732" s="209"/>
      <c r="AG732" s="209"/>
      <c r="AH732" s="209"/>
      <c r="AI732" s="209"/>
      <c r="AJ732" s="209"/>
      <c r="AK732" s="209"/>
      <c r="AL732" s="209"/>
      <c r="AM732" s="209"/>
      <c r="AN732" s="209"/>
      <c r="AO732" s="209"/>
      <c r="AP732" s="209"/>
      <c r="AQ732" s="209"/>
      <c r="AR732" s="209"/>
      <c r="AS732" s="209"/>
      <c r="AT732" s="209"/>
      <c r="AU732" s="209"/>
      <c r="AV732" s="209"/>
      <c r="AW732" s="209"/>
      <c r="AX732" s="209"/>
      <c r="AY732" s="209"/>
      <c r="AZ732" s="209"/>
      <c r="BA732" s="209"/>
      <c r="BB732" s="209"/>
      <c r="BC732" s="209"/>
      <c r="BD732" s="209"/>
      <c r="BE732" s="209"/>
      <c r="BF732" s="209"/>
      <c r="BG732" s="209"/>
      <c r="BH732" s="209"/>
      <c r="BI732" s="209"/>
      <c r="BJ732" s="209"/>
      <c r="BK732" s="209"/>
      <c r="BL732" s="209"/>
      <c r="BM732" s="209"/>
      <c r="BN732" s="209"/>
      <c r="BO732" s="209"/>
      <c r="BP732" s="209"/>
      <c r="BQ732" s="209"/>
      <c r="BR732" s="209"/>
      <c r="BS732" s="209"/>
      <c r="BT732" s="209"/>
    </row>
  </sheetData>
  <conditionalFormatting sqref="C510:Y510">
    <cfRule type="cellIs" dxfId="5" priority="913" operator="notEqual">
      <formula>0</formula>
    </cfRule>
    <cfRule type="cellIs" dxfId="4" priority="914" operator="equal">
      <formula>0</formula>
    </cfRule>
  </conditionalFormatting>
  <conditionalFormatting sqref="C162:BS162 AA510:BS510 C609:BS609 C612:D612 G612 I612 K612 N612 S612:BS623 O612:R631 C613:N631 S624:U624 W624:Y624 AM624:AN624 AP624:BG624 BI624:BS624 AA624:AL631 AY625:BS625 S625:Z631 AM625:AX631 AY626:BC626 BE626:BS626 AY627:BS631">
    <cfRule type="cellIs" dxfId="3" priority="909" operator="notEqual">
      <formula>0</formula>
    </cfRule>
    <cfRule type="cellIs" dxfId="2" priority="910" operator="equal">
      <formula>0</formula>
    </cfRule>
  </conditionalFormatting>
  <dataValidations disablePrompts="1" count="1">
    <dataValidation type="list" allowBlank="1" showInputMessage="1" showErrorMessage="1" sqref="B303" xr:uid="{00000000-0002-0000-0100-000000000000}">
      <formula1>OFFSET(tb_ValuationToggle,1,0,4,1)</formula1>
    </dataValidation>
  </dataValidations>
  <hyperlinks>
    <hyperlink ref="A1" r:id="rId1" xr:uid="{00000000-0004-0000-0100-000000000000}"/>
  </hyperlinks>
  <pageMargins left="0" right="0" top="0.39370078740157499" bottom="0" header="0.196850393700787" footer="0"/>
  <pageSetup scale="19" fitToHeight="0" orientation="landscape" r:id="rId2"/>
  <headerFooter>
    <oddHeader>&amp;CStride, Inc.&amp;RPage &amp;P</oddHeader>
  </headerFooter>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568BF-ABB9-45F9-9B78-ECC87F4BEA01}">
  <sheetPr>
    <pageSetUpPr fitToPage="1"/>
  </sheetPr>
  <dimension ref="A1:BA322"/>
  <sheetViews>
    <sheetView view="pageBreakPreview" zoomScale="55" zoomScaleNormal="100" zoomScaleSheetLayoutView="55" workbookViewId="0">
      <pane ySplit="9" topLeftCell="A18" activePane="bottomLeft" state="frozen"/>
      <selection pane="bottomLeft" activeCell="AB46" sqref="AB46"/>
    </sheetView>
  </sheetViews>
  <sheetFormatPr defaultColWidth="8.81640625" defaultRowHeight="13" outlineLevelRow="1" outlineLevelCol="1" x14ac:dyDescent="0.3"/>
  <cols>
    <col min="1" max="1" width="1.7265625" style="1249" customWidth="1"/>
    <col min="2" max="2" width="9.81640625" style="884" hidden="1" customWidth="1" outlineLevel="1"/>
    <col min="3" max="3" width="2.7265625" style="884" customWidth="1" collapsed="1"/>
    <col min="4" max="4" width="36.453125" style="908" customWidth="1"/>
    <col min="5" max="5" width="8.453125" style="887" hidden="1" customWidth="1" outlineLevel="1"/>
    <col min="6" max="6" width="14" style="914" customWidth="1" collapsed="1"/>
    <col min="7" max="7" width="14" style="914" customWidth="1"/>
    <col min="8" max="8" width="14" style="884" customWidth="1"/>
    <col min="9" max="9" width="1.453125" style="884" customWidth="1" outlineLevel="1" collapsed="1"/>
    <col min="10" max="10" width="2.7265625" style="884" customWidth="1"/>
    <col min="11" max="13" width="10.54296875" style="884" bestFit="1" customWidth="1"/>
    <col min="14" max="14" width="2.7265625" style="884" customWidth="1"/>
    <col min="15" max="15" width="8.7265625" style="884" hidden="1" customWidth="1" outlineLevel="1"/>
    <col min="16" max="16" width="11.81640625" style="908" bestFit="1" customWidth="1" collapsed="1"/>
    <col min="17" max="17" width="2.7265625" style="884" customWidth="1"/>
    <col min="18" max="18" width="13.54296875" style="884" bestFit="1" customWidth="1"/>
    <col min="19" max="19" width="14.453125" style="1250" bestFit="1" customWidth="1"/>
    <col min="20" max="20" width="2.7265625" style="884" customWidth="1"/>
    <col min="21" max="21" width="13.26953125" style="1251" bestFit="1" customWidth="1"/>
    <col min="22" max="25" width="8.81640625" style="884" customWidth="1"/>
    <col min="26" max="16384" width="8.81640625" style="884"/>
  </cols>
  <sheetData>
    <row r="1" spans="1:53" hidden="1" outlineLevel="1" x14ac:dyDescent="0.3">
      <c r="A1" s="1209" t="s">
        <v>379</v>
      </c>
      <c r="B1" s="1210" t="str">
        <f>MO.CompanyName</f>
        <v>Stride, Inc.</v>
      </c>
      <c r="C1" s="1211" t="s">
        <v>490</v>
      </c>
      <c r="D1" s="1211"/>
      <c r="E1" s="1212"/>
      <c r="F1" s="1213"/>
      <c r="G1" s="1213"/>
      <c r="H1" s="1211"/>
      <c r="I1" s="1211"/>
      <c r="J1" s="1211"/>
      <c r="K1" s="1211"/>
      <c r="L1" s="1211"/>
      <c r="M1" s="1211"/>
      <c r="N1" s="1211"/>
      <c r="O1" s="1211"/>
      <c r="P1" s="1211"/>
      <c r="Q1" s="1211"/>
      <c r="R1" s="1211"/>
      <c r="S1" s="1214"/>
      <c r="T1" s="1211"/>
      <c r="U1" s="1211"/>
      <c r="V1" s="1211"/>
    </row>
    <row r="2" spans="1:53" hidden="1" outlineLevel="1" x14ac:dyDescent="0.3">
      <c r="A2" s="1209"/>
      <c r="B2" s="1215" t="s">
        <v>381</v>
      </c>
      <c r="C2" s="1211" t="s">
        <v>381</v>
      </c>
      <c r="D2" s="1211"/>
      <c r="E2" s="1212"/>
      <c r="F2" s="1213"/>
      <c r="G2" s="1213"/>
      <c r="H2" s="1211"/>
      <c r="I2" s="1211" t="s">
        <v>650</v>
      </c>
      <c r="J2" s="1211"/>
      <c r="K2" s="1211"/>
      <c r="L2" s="1211"/>
      <c r="M2" s="1211"/>
      <c r="N2" s="1211"/>
      <c r="O2" s="1211"/>
      <c r="P2" s="1211"/>
      <c r="Q2" s="1211"/>
      <c r="R2" s="1211"/>
      <c r="S2" s="1214"/>
      <c r="T2" s="1211"/>
      <c r="U2" s="1211"/>
      <c r="V2" s="1211"/>
    </row>
    <row r="3" spans="1:53" hidden="1" outlineLevel="1" x14ac:dyDescent="0.3">
      <c r="A3" s="1209"/>
      <c r="B3" s="1215"/>
      <c r="C3" s="1211"/>
      <c r="D3" s="1211"/>
      <c r="E3" s="1212"/>
      <c r="F3" s="1213"/>
      <c r="G3" s="1213"/>
      <c r="H3" s="1211"/>
      <c r="I3" s="1211"/>
      <c r="J3" s="1211"/>
      <c r="K3" s="1211"/>
      <c r="L3" s="1211"/>
      <c r="M3" s="1211"/>
      <c r="N3" s="1211"/>
      <c r="O3" s="1211"/>
      <c r="P3" s="1211"/>
      <c r="Q3" s="1211"/>
      <c r="R3" s="1211"/>
      <c r="S3" s="1214"/>
      <c r="T3" s="1211"/>
      <c r="U3" s="1211"/>
      <c r="V3" s="1211"/>
    </row>
    <row r="4" spans="1:53" hidden="1" outlineLevel="1" x14ac:dyDescent="0.3">
      <c r="A4" s="1209"/>
      <c r="B4" s="1215"/>
      <c r="C4" s="1211"/>
      <c r="D4" s="1211"/>
      <c r="E4" s="1212"/>
      <c r="F4" s="1213"/>
      <c r="G4" s="1213"/>
      <c r="H4" s="1211"/>
      <c r="I4" s="1211"/>
      <c r="J4" s="1211"/>
      <c r="K4" s="1211"/>
      <c r="L4" s="1211"/>
      <c r="M4" s="1211"/>
      <c r="N4" s="1211"/>
      <c r="O4" s="1211"/>
      <c r="P4" s="1211"/>
      <c r="Q4" s="1211"/>
      <c r="R4" s="1211"/>
      <c r="S4" s="1214"/>
      <c r="T4" s="1211"/>
      <c r="U4" s="1211"/>
      <c r="V4" s="1211"/>
    </row>
    <row r="5" spans="1:53" collapsed="1" x14ac:dyDescent="0.3">
      <c r="A5" s="884" t="s">
        <v>651</v>
      </c>
      <c r="D5" s="884"/>
      <c r="E5" s="884"/>
      <c r="F5" s="884"/>
      <c r="G5" s="884"/>
      <c r="P5" s="884"/>
      <c r="S5" s="1203"/>
      <c r="U5" s="884"/>
      <c r="AZ5" s="907"/>
      <c r="BA5" s="907"/>
    </row>
    <row r="6" spans="1:53" s="886" customFormat="1" x14ac:dyDescent="0.3">
      <c r="A6" s="885" t="s">
        <v>1049</v>
      </c>
    </row>
    <row r="7" spans="1:53" x14ac:dyDescent="0.3">
      <c r="A7" s="887"/>
      <c r="D7" s="884"/>
      <c r="E7" s="884"/>
      <c r="F7" s="884"/>
      <c r="G7" s="884"/>
      <c r="P7" s="884"/>
      <c r="S7" s="884"/>
      <c r="U7" s="884"/>
      <c r="AB7" s="909"/>
      <c r="AC7" s="909"/>
      <c r="AD7" s="909"/>
      <c r="AE7" s="909"/>
      <c r="AF7" s="909"/>
      <c r="AG7" s="909"/>
      <c r="AH7" s="909"/>
      <c r="AI7" s="909"/>
    </row>
    <row r="8" spans="1:53" s="1216" customFormat="1" x14ac:dyDescent="0.3">
      <c r="A8" s="884"/>
      <c r="F8" s="1217"/>
      <c r="G8" s="1217"/>
      <c r="K8" s="897" t="s">
        <v>279</v>
      </c>
      <c r="L8" s="897"/>
      <c r="M8" s="897"/>
      <c r="O8" s="1217" t="s">
        <v>280</v>
      </c>
      <c r="P8" s="1218"/>
      <c r="R8" s="897" t="s">
        <v>281</v>
      </c>
      <c r="S8" s="897"/>
      <c r="U8" s="1218"/>
      <c r="V8" s="914"/>
    </row>
    <row r="9" spans="1:53" s="1219" customFormat="1" ht="16" x14ac:dyDescent="0.6">
      <c r="A9" s="884"/>
      <c r="B9" s="1216" t="s">
        <v>283</v>
      </c>
      <c r="D9" s="1220" t="s">
        <v>1050</v>
      </c>
      <c r="E9" s="1216" t="s">
        <v>285</v>
      </c>
      <c r="F9" s="1220" t="s">
        <v>1051</v>
      </c>
      <c r="G9" s="1220" t="s">
        <v>1052</v>
      </c>
      <c r="H9" s="1220" t="s">
        <v>1053</v>
      </c>
      <c r="I9" s="1216"/>
      <c r="K9" s="1221" t="s">
        <v>255</v>
      </c>
      <c r="L9" s="1221" t="s">
        <v>254</v>
      </c>
      <c r="M9" s="1221" t="s">
        <v>287</v>
      </c>
      <c r="O9" s="1216" t="s">
        <v>283</v>
      </c>
      <c r="P9" s="1221" t="s">
        <v>1054</v>
      </c>
      <c r="R9" s="1221" t="s">
        <v>289</v>
      </c>
      <c r="S9" s="1222" t="s">
        <v>290</v>
      </c>
      <c r="U9" s="1219" t="s">
        <v>292</v>
      </c>
      <c r="V9" s="1223"/>
    </row>
    <row r="10" spans="1:53" hidden="1" outlineLevel="1" x14ac:dyDescent="0.3">
      <c r="A10" s="1209">
        <v>310</v>
      </c>
      <c r="B10" s="1211" t="s">
        <v>1085</v>
      </c>
      <c r="C10" s="1211"/>
      <c r="D10" s="1215" t="s">
        <v>61</v>
      </c>
      <c r="E10" s="1212" t="s">
        <v>293</v>
      </c>
      <c r="F10" s="1224">
        <v>45510</v>
      </c>
      <c r="G10" s="1224"/>
      <c r="H10" s="1211" t="s">
        <v>1055</v>
      </c>
      <c r="I10" s="1211"/>
      <c r="J10" s="1211"/>
      <c r="K10" s="1225">
        <v>2700</v>
      </c>
      <c r="L10" s="1225">
        <v>3300</v>
      </c>
      <c r="M10" s="1225">
        <v>3000</v>
      </c>
      <c r="N10" s="1211"/>
      <c r="O10" s="1225" t="s">
        <v>1086</v>
      </c>
      <c r="P10" s="1225">
        <v>2989.9420231903759</v>
      </c>
      <c r="Q10" s="1211"/>
      <c r="R10" s="1226">
        <v>-10.057976809624051</v>
      </c>
      <c r="S10" s="1227">
        <v>-3.3526589365413507E-3</v>
      </c>
      <c r="T10" s="1211"/>
      <c r="U10" s="1228" t="s">
        <v>487</v>
      </c>
      <c r="V10" s="1211"/>
    </row>
    <row r="11" spans="1:53" hidden="1" outlineLevel="1" x14ac:dyDescent="0.3">
      <c r="A11" s="1209">
        <v>309</v>
      </c>
      <c r="B11" s="1211" t="s">
        <v>1085</v>
      </c>
      <c r="C11" s="1211"/>
      <c r="D11" s="1215" t="s">
        <v>504</v>
      </c>
      <c r="E11" s="1212" t="s">
        <v>483</v>
      </c>
      <c r="F11" s="1224">
        <v>45510</v>
      </c>
      <c r="G11" s="1224"/>
      <c r="H11" s="1211" t="s">
        <v>1055</v>
      </c>
      <c r="I11" s="1211"/>
      <c r="J11" s="1211"/>
      <c r="K11" s="1225">
        <v>415</v>
      </c>
      <c r="L11" s="1225">
        <v>585</v>
      </c>
      <c r="M11" s="1225">
        <v>500</v>
      </c>
      <c r="N11" s="1211"/>
      <c r="O11" s="1225" t="s">
        <v>1086</v>
      </c>
      <c r="P11" s="1225">
        <v>483.52147740898522</v>
      </c>
      <c r="Q11" s="1211"/>
      <c r="R11" s="1226">
        <v>-16.47852259101478</v>
      </c>
      <c r="S11" s="1227">
        <v>-3.2957045182029562E-2</v>
      </c>
      <c r="T11" s="1211"/>
      <c r="U11" s="1228" t="s">
        <v>487</v>
      </c>
      <c r="V11" s="1211"/>
    </row>
    <row r="12" spans="1:53" hidden="1" outlineLevel="1" x14ac:dyDescent="0.3">
      <c r="A12" s="1209">
        <v>308</v>
      </c>
      <c r="B12" s="1211" t="s">
        <v>1085</v>
      </c>
      <c r="C12" s="1211"/>
      <c r="D12" s="1215" t="s">
        <v>86</v>
      </c>
      <c r="E12" s="1212" t="s">
        <v>1056</v>
      </c>
      <c r="F12" s="1224">
        <v>45510</v>
      </c>
      <c r="G12" s="1224"/>
      <c r="H12" s="1211" t="s">
        <v>1055</v>
      </c>
      <c r="I12" s="1211"/>
      <c r="J12" s="1211"/>
      <c r="K12" s="1229">
        <v>6.15</v>
      </c>
      <c r="L12" s="1229">
        <v>8.35</v>
      </c>
      <c r="M12" s="1229">
        <v>7.25</v>
      </c>
      <c r="N12" s="1229"/>
      <c r="O12" s="1229" t="s">
        <v>1086</v>
      </c>
      <c r="P12" s="1229">
        <v>7.4591552880603311</v>
      </c>
      <c r="Q12" s="1229"/>
      <c r="R12" s="1230">
        <v>0.20915528806033112</v>
      </c>
      <c r="S12" s="1227">
        <v>2.8849005249700844E-2</v>
      </c>
      <c r="T12" s="1211"/>
      <c r="U12" s="1228" t="s">
        <v>487</v>
      </c>
      <c r="V12" s="1211"/>
    </row>
    <row r="13" spans="1:53" hidden="1" outlineLevel="1" x14ac:dyDescent="0.3">
      <c r="A13" s="1209">
        <v>307</v>
      </c>
      <c r="B13" s="1211"/>
      <c r="C13" s="1211"/>
      <c r="D13" s="1215"/>
      <c r="E13" s="1212"/>
      <c r="F13" s="1224"/>
      <c r="G13" s="1224"/>
      <c r="H13" s="1211"/>
      <c r="I13" s="1211"/>
      <c r="J13" s="1211"/>
      <c r="K13" s="1225"/>
      <c r="L13" s="1225"/>
      <c r="M13" s="1225"/>
      <c r="N13" s="1211"/>
      <c r="O13" s="1211"/>
      <c r="P13" s="1225"/>
      <c r="Q13" s="1211"/>
      <c r="R13" s="1226"/>
      <c r="S13" s="1227"/>
      <c r="T13" s="1211"/>
      <c r="U13" s="1228"/>
      <c r="V13" s="1211"/>
    </row>
    <row r="14" spans="1:53" hidden="1" outlineLevel="1" x14ac:dyDescent="0.3">
      <c r="A14" s="1209">
        <v>306</v>
      </c>
      <c r="B14" s="1211" t="s">
        <v>1085</v>
      </c>
      <c r="C14" s="1211"/>
      <c r="D14" s="1215" t="s">
        <v>61</v>
      </c>
      <c r="E14" s="1212" t="s">
        <v>293</v>
      </c>
      <c r="F14" s="1224">
        <v>45405</v>
      </c>
      <c r="G14" s="1224"/>
      <c r="H14" s="1211" t="s">
        <v>1055</v>
      </c>
      <c r="I14" s="1211"/>
      <c r="J14" s="1211"/>
      <c r="K14" s="1225">
        <v>2700</v>
      </c>
      <c r="L14" s="1225">
        <v>3300</v>
      </c>
      <c r="M14" s="1225">
        <v>3000</v>
      </c>
      <c r="N14" s="1211"/>
      <c r="O14" s="1225" t="s">
        <v>1086</v>
      </c>
      <c r="P14" s="1225">
        <v>2989.9420231903759</v>
      </c>
      <c r="Q14" s="1211"/>
      <c r="R14" s="1226">
        <v>-10.057976809624051</v>
      </c>
      <c r="S14" s="1227">
        <v>-3.3526589365413507E-3</v>
      </c>
      <c r="T14" s="1211"/>
      <c r="U14" s="1228" t="s">
        <v>487</v>
      </c>
      <c r="V14" s="1211"/>
    </row>
    <row r="15" spans="1:53" hidden="1" outlineLevel="1" x14ac:dyDescent="0.3">
      <c r="A15" s="1209">
        <v>305</v>
      </c>
      <c r="B15" s="1211" t="s">
        <v>1085</v>
      </c>
      <c r="C15" s="1211"/>
      <c r="D15" s="1215" t="s">
        <v>504</v>
      </c>
      <c r="E15" s="1212" t="s">
        <v>483</v>
      </c>
      <c r="F15" s="1224">
        <v>45405</v>
      </c>
      <c r="G15" s="1224"/>
      <c r="H15" s="1211" t="s">
        <v>1055</v>
      </c>
      <c r="I15" s="1211"/>
      <c r="J15" s="1211"/>
      <c r="K15" s="1225">
        <v>415</v>
      </c>
      <c r="L15" s="1225">
        <v>585</v>
      </c>
      <c r="M15" s="1225">
        <v>500</v>
      </c>
      <c r="N15" s="1211"/>
      <c r="O15" s="1225" t="s">
        <v>1086</v>
      </c>
      <c r="P15" s="1225">
        <v>483.52147740898522</v>
      </c>
      <c r="Q15" s="1211"/>
      <c r="R15" s="1226">
        <v>-16.47852259101478</v>
      </c>
      <c r="S15" s="1227">
        <v>-3.2957045182029562E-2</v>
      </c>
      <c r="T15" s="1211"/>
      <c r="U15" s="1228" t="s">
        <v>487</v>
      </c>
      <c r="V15" s="1211"/>
    </row>
    <row r="16" spans="1:53" hidden="1" outlineLevel="1" x14ac:dyDescent="0.3">
      <c r="A16" s="1209">
        <v>304</v>
      </c>
      <c r="B16" s="1211" t="s">
        <v>1085</v>
      </c>
      <c r="C16" s="1211"/>
      <c r="D16" s="1215" t="s">
        <v>86</v>
      </c>
      <c r="E16" s="1212" t="s">
        <v>1056</v>
      </c>
      <c r="F16" s="1224">
        <v>45405</v>
      </c>
      <c r="G16" s="1224"/>
      <c r="H16" s="1211" t="s">
        <v>1055</v>
      </c>
      <c r="I16" s="1211"/>
      <c r="J16" s="1211"/>
      <c r="K16" s="1229">
        <v>6.15</v>
      </c>
      <c r="L16" s="1229">
        <v>8.35</v>
      </c>
      <c r="M16" s="1229">
        <v>7.25</v>
      </c>
      <c r="N16" s="1229"/>
      <c r="O16" s="1229" t="s">
        <v>1086</v>
      </c>
      <c r="P16" s="1229">
        <v>7.4591552880603311</v>
      </c>
      <c r="Q16" s="1229"/>
      <c r="R16" s="1230">
        <v>0.20915528806033112</v>
      </c>
      <c r="S16" s="1227">
        <v>2.8849005249700844E-2</v>
      </c>
      <c r="T16" s="1211"/>
      <c r="U16" s="1228" t="s">
        <v>487</v>
      </c>
      <c r="V16" s="1211"/>
    </row>
    <row r="17" spans="1:22" hidden="1" outlineLevel="1" x14ac:dyDescent="0.3">
      <c r="A17" s="1209">
        <v>303</v>
      </c>
      <c r="B17" s="1211"/>
      <c r="C17" s="1211"/>
      <c r="D17" s="1215"/>
      <c r="E17" s="1212"/>
      <c r="F17" s="1224"/>
      <c r="G17" s="1224"/>
      <c r="H17" s="1211"/>
      <c r="I17" s="1211"/>
      <c r="J17" s="1211"/>
      <c r="K17" s="1225"/>
      <c r="L17" s="1225"/>
      <c r="M17" s="1225"/>
      <c r="N17" s="1211"/>
      <c r="O17" s="1211"/>
      <c r="P17" s="1225"/>
      <c r="Q17" s="1211"/>
      <c r="R17" s="1226"/>
      <c r="S17" s="1227"/>
      <c r="T17" s="1211"/>
      <c r="U17" s="1228"/>
      <c r="V17" s="1211"/>
    </row>
    <row r="18" spans="1:22" collapsed="1" x14ac:dyDescent="0.3">
      <c r="A18" s="1209">
        <v>302</v>
      </c>
      <c r="B18" s="1211" t="s">
        <v>1087</v>
      </c>
      <c r="C18" s="1211"/>
      <c r="D18" s="1215" t="s">
        <v>61</v>
      </c>
      <c r="E18" s="1212" t="s">
        <v>293</v>
      </c>
      <c r="F18" s="1224">
        <v>45405</v>
      </c>
      <c r="G18" s="1224" t="s">
        <v>1057</v>
      </c>
      <c r="H18" s="1211" t="s">
        <v>650</v>
      </c>
      <c r="I18" s="1211"/>
      <c r="J18" s="1211"/>
      <c r="K18" s="1225">
        <v>2025</v>
      </c>
      <c r="L18" s="1225">
        <v>2040</v>
      </c>
      <c r="M18" s="1225">
        <v>2032.5</v>
      </c>
      <c r="N18" s="1211"/>
      <c r="O18" s="1211" t="s">
        <v>1054</v>
      </c>
      <c r="P18" s="1225">
        <v>2040.069</v>
      </c>
      <c r="Q18" s="1211"/>
      <c r="R18" s="1226">
        <v>7.56899999999996</v>
      </c>
      <c r="S18" s="1227">
        <v>3.7239852398523788E-3</v>
      </c>
      <c r="T18" s="1211"/>
      <c r="U18" s="1228" t="s">
        <v>295</v>
      </c>
      <c r="V18" s="1211"/>
    </row>
    <row r="19" spans="1:22" x14ac:dyDescent="0.3">
      <c r="A19" s="1209">
        <v>301</v>
      </c>
      <c r="B19" s="1211" t="s">
        <v>1087</v>
      </c>
      <c r="C19" s="1211"/>
      <c r="D19" s="1215" t="s">
        <v>94</v>
      </c>
      <c r="E19" s="1212" t="s">
        <v>296</v>
      </c>
      <c r="F19" s="1224">
        <v>45405</v>
      </c>
      <c r="G19" s="1224" t="s">
        <v>1057</v>
      </c>
      <c r="H19" s="1211" t="s">
        <v>650</v>
      </c>
      <c r="I19" s="1211"/>
      <c r="J19" s="1211"/>
      <c r="K19" s="1225">
        <v>-65</v>
      </c>
      <c r="L19" s="1225">
        <v>-60</v>
      </c>
      <c r="M19" s="1225">
        <v>-62.5</v>
      </c>
      <c r="N19" s="1211"/>
      <c r="O19" s="1211" t="s">
        <v>1054</v>
      </c>
      <c r="P19" s="1225">
        <v>-61.588999999999999</v>
      </c>
      <c r="Q19" s="1211"/>
      <c r="R19" s="1226">
        <v>0.91100000000000136</v>
      </c>
      <c r="S19" s="1227">
        <v>1.4576000000000021E-2</v>
      </c>
      <c r="T19" s="1211"/>
      <c r="U19" s="1228" t="s">
        <v>295</v>
      </c>
      <c r="V19" s="1211"/>
    </row>
    <row r="20" spans="1:22" x14ac:dyDescent="0.3">
      <c r="A20" s="1209">
        <v>300</v>
      </c>
      <c r="B20" s="1211" t="s">
        <v>1087</v>
      </c>
      <c r="C20" s="1211"/>
      <c r="D20" s="1215" t="s">
        <v>391</v>
      </c>
      <c r="E20" s="1212"/>
      <c r="F20" s="1224">
        <v>45405</v>
      </c>
      <c r="G20" s="1224" t="s">
        <v>1057</v>
      </c>
      <c r="H20" s="1211" t="s">
        <v>650</v>
      </c>
      <c r="I20" s="1211"/>
      <c r="J20" s="1211"/>
      <c r="K20" s="1214">
        <v>0.24</v>
      </c>
      <c r="L20" s="1214">
        <v>0.26</v>
      </c>
      <c r="M20" s="1214">
        <v>0.25</v>
      </c>
      <c r="N20" s="1211"/>
      <c r="O20" s="1211" t="s">
        <v>1054</v>
      </c>
      <c r="P20" s="1214">
        <v>0.24088491079166788</v>
      </c>
      <c r="Q20" s="1211"/>
      <c r="R20" s="1227">
        <v>-9.1150892083321222E-3</v>
      </c>
      <c r="S20" s="1227">
        <v>-3.6460356833328489E-2</v>
      </c>
      <c r="T20" s="1211"/>
      <c r="U20" s="1228" t="s">
        <v>295</v>
      </c>
      <c r="V20" s="1211"/>
    </row>
    <row r="21" spans="1:22" x14ac:dyDescent="0.3">
      <c r="A21" s="1209">
        <v>299</v>
      </c>
      <c r="B21" s="1211" t="s">
        <v>1087</v>
      </c>
      <c r="C21" s="1211"/>
      <c r="D21" s="1215" t="s">
        <v>67</v>
      </c>
      <c r="E21" s="1212" t="s">
        <v>298</v>
      </c>
      <c r="F21" s="1224">
        <v>45405</v>
      </c>
      <c r="G21" s="1224" t="s">
        <v>1057</v>
      </c>
      <c r="H21" s="1211" t="s">
        <v>650</v>
      </c>
      <c r="I21" s="1211"/>
      <c r="J21" s="1211"/>
      <c r="K21" s="1225">
        <v>240.5</v>
      </c>
      <c r="L21" s="1225">
        <v>247</v>
      </c>
      <c r="M21" s="1225">
        <v>243.75</v>
      </c>
      <c r="N21" s="1211"/>
      <c r="O21" s="1211" t="s">
        <v>1054</v>
      </c>
      <c r="P21" s="1225">
        <v>249.60000000000002</v>
      </c>
      <c r="Q21" s="1211"/>
      <c r="R21" s="1226">
        <v>5.8500000000000227</v>
      </c>
      <c r="S21" s="1227">
        <v>2.4000000000000094E-2</v>
      </c>
      <c r="T21" s="1211"/>
      <c r="U21" s="1228" t="s">
        <v>295</v>
      </c>
      <c r="V21" s="1211"/>
    </row>
    <row r="22" spans="1:22" x14ac:dyDescent="0.3">
      <c r="A22" s="1209">
        <v>298</v>
      </c>
      <c r="B22" s="1211" t="s">
        <v>1087</v>
      </c>
      <c r="C22" s="1211"/>
      <c r="D22" s="1215" t="s">
        <v>66</v>
      </c>
      <c r="E22" s="1212" t="s">
        <v>415</v>
      </c>
      <c r="F22" s="1224">
        <v>45405</v>
      </c>
      <c r="G22" s="1224" t="s">
        <v>1057</v>
      </c>
      <c r="H22" s="1211" t="s">
        <v>650</v>
      </c>
      <c r="I22" s="1211"/>
      <c r="J22" s="1211"/>
      <c r="K22" s="1225">
        <v>28</v>
      </c>
      <c r="L22" s="1225">
        <v>31</v>
      </c>
      <c r="M22" s="1225">
        <v>29.5</v>
      </c>
      <c r="N22" s="1211"/>
      <c r="O22" s="1211" t="s">
        <v>1054</v>
      </c>
      <c r="P22" s="1225">
        <v>31.462</v>
      </c>
      <c r="Q22" s="1211"/>
      <c r="R22" s="1226">
        <v>1.9619999999999997</v>
      </c>
      <c r="S22" s="1227">
        <v>6.6508474576271182E-2</v>
      </c>
      <c r="T22" s="1211"/>
      <c r="U22" s="1228" t="s">
        <v>295</v>
      </c>
      <c r="V22" s="1211"/>
    </row>
    <row r="23" spans="1:22" hidden="1" outlineLevel="1" x14ac:dyDescent="0.3">
      <c r="A23" s="1209">
        <v>297</v>
      </c>
      <c r="B23" s="1211" t="s">
        <v>1087</v>
      </c>
      <c r="C23" s="1211"/>
      <c r="D23" s="1215" t="s">
        <v>533</v>
      </c>
      <c r="E23" s="1212" t="s">
        <v>543</v>
      </c>
      <c r="F23" s="1224">
        <v>45405</v>
      </c>
      <c r="G23" s="1224" t="s">
        <v>1057</v>
      </c>
      <c r="H23" s="1211" t="s">
        <v>650</v>
      </c>
      <c r="I23" s="1211"/>
      <c r="J23" s="1211"/>
      <c r="K23" s="1225">
        <v>11.5</v>
      </c>
      <c r="L23" s="1225">
        <v>12</v>
      </c>
      <c r="M23" s="1225">
        <v>11.75</v>
      </c>
      <c r="N23" s="1211"/>
      <c r="O23" s="1211" t="s">
        <v>1054</v>
      </c>
      <c r="P23" s="1225">
        <v>0</v>
      </c>
      <c r="Q23" s="1211"/>
      <c r="R23" s="1226">
        <v>-11.75</v>
      </c>
      <c r="S23" s="1227">
        <v>-1</v>
      </c>
      <c r="T23" s="1211"/>
      <c r="U23" s="1228" t="s">
        <v>295</v>
      </c>
      <c r="V23" s="1211"/>
    </row>
    <row r="24" spans="1:22" collapsed="1" x14ac:dyDescent="0.3">
      <c r="A24" s="1209">
        <v>296</v>
      </c>
      <c r="B24" s="1211" t="s">
        <v>1087</v>
      </c>
      <c r="C24" s="1211"/>
      <c r="D24" s="1215" t="s">
        <v>504</v>
      </c>
      <c r="E24" s="1212" t="s">
        <v>483</v>
      </c>
      <c r="F24" s="1224">
        <v>45405</v>
      </c>
      <c r="G24" s="1224" t="s">
        <v>1057</v>
      </c>
      <c r="H24" s="1211" t="s">
        <v>650</v>
      </c>
      <c r="I24" s="1211"/>
      <c r="J24" s="1211"/>
      <c r="K24" s="1225">
        <v>280</v>
      </c>
      <c r="L24" s="1225">
        <v>290</v>
      </c>
      <c r="M24" s="1225">
        <v>285</v>
      </c>
      <c r="N24" s="1211"/>
      <c r="O24" s="1211" t="s">
        <v>1054</v>
      </c>
      <c r="P24" s="1225">
        <v>293.94</v>
      </c>
      <c r="Q24" s="1211"/>
      <c r="R24" s="1226">
        <v>8.9399999999999977</v>
      </c>
      <c r="S24" s="1227">
        <v>3.1368421052631573E-2</v>
      </c>
      <c r="T24" s="1211"/>
      <c r="U24" s="1228" t="s">
        <v>295</v>
      </c>
      <c r="V24" s="1211"/>
    </row>
    <row r="25" spans="1:22" x14ac:dyDescent="0.3">
      <c r="A25" s="1209">
        <v>295</v>
      </c>
      <c r="B25" s="1211"/>
      <c r="C25" s="1211"/>
      <c r="D25" s="1215"/>
      <c r="E25" s="1212"/>
      <c r="F25" s="1224"/>
      <c r="G25" s="1224"/>
      <c r="H25" s="1211"/>
      <c r="I25" s="1211"/>
      <c r="J25" s="1211"/>
      <c r="K25" s="1225"/>
      <c r="L25" s="1225"/>
      <c r="M25" s="1225"/>
      <c r="N25" s="1211"/>
      <c r="O25" s="1211"/>
      <c r="P25" s="1225"/>
      <c r="Q25" s="1211"/>
      <c r="R25" s="1226"/>
      <c r="S25" s="1227"/>
      <c r="T25" s="1211"/>
      <c r="U25" s="1228"/>
      <c r="V25" s="1211"/>
    </row>
    <row r="26" spans="1:22" x14ac:dyDescent="0.3">
      <c r="A26" s="1209">
        <v>294</v>
      </c>
      <c r="B26" s="1211" t="s">
        <v>1087</v>
      </c>
      <c r="C26" s="1211"/>
      <c r="D26" s="1215" t="s">
        <v>61</v>
      </c>
      <c r="E26" s="1212" t="s">
        <v>293</v>
      </c>
      <c r="F26" s="1224">
        <v>45314</v>
      </c>
      <c r="G26" s="1224" t="s">
        <v>1058</v>
      </c>
      <c r="H26" s="1211" t="s">
        <v>650</v>
      </c>
      <c r="I26" s="1211"/>
      <c r="J26" s="1211"/>
      <c r="K26" s="1225">
        <v>1990</v>
      </c>
      <c r="L26" s="1225">
        <v>2040</v>
      </c>
      <c r="M26" s="1225">
        <v>2015</v>
      </c>
      <c r="N26" s="1211"/>
      <c r="O26" s="1211" t="s">
        <v>1054</v>
      </c>
      <c r="P26" s="1225">
        <v>2040.069</v>
      </c>
      <c r="Q26" s="1211"/>
      <c r="R26" s="1226">
        <v>25.06899999999996</v>
      </c>
      <c r="S26" s="1227">
        <v>1.2441191066997499E-2</v>
      </c>
      <c r="T26" s="1211"/>
      <c r="U26" s="1228" t="s">
        <v>295</v>
      </c>
      <c r="V26" s="1211"/>
    </row>
    <row r="27" spans="1:22" x14ac:dyDescent="0.3">
      <c r="A27" s="1209">
        <v>293</v>
      </c>
      <c r="B27" s="1211" t="s">
        <v>1087</v>
      </c>
      <c r="C27" s="1211"/>
      <c r="D27" s="1215" t="s">
        <v>94</v>
      </c>
      <c r="E27" s="1212" t="s">
        <v>296</v>
      </c>
      <c r="F27" s="1224">
        <v>45314</v>
      </c>
      <c r="G27" s="1224" t="s">
        <v>1058</v>
      </c>
      <c r="H27" s="1211" t="s">
        <v>650</v>
      </c>
      <c r="I27" s="1211"/>
      <c r="J27" s="1211"/>
      <c r="K27" s="1225">
        <v>-65</v>
      </c>
      <c r="L27" s="1225">
        <v>-60</v>
      </c>
      <c r="M27" s="1225">
        <v>-62.5</v>
      </c>
      <c r="N27" s="1211"/>
      <c r="O27" s="1211" t="s">
        <v>1054</v>
      </c>
      <c r="P27" s="1225">
        <v>-61.588999999999999</v>
      </c>
      <c r="Q27" s="1211"/>
      <c r="R27" s="1226">
        <v>0.91100000000000136</v>
      </c>
      <c r="S27" s="1227">
        <v>1.4576000000000021E-2</v>
      </c>
      <c r="T27" s="1211"/>
      <c r="U27" s="1228" t="s">
        <v>295</v>
      </c>
      <c r="V27" s="1211"/>
    </row>
    <row r="28" spans="1:22" x14ac:dyDescent="0.3">
      <c r="A28" s="1209">
        <v>292</v>
      </c>
      <c r="B28" s="1211" t="s">
        <v>1087</v>
      </c>
      <c r="C28" s="1211"/>
      <c r="D28" s="1215" t="s">
        <v>391</v>
      </c>
      <c r="E28" s="1212"/>
      <c r="F28" s="1224">
        <v>45314</v>
      </c>
      <c r="G28" s="1224" t="s">
        <v>1058</v>
      </c>
      <c r="H28" s="1211" t="s">
        <v>650</v>
      </c>
      <c r="I28" s="1211"/>
      <c r="J28" s="1211"/>
      <c r="K28" s="1214">
        <v>0.25</v>
      </c>
      <c r="L28" s="1214">
        <v>0.27</v>
      </c>
      <c r="M28" s="1214">
        <v>0.26</v>
      </c>
      <c r="N28" s="1211"/>
      <c r="O28" s="1211" t="s">
        <v>1054</v>
      </c>
      <c r="P28" s="1214">
        <v>0.24088491079166788</v>
      </c>
      <c r="Q28" s="1211"/>
      <c r="R28" s="1227">
        <v>-1.9115089208332131E-2</v>
      </c>
      <c r="S28" s="1227">
        <v>-7.3519573878200503E-2</v>
      </c>
      <c r="T28" s="1211"/>
      <c r="U28" s="1228" t="s">
        <v>295</v>
      </c>
      <c r="V28" s="1211"/>
    </row>
    <row r="29" spans="1:22" x14ac:dyDescent="0.3">
      <c r="A29" s="1209">
        <v>291</v>
      </c>
      <c r="B29" s="1211" t="s">
        <v>1087</v>
      </c>
      <c r="C29" s="1211"/>
      <c r="D29" s="1215" t="s">
        <v>67</v>
      </c>
      <c r="E29" s="1212" t="s">
        <v>298</v>
      </c>
      <c r="F29" s="1224">
        <v>45314</v>
      </c>
      <c r="G29" s="1224" t="s">
        <v>1058</v>
      </c>
      <c r="H29" s="1211" t="s">
        <v>650</v>
      </c>
      <c r="I29" s="1211"/>
      <c r="J29" s="1211"/>
      <c r="K29" s="1225">
        <v>224.5</v>
      </c>
      <c r="L29" s="1225">
        <v>238.5</v>
      </c>
      <c r="M29" s="1225">
        <v>231.5</v>
      </c>
      <c r="N29" s="1211"/>
      <c r="O29" s="1211" t="s">
        <v>1054</v>
      </c>
      <c r="P29" s="1225">
        <v>249.60000000000002</v>
      </c>
      <c r="Q29" s="1211"/>
      <c r="R29" s="1226">
        <v>18.100000000000023</v>
      </c>
      <c r="S29" s="1227">
        <v>7.8185745140388868E-2</v>
      </c>
      <c r="T29" s="1211"/>
      <c r="U29" s="1228" t="s">
        <v>295</v>
      </c>
      <c r="V29" s="1211"/>
    </row>
    <row r="30" spans="1:22" x14ac:dyDescent="0.3">
      <c r="A30" s="1209">
        <v>290</v>
      </c>
      <c r="B30" s="1211" t="s">
        <v>1087</v>
      </c>
      <c r="C30" s="1211"/>
      <c r="D30" s="1215" t="s">
        <v>66</v>
      </c>
      <c r="E30" s="1212" t="s">
        <v>415</v>
      </c>
      <c r="F30" s="1224">
        <v>45314</v>
      </c>
      <c r="G30" s="1224" t="s">
        <v>1058</v>
      </c>
      <c r="H30" s="1211" t="s">
        <v>650</v>
      </c>
      <c r="I30" s="1211"/>
      <c r="J30" s="1211"/>
      <c r="K30" s="1225">
        <v>29</v>
      </c>
      <c r="L30" s="1225">
        <v>33</v>
      </c>
      <c r="M30" s="1225">
        <v>31</v>
      </c>
      <c r="N30" s="1211"/>
      <c r="O30" s="1211" t="s">
        <v>1054</v>
      </c>
      <c r="P30" s="1225">
        <v>31.462</v>
      </c>
      <c r="Q30" s="1211"/>
      <c r="R30" s="1226">
        <v>0.46199999999999974</v>
      </c>
      <c r="S30" s="1227">
        <v>1.4903225806451604E-2</v>
      </c>
      <c r="T30" s="1211"/>
      <c r="U30" s="1228" t="s">
        <v>295</v>
      </c>
      <c r="V30" s="1211"/>
    </row>
    <row r="31" spans="1:22" hidden="1" outlineLevel="1" x14ac:dyDescent="0.3">
      <c r="A31" s="1209">
        <v>289</v>
      </c>
      <c r="B31" s="1211" t="s">
        <v>1087</v>
      </c>
      <c r="C31" s="1211"/>
      <c r="D31" s="1215" t="s">
        <v>533</v>
      </c>
      <c r="E31" s="1212" t="s">
        <v>543</v>
      </c>
      <c r="F31" s="1224">
        <v>45314</v>
      </c>
      <c r="G31" s="1224" t="s">
        <v>1058</v>
      </c>
      <c r="H31" s="1211" t="s">
        <v>650</v>
      </c>
      <c r="I31" s="1211"/>
      <c r="J31" s="1211"/>
      <c r="K31" s="1225">
        <v>11.5</v>
      </c>
      <c r="L31" s="1225">
        <v>13.5</v>
      </c>
      <c r="M31" s="1225">
        <v>12.5</v>
      </c>
      <c r="N31" s="1211"/>
      <c r="O31" s="1211" t="s">
        <v>1054</v>
      </c>
      <c r="P31" s="1225">
        <v>0</v>
      </c>
      <c r="Q31" s="1211"/>
      <c r="R31" s="1226">
        <v>-12.5</v>
      </c>
      <c r="S31" s="1227">
        <v>-1</v>
      </c>
      <c r="T31" s="1211"/>
      <c r="U31" s="1228" t="s">
        <v>295</v>
      </c>
      <c r="V31" s="1211"/>
    </row>
    <row r="32" spans="1:22" collapsed="1" x14ac:dyDescent="0.3">
      <c r="A32" s="1209">
        <v>288</v>
      </c>
      <c r="B32" s="1211" t="s">
        <v>1087</v>
      </c>
      <c r="C32" s="1211"/>
      <c r="D32" s="1215" t="s">
        <v>504</v>
      </c>
      <c r="E32" s="1212" t="s">
        <v>483</v>
      </c>
      <c r="F32" s="1224">
        <v>45314</v>
      </c>
      <c r="G32" s="1224" t="s">
        <v>1058</v>
      </c>
      <c r="H32" s="1211" t="s">
        <v>650</v>
      </c>
      <c r="I32" s="1211"/>
      <c r="J32" s="1211"/>
      <c r="K32" s="1225">
        <v>265</v>
      </c>
      <c r="L32" s="1225">
        <v>285</v>
      </c>
      <c r="M32" s="1225">
        <v>275</v>
      </c>
      <c r="N32" s="1211"/>
      <c r="O32" s="1211" t="s">
        <v>1054</v>
      </c>
      <c r="P32" s="1225">
        <v>293.94</v>
      </c>
      <c r="Q32" s="1211"/>
      <c r="R32" s="1226">
        <v>18.939999999999998</v>
      </c>
      <c r="S32" s="1227">
        <v>6.8872727272727266E-2</v>
      </c>
      <c r="T32" s="1211"/>
      <c r="U32" s="1228" t="s">
        <v>295</v>
      </c>
      <c r="V32" s="1211"/>
    </row>
    <row r="33" spans="1:22" x14ac:dyDescent="0.3">
      <c r="A33" s="1209">
        <v>287</v>
      </c>
      <c r="B33" s="1211"/>
      <c r="C33" s="1211"/>
      <c r="D33" s="1215"/>
      <c r="E33" s="1212"/>
      <c r="F33" s="1224"/>
      <c r="G33" s="1224"/>
      <c r="H33" s="1211"/>
      <c r="I33" s="1211"/>
      <c r="J33" s="1211"/>
      <c r="K33" s="1225"/>
      <c r="L33" s="1225"/>
      <c r="M33" s="1225"/>
      <c r="N33" s="1211"/>
      <c r="O33" s="1211"/>
      <c r="P33" s="1225"/>
      <c r="Q33" s="1211"/>
      <c r="R33" s="1226"/>
      <c r="S33" s="1227"/>
      <c r="T33" s="1211"/>
      <c r="U33" s="1228"/>
      <c r="V33" s="1211"/>
    </row>
    <row r="34" spans="1:22" x14ac:dyDescent="0.3">
      <c r="A34" s="1209">
        <v>286</v>
      </c>
      <c r="B34" s="1211" t="s">
        <v>1087</v>
      </c>
      <c r="C34" s="1211"/>
      <c r="D34" s="1215" t="s">
        <v>61</v>
      </c>
      <c r="E34" s="1212" t="s">
        <v>293</v>
      </c>
      <c r="F34" s="1224">
        <v>45314</v>
      </c>
      <c r="G34" s="1224" t="s">
        <v>1058</v>
      </c>
      <c r="H34" s="1211" t="s">
        <v>1059</v>
      </c>
      <c r="I34" s="1211"/>
      <c r="J34" s="1211"/>
      <c r="K34" s="1225">
        <v>500</v>
      </c>
      <c r="L34" s="1225">
        <v>520</v>
      </c>
      <c r="M34" s="1225">
        <v>510</v>
      </c>
      <c r="N34" s="1211"/>
      <c r="O34" s="1211" t="s">
        <v>1054</v>
      </c>
      <c r="P34" s="1225">
        <v>520.83699999999999</v>
      </c>
      <c r="Q34" s="1211"/>
      <c r="R34" s="1226">
        <v>10.836999999999989</v>
      </c>
      <c r="S34" s="1227">
        <v>2.1249019607843117E-2</v>
      </c>
      <c r="T34" s="1211"/>
      <c r="U34" s="1228" t="s">
        <v>295</v>
      </c>
      <c r="V34" s="1211"/>
    </row>
    <row r="35" spans="1:22" x14ac:dyDescent="0.3">
      <c r="A35" s="1209">
        <v>285</v>
      </c>
      <c r="B35" s="1211" t="s">
        <v>1087</v>
      </c>
      <c r="C35" s="1211"/>
      <c r="D35" s="1215" t="s">
        <v>94</v>
      </c>
      <c r="E35" s="1212" t="s">
        <v>296</v>
      </c>
      <c r="F35" s="1224">
        <v>45314</v>
      </c>
      <c r="G35" s="1224" t="s">
        <v>1058</v>
      </c>
      <c r="H35" s="1211" t="s">
        <v>1059</v>
      </c>
      <c r="I35" s="1211"/>
      <c r="J35" s="1211"/>
      <c r="K35" s="1225">
        <v>-17</v>
      </c>
      <c r="L35" s="1225">
        <v>-14</v>
      </c>
      <c r="M35" s="1225">
        <v>-15.5</v>
      </c>
      <c r="N35" s="1211"/>
      <c r="O35" s="1211" t="s">
        <v>1054</v>
      </c>
      <c r="P35" s="1225">
        <v>-16.327999999999999</v>
      </c>
      <c r="Q35" s="1211"/>
      <c r="R35" s="1226">
        <v>-0.8279999999999994</v>
      </c>
      <c r="S35" s="1227">
        <v>-5.3419354838709639E-2</v>
      </c>
      <c r="T35" s="1211"/>
      <c r="U35" s="1228" t="s">
        <v>295</v>
      </c>
      <c r="V35" s="1211"/>
    </row>
    <row r="36" spans="1:22" x14ac:dyDescent="0.3">
      <c r="A36" s="1209">
        <v>284</v>
      </c>
      <c r="B36" s="1211" t="s">
        <v>1087</v>
      </c>
      <c r="C36" s="1211"/>
      <c r="D36" s="1215" t="s">
        <v>67</v>
      </c>
      <c r="E36" s="1212" t="s">
        <v>298</v>
      </c>
      <c r="F36" s="1224">
        <v>45314</v>
      </c>
      <c r="G36" s="1224" t="s">
        <v>1058</v>
      </c>
      <c r="H36" s="1211" t="s">
        <v>1059</v>
      </c>
      <c r="I36" s="1211"/>
      <c r="J36" s="1211"/>
      <c r="K36" s="1225">
        <v>76</v>
      </c>
      <c r="L36" s="1225">
        <v>83</v>
      </c>
      <c r="M36" s="1225">
        <v>79.5</v>
      </c>
      <c r="N36" s="1211"/>
      <c r="O36" s="1211" t="s">
        <v>1054</v>
      </c>
      <c r="P36" s="1225">
        <v>88.313000000000002</v>
      </c>
      <c r="Q36" s="1211"/>
      <c r="R36" s="1226">
        <v>8.8130000000000024</v>
      </c>
      <c r="S36" s="1227">
        <v>0.11085534591194972</v>
      </c>
      <c r="T36" s="1211"/>
      <c r="U36" s="1228" t="s">
        <v>295</v>
      </c>
      <c r="V36" s="1211"/>
    </row>
    <row r="37" spans="1:22" x14ac:dyDescent="0.3">
      <c r="A37" s="1209">
        <v>283</v>
      </c>
      <c r="B37" s="1211" t="s">
        <v>1087</v>
      </c>
      <c r="C37" s="1211"/>
      <c r="D37" s="1215" t="s">
        <v>66</v>
      </c>
      <c r="E37" s="1212" t="s">
        <v>415</v>
      </c>
      <c r="F37" s="1224">
        <v>45314</v>
      </c>
      <c r="G37" s="1224" t="s">
        <v>1058</v>
      </c>
      <c r="H37" s="1211" t="s">
        <v>1059</v>
      </c>
      <c r="I37" s="1211"/>
      <c r="J37" s="1211"/>
      <c r="K37" s="1225">
        <v>6.5</v>
      </c>
      <c r="L37" s="1225">
        <v>8.5</v>
      </c>
      <c r="M37" s="1225">
        <v>7.5</v>
      </c>
      <c r="N37" s="1211"/>
      <c r="O37" s="1211" t="s">
        <v>1054</v>
      </c>
      <c r="P37" s="1225">
        <v>5.25</v>
      </c>
      <c r="Q37" s="1211"/>
      <c r="R37" s="1226">
        <v>-2.25</v>
      </c>
      <c r="S37" s="1227">
        <v>-0.3</v>
      </c>
      <c r="T37" s="1211"/>
      <c r="U37" s="1228" t="s">
        <v>295</v>
      </c>
      <c r="V37" s="1211"/>
    </row>
    <row r="38" spans="1:22" hidden="1" outlineLevel="1" x14ac:dyDescent="0.3">
      <c r="A38" s="1209">
        <v>282</v>
      </c>
      <c r="B38" s="1211" t="s">
        <v>1087</v>
      </c>
      <c r="C38" s="1211"/>
      <c r="D38" s="1215" t="s">
        <v>533</v>
      </c>
      <c r="E38" s="1212" t="s">
        <v>543</v>
      </c>
      <c r="F38" s="1224">
        <v>45314</v>
      </c>
      <c r="G38" s="1224" t="s">
        <v>1058</v>
      </c>
      <c r="H38" s="1211" t="s">
        <v>1059</v>
      </c>
      <c r="I38" s="1211"/>
      <c r="J38" s="1211"/>
      <c r="K38" s="1225">
        <v>2.5</v>
      </c>
      <c r="L38" s="1225">
        <v>3.5</v>
      </c>
      <c r="M38" s="1225">
        <v>3</v>
      </c>
      <c r="N38" s="1211"/>
      <c r="O38" s="1211" t="s">
        <v>1054</v>
      </c>
      <c r="P38" s="1225">
        <v>3.1</v>
      </c>
      <c r="Q38" s="1211"/>
      <c r="R38" s="1226">
        <v>0.10000000000000009</v>
      </c>
      <c r="S38" s="1227">
        <v>3.3333333333333361E-2</v>
      </c>
      <c r="T38" s="1211"/>
      <c r="U38" s="1228" t="s">
        <v>295</v>
      </c>
      <c r="V38" s="1211"/>
    </row>
    <row r="39" spans="1:22" collapsed="1" x14ac:dyDescent="0.3">
      <c r="A39" s="1209">
        <v>281</v>
      </c>
      <c r="B39" s="1211" t="s">
        <v>1087</v>
      </c>
      <c r="C39" s="1211"/>
      <c r="D39" s="1215" t="s">
        <v>504</v>
      </c>
      <c r="E39" s="1212" t="s">
        <v>483</v>
      </c>
      <c r="F39" s="1224">
        <v>45314</v>
      </c>
      <c r="G39" s="1224" t="s">
        <v>1058</v>
      </c>
      <c r="H39" s="1211" t="s">
        <v>1059</v>
      </c>
      <c r="I39" s="1211"/>
      <c r="J39" s="1211"/>
      <c r="K39" s="1225">
        <v>85</v>
      </c>
      <c r="L39" s="1225">
        <v>95</v>
      </c>
      <c r="M39" s="1225">
        <v>90</v>
      </c>
      <c r="N39" s="1211"/>
      <c r="O39" s="1211" t="s">
        <v>1054</v>
      </c>
      <c r="P39" s="1225">
        <v>96.410000000000011</v>
      </c>
      <c r="Q39" s="1211"/>
      <c r="R39" s="1226">
        <v>6.4100000000000108</v>
      </c>
      <c r="S39" s="1227">
        <v>7.1222222222222339E-2</v>
      </c>
      <c r="T39" s="1211"/>
      <c r="U39" s="1228" t="s">
        <v>295</v>
      </c>
      <c r="V39" s="1211"/>
    </row>
    <row r="40" spans="1:22" x14ac:dyDescent="0.3">
      <c r="A40" s="1209">
        <v>280</v>
      </c>
      <c r="B40" s="1211"/>
      <c r="C40" s="1211"/>
      <c r="D40" s="1215"/>
      <c r="E40" s="1212"/>
      <c r="F40" s="1224"/>
      <c r="G40" s="1224"/>
      <c r="H40" s="1211"/>
      <c r="I40" s="1211"/>
      <c r="J40" s="1211"/>
      <c r="K40" s="1225"/>
      <c r="L40" s="1225"/>
      <c r="M40" s="1225"/>
      <c r="N40" s="1211"/>
      <c r="O40" s="1211"/>
      <c r="P40" s="1225"/>
      <c r="Q40" s="1211"/>
      <c r="R40" s="1226"/>
      <c r="S40" s="1227"/>
      <c r="T40" s="1211"/>
      <c r="U40" s="1228"/>
      <c r="V40" s="1211"/>
    </row>
    <row r="41" spans="1:22" hidden="1" outlineLevel="1" x14ac:dyDescent="0.3">
      <c r="A41" s="1209">
        <v>279</v>
      </c>
      <c r="B41" s="1211" t="s">
        <v>1085</v>
      </c>
      <c r="C41" s="1211"/>
      <c r="D41" s="1215" t="s">
        <v>61</v>
      </c>
      <c r="E41" s="1212" t="s">
        <v>293</v>
      </c>
      <c r="F41" s="1224">
        <v>45223</v>
      </c>
      <c r="G41" s="1224" t="s">
        <v>1060</v>
      </c>
      <c r="H41" s="1211" t="s">
        <v>486</v>
      </c>
      <c r="I41" s="1211"/>
      <c r="J41" s="1211"/>
      <c r="K41" s="1225">
        <v>1900</v>
      </c>
      <c r="L41" s="1225">
        <v>2200</v>
      </c>
      <c r="M41" s="1225">
        <v>2050</v>
      </c>
      <c r="N41" s="1211"/>
      <c r="O41" s="1211" t="s">
        <v>1086</v>
      </c>
      <c r="P41" s="1225">
        <v>2242.7517215999997</v>
      </c>
      <c r="Q41" s="1211"/>
      <c r="R41" s="1226">
        <v>192.75172159999966</v>
      </c>
      <c r="S41" s="1227">
        <v>9.4025230048780314E-2</v>
      </c>
      <c r="T41" s="1211"/>
      <c r="U41" s="1228" t="s">
        <v>487</v>
      </c>
      <c r="V41" s="1211"/>
    </row>
    <row r="42" spans="1:22" hidden="1" outlineLevel="1" x14ac:dyDescent="0.3">
      <c r="A42" s="1209">
        <v>278</v>
      </c>
      <c r="B42" s="1211" t="s">
        <v>1085</v>
      </c>
      <c r="C42" s="1211"/>
      <c r="D42" s="1215" t="s">
        <v>504</v>
      </c>
      <c r="E42" s="1212" t="s">
        <v>483</v>
      </c>
      <c r="F42" s="1224">
        <v>45223</v>
      </c>
      <c r="G42" s="1224" t="s">
        <v>1060</v>
      </c>
      <c r="H42" s="1211" t="s">
        <v>486</v>
      </c>
      <c r="I42" s="1211"/>
      <c r="J42" s="1211"/>
      <c r="K42" s="1225">
        <v>250</v>
      </c>
      <c r="L42" s="1225">
        <v>350</v>
      </c>
      <c r="M42" s="1225">
        <v>300</v>
      </c>
      <c r="N42" s="1211"/>
      <c r="O42" s="1211" t="s">
        <v>1086</v>
      </c>
      <c r="P42" s="1225">
        <v>351.54445238400001</v>
      </c>
      <c r="Q42" s="1211"/>
      <c r="R42" s="1226">
        <v>51.54445238400001</v>
      </c>
      <c r="S42" s="1227">
        <v>0.17181484128000005</v>
      </c>
      <c r="T42" s="1211"/>
      <c r="U42" s="1228" t="s">
        <v>487</v>
      </c>
      <c r="V42" s="1211"/>
    </row>
    <row r="43" spans="1:22" hidden="1" outlineLevel="1" x14ac:dyDescent="0.3">
      <c r="A43" s="1209">
        <v>277</v>
      </c>
      <c r="B43" s="1211"/>
      <c r="C43" s="1211"/>
      <c r="D43" s="1215"/>
      <c r="E43" s="1212"/>
      <c r="F43" s="1224"/>
      <c r="G43" s="1224"/>
      <c r="H43" s="1211"/>
      <c r="I43" s="1211"/>
      <c r="J43" s="1211"/>
      <c r="K43" s="1225"/>
      <c r="L43" s="1225"/>
      <c r="M43" s="1225"/>
      <c r="N43" s="1211"/>
      <c r="O43" s="1211"/>
      <c r="P43" s="1225"/>
      <c r="Q43" s="1211"/>
      <c r="R43" s="1226"/>
      <c r="S43" s="1227"/>
      <c r="T43" s="1211"/>
      <c r="U43" s="1228"/>
      <c r="V43" s="1211"/>
    </row>
    <row r="44" spans="1:22" collapsed="1" x14ac:dyDescent="0.3">
      <c r="A44" s="1209">
        <v>276</v>
      </c>
      <c r="B44" s="1211" t="s">
        <v>1087</v>
      </c>
      <c r="C44" s="1211"/>
      <c r="D44" s="1215" t="s">
        <v>61</v>
      </c>
      <c r="E44" s="1212" t="s">
        <v>293</v>
      </c>
      <c r="F44" s="1224">
        <v>45223</v>
      </c>
      <c r="G44" s="1224" t="s">
        <v>1060</v>
      </c>
      <c r="H44" s="1211" t="s">
        <v>650</v>
      </c>
      <c r="I44" s="1211"/>
      <c r="J44" s="1211"/>
      <c r="K44" s="1225">
        <v>1960</v>
      </c>
      <c r="L44" s="1225">
        <v>2030</v>
      </c>
      <c r="M44" s="1225">
        <v>1995</v>
      </c>
      <c r="N44" s="1211"/>
      <c r="O44" s="1211" t="s">
        <v>1054</v>
      </c>
      <c r="P44" s="1225">
        <v>2040.069</v>
      </c>
      <c r="Q44" s="1211"/>
      <c r="R44" s="1226">
        <v>45.06899999999996</v>
      </c>
      <c r="S44" s="1227">
        <v>2.2590977443609002E-2</v>
      </c>
      <c r="T44" s="1211"/>
      <c r="U44" s="1228" t="s">
        <v>295</v>
      </c>
      <c r="V44" s="1211"/>
    </row>
    <row r="45" spans="1:22" x14ac:dyDescent="0.3">
      <c r="A45" s="1209">
        <v>275</v>
      </c>
      <c r="B45" s="1211" t="s">
        <v>1087</v>
      </c>
      <c r="C45" s="1211"/>
      <c r="D45" s="1215" t="s">
        <v>94</v>
      </c>
      <c r="E45" s="1212" t="s">
        <v>296</v>
      </c>
      <c r="F45" s="1224">
        <v>45223</v>
      </c>
      <c r="G45" s="1224" t="s">
        <v>1060</v>
      </c>
      <c r="H45" s="1211" t="s">
        <v>650</v>
      </c>
      <c r="I45" s="1211"/>
      <c r="J45" s="1211"/>
      <c r="K45" s="1225">
        <v>-75</v>
      </c>
      <c r="L45" s="1225">
        <v>-65</v>
      </c>
      <c r="M45" s="1225">
        <v>-70</v>
      </c>
      <c r="N45" s="1211"/>
      <c r="O45" s="1211" t="s">
        <v>1054</v>
      </c>
      <c r="P45" s="1225">
        <v>-61.588999999999999</v>
      </c>
      <c r="Q45" s="1211"/>
      <c r="R45" s="1226">
        <v>8.4110000000000014</v>
      </c>
      <c r="S45" s="1227">
        <v>0.12015714285714288</v>
      </c>
      <c r="T45" s="1211"/>
      <c r="U45" s="1228" t="s">
        <v>295</v>
      </c>
      <c r="V45" s="1211"/>
    </row>
    <row r="46" spans="1:22" x14ac:dyDescent="0.3">
      <c r="A46" s="1209">
        <v>274</v>
      </c>
      <c r="B46" s="1211" t="s">
        <v>1087</v>
      </c>
      <c r="C46" s="1211"/>
      <c r="D46" s="1215" t="s">
        <v>391</v>
      </c>
      <c r="E46" s="1212"/>
      <c r="F46" s="1224">
        <v>45223</v>
      </c>
      <c r="G46" s="1224" t="s">
        <v>1060</v>
      </c>
      <c r="H46" s="1211" t="s">
        <v>650</v>
      </c>
      <c r="I46" s="1211"/>
      <c r="J46" s="1211"/>
      <c r="K46" s="1214">
        <v>0.25</v>
      </c>
      <c r="L46" s="1214">
        <v>0.27</v>
      </c>
      <c r="M46" s="1214">
        <v>0.26</v>
      </c>
      <c r="N46" s="1211"/>
      <c r="O46" s="1211" t="s">
        <v>1054</v>
      </c>
      <c r="P46" s="1214">
        <v>0.24088491079166788</v>
      </c>
      <c r="Q46" s="1211"/>
      <c r="R46" s="1227">
        <v>-1.9115089208332131E-2</v>
      </c>
      <c r="S46" s="1227">
        <v>-7.3519573878200503E-2</v>
      </c>
      <c r="T46" s="1211"/>
      <c r="U46" s="1228" t="s">
        <v>295</v>
      </c>
      <c r="V46" s="1211"/>
    </row>
    <row r="47" spans="1:22" x14ac:dyDescent="0.3">
      <c r="A47" s="1209">
        <v>273</v>
      </c>
      <c r="B47" s="1211" t="s">
        <v>1087</v>
      </c>
      <c r="C47" s="1211"/>
      <c r="D47" s="1215" t="s">
        <v>67</v>
      </c>
      <c r="E47" s="1212" t="s">
        <v>298</v>
      </c>
      <c r="F47" s="1224">
        <v>45223</v>
      </c>
      <c r="G47" s="1224" t="s">
        <v>1060</v>
      </c>
      <c r="H47" s="1211" t="s">
        <v>650</v>
      </c>
      <c r="I47" s="1211"/>
      <c r="J47" s="1211"/>
      <c r="K47" s="1225">
        <v>210.5</v>
      </c>
      <c r="L47" s="1225">
        <v>228.5</v>
      </c>
      <c r="M47" s="1225">
        <v>219.5</v>
      </c>
      <c r="N47" s="1211"/>
      <c r="O47" s="1211" t="s">
        <v>1054</v>
      </c>
      <c r="P47" s="1225">
        <v>249.60000000000002</v>
      </c>
      <c r="Q47" s="1211"/>
      <c r="R47" s="1226">
        <v>30.100000000000023</v>
      </c>
      <c r="S47" s="1227">
        <v>0.13712984054669713</v>
      </c>
      <c r="T47" s="1211"/>
      <c r="U47" s="1228" t="s">
        <v>295</v>
      </c>
      <c r="V47" s="1211"/>
    </row>
    <row r="48" spans="1:22" x14ac:dyDescent="0.3">
      <c r="A48" s="1209">
        <v>272</v>
      </c>
      <c r="B48" s="1211" t="s">
        <v>1087</v>
      </c>
      <c r="C48" s="1211"/>
      <c r="D48" s="1215" t="s">
        <v>66</v>
      </c>
      <c r="E48" s="1212" t="s">
        <v>415</v>
      </c>
      <c r="F48" s="1224">
        <v>45223</v>
      </c>
      <c r="G48" s="1224" t="s">
        <v>1060</v>
      </c>
      <c r="H48" s="1211" t="s">
        <v>650</v>
      </c>
      <c r="I48" s="1211"/>
      <c r="J48" s="1211"/>
      <c r="K48" s="1225">
        <v>28</v>
      </c>
      <c r="L48" s="1225">
        <v>33</v>
      </c>
      <c r="M48" s="1225">
        <v>30.5</v>
      </c>
      <c r="N48" s="1211"/>
      <c r="O48" s="1211" t="s">
        <v>1054</v>
      </c>
      <c r="P48" s="1225">
        <v>31.462</v>
      </c>
      <c r="Q48" s="1211"/>
      <c r="R48" s="1226">
        <v>0.96199999999999974</v>
      </c>
      <c r="S48" s="1227">
        <v>3.1540983606557368E-2</v>
      </c>
      <c r="T48" s="1211"/>
      <c r="U48" s="1228" t="s">
        <v>295</v>
      </c>
      <c r="V48" s="1211"/>
    </row>
    <row r="49" spans="1:22" hidden="1" outlineLevel="1" x14ac:dyDescent="0.3">
      <c r="A49" s="1209">
        <v>271</v>
      </c>
      <c r="B49" s="1211" t="s">
        <v>1087</v>
      </c>
      <c r="C49" s="1211"/>
      <c r="D49" s="1215" t="s">
        <v>533</v>
      </c>
      <c r="E49" s="1212" t="s">
        <v>543</v>
      </c>
      <c r="F49" s="1224">
        <v>45223</v>
      </c>
      <c r="G49" s="1224" t="s">
        <v>1060</v>
      </c>
      <c r="H49" s="1211" t="s">
        <v>650</v>
      </c>
      <c r="I49" s="1211"/>
      <c r="J49" s="1211"/>
      <c r="K49" s="1225">
        <v>11.5</v>
      </c>
      <c r="L49" s="1225">
        <v>13.5</v>
      </c>
      <c r="M49" s="1225">
        <v>12.5</v>
      </c>
      <c r="N49" s="1211"/>
      <c r="O49" s="1211" t="s">
        <v>1054</v>
      </c>
      <c r="P49" s="1225">
        <v>0</v>
      </c>
      <c r="Q49" s="1211"/>
      <c r="R49" s="1226">
        <v>-12.5</v>
      </c>
      <c r="S49" s="1227">
        <v>-1</v>
      </c>
      <c r="T49" s="1211"/>
      <c r="U49" s="1228" t="s">
        <v>295</v>
      </c>
      <c r="V49" s="1211"/>
    </row>
    <row r="50" spans="1:22" collapsed="1" x14ac:dyDescent="0.3">
      <c r="A50" s="1209">
        <v>270</v>
      </c>
      <c r="B50" s="1211" t="s">
        <v>1087</v>
      </c>
      <c r="C50" s="1211"/>
      <c r="D50" s="1215" t="s">
        <v>504</v>
      </c>
      <c r="E50" s="1212" t="s">
        <v>483</v>
      </c>
      <c r="F50" s="1224">
        <v>45223</v>
      </c>
      <c r="G50" s="1224" t="s">
        <v>1060</v>
      </c>
      <c r="H50" s="1211" t="s">
        <v>650</v>
      </c>
      <c r="I50" s="1211"/>
      <c r="J50" s="1211"/>
      <c r="K50" s="1225">
        <v>250</v>
      </c>
      <c r="L50" s="1225">
        <v>275</v>
      </c>
      <c r="M50" s="1225">
        <v>262.5</v>
      </c>
      <c r="N50" s="1211"/>
      <c r="O50" s="1211" t="s">
        <v>1054</v>
      </c>
      <c r="P50" s="1225">
        <v>293.94</v>
      </c>
      <c r="Q50" s="1211"/>
      <c r="R50" s="1226">
        <v>31.439999999999998</v>
      </c>
      <c r="S50" s="1227">
        <v>0.11977142857142856</v>
      </c>
      <c r="T50" s="1211"/>
      <c r="U50" s="1228" t="s">
        <v>295</v>
      </c>
      <c r="V50" s="1211"/>
    </row>
    <row r="51" spans="1:22" x14ac:dyDescent="0.3">
      <c r="A51" s="1209">
        <v>269</v>
      </c>
      <c r="B51" s="1211"/>
      <c r="C51" s="1211"/>
      <c r="D51" s="1215"/>
      <c r="E51" s="1212"/>
      <c r="F51" s="1224"/>
      <c r="G51" s="1224"/>
      <c r="H51" s="1211"/>
      <c r="I51" s="1211"/>
      <c r="J51" s="1211"/>
      <c r="K51" s="1225"/>
      <c r="L51" s="1225"/>
      <c r="M51" s="1225"/>
      <c r="N51" s="1211"/>
      <c r="O51" s="1211"/>
      <c r="P51" s="1225"/>
      <c r="Q51" s="1211"/>
      <c r="R51" s="1226"/>
      <c r="S51" s="1227"/>
      <c r="T51" s="1211"/>
      <c r="U51" s="1228"/>
      <c r="V51" s="1211"/>
    </row>
    <row r="52" spans="1:22" x14ac:dyDescent="0.3">
      <c r="A52" s="1209">
        <v>268</v>
      </c>
      <c r="B52" s="1211" t="s">
        <v>1087</v>
      </c>
      <c r="C52" s="1211"/>
      <c r="D52" s="1215" t="s">
        <v>61</v>
      </c>
      <c r="E52" s="1212" t="s">
        <v>293</v>
      </c>
      <c r="F52" s="1224">
        <v>45223</v>
      </c>
      <c r="G52" s="1224" t="s">
        <v>1060</v>
      </c>
      <c r="H52" s="1211" t="s">
        <v>649</v>
      </c>
      <c r="I52" s="1211"/>
      <c r="J52" s="1211"/>
      <c r="K52" s="1225">
        <v>490</v>
      </c>
      <c r="L52" s="1225">
        <v>510</v>
      </c>
      <c r="M52" s="1225">
        <v>500</v>
      </c>
      <c r="N52" s="1211"/>
      <c r="O52" s="1211" t="s">
        <v>1054</v>
      </c>
      <c r="P52" s="1225">
        <v>504.86799999999999</v>
      </c>
      <c r="Q52" s="1211"/>
      <c r="R52" s="1226">
        <v>4.867999999999995</v>
      </c>
      <c r="S52" s="1227">
        <v>9.7359999999999895E-3</v>
      </c>
      <c r="T52" s="1211"/>
      <c r="U52" s="1228" t="s">
        <v>295</v>
      </c>
      <c r="V52" s="1211"/>
    </row>
    <row r="53" spans="1:22" x14ac:dyDescent="0.3">
      <c r="A53" s="1209">
        <v>267</v>
      </c>
      <c r="B53" s="1211" t="s">
        <v>1087</v>
      </c>
      <c r="C53" s="1211"/>
      <c r="D53" s="1215" t="s">
        <v>94</v>
      </c>
      <c r="E53" s="1212" t="s">
        <v>296</v>
      </c>
      <c r="F53" s="1224">
        <v>45223</v>
      </c>
      <c r="G53" s="1224" t="s">
        <v>1060</v>
      </c>
      <c r="H53" s="1211" t="s">
        <v>649</v>
      </c>
      <c r="I53" s="1211"/>
      <c r="J53" s="1211"/>
      <c r="K53" s="1225">
        <v>-18</v>
      </c>
      <c r="L53" s="1225">
        <v>-15</v>
      </c>
      <c r="M53" s="1225">
        <v>-16.5</v>
      </c>
      <c r="N53" s="1211"/>
      <c r="O53" s="1211" t="s">
        <v>1054</v>
      </c>
      <c r="P53" s="1225">
        <v>-12.687000000000001</v>
      </c>
      <c r="Q53" s="1211"/>
      <c r="R53" s="1226">
        <v>3.8129999999999988</v>
      </c>
      <c r="S53" s="1227">
        <v>0.23109090909090901</v>
      </c>
      <c r="T53" s="1211"/>
      <c r="U53" s="1228" t="s">
        <v>295</v>
      </c>
      <c r="V53" s="1211"/>
    </row>
    <row r="54" spans="1:22" x14ac:dyDescent="0.3">
      <c r="A54" s="1209">
        <v>266</v>
      </c>
      <c r="B54" s="1211" t="s">
        <v>1087</v>
      </c>
      <c r="C54" s="1211"/>
      <c r="D54" s="1215" t="s">
        <v>67</v>
      </c>
      <c r="E54" s="1212" t="s">
        <v>298</v>
      </c>
      <c r="F54" s="1224">
        <v>45223</v>
      </c>
      <c r="G54" s="1224" t="s">
        <v>1060</v>
      </c>
      <c r="H54" s="1211" t="s">
        <v>649</v>
      </c>
      <c r="I54" s="1211"/>
      <c r="J54" s="1211"/>
      <c r="K54" s="1225">
        <v>70.5</v>
      </c>
      <c r="L54" s="1225">
        <v>79</v>
      </c>
      <c r="M54" s="1225">
        <v>74.75</v>
      </c>
      <c r="N54" s="1211"/>
      <c r="O54" s="1211" t="s">
        <v>1054</v>
      </c>
      <c r="P54" s="1225">
        <v>84.288999999999973</v>
      </c>
      <c r="Q54" s="1211"/>
      <c r="R54" s="1226">
        <v>9.5389999999999731</v>
      </c>
      <c r="S54" s="1227">
        <v>0.12761204013377891</v>
      </c>
      <c r="T54" s="1211"/>
      <c r="U54" s="1228" t="s">
        <v>295</v>
      </c>
      <c r="V54" s="1211"/>
    </row>
    <row r="55" spans="1:22" x14ac:dyDescent="0.3">
      <c r="A55" s="1209">
        <v>265</v>
      </c>
      <c r="B55" s="1211" t="s">
        <v>1087</v>
      </c>
      <c r="C55" s="1211"/>
      <c r="D55" s="1215" t="s">
        <v>66</v>
      </c>
      <c r="E55" s="1212" t="s">
        <v>415</v>
      </c>
      <c r="F55" s="1224">
        <v>45223</v>
      </c>
      <c r="G55" s="1224" t="s">
        <v>1060</v>
      </c>
      <c r="H55" s="1211" t="s">
        <v>649</v>
      </c>
      <c r="I55" s="1211"/>
      <c r="J55" s="1211"/>
      <c r="K55" s="1225">
        <v>6.5</v>
      </c>
      <c r="L55" s="1225">
        <v>7.5</v>
      </c>
      <c r="M55" s="1225">
        <v>7</v>
      </c>
      <c r="N55" s="1211"/>
      <c r="O55" s="1211" t="s">
        <v>1054</v>
      </c>
      <c r="P55" s="1225">
        <v>7.5959999999999983</v>
      </c>
      <c r="Q55" s="1211"/>
      <c r="R55" s="1226">
        <v>0.59599999999999831</v>
      </c>
      <c r="S55" s="1227">
        <v>8.5142857142856895E-2</v>
      </c>
      <c r="T55" s="1211"/>
      <c r="U55" s="1228" t="s">
        <v>295</v>
      </c>
      <c r="V55" s="1211"/>
    </row>
    <row r="56" spans="1:22" hidden="1" outlineLevel="1" x14ac:dyDescent="0.3">
      <c r="A56" s="1209">
        <v>264</v>
      </c>
      <c r="B56" s="1211" t="s">
        <v>1087</v>
      </c>
      <c r="C56" s="1211"/>
      <c r="D56" s="1215" t="s">
        <v>533</v>
      </c>
      <c r="E56" s="1212" t="s">
        <v>543</v>
      </c>
      <c r="F56" s="1224">
        <v>45223</v>
      </c>
      <c r="G56" s="1224" t="s">
        <v>1060</v>
      </c>
      <c r="H56" s="1211" t="s">
        <v>649</v>
      </c>
      <c r="I56" s="1211"/>
      <c r="J56" s="1211"/>
      <c r="K56" s="1225">
        <v>3</v>
      </c>
      <c r="L56" s="1225">
        <v>3.5</v>
      </c>
      <c r="M56" s="1225">
        <v>3.25</v>
      </c>
      <c r="N56" s="1211"/>
      <c r="O56" s="1211" t="s">
        <v>1054</v>
      </c>
      <c r="P56" s="1225">
        <v>3.3</v>
      </c>
      <c r="Q56" s="1211"/>
      <c r="R56" s="1226">
        <v>4.9999999999999822E-2</v>
      </c>
      <c r="S56" s="1227">
        <v>1.538461538461533E-2</v>
      </c>
      <c r="T56" s="1211"/>
      <c r="U56" s="1228" t="s">
        <v>295</v>
      </c>
      <c r="V56" s="1211"/>
    </row>
    <row r="57" spans="1:22" collapsed="1" x14ac:dyDescent="0.3">
      <c r="A57" s="1209">
        <v>263</v>
      </c>
      <c r="B57" s="1211" t="s">
        <v>1087</v>
      </c>
      <c r="C57" s="1211"/>
      <c r="D57" s="1215" t="s">
        <v>504</v>
      </c>
      <c r="E57" s="1212" t="s">
        <v>483</v>
      </c>
      <c r="F57" s="1224">
        <v>45223</v>
      </c>
      <c r="G57" s="1224" t="s">
        <v>1060</v>
      </c>
      <c r="H57" s="1211" t="s">
        <v>649</v>
      </c>
      <c r="I57" s="1211"/>
      <c r="J57" s="1211"/>
      <c r="K57" s="1225">
        <v>80</v>
      </c>
      <c r="L57" s="1225">
        <v>90</v>
      </c>
      <c r="M57" s="1225">
        <v>85</v>
      </c>
      <c r="N57" s="1211"/>
      <c r="O57" s="1211" t="s">
        <v>1054</v>
      </c>
      <c r="P57" s="1225">
        <v>94.87299999999999</v>
      </c>
      <c r="Q57" s="1211"/>
      <c r="R57" s="1226">
        <v>9.8729999999999905</v>
      </c>
      <c r="S57" s="1227">
        <v>0.11615294117647047</v>
      </c>
      <c r="T57" s="1211"/>
      <c r="U57" s="1228" t="s">
        <v>295</v>
      </c>
      <c r="V57" s="1211"/>
    </row>
    <row r="58" spans="1:22" x14ac:dyDescent="0.3">
      <c r="A58" s="1209">
        <v>262</v>
      </c>
      <c r="B58" s="1211"/>
      <c r="C58" s="1211"/>
      <c r="D58" s="1215"/>
      <c r="E58" s="1212"/>
      <c r="F58" s="1224"/>
      <c r="G58" s="1224"/>
      <c r="H58" s="1211"/>
      <c r="I58" s="1211"/>
      <c r="J58" s="1211"/>
      <c r="K58" s="1225"/>
      <c r="L58" s="1225"/>
      <c r="M58" s="1225"/>
      <c r="N58" s="1211"/>
      <c r="O58" s="1211"/>
      <c r="P58" s="1225"/>
      <c r="Q58" s="1211"/>
      <c r="R58" s="1226"/>
      <c r="S58" s="1227"/>
      <c r="T58" s="1211"/>
      <c r="U58" s="1228"/>
      <c r="V58" s="1211"/>
    </row>
    <row r="59" spans="1:22" hidden="1" outlineLevel="1" x14ac:dyDescent="0.3">
      <c r="A59" s="1209">
        <v>261</v>
      </c>
      <c r="B59" s="1211" t="s">
        <v>1085</v>
      </c>
      <c r="C59" s="1211"/>
      <c r="D59" s="1215" t="s">
        <v>61</v>
      </c>
      <c r="E59" s="1212" t="s">
        <v>293</v>
      </c>
      <c r="F59" s="1224">
        <v>45153</v>
      </c>
      <c r="G59" s="1224" t="s">
        <v>1061</v>
      </c>
      <c r="H59" s="1211" t="s">
        <v>486</v>
      </c>
      <c r="I59" s="1211"/>
      <c r="J59" s="1211"/>
      <c r="K59" s="1225">
        <v>1900</v>
      </c>
      <c r="L59" s="1225">
        <v>2200</v>
      </c>
      <c r="M59" s="1225">
        <v>2050</v>
      </c>
      <c r="N59" s="1211"/>
      <c r="O59" s="1211" t="s">
        <v>1086</v>
      </c>
      <c r="P59" s="1225">
        <v>2242.7517215999997</v>
      </c>
      <c r="Q59" s="1211"/>
      <c r="R59" s="1226">
        <v>192.75172159999966</v>
      </c>
      <c r="S59" s="1227">
        <v>9.4025230048780314E-2</v>
      </c>
      <c r="T59" s="1211"/>
      <c r="U59" s="1228" t="s">
        <v>487</v>
      </c>
      <c r="V59" s="1211"/>
    </row>
    <row r="60" spans="1:22" hidden="1" outlineLevel="1" x14ac:dyDescent="0.3">
      <c r="A60" s="1209">
        <v>260</v>
      </c>
      <c r="B60" s="1211" t="s">
        <v>1085</v>
      </c>
      <c r="C60" s="1211"/>
      <c r="D60" s="1215" t="s">
        <v>33</v>
      </c>
      <c r="E60" s="1212" t="s">
        <v>508</v>
      </c>
      <c r="F60" s="1224">
        <v>45153</v>
      </c>
      <c r="G60" s="1224"/>
      <c r="H60" s="1211" t="s">
        <v>486</v>
      </c>
      <c r="I60" s="1211"/>
      <c r="J60" s="1211"/>
      <c r="K60" s="1214">
        <v>0.36</v>
      </c>
      <c r="L60" s="1214">
        <v>0.39</v>
      </c>
      <c r="M60" s="1214">
        <v>0.375</v>
      </c>
      <c r="N60" s="1211"/>
      <c r="O60" s="1211" t="s">
        <v>1086</v>
      </c>
      <c r="P60" s="1214">
        <v>0</v>
      </c>
      <c r="Q60" s="1211"/>
      <c r="R60" s="1227">
        <v>-0.375</v>
      </c>
      <c r="S60" s="1227">
        <v>-1</v>
      </c>
      <c r="T60" s="1211"/>
      <c r="U60" s="1228" t="s">
        <v>487</v>
      </c>
      <c r="V60" s="1211"/>
    </row>
    <row r="61" spans="1:22" hidden="1" outlineLevel="1" x14ac:dyDescent="0.3">
      <c r="A61" s="1209">
        <v>259</v>
      </c>
      <c r="B61" s="1211" t="s">
        <v>1085</v>
      </c>
      <c r="C61" s="1211"/>
      <c r="D61" s="1215" t="s">
        <v>504</v>
      </c>
      <c r="E61" s="1212" t="s">
        <v>483</v>
      </c>
      <c r="F61" s="1224">
        <v>45153</v>
      </c>
      <c r="G61" s="1224"/>
      <c r="H61" s="1211" t="s">
        <v>486</v>
      </c>
      <c r="I61" s="1211"/>
      <c r="J61" s="1211"/>
      <c r="K61" s="1225">
        <v>250</v>
      </c>
      <c r="L61" s="1225">
        <v>350</v>
      </c>
      <c r="M61" s="1225">
        <v>300</v>
      </c>
      <c r="N61" s="1211"/>
      <c r="O61" s="1211" t="s">
        <v>1086</v>
      </c>
      <c r="P61" s="1225">
        <v>351.54445238400001</v>
      </c>
      <c r="Q61" s="1211"/>
      <c r="R61" s="1226">
        <v>51.54445238400001</v>
      </c>
      <c r="S61" s="1227">
        <v>0.17181484128000005</v>
      </c>
      <c r="T61" s="1211"/>
      <c r="U61" s="1228" t="s">
        <v>487</v>
      </c>
      <c r="V61" s="1211"/>
    </row>
    <row r="62" spans="1:22" hidden="1" outlineLevel="1" x14ac:dyDescent="0.3">
      <c r="A62" s="1209">
        <v>258</v>
      </c>
      <c r="B62" s="1211"/>
      <c r="C62" s="1211"/>
      <c r="D62" s="1215"/>
      <c r="E62" s="1212"/>
      <c r="F62" s="1224"/>
      <c r="G62" s="1224"/>
      <c r="H62" s="1211"/>
      <c r="I62" s="1211"/>
      <c r="J62" s="1211"/>
      <c r="K62" s="1225"/>
      <c r="L62" s="1225"/>
      <c r="M62" s="1225"/>
      <c r="N62" s="1211"/>
      <c r="O62" s="1211"/>
      <c r="P62" s="1225"/>
      <c r="Q62" s="1211"/>
      <c r="R62" s="1226"/>
      <c r="S62" s="1227"/>
      <c r="T62" s="1211"/>
      <c r="U62" s="1228"/>
      <c r="V62" s="1211"/>
    </row>
    <row r="63" spans="1:22" hidden="1" outlineLevel="1" x14ac:dyDescent="0.3">
      <c r="A63" s="1209">
        <v>257</v>
      </c>
      <c r="B63" s="1211" t="s">
        <v>1085</v>
      </c>
      <c r="C63" s="1211"/>
      <c r="D63" s="1215" t="s">
        <v>61</v>
      </c>
      <c r="E63" s="1212" t="s">
        <v>293</v>
      </c>
      <c r="F63" s="1224">
        <v>45041</v>
      </c>
      <c r="G63" s="1224"/>
      <c r="H63" s="1211" t="s">
        <v>486</v>
      </c>
      <c r="I63" s="1211"/>
      <c r="J63" s="1211"/>
      <c r="K63" s="1225">
        <v>1900</v>
      </c>
      <c r="L63" s="1225">
        <v>2200</v>
      </c>
      <c r="M63" s="1225">
        <v>2050</v>
      </c>
      <c r="N63" s="1211"/>
      <c r="O63" s="1211" t="s">
        <v>1086</v>
      </c>
      <c r="P63" s="1225">
        <v>2242.7517215999997</v>
      </c>
      <c r="Q63" s="1211"/>
      <c r="R63" s="1226">
        <v>192.75172159999966</v>
      </c>
      <c r="S63" s="1227">
        <v>9.4025230048780314E-2</v>
      </c>
      <c r="T63" s="1211"/>
      <c r="U63" s="1228" t="s">
        <v>487</v>
      </c>
      <c r="V63" s="1211"/>
    </row>
    <row r="64" spans="1:22" hidden="1" outlineLevel="1" x14ac:dyDescent="0.3">
      <c r="A64" s="1209">
        <v>256</v>
      </c>
      <c r="B64" s="1211" t="s">
        <v>1085</v>
      </c>
      <c r="C64" s="1211"/>
      <c r="D64" s="1215" t="s">
        <v>504</v>
      </c>
      <c r="E64" s="1212" t="s">
        <v>483</v>
      </c>
      <c r="F64" s="1224">
        <v>45041</v>
      </c>
      <c r="G64" s="1224"/>
      <c r="H64" s="1211" t="s">
        <v>486</v>
      </c>
      <c r="I64" s="1211"/>
      <c r="J64" s="1211"/>
      <c r="K64" s="1225">
        <v>250</v>
      </c>
      <c r="L64" s="1225">
        <v>350</v>
      </c>
      <c r="M64" s="1225">
        <v>300</v>
      </c>
      <c r="N64" s="1211"/>
      <c r="O64" s="1211" t="s">
        <v>1086</v>
      </c>
      <c r="P64" s="1225">
        <v>351.54445238400001</v>
      </c>
      <c r="Q64" s="1211"/>
      <c r="R64" s="1226">
        <v>51.54445238400001</v>
      </c>
      <c r="S64" s="1227">
        <v>0.17181484128000005</v>
      </c>
      <c r="T64" s="1211"/>
      <c r="U64" s="1228" t="s">
        <v>487</v>
      </c>
      <c r="V64" s="1211"/>
    </row>
    <row r="65" spans="1:22" hidden="1" outlineLevel="1" x14ac:dyDescent="0.3">
      <c r="A65" s="1209">
        <v>255</v>
      </c>
      <c r="B65" s="1211"/>
      <c r="C65" s="1211"/>
      <c r="D65" s="1215"/>
      <c r="E65" s="1212"/>
      <c r="F65" s="1224"/>
      <c r="G65" s="1224"/>
      <c r="H65" s="1211"/>
      <c r="I65" s="1211"/>
      <c r="J65" s="1211"/>
      <c r="K65" s="1225"/>
      <c r="L65" s="1225"/>
      <c r="M65" s="1225"/>
      <c r="N65" s="1211"/>
      <c r="O65" s="1211"/>
      <c r="P65" s="1225"/>
      <c r="Q65" s="1211"/>
      <c r="R65" s="1226"/>
      <c r="S65" s="1227"/>
      <c r="T65" s="1211"/>
      <c r="U65" s="1228"/>
      <c r="V65" s="1211"/>
    </row>
    <row r="66" spans="1:22" collapsed="1" x14ac:dyDescent="0.3">
      <c r="A66" s="1209">
        <v>254</v>
      </c>
      <c r="B66" s="1211" t="s">
        <v>1087</v>
      </c>
      <c r="C66" s="1211"/>
      <c r="D66" s="1215" t="s">
        <v>61</v>
      </c>
      <c r="E66" s="1212" t="s">
        <v>293</v>
      </c>
      <c r="F66" s="1224">
        <v>45041</v>
      </c>
      <c r="G66" s="1224" t="s">
        <v>1062</v>
      </c>
      <c r="H66" s="1211" t="s">
        <v>622</v>
      </c>
      <c r="I66" s="1211"/>
      <c r="J66" s="1211"/>
      <c r="K66" s="1225">
        <v>1805</v>
      </c>
      <c r="L66" s="1225">
        <v>1825</v>
      </c>
      <c r="M66" s="1225">
        <v>1815</v>
      </c>
      <c r="N66" s="1211"/>
      <c r="O66" s="1211" t="s">
        <v>1054</v>
      </c>
      <c r="P66" s="1225">
        <v>1837.3579999999999</v>
      </c>
      <c r="Q66" s="1211"/>
      <c r="R66" s="1226">
        <v>22.357999999999947</v>
      </c>
      <c r="S66" s="1227">
        <v>1.2318457300275453E-2</v>
      </c>
      <c r="T66" s="1211"/>
      <c r="U66" s="1228" t="s">
        <v>295</v>
      </c>
      <c r="V66" s="1211"/>
    </row>
    <row r="67" spans="1:22" x14ac:dyDescent="0.3">
      <c r="A67" s="1209">
        <v>253</v>
      </c>
      <c r="B67" s="1211" t="s">
        <v>1087</v>
      </c>
      <c r="C67" s="1211"/>
      <c r="D67" s="1215" t="s">
        <v>94</v>
      </c>
      <c r="E67" s="1212" t="s">
        <v>296</v>
      </c>
      <c r="F67" s="1224">
        <v>45041</v>
      </c>
      <c r="G67" s="1224" t="s">
        <v>1062</v>
      </c>
      <c r="H67" s="1211" t="s">
        <v>622</v>
      </c>
      <c r="I67" s="1211"/>
      <c r="J67" s="1211"/>
      <c r="K67" s="1225">
        <v>-70</v>
      </c>
      <c r="L67" s="1225">
        <v>-65</v>
      </c>
      <c r="M67" s="1225">
        <v>-67.5</v>
      </c>
      <c r="N67" s="1211"/>
      <c r="O67" s="1211" t="s">
        <v>1054</v>
      </c>
      <c r="P67" s="1225">
        <v>-66.548000000000002</v>
      </c>
      <c r="Q67" s="1211"/>
      <c r="R67" s="1226">
        <v>0.95199999999999818</v>
      </c>
      <c r="S67" s="1227">
        <v>1.4103703703703677E-2</v>
      </c>
      <c r="T67" s="1211"/>
      <c r="U67" s="1228" t="s">
        <v>295</v>
      </c>
      <c r="V67" s="1211"/>
    </row>
    <row r="68" spans="1:22" x14ac:dyDescent="0.3">
      <c r="A68" s="1209">
        <v>252</v>
      </c>
      <c r="B68" s="1211" t="s">
        <v>1087</v>
      </c>
      <c r="C68" s="1211"/>
      <c r="D68" s="1215" t="s">
        <v>391</v>
      </c>
      <c r="E68" s="1212"/>
      <c r="F68" s="1224">
        <v>45041</v>
      </c>
      <c r="G68" s="1224" t="s">
        <v>1062</v>
      </c>
      <c r="H68" s="1211" t="s">
        <v>622</v>
      </c>
      <c r="I68" s="1211"/>
      <c r="J68" s="1211"/>
      <c r="K68" s="1214">
        <v>0.26</v>
      </c>
      <c r="L68" s="1214">
        <v>0.28000000000000003</v>
      </c>
      <c r="M68" s="1214">
        <v>0.27</v>
      </c>
      <c r="N68" s="1211"/>
      <c r="O68" s="1211" t="s">
        <v>1054</v>
      </c>
      <c r="P68" s="1214">
        <v>0.26280375781671089</v>
      </c>
      <c r="Q68" s="1211"/>
      <c r="R68" s="1227">
        <v>-7.1962421832891255E-3</v>
      </c>
      <c r="S68" s="1227">
        <v>-2.665274882699676E-2</v>
      </c>
      <c r="T68" s="1211"/>
      <c r="U68" s="1228" t="s">
        <v>295</v>
      </c>
      <c r="V68" s="1211"/>
    </row>
    <row r="69" spans="1:22" x14ac:dyDescent="0.3">
      <c r="A69" s="1209">
        <v>251</v>
      </c>
      <c r="B69" s="1211" t="s">
        <v>1087</v>
      </c>
      <c r="C69" s="1211"/>
      <c r="D69" s="1215" t="s">
        <v>67</v>
      </c>
      <c r="E69" s="1212" t="s">
        <v>298</v>
      </c>
      <c r="F69" s="1224">
        <v>45041</v>
      </c>
      <c r="G69" s="1224" t="s">
        <v>1062</v>
      </c>
      <c r="H69" s="1211" t="s">
        <v>622</v>
      </c>
      <c r="I69" s="1211"/>
      <c r="J69" s="1211"/>
      <c r="K69" s="1225">
        <v>161</v>
      </c>
      <c r="L69" s="1225">
        <v>165.5</v>
      </c>
      <c r="M69" s="1225">
        <v>163.25</v>
      </c>
      <c r="N69" s="1211"/>
      <c r="O69" s="1211" t="s">
        <v>1054</v>
      </c>
      <c r="P69" s="1225">
        <v>165.49899999999991</v>
      </c>
      <c r="Q69" s="1211"/>
      <c r="R69" s="1226">
        <v>2.24899999999991</v>
      </c>
      <c r="S69" s="1227">
        <v>1.3776416539049985E-2</v>
      </c>
      <c r="T69" s="1211"/>
      <c r="U69" s="1228" t="s">
        <v>295</v>
      </c>
      <c r="V69" s="1211"/>
    </row>
    <row r="70" spans="1:22" x14ac:dyDescent="0.3">
      <c r="A70" s="1209">
        <v>250</v>
      </c>
      <c r="B70" s="1211" t="s">
        <v>1087</v>
      </c>
      <c r="C70" s="1211"/>
      <c r="D70" s="1215" t="s">
        <v>66</v>
      </c>
      <c r="E70" s="1212" t="s">
        <v>415</v>
      </c>
      <c r="F70" s="1224">
        <v>45041</v>
      </c>
      <c r="G70" s="1224" t="s">
        <v>1062</v>
      </c>
      <c r="H70" s="1211" t="s">
        <v>622</v>
      </c>
      <c r="I70" s="1211"/>
      <c r="J70" s="1211"/>
      <c r="K70" s="1225">
        <v>19</v>
      </c>
      <c r="L70" s="1225">
        <v>21</v>
      </c>
      <c r="M70" s="1225">
        <v>20</v>
      </c>
      <c r="N70" s="1211"/>
      <c r="O70" s="1211" t="s">
        <v>1054</v>
      </c>
      <c r="P70" s="1225">
        <v>20.32</v>
      </c>
      <c r="Q70" s="1211"/>
      <c r="R70" s="1226">
        <v>0.32000000000000028</v>
      </c>
      <c r="S70" s="1227">
        <v>1.6000000000000014E-2</v>
      </c>
      <c r="T70" s="1211"/>
      <c r="U70" s="1228" t="s">
        <v>295</v>
      </c>
      <c r="V70" s="1211"/>
    </row>
    <row r="71" spans="1:22" hidden="1" outlineLevel="1" x14ac:dyDescent="0.3">
      <c r="A71" s="1209">
        <v>249</v>
      </c>
      <c r="B71" s="1211" t="s">
        <v>1087</v>
      </c>
      <c r="C71" s="1211"/>
      <c r="D71" s="1215" t="s">
        <v>533</v>
      </c>
      <c r="E71" s="1212" t="s">
        <v>543</v>
      </c>
      <c r="F71" s="1224">
        <v>45041</v>
      </c>
      <c r="G71" s="1224" t="s">
        <v>1062</v>
      </c>
      <c r="H71" s="1211" t="s">
        <v>622</v>
      </c>
      <c r="I71" s="1211"/>
      <c r="J71" s="1211"/>
      <c r="K71" s="1225">
        <v>13</v>
      </c>
      <c r="L71" s="1225">
        <v>13.5</v>
      </c>
      <c r="M71" s="1225">
        <v>13.25</v>
      </c>
      <c r="N71" s="1211"/>
      <c r="O71" s="1211" t="s">
        <v>1054</v>
      </c>
      <c r="P71" s="1225">
        <v>0</v>
      </c>
      <c r="Q71" s="1211"/>
      <c r="R71" s="1226">
        <v>-13.25</v>
      </c>
      <c r="S71" s="1227">
        <v>-1</v>
      </c>
      <c r="T71" s="1211"/>
      <c r="U71" s="1228" t="s">
        <v>295</v>
      </c>
      <c r="V71" s="1211"/>
    </row>
    <row r="72" spans="1:22" collapsed="1" x14ac:dyDescent="0.3">
      <c r="A72" s="1209">
        <v>248</v>
      </c>
      <c r="B72" s="1211" t="s">
        <v>1087</v>
      </c>
      <c r="C72" s="1211"/>
      <c r="D72" s="1215" t="s">
        <v>504</v>
      </c>
      <c r="E72" s="1212" t="s">
        <v>483</v>
      </c>
      <c r="F72" s="1224">
        <v>45041</v>
      </c>
      <c r="G72" s="1224" t="s">
        <v>1062</v>
      </c>
      <c r="H72" s="1211" t="s">
        <v>622</v>
      </c>
      <c r="I72" s="1211"/>
      <c r="J72" s="1211"/>
      <c r="K72" s="1225">
        <v>193</v>
      </c>
      <c r="L72" s="1225">
        <v>200</v>
      </c>
      <c r="M72" s="1225">
        <v>196.5</v>
      </c>
      <c r="N72" s="1211"/>
      <c r="O72" s="1211" t="s">
        <v>1054</v>
      </c>
      <c r="P72" s="1225">
        <v>201.0269999999999</v>
      </c>
      <c r="Q72" s="1211"/>
      <c r="R72" s="1226">
        <v>4.5269999999999015</v>
      </c>
      <c r="S72" s="1227">
        <v>2.3038167938930796E-2</v>
      </c>
      <c r="T72" s="1211"/>
      <c r="U72" s="1228" t="s">
        <v>295</v>
      </c>
      <c r="V72" s="1211"/>
    </row>
    <row r="73" spans="1:22" x14ac:dyDescent="0.3">
      <c r="A73" s="1209">
        <v>247</v>
      </c>
      <c r="B73" s="1211"/>
      <c r="C73" s="1211"/>
      <c r="D73" s="1215"/>
      <c r="E73" s="1212"/>
      <c r="F73" s="1224"/>
      <c r="G73" s="1224"/>
      <c r="H73" s="1211"/>
      <c r="I73" s="1211"/>
      <c r="J73" s="1211"/>
      <c r="K73" s="1225"/>
      <c r="L73" s="1225"/>
      <c r="M73" s="1225"/>
      <c r="N73" s="1211"/>
      <c r="O73" s="1211"/>
      <c r="P73" s="1225"/>
      <c r="Q73" s="1211"/>
      <c r="R73" s="1226"/>
      <c r="S73" s="1227"/>
      <c r="T73" s="1211"/>
      <c r="U73" s="1228"/>
      <c r="V73" s="1211"/>
    </row>
    <row r="74" spans="1:22" hidden="1" outlineLevel="1" x14ac:dyDescent="0.3">
      <c r="A74" s="1209">
        <v>246</v>
      </c>
      <c r="B74" s="1211" t="s">
        <v>1085</v>
      </c>
      <c r="C74" s="1211"/>
      <c r="D74" s="1215" t="s">
        <v>61</v>
      </c>
      <c r="E74" s="1212" t="s">
        <v>293</v>
      </c>
      <c r="F74" s="1224">
        <v>44950</v>
      </c>
      <c r="G74" s="1224"/>
      <c r="H74" s="1211" t="s">
        <v>486</v>
      </c>
      <c r="I74" s="1211"/>
      <c r="J74" s="1211"/>
      <c r="K74" s="1225">
        <v>1900</v>
      </c>
      <c r="L74" s="1225">
        <v>2200</v>
      </c>
      <c r="M74" s="1225">
        <v>2050</v>
      </c>
      <c r="N74" s="1211"/>
      <c r="O74" s="1211" t="s">
        <v>1086</v>
      </c>
      <c r="P74" s="1225">
        <v>2242.7517215999997</v>
      </c>
      <c r="Q74" s="1211"/>
      <c r="R74" s="1226">
        <v>192.75172159999966</v>
      </c>
      <c r="S74" s="1227">
        <v>9.4025230048780314E-2</v>
      </c>
      <c r="T74" s="1211"/>
      <c r="U74" s="1228" t="s">
        <v>487</v>
      </c>
      <c r="V74" s="1211"/>
    </row>
    <row r="75" spans="1:22" hidden="1" outlineLevel="1" x14ac:dyDescent="0.3">
      <c r="A75" s="1209">
        <v>245</v>
      </c>
      <c r="B75" s="1211" t="s">
        <v>1085</v>
      </c>
      <c r="C75" s="1211"/>
      <c r="D75" s="1215" t="s">
        <v>504</v>
      </c>
      <c r="E75" s="1212" t="s">
        <v>483</v>
      </c>
      <c r="F75" s="1224">
        <v>44950</v>
      </c>
      <c r="G75" s="1224"/>
      <c r="H75" s="1211" t="s">
        <v>486</v>
      </c>
      <c r="I75" s="1211"/>
      <c r="J75" s="1211"/>
      <c r="K75" s="1225">
        <v>250</v>
      </c>
      <c r="L75" s="1225">
        <v>350</v>
      </c>
      <c r="M75" s="1225">
        <v>300</v>
      </c>
      <c r="N75" s="1211"/>
      <c r="O75" s="1211" t="s">
        <v>1086</v>
      </c>
      <c r="P75" s="1225">
        <v>351.54445238400001</v>
      </c>
      <c r="Q75" s="1211"/>
      <c r="R75" s="1226">
        <v>51.54445238400001</v>
      </c>
      <c r="S75" s="1227">
        <v>0.17181484128000005</v>
      </c>
      <c r="T75" s="1211"/>
      <c r="U75" s="1228" t="s">
        <v>487</v>
      </c>
      <c r="V75" s="1211"/>
    </row>
    <row r="76" spans="1:22" hidden="1" outlineLevel="1" x14ac:dyDescent="0.3">
      <c r="A76" s="1209">
        <v>244</v>
      </c>
      <c r="B76" s="1211"/>
      <c r="C76" s="1211"/>
      <c r="D76" s="1215"/>
      <c r="E76" s="1212"/>
      <c r="F76" s="1224"/>
      <c r="G76" s="1224"/>
      <c r="H76" s="1211"/>
      <c r="I76" s="1211"/>
      <c r="J76" s="1211"/>
      <c r="K76" s="1225"/>
      <c r="L76" s="1225"/>
      <c r="M76" s="1225"/>
      <c r="N76" s="1211"/>
      <c r="O76" s="1211"/>
      <c r="P76" s="1225"/>
      <c r="Q76" s="1211"/>
      <c r="R76" s="1226"/>
      <c r="S76" s="1227"/>
      <c r="T76" s="1211"/>
      <c r="U76" s="1228"/>
      <c r="V76" s="1211"/>
    </row>
    <row r="77" spans="1:22" collapsed="1" x14ac:dyDescent="0.3">
      <c r="A77" s="1209">
        <v>243</v>
      </c>
      <c r="B77" s="1211" t="s">
        <v>1087</v>
      </c>
      <c r="C77" s="1211"/>
      <c r="D77" s="1215" t="s">
        <v>61</v>
      </c>
      <c r="E77" s="1212" t="s">
        <v>293</v>
      </c>
      <c r="F77" s="1224">
        <v>44950</v>
      </c>
      <c r="G77" s="1224" t="s">
        <v>1063</v>
      </c>
      <c r="H77" s="1211" t="s">
        <v>622</v>
      </c>
      <c r="I77" s="1211"/>
      <c r="J77" s="1211"/>
      <c r="K77" s="1225">
        <v>1775</v>
      </c>
      <c r="L77" s="1225">
        <v>1815</v>
      </c>
      <c r="M77" s="1225">
        <v>1795</v>
      </c>
      <c r="N77" s="1211"/>
      <c r="O77" s="1211" t="s">
        <v>1054</v>
      </c>
      <c r="P77" s="1225">
        <v>1837.3579999999999</v>
      </c>
      <c r="Q77" s="1211"/>
      <c r="R77" s="1226">
        <v>42.357999999999947</v>
      </c>
      <c r="S77" s="1227">
        <v>2.3597771587743704E-2</v>
      </c>
      <c r="T77" s="1211"/>
      <c r="U77" s="1228" t="s">
        <v>295</v>
      </c>
      <c r="V77" s="1211"/>
    </row>
    <row r="78" spans="1:22" x14ac:dyDescent="0.3">
      <c r="A78" s="1209">
        <v>242</v>
      </c>
      <c r="B78" s="1211" t="s">
        <v>1087</v>
      </c>
      <c r="C78" s="1211"/>
      <c r="D78" s="1215" t="s">
        <v>94</v>
      </c>
      <c r="E78" s="1212" t="s">
        <v>296</v>
      </c>
      <c r="F78" s="1224">
        <v>44950</v>
      </c>
      <c r="G78" s="1224" t="s">
        <v>1063</v>
      </c>
      <c r="H78" s="1211" t="s">
        <v>622</v>
      </c>
      <c r="I78" s="1211"/>
      <c r="J78" s="1211"/>
      <c r="K78" s="1225">
        <v>-75</v>
      </c>
      <c r="L78" s="1225">
        <v>-70</v>
      </c>
      <c r="M78" s="1225">
        <v>-72.5</v>
      </c>
      <c r="N78" s="1211"/>
      <c r="O78" s="1211" t="s">
        <v>1054</v>
      </c>
      <c r="P78" s="1225">
        <v>-66.548000000000002</v>
      </c>
      <c r="Q78" s="1211"/>
      <c r="R78" s="1226">
        <v>5.9519999999999982</v>
      </c>
      <c r="S78" s="1227">
        <v>8.2096551724137906E-2</v>
      </c>
      <c r="T78" s="1211"/>
      <c r="U78" s="1228" t="s">
        <v>295</v>
      </c>
      <c r="V78" s="1211"/>
    </row>
    <row r="79" spans="1:22" x14ac:dyDescent="0.3">
      <c r="A79" s="1209">
        <v>241</v>
      </c>
      <c r="B79" s="1211" t="s">
        <v>1087</v>
      </c>
      <c r="C79" s="1211"/>
      <c r="D79" s="1215" t="s">
        <v>391</v>
      </c>
      <c r="E79" s="1212"/>
      <c r="F79" s="1224">
        <v>44950</v>
      </c>
      <c r="G79" s="1224" t="s">
        <v>1063</v>
      </c>
      <c r="H79" s="1211" t="s">
        <v>622</v>
      </c>
      <c r="I79" s="1211"/>
      <c r="J79" s="1211"/>
      <c r="K79" s="1214">
        <v>0.27</v>
      </c>
      <c r="L79" s="1214">
        <v>0.28999999999999998</v>
      </c>
      <c r="M79" s="1214">
        <v>0.28000000000000003</v>
      </c>
      <c r="N79" s="1211"/>
      <c r="O79" s="1211" t="s">
        <v>1054</v>
      </c>
      <c r="P79" s="1214">
        <v>0.26280375781671089</v>
      </c>
      <c r="Q79" s="1211"/>
      <c r="R79" s="1227">
        <v>-1.7196242183289134E-2</v>
      </c>
      <c r="S79" s="1227">
        <v>-6.1415150654604046E-2</v>
      </c>
      <c r="T79" s="1211"/>
      <c r="U79" s="1228" t="s">
        <v>295</v>
      </c>
      <c r="V79" s="1211"/>
    </row>
    <row r="80" spans="1:22" x14ac:dyDescent="0.3">
      <c r="A80" s="1209">
        <v>240</v>
      </c>
      <c r="B80" s="1211" t="s">
        <v>1087</v>
      </c>
      <c r="C80" s="1211"/>
      <c r="D80" s="1215" t="s">
        <v>67</v>
      </c>
      <c r="E80" s="1212" t="s">
        <v>298</v>
      </c>
      <c r="F80" s="1224">
        <v>44950</v>
      </c>
      <c r="G80" s="1224" t="s">
        <v>1063</v>
      </c>
      <c r="H80" s="1211" t="s">
        <v>622</v>
      </c>
      <c r="I80" s="1211"/>
      <c r="J80" s="1211"/>
      <c r="K80" s="1225">
        <v>147.5</v>
      </c>
      <c r="L80" s="1225">
        <v>164.5</v>
      </c>
      <c r="M80" s="1225">
        <v>156</v>
      </c>
      <c r="N80" s="1211"/>
      <c r="O80" s="1211" t="s">
        <v>1054</v>
      </c>
      <c r="P80" s="1225">
        <v>165.49899999999991</v>
      </c>
      <c r="Q80" s="1211"/>
      <c r="R80" s="1226">
        <v>9.49899999999991</v>
      </c>
      <c r="S80" s="1227">
        <v>6.0891025641025061E-2</v>
      </c>
      <c r="T80" s="1211"/>
      <c r="U80" s="1228" t="s">
        <v>295</v>
      </c>
      <c r="V80" s="1211"/>
    </row>
    <row r="81" spans="1:22" x14ac:dyDescent="0.3">
      <c r="A81" s="1209">
        <v>239</v>
      </c>
      <c r="B81" s="1211" t="s">
        <v>1087</v>
      </c>
      <c r="C81" s="1211"/>
      <c r="D81" s="1215" t="s">
        <v>66</v>
      </c>
      <c r="E81" s="1212" t="s">
        <v>415</v>
      </c>
      <c r="F81" s="1224">
        <v>44950</v>
      </c>
      <c r="G81" s="1224" t="s">
        <v>1063</v>
      </c>
      <c r="H81" s="1211" t="s">
        <v>622</v>
      </c>
      <c r="I81" s="1211"/>
      <c r="J81" s="1211"/>
      <c r="K81" s="1225">
        <v>20</v>
      </c>
      <c r="L81" s="1225">
        <v>22</v>
      </c>
      <c r="M81" s="1225">
        <v>21</v>
      </c>
      <c r="N81" s="1211"/>
      <c r="O81" s="1211" t="s">
        <v>1054</v>
      </c>
      <c r="P81" s="1225">
        <v>20.32</v>
      </c>
      <c r="Q81" s="1211"/>
      <c r="R81" s="1226">
        <v>-0.67999999999999972</v>
      </c>
      <c r="S81" s="1227">
        <v>-3.2380952380952364E-2</v>
      </c>
      <c r="T81" s="1211"/>
      <c r="U81" s="1228" t="s">
        <v>295</v>
      </c>
      <c r="V81" s="1211"/>
    </row>
    <row r="82" spans="1:22" hidden="1" outlineLevel="1" x14ac:dyDescent="0.3">
      <c r="A82" s="1209">
        <v>238</v>
      </c>
      <c r="B82" s="1211" t="s">
        <v>1087</v>
      </c>
      <c r="C82" s="1211"/>
      <c r="D82" s="1215" t="s">
        <v>533</v>
      </c>
      <c r="E82" s="1212" t="s">
        <v>543</v>
      </c>
      <c r="F82" s="1224">
        <v>44950</v>
      </c>
      <c r="G82" s="1224" t="s">
        <v>1063</v>
      </c>
      <c r="H82" s="1211" t="s">
        <v>622</v>
      </c>
      <c r="I82" s="1211"/>
      <c r="J82" s="1211"/>
      <c r="K82" s="1225">
        <v>12.5</v>
      </c>
      <c r="L82" s="1225">
        <v>13.5</v>
      </c>
      <c r="M82" s="1225">
        <v>13</v>
      </c>
      <c r="N82" s="1211"/>
      <c r="O82" s="1211" t="s">
        <v>1054</v>
      </c>
      <c r="P82" s="1225">
        <v>0</v>
      </c>
      <c r="Q82" s="1211"/>
      <c r="R82" s="1226">
        <v>-13</v>
      </c>
      <c r="S82" s="1227">
        <v>-1</v>
      </c>
      <c r="T82" s="1211"/>
      <c r="U82" s="1228" t="s">
        <v>295</v>
      </c>
      <c r="V82" s="1211"/>
    </row>
    <row r="83" spans="1:22" collapsed="1" x14ac:dyDescent="0.3">
      <c r="A83" s="1209">
        <v>237</v>
      </c>
      <c r="B83" s="1211" t="s">
        <v>1087</v>
      </c>
      <c r="C83" s="1211"/>
      <c r="D83" s="1215" t="s">
        <v>504</v>
      </c>
      <c r="E83" s="1212" t="s">
        <v>483</v>
      </c>
      <c r="F83" s="1224">
        <v>44950</v>
      </c>
      <c r="G83" s="1224" t="s">
        <v>1063</v>
      </c>
      <c r="H83" s="1211" t="s">
        <v>622</v>
      </c>
      <c r="I83" s="1211"/>
      <c r="J83" s="1211"/>
      <c r="K83" s="1225">
        <v>180</v>
      </c>
      <c r="L83" s="1225">
        <v>200</v>
      </c>
      <c r="M83" s="1225">
        <v>190</v>
      </c>
      <c r="N83" s="1211"/>
      <c r="O83" s="1211" t="s">
        <v>1054</v>
      </c>
      <c r="P83" s="1225">
        <v>201.0269999999999</v>
      </c>
      <c r="Q83" s="1211"/>
      <c r="R83" s="1226">
        <v>11.026999999999902</v>
      </c>
      <c r="S83" s="1227">
        <v>5.8036842105262637E-2</v>
      </c>
      <c r="T83" s="1211"/>
      <c r="U83" s="1228" t="s">
        <v>295</v>
      </c>
      <c r="V83" s="1211"/>
    </row>
    <row r="84" spans="1:22" x14ac:dyDescent="0.3">
      <c r="A84" s="1209">
        <v>236</v>
      </c>
      <c r="B84" s="1211"/>
      <c r="C84" s="1211"/>
      <c r="D84" s="1215"/>
      <c r="E84" s="1212"/>
      <c r="F84" s="1224"/>
      <c r="G84" s="1224"/>
      <c r="H84" s="1211"/>
      <c r="I84" s="1211"/>
      <c r="J84" s="1211"/>
      <c r="K84" s="1225"/>
      <c r="L84" s="1225"/>
      <c r="M84" s="1225"/>
      <c r="N84" s="1211"/>
      <c r="O84" s="1211"/>
      <c r="P84" s="1225"/>
      <c r="Q84" s="1211"/>
      <c r="R84" s="1226"/>
      <c r="S84" s="1227"/>
      <c r="T84" s="1211"/>
      <c r="U84" s="1228"/>
      <c r="V84" s="1211"/>
    </row>
    <row r="85" spans="1:22" x14ac:dyDescent="0.3">
      <c r="A85" s="1209">
        <v>235</v>
      </c>
      <c r="B85" s="1211" t="s">
        <v>1087</v>
      </c>
      <c r="C85" s="1211"/>
      <c r="D85" s="1215" t="s">
        <v>61</v>
      </c>
      <c r="E85" s="1212" t="s">
        <v>293</v>
      </c>
      <c r="F85" s="1224">
        <v>44950</v>
      </c>
      <c r="G85" s="1224" t="s">
        <v>1063</v>
      </c>
      <c r="H85" s="1211" t="s">
        <v>628</v>
      </c>
      <c r="I85" s="1211"/>
      <c r="J85" s="1211"/>
      <c r="K85" s="1225">
        <v>445</v>
      </c>
      <c r="L85" s="1225">
        <v>465</v>
      </c>
      <c r="M85" s="1225">
        <v>455</v>
      </c>
      <c r="N85" s="1211"/>
      <c r="O85" s="1211" t="s">
        <v>1054</v>
      </c>
      <c r="P85" s="1225">
        <v>470.28399999999999</v>
      </c>
      <c r="Q85" s="1211"/>
      <c r="R85" s="1226">
        <v>15.283999999999992</v>
      </c>
      <c r="S85" s="1227">
        <v>3.3591208791208776E-2</v>
      </c>
      <c r="T85" s="1211"/>
      <c r="U85" s="1228" t="s">
        <v>295</v>
      </c>
      <c r="V85" s="1211"/>
    </row>
    <row r="86" spans="1:22" x14ac:dyDescent="0.3">
      <c r="A86" s="1209">
        <v>234</v>
      </c>
      <c r="B86" s="1211" t="s">
        <v>1087</v>
      </c>
      <c r="C86" s="1211"/>
      <c r="D86" s="1215" t="s">
        <v>94</v>
      </c>
      <c r="E86" s="1212" t="s">
        <v>296</v>
      </c>
      <c r="F86" s="1224">
        <v>44950</v>
      </c>
      <c r="G86" s="1224" t="s">
        <v>1063</v>
      </c>
      <c r="H86" s="1211" t="s">
        <v>628</v>
      </c>
      <c r="I86" s="1211"/>
      <c r="J86" s="1211"/>
      <c r="K86" s="1225">
        <v>-19</v>
      </c>
      <c r="L86" s="1225">
        <v>-16</v>
      </c>
      <c r="M86" s="1225">
        <v>-17.5</v>
      </c>
      <c r="N86" s="1211"/>
      <c r="O86" s="1211" t="s">
        <v>1054</v>
      </c>
      <c r="P86" s="1225">
        <v>-15.201999999999998</v>
      </c>
      <c r="Q86" s="1211"/>
      <c r="R86" s="1226">
        <v>2.2980000000000018</v>
      </c>
      <c r="S86" s="1227">
        <v>0.13131428571428583</v>
      </c>
      <c r="T86" s="1211"/>
      <c r="U86" s="1228" t="s">
        <v>295</v>
      </c>
      <c r="V86" s="1211"/>
    </row>
    <row r="87" spans="1:22" x14ac:dyDescent="0.3">
      <c r="A87" s="1209">
        <v>233</v>
      </c>
      <c r="B87" s="1211" t="s">
        <v>1087</v>
      </c>
      <c r="C87" s="1211"/>
      <c r="D87" s="1215" t="s">
        <v>67</v>
      </c>
      <c r="E87" s="1212" t="s">
        <v>298</v>
      </c>
      <c r="F87" s="1224">
        <v>44950</v>
      </c>
      <c r="G87" s="1224" t="s">
        <v>1063</v>
      </c>
      <c r="H87" s="1211" t="s">
        <v>628</v>
      </c>
      <c r="I87" s="1211"/>
      <c r="J87" s="1211"/>
      <c r="K87" s="1225">
        <v>62.5</v>
      </c>
      <c r="L87" s="1225">
        <v>70.5</v>
      </c>
      <c r="M87" s="1225">
        <v>66.5</v>
      </c>
      <c r="N87" s="1211"/>
      <c r="O87" s="1211" t="s">
        <v>1054</v>
      </c>
      <c r="P87" s="1225">
        <v>72.199000000000012</v>
      </c>
      <c r="Q87" s="1211"/>
      <c r="R87" s="1226">
        <v>5.6990000000000123</v>
      </c>
      <c r="S87" s="1227">
        <v>8.5699248120300942E-2</v>
      </c>
      <c r="T87" s="1211"/>
      <c r="U87" s="1228" t="s">
        <v>295</v>
      </c>
      <c r="V87" s="1211"/>
    </row>
    <row r="88" spans="1:22" x14ac:dyDescent="0.3">
      <c r="A88" s="1209">
        <v>232</v>
      </c>
      <c r="B88" s="1211" t="s">
        <v>1087</v>
      </c>
      <c r="C88" s="1211"/>
      <c r="D88" s="1215" t="s">
        <v>66</v>
      </c>
      <c r="E88" s="1212" t="s">
        <v>415</v>
      </c>
      <c r="F88" s="1224">
        <v>44950</v>
      </c>
      <c r="G88" s="1224" t="s">
        <v>1063</v>
      </c>
      <c r="H88" s="1211" t="s">
        <v>628</v>
      </c>
      <c r="I88" s="1211"/>
      <c r="J88" s="1211"/>
      <c r="K88" s="1225">
        <v>4.5</v>
      </c>
      <c r="L88" s="1225">
        <v>5.5</v>
      </c>
      <c r="M88" s="1225">
        <v>5</v>
      </c>
      <c r="N88" s="1211"/>
      <c r="O88" s="1211" t="s">
        <v>1054</v>
      </c>
      <c r="P88" s="1225">
        <v>4.7449999999999992</v>
      </c>
      <c r="Q88" s="1211"/>
      <c r="R88" s="1226">
        <v>-0.25500000000000078</v>
      </c>
      <c r="S88" s="1227">
        <v>-5.1000000000000156E-2</v>
      </c>
      <c r="T88" s="1211"/>
      <c r="U88" s="1228" t="s">
        <v>295</v>
      </c>
      <c r="V88" s="1211"/>
    </row>
    <row r="89" spans="1:22" hidden="1" outlineLevel="1" x14ac:dyDescent="0.3">
      <c r="A89" s="1209">
        <v>231</v>
      </c>
      <c r="B89" s="1211" t="s">
        <v>1087</v>
      </c>
      <c r="C89" s="1211"/>
      <c r="D89" s="1215" t="s">
        <v>533</v>
      </c>
      <c r="E89" s="1212" t="s">
        <v>543</v>
      </c>
      <c r="F89" s="1224">
        <v>44950</v>
      </c>
      <c r="G89" s="1224" t="s">
        <v>1063</v>
      </c>
      <c r="H89" s="1211" t="s">
        <v>628</v>
      </c>
      <c r="I89" s="1211"/>
      <c r="J89" s="1211"/>
      <c r="K89" s="1225">
        <v>3</v>
      </c>
      <c r="L89" s="1225">
        <v>4</v>
      </c>
      <c r="M89" s="1225">
        <v>3.5</v>
      </c>
      <c r="N89" s="1211"/>
      <c r="O89" s="1211" t="s">
        <v>1054</v>
      </c>
      <c r="P89" s="1225">
        <v>3.2800000000000002</v>
      </c>
      <c r="Q89" s="1211"/>
      <c r="R89" s="1226">
        <v>-0.21999999999999975</v>
      </c>
      <c r="S89" s="1227">
        <v>-6.2857142857142792E-2</v>
      </c>
      <c r="T89" s="1211"/>
      <c r="U89" s="1228" t="s">
        <v>295</v>
      </c>
      <c r="V89" s="1211"/>
    </row>
    <row r="90" spans="1:22" collapsed="1" x14ac:dyDescent="0.3">
      <c r="A90" s="1209">
        <v>230</v>
      </c>
      <c r="B90" s="1211" t="s">
        <v>1087</v>
      </c>
      <c r="C90" s="1211"/>
      <c r="D90" s="1215" t="s">
        <v>504</v>
      </c>
      <c r="E90" s="1212" t="s">
        <v>483</v>
      </c>
      <c r="F90" s="1224">
        <v>44950</v>
      </c>
      <c r="G90" s="1224" t="s">
        <v>1063</v>
      </c>
      <c r="H90" s="1211" t="s">
        <v>628</v>
      </c>
      <c r="I90" s="1211"/>
      <c r="J90" s="1211"/>
      <c r="K90" s="1225">
        <v>70</v>
      </c>
      <c r="L90" s="1225">
        <v>80</v>
      </c>
      <c r="M90" s="1225">
        <v>75</v>
      </c>
      <c r="N90" s="1211"/>
      <c r="O90" s="1211" t="s">
        <v>1054</v>
      </c>
      <c r="P90" s="1225">
        <v>80.224000000000018</v>
      </c>
      <c r="Q90" s="1211"/>
      <c r="R90" s="1226">
        <v>5.224000000000018</v>
      </c>
      <c r="S90" s="1227">
        <v>6.9653333333333567E-2</v>
      </c>
      <c r="T90" s="1211"/>
      <c r="U90" s="1228" t="s">
        <v>295</v>
      </c>
      <c r="V90" s="1211"/>
    </row>
    <row r="91" spans="1:22" x14ac:dyDescent="0.3">
      <c r="A91" s="1209">
        <v>229</v>
      </c>
      <c r="B91" s="1211"/>
      <c r="C91" s="1211"/>
      <c r="D91" s="1215"/>
      <c r="E91" s="1212"/>
      <c r="F91" s="1224"/>
      <c r="G91" s="1224"/>
      <c r="H91" s="1211"/>
      <c r="I91" s="1211"/>
      <c r="J91" s="1211"/>
      <c r="K91" s="1225"/>
      <c r="L91" s="1225"/>
      <c r="M91" s="1225"/>
      <c r="N91" s="1211"/>
      <c r="O91" s="1211"/>
      <c r="P91" s="1225"/>
      <c r="Q91" s="1211"/>
      <c r="R91" s="1226"/>
      <c r="S91" s="1227"/>
      <c r="T91" s="1211"/>
      <c r="U91" s="1228"/>
      <c r="V91" s="1211"/>
    </row>
    <row r="92" spans="1:22" hidden="1" outlineLevel="1" x14ac:dyDescent="0.3">
      <c r="A92" s="1209">
        <v>228</v>
      </c>
      <c r="B92" s="1211" t="s">
        <v>1085</v>
      </c>
      <c r="C92" s="1211"/>
      <c r="D92" s="1215" t="s">
        <v>61</v>
      </c>
      <c r="E92" s="1212" t="s">
        <v>293</v>
      </c>
      <c r="F92" s="1224">
        <v>44859</v>
      </c>
      <c r="G92" s="1224"/>
      <c r="H92" s="1211" t="s">
        <v>486</v>
      </c>
      <c r="I92" s="1211"/>
      <c r="J92" s="1211"/>
      <c r="K92" s="1225">
        <v>1900</v>
      </c>
      <c r="L92" s="1225">
        <v>2200</v>
      </c>
      <c r="M92" s="1225">
        <v>2050</v>
      </c>
      <c r="N92" s="1211"/>
      <c r="O92" s="1211" t="s">
        <v>1086</v>
      </c>
      <c r="P92" s="1225">
        <v>2242.7517215999997</v>
      </c>
      <c r="Q92" s="1211"/>
      <c r="R92" s="1226">
        <v>192.75172159999966</v>
      </c>
      <c r="S92" s="1227">
        <v>9.4025230048780314E-2</v>
      </c>
      <c r="T92" s="1211"/>
      <c r="U92" s="1228" t="s">
        <v>487</v>
      </c>
      <c r="V92" s="1211"/>
    </row>
    <row r="93" spans="1:22" hidden="1" outlineLevel="1" x14ac:dyDescent="0.3">
      <c r="A93" s="1209">
        <v>227</v>
      </c>
      <c r="B93" s="1211" t="s">
        <v>1085</v>
      </c>
      <c r="C93" s="1211"/>
      <c r="D93" s="1215" t="s">
        <v>504</v>
      </c>
      <c r="E93" s="1212" t="s">
        <v>483</v>
      </c>
      <c r="F93" s="1224">
        <v>44859</v>
      </c>
      <c r="G93" s="1224"/>
      <c r="H93" s="1211" t="s">
        <v>486</v>
      </c>
      <c r="I93" s="1211"/>
      <c r="J93" s="1211"/>
      <c r="K93" s="1225">
        <v>250</v>
      </c>
      <c r="L93" s="1225">
        <v>350</v>
      </c>
      <c r="M93" s="1225">
        <v>300</v>
      </c>
      <c r="N93" s="1211"/>
      <c r="O93" s="1211" t="s">
        <v>1086</v>
      </c>
      <c r="P93" s="1225">
        <v>351.54445238400001</v>
      </c>
      <c r="Q93" s="1211"/>
      <c r="R93" s="1226">
        <v>51.54445238400001</v>
      </c>
      <c r="S93" s="1227">
        <v>0.17181484128000005</v>
      </c>
      <c r="T93" s="1211"/>
      <c r="U93" s="1228" t="s">
        <v>487</v>
      </c>
      <c r="V93" s="1211"/>
    </row>
    <row r="94" spans="1:22" hidden="1" outlineLevel="1" x14ac:dyDescent="0.3">
      <c r="A94" s="1209">
        <v>226</v>
      </c>
      <c r="B94" s="1211" t="s">
        <v>1085</v>
      </c>
      <c r="C94" s="1211"/>
      <c r="D94" s="1215" t="s">
        <v>494</v>
      </c>
      <c r="E94" s="1212" t="s">
        <v>590</v>
      </c>
      <c r="F94" s="1224">
        <v>44859</v>
      </c>
      <c r="G94" s="1224"/>
      <c r="H94" s="1211" t="s">
        <v>486</v>
      </c>
      <c r="I94" s="1211"/>
      <c r="J94" s="1211"/>
      <c r="K94" s="1225">
        <v>1250</v>
      </c>
      <c r="L94" s="1225">
        <v>1400</v>
      </c>
      <c r="M94" s="1225">
        <v>1325</v>
      </c>
      <c r="N94" s="1211"/>
      <c r="O94" s="1211" t="s">
        <v>1086</v>
      </c>
      <c r="P94" s="1225">
        <v>0</v>
      </c>
      <c r="Q94" s="1211"/>
      <c r="R94" s="1226">
        <v>-1325</v>
      </c>
      <c r="S94" s="1227">
        <v>-1</v>
      </c>
      <c r="T94" s="1211"/>
      <c r="U94" s="1228" t="s">
        <v>487</v>
      </c>
      <c r="V94" s="1211"/>
    </row>
    <row r="95" spans="1:22" hidden="1" outlineLevel="1" x14ac:dyDescent="0.3">
      <c r="A95" s="1209">
        <v>225</v>
      </c>
      <c r="B95" s="1211" t="s">
        <v>1085</v>
      </c>
      <c r="C95" s="1211"/>
      <c r="D95" s="1215" t="s">
        <v>495</v>
      </c>
      <c r="E95" s="1212" t="s">
        <v>501</v>
      </c>
      <c r="F95" s="1224">
        <v>44859</v>
      </c>
      <c r="G95" s="1224"/>
      <c r="H95" s="1211" t="s">
        <v>486</v>
      </c>
      <c r="I95" s="1211"/>
      <c r="J95" s="1211"/>
      <c r="K95" s="1225">
        <v>650</v>
      </c>
      <c r="L95" s="1225">
        <v>800</v>
      </c>
      <c r="M95" s="1225">
        <v>725</v>
      </c>
      <c r="N95" s="1211"/>
      <c r="O95" s="1211" t="s">
        <v>1086</v>
      </c>
      <c r="P95" s="1225">
        <v>0</v>
      </c>
      <c r="Q95" s="1211"/>
      <c r="R95" s="1226">
        <v>-725</v>
      </c>
      <c r="S95" s="1227">
        <v>-1</v>
      </c>
      <c r="T95" s="1211"/>
      <c r="U95" s="1228" t="s">
        <v>487</v>
      </c>
      <c r="V95" s="1211"/>
    </row>
    <row r="96" spans="1:22" hidden="1" outlineLevel="1" x14ac:dyDescent="0.3">
      <c r="A96" s="1209">
        <v>224</v>
      </c>
      <c r="B96" s="1211"/>
      <c r="C96" s="1211"/>
      <c r="D96" s="1215"/>
      <c r="E96" s="1212"/>
      <c r="F96" s="1224"/>
      <c r="G96" s="1224"/>
      <c r="H96" s="1211"/>
      <c r="I96" s="1211"/>
      <c r="J96" s="1211"/>
      <c r="K96" s="1225"/>
      <c r="L96" s="1225"/>
      <c r="M96" s="1225"/>
      <c r="N96" s="1211"/>
      <c r="O96" s="1211"/>
      <c r="P96" s="1225"/>
      <c r="Q96" s="1211"/>
      <c r="R96" s="1226"/>
      <c r="S96" s="1227"/>
      <c r="T96" s="1211"/>
      <c r="U96" s="1228"/>
      <c r="V96" s="1211"/>
    </row>
    <row r="97" spans="1:22" collapsed="1" x14ac:dyDescent="0.3">
      <c r="A97" s="1209">
        <v>223</v>
      </c>
      <c r="B97" s="1211" t="s">
        <v>1087</v>
      </c>
      <c r="C97" s="1211"/>
      <c r="D97" s="1215" t="s">
        <v>61</v>
      </c>
      <c r="E97" s="1212" t="s">
        <v>293</v>
      </c>
      <c r="F97" s="1224">
        <v>44859</v>
      </c>
      <c r="G97" s="1224" t="s">
        <v>1064</v>
      </c>
      <c r="H97" s="1211" t="s">
        <v>622</v>
      </c>
      <c r="I97" s="1211"/>
      <c r="J97" s="1211"/>
      <c r="K97" s="1225">
        <v>1710</v>
      </c>
      <c r="L97" s="1225">
        <v>1790</v>
      </c>
      <c r="M97" s="1225">
        <v>1750</v>
      </c>
      <c r="N97" s="1211"/>
      <c r="O97" s="1211" t="s">
        <v>1054</v>
      </c>
      <c r="P97" s="1225">
        <v>1837.3579999999999</v>
      </c>
      <c r="Q97" s="1211"/>
      <c r="R97" s="1226">
        <v>87.357999999999947</v>
      </c>
      <c r="S97" s="1227">
        <v>4.9918857142857112E-2</v>
      </c>
      <c r="T97" s="1211"/>
      <c r="U97" s="1228" t="s">
        <v>295</v>
      </c>
      <c r="V97" s="1211"/>
    </row>
    <row r="98" spans="1:22" x14ac:dyDescent="0.3">
      <c r="A98" s="1209">
        <v>222</v>
      </c>
      <c r="B98" s="1211" t="s">
        <v>1087</v>
      </c>
      <c r="C98" s="1211"/>
      <c r="D98" s="1215" t="s">
        <v>94</v>
      </c>
      <c r="E98" s="1212" t="s">
        <v>296</v>
      </c>
      <c r="F98" s="1224">
        <v>44859</v>
      </c>
      <c r="G98" s="1224" t="s">
        <v>1064</v>
      </c>
      <c r="H98" s="1211" t="s">
        <v>622</v>
      </c>
      <c r="I98" s="1211"/>
      <c r="J98" s="1211"/>
      <c r="K98" s="1225">
        <v>-80</v>
      </c>
      <c r="L98" s="1225">
        <v>-70</v>
      </c>
      <c r="M98" s="1225">
        <v>-75</v>
      </c>
      <c r="N98" s="1211"/>
      <c r="O98" s="1211" t="s">
        <v>1054</v>
      </c>
      <c r="P98" s="1225">
        <v>-66.548000000000002</v>
      </c>
      <c r="Q98" s="1211"/>
      <c r="R98" s="1226">
        <v>8.4519999999999982</v>
      </c>
      <c r="S98" s="1227">
        <v>0.11269333333333331</v>
      </c>
      <c r="T98" s="1211"/>
      <c r="U98" s="1228" t="s">
        <v>295</v>
      </c>
      <c r="V98" s="1211"/>
    </row>
    <row r="99" spans="1:22" x14ac:dyDescent="0.3">
      <c r="A99" s="1209">
        <v>221</v>
      </c>
      <c r="B99" s="1211" t="s">
        <v>1087</v>
      </c>
      <c r="C99" s="1211"/>
      <c r="D99" s="1215" t="s">
        <v>391</v>
      </c>
      <c r="E99" s="1212"/>
      <c r="F99" s="1224">
        <v>44859</v>
      </c>
      <c r="G99" s="1224" t="s">
        <v>1064</v>
      </c>
      <c r="H99" s="1211" t="s">
        <v>622</v>
      </c>
      <c r="I99" s="1211"/>
      <c r="J99" s="1211"/>
      <c r="K99" s="1214">
        <v>0.27</v>
      </c>
      <c r="L99" s="1214">
        <v>0.28999999999999998</v>
      </c>
      <c r="M99" s="1214">
        <v>0.28000000000000003</v>
      </c>
      <c r="N99" s="1211"/>
      <c r="O99" s="1211" t="s">
        <v>1054</v>
      </c>
      <c r="P99" s="1214">
        <v>0.26280375781671089</v>
      </c>
      <c r="Q99" s="1211"/>
      <c r="R99" s="1227">
        <v>-1.7196242183289134E-2</v>
      </c>
      <c r="S99" s="1227">
        <v>-6.1415150654604046E-2</v>
      </c>
      <c r="T99" s="1211"/>
      <c r="U99" s="1228" t="s">
        <v>295</v>
      </c>
      <c r="V99" s="1211"/>
    </row>
    <row r="100" spans="1:22" x14ac:dyDescent="0.3">
      <c r="A100" s="1209">
        <v>220</v>
      </c>
      <c r="B100" s="1211" t="s">
        <v>1087</v>
      </c>
      <c r="C100" s="1211"/>
      <c r="D100" s="1215" t="s">
        <v>67</v>
      </c>
      <c r="E100" s="1212" t="s">
        <v>298</v>
      </c>
      <c r="F100" s="1224">
        <v>44859</v>
      </c>
      <c r="G100" s="1224" t="s">
        <v>1064</v>
      </c>
      <c r="H100" s="1211" t="s">
        <v>622</v>
      </c>
      <c r="I100" s="1211"/>
      <c r="J100" s="1211"/>
      <c r="K100" s="1225">
        <v>127.5</v>
      </c>
      <c r="L100" s="1225">
        <v>151.5</v>
      </c>
      <c r="M100" s="1225">
        <v>139.5</v>
      </c>
      <c r="N100" s="1211"/>
      <c r="O100" s="1211" t="s">
        <v>1054</v>
      </c>
      <c r="P100" s="1225">
        <v>165.49899999999991</v>
      </c>
      <c r="Q100" s="1211"/>
      <c r="R100" s="1226">
        <v>25.99899999999991</v>
      </c>
      <c r="S100" s="1227">
        <v>0.18637275985663018</v>
      </c>
      <c r="T100" s="1211"/>
      <c r="U100" s="1228" t="s">
        <v>295</v>
      </c>
      <c r="V100" s="1211"/>
    </row>
    <row r="101" spans="1:22" x14ac:dyDescent="0.3">
      <c r="A101" s="1209">
        <v>219</v>
      </c>
      <c r="B101" s="1211" t="s">
        <v>1087</v>
      </c>
      <c r="C101" s="1211"/>
      <c r="D101" s="1215" t="s">
        <v>66</v>
      </c>
      <c r="E101" s="1212" t="s">
        <v>415</v>
      </c>
      <c r="F101" s="1224">
        <v>44859</v>
      </c>
      <c r="G101" s="1224" t="s">
        <v>1064</v>
      </c>
      <c r="H101" s="1211" t="s">
        <v>622</v>
      </c>
      <c r="I101" s="1211"/>
      <c r="J101" s="1211"/>
      <c r="K101" s="1225">
        <v>20</v>
      </c>
      <c r="L101" s="1225">
        <v>25</v>
      </c>
      <c r="M101" s="1225">
        <v>22.5</v>
      </c>
      <c r="N101" s="1211"/>
      <c r="O101" s="1211" t="s">
        <v>1054</v>
      </c>
      <c r="P101" s="1225">
        <v>20.32</v>
      </c>
      <c r="Q101" s="1211"/>
      <c r="R101" s="1226">
        <v>-2.1799999999999997</v>
      </c>
      <c r="S101" s="1227">
        <v>-9.6888888888888872E-2</v>
      </c>
      <c r="T101" s="1211"/>
      <c r="U101" s="1228" t="s">
        <v>295</v>
      </c>
      <c r="V101" s="1211"/>
    </row>
    <row r="102" spans="1:22" hidden="1" outlineLevel="1" x14ac:dyDescent="0.3">
      <c r="A102" s="1209">
        <v>218</v>
      </c>
      <c r="B102" s="1211" t="s">
        <v>1087</v>
      </c>
      <c r="C102" s="1211"/>
      <c r="D102" s="1215" t="s">
        <v>533</v>
      </c>
      <c r="E102" s="1212" t="s">
        <v>543</v>
      </c>
      <c r="F102" s="1224">
        <v>44859</v>
      </c>
      <c r="G102" s="1224" t="s">
        <v>1064</v>
      </c>
      <c r="H102" s="1211" t="s">
        <v>622</v>
      </c>
      <c r="I102" s="1211"/>
      <c r="J102" s="1211"/>
      <c r="K102" s="1225">
        <v>12.5</v>
      </c>
      <c r="L102" s="1225">
        <v>13.5</v>
      </c>
      <c r="M102" s="1225">
        <v>13</v>
      </c>
      <c r="N102" s="1211"/>
      <c r="O102" s="1211" t="s">
        <v>1054</v>
      </c>
      <c r="P102" s="1225">
        <v>0</v>
      </c>
      <c r="Q102" s="1211"/>
      <c r="R102" s="1226">
        <v>-13</v>
      </c>
      <c r="S102" s="1227">
        <v>-1</v>
      </c>
      <c r="T102" s="1211"/>
      <c r="U102" s="1228" t="s">
        <v>295</v>
      </c>
      <c r="V102" s="1211"/>
    </row>
    <row r="103" spans="1:22" collapsed="1" x14ac:dyDescent="0.3">
      <c r="A103" s="1209">
        <v>217</v>
      </c>
      <c r="B103" s="1211" t="s">
        <v>1087</v>
      </c>
      <c r="C103" s="1211"/>
      <c r="D103" s="1215" t="s">
        <v>504</v>
      </c>
      <c r="E103" s="1212" t="s">
        <v>483</v>
      </c>
      <c r="F103" s="1224">
        <v>44859</v>
      </c>
      <c r="G103" s="1224" t="s">
        <v>1064</v>
      </c>
      <c r="H103" s="1211" t="s">
        <v>622</v>
      </c>
      <c r="I103" s="1211"/>
      <c r="J103" s="1211"/>
      <c r="K103" s="1225">
        <v>160</v>
      </c>
      <c r="L103" s="1225">
        <v>190</v>
      </c>
      <c r="M103" s="1225">
        <v>175</v>
      </c>
      <c r="N103" s="1211"/>
      <c r="O103" s="1211" t="s">
        <v>1054</v>
      </c>
      <c r="P103" s="1225">
        <v>201.0269999999999</v>
      </c>
      <c r="Q103" s="1211"/>
      <c r="R103" s="1226">
        <v>26.026999999999902</v>
      </c>
      <c r="S103" s="1227">
        <v>0.14872571428571371</v>
      </c>
      <c r="T103" s="1211"/>
      <c r="U103" s="1228" t="s">
        <v>295</v>
      </c>
      <c r="V103" s="1211"/>
    </row>
    <row r="104" spans="1:22" x14ac:dyDescent="0.3">
      <c r="A104" s="1209">
        <v>216</v>
      </c>
      <c r="B104" s="1211"/>
      <c r="C104" s="1211"/>
      <c r="D104" s="1215"/>
      <c r="E104" s="1212"/>
      <c r="F104" s="1224"/>
      <c r="G104" s="1224"/>
      <c r="H104" s="1211"/>
      <c r="I104" s="1211"/>
      <c r="J104" s="1211"/>
      <c r="K104" s="1225"/>
      <c r="L104" s="1225"/>
      <c r="M104" s="1225"/>
      <c r="N104" s="1211"/>
      <c r="O104" s="1211"/>
      <c r="P104" s="1225"/>
      <c r="Q104" s="1211"/>
      <c r="R104" s="1226"/>
      <c r="S104" s="1227"/>
      <c r="T104" s="1211"/>
      <c r="U104" s="1228"/>
      <c r="V104" s="1211"/>
    </row>
    <row r="105" spans="1:22" x14ac:dyDescent="0.3">
      <c r="A105" s="1209">
        <v>215</v>
      </c>
      <c r="B105" s="1211" t="s">
        <v>1087</v>
      </c>
      <c r="C105" s="1211"/>
      <c r="D105" s="1215" t="s">
        <v>61</v>
      </c>
      <c r="E105" s="1212" t="s">
        <v>293</v>
      </c>
      <c r="F105" s="1224">
        <v>44859</v>
      </c>
      <c r="G105" s="1224" t="s">
        <v>1064</v>
      </c>
      <c r="H105" s="1211" t="s">
        <v>623</v>
      </c>
      <c r="I105" s="1211"/>
      <c r="J105" s="1211"/>
      <c r="K105" s="1225">
        <v>435</v>
      </c>
      <c r="L105" s="1225">
        <v>465</v>
      </c>
      <c r="M105" s="1225">
        <v>450</v>
      </c>
      <c r="N105" s="1211"/>
      <c r="O105" s="1211" t="s">
        <v>1054</v>
      </c>
      <c r="P105" s="1225">
        <v>458.435</v>
      </c>
      <c r="Q105" s="1211"/>
      <c r="R105" s="1226">
        <v>8.4350000000000023</v>
      </c>
      <c r="S105" s="1227">
        <v>1.8744444444444449E-2</v>
      </c>
      <c r="T105" s="1211"/>
      <c r="U105" s="1228" t="s">
        <v>295</v>
      </c>
      <c r="V105" s="1211"/>
    </row>
    <row r="106" spans="1:22" x14ac:dyDescent="0.3">
      <c r="A106" s="1209">
        <v>214</v>
      </c>
      <c r="B106" s="1211" t="s">
        <v>1087</v>
      </c>
      <c r="C106" s="1211"/>
      <c r="D106" s="1215" t="s">
        <v>94</v>
      </c>
      <c r="E106" s="1212" t="s">
        <v>296</v>
      </c>
      <c r="F106" s="1224">
        <v>44859</v>
      </c>
      <c r="G106" s="1224" t="s">
        <v>1064</v>
      </c>
      <c r="H106" s="1211" t="s">
        <v>623</v>
      </c>
      <c r="I106" s="1211"/>
      <c r="J106" s="1211"/>
      <c r="K106" s="1225">
        <v>-20</v>
      </c>
      <c r="L106" s="1225">
        <v>-17</v>
      </c>
      <c r="M106" s="1225">
        <v>-18.5</v>
      </c>
      <c r="N106" s="1211"/>
      <c r="O106" s="1211" t="s">
        <v>1054</v>
      </c>
      <c r="P106" s="1225">
        <v>-16.898000000000003</v>
      </c>
      <c r="Q106" s="1211"/>
      <c r="R106" s="1226">
        <v>1.6019999999999968</v>
      </c>
      <c r="S106" s="1227">
        <v>8.6594594594594426E-2</v>
      </c>
      <c r="T106" s="1211"/>
      <c r="U106" s="1228" t="s">
        <v>295</v>
      </c>
      <c r="V106" s="1211"/>
    </row>
    <row r="107" spans="1:22" x14ac:dyDescent="0.3">
      <c r="A107" s="1209">
        <v>213</v>
      </c>
      <c r="B107" s="1211" t="s">
        <v>1087</v>
      </c>
      <c r="C107" s="1211"/>
      <c r="D107" s="1215" t="s">
        <v>67</v>
      </c>
      <c r="E107" s="1212" t="s">
        <v>298</v>
      </c>
      <c r="F107" s="1224">
        <v>44859</v>
      </c>
      <c r="G107" s="1224" t="s">
        <v>1064</v>
      </c>
      <c r="H107" s="1211" t="s">
        <v>623</v>
      </c>
      <c r="I107" s="1211"/>
      <c r="J107" s="1211"/>
      <c r="K107" s="1225">
        <v>62</v>
      </c>
      <c r="L107" s="1225">
        <v>70.5</v>
      </c>
      <c r="M107" s="1225">
        <v>66.25</v>
      </c>
      <c r="N107" s="1211"/>
      <c r="O107" s="1211" t="s">
        <v>1054</v>
      </c>
      <c r="P107" s="1225">
        <v>68.073000000000022</v>
      </c>
      <c r="Q107" s="1211"/>
      <c r="R107" s="1226">
        <v>1.8230000000000217</v>
      </c>
      <c r="S107" s="1227">
        <v>2.7516981132075801E-2</v>
      </c>
      <c r="T107" s="1211"/>
      <c r="U107" s="1228" t="s">
        <v>295</v>
      </c>
      <c r="V107" s="1211"/>
    </row>
    <row r="108" spans="1:22" x14ac:dyDescent="0.3">
      <c r="A108" s="1209">
        <v>212</v>
      </c>
      <c r="B108" s="1211" t="s">
        <v>1087</v>
      </c>
      <c r="C108" s="1211"/>
      <c r="D108" s="1215" t="s">
        <v>66</v>
      </c>
      <c r="E108" s="1212" t="s">
        <v>415</v>
      </c>
      <c r="F108" s="1224">
        <v>44859</v>
      </c>
      <c r="G108" s="1224" t="s">
        <v>1064</v>
      </c>
      <c r="H108" s="1211" t="s">
        <v>623</v>
      </c>
      <c r="I108" s="1211"/>
      <c r="J108" s="1211"/>
      <c r="K108" s="1225">
        <v>5</v>
      </c>
      <c r="L108" s="1225">
        <v>6</v>
      </c>
      <c r="M108" s="1225">
        <v>5.5</v>
      </c>
      <c r="N108" s="1211"/>
      <c r="O108" s="1211" t="s">
        <v>1054</v>
      </c>
      <c r="P108" s="1225">
        <v>4.9410000000000007</v>
      </c>
      <c r="Q108" s="1211"/>
      <c r="R108" s="1226">
        <v>-0.55899999999999928</v>
      </c>
      <c r="S108" s="1227">
        <v>-0.10163636363636351</v>
      </c>
      <c r="T108" s="1211"/>
      <c r="U108" s="1228" t="s">
        <v>295</v>
      </c>
      <c r="V108" s="1211"/>
    </row>
    <row r="109" spans="1:22" hidden="1" outlineLevel="1" x14ac:dyDescent="0.3">
      <c r="A109" s="1209">
        <v>211</v>
      </c>
      <c r="B109" s="1211" t="s">
        <v>1087</v>
      </c>
      <c r="C109" s="1211"/>
      <c r="D109" s="1215" t="s">
        <v>533</v>
      </c>
      <c r="E109" s="1212" t="s">
        <v>543</v>
      </c>
      <c r="F109" s="1224">
        <v>44859</v>
      </c>
      <c r="G109" s="1224" t="s">
        <v>1064</v>
      </c>
      <c r="H109" s="1211" t="s">
        <v>623</v>
      </c>
      <c r="I109" s="1211"/>
      <c r="J109" s="1211"/>
      <c r="K109" s="1225">
        <v>3</v>
      </c>
      <c r="L109" s="1225">
        <v>3.5</v>
      </c>
      <c r="M109" s="1225">
        <v>3.25</v>
      </c>
      <c r="N109" s="1211"/>
      <c r="O109" s="1211" t="s">
        <v>1054</v>
      </c>
      <c r="P109" s="1225">
        <v>3.2789999999999999</v>
      </c>
      <c r="Q109" s="1211"/>
      <c r="R109" s="1226">
        <v>2.8999999999999915E-2</v>
      </c>
      <c r="S109" s="1227">
        <v>8.9230769230768964E-3</v>
      </c>
      <c r="T109" s="1211"/>
      <c r="U109" s="1228" t="s">
        <v>295</v>
      </c>
      <c r="V109" s="1211"/>
    </row>
    <row r="110" spans="1:22" collapsed="1" x14ac:dyDescent="0.3">
      <c r="A110" s="1209">
        <v>210</v>
      </c>
      <c r="B110" s="1211" t="s">
        <v>1087</v>
      </c>
      <c r="C110" s="1211"/>
      <c r="D110" s="1215" t="s">
        <v>504</v>
      </c>
      <c r="E110" s="1212" t="s">
        <v>483</v>
      </c>
      <c r="F110" s="1224">
        <v>44859</v>
      </c>
      <c r="G110" s="1224" t="s">
        <v>1064</v>
      </c>
      <c r="H110" s="1211" t="s">
        <v>623</v>
      </c>
      <c r="I110" s="1211"/>
      <c r="J110" s="1211"/>
      <c r="K110" s="1225">
        <v>70</v>
      </c>
      <c r="L110" s="1225">
        <v>80</v>
      </c>
      <c r="M110" s="1225">
        <v>75</v>
      </c>
      <c r="N110" s="1211"/>
      <c r="O110" s="1211" t="s">
        <v>1054</v>
      </c>
      <c r="P110" s="1225">
        <v>76.293000000000035</v>
      </c>
      <c r="Q110" s="1211"/>
      <c r="R110" s="1226">
        <v>1.2930000000000348</v>
      </c>
      <c r="S110" s="1227">
        <v>1.7240000000000463E-2</v>
      </c>
      <c r="T110" s="1211"/>
      <c r="U110" s="1228" t="s">
        <v>295</v>
      </c>
      <c r="V110" s="1211"/>
    </row>
    <row r="111" spans="1:22" x14ac:dyDescent="0.3">
      <c r="A111" s="1209">
        <v>209</v>
      </c>
      <c r="B111" s="1211"/>
      <c r="C111" s="1211"/>
      <c r="D111" s="1215"/>
      <c r="E111" s="1212"/>
      <c r="F111" s="1224"/>
      <c r="G111" s="1224"/>
      <c r="H111" s="1211"/>
      <c r="I111" s="1211"/>
      <c r="J111" s="1211"/>
      <c r="K111" s="1225"/>
      <c r="L111" s="1225"/>
      <c r="M111" s="1225"/>
      <c r="N111" s="1211"/>
      <c r="O111" s="1211"/>
      <c r="P111" s="1225"/>
      <c r="Q111" s="1211"/>
      <c r="R111" s="1226"/>
      <c r="S111" s="1227"/>
      <c r="T111" s="1211"/>
      <c r="U111" s="1228"/>
      <c r="V111" s="1211"/>
    </row>
    <row r="112" spans="1:22" hidden="1" outlineLevel="1" x14ac:dyDescent="0.3">
      <c r="A112" s="1209">
        <v>208</v>
      </c>
      <c r="B112" s="1211" t="s">
        <v>1085</v>
      </c>
      <c r="C112" s="1211"/>
      <c r="D112" s="1215" t="s">
        <v>61</v>
      </c>
      <c r="E112" s="1212" t="s">
        <v>293</v>
      </c>
      <c r="F112" s="1224">
        <v>44782</v>
      </c>
      <c r="G112" s="1224"/>
      <c r="H112" s="1211" t="s">
        <v>486</v>
      </c>
      <c r="I112" s="1211"/>
      <c r="J112" s="1211"/>
      <c r="K112" s="1225">
        <v>1900</v>
      </c>
      <c r="L112" s="1225">
        <v>2200</v>
      </c>
      <c r="M112" s="1225">
        <v>2050</v>
      </c>
      <c r="N112" s="1211"/>
      <c r="O112" s="1211" t="s">
        <v>1086</v>
      </c>
      <c r="P112" s="1225">
        <v>2242.7517215999997</v>
      </c>
      <c r="Q112" s="1211"/>
      <c r="R112" s="1226">
        <v>192.75172159999966</v>
      </c>
      <c r="S112" s="1227">
        <v>9.4025230048780314E-2</v>
      </c>
      <c r="T112" s="1211"/>
      <c r="U112" s="1228" t="s">
        <v>487</v>
      </c>
      <c r="V112" s="1211"/>
    </row>
    <row r="113" spans="1:22" hidden="1" outlineLevel="1" x14ac:dyDescent="0.3">
      <c r="A113" s="1209">
        <v>207</v>
      </c>
      <c r="B113" s="1211" t="s">
        <v>1085</v>
      </c>
      <c r="C113" s="1211"/>
      <c r="D113" s="1215" t="s">
        <v>504</v>
      </c>
      <c r="E113" s="1212" t="s">
        <v>483</v>
      </c>
      <c r="F113" s="1224">
        <v>44782</v>
      </c>
      <c r="G113" s="1224"/>
      <c r="H113" s="1211" t="s">
        <v>486</v>
      </c>
      <c r="I113" s="1211"/>
      <c r="J113" s="1211"/>
      <c r="K113" s="1225">
        <v>250</v>
      </c>
      <c r="L113" s="1225">
        <v>350</v>
      </c>
      <c r="M113" s="1225">
        <v>300</v>
      </c>
      <c r="N113" s="1211"/>
      <c r="O113" s="1211" t="s">
        <v>1086</v>
      </c>
      <c r="P113" s="1225">
        <v>351.54445238400001</v>
      </c>
      <c r="Q113" s="1211"/>
      <c r="R113" s="1226">
        <v>51.54445238400001</v>
      </c>
      <c r="S113" s="1227">
        <v>0.17181484128000005</v>
      </c>
      <c r="T113" s="1211"/>
      <c r="U113" s="1228" t="s">
        <v>487</v>
      </c>
      <c r="V113" s="1211"/>
    </row>
    <row r="114" spans="1:22" hidden="1" outlineLevel="1" x14ac:dyDescent="0.3">
      <c r="A114" s="1209">
        <v>206</v>
      </c>
      <c r="B114" s="1211" t="s">
        <v>1085</v>
      </c>
      <c r="C114" s="1211"/>
      <c r="D114" s="1215" t="s">
        <v>494</v>
      </c>
      <c r="E114" s="1212" t="s">
        <v>590</v>
      </c>
      <c r="F114" s="1224">
        <v>44782</v>
      </c>
      <c r="G114" s="1224"/>
      <c r="H114" s="1211" t="s">
        <v>486</v>
      </c>
      <c r="I114" s="1211"/>
      <c r="J114" s="1211"/>
      <c r="K114" s="1225">
        <v>1250</v>
      </c>
      <c r="L114" s="1225">
        <v>1400</v>
      </c>
      <c r="M114" s="1225">
        <v>1325</v>
      </c>
      <c r="N114" s="1211"/>
      <c r="O114" s="1211" t="s">
        <v>1086</v>
      </c>
      <c r="P114" s="1225">
        <v>0</v>
      </c>
      <c r="Q114" s="1211"/>
      <c r="R114" s="1226">
        <v>-1325</v>
      </c>
      <c r="S114" s="1227">
        <v>-1</v>
      </c>
      <c r="T114" s="1211"/>
      <c r="U114" s="1228" t="s">
        <v>487</v>
      </c>
      <c r="V114" s="1211"/>
    </row>
    <row r="115" spans="1:22" hidden="1" outlineLevel="1" x14ac:dyDescent="0.3">
      <c r="A115" s="1209">
        <v>205</v>
      </c>
      <c r="B115" s="1211" t="s">
        <v>1085</v>
      </c>
      <c r="C115" s="1211"/>
      <c r="D115" s="1215" t="s">
        <v>477</v>
      </c>
      <c r="E115" s="1212" t="s">
        <v>586</v>
      </c>
      <c r="F115" s="1224">
        <v>44782</v>
      </c>
      <c r="G115" s="1224"/>
      <c r="H115" s="1211" t="s">
        <v>486</v>
      </c>
      <c r="I115" s="1211"/>
      <c r="J115" s="1211"/>
      <c r="K115" s="1225">
        <v>170</v>
      </c>
      <c r="L115" s="1225">
        <v>180</v>
      </c>
      <c r="M115" s="1225">
        <v>175</v>
      </c>
      <c r="N115" s="1211"/>
      <c r="O115" s="1211" t="s">
        <v>1086</v>
      </c>
      <c r="P115" s="1225">
        <v>0</v>
      </c>
      <c r="Q115" s="1211"/>
      <c r="R115" s="1226">
        <v>-175</v>
      </c>
      <c r="S115" s="1227">
        <v>-1</v>
      </c>
      <c r="T115" s="1211"/>
      <c r="U115" s="1228" t="s">
        <v>487</v>
      </c>
      <c r="V115" s="1211"/>
    </row>
    <row r="116" spans="1:22" hidden="1" outlineLevel="1" x14ac:dyDescent="0.3">
      <c r="A116" s="1209">
        <v>204</v>
      </c>
      <c r="B116" s="1211" t="s">
        <v>1085</v>
      </c>
      <c r="C116" s="1211"/>
      <c r="D116" s="1215" t="s">
        <v>600</v>
      </c>
      <c r="E116" s="1212"/>
      <c r="F116" s="1224">
        <v>44782</v>
      </c>
      <c r="G116" s="1224"/>
      <c r="H116" s="1211" t="s">
        <v>486</v>
      </c>
      <c r="I116" s="1211"/>
      <c r="J116" s="1211"/>
      <c r="K116" s="1231">
        <v>8</v>
      </c>
      <c r="L116" s="1231">
        <v>10</v>
      </c>
      <c r="M116" s="1231">
        <v>9</v>
      </c>
      <c r="N116" s="1211"/>
      <c r="O116" s="1211" t="s">
        <v>1086</v>
      </c>
      <c r="P116" s="1231" t="s">
        <v>1088</v>
      </c>
      <c r="Q116" s="1211"/>
      <c r="R116" s="1232" t="s">
        <v>1088</v>
      </c>
      <c r="S116" s="1227" t="s">
        <v>1088</v>
      </c>
      <c r="T116" s="1211"/>
      <c r="U116" s="1228" t="s">
        <v>487</v>
      </c>
      <c r="V116" s="1211"/>
    </row>
    <row r="117" spans="1:22" hidden="1" outlineLevel="1" x14ac:dyDescent="0.3">
      <c r="A117" s="1209">
        <v>203</v>
      </c>
      <c r="B117" s="1211" t="s">
        <v>1085</v>
      </c>
      <c r="C117" s="1211"/>
      <c r="D117" s="1215" t="s">
        <v>587</v>
      </c>
      <c r="E117" s="1212"/>
      <c r="F117" s="1224">
        <v>44782</v>
      </c>
      <c r="G117" s="1224"/>
      <c r="H117" s="1211" t="s">
        <v>486</v>
      </c>
      <c r="I117" s="1211"/>
      <c r="J117" s="1211"/>
      <c r="K117" s="1231">
        <v>34</v>
      </c>
      <c r="L117" s="1231">
        <v>36</v>
      </c>
      <c r="M117" s="1231">
        <v>35</v>
      </c>
      <c r="N117" s="1211"/>
      <c r="O117" s="1211" t="s">
        <v>1086</v>
      </c>
      <c r="P117" s="1231" t="s">
        <v>1088</v>
      </c>
      <c r="Q117" s="1211"/>
      <c r="R117" s="1232" t="s">
        <v>1088</v>
      </c>
      <c r="S117" s="1227" t="s">
        <v>1088</v>
      </c>
      <c r="T117" s="1211"/>
      <c r="U117" s="1228" t="s">
        <v>487</v>
      </c>
      <c r="V117" s="1211"/>
    </row>
    <row r="118" spans="1:22" hidden="1" outlineLevel="1" x14ac:dyDescent="0.3">
      <c r="A118" s="1209">
        <v>202</v>
      </c>
      <c r="B118" s="1211" t="s">
        <v>1085</v>
      </c>
      <c r="C118" s="1211"/>
      <c r="D118" s="1215" t="s">
        <v>465</v>
      </c>
      <c r="E118" s="1212" t="s">
        <v>589</v>
      </c>
      <c r="F118" s="1224">
        <v>44782</v>
      </c>
      <c r="G118" s="1224"/>
      <c r="H118" s="1211" t="s">
        <v>486</v>
      </c>
      <c r="I118" s="1211"/>
      <c r="J118" s="1211"/>
      <c r="K118" s="1214">
        <v>0</v>
      </c>
      <c r="L118" s="1214">
        <v>0.02</v>
      </c>
      <c r="M118" s="1214">
        <v>0.01</v>
      </c>
      <c r="N118" s="1211"/>
      <c r="O118" s="1211" t="s">
        <v>1086</v>
      </c>
      <c r="P118" s="1214" t="s">
        <v>1088</v>
      </c>
      <c r="Q118" s="1211"/>
      <c r="R118" s="1227" t="s">
        <v>1088</v>
      </c>
      <c r="S118" s="1227" t="s">
        <v>1088</v>
      </c>
      <c r="T118" s="1211"/>
      <c r="U118" s="1228" t="s">
        <v>487</v>
      </c>
      <c r="V118" s="1211"/>
    </row>
    <row r="119" spans="1:22" hidden="1" outlineLevel="1" x14ac:dyDescent="0.3">
      <c r="A119" s="1209">
        <v>201</v>
      </c>
      <c r="B119" s="1211" t="s">
        <v>1085</v>
      </c>
      <c r="C119" s="1211"/>
      <c r="D119" s="1215" t="s">
        <v>495</v>
      </c>
      <c r="E119" s="1212" t="s">
        <v>501</v>
      </c>
      <c r="F119" s="1224">
        <v>44782</v>
      </c>
      <c r="G119" s="1224"/>
      <c r="H119" s="1211" t="s">
        <v>486</v>
      </c>
      <c r="I119" s="1211"/>
      <c r="J119" s="1211"/>
      <c r="K119" s="1225">
        <v>650</v>
      </c>
      <c r="L119" s="1225">
        <v>800</v>
      </c>
      <c r="M119" s="1225">
        <v>725</v>
      </c>
      <c r="N119" s="1211"/>
      <c r="O119" s="1211" t="s">
        <v>1086</v>
      </c>
      <c r="P119" s="1225">
        <v>0</v>
      </c>
      <c r="Q119" s="1211"/>
      <c r="R119" s="1226">
        <v>-725</v>
      </c>
      <c r="S119" s="1227">
        <v>-1</v>
      </c>
      <c r="T119" s="1211"/>
      <c r="U119" s="1228" t="s">
        <v>487</v>
      </c>
      <c r="V119" s="1211"/>
    </row>
    <row r="120" spans="1:22" hidden="1" outlineLevel="1" x14ac:dyDescent="0.3">
      <c r="A120" s="1209">
        <v>200</v>
      </c>
      <c r="B120" s="1211" t="s">
        <v>1085</v>
      </c>
      <c r="C120" s="1211"/>
      <c r="D120" s="1215" t="s">
        <v>462</v>
      </c>
      <c r="E120" s="1212" t="s">
        <v>591</v>
      </c>
      <c r="F120" s="1224">
        <v>44782</v>
      </c>
      <c r="G120" s="1224"/>
      <c r="H120" s="1211" t="s">
        <v>486</v>
      </c>
      <c r="I120" s="1211"/>
      <c r="J120" s="1211"/>
      <c r="K120" s="1225">
        <v>140</v>
      </c>
      <c r="L120" s="1225">
        <v>150</v>
      </c>
      <c r="M120" s="1225">
        <v>145</v>
      </c>
      <c r="N120" s="1211"/>
      <c r="O120" s="1211" t="s">
        <v>1086</v>
      </c>
      <c r="P120" s="1225">
        <v>0</v>
      </c>
      <c r="Q120" s="1211"/>
      <c r="R120" s="1226">
        <v>-145</v>
      </c>
      <c r="S120" s="1227">
        <v>-1</v>
      </c>
      <c r="T120" s="1211"/>
      <c r="U120" s="1228" t="s">
        <v>487</v>
      </c>
      <c r="V120" s="1211"/>
    </row>
    <row r="121" spans="1:22" hidden="1" outlineLevel="1" x14ac:dyDescent="0.3">
      <c r="A121" s="1209">
        <v>199</v>
      </c>
      <c r="B121" s="1211" t="s">
        <v>1085</v>
      </c>
      <c r="C121" s="1211"/>
      <c r="D121" s="1215" t="s">
        <v>478</v>
      </c>
      <c r="E121" s="1212" t="s">
        <v>592</v>
      </c>
      <c r="F121" s="1224">
        <v>44782</v>
      </c>
      <c r="G121" s="1224"/>
      <c r="H121" s="1211" t="s">
        <v>486</v>
      </c>
      <c r="I121" s="1211"/>
      <c r="J121" s="1211"/>
      <c r="K121" s="1225">
        <v>80</v>
      </c>
      <c r="L121" s="1225">
        <v>85</v>
      </c>
      <c r="M121" s="1225">
        <v>82.5</v>
      </c>
      <c r="N121" s="1211"/>
      <c r="O121" s="1211" t="s">
        <v>1086</v>
      </c>
      <c r="P121" s="1225">
        <v>0</v>
      </c>
      <c r="Q121" s="1211"/>
      <c r="R121" s="1226">
        <v>-82.5</v>
      </c>
      <c r="S121" s="1227">
        <v>-1</v>
      </c>
      <c r="T121" s="1211"/>
      <c r="U121" s="1228" t="s">
        <v>487</v>
      </c>
      <c r="V121" s="1211"/>
    </row>
    <row r="122" spans="1:22" hidden="1" outlineLevel="1" x14ac:dyDescent="0.3">
      <c r="A122" s="1209">
        <v>198</v>
      </c>
      <c r="B122" s="1211" t="s">
        <v>1085</v>
      </c>
      <c r="C122" s="1211"/>
      <c r="D122" s="1215" t="s">
        <v>593</v>
      </c>
      <c r="E122" s="1212"/>
      <c r="F122" s="1224">
        <v>44782</v>
      </c>
      <c r="G122" s="1224"/>
      <c r="H122" s="1211" t="s">
        <v>486</v>
      </c>
      <c r="I122" s="1211"/>
      <c r="J122" s="1211"/>
      <c r="K122" s="1231">
        <v>15</v>
      </c>
      <c r="L122" s="1231">
        <v>20</v>
      </c>
      <c r="M122" s="1231">
        <v>17.5</v>
      </c>
      <c r="N122" s="1211"/>
      <c r="O122" s="1211" t="s">
        <v>1086</v>
      </c>
      <c r="P122" s="1231" t="s">
        <v>1088</v>
      </c>
      <c r="Q122" s="1211"/>
      <c r="R122" s="1232" t="s">
        <v>1088</v>
      </c>
      <c r="S122" s="1227" t="s">
        <v>1088</v>
      </c>
      <c r="T122" s="1211"/>
      <c r="U122" s="1228" t="s">
        <v>487</v>
      </c>
      <c r="V122" s="1211"/>
    </row>
    <row r="123" spans="1:22" hidden="1" outlineLevel="1" x14ac:dyDescent="0.3">
      <c r="A123" s="1209">
        <v>197</v>
      </c>
      <c r="B123" s="1211" t="s">
        <v>1085</v>
      </c>
      <c r="C123" s="1211"/>
      <c r="D123" s="1215" t="s">
        <v>594</v>
      </c>
      <c r="E123" s="1212"/>
      <c r="F123" s="1224">
        <v>44782</v>
      </c>
      <c r="G123" s="1224"/>
      <c r="H123" s="1211" t="s">
        <v>486</v>
      </c>
      <c r="I123" s="1211"/>
      <c r="J123" s="1211"/>
      <c r="K123" s="1231">
        <v>30</v>
      </c>
      <c r="L123" s="1231">
        <v>36</v>
      </c>
      <c r="M123" s="1231">
        <v>33</v>
      </c>
      <c r="N123" s="1211"/>
      <c r="O123" s="1211" t="s">
        <v>1086</v>
      </c>
      <c r="P123" s="1231" t="s">
        <v>1088</v>
      </c>
      <c r="Q123" s="1211"/>
      <c r="R123" s="1232" t="s">
        <v>1088</v>
      </c>
      <c r="S123" s="1227" t="s">
        <v>1088</v>
      </c>
      <c r="T123" s="1211"/>
      <c r="U123" s="1228" t="s">
        <v>487</v>
      </c>
      <c r="V123" s="1211"/>
    </row>
    <row r="124" spans="1:22" hidden="1" outlineLevel="1" x14ac:dyDescent="0.3">
      <c r="A124" s="1209">
        <v>196</v>
      </c>
      <c r="B124" s="1211" t="s">
        <v>1085</v>
      </c>
      <c r="C124" s="1211"/>
      <c r="D124" s="1215" t="s">
        <v>466</v>
      </c>
      <c r="E124" s="1212" t="s">
        <v>595</v>
      </c>
      <c r="F124" s="1224">
        <v>44782</v>
      </c>
      <c r="G124" s="1224"/>
      <c r="H124" s="1211" t="s">
        <v>486</v>
      </c>
      <c r="I124" s="1211"/>
      <c r="J124" s="1211"/>
      <c r="K124" s="1214">
        <v>0</v>
      </c>
      <c r="L124" s="1214">
        <v>0.02</v>
      </c>
      <c r="M124" s="1214">
        <v>0.01</v>
      </c>
      <c r="N124" s="1211"/>
      <c r="O124" s="1211" t="s">
        <v>1086</v>
      </c>
      <c r="P124" s="1214" t="s">
        <v>1088</v>
      </c>
      <c r="Q124" s="1211"/>
      <c r="R124" s="1227" t="s">
        <v>1088</v>
      </c>
      <c r="S124" s="1227" t="s">
        <v>1088</v>
      </c>
      <c r="T124" s="1211"/>
      <c r="U124" s="1228" t="s">
        <v>487</v>
      </c>
      <c r="V124" s="1211"/>
    </row>
    <row r="125" spans="1:22" hidden="1" outlineLevel="1" x14ac:dyDescent="0.3">
      <c r="A125" s="1209">
        <v>195</v>
      </c>
      <c r="B125" s="1211"/>
      <c r="C125" s="1211"/>
      <c r="D125" s="1215"/>
      <c r="E125" s="1212"/>
      <c r="F125" s="1224"/>
      <c r="G125" s="1224"/>
      <c r="H125" s="1211"/>
      <c r="I125" s="1211"/>
      <c r="J125" s="1211"/>
      <c r="K125" s="1225"/>
      <c r="L125" s="1225"/>
      <c r="M125" s="1225"/>
      <c r="N125" s="1211"/>
      <c r="O125" s="1211"/>
      <c r="P125" s="1225"/>
      <c r="Q125" s="1211"/>
      <c r="R125" s="1226"/>
      <c r="S125" s="1227"/>
      <c r="T125" s="1211"/>
      <c r="U125" s="1228"/>
      <c r="V125" s="1211"/>
    </row>
    <row r="126" spans="1:22" hidden="1" outlineLevel="1" x14ac:dyDescent="0.3">
      <c r="A126" s="1209">
        <v>194</v>
      </c>
      <c r="B126" s="1211" t="s">
        <v>1085</v>
      </c>
      <c r="C126" s="1211"/>
      <c r="D126" s="1215" t="s">
        <v>61</v>
      </c>
      <c r="E126" s="1212" t="s">
        <v>293</v>
      </c>
      <c r="F126" s="1224">
        <v>44670</v>
      </c>
      <c r="G126" s="1224"/>
      <c r="H126" s="1211" t="s">
        <v>486</v>
      </c>
      <c r="I126" s="1211"/>
      <c r="J126" s="1211"/>
      <c r="K126" s="1225">
        <v>1900</v>
      </c>
      <c r="L126" s="1225">
        <v>2200</v>
      </c>
      <c r="M126" s="1225">
        <v>2050</v>
      </c>
      <c r="N126" s="1211"/>
      <c r="O126" s="1211" t="s">
        <v>1086</v>
      </c>
      <c r="P126" s="1225">
        <v>2242.7517215999997</v>
      </c>
      <c r="Q126" s="1211"/>
      <c r="R126" s="1226">
        <v>192.75172159999966</v>
      </c>
      <c r="S126" s="1227">
        <v>9.4025230048780314E-2</v>
      </c>
      <c r="T126" s="1211"/>
      <c r="U126" s="1228" t="s">
        <v>487</v>
      </c>
      <c r="V126" s="1211"/>
    </row>
    <row r="127" spans="1:22" hidden="1" outlineLevel="1" x14ac:dyDescent="0.3">
      <c r="A127" s="1209">
        <v>193</v>
      </c>
      <c r="B127" s="1211" t="s">
        <v>1085</v>
      </c>
      <c r="C127" s="1211"/>
      <c r="D127" s="1215" t="s">
        <v>504</v>
      </c>
      <c r="E127" s="1212" t="s">
        <v>483</v>
      </c>
      <c r="F127" s="1224">
        <v>44670</v>
      </c>
      <c r="G127" s="1224"/>
      <c r="H127" s="1211" t="s">
        <v>486</v>
      </c>
      <c r="I127" s="1211"/>
      <c r="J127" s="1211"/>
      <c r="K127" s="1225">
        <v>250</v>
      </c>
      <c r="L127" s="1225">
        <v>350</v>
      </c>
      <c r="M127" s="1225">
        <v>300</v>
      </c>
      <c r="N127" s="1211"/>
      <c r="O127" s="1211" t="s">
        <v>1086</v>
      </c>
      <c r="P127" s="1225">
        <v>351.54445238400001</v>
      </c>
      <c r="Q127" s="1211"/>
      <c r="R127" s="1226">
        <v>51.54445238400001</v>
      </c>
      <c r="S127" s="1227">
        <v>0.17181484128000005</v>
      </c>
      <c r="T127" s="1211"/>
      <c r="U127" s="1228" t="s">
        <v>487</v>
      </c>
      <c r="V127" s="1211"/>
    </row>
    <row r="128" spans="1:22" hidden="1" outlineLevel="1" x14ac:dyDescent="0.3">
      <c r="A128" s="1209">
        <v>192</v>
      </c>
      <c r="B128" s="1211" t="s">
        <v>1085</v>
      </c>
      <c r="C128" s="1211"/>
      <c r="D128" s="1215" t="s">
        <v>494</v>
      </c>
      <c r="E128" s="1212" t="s">
        <v>590</v>
      </c>
      <c r="F128" s="1224">
        <v>44670</v>
      </c>
      <c r="G128" s="1224"/>
      <c r="H128" s="1211" t="s">
        <v>486</v>
      </c>
      <c r="I128" s="1211"/>
      <c r="J128" s="1211"/>
      <c r="K128" s="1225">
        <v>1250</v>
      </c>
      <c r="L128" s="1225">
        <v>1400</v>
      </c>
      <c r="M128" s="1225">
        <v>1325</v>
      </c>
      <c r="N128" s="1211"/>
      <c r="O128" s="1211" t="s">
        <v>1086</v>
      </c>
      <c r="P128" s="1225">
        <v>0</v>
      </c>
      <c r="Q128" s="1211"/>
      <c r="R128" s="1226">
        <v>-1325</v>
      </c>
      <c r="S128" s="1227">
        <v>-1</v>
      </c>
      <c r="T128" s="1211"/>
      <c r="U128" s="1228" t="s">
        <v>487</v>
      </c>
      <c r="V128" s="1211"/>
    </row>
    <row r="129" spans="1:22" hidden="1" outlineLevel="1" x14ac:dyDescent="0.3">
      <c r="A129" s="1209">
        <v>191</v>
      </c>
      <c r="B129" s="1211" t="s">
        <v>1085</v>
      </c>
      <c r="C129" s="1211"/>
      <c r="D129" s="1215" t="s">
        <v>477</v>
      </c>
      <c r="E129" s="1212" t="s">
        <v>586</v>
      </c>
      <c r="F129" s="1224">
        <v>44670</v>
      </c>
      <c r="G129" s="1224"/>
      <c r="H129" s="1211" t="s">
        <v>486</v>
      </c>
      <c r="I129" s="1211"/>
      <c r="J129" s="1211"/>
      <c r="K129" s="1225">
        <v>170</v>
      </c>
      <c r="L129" s="1225">
        <v>180</v>
      </c>
      <c r="M129" s="1225">
        <v>175</v>
      </c>
      <c r="N129" s="1211"/>
      <c r="O129" s="1211" t="s">
        <v>1086</v>
      </c>
      <c r="P129" s="1225">
        <v>0</v>
      </c>
      <c r="Q129" s="1211"/>
      <c r="R129" s="1226">
        <v>-175</v>
      </c>
      <c r="S129" s="1227">
        <v>-1</v>
      </c>
      <c r="T129" s="1211"/>
      <c r="U129" s="1228" t="s">
        <v>487</v>
      </c>
      <c r="V129" s="1211"/>
    </row>
    <row r="130" spans="1:22" hidden="1" outlineLevel="1" x14ac:dyDescent="0.3">
      <c r="A130" s="1209">
        <v>190</v>
      </c>
      <c r="B130" s="1211" t="s">
        <v>1085</v>
      </c>
      <c r="C130" s="1211"/>
      <c r="D130" s="1215" t="s">
        <v>600</v>
      </c>
      <c r="E130" s="1212"/>
      <c r="F130" s="1224">
        <v>44670</v>
      </c>
      <c r="G130" s="1224"/>
      <c r="H130" s="1211" t="s">
        <v>486</v>
      </c>
      <c r="I130" s="1211"/>
      <c r="J130" s="1211"/>
      <c r="K130" s="1231">
        <v>8</v>
      </c>
      <c r="L130" s="1231">
        <v>10</v>
      </c>
      <c r="M130" s="1231">
        <v>9</v>
      </c>
      <c r="N130" s="1211"/>
      <c r="O130" s="1211" t="s">
        <v>1086</v>
      </c>
      <c r="P130" s="1231" t="s">
        <v>1088</v>
      </c>
      <c r="Q130" s="1211"/>
      <c r="R130" s="1232" t="s">
        <v>1088</v>
      </c>
      <c r="S130" s="1227" t="s">
        <v>1088</v>
      </c>
      <c r="T130" s="1211"/>
      <c r="U130" s="1228" t="s">
        <v>487</v>
      </c>
      <c r="V130" s="1211"/>
    </row>
    <row r="131" spans="1:22" hidden="1" outlineLevel="1" x14ac:dyDescent="0.3">
      <c r="A131" s="1209">
        <v>189</v>
      </c>
      <c r="B131" s="1211" t="s">
        <v>1085</v>
      </c>
      <c r="C131" s="1211"/>
      <c r="D131" s="1215" t="s">
        <v>587</v>
      </c>
      <c r="E131" s="1212"/>
      <c r="F131" s="1224">
        <v>44670</v>
      </c>
      <c r="G131" s="1224"/>
      <c r="H131" s="1211" t="s">
        <v>486</v>
      </c>
      <c r="I131" s="1211"/>
      <c r="J131" s="1211"/>
      <c r="K131" s="1231">
        <v>34</v>
      </c>
      <c r="L131" s="1231">
        <v>36</v>
      </c>
      <c r="M131" s="1231">
        <v>35</v>
      </c>
      <c r="N131" s="1211"/>
      <c r="O131" s="1211" t="s">
        <v>1086</v>
      </c>
      <c r="P131" s="1231" t="s">
        <v>1088</v>
      </c>
      <c r="Q131" s="1211"/>
      <c r="R131" s="1232" t="s">
        <v>1088</v>
      </c>
      <c r="S131" s="1227" t="s">
        <v>1088</v>
      </c>
      <c r="T131" s="1211"/>
      <c r="U131" s="1228" t="s">
        <v>487</v>
      </c>
      <c r="V131" s="1211"/>
    </row>
    <row r="132" spans="1:22" hidden="1" outlineLevel="1" x14ac:dyDescent="0.3">
      <c r="A132" s="1209">
        <v>188</v>
      </c>
      <c r="B132" s="1211" t="s">
        <v>1085</v>
      </c>
      <c r="C132" s="1211"/>
      <c r="D132" s="1215" t="s">
        <v>465</v>
      </c>
      <c r="E132" s="1212" t="s">
        <v>589</v>
      </c>
      <c r="F132" s="1224">
        <v>44670</v>
      </c>
      <c r="G132" s="1224"/>
      <c r="H132" s="1211" t="s">
        <v>486</v>
      </c>
      <c r="I132" s="1211"/>
      <c r="J132" s="1211"/>
      <c r="K132" s="1214">
        <v>0</v>
      </c>
      <c r="L132" s="1214">
        <v>0.02</v>
      </c>
      <c r="M132" s="1214">
        <v>0.01</v>
      </c>
      <c r="N132" s="1211"/>
      <c r="O132" s="1211" t="s">
        <v>1086</v>
      </c>
      <c r="P132" s="1214" t="s">
        <v>1088</v>
      </c>
      <c r="Q132" s="1211"/>
      <c r="R132" s="1227" t="s">
        <v>1088</v>
      </c>
      <c r="S132" s="1227" t="s">
        <v>1088</v>
      </c>
      <c r="T132" s="1211"/>
      <c r="U132" s="1228" t="s">
        <v>487</v>
      </c>
      <c r="V132" s="1211"/>
    </row>
    <row r="133" spans="1:22" hidden="1" outlineLevel="1" x14ac:dyDescent="0.3">
      <c r="A133" s="1209">
        <v>187</v>
      </c>
      <c r="B133" s="1211" t="s">
        <v>1085</v>
      </c>
      <c r="C133" s="1211"/>
      <c r="D133" s="1215" t="s">
        <v>495</v>
      </c>
      <c r="E133" s="1212" t="s">
        <v>501</v>
      </c>
      <c r="F133" s="1224">
        <v>44670</v>
      </c>
      <c r="G133" s="1224"/>
      <c r="H133" s="1211" t="s">
        <v>486</v>
      </c>
      <c r="I133" s="1211"/>
      <c r="J133" s="1211"/>
      <c r="K133" s="1225">
        <v>650</v>
      </c>
      <c r="L133" s="1225">
        <v>800</v>
      </c>
      <c r="M133" s="1225">
        <v>725</v>
      </c>
      <c r="N133" s="1211"/>
      <c r="O133" s="1211" t="s">
        <v>1086</v>
      </c>
      <c r="P133" s="1225">
        <v>0</v>
      </c>
      <c r="Q133" s="1211"/>
      <c r="R133" s="1226">
        <v>-725</v>
      </c>
      <c r="S133" s="1227">
        <v>-1</v>
      </c>
      <c r="T133" s="1211"/>
      <c r="U133" s="1228" t="s">
        <v>487</v>
      </c>
      <c r="V133" s="1211"/>
    </row>
    <row r="134" spans="1:22" hidden="1" outlineLevel="1" x14ac:dyDescent="0.3">
      <c r="A134" s="1209">
        <v>186</v>
      </c>
      <c r="B134" s="1211" t="s">
        <v>1085</v>
      </c>
      <c r="C134" s="1211"/>
      <c r="D134" s="1215" t="s">
        <v>462</v>
      </c>
      <c r="E134" s="1212" t="s">
        <v>591</v>
      </c>
      <c r="F134" s="1224">
        <v>44670</v>
      </c>
      <c r="G134" s="1224"/>
      <c r="H134" s="1211" t="s">
        <v>486</v>
      </c>
      <c r="I134" s="1211"/>
      <c r="J134" s="1211"/>
      <c r="K134" s="1225">
        <v>140</v>
      </c>
      <c r="L134" s="1225">
        <v>150</v>
      </c>
      <c r="M134" s="1225">
        <v>145</v>
      </c>
      <c r="N134" s="1211"/>
      <c r="O134" s="1211" t="s">
        <v>1086</v>
      </c>
      <c r="P134" s="1225">
        <v>0</v>
      </c>
      <c r="Q134" s="1211"/>
      <c r="R134" s="1226">
        <v>-145</v>
      </c>
      <c r="S134" s="1227">
        <v>-1</v>
      </c>
      <c r="T134" s="1211"/>
      <c r="U134" s="1228" t="s">
        <v>487</v>
      </c>
      <c r="V134" s="1211"/>
    </row>
    <row r="135" spans="1:22" hidden="1" outlineLevel="1" x14ac:dyDescent="0.3">
      <c r="A135" s="1209">
        <v>185</v>
      </c>
      <c r="B135" s="1211" t="s">
        <v>1085</v>
      </c>
      <c r="C135" s="1211"/>
      <c r="D135" s="1215" t="s">
        <v>478</v>
      </c>
      <c r="E135" s="1212" t="s">
        <v>592</v>
      </c>
      <c r="F135" s="1224">
        <v>44670</v>
      </c>
      <c r="G135" s="1224"/>
      <c r="H135" s="1211" t="s">
        <v>486</v>
      </c>
      <c r="I135" s="1211"/>
      <c r="J135" s="1211"/>
      <c r="K135" s="1225">
        <v>80</v>
      </c>
      <c r="L135" s="1225">
        <v>85</v>
      </c>
      <c r="M135" s="1225">
        <v>82.5</v>
      </c>
      <c r="N135" s="1211"/>
      <c r="O135" s="1211" t="s">
        <v>1086</v>
      </c>
      <c r="P135" s="1225">
        <v>0</v>
      </c>
      <c r="Q135" s="1211"/>
      <c r="R135" s="1226">
        <v>-82.5</v>
      </c>
      <c r="S135" s="1227">
        <v>-1</v>
      </c>
      <c r="T135" s="1211"/>
      <c r="U135" s="1228" t="s">
        <v>487</v>
      </c>
      <c r="V135" s="1211"/>
    </row>
    <row r="136" spans="1:22" hidden="1" outlineLevel="1" x14ac:dyDescent="0.3">
      <c r="A136" s="1209">
        <v>184</v>
      </c>
      <c r="B136" s="1211" t="s">
        <v>1085</v>
      </c>
      <c r="C136" s="1211"/>
      <c r="D136" s="1215" t="s">
        <v>593</v>
      </c>
      <c r="E136" s="1212"/>
      <c r="F136" s="1224">
        <v>44670</v>
      </c>
      <c r="G136" s="1224"/>
      <c r="H136" s="1211" t="s">
        <v>486</v>
      </c>
      <c r="I136" s="1211"/>
      <c r="J136" s="1211"/>
      <c r="K136" s="1231">
        <v>15</v>
      </c>
      <c r="L136" s="1231">
        <v>20</v>
      </c>
      <c r="M136" s="1231">
        <v>17.5</v>
      </c>
      <c r="N136" s="1211"/>
      <c r="O136" s="1211" t="s">
        <v>1086</v>
      </c>
      <c r="P136" s="1231" t="s">
        <v>1088</v>
      </c>
      <c r="Q136" s="1211"/>
      <c r="R136" s="1232" t="s">
        <v>1088</v>
      </c>
      <c r="S136" s="1227" t="s">
        <v>1088</v>
      </c>
      <c r="T136" s="1211"/>
      <c r="U136" s="1228" t="s">
        <v>487</v>
      </c>
      <c r="V136" s="1211"/>
    </row>
    <row r="137" spans="1:22" hidden="1" outlineLevel="1" x14ac:dyDescent="0.3">
      <c r="A137" s="1209">
        <v>183</v>
      </c>
      <c r="B137" s="1211" t="s">
        <v>1085</v>
      </c>
      <c r="C137" s="1211"/>
      <c r="D137" s="1215" t="s">
        <v>594</v>
      </c>
      <c r="E137" s="1212"/>
      <c r="F137" s="1224">
        <v>44670</v>
      </c>
      <c r="G137" s="1224"/>
      <c r="H137" s="1211" t="s">
        <v>486</v>
      </c>
      <c r="I137" s="1211"/>
      <c r="J137" s="1211"/>
      <c r="K137" s="1231">
        <v>30</v>
      </c>
      <c r="L137" s="1231">
        <v>36</v>
      </c>
      <c r="M137" s="1231">
        <v>33</v>
      </c>
      <c r="N137" s="1211"/>
      <c r="O137" s="1211" t="s">
        <v>1086</v>
      </c>
      <c r="P137" s="1231" t="s">
        <v>1088</v>
      </c>
      <c r="Q137" s="1211"/>
      <c r="R137" s="1232" t="s">
        <v>1088</v>
      </c>
      <c r="S137" s="1227" t="s">
        <v>1088</v>
      </c>
      <c r="T137" s="1211"/>
      <c r="U137" s="1228" t="s">
        <v>487</v>
      </c>
      <c r="V137" s="1211"/>
    </row>
    <row r="138" spans="1:22" hidden="1" outlineLevel="1" x14ac:dyDescent="0.3">
      <c r="A138" s="1209">
        <v>182</v>
      </c>
      <c r="B138" s="1211" t="s">
        <v>1085</v>
      </c>
      <c r="C138" s="1211"/>
      <c r="D138" s="1215" t="s">
        <v>466</v>
      </c>
      <c r="E138" s="1212" t="s">
        <v>595</v>
      </c>
      <c r="F138" s="1224">
        <v>44670</v>
      </c>
      <c r="G138" s="1224"/>
      <c r="H138" s="1211" t="s">
        <v>486</v>
      </c>
      <c r="I138" s="1211"/>
      <c r="J138" s="1211"/>
      <c r="K138" s="1214">
        <v>0</v>
      </c>
      <c r="L138" s="1214">
        <v>0.02</v>
      </c>
      <c r="M138" s="1214">
        <v>0.01</v>
      </c>
      <c r="N138" s="1211"/>
      <c r="O138" s="1211" t="s">
        <v>1086</v>
      </c>
      <c r="P138" s="1214" t="s">
        <v>1088</v>
      </c>
      <c r="Q138" s="1211"/>
      <c r="R138" s="1227" t="s">
        <v>1088</v>
      </c>
      <c r="S138" s="1227" t="s">
        <v>1088</v>
      </c>
      <c r="T138" s="1211"/>
      <c r="U138" s="1228" t="s">
        <v>487</v>
      </c>
      <c r="V138" s="1211"/>
    </row>
    <row r="139" spans="1:22" hidden="1" outlineLevel="1" x14ac:dyDescent="0.3">
      <c r="A139" s="1209">
        <v>181</v>
      </c>
      <c r="B139" s="1211"/>
      <c r="C139" s="1211"/>
      <c r="D139" s="1215"/>
      <c r="E139" s="1212"/>
      <c r="F139" s="1224"/>
      <c r="G139" s="1224"/>
      <c r="H139" s="1211"/>
      <c r="I139" s="1211"/>
      <c r="J139" s="1211"/>
      <c r="K139" s="1225"/>
      <c r="L139" s="1225"/>
      <c r="M139" s="1225"/>
      <c r="N139" s="1211"/>
      <c r="O139" s="1211"/>
      <c r="P139" s="1225"/>
      <c r="Q139" s="1211"/>
      <c r="R139" s="1226"/>
      <c r="S139" s="1227"/>
      <c r="T139" s="1211"/>
      <c r="U139" s="1228"/>
      <c r="V139" s="1211"/>
    </row>
    <row r="140" spans="1:22" collapsed="1" x14ac:dyDescent="0.3">
      <c r="A140" s="1209">
        <v>180</v>
      </c>
      <c r="B140" s="1211" t="s">
        <v>1087</v>
      </c>
      <c r="C140" s="1211"/>
      <c r="D140" s="1215" t="s">
        <v>61</v>
      </c>
      <c r="E140" s="1212" t="s">
        <v>293</v>
      </c>
      <c r="F140" s="1224">
        <v>44670</v>
      </c>
      <c r="G140" s="1224" t="s">
        <v>1065</v>
      </c>
      <c r="H140" s="1211" t="s">
        <v>584</v>
      </c>
      <c r="I140" s="1211"/>
      <c r="J140" s="1211"/>
      <c r="K140" s="1225">
        <v>1645</v>
      </c>
      <c r="L140" s="1225">
        <v>1660</v>
      </c>
      <c r="M140" s="1225">
        <v>1652.5</v>
      </c>
      <c r="N140" s="1211"/>
      <c r="O140" s="1211" t="s">
        <v>1054</v>
      </c>
      <c r="P140" s="1225">
        <v>1686.6659999999999</v>
      </c>
      <c r="Q140" s="1211"/>
      <c r="R140" s="1226">
        <v>34.16599999999994</v>
      </c>
      <c r="S140" s="1227">
        <v>2.0675340393343383E-2</v>
      </c>
      <c r="T140" s="1211"/>
      <c r="U140" s="1228" t="s">
        <v>295</v>
      </c>
      <c r="V140" s="1211"/>
    </row>
    <row r="141" spans="1:22" x14ac:dyDescent="0.3">
      <c r="A141" s="1209">
        <v>179</v>
      </c>
      <c r="B141" s="1211" t="s">
        <v>1087</v>
      </c>
      <c r="C141" s="1211"/>
      <c r="D141" s="1215" t="s">
        <v>94</v>
      </c>
      <c r="E141" s="1212" t="s">
        <v>296</v>
      </c>
      <c r="F141" s="1224">
        <v>44670</v>
      </c>
      <c r="G141" s="1224" t="s">
        <v>1065</v>
      </c>
      <c r="H141" s="1211" t="s">
        <v>584</v>
      </c>
      <c r="I141" s="1211"/>
      <c r="J141" s="1211"/>
      <c r="K141" s="1225">
        <v>-70</v>
      </c>
      <c r="L141" s="1225">
        <v>-65</v>
      </c>
      <c r="M141" s="1225">
        <v>-67.5</v>
      </c>
      <c r="N141" s="1211"/>
      <c r="O141" s="1211" t="s">
        <v>1054</v>
      </c>
      <c r="P141" s="1225">
        <v>-67.626000000000005</v>
      </c>
      <c r="Q141" s="1211"/>
      <c r="R141" s="1226">
        <v>-0.12600000000000477</v>
      </c>
      <c r="S141" s="1227">
        <v>-1.8666666666667373E-3</v>
      </c>
      <c r="T141" s="1211"/>
      <c r="U141" s="1228" t="s">
        <v>295</v>
      </c>
      <c r="V141" s="1211"/>
    </row>
    <row r="142" spans="1:22" x14ac:dyDescent="0.3">
      <c r="A142" s="1209">
        <v>178</v>
      </c>
      <c r="B142" s="1211" t="s">
        <v>1087</v>
      </c>
      <c r="C142" s="1211"/>
      <c r="D142" s="1215" t="s">
        <v>391</v>
      </c>
      <c r="E142" s="1212"/>
      <c r="F142" s="1224">
        <v>44670</v>
      </c>
      <c r="G142" s="1224" t="s">
        <v>1065</v>
      </c>
      <c r="H142" s="1211" t="s">
        <v>584</v>
      </c>
      <c r="I142" s="1211"/>
      <c r="J142" s="1211"/>
      <c r="K142" s="1214">
        <v>0.27</v>
      </c>
      <c r="L142" s="1214">
        <v>0.28999999999999998</v>
      </c>
      <c r="M142" s="1214">
        <v>0.28000000000000003</v>
      </c>
      <c r="N142" s="1211"/>
      <c r="O142" s="1211" t="s">
        <v>1054</v>
      </c>
      <c r="P142" s="1214">
        <v>0.27257027074805895</v>
      </c>
      <c r="Q142" s="1211"/>
      <c r="R142" s="1227">
        <v>-7.4297292519410751E-3</v>
      </c>
      <c r="S142" s="1227">
        <v>-2.6534747328360982E-2</v>
      </c>
      <c r="T142" s="1211"/>
      <c r="U142" s="1228" t="s">
        <v>295</v>
      </c>
      <c r="V142" s="1211"/>
    </row>
    <row r="143" spans="1:22" x14ac:dyDescent="0.3">
      <c r="A143" s="1209">
        <v>177</v>
      </c>
      <c r="B143" s="1211" t="s">
        <v>1087</v>
      </c>
      <c r="C143" s="1211"/>
      <c r="D143" s="1215" t="s">
        <v>67</v>
      </c>
      <c r="E143" s="1212" t="s">
        <v>298</v>
      </c>
      <c r="F143" s="1224">
        <v>44670</v>
      </c>
      <c r="G143" s="1224" t="s">
        <v>1065</v>
      </c>
      <c r="H143" s="1211" t="s">
        <v>584</v>
      </c>
      <c r="I143" s="1211"/>
      <c r="J143" s="1211"/>
      <c r="K143" s="1225">
        <v>148</v>
      </c>
      <c r="L143" s="1225">
        <v>151</v>
      </c>
      <c r="M143" s="1225">
        <v>149.5</v>
      </c>
      <c r="N143" s="1211"/>
      <c r="O143" s="1211" t="s">
        <v>1054</v>
      </c>
      <c r="P143" s="1225">
        <v>156.62799999999993</v>
      </c>
      <c r="Q143" s="1211"/>
      <c r="R143" s="1226">
        <v>7.1279999999999291</v>
      </c>
      <c r="S143" s="1227">
        <v>4.7678929765885815E-2</v>
      </c>
      <c r="T143" s="1211"/>
      <c r="U143" s="1228" t="s">
        <v>295</v>
      </c>
      <c r="V143" s="1211"/>
    </row>
    <row r="144" spans="1:22" x14ac:dyDescent="0.3">
      <c r="A144" s="1209">
        <v>176</v>
      </c>
      <c r="B144" s="1211" t="s">
        <v>1087</v>
      </c>
      <c r="C144" s="1211"/>
      <c r="D144" s="1215" t="s">
        <v>66</v>
      </c>
      <c r="E144" s="1212" t="s">
        <v>415</v>
      </c>
      <c r="F144" s="1224">
        <v>44670</v>
      </c>
      <c r="G144" s="1224" t="s">
        <v>1065</v>
      </c>
      <c r="H144" s="1211" t="s">
        <v>584</v>
      </c>
      <c r="I144" s="1211"/>
      <c r="J144" s="1211"/>
      <c r="K144" s="1225">
        <v>19</v>
      </c>
      <c r="L144" s="1225">
        <v>21</v>
      </c>
      <c r="M144" s="1225">
        <v>20</v>
      </c>
      <c r="N144" s="1211"/>
      <c r="O144" s="1211" t="s">
        <v>1054</v>
      </c>
      <c r="P144" s="1225">
        <v>18.57</v>
      </c>
      <c r="Q144" s="1211"/>
      <c r="R144" s="1226">
        <v>-1.4299999999999997</v>
      </c>
      <c r="S144" s="1227">
        <v>-7.149999999999998E-2</v>
      </c>
      <c r="T144" s="1211"/>
      <c r="U144" s="1228" t="s">
        <v>295</v>
      </c>
      <c r="V144" s="1211"/>
    </row>
    <row r="145" spans="1:22" hidden="1" outlineLevel="1" x14ac:dyDescent="0.3">
      <c r="A145" s="1209">
        <v>175</v>
      </c>
      <c r="B145" s="1211" t="s">
        <v>1087</v>
      </c>
      <c r="C145" s="1211"/>
      <c r="D145" s="1215" t="s">
        <v>533</v>
      </c>
      <c r="E145" s="1212" t="s">
        <v>543</v>
      </c>
      <c r="F145" s="1224">
        <v>44670</v>
      </c>
      <c r="G145" s="1224" t="s">
        <v>1065</v>
      </c>
      <c r="H145" s="1211" t="s">
        <v>584</v>
      </c>
      <c r="I145" s="1211"/>
      <c r="J145" s="1211"/>
      <c r="K145" s="1225">
        <v>13</v>
      </c>
      <c r="L145" s="1225">
        <v>13</v>
      </c>
      <c r="M145" s="1225">
        <v>13</v>
      </c>
      <c r="N145" s="1211"/>
      <c r="O145" s="1211" t="s">
        <v>1054</v>
      </c>
      <c r="P145" s="1225">
        <v>0</v>
      </c>
      <c r="Q145" s="1211"/>
      <c r="R145" s="1226">
        <v>-13</v>
      </c>
      <c r="S145" s="1227">
        <v>-1</v>
      </c>
      <c r="T145" s="1211"/>
      <c r="U145" s="1228" t="s">
        <v>295</v>
      </c>
      <c r="V145" s="1211"/>
    </row>
    <row r="146" spans="1:22" collapsed="1" x14ac:dyDescent="0.3">
      <c r="A146" s="1209">
        <v>174</v>
      </c>
      <c r="B146" s="1211" t="s">
        <v>1087</v>
      </c>
      <c r="C146" s="1211"/>
      <c r="D146" s="1215" t="s">
        <v>504</v>
      </c>
      <c r="E146" s="1212" t="s">
        <v>483</v>
      </c>
      <c r="F146" s="1224">
        <v>44670</v>
      </c>
      <c r="G146" s="1224" t="s">
        <v>1065</v>
      </c>
      <c r="H146" s="1211" t="s">
        <v>584</v>
      </c>
      <c r="I146" s="1211"/>
      <c r="J146" s="1211"/>
      <c r="K146" s="1225">
        <v>180</v>
      </c>
      <c r="L146" s="1225">
        <v>185</v>
      </c>
      <c r="M146" s="1225">
        <v>182.5</v>
      </c>
      <c r="N146" s="1211"/>
      <c r="O146" s="1211" t="s">
        <v>1054</v>
      </c>
      <c r="P146" s="1225">
        <v>188.16599999999994</v>
      </c>
      <c r="Q146" s="1211"/>
      <c r="R146" s="1226">
        <v>5.66599999999994</v>
      </c>
      <c r="S146" s="1227">
        <v>3.1046575342465424E-2</v>
      </c>
      <c r="T146" s="1211"/>
      <c r="U146" s="1228" t="s">
        <v>295</v>
      </c>
      <c r="V146" s="1211"/>
    </row>
    <row r="147" spans="1:22" x14ac:dyDescent="0.3">
      <c r="A147" s="1209">
        <v>173</v>
      </c>
      <c r="B147" s="1211"/>
      <c r="C147" s="1211"/>
      <c r="D147" s="1215"/>
      <c r="E147" s="1212"/>
      <c r="F147" s="1224"/>
      <c r="G147" s="1224"/>
      <c r="H147" s="1211"/>
      <c r="I147" s="1211"/>
      <c r="J147" s="1211"/>
      <c r="K147" s="1225"/>
      <c r="L147" s="1225"/>
      <c r="M147" s="1225"/>
      <c r="N147" s="1211"/>
      <c r="O147" s="1211"/>
      <c r="P147" s="1225"/>
      <c r="Q147" s="1211"/>
      <c r="R147" s="1226"/>
      <c r="S147" s="1227"/>
      <c r="T147" s="1211"/>
      <c r="U147" s="1228"/>
      <c r="V147" s="1211"/>
    </row>
    <row r="148" spans="1:22" hidden="1" outlineLevel="1" x14ac:dyDescent="0.3">
      <c r="A148" s="1209">
        <v>172</v>
      </c>
      <c r="B148" s="1211" t="s">
        <v>1085</v>
      </c>
      <c r="C148" s="1211"/>
      <c r="D148" s="1215" t="s">
        <v>61</v>
      </c>
      <c r="E148" s="1212" t="s">
        <v>293</v>
      </c>
      <c r="F148" s="1224">
        <v>44586</v>
      </c>
      <c r="G148" s="1224"/>
      <c r="H148" s="1211" t="s">
        <v>486</v>
      </c>
      <c r="I148" s="1211"/>
      <c r="J148" s="1211"/>
      <c r="K148" s="1225">
        <v>1900</v>
      </c>
      <c r="L148" s="1225">
        <v>2200</v>
      </c>
      <c r="M148" s="1225">
        <v>2050</v>
      </c>
      <c r="N148" s="1211"/>
      <c r="O148" s="1211" t="s">
        <v>1086</v>
      </c>
      <c r="P148" s="1225">
        <v>2242.7517215999997</v>
      </c>
      <c r="Q148" s="1211"/>
      <c r="R148" s="1226">
        <v>192.75172159999966</v>
      </c>
      <c r="S148" s="1227">
        <v>9.4025230048780314E-2</v>
      </c>
      <c r="T148" s="1211"/>
      <c r="U148" s="1228" t="s">
        <v>487</v>
      </c>
      <c r="V148" s="1211"/>
    </row>
    <row r="149" spans="1:22" hidden="1" outlineLevel="1" x14ac:dyDescent="0.3">
      <c r="A149" s="1209">
        <v>171</v>
      </c>
      <c r="B149" s="1211" t="s">
        <v>1085</v>
      </c>
      <c r="C149" s="1211"/>
      <c r="D149" s="1215" t="s">
        <v>504</v>
      </c>
      <c r="E149" s="1212" t="s">
        <v>483</v>
      </c>
      <c r="F149" s="1224">
        <v>44586</v>
      </c>
      <c r="G149" s="1224"/>
      <c r="H149" s="1211" t="s">
        <v>486</v>
      </c>
      <c r="I149" s="1211"/>
      <c r="J149" s="1211"/>
      <c r="K149" s="1225">
        <v>250</v>
      </c>
      <c r="L149" s="1225">
        <v>350</v>
      </c>
      <c r="M149" s="1225">
        <v>300</v>
      </c>
      <c r="N149" s="1211"/>
      <c r="O149" s="1211" t="s">
        <v>1086</v>
      </c>
      <c r="P149" s="1225">
        <v>351.54445238400001</v>
      </c>
      <c r="Q149" s="1211"/>
      <c r="R149" s="1226">
        <v>51.54445238400001</v>
      </c>
      <c r="S149" s="1227">
        <v>0.17181484128000005</v>
      </c>
      <c r="T149" s="1211"/>
      <c r="U149" s="1228" t="s">
        <v>487</v>
      </c>
      <c r="V149" s="1211"/>
    </row>
    <row r="150" spans="1:22" hidden="1" outlineLevel="1" x14ac:dyDescent="0.3">
      <c r="A150" s="1209">
        <v>170</v>
      </c>
      <c r="B150" s="1211" t="s">
        <v>1085</v>
      </c>
      <c r="C150" s="1211"/>
      <c r="D150" s="1215" t="s">
        <v>494</v>
      </c>
      <c r="E150" s="1212" t="s">
        <v>590</v>
      </c>
      <c r="F150" s="1224">
        <v>44586</v>
      </c>
      <c r="G150" s="1224"/>
      <c r="H150" s="1211" t="s">
        <v>486</v>
      </c>
      <c r="I150" s="1211"/>
      <c r="J150" s="1211"/>
      <c r="K150" s="1225">
        <v>1250</v>
      </c>
      <c r="L150" s="1225">
        <v>1400</v>
      </c>
      <c r="M150" s="1225">
        <v>1325</v>
      </c>
      <c r="N150" s="1211"/>
      <c r="O150" s="1211" t="s">
        <v>1086</v>
      </c>
      <c r="P150" s="1225">
        <v>0</v>
      </c>
      <c r="Q150" s="1211"/>
      <c r="R150" s="1226">
        <v>-1325</v>
      </c>
      <c r="S150" s="1227">
        <v>-1</v>
      </c>
      <c r="T150" s="1211"/>
      <c r="U150" s="1228" t="s">
        <v>487</v>
      </c>
      <c r="V150" s="1211"/>
    </row>
    <row r="151" spans="1:22" hidden="1" outlineLevel="1" x14ac:dyDescent="0.3">
      <c r="A151" s="1209">
        <v>169</v>
      </c>
      <c r="B151" s="1211" t="s">
        <v>1085</v>
      </c>
      <c r="C151" s="1211"/>
      <c r="D151" s="1215" t="s">
        <v>477</v>
      </c>
      <c r="E151" s="1212" t="s">
        <v>586</v>
      </c>
      <c r="F151" s="1224">
        <v>44586</v>
      </c>
      <c r="G151" s="1224"/>
      <c r="H151" s="1211" t="s">
        <v>486</v>
      </c>
      <c r="I151" s="1211"/>
      <c r="J151" s="1211"/>
      <c r="K151" s="1225">
        <v>170</v>
      </c>
      <c r="L151" s="1225">
        <v>180</v>
      </c>
      <c r="M151" s="1225">
        <v>175</v>
      </c>
      <c r="N151" s="1211"/>
      <c r="O151" s="1211" t="s">
        <v>1086</v>
      </c>
      <c r="P151" s="1225">
        <v>0</v>
      </c>
      <c r="Q151" s="1211"/>
      <c r="R151" s="1226">
        <v>-175</v>
      </c>
      <c r="S151" s="1227">
        <v>-1</v>
      </c>
      <c r="T151" s="1211"/>
      <c r="U151" s="1228" t="s">
        <v>487</v>
      </c>
      <c r="V151" s="1211"/>
    </row>
    <row r="152" spans="1:22" hidden="1" outlineLevel="1" x14ac:dyDescent="0.3">
      <c r="A152" s="1209">
        <v>168</v>
      </c>
      <c r="B152" s="1211" t="s">
        <v>1085</v>
      </c>
      <c r="C152" s="1211"/>
      <c r="D152" s="1215" t="s">
        <v>600</v>
      </c>
      <c r="E152" s="1212"/>
      <c r="F152" s="1224">
        <v>44586</v>
      </c>
      <c r="G152" s="1224"/>
      <c r="H152" s="1211" t="s">
        <v>486</v>
      </c>
      <c r="I152" s="1211"/>
      <c r="J152" s="1211"/>
      <c r="K152" s="1231">
        <v>8</v>
      </c>
      <c r="L152" s="1231">
        <v>10</v>
      </c>
      <c r="M152" s="1231">
        <v>9</v>
      </c>
      <c r="N152" s="1211"/>
      <c r="O152" s="1211" t="s">
        <v>1086</v>
      </c>
      <c r="P152" s="1231" t="s">
        <v>1088</v>
      </c>
      <c r="Q152" s="1211"/>
      <c r="R152" s="1232" t="s">
        <v>1088</v>
      </c>
      <c r="S152" s="1227" t="s">
        <v>1088</v>
      </c>
      <c r="T152" s="1211"/>
      <c r="U152" s="1228" t="s">
        <v>487</v>
      </c>
      <c r="V152" s="1211"/>
    </row>
    <row r="153" spans="1:22" hidden="1" outlineLevel="1" x14ac:dyDescent="0.3">
      <c r="A153" s="1209">
        <v>167</v>
      </c>
      <c r="B153" s="1211" t="s">
        <v>1085</v>
      </c>
      <c r="C153" s="1211"/>
      <c r="D153" s="1215" t="s">
        <v>587</v>
      </c>
      <c r="E153" s="1212"/>
      <c r="F153" s="1224">
        <v>44586</v>
      </c>
      <c r="G153" s="1224"/>
      <c r="H153" s="1211" t="s">
        <v>486</v>
      </c>
      <c r="I153" s="1211"/>
      <c r="J153" s="1211"/>
      <c r="K153" s="1231">
        <v>34</v>
      </c>
      <c r="L153" s="1231">
        <v>36</v>
      </c>
      <c r="M153" s="1231">
        <v>35</v>
      </c>
      <c r="N153" s="1211"/>
      <c r="O153" s="1211" t="s">
        <v>1086</v>
      </c>
      <c r="P153" s="1231" t="s">
        <v>1088</v>
      </c>
      <c r="Q153" s="1211"/>
      <c r="R153" s="1232" t="s">
        <v>1088</v>
      </c>
      <c r="S153" s="1227" t="s">
        <v>1088</v>
      </c>
      <c r="T153" s="1211"/>
      <c r="U153" s="1228" t="s">
        <v>487</v>
      </c>
      <c r="V153" s="1211"/>
    </row>
    <row r="154" spans="1:22" hidden="1" outlineLevel="1" x14ac:dyDescent="0.3">
      <c r="A154" s="1209">
        <v>166</v>
      </c>
      <c r="B154" s="1211" t="s">
        <v>1085</v>
      </c>
      <c r="C154" s="1211"/>
      <c r="D154" s="1215" t="s">
        <v>465</v>
      </c>
      <c r="E154" s="1212" t="s">
        <v>589</v>
      </c>
      <c r="F154" s="1224">
        <v>44586</v>
      </c>
      <c r="G154" s="1224"/>
      <c r="H154" s="1211" t="s">
        <v>486</v>
      </c>
      <c r="I154" s="1211"/>
      <c r="J154" s="1211"/>
      <c r="K154" s="1214">
        <v>0</v>
      </c>
      <c r="L154" s="1214">
        <v>0.02</v>
      </c>
      <c r="M154" s="1214">
        <v>0.01</v>
      </c>
      <c r="N154" s="1211"/>
      <c r="O154" s="1211" t="s">
        <v>1086</v>
      </c>
      <c r="P154" s="1214" t="s">
        <v>1088</v>
      </c>
      <c r="Q154" s="1211"/>
      <c r="R154" s="1227" t="s">
        <v>1088</v>
      </c>
      <c r="S154" s="1227" t="s">
        <v>1088</v>
      </c>
      <c r="T154" s="1211"/>
      <c r="U154" s="1228" t="s">
        <v>487</v>
      </c>
      <c r="V154" s="1211"/>
    </row>
    <row r="155" spans="1:22" hidden="1" outlineLevel="1" x14ac:dyDescent="0.3">
      <c r="A155" s="1209">
        <v>165</v>
      </c>
      <c r="B155" s="1211" t="s">
        <v>1085</v>
      </c>
      <c r="C155" s="1211"/>
      <c r="D155" s="1215" t="s">
        <v>495</v>
      </c>
      <c r="E155" s="1212" t="s">
        <v>501</v>
      </c>
      <c r="F155" s="1224">
        <v>44586</v>
      </c>
      <c r="G155" s="1224"/>
      <c r="H155" s="1211" t="s">
        <v>486</v>
      </c>
      <c r="I155" s="1211"/>
      <c r="J155" s="1211"/>
      <c r="K155" s="1225">
        <v>650</v>
      </c>
      <c r="L155" s="1225">
        <v>800</v>
      </c>
      <c r="M155" s="1225">
        <v>725</v>
      </c>
      <c r="N155" s="1211"/>
      <c r="O155" s="1211" t="s">
        <v>1086</v>
      </c>
      <c r="P155" s="1225">
        <v>0</v>
      </c>
      <c r="Q155" s="1211"/>
      <c r="R155" s="1226">
        <v>-725</v>
      </c>
      <c r="S155" s="1227">
        <v>-1</v>
      </c>
      <c r="T155" s="1211"/>
      <c r="U155" s="1228" t="s">
        <v>487</v>
      </c>
      <c r="V155" s="1211"/>
    </row>
    <row r="156" spans="1:22" hidden="1" outlineLevel="1" x14ac:dyDescent="0.3">
      <c r="A156" s="1209">
        <v>164</v>
      </c>
      <c r="B156" s="1211" t="s">
        <v>1085</v>
      </c>
      <c r="C156" s="1211"/>
      <c r="D156" s="1215" t="s">
        <v>462</v>
      </c>
      <c r="E156" s="1212" t="s">
        <v>591</v>
      </c>
      <c r="F156" s="1224">
        <v>44586</v>
      </c>
      <c r="G156" s="1224"/>
      <c r="H156" s="1211" t="s">
        <v>486</v>
      </c>
      <c r="I156" s="1211"/>
      <c r="J156" s="1211"/>
      <c r="K156" s="1225">
        <v>140</v>
      </c>
      <c r="L156" s="1225">
        <v>150</v>
      </c>
      <c r="M156" s="1225">
        <v>145</v>
      </c>
      <c r="N156" s="1211"/>
      <c r="O156" s="1211" t="s">
        <v>1086</v>
      </c>
      <c r="P156" s="1225">
        <v>0</v>
      </c>
      <c r="Q156" s="1211"/>
      <c r="R156" s="1226">
        <v>-145</v>
      </c>
      <c r="S156" s="1227">
        <v>-1</v>
      </c>
      <c r="T156" s="1211"/>
      <c r="U156" s="1228" t="s">
        <v>487</v>
      </c>
      <c r="V156" s="1211"/>
    </row>
    <row r="157" spans="1:22" hidden="1" outlineLevel="1" x14ac:dyDescent="0.3">
      <c r="A157" s="1209">
        <v>163</v>
      </c>
      <c r="B157" s="1211" t="s">
        <v>1085</v>
      </c>
      <c r="C157" s="1211"/>
      <c r="D157" s="1215" t="s">
        <v>478</v>
      </c>
      <c r="E157" s="1212" t="s">
        <v>592</v>
      </c>
      <c r="F157" s="1224">
        <v>44586</v>
      </c>
      <c r="G157" s="1224"/>
      <c r="H157" s="1211" t="s">
        <v>486</v>
      </c>
      <c r="I157" s="1211"/>
      <c r="J157" s="1211"/>
      <c r="K157" s="1225">
        <v>80</v>
      </c>
      <c r="L157" s="1225">
        <v>85</v>
      </c>
      <c r="M157" s="1225">
        <v>82.5</v>
      </c>
      <c r="N157" s="1211"/>
      <c r="O157" s="1211" t="s">
        <v>1086</v>
      </c>
      <c r="P157" s="1225">
        <v>0</v>
      </c>
      <c r="Q157" s="1211"/>
      <c r="R157" s="1226">
        <v>-82.5</v>
      </c>
      <c r="S157" s="1227">
        <v>-1</v>
      </c>
      <c r="T157" s="1211"/>
      <c r="U157" s="1228" t="s">
        <v>487</v>
      </c>
      <c r="V157" s="1211"/>
    </row>
    <row r="158" spans="1:22" hidden="1" outlineLevel="1" x14ac:dyDescent="0.3">
      <c r="A158" s="1209">
        <v>162</v>
      </c>
      <c r="B158" s="1211" t="s">
        <v>1085</v>
      </c>
      <c r="C158" s="1211"/>
      <c r="D158" s="1215" t="s">
        <v>593</v>
      </c>
      <c r="E158" s="1212"/>
      <c r="F158" s="1224">
        <v>44586</v>
      </c>
      <c r="G158" s="1224"/>
      <c r="H158" s="1211" t="s">
        <v>486</v>
      </c>
      <c r="I158" s="1211"/>
      <c r="J158" s="1211"/>
      <c r="K158" s="1231">
        <v>15</v>
      </c>
      <c r="L158" s="1231">
        <v>20</v>
      </c>
      <c r="M158" s="1231">
        <v>17.5</v>
      </c>
      <c r="N158" s="1211"/>
      <c r="O158" s="1211" t="s">
        <v>1086</v>
      </c>
      <c r="P158" s="1231" t="s">
        <v>1088</v>
      </c>
      <c r="Q158" s="1211"/>
      <c r="R158" s="1232" t="s">
        <v>1088</v>
      </c>
      <c r="S158" s="1227" t="s">
        <v>1088</v>
      </c>
      <c r="T158" s="1211"/>
      <c r="U158" s="1228" t="s">
        <v>487</v>
      </c>
      <c r="V158" s="1211"/>
    </row>
    <row r="159" spans="1:22" hidden="1" outlineLevel="1" x14ac:dyDescent="0.3">
      <c r="A159" s="1209">
        <v>161</v>
      </c>
      <c r="B159" s="1211" t="s">
        <v>1085</v>
      </c>
      <c r="C159" s="1211"/>
      <c r="D159" s="1215" t="s">
        <v>594</v>
      </c>
      <c r="E159" s="1212"/>
      <c r="F159" s="1224">
        <v>44586</v>
      </c>
      <c r="G159" s="1224"/>
      <c r="H159" s="1211" t="s">
        <v>486</v>
      </c>
      <c r="I159" s="1211"/>
      <c r="J159" s="1211"/>
      <c r="K159" s="1231">
        <v>30</v>
      </c>
      <c r="L159" s="1231">
        <v>36</v>
      </c>
      <c r="M159" s="1231">
        <v>33</v>
      </c>
      <c r="N159" s="1211"/>
      <c r="O159" s="1211" t="s">
        <v>1086</v>
      </c>
      <c r="P159" s="1231" t="s">
        <v>1088</v>
      </c>
      <c r="Q159" s="1211"/>
      <c r="R159" s="1232" t="s">
        <v>1088</v>
      </c>
      <c r="S159" s="1227" t="s">
        <v>1088</v>
      </c>
      <c r="T159" s="1211"/>
      <c r="U159" s="1228" t="s">
        <v>487</v>
      </c>
      <c r="V159" s="1211"/>
    </row>
    <row r="160" spans="1:22" hidden="1" outlineLevel="1" x14ac:dyDescent="0.3">
      <c r="A160" s="1209">
        <v>160</v>
      </c>
      <c r="B160" s="1211" t="s">
        <v>1085</v>
      </c>
      <c r="C160" s="1211"/>
      <c r="D160" s="1215" t="s">
        <v>466</v>
      </c>
      <c r="E160" s="1212" t="s">
        <v>595</v>
      </c>
      <c r="F160" s="1224">
        <v>44586</v>
      </c>
      <c r="G160" s="1224"/>
      <c r="H160" s="1211" t="s">
        <v>486</v>
      </c>
      <c r="I160" s="1211"/>
      <c r="J160" s="1211"/>
      <c r="K160" s="1214">
        <v>0</v>
      </c>
      <c r="L160" s="1214">
        <v>0.02</v>
      </c>
      <c r="M160" s="1214">
        <v>0.01</v>
      </c>
      <c r="N160" s="1211"/>
      <c r="O160" s="1211" t="s">
        <v>1086</v>
      </c>
      <c r="P160" s="1214" t="s">
        <v>1088</v>
      </c>
      <c r="Q160" s="1211"/>
      <c r="R160" s="1227" t="s">
        <v>1088</v>
      </c>
      <c r="S160" s="1227" t="s">
        <v>1088</v>
      </c>
      <c r="T160" s="1211"/>
      <c r="U160" s="1228" t="s">
        <v>487</v>
      </c>
      <c r="V160" s="1211"/>
    </row>
    <row r="161" spans="1:22" hidden="1" outlineLevel="1" x14ac:dyDescent="0.3">
      <c r="A161" s="1209">
        <v>159</v>
      </c>
      <c r="B161" s="1211"/>
      <c r="C161" s="1211"/>
      <c r="D161" s="1215"/>
      <c r="E161" s="1212"/>
      <c r="F161" s="1224"/>
      <c r="G161" s="1224"/>
      <c r="H161" s="1211"/>
      <c r="I161" s="1211"/>
      <c r="J161" s="1211"/>
      <c r="K161" s="1225"/>
      <c r="L161" s="1225"/>
      <c r="M161" s="1225"/>
      <c r="N161" s="1211"/>
      <c r="O161" s="1211"/>
      <c r="P161" s="1225"/>
      <c r="Q161" s="1211"/>
      <c r="R161" s="1226"/>
      <c r="S161" s="1227"/>
      <c r="T161" s="1211"/>
      <c r="U161" s="1228"/>
      <c r="V161" s="1211"/>
    </row>
    <row r="162" spans="1:22" collapsed="1" x14ac:dyDescent="0.3">
      <c r="A162" s="1209">
        <v>158</v>
      </c>
      <c r="B162" s="1211" t="s">
        <v>1087</v>
      </c>
      <c r="C162" s="1211"/>
      <c r="D162" s="1215" t="s">
        <v>61</v>
      </c>
      <c r="E162" s="1212" t="s">
        <v>293</v>
      </c>
      <c r="F162" s="1224">
        <v>44586</v>
      </c>
      <c r="G162" s="1224" t="s">
        <v>1066</v>
      </c>
      <c r="H162" s="1211" t="s">
        <v>584</v>
      </c>
      <c r="I162" s="1211"/>
      <c r="J162" s="1211"/>
      <c r="K162" s="1225">
        <v>1620</v>
      </c>
      <c r="L162" s="1225">
        <v>1640</v>
      </c>
      <c r="M162" s="1225">
        <v>1630</v>
      </c>
      <c r="N162" s="1211"/>
      <c r="O162" s="1211" t="s">
        <v>1054</v>
      </c>
      <c r="P162" s="1225">
        <v>1686.6659999999999</v>
      </c>
      <c r="Q162" s="1211"/>
      <c r="R162" s="1226">
        <v>56.66599999999994</v>
      </c>
      <c r="S162" s="1227">
        <v>3.4764417177914071E-2</v>
      </c>
      <c r="T162" s="1211"/>
      <c r="U162" s="1228" t="s">
        <v>487</v>
      </c>
      <c r="V162" s="1211"/>
    </row>
    <row r="163" spans="1:22" x14ac:dyDescent="0.3">
      <c r="A163" s="1209">
        <v>157</v>
      </c>
      <c r="B163" s="1211" t="s">
        <v>1087</v>
      </c>
      <c r="C163" s="1211"/>
      <c r="D163" s="1215" t="s">
        <v>94</v>
      </c>
      <c r="E163" s="1212" t="s">
        <v>296</v>
      </c>
      <c r="F163" s="1224">
        <v>44586</v>
      </c>
      <c r="G163" s="1224" t="s">
        <v>1066</v>
      </c>
      <c r="H163" s="1211" t="s">
        <v>584</v>
      </c>
      <c r="I163" s="1211"/>
      <c r="J163" s="1211"/>
      <c r="K163" s="1225">
        <v>-75</v>
      </c>
      <c r="L163" s="1225">
        <v>-65</v>
      </c>
      <c r="M163" s="1225">
        <v>-70</v>
      </c>
      <c r="N163" s="1211"/>
      <c r="O163" s="1211" t="s">
        <v>1054</v>
      </c>
      <c r="P163" s="1225">
        <v>-67.626000000000005</v>
      </c>
      <c r="Q163" s="1211"/>
      <c r="R163" s="1226">
        <v>2.3739999999999952</v>
      </c>
      <c r="S163" s="1227">
        <v>3.3914285714285647E-2</v>
      </c>
      <c r="T163" s="1211"/>
      <c r="U163" s="1228" t="s">
        <v>487</v>
      </c>
      <c r="V163" s="1211"/>
    </row>
    <row r="164" spans="1:22" x14ac:dyDescent="0.3">
      <c r="A164" s="1209">
        <v>156</v>
      </c>
      <c r="B164" s="1211" t="s">
        <v>1087</v>
      </c>
      <c r="C164" s="1211"/>
      <c r="D164" s="1215" t="s">
        <v>391</v>
      </c>
      <c r="E164" s="1212"/>
      <c r="F164" s="1224">
        <v>44586</v>
      </c>
      <c r="G164" s="1224" t="s">
        <v>1066</v>
      </c>
      <c r="H164" s="1211" t="s">
        <v>584</v>
      </c>
      <c r="I164" s="1211"/>
      <c r="J164" s="1211"/>
      <c r="K164" s="1214">
        <v>0.27</v>
      </c>
      <c r="L164" s="1214">
        <v>0.3</v>
      </c>
      <c r="M164" s="1214">
        <v>0.28500000000000003</v>
      </c>
      <c r="N164" s="1211"/>
      <c r="O164" s="1211" t="s">
        <v>1054</v>
      </c>
      <c r="P164" s="1214">
        <v>0.27257027074805895</v>
      </c>
      <c r="Q164" s="1211"/>
      <c r="R164" s="1227">
        <v>-1.242972925194108E-2</v>
      </c>
      <c r="S164" s="1227">
        <v>-4.3613085094530102E-2</v>
      </c>
      <c r="T164" s="1211"/>
      <c r="U164" s="1228" t="s">
        <v>487</v>
      </c>
      <c r="V164" s="1211"/>
    </row>
    <row r="165" spans="1:22" x14ac:dyDescent="0.3">
      <c r="A165" s="1209">
        <v>155</v>
      </c>
      <c r="B165" s="1211" t="s">
        <v>1087</v>
      </c>
      <c r="C165" s="1211"/>
      <c r="D165" s="1215" t="s">
        <v>67</v>
      </c>
      <c r="E165" s="1212" t="s">
        <v>298</v>
      </c>
      <c r="F165" s="1224">
        <v>44586</v>
      </c>
      <c r="G165" s="1224" t="s">
        <v>1066</v>
      </c>
      <c r="H165" s="1211" t="s">
        <v>584</v>
      </c>
      <c r="I165" s="1211"/>
      <c r="J165" s="1211"/>
      <c r="K165" s="1225">
        <v>142</v>
      </c>
      <c r="L165" s="1225">
        <v>150</v>
      </c>
      <c r="M165" s="1225">
        <v>146</v>
      </c>
      <c r="N165" s="1211"/>
      <c r="O165" s="1211" t="s">
        <v>1054</v>
      </c>
      <c r="P165" s="1225">
        <v>156.62799999999993</v>
      </c>
      <c r="Q165" s="1211"/>
      <c r="R165" s="1226">
        <v>10.627999999999929</v>
      </c>
      <c r="S165" s="1227">
        <v>7.2794520547944719E-2</v>
      </c>
      <c r="T165" s="1211"/>
      <c r="U165" s="1228" t="s">
        <v>487</v>
      </c>
      <c r="V165" s="1211"/>
    </row>
    <row r="166" spans="1:22" x14ac:dyDescent="0.3">
      <c r="A166" s="1209">
        <v>154</v>
      </c>
      <c r="B166" s="1211" t="s">
        <v>1087</v>
      </c>
      <c r="C166" s="1211"/>
      <c r="D166" s="1215" t="s">
        <v>66</v>
      </c>
      <c r="E166" s="1212" t="s">
        <v>415</v>
      </c>
      <c r="F166" s="1224">
        <v>44586</v>
      </c>
      <c r="G166" s="1224" t="s">
        <v>1066</v>
      </c>
      <c r="H166" s="1211" t="s">
        <v>584</v>
      </c>
      <c r="I166" s="1211"/>
      <c r="J166" s="1211"/>
      <c r="K166" s="1225">
        <v>20</v>
      </c>
      <c r="L166" s="1225">
        <v>22</v>
      </c>
      <c r="M166" s="1225">
        <v>21</v>
      </c>
      <c r="N166" s="1211"/>
      <c r="O166" s="1211" t="s">
        <v>1054</v>
      </c>
      <c r="P166" s="1225">
        <v>18.57</v>
      </c>
      <c r="Q166" s="1211"/>
      <c r="R166" s="1226">
        <v>-2.4299999999999997</v>
      </c>
      <c r="S166" s="1227">
        <v>-0.1157142857142857</v>
      </c>
      <c r="T166" s="1211"/>
      <c r="U166" s="1228" t="s">
        <v>487</v>
      </c>
      <c r="V166" s="1211"/>
    </row>
    <row r="167" spans="1:22" hidden="1" outlineLevel="1" x14ac:dyDescent="0.3">
      <c r="A167" s="1209">
        <v>153</v>
      </c>
      <c r="B167" s="1211" t="s">
        <v>1087</v>
      </c>
      <c r="C167" s="1211"/>
      <c r="D167" s="1215" t="s">
        <v>533</v>
      </c>
      <c r="E167" s="1212" t="s">
        <v>543</v>
      </c>
      <c r="F167" s="1224">
        <v>44586</v>
      </c>
      <c r="G167" s="1224" t="s">
        <v>1066</v>
      </c>
      <c r="H167" s="1211" t="s">
        <v>584</v>
      </c>
      <c r="I167" s="1211"/>
      <c r="J167" s="1211"/>
      <c r="K167" s="1225">
        <v>13</v>
      </c>
      <c r="L167" s="1225">
        <v>13</v>
      </c>
      <c r="M167" s="1225">
        <v>13</v>
      </c>
      <c r="N167" s="1211"/>
      <c r="O167" s="1211" t="s">
        <v>1054</v>
      </c>
      <c r="P167" s="1225">
        <v>0</v>
      </c>
      <c r="Q167" s="1211"/>
      <c r="R167" s="1226">
        <v>-13</v>
      </c>
      <c r="S167" s="1227">
        <v>-1</v>
      </c>
      <c r="T167" s="1211"/>
      <c r="U167" s="1228" t="s">
        <v>487</v>
      </c>
      <c r="V167" s="1211"/>
    </row>
    <row r="168" spans="1:22" collapsed="1" x14ac:dyDescent="0.3">
      <c r="A168" s="1209">
        <v>152</v>
      </c>
      <c r="B168" s="1211" t="s">
        <v>1087</v>
      </c>
      <c r="C168" s="1211"/>
      <c r="D168" s="1215" t="s">
        <v>504</v>
      </c>
      <c r="E168" s="1212" t="s">
        <v>483</v>
      </c>
      <c r="F168" s="1224">
        <v>44586</v>
      </c>
      <c r="G168" s="1224" t="s">
        <v>1066</v>
      </c>
      <c r="H168" s="1211" t="s">
        <v>584</v>
      </c>
      <c r="I168" s="1211"/>
      <c r="J168" s="1211"/>
      <c r="K168" s="1225">
        <v>175</v>
      </c>
      <c r="L168" s="1225">
        <v>185</v>
      </c>
      <c r="M168" s="1225">
        <v>180</v>
      </c>
      <c r="N168" s="1211"/>
      <c r="O168" s="1211" t="s">
        <v>1054</v>
      </c>
      <c r="P168" s="1225">
        <v>188.16599999999994</v>
      </c>
      <c r="Q168" s="1211"/>
      <c r="R168" s="1226">
        <v>8.16599999999994</v>
      </c>
      <c r="S168" s="1227">
        <v>4.5366666666666333E-2</v>
      </c>
      <c r="T168" s="1211"/>
      <c r="U168" s="1228" t="s">
        <v>487</v>
      </c>
      <c r="V168" s="1211"/>
    </row>
    <row r="169" spans="1:22" x14ac:dyDescent="0.3">
      <c r="A169" s="1209">
        <v>151</v>
      </c>
      <c r="B169" s="1211" t="s">
        <v>1087</v>
      </c>
      <c r="C169" s="1211"/>
      <c r="D169" s="1215" t="s">
        <v>463</v>
      </c>
      <c r="E169" s="1212" t="s">
        <v>588</v>
      </c>
      <c r="F169" s="1224">
        <v>44586</v>
      </c>
      <c r="G169" s="1224" t="s">
        <v>1066</v>
      </c>
      <c r="H169" s="1211" t="s">
        <v>584</v>
      </c>
      <c r="I169" s="1211"/>
      <c r="J169" s="1211"/>
      <c r="K169" s="1233">
        <v>8000</v>
      </c>
      <c r="L169" s="1233">
        <v>8000</v>
      </c>
      <c r="M169" s="1233">
        <v>8000</v>
      </c>
      <c r="N169" s="1211"/>
      <c r="O169" s="1211" t="s">
        <v>1054</v>
      </c>
      <c r="P169" s="1233">
        <v>0</v>
      </c>
      <c r="Q169" s="1211"/>
      <c r="R169" s="1234">
        <v>-8000</v>
      </c>
      <c r="S169" s="1227">
        <v>-1</v>
      </c>
      <c r="T169" s="1211"/>
      <c r="U169" s="1228" t="s">
        <v>487</v>
      </c>
      <c r="V169" s="1211"/>
    </row>
    <row r="170" spans="1:22" x14ac:dyDescent="0.3">
      <c r="A170" s="1209">
        <v>150</v>
      </c>
      <c r="B170" s="1211" t="s">
        <v>1087</v>
      </c>
      <c r="C170" s="1211"/>
      <c r="D170" s="1215" t="s">
        <v>464</v>
      </c>
      <c r="E170" s="1212" t="s">
        <v>596</v>
      </c>
      <c r="F170" s="1224">
        <v>44586</v>
      </c>
      <c r="G170" s="1224" t="s">
        <v>1066</v>
      </c>
      <c r="H170" s="1211" t="s">
        <v>584</v>
      </c>
      <c r="I170" s="1211"/>
      <c r="J170" s="1211"/>
      <c r="K170" s="1233">
        <v>7600</v>
      </c>
      <c r="L170" s="1233">
        <v>7600</v>
      </c>
      <c r="M170" s="1233">
        <v>7600</v>
      </c>
      <c r="N170" s="1211"/>
      <c r="O170" s="1211" t="s">
        <v>1054</v>
      </c>
      <c r="P170" s="1233">
        <v>0</v>
      </c>
      <c r="Q170" s="1211"/>
      <c r="R170" s="1234">
        <v>-7600</v>
      </c>
      <c r="S170" s="1227">
        <v>-1</v>
      </c>
      <c r="T170" s="1211"/>
      <c r="U170" s="1228" t="s">
        <v>487</v>
      </c>
      <c r="V170" s="1211"/>
    </row>
    <row r="171" spans="1:22" x14ac:dyDescent="0.3">
      <c r="A171" s="1209">
        <v>149</v>
      </c>
      <c r="B171" s="1211"/>
      <c r="C171" s="1211"/>
      <c r="D171" s="1215"/>
      <c r="E171" s="1212"/>
      <c r="F171" s="1224"/>
      <c r="G171" s="1224"/>
      <c r="H171" s="1211"/>
      <c r="I171" s="1211"/>
      <c r="J171" s="1211"/>
      <c r="K171" s="1225"/>
      <c r="L171" s="1225"/>
      <c r="M171" s="1225"/>
      <c r="N171" s="1211"/>
      <c r="O171" s="1211"/>
      <c r="P171" s="1225"/>
      <c r="Q171" s="1211"/>
      <c r="R171" s="1226"/>
      <c r="S171" s="1227"/>
      <c r="T171" s="1211"/>
      <c r="U171" s="1228"/>
      <c r="V171" s="1211"/>
    </row>
    <row r="172" spans="1:22" x14ac:dyDescent="0.3">
      <c r="A172" s="1209">
        <v>148</v>
      </c>
      <c r="B172" s="1211" t="s">
        <v>1087</v>
      </c>
      <c r="C172" s="1211"/>
      <c r="D172" s="1215" t="s">
        <v>61</v>
      </c>
      <c r="E172" s="1212" t="s">
        <v>293</v>
      </c>
      <c r="F172" s="1224">
        <v>44586</v>
      </c>
      <c r="G172" s="1224" t="s">
        <v>1066</v>
      </c>
      <c r="H172" s="1211" t="s">
        <v>599</v>
      </c>
      <c r="I172" s="1211"/>
      <c r="J172" s="1211"/>
      <c r="K172" s="1225">
        <v>405</v>
      </c>
      <c r="L172" s="1225">
        <v>415</v>
      </c>
      <c r="M172" s="1225">
        <v>410</v>
      </c>
      <c r="N172" s="1211"/>
      <c r="O172" s="1211" t="s">
        <v>1054</v>
      </c>
      <c r="P172" s="1225">
        <v>421.72199999999998</v>
      </c>
      <c r="Q172" s="1211"/>
      <c r="R172" s="1226">
        <v>11.72199999999998</v>
      </c>
      <c r="S172" s="1227">
        <v>2.8590243902438976E-2</v>
      </c>
      <c r="T172" s="1211"/>
      <c r="U172" s="1228" t="s">
        <v>487</v>
      </c>
      <c r="V172" s="1211"/>
    </row>
    <row r="173" spans="1:22" x14ac:dyDescent="0.3">
      <c r="A173" s="1209">
        <v>147</v>
      </c>
      <c r="B173" s="1211" t="s">
        <v>1087</v>
      </c>
      <c r="C173" s="1211"/>
      <c r="D173" s="1215" t="s">
        <v>94</v>
      </c>
      <c r="E173" s="1212" t="s">
        <v>296</v>
      </c>
      <c r="F173" s="1224">
        <v>44586</v>
      </c>
      <c r="G173" s="1224" t="s">
        <v>1066</v>
      </c>
      <c r="H173" s="1211" t="s">
        <v>599</v>
      </c>
      <c r="I173" s="1211"/>
      <c r="J173" s="1211"/>
      <c r="K173" s="1225">
        <v>-18</v>
      </c>
      <c r="L173" s="1225">
        <v>-15</v>
      </c>
      <c r="M173" s="1225">
        <v>-16.5</v>
      </c>
      <c r="N173" s="1211"/>
      <c r="O173" s="1211" t="s">
        <v>1054</v>
      </c>
      <c r="P173" s="1225">
        <v>-18.436</v>
      </c>
      <c r="Q173" s="1211"/>
      <c r="R173" s="1226">
        <v>-1.9359999999999999</v>
      </c>
      <c r="S173" s="1227">
        <v>-0.11733333333333333</v>
      </c>
      <c r="T173" s="1211"/>
      <c r="U173" s="1228" t="s">
        <v>487</v>
      </c>
      <c r="V173" s="1211"/>
    </row>
    <row r="174" spans="1:22" x14ac:dyDescent="0.3">
      <c r="A174" s="1209">
        <v>146</v>
      </c>
      <c r="B174" s="1211" t="s">
        <v>1087</v>
      </c>
      <c r="C174" s="1211"/>
      <c r="D174" s="1215" t="s">
        <v>67</v>
      </c>
      <c r="E174" s="1212" t="s">
        <v>298</v>
      </c>
      <c r="F174" s="1224">
        <v>44586</v>
      </c>
      <c r="G174" s="1224" t="s">
        <v>1066</v>
      </c>
      <c r="H174" s="1211" t="s">
        <v>599</v>
      </c>
      <c r="I174" s="1211"/>
      <c r="J174" s="1211"/>
      <c r="K174" s="1225">
        <v>50.7</v>
      </c>
      <c r="L174" s="1225">
        <v>54.7</v>
      </c>
      <c r="M174" s="1225">
        <v>52.7</v>
      </c>
      <c r="N174" s="1211"/>
      <c r="O174" s="1211" t="s">
        <v>1054</v>
      </c>
      <c r="P174" s="1225">
        <v>60.593999999999994</v>
      </c>
      <c r="Q174" s="1211"/>
      <c r="R174" s="1226">
        <v>7.8939999999999912</v>
      </c>
      <c r="S174" s="1227">
        <v>0.1497912713472484</v>
      </c>
      <c r="T174" s="1211"/>
      <c r="U174" s="1228" t="s">
        <v>487</v>
      </c>
      <c r="V174" s="1211"/>
    </row>
    <row r="175" spans="1:22" x14ac:dyDescent="0.3">
      <c r="A175" s="1209">
        <v>145</v>
      </c>
      <c r="B175" s="1211" t="s">
        <v>1087</v>
      </c>
      <c r="C175" s="1211"/>
      <c r="D175" s="1215" t="s">
        <v>66</v>
      </c>
      <c r="E175" s="1212" t="s">
        <v>415</v>
      </c>
      <c r="F175" s="1224">
        <v>44586</v>
      </c>
      <c r="G175" s="1224" t="s">
        <v>1066</v>
      </c>
      <c r="H175" s="1211" t="s">
        <v>599</v>
      </c>
      <c r="I175" s="1211"/>
      <c r="J175" s="1211"/>
      <c r="K175" s="1225">
        <v>6</v>
      </c>
      <c r="L175" s="1225">
        <v>7</v>
      </c>
      <c r="M175" s="1225">
        <v>6.5</v>
      </c>
      <c r="N175" s="1211"/>
      <c r="O175" s="1211" t="s">
        <v>1054</v>
      </c>
      <c r="P175" s="1225">
        <v>5.5760000000000005</v>
      </c>
      <c r="Q175" s="1211"/>
      <c r="R175" s="1226">
        <v>-0.92399999999999949</v>
      </c>
      <c r="S175" s="1227">
        <v>-0.14215384615384608</v>
      </c>
      <c r="T175" s="1211"/>
      <c r="U175" s="1228" t="s">
        <v>487</v>
      </c>
      <c r="V175" s="1211"/>
    </row>
    <row r="176" spans="1:22" hidden="1" outlineLevel="1" x14ac:dyDescent="0.3">
      <c r="A176" s="1209">
        <v>144</v>
      </c>
      <c r="B176" s="1211" t="s">
        <v>1087</v>
      </c>
      <c r="C176" s="1211"/>
      <c r="D176" s="1215" t="s">
        <v>533</v>
      </c>
      <c r="E176" s="1212" t="s">
        <v>543</v>
      </c>
      <c r="F176" s="1224">
        <v>44586</v>
      </c>
      <c r="G176" s="1224" t="s">
        <v>1066</v>
      </c>
      <c r="H176" s="1211" t="s">
        <v>599</v>
      </c>
      <c r="I176" s="1211"/>
      <c r="J176" s="1211"/>
      <c r="K176" s="1225">
        <v>3.3</v>
      </c>
      <c r="L176" s="1225">
        <v>3.3</v>
      </c>
      <c r="M176" s="1225">
        <v>3.3</v>
      </c>
      <c r="N176" s="1211"/>
      <c r="O176" s="1211" t="s">
        <v>1054</v>
      </c>
      <c r="P176" s="1225">
        <v>3.27</v>
      </c>
      <c r="Q176" s="1211"/>
      <c r="R176" s="1226">
        <v>-2.9999999999999805E-2</v>
      </c>
      <c r="S176" s="1227">
        <v>-9.0909090909090315E-3</v>
      </c>
      <c r="T176" s="1211"/>
      <c r="U176" s="1228" t="s">
        <v>487</v>
      </c>
      <c r="V176" s="1211"/>
    </row>
    <row r="177" spans="1:22" collapsed="1" x14ac:dyDescent="0.3">
      <c r="A177" s="1209">
        <v>143</v>
      </c>
      <c r="B177" s="1211" t="s">
        <v>1087</v>
      </c>
      <c r="C177" s="1211"/>
      <c r="D177" s="1215" t="s">
        <v>504</v>
      </c>
      <c r="E177" s="1212" t="s">
        <v>483</v>
      </c>
      <c r="F177" s="1224">
        <v>44586</v>
      </c>
      <c r="G177" s="1224" t="s">
        <v>1066</v>
      </c>
      <c r="H177" s="1211" t="s">
        <v>599</v>
      </c>
      <c r="I177" s="1211"/>
      <c r="J177" s="1211"/>
      <c r="K177" s="1225">
        <v>60</v>
      </c>
      <c r="L177" s="1225">
        <v>65</v>
      </c>
      <c r="M177" s="1225">
        <v>62.5</v>
      </c>
      <c r="N177" s="1211"/>
      <c r="O177" s="1211" t="s">
        <v>1054</v>
      </c>
      <c r="P177" s="1225">
        <v>69.439999999999984</v>
      </c>
      <c r="Q177" s="1211"/>
      <c r="R177" s="1226">
        <v>6.9399999999999835</v>
      </c>
      <c r="S177" s="1227">
        <v>0.11103999999999974</v>
      </c>
      <c r="T177" s="1211"/>
      <c r="U177" s="1228" t="s">
        <v>487</v>
      </c>
      <c r="V177" s="1211"/>
    </row>
    <row r="178" spans="1:22" x14ac:dyDescent="0.3">
      <c r="A178" s="1209">
        <v>142</v>
      </c>
      <c r="B178" s="1211"/>
      <c r="C178" s="1211"/>
      <c r="D178" s="1215"/>
      <c r="E178" s="1212"/>
      <c r="F178" s="1224"/>
      <c r="G178" s="1224"/>
      <c r="H178" s="1211"/>
      <c r="I178" s="1211"/>
      <c r="J178" s="1211"/>
      <c r="K178" s="1225"/>
      <c r="L178" s="1225"/>
      <c r="M178" s="1225"/>
      <c r="N178" s="1211"/>
      <c r="O178" s="1211"/>
      <c r="P178" s="1225"/>
      <c r="Q178" s="1211"/>
      <c r="R178" s="1226"/>
      <c r="S178" s="1227"/>
      <c r="T178" s="1211"/>
      <c r="U178" s="1228"/>
      <c r="V178" s="1211"/>
    </row>
    <row r="179" spans="1:22" hidden="1" outlineLevel="1" x14ac:dyDescent="0.3">
      <c r="A179" s="1209">
        <v>141</v>
      </c>
      <c r="B179" s="1211" t="s">
        <v>1085</v>
      </c>
      <c r="C179" s="1211"/>
      <c r="D179" s="1215" t="s">
        <v>61</v>
      </c>
      <c r="E179" s="1212" t="s">
        <v>293</v>
      </c>
      <c r="F179" s="1224">
        <v>44550</v>
      </c>
      <c r="G179" s="1224"/>
      <c r="H179" s="1211" t="s">
        <v>486</v>
      </c>
      <c r="I179" s="1211"/>
      <c r="J179" s="1211"/>
      <c r="K179" s="1225">
        <v>1900</v>
      </c>
      <c r="L179" s="1225">
        <v>2200</v>
      </c>
      <c r="M179" s="1225">
        <v>2050</v>
      </c>
      <c r="N179" s="1211"/>
      <c r="O179" s="1211" t="s">
        <v>1086</v>
      </c>
      <c r="P179" s="1225">
        <v>2242.7517215999997</v>
      </c>
      <c r="Q179" s="1211"/>
      <c r="R179" s="1226">
        <v>192.75172159999966</v>
      </c>
      <c r="S179" s="1227">
        <v>9.4025230048780314E-2</v>
      </c>
      <c r="T179" s="1211"/>
      <c r="U179" s="1228" t="s">
        <v>487</v>
      </c>
      <c r="V179" s="1211"/>
    </row>
    <row r="180" spans="1:22" hidden="1" outlineLevel="1" x14ac:dyDescent="0.3">
      <c r="A180" s="1209">
        <v>140</v>
      </c>
      <c r="B180" s="1211" t="s">
        <v>1085</v>
      </c>
      <c r="C180" s="1211"/>
      <c r="D180" s="1215" t="s">
        <v>504</v>
      </c>
      <c r="E180" s="1212" t="s">
        <v>483</v>
      </c>
      <c r="F180" s="1224">
        <v>44550</v>
      </c>
      <c r="G180" s="1224"/>
      <c r="H180" s="1211" t="s">
        <v>486</v>
      </c>
      <c r="I180" s="1211"/>
      <c r="J180" s="1211"/>
      <c r="K180" s="1225">
        <v>250</v>
      </c>
      <c r="L180" s="1225">
        <v>350</v>
      </c>
      <c r="M180" s="1225">
        <v>300</v>
      </c>
      <c r="N180" s="1211"/>
      <c r="O180" s="1211" t="s">
        <v>1086</v>
      </c>
      <c r="P180" s="1225">
        <v>351.54445238400001</v>
      </c>
      <c r="Q180" s="1211"/>
      <c r="R180" s="1226">
        <v>51.54445238400001</v>
      </c>
      <c r="S180" s="1227">
        <v>0.17181484128000005</v>
      </c>
      <c r="T180" s="1211"/>
      <c r="U180" s="1228" t="s">
        <v>487</v>
      </c>
      <c r="V180" s="1211"/>
    </row>
    <row r="181" spans="1:22" hidden="1" outlineLevel="1" x14ac:dyDescent="0.3">
      <c r="A181" s="1209">
        <v>139</v>
      </c>
      <c r="B181" s="1211" t="s">
        <v>1085</v>
      </c>
      <c r="C181" s="1211"/>
      <c r="D181" s="1215" t="s">
        <v>494</v>
      </c>
      <c r="E181" s="1212" t="s">
        <v>590</v>
      </c>
      <c r="F181" s="1224">
        <v>44550</v>
      </c>
      <c r="G181" s="1224"/>
      <c r="H181" s="1211" t="s">
        <v>486</v>
      </c>
      <c r="I181" s="1211"/>
      <c r="J181" s="1211"/>
      <c r="K181" s="1225">
        <v>1250</v>
      </c>
      <c r="L181" s="1225">
        <v>1400</v>
      </c>
      <c r="M181" s="1225">
        <v>1325</v>
      </c>
      <c r="N181" s="1211"/>
      <c r="O181" s="1211" t="s">
        <v>1086</v>
      </c>
      <c r="P181" s="1225">
        <v>0</v>
      </c>
      <c r="Q181" s="1211"/>
      <c r="R181" s="1226">
        <v>-1325</v>
      </c>
      <c r="S181" s="1227">
        <v>-1</v>
      </c>
      <c r="T181" s="1211"/>
      <c r="U181" s="1228" t="s">
        <v>487</v>
      </c>
      <c r="V181" s="1211"/>
    </row>
    <row r="182" spans="1:22" hidden="1" outlineLevel="1" x14ac:dyDescent="0.3">
      <c r="A182" s="1209">
        <v>138</v>
      </c>
      <c r="B182" s="1211" t="s">
        <v>1085</v>
      </c>
      <c r="C182" s="1211"/>
      <c r="D182" s="1215" t="s">
        <v>477</v>
      </c>
      <c r="E182" s="1212" t="s">
        <v>586</v>
      </c>
      <c r="F182" s="1224">
        <v>44550</v>
      </c>
      <c r="G182" s="1224"/>
      <c r="H182" s="1211" t="s">
        <v>486</v>
      </c>
      <c r="I182" s="1211"/>
      <c r="J182" s="1211"/>
      <c r="K182" s="1225">
        <v>170</v>
      </c>
      <c r="L182" s="1225">
        <v>180</v>
      </c>
      <c r="M182" s="1225">
        <v>175</v>
      </c>
      <c r="N182" s="1211"/>
      <c r="O182" s="1211" t="s">
        <v>1086</v>
      </c>
      <c r="P182" s="1225">
        <v>0</v>
      </c>
      <c r="Q182" s="1211"/>
      <c r="R182" s="1226">
        <v>-175</v>
      </c>
      <c r="S182" s="1227">
        <v>-1</v>
      </c>
      <c r="T182" s="1211"/>
      <c r="U182" s="1228" t="s">
        <v>487</v>
      </c>
      <c r="V182" s="1211"/>
    </row>
    <row r="183" spans="1:22" hidden="1" outlineLevel="1" x14ac:dyDescent="0.3">
      <c r="A183" s="1209">
        <v>137</v>
      </c>
      <c r="B183" s="1211" t="s">
        <v>1085</v>
      </c>
      <c r="C183" s="1211"/>
      <c r="D183" s="1215" t="s">
        <v>600</v>
      </c>
      <c r="E183" s="1212"/>
      <c r="F183" s="1224">
        <v>44550</v>
      </c>
      <c r="G183" s="1224"/>
      <c r="H183" s="1211" t="s">
        <v>486</v>
      </c>
      <c r="I183" s="1211"/>
      <c r="J183" s="1211"/>
      <c r="K183" s="1231">
        <v>8</v>
      </c>
      <c r="L183" s="1231">
        <v>10</v>
      </c>
      <c r="M183" s="1231">
        <v>9</v>
      </c>
      <c r="N183" s="1211"/>
      <c r="O183" s="1211" t="s">
        <v>1086</v>
      </c>
      <c r="P183" s="1231" t="s">
        <v>1088</v>
      </c>
      <c r="Q183" s="1211"/>
      <c r="R183" s="1232" t="s">
        <v>1088</v>
      </c>
      <c r="S183" s="1227" t="s">
        <v>1088</v>
      </c>
      <c r="T183" s="1211"/>
      <c r="U183" s="1228" t="s">
        <v>487</v>
      </c>
      <c r="V183" s="1211"/>
    </row>
    <row r="184" spans="1:22" hidden="1" outlineLevel="1" x14ac:dyDescent="0.3">
      <c r="A184" s="1209">
        <v>136</v>
      </c>
      <c r="B184" s="1211" t="s">
        <v>1085</v>
      </c>
      <c r="C184" s="1211"/>
      <c r="D184" s="1215" t="s">
        <v>587</v>
      </c>
      <c r="E184" s="1212"/>
      <c r="F184" s="1224">
        <v>44550</v>
      </c>
      <c r="G184" s="1224"/>
      <c r="H184" s="1211" t="s">
        <v>486</v>
      </c>
      <c r="I184" s="1211"/>
      <c r="J184" s="1211"/>
      <c r="K184" s="1231">
        <v>34</v>
      </c>
      <c r="L184" s="1231">
        <v>36</v>
      </c>
      <c r="M184" s="1231">
        <v>35</v>
      </c>
      <c r="N184" s="1211"/>
      <c r="O184" s="1211" t="s">
        <v>1086</v>
      </c>
      <c r="P184" s="1231" t="s">
        <v>1088</v>
      </c>
      <c r="Q184" s="1211"/>
      <c r="R184" s="1232" t="s">
        <v>1088</v>
      </c>
      <c r="S184" s="1227" t="s">
        <v>1088</v>
      </c>
      <c r="T184" s="1211"/>
      <c r="U184" s="1228" t="s">
        <v>487</v>
      </c>
      <c r="V184" s="1211"/>
    </row>
    <row r="185" spans="1:22" hidden="1" outlineLevel="1" x14ac:dyDescent="0.3">
      <c r="A185" s="1209">
        <v>135</v>
      </c>
      <c r="B185" s="1211" t="s">
        <v>1085</v>
      </c>
      <c r="C185" s="1211"/>
      <c r="D185" s="1215" t="s">
        <v>465</v>
      </c>
      <c r="E185" s="1212" t="s">
        <v>589</v>
      </c>
      <c r="F185" s="1224">
        <v>44550</v>
      </c>
      <c r="G185" s="1224"/>
      <c r="H185" s="1211" t="s">
        <v>486</v>
      </c>
      <c r="I185" s="1211"/>
      <c r="J185" s="1211"/>
      <c r="K185" s="1214">
        <v>0</v>
      </c>
      <c r="L185" s="1214">
        <v>0.02</v>
      </c>
      <c r="M185" s="1214">
        <v>0.01</v>
      </c>
      <c r="N185" s="1211"/>
      <c r="O185" s="1211" t="s">
        <v>1086</v>
      </c>
      <c r="P185" s="1214" t="s">
        <v>1088</v>
      </c>
      <c r="Q185" s="1211"/>
      <c r="R185" s="1227" t="s">
        <v>1088</v>
      </c>
      <c r="S185" s="1227" t="s">
        <v>1088</v>
      </c>
      <c r="T185" s="1211"/>
      <c r="U185" s="1228" t="s">
        <v>487</v>
      </c>
      <c r="V185" s="1211"/>
    </row>
    <row r="186" spans="1:22" hidden="1" outlineLevel="1" x14ac:dyDescent="0.3">
      <c r="A186" s="1209">
        <v>134</v>
      </c>
      <c r="B186" s="1211" t="s">
        <v>1085</v>
      </c>
      <c r="C186" s="1211"/>
      <c r="D186" s="1215" t="s">
        <v>495</v>
      </c>
      <c r="E186" s="1212" t="s">
        <v>501</v>
      </c>
      <c r="F186" s="1224">
        <v>44550</v>
      </c>
      <c r="G186" s="1224"/>
      <c r="H186" s="1211" t="s">
        <v>486</v>
      </c>
      <c r="I186" s="1211"/>
      <c r="J186" s="1211"/>
      <c r="K186" s="1225">
        <v>650</v>
      </c>
      <c r="L186" s="1225">
        <v>800</v>
      </c>
      <c r="M186" s="1225">
        <v>725</v>
      </c>
      <c r="N186" s="1211"/>
      <c r="O186" s="1211" t="s">
        <v>1086</v>
      </c>
      <c r="P186" s="1225">
        <v>0</v>
      </c>
      <c r="Q186" s="1211"/>
      <c r="R186" s="1226">
        <v>-725</v>
      </c>
      <c r="S186" s="1227">
        <v>-1</v>
      </c>
      <c r="T186" s="1211"/>
      <c r="U186" s="1228" t="s">
        <v>487</v>
      </c>
      <c r="V186" s="1211"/>
    </row>
    <row r="187" spans="1:22" hidden="1" outlineLevel="1" x14ac:dyDescent="0.3">
      <c r="A187" s="1209">
        <v>133</v>
      </c>
      <c r="B187" s="1211" t="s">
        <v>1085</v>
      </c>
      <c r="C187" s="1211"/>
      <c r="D187" s="1215" t="s">
        <v>462</v>
      </c>
      <c r="E187" s="1212" t="s">
        <v>591</v>
      </c>
      <c r="F187" s="1224">
        <v>44550</v>
      </c>
      <c r="G187" s="1224"/>
      <c r="H187" s="1211" t="s">
        <v>486</v>
      </c>
      <c r="I187" s="1211"/>
      <c r="J187" s="1211"/>
      <c r="K187" s="1225">
        <v>140</v>
      </c>
      <c r="L187" s="1225">
        <v>150</v>
      </c>
      <c r="M187" s="1225">
        <v>145</v>
      </c>
      <c r="N187" s="1211"/>
      <c r="O187" s="1211" t="s">
        <v>1086</v>
      </c>
      <c r="P187" s="1225">
        <v>0</v>
      </c>
      <c r="Q187" s="1211"/>
      <c r="R187" s="1226">
        <v>-145</v>
      </c>
      <c r="S187" s="1227">
        <v>-1</v>
      </c>
      <c r="T187" s="1211"/>
      <c r="U187" s="1228" t="s">
        <v>487</v>
      </c>
      <c r="V187" s="1211"/>
    </row>
    <row r="188" spans="1:22" hidden="1" outlineLevel="1" x14ac:dyDescent="0.3">
      <c r="A188" s="1209">
        <v>132</v>
      </c>
      <c r="B188" s="1211" t="s">
        <v>1085</v>
      </c>
      <c r="C188" s="1211"/>
      <c r="D188" s="1215" t="s">
        <v>478</v>
      </c>
      <c r="E188" s="1212" t="s">
        <v>592</v>
      </c>
      <c r="F188" s="1224">
        <v>44550</v>
      </c>
      <c r="G188" s="1224"/>
      <c r="H188" s="1211" t="s">
        <v>486</v>
      </c>
      <c r="I188" s="1211"/>
      <c r="J188" s="1211"/>
      <c r="K188" s="1225">
        <v>80</v>
      </c>
      <c r="L188" s="1225">
        <v>85</v>
      </c>
      <c r="M188" s="1225">
        <v>82.5</v>
      </c>
      <c r="N188" s="1211"/>
      <c r="O188" s="1211" t="s">
        <v>1086</v>
      </c>
      <c r="P188" s="1225">
        <v>0</v>
      </c>
      <c r="Q188" s="1211"/>
      <c r="R188" s="1226">
        <v>-82.5</v>
      </c>
      <c r="S188" s="1227">
        <v>-1</v>
      </c>
      <c r="T188" s="1211"/>
      <c r="U188" s="1228" t="s">
        <v>487</v>
      </c>
      <c r="V188" s="1211"/>
    </row>
    <row r="189" spans="1:22" hidden="1" outlineLevel="1" x14ac:dyDescent="0.3">
      <c r="A189" s="1209">
        <v>131</v>
      </c>
      <c r="B189" s="1211" t="s">
        <v>1085</v>
      </c>
      <c r="C189" s="1211"/>
      <c r="D189" s="1215" t="s">
        <v>593</v>
      </c>
      <c r="E189" s="1212"/>
      <c r="F189" s="1224">
        <v>44550</v>
      </c>
      <c r="G189" s="1224"/>
      <c r="H189" s="1211" t="s">
        <v>486</v>
      </c>
      <c r="I189" s="1211"/>
      <c r="J189" s="1211"/>
      <c r="K189" s="1231">
        <v>15</v>
      </c>
      <c r="L189" s="1231">
        <v>20</v>
      </c>
      <c r="M189" s="1231">
        <v>17.5</v>
      </c>
      <c r="N189" s="1211"/>
      <c r="O189" s="1211" t="s">
        <v>1086</v>
      </c>
      <c r="P189" s="1231" t="s">
        <v>1088</v>
      </c>
      <c r="Q189" s="1211"/>
      <c r="R189" s="1232" t="s">
        <v>1088</v>
      </c>
      <c r="S189" s="1227" t="s">
        <v>1088</v>
      </c>
      <c r="T189" s="1211"/>
      <c r="U189" s="1228" t="s">
        <v>487</v>
      </c>
      <c r="V189" s="1211"/>
    </row>
    <row r="190" spans="1:22" hidden="1" outlineLevel="1" x14ac:dyDescent="0.3">
      <c r="A190" s="1209">
        <v>130</v>
      </c>
      <c r="B190" s="1211" t="s">
        <v>1085</v>
      </c>
      <c r="C190" s="1211"/>
      <c r="D190" s="1215" t="s">
        <v>594</v>
      </c>
      <c r="E190" s="1212"/>
      <c r="F190" s="1224">
        <v>44550</v>
      </c>
      <c r="G190" s="1224"/>
      <c r="H190" s="1211" t="s">
        <v>486</v>
      </c>
      <c r="I190" s="1211"/>
      <c r="J190" s="1211"/>
      <c r="K190" s="1231">
        <v>30</v>
      </c>
      <c r="L190" s="1231">
        <v>36</v>
      </c>
      <c r="M190" s="1231">
        <v>33</v>
      </c>
      <c r="N190" s="1211"/>
      <c r="O190" s="1211" t="s">
        <v>1086</v>
      </c>
      <c r="P190" s="1231" t="s">
        <v>1088</v>
      </c>
      <c r="Q190" s="1211"/>
      <c r="R190" s="1232" t="s">
        <v>1088</v>
      </c>
      <c r="S190" s="1227" t="s">
        <v>1088</v>
      </c>
      <c r="T190" s="1211"/>
      <c r="U190" s="1228" t="s">
        <v>487</v>
      </c>
      <c r="V190" s="1211"/>
    </row>
    <row r="191" spans="1:22" hidden="1" outlineLevel="1" x14ac:dyDescent="0.3">
      <c r="A191" s="1209">
        <v>129</v>
      </c>
      <c r="B191" s="1211" t="s">
        <v>1085</v>
      </c>
      <c r="C191" s="1211"/>
      <c r="D191" s="1215" t="s">
        <v>466</v>
      </c>
      <c r="E191" s="1212" t="s">
        <v>595</v>
      </c>
      <c r="F191" s="1224">
        <v>44550</v>
      </c>
      <c r="G191" s="1224"/>
      <c r="H191" s="1211" t="s">
        <v>486</v>
      </c>
      <c r="I191" s="1211"/>
      <c r="J191" s="1211"/>
      <c r="K191" s="1214">
        <v>0</v>
      </c>
      <c r="L191" s="1214">
        <v>0.02</v>
      </c>
      <c r="M191" s="1214">
        <v>0.01</v>
      </c>
      <c r="N191" s="1211"/>
      <c r="O191" s="1211" t="s">
        <v>1086</v>
      </c>
      <c r="P191" s="1214" t="s">
        <v>1088</v>
      </c>
      <c r="Q191" s="1211"/>
      <c r="R191" s="1227" t="s">
        <v>1088</v>
      </c>
      <c r="S191" s="1227" t="s">
        <v>1088</v>
      </c>
      <c r="T191" s="1211"/>
      <c r="U191" s="1228" t="s">
        <v>487</v>
      </c>
      <c r="V191" s="1211"/>
    </row>
    <row r="192" spans="1:22" hidden="1" outlineLevel="1" x14ac:dyDescent="0.3">
      <c r="A192" s="1209">
        <v>128</v>
      </c>
      <c r="B192" s="1211"/>
      <c r="C192" s="1211"/>
      <c r="D192" s="1215"/>
      <c r="E192" s="1212"/>
      <c r="F192" s="1224"/>
      <c r="G192" s="1224"/>
      <c r="H192" s="1211"/>
      <c r="I192" s="1211"/>
      <c r="J192" s="1211"/>
      <c r="K192" s="1225"/>
      <c r="L192" s="1225"/>
      <c r="M192" s="1225"/>
      <c r="N192" s="1211"/>
      <c r="O192" s="1211"/>
      <c r="P192" s="1225"/>
      <c r="Q192" s="1211"/>
      <c r="R192" s="1226"/>
      <c r="S192" s="1227"/>
      <c r="T192" s="1211"/>
      <c r="U192" s="1228"/>
      <c r="V192" s="1211"/>
    </row>
    <row r="193" spans="1:22" hidden="1" outlineLevel="1" collapsed="1" x14ac:dyDescent="0.3">
      <c r="A193" s="1209">
        <v>127</v>
      </c>
      <c r="B193" s="1211" t="s">
        <v>1087</v>
      </c>
      <c r="C193" s="1211"/>
      <c r="D193" s="1215" t="s">
        <v>61</v>
      </c>
      <c r="E193" s="1212" t="s">
        <v>293</v>
      </c>
      <c r="F193" s="1224">
        <v>44550</v>
      </c>
      <c r="G193" s="1224"/>
      <c r="H193" s="1211" t="s">
        <v>584</v>
      </c>
      <c r="I193" s="1211"/>
      <c r="J193" s="1211"/>
      <c r="K193" s="1225">
        <v>1560</v>
      </c>
      <c r="L193" s="1225">
        <v>1600</v>
      </c>
      <c r="M193" s="1225">
        <v>1580</v>
      </c>
      <c r="N193" s="1211"/>
      <c r="O193" s="1211" t="s">
        <v>1054</v>
      </c>
      <c r="P193" s="1225">
        <v>1686.6659999999999</v>
      </c>
      <c r="Q193" s="1211"/>
      <c r="R193" s="1226">
        <v>106.66599999999994</v>
      </c>
      <c r="S193" s="1227">
        <v>6.7510126582278437E-2</v>
      </c>
      <c r="T193" s="1211"/>
      <c r="U193" s="1228" t="s">
        <v>487</v>
      </c>
      <c r="V193" s="1211"/>
    </row>
    <row r="194" spans="1:22" hidden="1" outlineLevel="1" x14ac:dyDescent="0.3">
      <c r="A194" s="1209">
        <v>126</v>
      </c>
      <c r="B194" s="1211" t="s">
        <v>1087</v>
      </c>
      <c r="C194" s="1211"/>
      <c r="D194" s="1215" t="s">
        <v>67</v>
      </c>
      <c r="E194" s="1212" t="s">
        <v>298</v>
      </c>
      <c r="F194" s="1224">
        <v>44550</v>
      </c>
      <c r="G194" s="1224"/>
      <c r="H194" s="1211" t="s">
        <v>584</v>
      </c>
      <c r="I194" s="1211"/>
      <c r="J194" s="1211"/>
      <c r="K194" s="1225">
        <v>123</v>
      </c>
      <c r="L194" s="1225">
        <v>136</v>
      </c>
      <c r="M194" s="1225">
        <v>129.5</v>
      </c>
      <c r="N194" s="1211"/>
      <c r="O194" s="1211" t="s">
        <v>1054</v>
      </c>
      <c r="P194" s="1225">
        <v>156.62799999999993</v>
      </c>
      <c r="Q194" s="1211"/>
      <c r="R194" s="1226">
        <v>27.127999999999929</v>
      </c>
      <c r="S194" s="1227">
        <v>0.20948262548262495</v>
      </c>
      <c r="T194" s="1211"/>
      <c r="U194" s="1228" t="s">
        <v>487</v>
      </c>
      <c r="V194" s="1211"/>
    </row>
    <row r="195" spans="1:22" hidden="1" outlineLevel="1" x14ac:dyDescent="0.3">
      <c r="A195" s="1209">
        <v>125</v>
      </c>
      <c r="B195" s="1211" t="s">
        <v>1087</v>
      </c>
      <c r="C195" s="1211"/>
      <c r="D195" s="1215" t="s">
        <v>66</v>
      </c>
      <c r="E195" s="1212" t="s">
        <v>415</v>
      </c>
      <c r="F195" s="1224">
        <v>44550</v>
      </c>
      <c r="G195" s="1224"/>
      <c r="H195" s="1211" t="s">
        <v>584</v>
      </c>
      <c r="I195" s="1211"/>
      <c r="J195" s="1211"/>
      <c r="K195" s="1225">
        <v>29</v>
      </c>
      <c r="L195" s="1225">
        <v>31</v>
      </c>
      <c r="M195" s="1225">
        <v>30</v>
      </c>
      <c r="N195" s="1211"/>
      <c r="O195" s="1211" t="s">
        <v>1054</v>
      </c>
      <c r="P195" s="1225">
        <v>18.57</v>
      </c>
      <c r="Q195" s="1211"/>
      <c r="R195" s="1226">
        <v>-11.43</v>
      </c>
      <c r="S195" s="1227">
        <v>-0.38100000000000001</v>
      </c>
      <c r="T195" s="1211"/>
      <c r="U195" s="1228" t="s">
        <v>487</v>
      </c>
      <c r="V195" s="1211"/>
    </row>
    <row r="196" spans="1:22" hidden="1" outlineLevel="1" x14ac:dyDescent="0.3">
      <c r="A196" s="1209">
        <v>124</v>
      </c>
      <c r="B196" s="1211" t="s">
        <v>1087</v>
      </c>
      <c r="C196" s="1211"/>
      <c r="D196" s="1215" t="s">
        <v>533</v>
      </c>
      <c r="E196" s="1212" t="s">
        <v>543</v>
      </c>
      <c r="F196" s="1224">
        <v>44550</v>
      </c>
      <c r="G196" s="1224"/>
      <c r="H196" s="1211" t="s">
        <v>584</v>
      </c>
      <c r="I196" s="1211"/>
      <c r="J196" s="1211"/>
      <c r="K196" s="1225">
        <v>13</v>
      </c>
      <c r="L196" s="1225">
        <v>13</v>
      </c>
      <c r="M196" s="1225">
        <v>13</v>
      </c>
      <c r="N196" s="1211"/>
      <c r="O196" s="1211" t="s">
        <v>1054</v>
      </c>
      <c r="P196" s="1225">
        <v>0</v>
      </c>
      <c r="Q196" s="1211"/>
      <c r="R196" s="1226">
        <v>-13</v>
      </c>
      <c r="S196" s="1227">
        <v>-1</v>
      </c>
      <c r="T196" s="1211"/>
      <c r="U196" s="1228" t="s">
        <v>487</v>
      </c>
      <c r="V196" s="1211"/>
    </row>
    <row r="197" spans="1:22" hidden="1" outlineLevel="1" x14ac:dyDescent="0.3">
      <c r="A197" s="1209">
        <v>123</v>
      </c>
      <c r="B197" s="1211" t="s">
        <v>1087</v>
      </c>
      <c r="C197" s="1211"/>
      <c r="D197" s="1215" t="s">
        <v>504</v>
      </c>
      <c r="E197" s="1212" t="s">
        <v>483</v>
      </c>
      <c r="F197" s="1224">
        <v>44550</v>
      </c>
      <c r="G197" s="1224"/>
      <c r="H197" s="1211" t="s">
        <v>584</v>
      </c>
      <c r="I197" s="1211"/>
      <c r="J197" s="1211"/>
      <c r="K197" s="1225">
        <v>165</v>
      </c>
      <c r="L197" s="1225">
        <v>180</v>
      </c>
      <c r="M197" s="1225">
        <v>172.5</v>
      </c>
      <c r="N197" s="1211"/>
      <c r="O197" s="1211" t="s">
        <v>1054</v>
      </c>
      <c r="P197" s="1225">
        <v>188.16599999999994</v>
      </c>
      <c r="Q197" s="1211"/>
      <c r="R197" s="1226">
        <v>15.66599999999994</v>
      </c>
      <c r="S197" s="1227">
        <v>9.0817391304347475E-2</v>
      </c>
      <c r="T197" s="1211"/>
      <c r="U197" s="1228" t="s">
        <v>487</v>
      </c>
      <c r="V197" s="1211"/>
    </row>
    <row r="198" spans="1:22" hidden="1" outlineLevel="1" x14ac:dyDescent="0.3">
      <c r="A198" s="1209">
        <v>122</v>
      </c>
      <c r="B198" s="1211" t="s">
        <v>1087</v>
      </c>
      <c r="C198" s="1211"/>
      <c r="D198" s="1215" t="s">
        <v>463</v>
      </c>
      <c r="E198" s="1212" t="s">
        <v>588</v>
      </c>
      <c r="F198" s="1224">
        <v>44550</v>
      </c>
      <c r="G198" s="1224"/>
      <c r="H198" s="1211" t="s">
        <v>584</v>
      </c>
      <c r="I198" s="1211"/>
      <c r="J198" s="1211"/>
      <c r="K198" s="1233">
        <v>8000</v>
      </c>
      <c r="L198" s="1233">
        <v>8000</v>
      </c>
      <c r="M198" s="1233">
        <v>8000</v>
      </c>
      <c r="N198" s="1211"/>
      <c r="O198" s="1211" t="s">
        <v>1054</v>
      </c>
      <c r="P198" s="1233">
        <v>0</v>
      </c>
      <c r="Q198" s="1211"/>
      <c r="R198" s="1234">
        <v>-8000</v>
      </c>
      <c r="S198" s="1227">
        <v>-1</v>
      </c>
      <c r="T198" s="1211"/>
      <c r="U198" s="1228" t="s">
        <v>487</v>
      </c>
      <c r="V198" s="1211"/>
    </row>
    <row r="199" spans="1:22" hidden="1" outlineLevel="1" x14ac:dyDescent="0.3">
      <c r="A199" s="1209">
        <v>121</v>
      </c>
      <c r="B199" s="1211" t="s">
        <v>1087</v>
      </c>
      <c r="C199" s="1211"/>
      <c r="D199" s="1215" t="s">
        <v>464</v>
      </c>
      <c r="E199" s="1212" t="s">
        <v>596</v>
      </c>
      <c r="F199" s="1224">
        <v>44550</v>
      </c>
      <c r="G199" s="1224"/>
      <c r="H199" s="1211" t="s">
        <v>584</v>
      </c>
      <c r="I199" s="1211"/>
      <c r="J199" s="1211"/>
      <c r="K199" s="1233">
        <v>7600</v>
      </c>
      <c r="L199" s="1233">
        <v>7600</v>
      </c>
      <c r="M199" s="1233">
        <v>7600</v>
      </c>
      <c r="N199" s="1211"/>
      <c r="O199" s="1211" t="s">
        <v>1054</v>
      </c>
      <c r="P199" s="1233">
        <v>0</v>
      </c>
      <c r="Q199" s="1211"/>
      <c r="R199" s="1234">
        <v>-7600</v>
      </c>
      <c r="S199" s="1227">
        <v>-1</v>
      </c>
      <c r="T199" s="1211"/>
      <c r="U199" s="1228" t="s">
        <v>487</v>
      </c>
      <c r="V199" s="1211"/>
    </row>
    <row r="200" spans="1:22" hidden="1" outlineLevel="1" x14ac:dyDescent="0.3">
      <c r="A200" s="1209">
        <v>120</v>
      </c>
      <c r="B200" s="1211"/>
      <c r="C200" s="1211"/>
      <c r="D200" s="1215"/>
      <c r="E200" s="1212"/>
      <c r="F200" s="1224"/>
      <c r="G200" s="1224"/>
      <c r="H200" s="1211"/>
      <c r="I200" s="1211"/>
      <c r="J200" s="1211"/>
      <c r="K200" s="1225"/>
      <c r="L200" s="1225"/>
      <c r="M200" s="1225"/>
      <c r="N200" s="1211"/>
      <c r="O200" s="1211"/>
      <c r="P200" s="1225"/>
      <c r="Q200" s="1211"/>
      <c r="R200" s="1226"/>
      <c r="S200" s="1227"/>
      <c r="T200" s="1211"/>
      <c r="U200" s="1228"/>
      <c r="V200" s="1211"/>
    </row>
    <row r="201" spans="1:22" hidden="1" outlineLevel="1" x14ac:dyDescent="0.3">
      <c r="A201" s="1209">
        <v>119</v>
      </c>
      <c r="B201" s="1211" t="s">
        <v>1087</v>
      </c>
      <c r="C201" s="1211"/>
      <c r="D201" s="1215" t="s">
        <v>67</v>
      </c>
      <c r="E201" s="1212" t="s">
        <v>298</v>
      </c>
      <c r="F201" s="1224">
        <v>44550</v>
      </c>
      <c r="G201" s="1224"/>
      <c r="H201" s="1211" t="s">
        <v>585</v>
      </c>
      <c r="I201" s="1211"/>
      <c r="J201" s="1211"/>
      <c r="K201" s="1225">
        <v>44.3</v>
      </c>
      <c r="L201" s="1225">
        <v>48.8</v>
      </c>
      <c r="M201" s="1225">
        <v>46.55</v>
      </c>
      <c r="N201" s="1211"/>
      <c r="O201" s="1211" t="s">
        <v>1054</v>
      </c>
      <c r="P201" s="1225">
        <v>56.91500000000002</v>
      </c>
      <c r="Q201" s="1211"/>
      <c r="R201" s="1226">
        <v>10.365000000000023</v>
      </c>
      <c r="S201" s="1227">
        <v>0.222663802363051</v>
      </c>
      <c r="T201" s="1211"/>
      <c r="U201" s="1228" t="s">
        <v>487</v>
      </c>
      <c r="V201" s="1211"/>
    </row>
    <row r="202" spans="1:22" hidden="1" outlineLevel="1" x14ac:dyDescent="0.3">
      <c r="A202" s="1209">
        <v>118</v>
      </c>
      <c r="B202" s="1211" t="s">
        <v>1087</v>
      </c>
      <c r="C202" s="1211"/>
      <c r="D202" s="1215" t="s">
        <v>66</v>
      </c>
      <c r="E202" s="1212" t="s">
        <v>415</v>
      </c>
      <c r="F202" s="1224">
        <v>44550</v>
      </c>
      <c r="G202" s="1224"/>
      <c r="H202" s="1211" t="s">
        <v>585</v>
      </c>
      <c r="I202" s="1211"/>
      <c r="J202" s="1211"/>
      <c r="K202" s="1225">
        <v>7.5</v>
      </c>
      <c r="L202" s="1225">
        <v>8</v>
      </c>
      <c r="M202" s="1225">
        <v>7.75</v>
      </c>
      <c r="N202" s="1211"/>
      <c r="O202" s="1211" t="s">
        <v>1054</v>
      </c>
      <c r="P202" s="1225">
        <v>0.60200000000000031</v>
      </c>
      <c r="Q202" s="1211"/>
      <c r="R202" s="1226">
        <v>-7.1479999999999997</v>
      </c>
      <c r="S202" s="1227">
        <v>-0.92232258064516126</v>
      </c>
      <c r="T202" s="1211"/>
      <c r="U202" s="1228" t="s">
        <v>487</v>
      </c>
      <c r="V202" s="1211"/>
    </row>
    <row r="203" spans="1:22" hidden="1" outlineLevel="1" x14ac:dyDescent="0.3">
      <c r="A203" s="1209">
        <v>117</v>
      </c>
      <c r="B203" s="1211" t="s">
        <v>1087</v>
      </c>
      <c r="C203" s="1211"/>
      <c r="D203" s="1215" t="s">
        <v>533</v>
      </c>
      <c r="E203" s="1212" t="s">
        <v>543</v>
      </c>
      <c r="F203" s="1224">
        <v>44550</v>
      </c>
      <c r="G203" s="1224"/>
      <c r="H203" s="1211" t="s">
        <v>585</v>
      </c>
      <c r="I203" s="1211"/>
      <c r="J203" s="1211"/>
      <c r="K203" s="1225">
        <v>3.2</v>
      </c>
      <c r="L203" s="1225">
        <v>3.2</v>
      </c>
      <c r="M203" s="1225">
        <v>3.2</v>
      </c>
      <c r="N203" s="1211"/>
      <c r="O203" s="1211" t="s">
        <v>1054</v>
      </c>
      <c r="P203" s="1225">
        <v>3.214</v>
      </c>
      <c r="Q203" s="1211"/>
      <c r="R203" s="1226">
        <v>1.399999999999979E-2</v>
      </c>
      <c r="S203" s="1227">
        <v>4.3749999999999345E-3</v>
      </c>
      <c r="T203" s="1211"/>
      <c r="U203" s="1228" t="s">
        <v>487</v>
      </c>
      <c r="V203" s="1211"/>
    </row>
    <row r="204" spans="1:22" hidden="1" outlineLevel="1" x14ac:dyDescent="0.3">
      <c r="A204" s="1209">
        <v>116</v>
      </c>
      <c r="B204" s="1211" t="s">
        <v>1087</v>
      </c>
      <c r="C204" s="1211"/>
      <c r="D204" s="1215" t="s">
        <v>504</v>
      </c>
      <c r="E204" s="1212" t="s">
        <v>483</v>
      </c>
      <c r="F204" s="1224">
        <v>44550</v>
      </c>
      <c r="G204" s="1224"/>
      <c r="H204" s="1211" t="s">
        <v>585</v>
      </c>
      <c r="I204" s="1211"/>
      <c r="J204" s="1211"/>
      <c r="K204" s="1225">
        <v>55</v>
      </c>
      <c r="L204" s="1225">
        <v>60</v>
      </c>
      <c r="M204" s="1225">
        <v>57.5</v>
      </c>
      <c r="N204" s="1211"/>
      <c r="O204" s="1211" t="s">
        <v>1054</v>
      </c>
      <c r="P204" s="1225">
        <v>60.731000000000023</v>
      </c>
      <c r="Q204" s="1211"/>
      <c r="R204" s="1226">
        <v>3.231000000000023</v>
      </c>
      <c r="S204" s="1227">
        <v>5.6191304347826487E-2</v>
      </c>
      <c r="T204" s="1211"/>
      <c r="U204" s="1228" t="s">
        <v>487</v>
      </c>
      <c r="V204" s="1211"/>
    </row>
    <row r="205" spans="1:22" hidden="1" outlineLevel="1" x14ac:dyDescent="0.3">
      <c r="A205" s="1209">
        <v>115</v>
      </c>
      <c r="B205" s="1211"/>
      <c r="C205" s="1211"/>
      <c r="D205" s="1215"/>
      <c r="E205" s="1212"/>
      <c r="F205" s="1224"/>
      <c r="G205" s="1224"/>
      <c r="H205" s="1211"/>
      <c r="I205" s="1211"/>
      <c r="J205" s="1211"/>
      <c r="K205" s="1225"/>
      <c r="L205" s="1225"/>
      <c r="M205" s="1225"/>
      <c r="N205" s="1211"/>
      <c r="O205" s="1211"/>
      <c r="P205" s="1225"/>
      <c r="Q205" s="1211"/>
      <c r="R205" s="1226"/>
      <c r="S205" s="1227"/>
      <c r="T205" s="1211"/>
      <c r="U205" s="1228"/>
      <c r="V205" s="1211"/>
    </row>
    <row r="206" spans="1:22" collapsed="1" x14ac:dyDescent="0.3">
      <c r="A206" s="1209">
        <v>114</v>
      </c>
      <c r="B206" s="1211" t="s">
        <v>1087</v>
      </c>
      <c r="C206" s="1211"/>
      <c r="D206" s="1215" t="s">
        <v>61</v>
      </c>
      <c r="E206" s="1212" t="s">
        <v>293</v>
      </c>
      <c r="F206" s="1224">
        <v>44488</v>
      </c>
      <c r="G206" s="1224" t="s">
        <v>1067</v>
      </c>
      <c r="H206" s="1211" t="s">
        <v>584</v>
      </c>
      <c r="I206" s="1211"/>
      <c r="J206" s="1211"/>
      <c r="K206" s="1225">
        <v>1560</v>
      </c>
      <c r="L206" s="1225">
        <v>1600</v>
      </c>
      <c r="M206" s="1225">
        <v>1580</v>
      </c>
      <c r="N206" s="1211"/>
      <c r="O206" s="1211" t="s">
        <v>1054</v>
      </c>
      <c r="P206" s="1225">
        <v>1686.6659999999999</v>
      </c>
      <c r="Q206" s="1211"/>
      <c r="R206" s="1226">
        <v>106.66599999999994</v>
      </c>
      <c r="S206" s="1227">
        <v>6.7510126582278437E-2</v>
      </c>
      <c r="T206" s="1211"/>
      <c r="U206" s="1228" t="s">
        <v>295</v>
      </c>
      <c r="V206" s="1211"/>
    </row>
    <row r="207" spans="1:22" x14ac:dyDescent="0.3">
      <c r="A207" s="1209">
        <v>113</v>
      </c>
      <c r="B207" s="1211" t="s">
        <v>1087</v>
      </c>
      <c r="C207" s="1211"/>
      <c r="D207" s="1215" t="s">
        <v>94</v>
      </c>
      <c r="E207" s="1212" t="s">
        <v>296</v>
      </c>
      <c r="F207" s="1224">
        <v>44488</v>
      </c>
      <c r="G207" s="1224" t="s">
        <v>1067</v>
      </c>
      <c r="H207" s="1211" t="s">
        <v>584</v>
      </c>
      <c r="I207" s="1211"/>
      <c r="J207" s="1211"/>
      <c r="K207" s="1225">
        <v>-75</v>
      </c>
      <c r="L207" s="1225">
        <v>-65</v>
      </c>
      <c r="M207" s="1225">
        <v>-70</v>
      </c>
      <c r="N207" s="1211"/>
      <c r="O207" s="1211" t="s">
        <v>1054</v>
      </c>
      <c r="P207" s="1225">
        <v>-67.626000000000005</v>
      </c>
      <c r="Q207" s="1211"/>
      <c r="R207" s="1226">
        <v>2.3739999999999952</v>
      </c>
      <c r="S207" s="1227">
        <v>3.3914285714285647E-2</v>
      </c>
      <c r="T207" s="1211"/>
      <c r="U207" s="1228" t="s">
        <v>295</v>
      </c>
      <c r="V207" s="1211"/>
    </row>
    <row r="208" spans="1:22" x14ac:dyDescent="0.3">
      <c r="A208" s="1209">
        <v>112</v>
      </c>
      <c r="B208" s="1211" t="s">
        <v>1087</v>
      </c>
      <c r="C208" s="1211"/>
      <c r="D208" s="1215" t="s">
        <v>391</v>
      </c>
      <c r="E208" s="1212"/>
      <c r="F208" s="1224">
        <v>44488</v>
      </c>
      <c r="G208" s="1224" t="s">
        <v>1067</v>
      </c>
      <c r="H208" s="1211" t="s">
        <v>584</v>
      </c>
      <c r="I208" s="1211"/>
      <c r="J208" s="1211"/>
      <c r="K208" s="1214">
        <v>0.28000000000000003</v>
      </c>
      <c r="L208" s="1214">
        <v>0.3</v>
      </c>
      <c r="M208" s="1214">
        <v>0.29000000000000004</v>
      </c>
      <c r="N208" s="1211"/>
      <c r="O208" s="1211" t="s">
        <v>1054</v>
      </c>
      <c r="P208" s="1214">
        <v>0.27257027074805895</v>
      </c>
      <c r="Q208" s="1211"/>
      <c r="R208" s="1227">
        <v>-1.7429729251941084E-2</v>
      </c>
      <c r="S208" s="1227">
        <v>-6.0102514661865801E-2</v>
      </c>
      <c r="T208" s="1211"/>
      <c r="U208" s="1228" t="s">
        <v>295</v>
      </c>
      <c r="V208" s="1211"/>
    </row>
    <row r="209" spans="1:22" x14ac:dyDescent="0.3">
      <c r="A209" s="1209">
        <v>111</v>
      </c>
      <c r="B209" s="1211" t="s">
        <v>1087</v>
      </c>
      <c r="C209" s="1211"/>
      <c r="D209" s="1215" t="s">
        <v>67</v>
      </c>
      <c r="E209" s="1212" t="s">
        <v>298</v>
      </c>
      <c r="F209" s="1224">
        <v>44488</v>
      </c>
      <c r="G209" s="1224" t="s">
        <v>1067</v>
      </c>
      <c r="H209" s="1211" t="s">
        <v>584</v>
      </c>
      <c r="I209" s="1211"/>
      <c r="J209" s="1211"/>
      <c r="K209" s="1225">
        <v>123</v>
      </c>
      <c r="L209" s="1225">
        <v>136</v>
      </c>
      <c r="M209" s="1225">
        <v>129.5</v>
      </c>
      <c r="N209" s="1211"/>
      <c r="O209" s="1211" t="s">
        <v>1054</v>
      </c>
      <c r="P209" s="1225">
        <v>156.62799999999993</v>
      </c>
      <c r="Q209" s="1211"/>
      <c r="R209" s="1226">
        <v>27.127999999999929</v>
      </c>
      <c r="S209" s="1227">
        <v>0.20948262548262495</v>
      </c>
      <c r="T209" s="1211"/>
      <c r="U209" s="1228" t="s">
        <v>295</v>
      </c>
      <c r="V209" s="1211"/>
    </row>
    <row r="210" spans="1:22" x14ac:dyDescent="0.3">
      <c r="A210" s="1209">
        <v>110</v>
      </c>
      <c r="B210" s="1211" t="s">
        <v>1087</v>
      </c>
      <c r="C210" s="1211"/>
      <c r="D210" s="1215" t="s">
        <v>66</v>
      </c>
      <c r="E210" s="1212" t="s">
        <v>415</v>
      </c>
      <c r="F210" s="1224">
        <v>44488</v>
      </c>
      <c r="G210" s="1224" t="s">
        <v>1067</v>
      </c>
      <c r="H210" s="1211" t="s">
        <v>584</v>
      </c>
      <c r="I210" s="1211"/>
      <c r="J210" s="1211"/>
      <c r="K210" s="1225">
        <v>29</v>
      </c>
      <c r="L210" s="1225">
        <v>31</v>
      </c>
      <c r="M210" s="1225">
        <v>30</v>
      </c>
      <c r="N210" s="1211"/>
      <c r="O210" s="1211" t="s">
        <v>1054</v>
      </c>
      <c r="P210" s="1225">
        <v>18.57</v>
      </c>
      <c r="Q210" s="1211"/>
      <c r="R210" s="1226">
        <v>-11.43</v>
      </c>
      <c r="S210" s="1227">
        <v>-0.38100000000000001</v>
      </c>
      <c r="T210" s="1211"/>
      <c r="U210" s="1228" t="s">
        <v>295</v>
      </c>
      <c r="V210" s="1211"/>
    </row>
    <row r="211" spans="1:22" hidden="1" outlineLevel="1" x14ac:dyDescent="0.3">
      <c r="A211" s="1209">
        <v>109</v>
      </c>
      <c r="B211" s="1211" t="s">
        <v>1087</v>
      </c>
      <c r="C211" s="1211"/>
      <c r="D211" s="1215" t="s">
        <v>533</v>
      </c>
      <c r="E211" s="1212" t="s">
        <v>543</v>
      </c>
      <c r="F211" s="1224">
        <v>44488</v>
      </c>
      <c r="G211" s="1224" t="s">
        <v>1067</v>
      </c>
      <c r="H211" s="1211" t="s">
        <v>584</v>
      </c>
      <c r="I211" s="1211"/>
      <c r="J211" s="1211"/>
      <c r="K211" s="1225">
        <v>13</v>
      </c>
      <c r="L211" s="1225">
        <v>13</v>
      </c>
      <c r="M211" s="1225">
        <v>13</v>
      </c>
      <c r="N211" s="1211"/>
      <c r="O211" s="1211" t="s">
        <v>1054</v>
      </c>
      <c r="P211" s="1225">
        <v>0</v>
      </c>
      <c r="Q211" s="1211"/>
      <c r="R211" s="1226">
        <v>-13</v>
      </c>
      <c r="S211" s="1227">
        <v>-1</v>
      </c>
      <c r="T211" s="1211"/>
      <c r="U211" s="1228" t="s">
        <v>295</v>
      </c>
      <c r="V211" s="1211"/>
    </row>
    <row r="212" spans="1:22" collapsed="1" x14ac:dyDescent="0.3">
      <c r="A212" s="1209">
        <v>108</v>
      </c>
      <c r="B212" s="1211" t="s">
        <v>1087</v>
      </c>
      <c r="C212" s="1211"/>
      <c r="D212" s="1215" t="s">
        <v>504</v>
      </c>
      <c r="E212" s="1212" t="s">
        <v>483</v>
      </c>
      <c r="F212" s="1224">
        <v>44488</v>
      </c>
      <c r="G212" s="1224" t="s">
        <v>1067</v>
      </c>
      <c r="H212" s="1211" t="s">
        <v>584</v>
      </c>
      <c r="I212" s="1211"/>
      <c r="J212" s="1211"/>
      <c r="K212" s="1225">
        <v>165</v>
      </c>
      <c r="L212" s="1225">
        <v>180</v>
      </c>
      <c r="M212" s="1225">
        <v>172.5</v>
      </c>
      <c r="N212" s="1211"/>
      <c r="O212" s="1211" t="s">
        <v>1054</v>
      </c>
      <c r="P212" s="1225">
        <v>188.16599999999994</v>
      </c>
      <c r="Q212" s="1211"/>
      <c r="R212" s="1226">
        <v>15.66599999999994</v>
      </c>
      <c r="S212" s="1227">
        <v>9.0817391304347475E-2</v>
      </c>
      <c r="T212" s="1211"/>
      <c r="U212" s="1228" t="s">
        <v>295</v>
      </c>
      <c r="V212" s="1211"/>
    </row>
    <row r="213" spans="1:22" x14ac:dyDescent="0.3">
      <c r="A213" s="1209">
        <v>107</v>
      </c>
      <c r="B213" s="1211"/>
      <c r="C213" s="1211"/>
      <c r="D213" s="1215"/>
      <c r="E213" s="1212"/>
      <c r="F213" s="1224"/>
      <c r="G213" s="1224"/>
      <c r="H213" s="1211"/>
      <c r="I213" s="1211"/>
      <c r="J213" s="1211"/>
      <c r="K213" s="1225"/>
      <c r="L213" s="1225"/>
      <c r="M213" s="1225"/>
      <c r="N213" s="1211"/>
      <c r="O213" s="1211"/>
      <c r="P213" s="1225"/>
      <c r="Q213" s="1211"/>
      <c r="R213" s="1226"/>
      <c r="S213" s="1227"/>
      <c r="T213" s="1211"/>
      <c r="U213" s="1228"/>
      <c r="V213" s="1211"/>
    </row>
    <row r="214" spans="1:22" x14ac:dyDescent="0.3">
      <c r="A214" s="1209">
        <v>106</v>
      </c>
      <c r="B214" s="1211" t="s">
        <v>1087</v>
      </c>
      <c r="C214" s="1211"/>
      <c r="D214" s="1215" t="s">
        <v>61</v>
      </c>
      <c r="E214" s="1212" t="s">
        <v>293</v>
      </c>
      <c r="F214" s="1224">
        <v>44488</v>
      </c>
      <c r="G214" s="1224" t="s">
        <v>1067</v>
      </c>
      <c r="H214" s="1211" t="s">
        <v>585</v>
      </c>
      <c r="I214" s="1211"/>
      <c r="J214" s="1211"/>
      <c r="K214" s="1225">
        <v>390</v>
      </c>
      <c r="L214" s="1225">
        <v>400</v>
      </c>
      <c r="M214" s="1225">
        <v>395</v>
      </c>
      <c r="N214" s="1211"/>
      <c r="O214" s="1211" t="s">
        <v>1054</v>
      </c>
      <c r="P214" s="1225">
        <v>409.50700000000001</v>
      </c>
      <c r="Q214" s="1211"/>
      <c r="R214" s="1226">
        <v>14.507000000000005</v>
      </c>
      <c r="S214" s="1227">
        <v>3.6726582278481024E-2</v>
      </c>
      <c r="T214" s="1211"/>
      <c r="U214" s="1228" t="s">
        <v>295</v>
      </c>
      <c r="V214" s="1211"/>
    </row>
    <row r="215" spans="1:22" x14ac:dyDescent="0.3">
      <c r="A215" s="1209">
        <v>105</v>
      </c>
      <c r="B215" s="1211" t="s">
        <v>1087</v>
      </c>
      <c r="C215" s="1211"/>
      <c r="D215" s="1215" t="s">
        <v>94</v>
      </c>
      <c r="E215" s="1212" t="s">
        <v>296</v>
      </c>
      <c r="F215" s="1224">
        <v>44488</v>
      </c>
      <c r="G215" s="1224" t="s">
        <v>1067</v>
      </c>
      <c r="H215" s="1211" t="s">
        <v>585</v>
      </c>
      <c r="I215" s="1211"/>
      <c r="J215" s="1211"/>
      <c r="K215" s="1225">
        <v>-17</v>
      </c>
      <c r="L215" s="1225">
        <v>-14</v>
      </c>
      <c r="M215" s="1225">
        <v>-15.5</v>
      </c>
      <c r="N215" s="1211"/>
      <c r="O215" s="1211" t="s">
        <v>1054</v>
      </c>
      <c r="P215" s="1225">
        <v>-14.151999999999997</v>
      </c>
      <c r="Q215" s="1211"/>
      <c r="R215" s="1226">
        <v>1.3480000000000025</v>
      </c>
      <c r="S215" s="1227">
        <v>8.6967741935484039E-2</v>
      </c>
      <c r="T215" s="1211"/>
      <c r="U215" s="1228" t="s">
        <v>295</v>
      </c>
      <c r="V215" s="1211"/>
    </row>
    <row r="216" spans="1:22" x14ac:dyDescent="0.3">
      <c r="A216" s="1209">
        <v>104</v>
      </c>
      <c r="B216" s="1211" t="s">
        <v>1087</v>
      </c>
      <c r="C216" s="1211"/>
      <c r="D216" s="1215" t="s">
        <v>67</v>
      </c>
      <c r="E216" s="1212" t="s">
        <v>298</v>
      </c>
      <c r="F216" s="1224">
        <v>44488</v>
      </c>
      <c r="G216" s="1224" t="s">
        <v>1067</v>
      </c>
      <c r="H216" s="1211" t="s">
        <v>585</v>
      </c>
      <c r="I216" s="1211"/>
      <c r="J216" s="1211"/>
      <c r="K216" s="1225">
        <v>44.3</v>
      </c>
      <c r="L216" s="1225">
        <v>48.8</v>
      </c>
      <c r="M216" s="1225">
        <v>46.55</v>
      </c>
      <c r="N216" s="1211"/>
      <c r="O216" s="1211" t="s">
        <v>1054</v>
      </c>
      <c r="P216" s="1225">
        <v>56.91500000000002</v>
      </c>
      <c r="Q216" s="1211"/>
      <c r="R216" s="1226">
        <v>10.365000000000023</v>
      </c>
      <c r="S216" s="1227">
        <v>0.222663802363051</v>
      </c>
      <c r="T216" s="1211"/>
      <c r="U216" s="1228" t="s">
        <v>295</v>
      </c>
      <c r="V216" s="1211"/>
    </row>
    <row r="217" spans="1:22" x14ac:dyDescent="0.3">
      <c r="A217" s="1209">
        <v>103</v>
      </c>
      <c r="B217" s="1211" t="s">
        <v>1087</v>
      </c>
      <c r="C217" s="1211"/>
      <c r="D217" s="1215" t="s">
        <v>66</v>
      </c>
      <c r="E217" s="1212" t="s">
        <v>415</v>
      </c>
      <c r="F217" s="1224">
        <v>44488</v>
      </c>
      <c r="G217" s="1224" t="s">
        <v>1067</v>
      </c>
      <c r="H217" s="1211" t="s">
        <v>585</v>
      </c>
      <c r="I217" s="1211"/>
      <c r="J217" s="1211"/>
      <c r="K217" s="1225">
        <v>7.5</v>
      </c>
      <c r="L217" s="1225">
        <v>8</v>
      </c>
      <c r="M217" s="1225">
        <v>7.75</v>
      </c>
      <c r="N217" s="1211"/>
      <c r="O217" s="1211" t="s">
        <v>1054</v>
      </c>
      <c r="P217" s="1225">
        <v>0.60200000000000031</v>
      </c>
      <c r="Q217" s="1211"/>
      <c r="R217" s="1226">
        <v>-7.1479999999999997</v>
      </c>
      <c r="S217" s="1227">
        <v>-0.92232258064516126</v>
      </c>
      <c r="T217" s="1211"/>
      <c r="U217" s="1228" t="s">
        <v>295</v>
      </c>
      <c r="V217" s="1211"/>
    </row>
    <row r="218" spans="1:22" hidden="1" outlineLevel="1" x14ac:dyDescent="0.3">
      <c r="A218" s="1209">
        <v>102</v>
      </c>
      <c r="B218" s="1211" t="s">
        <v>1087</v>
      </c>
      <c r="C218" s="1211"/>
      <c r="D218" s="1215" t="s">
        <v>533</v>
      </c>
      <c r="E218" s="1212" t="s">
        <v>543</v>
      </c>
      <c r="F218" s="1224">
        <v>44488</v>
      </c>
      <c r="G218" s="1224" t="s">
        <v>1067</v>
      </c>
      <c r="H218" s="1211" t="s">
        <v>585</v>
      </c>
      <c r="I218" s="1211"/>
      <c r="J218" s="1211"/>
      <c r="K218" s="1225">
        <v>3.2</v>
      </c>
      <c r="L218" s="1225">
        <v>3.2</v>
      </c>
      <c r="M218" s="1225">
        <v>3.2</v>
      </c>
      <c r="N218" s="1211"/>
      <c r="O218" s="1211" t="s">
        <v>1054</v>
      </c>
      <c r="P218" s="1225">
        <v>3.214</v>
      </c>
      <c r="Q218" s="1211"/>
      <c r="R218" s="1226">
        <v>1.399999999999979E-2</v>
      </c>
      <c r="S218" s="1227">
        <v>4.3749999999999345E-3</v>
      </c>
      <c r="T218" s="1211"/>
      <c r="U218" s="1228" t="s">
        <v>295</v>
      </c>
      <c r="V218" s="1211"/>
    </row>
    <row r="219" spans="1:22" collapsed="1" x14ac:dyDescent="0.3">
      <c r="A219" s="1209">
        <v>101</v>
      </c>
      <c r="B219" s="1211" t="s">
        <v>1087</v>
      </c>
      <c r="C219" s="1211"/>
      <c r="D219" s="1215" t="s">
        <v>504</v>
      </c>
      <c r="E219" s="1212" t="s">
        <v>483</v>
      </c>
      <c r="F219" s="1224">
        <v>44488</v>
      </c>
      <c r="G219" s="1224" t="s">
        <v>1067</v>
      </c>
      <c r="H219" s="1211" t="s">
        <v>585</v>
      </c>
      <c r="I219" s="1211"/>
      <c r="J219" s="1211"/>
      <c r="K219" s="1225">
        <v>55</v>
      </c>
      <c r="L219" s="1225">
        <v>60</v>
      </c>
      <c r="M219" s="1225">
        <v>57.5</v>
      </c>
      <c r="N219" s="1211"/>
      <c r="O219" s="1211" t="s">
        <v>1054</v>
      </c>
      <c r="P219" s="1225">
        <v>60.731000000000023</v>
      </c>
      <c r="Q219" s="1211"/>
      <c r="R219" s="1226">
        <v>3.231000000000023</v>
      </c>
      <c r="S219" s="1227">
        <v>5.6191304347826487E-2</v>
      </c>
      <c r="T219" s="1211"/>
      <c r="U219" s="1228" t="s">
        <v>295</v>
      </c>
      <c r="V219" s="1211"/>
    </row>
    <row r="220" spans="1:22" x14ac:dyDescent="0.3">
      <c r="A220" s="1209">
        <v>100</v>
      </c>
      <c r="B220" s="1211"/>
      <c r="C220" s="1211"/>
      <c r="D220" s="1215"/>
      <c r="E220" s="1212"/>
      <c r="F220" s="1224"/>
      <c r="G220" s="1224"/>
      <c r="H220" s="1211"/>
      <c r="I220" s="1211"/>
      <c r="J220" s="1211"/>
      <c r="K220" s="1225"/>
      <c r="L220" s="1225"/>
      <c r="M220" s="1225"/>
      <c r="N220" s="1211"/>
      <c r="O220" s="1211"/>
      <c r="P220" s="1225"/>
      <c r="Q220" s="1211"/>
      <c r="R220" s="1226"/>
      <c r="S220" s="1227"/>
      <c r="T220" s="1211"/>
      <c r="U220" s="1228"/>
      <c r="V220" s="1211"/>
    </row>
    <row r="221" spans="1:22" x14ac:dyDescent="0.3">
      <c r="A221" s="1209">
        <v>99</v>
      </c>
      <c r="B221" s="1211" t="s">
        <v>1087</v>
      </c>
      <c r="C221" s="1211"/>
      <c r="D221" s="1215" t="s">
        <v>61</v>
      </c>
      <c r="E221" s="1212" t="s">
        <v>293</v>
      </c>
      <c r="F221" s="1224">
        <v>44306</v>
      </c>
      <c r="G221" s="1224" t="s">
        <v>1068</v>
      </c>
      <c r="H221" s="1211" t="s">
        <v>438</v>
      </c>
      <c r="I221" s="1211"/>
      <c r="J221" s="1211"/>
      <c r="K221" s="1225">
        <v>1525</v>
      </c>
      <c r="L221" s="1225">
        <v>1530</v>
      </c>
      <c r="M221" s="1225">
        <v>1527.5</v>
      </c>
      <c r="N221" s="1211"/>
      <c r="O221" s="1211" t="s">
        <v>1054</v>
      </c>
      <c r="P221" s="1225">
        <v>1536.76</v>
      </c>
      <c r="Q221" s="1211"/>
      <c r="R221" s="1226">
        <v>9.2599999999999909</v>
      </c>
      <c r="S221" s="1227">
        <v>6.062193126022907E-3</v>
      </c>
      <c r="T221" s="1211"/>
      <c r="U221" s="1228" t="s">
        <v>295</v>
      </c>
      <c r="V221" s="1211"/>
    </row>
    <row r="222" spans="1:22" x14ac:dyDescent="0.3">
      <c r="A222" s="1209">
        <v>98</v>
      </c>
      <c r="B222" s="1211" t="s">
        <v>1087</v>
      </c>
      <c r="C222" s="1211"/>
      <c r="D222" s="1215" t="s">
        <v>94</v>
      </c>
      <c r="E222" s="1212" t="s">
        <v>296</v>
      </c>
      <c r="F222" s="1224">
        <v>44306</v>
      </c>
      <c r="G222" s="1224" t="s">
        <v>1068</v>
      </c>
      <c r="H222" s="1211" t="s">
        <v>438</v>
      </c>
      <c r="I222" s="1211"/>
      <c r="J222" s="1211"/>
      <c r="K222" s="1225">
        <v>-55</v>
      </c>
      <c r="L222" s="1225">
        <v>-50</v>
      </c>
      <c r="M222" s="1225">
        <v>-52.5</v>
      </c>
      <c r="N222" s="1211"/>
      <c r="O222" s="1211" t="s">
        <v>1054</v>
      </c>
      <c r="P222" s="1225">
        <v>-52.263000000000005</v>
      </c>
      <c r="Q222" s="1211"/>
      <c r="R222" s="1226">
        <v>0.23699999999999477</v>
      </c>
      <c r="S222" s="1227">
        <v>4.5142857142856149E-3</v>
      </c>
      <c r="T222" s="1211"/>
      <c r="U222" s="1228" t="s">
        <v>295</v>
      </c>
      <c r="V222" s="1211"/>
    </row>
    <row r="223" spans="1:22" x14ac:dyDescent="0.3">
      <c r="A223" s="1209">
        <v>97</v>
      </c>
      <c r="B223" s="1211" t="s">
        <v>1087</v>
      </c>
      <c r="C223" s="1211"/>
      <c r="D223" s="1215" t="s">
        <v>391</v>
      </c>
      <c r="E223" s="1212"/>
      <c r="F223" s="1224">
        <v>44306</v>
      </c>
      <c r="G223" s="1224" t="s">
        <v>1068</v>
      </c>
      <c r="H223" s="1211" t="s">
        <v>438</v>
      </c>
      <c r="I223" s="1211"/>
      <c r="J223" s="1211"/>
      <c r="K223" s="1214">
        <v>0.27</v>
      </c>
      <c r="L223" s="1214">
        <v>0.28999999999999998</v>
      </c>
      <c r="M223" s="1214">
        <v>0.28000000000000003</v>
      </c>
      <c r="N223" s="1211"/>
      <c r="O223" s="1211" t="s">
        <v>1054</v>
      </c>
      <c r="P223" s="1214">
        <v>0.25747591966927597</v>
      </c>
      <c r="Q223" s="1211"/>
      <c r="R223" s="1227">
        <v>-2.2524080330724061E-2</v>
      </c>
      <c r="S223" s="1227">
        <v>-8.0443144038300204E-2</v>
      </c>
      <c r="T223" s="1211"/>
      <c r="U223" s="1228" t="s">
        <v>295</v>
      </c>
      <c r="V223" s="1211"/>
    </row>
    <row r="224" spans="1:22" x14ac:dyDescent="0.3">
      <c r="A224" s="1209">
        <v>96</v>
      </c>
      <c r="B224" s="1211" t="s">
        <v>1087</v>
      </c>
      <c r="C224" s="1211"/>
      <c r="D224" s="1215" t="s">
        <v>67</v>
      </c>
      <c r="E224" s="1212" t="s">
        <v>298</v>
      </c>
      <c r="F224" s="1224">
        <v>44306</v>
      </c>
      <c r="G224" s="1224" t="s">
        <v>1068</v>
      </c>
      <c r="H224" s="1211" t="s">
        <v>438</v>
      </c>
      <c r="I224" s="1211"/>
      <c r="J224" s="1211"/>
      <c r="K224" s="1225">
        <v>102.5</v>
      </c>
      <c r="L224" s="1225">
        <v>103.5</v>
      </c>
      <c r="M224" s="1225">
        <v>103</v>
      </c>
      <c r="N224" s="1211"/>
      <c r="O224" s="1211" t="s">
        <v>1054</v>
      </c>
      <c r="P224" s="1225">
        <v>110.45599999999996</v>
      </c>
      <c r="Q224" s="1211"/>
      <c r="R224" s="1226">
        <v>7.4559999999999604</v>
      </c>
      <c r="S224" s="1227">
        <v>7.2388349514562716E-2</v>
      </c>
      <c r="T224" s="1211"/>
      <c r="U224" s="1228" t="s">
        <v>295</v>
      </c>
      <c r="V224" s="1211"/>
    </row>
    <row r="225" spans="1:22" x14ac:dyDescent="0.3">
      <c r="A225" s="1209">
        <v>95</v>
      </c>
      <c r="B225" s="1211" t="s">
        <v>1087</v>
      </c>
      <c r="C225" s="1211"/>
      <c r="D225" s="1215" t="s">
        <v>66</v>
      </c>
      <c r="E225" s="1212" t="s">
        <v>415</v>
      </c>
      <c r="F225" s="1224">
        <v>44306</v>
      </c>
      <c r="G225" s="1224" t="s">
        <v>1068</v>
      </c>
      <c r="H225" s="1211" t="s">
        <v>438</v>
      </c>
      <c r="I225" s="1211"/>
      <c r="J225" s="1211"/>
      <c r="K225" s="1225">
        <v>42</v>
      </c>
      <c r="L225" s="1225">
        <v>44</v>
      </c>
      <c r="M225" s="1225">
        <v>43</v>
      </c>
      <c r="N225" s="1211"/>
      <c r="O225" s="1211" t="s">
        <v>1054</v>
      </c>
      <c r="P225" s="1225">
        <v>39.332999999999998</v>
      </c>
      <c r="Q225" s="1211"/>
      <c r="R225" s="1226">
        <v>-3.6670000000000016</v>
      </c>
      <c r="S225" s="1227">
        <v>-8.5279069767441901E-2</v>
      </c>
      <c r="T225" s="1211"/>
      <c r="U225" s="1228" t="s">
        <v>295</v>
      </c>
      <c r="V225" s="1211"/>
    </row>
    <row r="226" spans="1:22" hidden="1" outlineLevel="1" x14ac:dyDescent="0.3">
      <c r="A226" s="1209">
        <v>94</v>
      </c>
      <c r="B226" s="1211" t="s">
        <v>1087</v>
      </c>
      <c r="C226" s="1211"/>
      <c r="D226" s="1215" t="s">
        <v>533</v>
      </c>
      <c r="E226" s="1212" t="s">
        <v>543</v>
      </c>
      <c r="F226" s="1224">
        <v>44306</v>
      </c>
      <c r="G226" s="1224" t="s">
        <v>1068</v>
      </c>
      <c r="H226" s="1211" t="s">
        <v>438</v>
      </c>
      <c r="I226" s="1211"/>
      <c r="J226" s="1211"/>
      <c r="K226" s="1225">
        <v>11.5</v>
      </c>
      <c r="L226" s="1225">
        <v>11.5</v>
      </c>
      <c r="M226" s="1225">
        <v>11.5</v>
      </c>
      <c r="N226" s="1211"/>
      <c r="O226" s="1211" t="s">
        <v>1054</v>
      </c>
      <c r="P226" s="1225">
        <v>0</v>
      </c>
      <c r="Q226" s="1211"/>
      <c r="R226" s="1226">
        <v>-11.5</v>
      </c>
      <c r="S226" s="1227">
        <v>-1</v>
      </c>
      <c r="T226" s="1211"/>
      <c r="U226" s="1228" t="s">
        <v>295</v>
      </c>
      <c r="V226" s="1211"/>
    </row>
    <row r="227" spans="1:22" collapsed="1" x14ac:dyDescent="0.3">
      <c r="A227" s="1209">
        <v>93</v>
      </c>
      <c r="B227" s="1211" t="s">
        <v>1087</v>
      </c>
      <c r="C227" s="1211"/>
      <c r="D227" s="1215" t="s">
        <v>504</v>
      </c>
      <c r="E227" s="1212" t="s">
        <v>483</v>
      </c>
      <c r="F227" s="1224">
        <v>44306</v>
      </c>
      <c r="G227" s="1224" t="s">
        <v>1068</v>
      </c>
      <c r="H227" s="1211" t="s">
        <v>438</v>
      </c>
      <c r="I227" s="1211"/>
      <c r="J227" s="1211"/>
      <c r="K227" s="1225">
        <v>156</v>
      </c>
      <c r="L227" s="1225">
        <v>159</v>
      </c>
      <c r="M227" s="1225">
        <v>157.5</v>
      </c>
      <c r="N227" s="1211"/>
      <c r="O227" s="1211" t="s">
        <v>1054</v>
      </c>
      <c r="P227" s="1225">
        <v>161.43099999999995</v>
      </c>
      <c r="Q227" s="1211"/>
      <c r="R227" s="1226">
        <v>3.9309999999999548</v>
      </c>
      <c r="S227" s="1227">
        <v>2.4958730158729871E-2</v>
      </c>
      <c r="T227" s="1211"/>
      <c r="U227" s="1228" t="s">
        <v>295</v>
      </c>
      <c r="V227" s="1211"/>
    </row>
    <row r="228" spans="1:22" x14ac:dyDescent="0.3">
      <c r="A228" s="1209">
        <v>92</v>
      </c>
      <c r="B228" s="1211"/>
      <c r="C228" s="1211"/>
      <c r="D228" s="1215"/>
      <c r="E228" s="1212"/>
      <c r="F228" s="1224"/>
      <c r="G228" s="1224"/>
      <c r="H228" s="1211"/>
      <c r="I228" s="1211"/>
      <c r="J228" s="1211"/>
      <c r="K228" s="1225"/>
      <c r="L228" s="1225"/>
      <c r="M228" s="1225"/>
      <c r="N228" s="1211"/>
      <c r="O228" s="1211"/>
      <c r="P228" s="1225"/>
      <c r="Q228" s="1211"/>
      <c r="R228" s="1226"/>
      <c r="S228" s="1227"/>
      <c r="T228" s="1211"/>
      <c r="U228" s="1228"/>
      <c r="V228" s="1211"/>
    </row>
    <row r="229" spans="1:22" x14ac:dyDescent="0.3">
      <c r="A229" s="1209">
        <v>91</v>
      </c>
      <c r="B229" s="1211" t="s">
        <v>1087</v>
      </c>
      <c r="C229" s="1211"/>
      <c r="D229" s="1215" t="s">
        <v>495</v>
      </c>
      <c r="E229" s="1212" t="s">
        <v>501</v>
      </c>
      <c r="F229" s="1224">
        <v>44222</v>
      </c>
      <c r="G229" s="1224" t="s">
        <v>1069</v>
      </c>
      <c r="H229" s="1211" t="s">
        <v>438</v>
      </c>
      <c r="I229" s="1211"/>
      <c r="J229" s="1211"/>
      <c r="K229" s="1225">
        <v>250</v>
      </c>
      <c r="L229" s="1225">
        <v>250</v>
      </c>
      <c r="M229" s="1225">
        <v>250</v>
      </c>
      <c r="N229" s="1211"/>
      <c r="O229" s="1211" t="s">
        <v>1054</v>
      </c>
      <c r="P229" s="1225">
        <v>0</v>
      </c>
      <c r="Q229" s="1211"/>
      <c r="R229" s="1226">
        <v>-250</v>
      </c>
      <c r="S229" s="1227">
        <v>-1</v>
      </c>
      <c r="T229" s="1211"/>
      <c r="U229" s="1228" t="s">
        <v>487</v>
      </c>
      <c r="V229" s="1211"/>
    </row>
    <row r="230" spans="1:22" x14ac:dyDescent="0.3">
      <c r="A230" s="1209">
        <v>90</v>
      </c>
      <c r="B230" s="1211" t="s">
        <v>1087</v>
      </c>
      <c r="C230" s="1211"/>
      <c r="D230" s="1215" t="s">
        <v>61</v>
      </c>
      <c r="E230" s="1212" t="s">
        <v>293</v>
      </c>
      <c r="F230" s="1224">
        <v>44222</v>
      </c>
      <c r="G230" s="1224" t="s">
        <v>1069</v>
      </c>
      <c r="H230" s="1211" t="s">
        <v>438</v>
      </c>
      <c r="I230" s="1211"/>
      <c r="J230" s="1211"/>
      <c r="K230" s="1225">
        <v>1500</v>
      </c>
      <c r="L230" s="1225">
        <v>1525</v>
      </c>
      <c r="M230" s="1225">
        <v>1512.5</v>
      </c>
      <c r="N230" s="1211"/>
      <c r="O230" s="1211" t="s">
        <v>1054</v>
      </c>
      <c r="P230" s="1225">
        <v>1536.76</v>
      </c>
      <c r="Q230" s="1211"/>
      <c r="R230" s="1226">
        <v>24.259999999999991</v>
      </c>
      <c r="S230" s="1227">
        <v>1.6039669421487598E-2</v>
      </c>
      <c r="T230" s="1211"/>
      <c r="U230" s="1228" t="s">
        <v>295</v>
      </c>
      <c r="V230" s="1211"/>
    </row>
    <row r="231" spans="1:22" x14ac:dyDescent="0.3">
      <c r="A231" s="1209">
        <v>89</v>
      </c>
      <c r="B231" s="1211" t="s">
        <v>1087</v>
      </c>
      <c r="C231" s="1211"/>
      <c r="D231" s="1215" t="s">
        <v>94</v>
      </c>
      <c r="E231" s="1212" t="s">
        <v>296</v>
      </c>
      <c r="F231" s="1224">
        <v>44222</v>
      </c>
      <c r="G231" s="1224" t="s">
        <v>1069</v>
      </c>
      <c r="H231" s="1211" t="s">
        <v>438</v>
      </c>
      <c r="I231" s="1211"/>
      <c r="J231" s="1211"/>
      <c r="K231" s="1225">
        <v>-60</v>
      </c>
      <c r="L231" s="1225">
        <v>-50</v>
      </c>
      <c r="M231" s="1225">
        <v>-55</v>
      </c>
      <c r="N231" s="1211"/>
      <c r="O231" s="1211" t="s">
        <v>1054</v>
      </c>
      <c r="P231" s="1225">
        <v>-52.263000000000005</v>
      </c>
      <c r="Q231" s="1211"/>
      <c r="R231" s="1226">
        <v>2.7369999999999948</v>
      </c>
      <c r="S231" s="1227">
        <v>4.9763636363636267E-2</v>
      </c>
      <c r="T231" s="1211"/>
      <c r="U231" s="1228" t="s">
        <v>295</v>
      </c>
      <c r="V231" s="1211"/>
    </row>
    <row r="232" spans="1:22" x14ac:dyDescent="0.3">
      <c r="A232" s="1209">
        <v>88</v>
      </c>
      <c r="B232" s="1211" t="s">
        <v>1087</v>
      </c>
      <c r="C232" s="1211"/>
      <c r="D232" s="1215" t="s">
        <v>391</v>
      </c>
      <c r="E232" s="1212"/>
      <c r="F232" s="1224">
        <v>44222</v>
      </c>
      <c r="G232" s="1224" t="s">
        <v>1069</v>
      </c>
      <c r="H232" s="1211" t="s">
        <v>438</v>
      </c>
      <c r="I232" s="1211"/>
      <c r="J232" s="1211"/>
      <c r="K232" s="1214">
        <v>0.26</v>
      </c>
      <c r="L232" s="1214">
        <v>0.28999999999999998</v>
      </c>
      <c r="M232" s="1214">
        <v>0.27500000000000002</v>
      </c>
      <c r="N232" s="1211"/>
      <c r="O232" s="1211" t="s">
        <v>1054</v>
      </c>
      <c r="P232" s="1214">
        <v>0.25747591966927597</v>
      </c>
      <c r="Q232" s="1211"/>
      <c r="R232" s="1227">
        <v>-1.7524080330724057E-2</v>
      </c>
      <c r="S232" s="1227">
        <v>-6.3723928475360195E-2</v>
      </c>
      <c r="T232" s="1211"/>
      <c r="U232" s="1228" t="s">
        <v>295</v>
      </c>
      <c r="V232" s="1211"/>
    </row>
    <row r="233" spans="1:22" x14ac:dyDescent="0.3">
      <c r="A233" s="1209">
        <v>87</v>
      </c>
      <c r="B233" s="1211" t="s">
        <v>1087</v>
      </c>
      <c r="C233" s="1211"/>
      <c r="D233" s="1215" t="s">
        <v>67</v>
      </c>
      <c r="E233" s="1212" t="s">
        <v>298</v>
      </c>
      <c r="F233" s="1224">
        <v>44222</v>
      </c>
      <c r="G233" s="1224" t="s">
        <v>1069</v>
      </c>
      <c r="H233" s="1211" t="s">
        <v>438</v>
      </c>
      <c r="I233" s="1211"/>
      <c r="J233" s="1211"/>
      <c r="K233" s="1225">
        <v>90.5</v>
      </c>
      <c r="L233" s="1225">
        <v>98.5</v>
      </c>
      <c r="M233" s="1225">
        <v>94.5</v>
      </c>
      <c r="N233" s="1211"/>
      <c r="O233" s="1211" t="s">
        <v>1054</v>
      </c>
      <c r="P233" s="1225">
        <v>110.45599999999996</v>
      </c>
      <c r="Q233" s="1211"/>
      <c r="R233" s="1226">
        <v>15.95599999999996</v>
      </c>
      <c r="S233" s="1227">
        <v>0.16884656084656044</v>
      </c>
      <c r="T233" s="1211"/>
      <c r="U233" s="1228" t="s">
        <v>295</v>
      </c>
      <c r="V233" s="1211"/>
    </row>
    <row r="234" spans="1:22" x14ac:dyDescent="0.3">
      <c r="A234" s="1209">
        <v>86</v>
      </c>
      <c r="B234" s="1211" t="s">
        <v>1087</v>
      </c>
      <c r="C234" s="1211"/>
      <c r="D234" s="1215" t="s">
        <v>66</v>
      </c>
      <c r="E234" s="1212" t="s">
        <v>415</v>
      </c>
      <c r="F234" s="1224">
        <v>44222</v>
      </c>
      <c r="G234" s="1224" t="s">
        <v>1069</v>
      </c>
      <c r="H234" s="1211" t="s">
        <v>438</v>
      </c>
      <c r="I234" s="1211"/>
      <c r="J234" s="1211"/>
      <c r="K234" s="1225">
        <v>43</v>
      </c>
      <c r="L234" s="1225">
        <v>45</v>
      </c>
      <c r="M234" s="1225">
        <v>44</v>
      </c>
      <c r="N234" s="1211"/>
      <c r="O234" s="1211" t="s">
        <v>1054</v>
      </c>
      <c r="P234" s="1225">
        <v>39.332999999999998</v>
      </c>
      <c r="Q234" s="1211"/>
      <c r="R234" s="1226">
        <v>-4.6670000000000016</v>
      </c>
      <c r="S234" s="1227">
        <v>-0.10606818181818185</v>
      </c>
      <c r="T234" s="1211"/>
      <c r="U234" s="1228" t="s">
        <v>295</v>
      </c>
      <c r="V234" s="1211"/>
    </row>
    <row r="235" spans="1:22" hidden="1" outlineLevel="1" x14ac:dyDescent="0.3">
      <c r="A235" s="1209">
        <v>85</v>
      </c>
      <c r="B235" s="1211" t="s">
        <v>1087</v>
      </c>
      <c r="C235" s="1211"/>
      <c r="D235" s="1215" t="s">
        <v>533</v>
      </c>
      <c r="E235" s="1212" t="s">
        <v>543</v>
      </c>
      <c r="F235" s="1224">
        <v>44222</v>
      </c>
      <c r="G235" s="1224" t="s">
        <v>1069</v>
      </c>
      <c r="H235" s="1211" t="s">
        <v>438</v>
      </c>
      <c r="I235" s="1211"/>
      <c r="J235" s="1211"/>
      <c r="K235" s="1225">
        <v>11.5</v>
      </c>
      <c r="L235" s="1225">
        <v>11.5</v>
      </c>
      <c r="M235" s="1225">
        <v>11.5</v>
      </c>
      <c r="N235" s="1211"/>
      <c r="O235" s="1211" t="s">
        <v>1054</v>
      </c>
      <c r="P235" s="1225">
        <v>0</v>
      </c>
      <c r="Q235" s="1211"/>
      <c r="R235" s="1226">
        <v>-11.5</v>
      </c>
      <c r="S235" s="1227">
        <v>-1</v>
      </c>
      <c r="T235" s="1211"/>
      <c r="U235" s="1228" t="s">
        <v>295</v>
      </c>
      <c r="V235" s="1211"/>
    </row>
    <row r="236" spans="1:22" collapsed="1" x14ac:dyDescent="0.3">
      <c r="A236" s="1209">
        <v>84</v>
      </c>
      <c r="B236" s="1211" t="s">
        <v>1087</v>
      </c>
      <c r="C236" s="1211"/>
      <c r="D236" s="1215" t="s">
        <v>504</v>
      </c>
      <c r="E236" s="1212" t="s">
        <v>483</v>
      </c>
      <c r="F236" s="1224">
        <v>44222</v>
      </c>
      <c r="G236" s="1224" t="s">
        <v>1069</v>
      </c>
      <c r="H236" s="1211" t="s">
        <v>438</v>
      </c>
      <c r="I236" s="1211"/>
      <c r="J236" s="1211"/>
      <c r="K236" s="1225">
        <v>145</v>
      </c>
      <c r="L236" s="1225">
        <v>155</v>
      </c>
      <c r="M236" s="1225">
        <v>150</v>
      </c>
      <c r="N236" s="1211"/>
      <c r="O236" s="1211" t="s">
        <v>1054</v>
      </c>
      <c r="P236" s="1225">
        <v>161.43099999999995</v>
      </c>
      <c r="Q236" s="1211"/>
      <c r="R236" s="1226">
        <v>11.430999999999955</v>
      </c>
      <c r="S236" s="1227">
        <v>7.6206666666666367E-2</v>
      </c>
      <c r="T236" s="1211"/>
      <c r="U236" s="1228" t="s">
        <v>295</v>
      </c>
      <c r="V236" s="1211"/>
    </row>
    <row r="237" spans="1:22" x14ac:dyDescent="0.3">
      <c r="A237" s="1209">
        <v>83</v>
      </c>
      <c r="B237" s="1211"/>
      <c r="C237" s="1211"/>
      <c r="D237" s="1215"/>
      <c r="E237" s="1212"/>
      <c r="F237" s="1224"/>
      <c r="G237" s="1224"/>
      <c r="H237" s="1211"/>
      <c r="I237" s="1211"/>
      <c r="J237" s="1211"/>
      <c r="K237" s="1225"/>
      <c r="L237" s="1225"/>
      <c r="M237" s="1225"/>
      <c r="N237" s="1211"/>
      <c r="O237" s="1211"/>
      <c r="P237" s="1225"/>
      <c r="Q237" s="1211"/>
      <c r="R237" s="1226"/>
      <c r="S237" s="1227"/>
      <c r="T237" s="1211"/>
      <c r="U237" s="1228"/>
      <c r="V237" s="1211"/>
    </row>
    <row r="238" spans="1:22" x14ac:dyDescent="0.3">
      <c r="A238" s="1209">
        <v>82</v>
      </c>
      <c r="B238" s="1211" t="s">
        <v>1087</v>
      </c>
      <c r="C238" s="1211"/>
      <c r="D238" s="1215" t="s">
        <v>61</v>
      </c>
      <c r="E238" s="1212" t="s">
        <v>293</v>
      </c>
      <c r="F238" s="1224">
        <v>44222</v>
      </c>
      <c r="G238" s="1224" t="s">
        <v>1069</v>
      </c>
      <c r="H238" s="1211" t="s">
        <v>500</v>
      </c>
      <c r="I238" s="1211"/>
      <c r="J238" s="1211"/>
      <c r="K238" s="1225">
        <v>375</v>
      </c>
      <c r="L238" s="1225">
        <v>385</v>
      </c>
      <c r="M238" s="1225">
        <v>380</v>
      </c>
      <c r="N238" s="1211"/>
      <c r="O238" s="1211" t="s">
        <v>1054</v>
      </c>
      <c r="P238" s="1225">
        <v>392.14499999999998</v>
      </c>
      <c r="Q238" s="1211"/>
      <c r="R238" s="1226">
        <v>12.144999999999982</v>
      </c>
      <c r="S238" s="1227">
        <v>3.1960526315789425E-2</v>
      </c>
      <c r="T238" s="1211"/>
      <c r="U238" s="1228" t="s">
        <v>295</v>
      </c>
      <c r="V238" s="1211"/>
    </row>
    <row r="239" spans="1:22" x14ac:dyDescent="0.3">
      <c r="A239" s="1209">
        <v>81</v>
      </c>
      <c r="B239" s="1211" t="s">
        <v>1087</v>
      </c>
      <c r="C239" s="1211"/>
      <c r="D239" s="1215" t="s">
        <v>94</v>
      </c>
      <c r="E239" s="1212" t="s">
        <v>296</v>
      </c>
      <c r="F239" s="1224">
        <v>44222</v>
      </c>
      <c r="G239" s="1224" t="s">
        <v>1069</v>
      </c>
      <c r="H239" s="1211" t="s">
        <v>500</v>
      </c>
      <c r="I239" s="1211"/>
      <c r="J239" s="1211"/>
      <c r="K239" s="1225">
        <v>-15</v>
      </c>
      <c r="L239" s="1225">
        <v>-12</v>
      </c>
      <c r="M239" s="1225">
        <v>-13.5</v>
      </c>
      <c r="N239" s="1211"/>
      <c r="O239" s="1211" t="s">
        <v>1054</v>
      </c>
      <c r="P239" s="1225">
        <v>-11.344000000000001</v>
      </c>
      <c r="Q239" s="1211"/>
      <c r="R239" s="1226">
        <v>2.1559999999999988</v>
      </c>
      <c r="S239" s="1227">
        <v>0.15970370370370363</v>
      </c>
      <c r="T239" s="1211"/>
      <c r="U239" s="1228" t="s">
        <v>295</v>
      </c>
      <c r="V239" s="1211"/>
    </row>
    <row r="240" spans="1:22" x14ac:dyDescent="0.3">
      <c r="A240" s="1209">
        <v>80</v>
      </c>
      <c r="B240" s="1211" t="s">
        <v>1087</v>
      </c>
      <c r="C240" s="1211"/>
      <c r="D240" s="1215" t="s">
        <v>67</v>
      </c>
      <c r="E240" s="1212" t="s">
        <v>298</v>
      </c>
      <c r="F240" s="1224">
        <v>44222</v>
      </c>
      <c r="G240" s="1224" t="s">
        <v>1069</v>
      </c>
      <c r="H240" s="1211" t="s">
        <v>500</v>
      </c>
      <c r="I240" s="1211"/>
      <c r="J240" s="1211"/>
      <c r="K240" s="1225">
        <v>30.5</v>
      </c>
      <c r="L240" s="1225">
        <v>34.5</v>
      </c>
      <c r="M240" s="1225">
        <v>32.5</v>
      </c>
      <c r="N240" s="1211"/>
      <c r="O240" s="1211" t="s">
        <v>1054</v>
      </c>
      <c r="P240" s="1225">
        <v>38.552999999999997</v>
      </c>
      <c r="Q240" s="1211"/>
      <c r="R240" s="1226">
        <v>6.0529999999999973</v>
      </c>
      <c r="S240" s="1227">
        <v>0.18624615384615376</v>
      </c>
      <c r="T240" s="1211"/>
      <c r="U240" s="1228" t="s">
        <v>295</v>
      </c>
      <c r="V240" s="1211"/>
    </row>
    <row r="241" spans="1:22" x14ac:dyDescent="0.3">
      <c r="A241" s="1209">
        <v>79</v>
      </c>
      <c r="B241" s="1211" t="s">
        <v>1087</v>
      </c>
      <c r="C241" s="1211"/>
      <c r="D241" s="1215" t="s">
        <v>66</v>
      </c>
      <c r="E241" s="1212" t="s">
        <v>415</v>
      </c>
      <c r="F241" s="1224">
        <v>44222</v>
      </c>
      <c r="G241" s="1224" t="s">
        <v>1069</v>
      </c>
      <c r="H241" s="1211" t="s">
        <v>500</v>
      </c>
      <c r="I241" s="1211"/>
      <c r="J241" s="1211"/>
      <c r="K241" s="1225">
        <v>13</v>
      </c>
      <c r="L241" s="1225">
        <v>14</v>
      </c>
      <c r="M241" s="1225">
        <v>13.5</v>
      </c>
      <c r="N241" s="1211"/>
      <c r="O241" s="1211" t="s">
        <v>1054</v>
      </c>
      <c r="P241" s="1225">
        <v>12.854000000000003</v>
      </c>
      <c r="Q241" s="1211"/>
      <c r="R241" s="1226">
        <v>-0.64599999999999724</v>
      </c>
      <c r="S241" s="1227">
        <v>-4.7851851851851646E-2</v>
      </c>
      <c r="T241" s="1211"/>
      <c r="U241" s="1228" t="s">
        <v>295</v>
      </c>
      <c r="V241" s="1211"/>
    </row>
    <row r="242" spans="1:22" hidden="1" outlineLevel="1" x14ac:dyDescent="0.3">
      <c r="A242" s="1209">
        <v>78</v>
      </c>
      <c r="B242" s="1211" t="s">
        <v>1087</v>
      </c>
      <c r="C242" s="1211"/>
      <c r="D242" s="1215" t="s">
        <v>533</v>
      </c>
      <c r="E242" s="1212" t="s">
        <v>543</v>
      </c>
      <c r="F242" s="1224">
        <v>44222</v>
      </c>
      <c r="G242" s="1224" t="s">
        <v>1069</v>
      </c>
      <c r="H242" s="1211" t="s">
        <v>500</v>
      </c>
      <c r="I242" s="1211"/>
      <c r="J242" s="1211"/>
      <c r="K242" s="1225">
        <v>3.5</v>
      </c>
      <c r="L242" s="1225">
        <v>3.5</v>
      </c>
      <c r="M242" s="1225">
        <v>3.5</v>
      </c>
      <c r="N242" s="1211"/>
      <c r="O242" s="1211" t="s">
        <v>1054</v>
      </c>
      <c r="P242" s="1225">
        <v>3.4990000000000001</v>
      </c>
      <c r="Q242" s="1211"/>
      <c r="R242" s="1226">
        <v>-9.9999999999988987E-4</v>
      </c>
      <c r="S242" s="1227">
        <v>-2.8571428571425424E-4</v>
      </c>
      <c r="T242" s="1211"/>
      <c r="U242" s="1228" t="s">
        <v>295</v>
      </c>
      <c r="V242" s="1211"/>
    </row>
    <row r="243" spans="1:22" collapsed="1" x14ac:dyDescent="0.3">
      <c r="A243" s="1209">
        <v>77</v>
      </c>
      <c r="B243" s="1211" t="s">
        <v>1087</v>
      </c>
      <c r="C243" s="1211"/>
      <c r="D243" s="1215" t="s">
        <v>504</v>
      </c>
      <c r="E243" s="1212" t="s">
        <v>483</v>
      </c>
      <c r="F243" s="1224">
        <v>44222</v>
      </c>
      <c r="G243" s="1224" t="s">
        <v>1069</v>
      </c>
      <c r="H243" s="1211" t="s">
        <v>500</v>
      </c>
      <c r="I243" s="1211"/>
      <c r="J243" s="1211"/>
      <c r="K243" s="1225">
        <v>47</v>
      </c>
      <c r="L243" s="1225">
        <v>52</v>
      </c>
      <c r="M243" s="1225">
        <v>49.5</v>
      </c>
      <c r="N243" s="1211"/>
      <c r="O243" s="1211" t="s">
        <v>1054</v>
      </c>
      <c r="P243" s="1225">
        <v>54.905999999999999</v>
      </c>
      <c r="Q243" s="1211"/>
      <c r="R243" s="1226">
        <v>5.4059999999999988</v>
      </c>
      <c r="S243" s="1227">
        <v>0.10921212121212119</v>
      </c>
      <c r="T243" s="1211"/>
      <c r="U243" s="1228" t="s">
        <v>295</v>
      </c>
      <c r="V243" s="1211"/>
    </row>
    <row r="244" spans="1:22" x14ac:dyDescent="0.3">
      <c r="A244" s="1209"/>
      <c r="B244" s="1211"/>
      <c r="C244" s="1211"/>
      <c r="D244" s="1215"/>
      <c r="E244" s="1212"/>
      <c r="F244" s="1224"/>
      <c r="G244" s="1224"/>
      <c r="H244" s="1211"/>
      <c r="I244" s="1211"/>
      <c r="J244" s="1211"/>
      <c r="K244" s="1225"/>
      <c r="L244" s="1225"/>
      <c r="M244" s="1225"/>
      <c r="N244" s="1211"/>
      <c r="O244" s="1211"/>
      <c r="P244" s="1225"/>
      <c r="Q244" s="1211"/>
      <c r="R244" s="1226"/>
      <c r="S244" s="1227"/>
      <c r="T244" s="1211"/>
      <c r="U244" s="1228"/>
      <c r="V244" s="1211"/>
    </row>
    <row r="245" spans="1:22" s="1245" customFormat="1" x14ac:dyDescent="0.3">
      <c r="A245" s="1235"/>
      <c r="B245" s="1236"/>
      <c r="C245" s="1237"/>
      <c r="D245" s="1238"/>
      <c r="E245" s="1239"/>
      <c r="F245" s="1240"/>
      <c r="G245" s="1240"/>
      <c r="H245" s="1237" t="s">
        <v>1070</v>
      </c>
      <c r="I245" s="1237"/>
      <c r="J245" s="1236"/>
      <c r="K245" s="1241"/>
      <c r="L245" s="1241"/>
      <c r="M245" s="1241"/>
      <c r="N245" s="1236"/>
      <c r="O245" s="1236"/>
      <c r="P245" s="1241"/>
      <c r="Q245" s="1236"/>
      <c r="R245" s="1242"/>
      <c r="S245" s="1243"/>
      <c r="T245" s="1236"/>
      <c r="U245" s="1244"/>
      <c r="V245" s="1236"/>
    </row>
    <row r="246" spans="1:22" hidden="1" outlineLevel="1" x14ac:dyDescent="0.3">
      <c r="A246" s="1209">
        <v>75</v>
      </c>
      <c r="B246" s="1211" t="s">
        <v>1085</v>
      </c>
      <c r="C246" s="1211"/>
      <c r="D246" s="1215" t="s">
        <v>61</v>
      </c>
      <c r="E246" s="1212" t="s">
        <v>293</v>
      </c>
      <c r="F246" s="1224">
        <v>44153</v>
      </c>
      <c r="G246" s="1224"/>
      <c r="H246" s="1211" t="s">
        <v>486</v>
      </c>
      <c r="I246" s="1211"/>
      <c r="J246" s="1211"/>
      <c r="K246" s="1225">
        <v>1900</v>
      </c>
      <c r="L246" s="1225">
        <v>2200</v>
      </c>
      <c r="M246" s="1225">
        <v>2050</v>
      </c>
      <c r="N246" s="1211"/>
      <c r="O246" s="1211" t="s">
        <v>1086</v>
      </c>
      <c r="P246" s="1225">
        <v>2242.7517215999997</v>
      </c>
      <c r="Q246" s="1211"/>
      <c r="R246" s="1226">
        <v>192.75172159999966</v>
      </c>
      <c r="S246" s="1227">
        <v>9.4025230048780314E-2</v>
      </c>
      <c r="T246" s="1211"/>
      <c r="U246" s="1228" t="s">
        <v>487</v>
      </c>
      <c r="V246" s="1211"/>
    </row>
    <row r="247" spans="1:22" hidden="1" outlineLevel="1" x14ac:dyDescent="0.3">
      <c r="A247" s="1209">
        <v>74</v>
      </c>
      <c r="B247" s="1211" t="s">
        <v>1085</v>
      </c>
      <c r="C247" s="1211"/>
      <c r="D247" s="1215" t="s">
        <v>504</v>
      </c>
      <c r="E247" s="1212" t="s">
        <v>483</v>
      </c>
      <c r="F247" s="1224">
        <v>44153</v>
      </c>
      <c r="G247" s="1224"/>
      <c r="H247" s="1211" t="s">
        <v>486</v>
      </c>
      <c r="I247" s="1211"/>
      <c r="J247" s="1211"/>
      <c r="K247" s="1225">
        <v>250</v>
      </c>
      <c r="L247" s="1225">
        <v>350</v>
      </c>
      <c r="M247" s="1225">
        <v>300</v>
      </c>
      <c r="N247" s="1211"/>
      <c r="O247" s="1211" t="s">
        <v>1086</v>
      </c>
      <c r="P247" s="1225">
        <v>351.54445238400001</v>
      </c>
      <c r="Q247" s="1211"/>
      <c r="R247" s="1226">
        <v>51.54445238400001</v>
      </c>
      <c r="S247" s="1227">
        <v>0.17181484128000005</v>
      </c>
      <c r="T247" s="1211"/>
      <c r="U247" s="1228" t="s">
        <v>487</v>
      </c>
      <c r="V247" s="1211"/>
    </row>
    <row r="248" spans="1:22" hidden="1" outlineLevel="1" x14ac:dyDescent="0.3">
      <c r="A248" s="1209">
        <v>73</v>
      </c>
      <c r="B248" s="1211" t="s">
        <v>1085</v>
      </c>
      <c r="C248" s="1211"/>
      <c r="D248" s="1215" t="s">
        <v>99</v>
      </c>
      <c r="E248" s="1212" t="s">
        <v>488</v>
      </c>
      <c r="F248" s="1224">
        <v>44153</v>
      </c>
      <c r="G248" s="1224"/>
      <c r="H248" s="1211" t="s">
        <v>486</v>
      </c>
      <c r="I248" s="1211"/>
      <c r="J248" s="1211"/>
      <c r="K248" s="1225">
        <v>260</v>
      </c>
      <c r="L248" s="1225">
        <v>360</v>
      </c>
      <c r="M248" s="1225">
        <v>310</v>
      </c>
      <c r="N248" s="1211"/>
      <c r="O248" s="1211" t="s">
        <v>1086</v>
      </c>
      <c r="P248" s="1225">
        <v>0</v>
      </c>
      <c r="Q248" s="1211"/>
      <c r="R248" s="1226">
        <v>-310</v>
      </c>
      <c r="S248" s="1227">
        <v>-1</v>
      </c>
      <c r="T248" s="1211"/>
      <c r="U248" s="1228" t="s">
        <v>487</v>
      </c>
      <c r="V248" s="1211"/>
    </row>
    <row r="249" spans="1:22" hidden="1" outlineLevel="1" x14ac:dyDescent="0.3">
      <c r="A249" s="1209">
        <v>72</v>
      </c>
      <c r="B249" s="1211" t="s">
        <v>1085</v>
      </c>
      <c r="C249" s="1211"/>
      <c r="D249" s="1215" t="s">
        <v>33</v>
      </c>
      <c r="E249" s="1212" t="s">
        <v>508</v>
      </c>
      <c r="F249" s="1224">
        <v>44153</v>
      </c>
      <c r="G249" s="1224"/>
      <c r="H249" s="1211" t="s">
        <v>486</v>
      </c>
      <c r="I249" s="1211"/>
      <c r="J249" s="1211"/>
      <c r="K249" s="1214">
        <v>0.36</v>
      </c>
      <c r="L249" s="1214">
        <v>0.39</v>
      </c>
      <c r="M249" s="1214">
        <v>0.375</v>
      </c>
      <c r="N249" s="1211"/>
      <c r="O249" s="1211" t="s">
        <v>1086</v>
      </c>
      <c r="P249" s="1214">
        <v>0</v>
      </c>
      <c r="Q249" s="1211"/>
      <c r="R249" s="1227">
        <v>-0.375</v>
      </c>
      <c r="S249" s="1227">
        <v>-1</v>
      </c>
      <c r="T249" s="1211"/>
      <c r="U249" s="1228" t="s">
        <v>487</v>
      </c>
      <c r="V249" s="1211"/>
    </row>
    <row r="250" spans="1:22" hidden="1" outlineLevel="1" x14ac:dyDescent="0.3">
      <c r="A250" s="1209">
        <v>71</v>
      </c>
      <c r="B250" s="1211" t="s">
        <v>1085</v>
      </c>
      <c r="C250" s="1211"/>
      <c r="D250" s="1215" t="s">
        <v>611</v>
      </c>
      <c r="E250" s="1212" t="s">
        <v>489</v>
      </c>
      <c r="F250" s="1224">
        <v>44153</v>
      </c>
      <c r="G250" s="1224"/>
      <c r="H250" s="1211" t="s">
        <v>486</v>
      </c>
      <c r="I250" s="1211"/>
      <c r="J250" s="1211"/>
      <c r="K250" s="1214">
        <v>0.21</v>
      </c>
      <c r="L250" s="1214">
        <v>0.24</v>
      </c>
      <c r="M250" s="1214">
        <v>0.22499999999999998</v>
      </c>
      <c r="N250" s="1211"/>
      <c r="O250" s="1211" t="s">
        <v>1086</v>
      </c>
      <c r="P250" s="1214">
        <v>0.19375030229696327</v>
      </c>
      <c r="Q250" s="1211"/>
      <c r="R250" s="1227">
        <v>-3.1249697703036705E-2</v>
      </c>
      <c r="S250" s="1227">
        <v>-0.13888754534682982</v>
      </c>
      <c r="T250" s="1211"/>
      <c r="U250" s="1228" t="s">
        <v>487</v>
      </c>
      <c r="V250" s="1211"/>
    </row>
    <row r="251" spans="1:22" hidden="1" outlineLevel="1" x14ac:dyDescent="0.3">
      <c r="A251" s="1209">
        <v>70</v>
      </c>
      <c r="B251" s="1211"/>
      <c r="C251" s="1211"/>
      <c r="D251" s="1215"/>
      <c r="E251" s="1212"/>
      <c r="F251" s="1224"/>
      <c r="G251" s="1224"/>
      <c r="H251" s="1211"/>
      <c r="I251" s="1211"/>
      <c r="J251" s="1211"/>
      <c r="K251" s="1225"/>
      <c r="L251" s="1225"/>
      <c r="M251" s="1225"/>
      <c r="N251" s="1211"/>
      <c r="O251" s="1211"/>
      <c r="P251" s="1225"/>
      <c r="Q251" s="1211"/>
      <c r="R251" s="1226"/>
      <c r="S251" s="1227"/>
      <c r="T251" s="1211"/>
      <c r="U251" s="1228"/>
      <c r="V251" s="1211"/>
    </row>
    <row r="252" spans="1:22" hidden="1" outlineLevel="1" collapsed="1" x14ac:dyDescent="0.3">
      <c r="A252" s="1209">
        <v>69</v>
      </c>
      <c r="B252" s="1211" t="s">
        <v>1087</v>
      </c>
      <c r="C252" s="1211"/>
      <c r="D252" s="1215" t="s">
        <v>61</v>
      </c>
      <c r="E252" s="1212" t="s">
        <v>293</v>
      </c>
      <c r="F252" s="1224">
        <v>44152</v>
      </c>
      <c r="G252" s="1224" t="s">
        <v>1071</v>
      </c>
      <c r="H252" s="1211" t="s">
        <v>438</v>
      </c>
      <c r="I252" s="1211"/>
      <c r="J252" s="1211"/>
      <c r="K252" s="1225">
        <v>1457</v>
      </c>
      <c r="L252" s="1225">
        <v>1485</v>
      </c>
      <c r="M252" s="1225">
        <v>1471</v>
      </c>
      <c r="N252" s="1211"/>
      <c r="O252" s="1211" t="s">
        <v>1054</v>
      </c>
      <c r="P252" s="1225">
        <v>1536.76</v>
      </c>
      <c r="Q252" s="1211"/>
      <c r="R252" s="1226">
        <v>65.759999999999991</v>
      </c>
      <c r="S252" s="1227">
        <v>4.4704282800815766E-2</v>
      </c>
      <c r="T252" s="1211"/>
      <c r="U252" s="1228" t="s">
        <v>295</v>
      </c>
      <c r="V252" s="1211"/>
    </row>
    <row r="253" spans="1:22" hidden="1" outlineLevel="1" x14ac:dyDescent="0.3">
      <c r="A253" s="1209">
        <v>68</v>
      </c>
      <c r="B253" s="1211" t="s">
        <v>1087</v>
      </c>
      <c r="C253" s="1211"/>
      <c r="D253" s="1215" t="s">
        <v>94</v>
      </c>
      <c r="E253" s="1212" t="s">
        <v>296</v>
      </c>
      <c r="F253" s="1224">
        <v>44152</v>
      </c>
      <c r="G253" s="1224"/>
      <c r="H253" s="1211" t="s">
        <v>438</v>
      </c>
      <c r="I253" s="1211"/>
      <c r="J253" s="1211"/>
      <c r="K253" s="1225">
        <v>-60</v>
      </c>
      <c r="L253" s="1225">
        <v>-50</v>
      </c>
      <c r="M253" s="1225">
        <v>-55</v>
      </c>
      <c r="N253" s="1211"/>
      <c r="O253" s="1211" t="s">
        <v>1054</v>
      </c>
      <c r="P253" s="1225">
        <v>-52.263000000000005</v>
      </c>
      <c r="Q253" s="1211"/>
      <c r="R253" s="1226">
        <v>2.7369999999999948</v>
      </c>
      <c r="S253" s="1227">
        <v>4.9763636363636267E-2</v>
      </c>
      <c r="T253" s="1211"/>
      <c r="U253" s="1228" t="s">
        <v>295</v>
      </c>
      <c r="V253" s="1211"/>
    </row>
    <row r="254" spans="1:22" hidden="1" outlineLevel="1" x14ac:dyDescent="0.3">
      <c r="A254" s="1209">
        <v>67</v>
      </c>
      <c r="B254" s="1211" t="s">
        <v>1087</v>
      </c>
      <c r="C254" s="1211"/>
      <c r="D254" s="1215" t="s">
        <v>391</v>
      </c>
      <c r="E254" s="1212"/>
      <c r="F254" s="1224">
        <v>44152</v>
      </c>
      <c r="G254" s="1224"/>
      <c r="H254" s="1211" t="s">
        <v>438</v>
      </c>
      <c r="I254" s="1211"/>
      <c r="J254" s="1211"/>
      <c r="K254" s="1214">
        <v>0.26</v>
      </c>
      <c r="L254" s="1214">
        <v>0.28999999999999998</v>
      </c>
      <c r="M254" s="1214">
        <v>0.27500000000000002</v>
      </c>
      <c r="N254" s="1211"/>
      <c r="O254" s="1211" t="s">
        <v>1054</v>
      </c>
      <c r="P254" s="1214">
        <v>0.25747591966927597</v>
      </c>
      <c r="Q254" s="1211"/>
      <c r="R254" s="1227">
        <v>-1.7524080330724057E-2</v>
      </c>
      <c r="S254" s="1227">
        <v>-6.3723928475360195E-2</v>
      </c>
      <c r="T254" s="1211"/>
      <c r="U254" s="1228" t="s">
        <v>295</v>
      </c>
      <c r="V254" s="1211"/>
    </row>
    <row r="255" spans="1:22" hidden="1" outlineLevel="1" x14ac:dyDescent="0.3">
      <c r="A255" s="1209">
        <v>66</v>
      </c>
      <c r="B255" s="1211" t="s">
        <v>1087</v>
      </c>
      <c r="C255" s="1211"/>
      <c r="D255" s="1215" t="s">
        <v>504</v>
      </c>
      <c r="E255" s="1212" t="s">
        <v>483</v>
      </c>
      <c r="F255" s="1224">
        <v>44152</v>
      </c>
      <c r="G255" s="1224"/>
      <c r="H255" s="1211" t="s">
        <v>438</v>
      </c>
      <c r="I255" s="1211"/>
      <c r="J255" s="1211"/>
      <c r="K255" s="1225">
        <v>120</v>
      </c>
      <c r="L255" s="1225">
        <v>130</v>
      </c>
      <c r="M255" s="1225">
        <v>125</v>
      </c>
      <c r="N255" s="1211"/>
      <c r="O255" s="1211" t="s">
        <v>1054</v>
      </c>
      <c r="P255" s="1225">
        <v>161.43099999999995</v>
      </c>
      <c r="Q255" s="1211"/>
      <c r="R255" s="1226">
        <v>36.430999999999955</v>
      </c>
      <c r="S255" s="1227">
        <v>0.29144799999999965</v>
      </c>
      <c r="T255" s="1211"/>
      <c r="U255" s="1228" t="s">
        <v>295</v>
      </c>
      <c r="V255" s="1211"/>
    </row>
    <row r="256" spans="1:22" hidden="1" outlineLevel="1" x14ac:dyDescent="0.3">
      <c r="A256" s="1209">
        <v>65</v>
      </c>
      <c r="B256" s="1211"/>
      <c r="C256" s="1211"/>
      <c r="D256" s="1215"/>
      <c r="E256" s="1212"/>
      <c r="F256" s="1224"/>
      <c r="G256" s="1224"/>
      <c r="H256" s="1211"/>
      <c r="I256" s="1211"/>
      <c r="J256" s="1211"/>
      <c r="K256" s="1225"/>
      <c r="L256" s="1225"/>
      <c r="M256" s="1225"/>
      <c r="N256" s="1211"/>
      <c r="O256" s="1211"/>
      <c r="P256" s="1225"/>
      <c r="Q256" s="1211"/>
      <c r="R256" s="1226"/>
      <c r="S256" s="1227"/>
      <c r="T256" s="1211"/>
      <c r="U256" s="1228"/>
      <c r="V256" s="1211"/>
    </row>
    <row r="257" spans="1:22" collapsed="1" x14ac:dyDescent="0.3">
      <c r="A257" s="1209"/>
      <c r="B257" s="1211"/>
      <c r="C257" s="1211"/>
      <c r="D257" s="1215"/>
      <c r="E257" s="1212"/>
      <c r="F257" s="1224"/>
      <c r="G257" s="1224"/>
      <c r="H257" s="1211"/>
      <c r="I257" s="1211"/>
      <c r="J257" s="1211"/>
      <c r="K257" s="1225"/>
      <c r="L257" s="1225"/>
      <c r="M257" s="1225"/>
      <c r="N257" s="1211"/>
      <c r="O257" s="1211"/>
      <c r="P257" s="1225"/>
      <c r="Q257" s="1211"/>
      <c r="R257" s="1226"/>
      <c r="S257" s="1227"/>
      <c r="T257" s="1211"/>
      <c r="U257" s="1228"/>
      <c r="V257" s="1211"/>
    </row>
    <row r="258" spans="1:22" x14ac:dyDescent="0.3">
      <c r="A258" s="1209">
        <v>64</v>
      </c>
      <c r="B258" s="1211" t="s">
        <v>1087</v>
      </c>
      <c r="C258" s="1211"/>
      <c r="D258" s="1215" t="s">
        <v>61</v>
      </c>
      <c r="E258" s="1212" t="s">
        <v>293</v>
      </c>
      <c r="F258" s="1224">
        <v>44130</v>
      </c>
      <c r="G258" s="1224" t="s">
        <v>1071</v>
      </c>
      <c r="H258" s="1211" t="s">
        <v>438</v>
      </c>
      <c r="I258" s="1211"/>
      <c r="J258" s="1211"/>
      <c r="K258" s="1225">
        <v>1445</v>
      </c>
      <c r="L258" s="1225">
        <v>1470</v>
      </c>
      <c r="M258" s="1225">
        <v>1457.5</v>
      </c>
      <c r="N258" s="1211"/>
      <c r="O258" s="1211" t="s">
        <v>1054</v>
      </c>
      <c r="P258" s="1225">
        <v>1536.76</v>
      </c>
      <c r="Q258" s="1211"/>
      <c r="R258" s="1226">
        <v>79.259999999999991</v>
      </c>
      <c r="S258" s="1227">
        <v>5.4380789022298447E-2</v>
      </c>
      <c r="T258" s="1211"/>
      <c r="U258" s="1228" t="s">
        <v>295</v>
      </c>
      <c r="V258" s="1211"/>
    </row>
    <row r="259" spans="1:22" x14ac:dyDescent="0.3">
      <c r="A259" s="1209">
        <v>63</v>
      </c>
      <c r="B259" s="1211" t="s">
        <v>1087</v>
      </c>
      <c r="C259" s="1211"/>
      <c r="D259" s="1215" t="s">
        <v>94</v>
      </c>
      <c r="E259" s="1212" t="s">
        <v>296</v>
      </c>
      <c r="F259" s="1224">
        <v>44130</v>
      </c>
      <c r="G259" s="1224" t="s">
        <v>1071</v>
      </c>
      <c r="H259" s="1211" t="s">
        <v>438</v>
      </c>
      <c r="I259" s="1211"/>
      <c r="J259" s="1211"/>
      <c r="K259" s="1225">
        <v>-60</v>
      </c>
      <c r="L259" s="1225">
        <v>-50</v>
      </c>
      <c r="M259" s="1225">
        <v>-55</v>
      </c>
      <c r="N259" s="1211"/>
      <c r="O259" s="1211" t="s">
        <v>1054</v>
      </c>
      <c r="P259" s="1225">
        <v>-52.263000000000005</v>
      </c>
      <c r="Q259" s="1211"/>
      <c r="R259" s="1226">
        <v>2.7369999999999948</v>
      </c>
      <c r="S259" s="1227">
        <v>4.9763636363636267E-2</v>
      </c>
      <c r="T259" s="1211"/>
      <c r="U259" s="1228" t="s">
        <v>295</v>
      </c>
      <c r="V259" s="1211"/>
    </row>
    <row r="260" spans="1:22" x14ac:dyDescent="0.3">
      <c r="A260" s="1209">
        <v>62</v>
      </c>
      <c r="B260" s="1211" t="s">
        <v>1087</v>
      </c>
      <c r="C260" s="1211"/>
      <c r="D260" s="1215" t="s">
        <v>391</v>
      </c>
      <c r="E260" s="1212"/>
      <c r="F260" s="1224">
        <v>44130</v>
      </c>
      <c r="G260" s="1224" t="s">
        <v>1071</v>
      </c>
      <c r="H260" s="1211" t="s">
        <v>438</v>
      </c>
      <c r="I260" s="1211"/>
      <c r="J260" s="1211"/>
      <c r="K260" s="1214">
        <v>0.26</v>
      </c>
      <c r="L260" s="1214">
        <v>0.28999999999999998</v>
      </c>
      <c r="M260" s="1214">
        <v>0.27500000000000002</v>
      </c>
      <c r="N260" s="1211"/>
      <c r="O260" s="1211" t="s">
        <v>1054</v>
      </c>
      <c r="P260" s="1214">
        <v>0.25747591966927597</v>
      </c>
      <c r="Q260" s="1211"/>
      <c r="R260" s="1227">
        <v>-1.7524080330724057E-2</v>
      </c>
      <c r="S260" s="1227">
        <v>-6.3723928475360195E-2</v>
      </c>
      <c r="T260" s="1211"/>
      <c r="U260" s="1228" t="s">
        <v>295</v>
      </c>
      <c r="V260" s="1211"/>
    </row>
    <row r="261" spans="1:22" x14ac:dyDescent="0.3">
      <c r="A261" s="1209">
        <v>61</v>
      </c>
      <c r="B261" s="1211" t="s">
        <v>1087</v>
      </c>
      <c r="C261" s="1211"/>
      <c r="D261" s="1215" t="s">
        <v>67</v>
      </c>
      <c r="E261" s="1212" t="s">
        <v>298</v>
      </c>
      <c r="F261" s="1224">
        <v>44130</v>
      </c>
      <c r="G261" s="1224" t="s">
        <v>1071</v>
      </c>
      <c r="H261" s="1211" t="s">
        <v>438</v>
      </c>
      <c r="I261" s="1211"/>
      <c r="J261" s="1211"/>
      <c r="K261" s="1225">
        <v>76.5</v>
      </c>
      <c r="L261" s="1225">
        <v>86.5</v>
      </c>
      <c r="M261" s="1225">
        <v>81.5</v>
      </c>
      <c r="N261" s="1211"/>
      <c r="O261" s="1211" t="s">
        <v>1054</v>
      </c>
      <c r="P261" s="1225">
        <v>110.45599999999996</v>
      </c>
      <c r="Q261" s="1211"/>
      <c r="R261" s="1226">
        <v>28.95599999999996</v>
      </c>
      <c r="S261" s="1227">
        <v>0.35528834355828171</v>
      </c>
      <c r="T261" s="1211"/>
      <c r="U261" s="1228" t="s">
        <v>295</v>
      </c>
      <c r="V261" s="1211"/>
    </row>
    <row r="262" spans="1:22" x14ac:dyDescent="0.3">
      <c r="A262" s="1209">
        <v>60</v>
      </c>
      <c r="B262" s="1211" t="s">
        <v>1087</v>
      </c>
      <c r="C262" s="1211"/>
      <c r="D262" s="1215" t="s">
        <v>66</v>
      </c>
      <c r="E262" s="1212" t="s">
        <v>415</v>
      </c>
      <c r="F262" s="1224">
        <v>44130</v>
      </c>
      <c r="G262" s="1224" t="s">
        <v>1071</v>
      </c>
      <c r="H262" s="1211" t="s">
        <v>438</v>
      </c>
      <c r="I262" s="1211"/>
      <c r="J262" s="1211"/>
      <c r="K262" s="1225">
        <v>35.5</v>
      </c>
      <c r="L262" s="1225">
        <v>35.5</v>
      </c>
      <c r="M262" s="1225">
        <v>35.5</v>
      </c>
      <c r="N262" s="1211"/>
      <c r="O262" s="1211" t="s">
        <v>1054</v>
      </c>
      <c r="P262" s="1225">
        <v>39.332999999999998</v>
      </c>
      <c r="Q262" s="1211"/>
      <c r="R262" s="1226">
        <v>3.8329999999999984</v>
      </c>
      <c r="S262" s="1227">
        <v>0.10797183098591545</v>
      </c>
      <c r="T262" s="1211"/>
      <c r="U262" s="1228" t="s">
        <v>295</v>
      </c>
      <c r="V262" s="1211"/>
    </row>
    <row r="263" spans="1:22" hidden="1" outlineLevel="1" x14ac:dyDescent="0.3">
      <c r="A263" s="1209">
        <v>59</v>
      </c>
      <c r="B263" s="1211" t="s">
        <v>1087</v>
      </c>
      <c r="C263" s="1211"/>
      <c r="D263" s="1215" t="s">
        <v>533</v>
      </c>
      <c r="E263" s="1212" t="s">
        <v>543</v>
      </c>
      <c r="F263" s="1224">
        <v>44130</v>
      </c>
      <c r="G263" s="1224" t="s">
        <v>1071</v>
      </c>
      <c r="H263" s="1211" t="s">
        <v>438</v>
      </c>
      <c r="I263" s="1211"/>
      <c r="J263" s="1211"/>
      <c r="K263" s="1225">
        <v>8</v>
      </c>
      <c r="L263" s="1225">
        <v>8</v>
      </c>
      <c r="M263" s="1225">
        <v>8</v>
      </c>
      <c r="N263" s="1211"/>
      <c r="O263" s="1211" t="s">
        <v>1054</v>
      </c>
      <c r="P263" s="1225">
        <v>0</v>
      </c>
      <c r="Q263" s="1211"/>
      <c r="R263" s="1226">
        <v>-8</v>
      </c>
      <c r="S263" s="1227">
        <v>-1</v>
      </c>
      <c r="T263" s="1211"/>
      <c r="U263" s="1228" t="s">
        <v>295</v>
      </c>
      <c r="V263" s="1211"/>
    </row>
    <row r="264" spans="1:22" collapsed="1" x14ac:dyDescent="0.3">
      <c r="A264" s="1209">
        <v>58</v>
      </c>
      <c r="B264" s="1211" t="s">
        <v>1087</v>
      </c>
      <c r="C264" s="1211"/>
      <c r="D264" s="1215" t="s">
        <v>504</v>
      </c>
      <c r="E264" s="1212" t="s">
        <v>483</v>
      </c>
      <c r="F264" s="1224">
        <v>44130</v>
      </c>
      <c r="G264" s="1224" t="s">
        <v>1071</v>
      </c>
      <c r="H264" s="1211" t="s">
        <v>438</v>
      </c>
      <c r="I264" s="1211"/>
      <c r="J264" s="1211"/>
      <c r="K264" s="1225">
        <v>120</v>
      </c>
      <c r="L264" s="1225">
        <v>130</v>
      </c>
      <c r="M264" s="1225">
        <v>125</v>
      </c>
      <c r="N264" s="1211"/>
      <c r="O264" s="1211" t="s">
        <v>1054</v>
      </c>
      <c r="P264" s="1225">
        <v>161.43099999999995</v>
      </c>
      <c r="Q264" s="1211"/>
      <c r="R264" s="1226">
        <v>36.430999999999955</v>
      </c>
      <c r="S264" s="1227">
        <v>0.29144799999999965</v>
      </c>
      <c r="T264" s="1211"/>
      <c r="U264" s="1228" t="s">
        <v>295</v>
      </c>
      <c r="V264" s="1211"/>
    </row>
    <row r="265" spans="1:22" x14ac:dyDescent="0.3">
      <c r="A265" s="1209">
        <v>57</v>
      </c>
      <c r="B265" s="1211"/>
      <c r="C265" s="1211"/>
      <c r="D265" s="1215"/>
      <c r="E265" s="1212"/>
      <c r="F265" s="1224"/>
      <c r="G265" s="1224"/>
      <c r="H265" s="1211"/>
      <c r="I265" s="1211"/>
      <c r="J265" s="1211"/>
      <c r="K265" s="1225"/>
      <c r="L265" s="1225"/>
      <c r="M265" s="1225"/>
      <c r="N265" s="1211"/>
      <c r="O265" s="1211"/>
      <c r="P265" s="1225"/>
      <c r="Q265" s="1211"/>
      <c r="R265" s="1226"/>
      <c r="S265" s="1227"/>
      <c r="T265" s="1211"/>
      <c r="U265" s="1228"/>
      <c r="V265" s="1211"/>
    </row>
    <row r="266" spans="1:22" x14ac:dyDescent="0.3">
      <c r="A266" s="1209">
        <v>56</v>
      </c>
      <c r="B266" s="1211" t="s">
        <v>1087</v>
      </c>
      <c r="C266" s="1211"/>
      <c r="D266" s="1215" t="s">
        <v>61</v>
      </c>
      <c r="E266" s="1212" t="s">
        <v>293</v>
      </c>
      <c r="F266" s="1224">
        <v>44130</v>
      </c>
      <c r="G266" s="1224" t="s">
        <v>1071</v>
      </c>
      <c r="H266" s="1211" t="s">
        <v>481</v>
      </c>
      <c r="I266" s="1211"/>
      <c r="J266" s="1211"/>
      <c r="K266" s="1225">
        <v>358</v>
      </c>
      <c r="L266" s="1225">
        <v>366</v>
      </c>
      <c r="M266" s="1225">
        <v>362</v>
      </c>
      <c r="N266" s="1211"/>
      <c r="O266" s="1211" t="s">
        <v>1054</v>
      </c>
      <c r="P266" s="1225">
        <v>376.14499999999998</v>
      </c>
      <c r="Q266" s="1211"/>
      <c r="R266" s="1226">
        <v>14.144999999999982</v>
      </c>
      <c r="S266" s="1227">
        <v>3.9074585635359066E-2</v>
      </c>
      <c r="T266" s="1211"/>
      <c r="U266" s="1228" t="s">
        <v>295</v>
      </c>
      <c r="V266" s="1211"/>
    </row>
    <row r="267" spans="1:22" x14ac:dyDescent="0.3">
      <c r="A267" s="1209">
        <v>55</v>
      </c>
      <c r="B267" s="1211" t="s">
        <v>1087</v>
      </c>
      <c r="C267" s="1211"/>
      <c r="D267" s="1215" t="s">
        <v>94</v>
      </c>
      <c r="E267" s="1212" t="s">
        <v>296</v>
      </c>
      <c r="F267" s="1224">
        <v>44130</v>
      </c>
      <c r="G267" s="1224" t="s">
        <v>1071</v>
      </c>
      <c r="H267" s="1211" t="s">
        <v>481</v>
      </c>
      <c r="I267" s="1211"/>
      <c r="J267" s="1211"/>
      <c r="K267" s="1225">
        <v>-15</v>
      </c>
      <c r="L267" s="1225">
        <v>-12</v>
      </c>
      <c r="M267" s="1225">
        <v>-13.5</v>
      </c>
      <c r="N267" s="1211"/>
      <c r="O267" s="1211" t="s">
        <v>1054</v>
      </c>
      <c r="P267" s="1225">
        <v>-10.756</v>
      </c>
      <c r="Q267" s="1211"/>
      <c r="R267" s="1226">
        <v>2.7439999999999998</v>
      </c>
      <c r="S267" s="1227">
        <v>0.20325925925925925</v>
      </c>
      <c r="T267" s="1211"/>
      <c r="U267" s="1228" t="s">
        <v>295</v>
      </c>
      <c r="V267" s="1211"/>
    </row>
    <row r="268" spans="1:22" x14ac:dyDescent="0.3">
      <c r="A268" s="1209">
        <v>54</v>
      </c>
      <c r="B268" s="1211" t="s">
        <v>1087</v>
      </c>
      <c r="C268" s="1211"/>
      <c r="D268" s="1215" t="s">
        <v>67</v>
      </c>
      <c r="E268" s="1212" t="s">
        <v>298</v>
      </c>
      <c r="F268" s="1224">
        <v>44130</v>
      </c>
      <c r="G268" s="1224" t="s">
        <v>1071</v>
      </c>
      <c r="H268" s="1211" t="s">
        <v>481</v>
      </c>
      <c r="I268" s="1211"/>
      <c r="J268" s="1211"/>
      <c r="K268" s="1225">
        <v>32.5</v>
      </c>
      <c r="L268" s="1225">
        <v>35.5</v>
      </c>
      <c r="M268" s="1225">
        <v>34</v>
      </c>
      <c r="N268" s="1211"/>
      <c r="O268" s="1211" t="s">
        <v>1054</v>
      </c>
      <c r="P268" s="1225">
        <v>38.451999999999956</v>
      </c>
      <c r="Q268" s="1211"/>
      <c r="R268" s="1226">
        <v>4.4519999999999555</v>
      </c>
      <c r="S268" s="1227">
        <v>0.13094117647058692</v>
      </c>
      <c r="T268" s="1211"/>
      <c r="U268" s="1228" t="s">
        <v>295</v>
      </c>
      <c r="V268" s="1211"/>
    </row>
    <row r="269" spans="1:22" x14ac:dyDescent="0.3">
      <c r="A269" s="1209">
        <v>53</v>
      </c>
      <c r="B269" s="1211" t="s">
        <v>1087</v>
      </c>
      <c r="C269" s="1211"/>
      <c r="D269" s="1215" t="s">
        <v>66</v>
      </c>
      <c r="E269" s="1212" t="s">
        <v>415</v>
      </c>
      <c r="F269" s="1224">
        <v>44130</v>
      </c>
      <c r="G269" s="1224" t="s">
        <v>1071</v>
      </c>
      <c r="H269" s="1211" t="s">
        <v>481</v>
      </c>
      <c r="I269" s="1211"/>
      <c r="J269" s="1211"/>
      <c r="K269" s="1225">
        <v>7.5</v>
      </c>
      <c r="L269" s="1225">
        <v>7.5</v>
      </c>
      <c r="M269" s="1225">
        <v>7.5</v>
      </c>
      <c r="N269" s="1211"/>
      <c r="O269" s="1211" t="s">
        <v>1054</v>
      </c>
      <c r="P269" s="1225">
        <v>9.0739999999999981</v>
      </c>
      <c r="Q269" s="1211"/>
      <c r="R269" s="1226">
        <v>1.5739999999999981</v>
      </c>
      <c r="S269" s="1227">
        <v>0.2098666666666664</v>
      </c>
      <c r="T269" s="1211"/>
      <c r="U269" s="1228" t="s">
        <v>295</v>
      </c>
      <c r="V269" s="1211"/>
    </row>
    <row r="270" spans="1:22" hidden="1" outlineLevel="1" x14ac:dyDescent="0.3">
      <c r="A270" s="1209">
        <v>52</v>
      </c>
      <c r="B270" s="1211" t="s">
        <v>1087</v>
      </c>
      <c r="C270" s="1211"/>
      <c r="D270" s="1215" t="s">
        <v>533</v>
      </c>
      <c r="E270" s="1212" t="s">
        <v>543</v>
      </c>
      <c r="F270" s="1224">
        <v>44130</v>
      </c>
      <c r="G270" s="1224" t="s">
        <v>1071</v>
      </c>
      <c r="H270" s="1211" t="s">
        <v>481</v>
      </c>
      <c r="I270" s="1211"/>
      <c r="J270" s="1211"/>
      <c r="K270" s="1225">
        <v>2</v>
      </c>
      <c r="L270" s="1225">
        <v>2</v>
      </c>
      <c r="M270" s="1225">
        <v>2</v>
      </c>
      <c r="N270" s="1211"/>
      <c r="O270" s="1211" t="s">
        <v>1054</v>
      </c>
      <c r="P270" s="1225">
        <v>2.524</v>
      </c>
      <c r="Q270" s="1211"/>
      <c r="R270" s="1226">
        <v>0.52400000000000002</v>
      </c>
      <c r="S270" s="1227">
        <v>0.26200000000000001</v>
      </c>
      <c r="T270" s="1211"/>
      <c r="U270" s="1228" t="s">
        <v>295</v>
      </c>
      <c r="V270" s="1211"/>
    </row>
    <row r="271" spans="1:22" collapsed="1" x14ac:dyDescent="0.3">
      <c r="A271" s="1209">
        <v>51</v>
      </c>
      <c r="B271" s="1211" t="s">
        <v>1087</v>
      </c>
      <c r="C271" s="1211"/>
      <c r="D271" s="1215" t="s">
        <v>504</v>
      </c>
      <c r="E271" s="1212" t="s">
        <v>483</v>
      </c>
      <c r="F271" s="1224">
        <v>44130</v>
      </c>
      <c r="G271" s="1224" t="s">
        <v>1071</v>
      </c>
      <c r="H271" s="1211" t="s">
        <v>481</v>
      </c>
      <c r="I271" s="1211"/>
      <c r="J271" s="1211"/>
      <c r="K271" s="1225">
        <v>42</v>
      </c>
      <c r="L271" s="1225">
        <v>45</v>
      </c>
      <c r="M271" s="1225">
        <v>43.5</v>
      </c>
      <c r="N271" s="1211"/>
      <c r="O271" s="1211" t="s">
        <v>1054</v>
      </c>
      <c r="P271" s="1225">
        <v>50.049999999999955</v>
      </c>
      <c r="Q271" s="1211"/>
      <c r="R271" s="1226">
        <v>6.5499999999999545</v>
      </c>
      <c r="S271" s="1227">
        <v>0.15057471264367711</v>
      </c>
      <c r="T271" s="1211"/>
      <c r="U271" s="1228" t="s">
        <v>295</v>
      </c>
      <c r="V271" s="1211"/>
    </row>
    <row r="272" spans="1:22" x14ac:dyDescent="0.3">
      <c r="A272" s="1209">
        <v>50</v>
      </c>
      <c r="B272" s="1211"/>
      <c r="C272" s="1211"/>
      <c r="D272" s="1215"/>
      <c r="E272" s="1212"/>
      <c r="F272" s="1224"/>
      <c r="G272" s="1224"/>
      <c r="H272" s="1211"/>
      <c r="I272" s="1211"/>
      <c r="J272" s="1211"/>
      <c r="K272" s="1225"/>
      <c r="L272" s="1225"/>
      <c r="M272" s="1225"/>
      <c r="N272" s="1211"/>
      <c r="O272" s="1211"/>
      <c r="P272" s="1225"/>
      <c r="Q272" s="1211"/>
      <c r="R272" s="1226"/>
      <c r="S272" s="1227"/>
      <c r="T272" s="1211"/>
      <c r="U272" s="1228"/>
      <c r="V272" s="1211"/>
    </row>
    <row r="273" spans="1:22" hidden="1" outlineLevel="1" x14ac:dyDescent="0.3">
      <c r="A273" s="1209">
        <v>49</v>
      </c>
      <c r="B273" s="1211" t="s">
        <v>1087</v>
      </c>
      <c r="C273" s="1211"/>
      <c r="D273" s="1215" t="s">
        <v>17</v>
      </c>
      <c r="E273" s="1212" t="s">
        <v>435</v>
      </c>
      <c r="F273" s="1224">
        <v>44054</v>
      </c>
      <c r="G273" s="1224"/>
      <c r="H273" s="1211" t="s">
        <v>438</v>
      </c>
      <c r="I273" s="1211"/>
      <c r="J273" s="1211"/>
      <c r="K273" s="1214">
        <v>0.1</v>
      </c>
      <c r="L273" s="1214">
        <v>0.35</v>
      </c>
      <c r="M273" s="1214">
        <v>0.22499999999999998</v>
      </c>
      <c r="N273" s="1211"/>
      <c r="O273" s="1211" t="s">
        <v>1054</v>
      </c>
      <c r="P273" s="1214">
        <v>0</v>
      </c>
      <c r="Q273" s="1211"/>
      <c r="R273" s="1227">
        <v>-0.22499999999999998</v>
      </c>
      <c r="S273" s="1227">
        <v>-1</v>
      </c>
      <c r="T273" s="1211"/>
      <c r="U273" s="1228" t="s">
        <v>295</v>
      </c>
      <c r="V273" s="1211"/>
    </row>
    <row r="274" spans="1:22" hidden="1" outlineLevel="1" x14ac:dyDescent="0.3">
      <c r="A274" s="1209">
        <v>48</v>
      </c>
      <c r="B274" s="1211" t="s">
        <v>1087</v>
      </c>
      <c r="C274" s="1211"/>
      <c r="D274" s="1215" t="s">
        <v>436</v>
      </c>
      <c r="E274" s="1212"/>
      <c r="F274" s="1224">
        <v>44054</v>
      </c>
      <c r="G274" s="1224"/>
      <c r="H274" s="1211" t="s">
        <v>438</v>
      </c>
      <c r="I274" s="1211"/>
      <c r="J274" s="1211"/>
      <c r="K274" s="1214">
        <v>0.1</v>
      </c>
      <c r="L274" s="1214">
        <v>0.15</v>
      </c>
      <c r="M274" s="1214">
        <v>0.125</v>
      </c>
      <c r="N274" s="1211"/>
      <c r="O274" s="1211" t="s">
        <v>1054</v>
      </c>
      <c r="P274" s="1214" t="s">
        <v>1088</v>
      </c>
      <c r="Q274" s="1211"/>
      <c r="R274" s="1227" t="s">
        <v>1088</v>
      </c>
      <c r="S274" s="1227" t="s">
        <v>1088</v>
      </c>
      <c r="T274" s="1211"/>
      <c r="U274" s="1228" t="s">
        <v>295</v>
      </c>
      <c r="V274" s="1211"/>
    </row>
    <row r="275" spans="1:22" hidden="1" outlineLevel="1" x14ac:dyDescent="0.3">
      <c r="A275" s="1209">
        <v>47</v>
      </c>
      <c r="B275" s="1211" t="s">
        <v>1087</v>
      </c>
      <c r="C275" s="1211"/>
      <c r="D275" s="1215" t="s">
        <v>416</v>
      </c>
      <c r="E275" s="1212" t="s">
        <v>437</v>
      </c>
      <c r="F275" s="1224">
        <v>44054</v>
      </c>
      <c r="G275" s="1224"/>
      <c r="H275" s="1211" t="s">
        <v>438</v>
      </c>
      <c r="I275" s="1211"/>
      <c r="J275" s="1211"/>
      <c r="K275" s="1225">
        <v>150</v>
      </c>
      <c r="L275" s="1225">
        <v>150</v>
      </c>
      <c r="M275" s="1225">
        <v>150</v>
      </c>
      <c r="N275" s="1211"/>
      <c r="O275" s="1211" t="s">
        <v>1054</v>
      </c>
      <c r="P275" s="1225">
        <v>0</v>
      </c>
      <c r="Q275" s="1211"/>
      <c r="R275" s="1226">
        <v>-150</v>
      </c>
      <c r="S275" s="1227">
        <v>-1</v>
      </c>
      <c r="T275" s="1211"/>
      <c r="U275" s="1228" t="s">
        <v>295</v>
      </c>
      <c r="V275" s="1211"/>
    </row>
    <row r="276" spans="1:22" hidden="1" outlineLevel="1" x14ac:dyDescent="0.3">
      <c r="A276" s="1209">
        <v>46</v>
      </c>
      <c r="B276" s="1211"/>
      <c r="C276" s="1211"/>
      <c r="D276" s="1215"/>
      <c r="E276" s="1212"/>
      <c r="F276" s="1224"/>
      <c r="G276" s="1224"/>
      <c r="H276" s="1211"/>
      <c r="I276" s="1211"/>
      <c r="J276" s="1211"/>
      <c r="K276" s="1225"/>
      <c r="L276" s="1225"/>
      <c r="M276" s="1225"/>
      <c r="N276" s="1211"/>
      <c r="O276" s="1211"/>
      <c r="P276" s="1225"/>
      <c r="Q276" s="1211"/>
      <c r="R276" s="1226"/>
      <c r="S276" s="1227"/>
      <c r="T276" s="1211"/>
      <c r="U276" s="1228"/>
      <c r="V276" s="1211"/>
    </row>
    <row r="277" spans="1:22" collapsed="1" x14ac:dyDescent="0.3">
      <c r="A277" s="1209">
        <v>45</v>
      </c>
      <c r="B277" s="1211" t="s">
        <v>1087</v>
      </c>
      <c r="C277" s="1211"/>
      <c r="D277" s="1215" t="s">
        <v>61</v>
      </c>
      <c r="E277" s="1212" t="s">
        <v>293</v>
      </c>
      <c r="F277" s="1224">
        <v>43948</v>
      </c>
      <c r="G277" s="1224" t="s">
        <v>1072</v>
      </c>
      <c r="H277" s="1211" t="s">
        <v>390</v>
      </c>
      <c r="I277" s="1211"/>
      <c r="J277" s="1211"/>
      <c r="K277" s="1225">
        <v>1033</v>
      </c>
      <c r="L277" s="1225">
        <v>1040</v>
      </c>
      <c r="M277" s="1225">
        <v>1036.5</v>
      </c>
      <c r="N277" s="1211"/>
      <c r="O277" s="1211" t="s">
        <v>1054</v>
      </c>
      <c r="P277" s="1225">
        <v>1040.7650000000001</v>
      </c>
      <c r="Q277" s="1211"/>
      <c r="R277" s="1226">
        <v>4.2650000000001</v>
      </c>
      <c r="S277" s="1227">
        <v>4.1148094548963824E-3</v>
      </c>
      <c r="T277" s="1211"/>
      <c r="U277" s="1228" t="s">
        <v>295</v>
      </c>
      <c r="V277" s="1211"/>
    </row>
    <row r="278" spans="1:22" x14ac:dyDescent="0.3">
      <c r="A278" s="1209">
        <v>44</v>
      </c>
      <c r="B278" s="1211" t="s">
        <v>1087</v>
      </c>
      <c r="C278" s="1211"/>
      <c r="D278" s="1215" t="s">
        <v>94</v>
      </c>
      <c r="E278" s="1212" t="s">
        <v>296</v>
      </c>
      <c r="F278" s="1224">
        <v>43948</v>
      </c>
      <c r="G278" s="1224" t="s">
        <v>1072</v>
      </c>
      <c r="H278" s="1211" t="s">
        <v>390</v>
      </c>
      <c r="I278" s="1211"/>
      <c r="J278" s="1211"/>
      <c r="K278" s="1225">
        <v>-45</v>
      </c>
      <c r="L278" s="1225">
        <v>-49</v>
      </c>
      <c r="M278" s="1225">
        <v>-47</v>
      </c>
      <c r="N278" s="1211"/>
      <c r="O278" s="1211" t="s">
        <v>1054</v>
      </c>
      <c r="P278" s="1225">
        <v>-44.997</v>
      </c>
      <c r="Q278" s="1211"/>
      <c r="R278" s="1226">
        <v>2.0030000000000001</v>
      </c>
      <c r="S278" s="1227">
        <v>4.2617021276595744E-2</v>
      </c>
      <c r="T278" s="1211"/>
      <c r="U278" s="1228" t="s">
        <v>295</v>
      </c>
      <c r="V278" s="1211"/>
    </row>
    <row r="279" spans="1:22" x14ac:dyDescent="0.3">
      <c r="A279" s="1209">
        <v>43</v>
      </c>
      <c r="B279" s="1211" t="s">
        <v>1087</v>
      </c>
      <c r="C279" s="1211"/>
      <c r="D279" s="1215" t="s">
        <v>391</v>
      </c>
      <c r="E279" s="1212"/>
      <c r="F279" s="1224">
        <v>43948</v>
      </c>
      <c r="G279" s="1224" t="s">
        <v>1072</v>
      </c>
      <c r="H279" s="1211" t="s">
        <v>390</v>
      </c>
      <c r="I279" s="1211"/>
      <c r="J279" s="1211"/>
      <c r="K279" s="1214">
        <v>0.28000000000000003</v>
      </c>
      <c r="L279" s="1214">
        <v>0.3</v>
      </c>
      <c r="M279" s="1214">
        <v>0.29000000000000004</v>
      </c>
      <c r="N279" s="1211"/>
      <c r="O279" s="1211" t="s">
        <v>1054</v>
      </c>
      <c r="P279" s="1214">
        <v>0.25551201124839124</v>
      </c>
      <c r="Q279" s="1211"/>
      <c r="R279" s="1227">
        <v>-3.44879887516088E-2</v>
      </c>
      <c r="S279" s="1227">
        <v>-0.11892409914347861</v>
      </c>
      <c r="T279" s="1211"/>
      <c r="U279" s="1228" t="s">
        <v>295</v>
      </c>
      <c r="V279" s="1211"/>
    </row>
    <row r="280" spans="1:22" x14ac:dyDescent="0.3">
      <c r="A280" s="1209">
        <v>42</v>
      </c>
      <c r="B280" s="1211" t="s">
        <v>1087</v>
      </c>
      <c r="C280" s="1211"/>
      <c r="D280" s="1215" t="s">
        <v>297</v>
      </c>
      <c r="E280" s="1212"/>
      <c r="F280" s="1224">
        <v>43948</v>
      </c>
      <c r="G280" s="1224" t="s">
        <v>1072</v>
      </c>
      <c r="H280" s="1211" t="s">
        <v>390</v>
      </c>
      <c r="I280" s="1211"/>
      <c r="J280" s="1211"/>
      <c r="K280" s="1225">
        <v>48</v>
      </c>
      <c r="L280" s="1225">
        <v>52</v>
      </c>
      <c r="M280" s="1225">
        <v>50</v>
      </c>
      <c r="N280" s="1211"/>
      <c r="O280" s="1211" t="s">
        <v>1054</v>
      </c>
      <c r="P280" s="1225">
        <v>56.066000000000109</v>
      </c>
      <c r="Q280" s="1211"/>
      <c r="R280" s="1226">
        <v>6.0660000000001091</v>
      </c>
      <c r="S280" s="1227">
        <v>0.12132000000000218</v>
      </c>
      <c r="T280" s="1211"/>
      <c r="U280" s="1228" t="s">
        <v>295</v>
      </c>
      <c r="V280" s="1211"/>
    </row>
    <row r="281" spans="1:22" x14ac:dyDescent="0.3">
      <c r="A281" s="1209">
        <v>41</v>
      </c>
      <c r="B281" s="1211" t="s">
        <v>1087</v>
      </c>
      <c r="C281" s="1211"/>
      <c r="D281" s="1215" t="s">
        <v>416</v>
      </c>
      <c r="E281" s="1212" t="s">
        <v>415</v>
      </c>
      <c r="F281" s="1224">
        <v>43948</v>
      </c>
      <c r="G281" s="1224" t="s">
        <v>1072</v>
      </c>
      <c r="H281" s="1211" t="s">
        <v>390</v>
      </c>
      <c r="I281" s="1211"/>
      <c r="J281" s="1211"/>
      <c r="K281" s="1225">
        <v>24.1</v>
      </c>
      <c r="L281" s="1225">
        <v>24.1</v>
      </c>
      <c r="M281" s="1225">
        <v>24.1</v>
      </c>
      <c r="N281" s="1211"/>
      <c r="O281" s="1211" t="s">
        <v>1054</v>
      </c>
      <c r="P281" s="1225">
        <v>23.609000000000002</v>
      </c>
      <c r="Q281" s="1211"/>
      <c r="R281" s="1226">
        <v>-0.49099999999999966</v>
      </c>
      <c r="S281" s="1227">
        <v>-2.0373443983402476E-2</v>
      </c>
      <c r="T281" s="1211"/>
      <c r="U281" s="1228" t="s">
        <v>295</v>
      </c>
      <c r="V281" s="1211"/>
    </row>
    <row r="282" spans="1:22" x14ac:dyDescent="0.3">
      <c r="A282" s="1209">
        <v>40</v>
      </c>
      <c r="B282" s="1211" t="s">
        <v>1087</v>
      </c>
      <c r="C282" s="1211"/>
      <c r="D282" s="1215" t="s">
        <v>44</v>
      </c>
      <c r="E282" s="1212" t="s">
        <v>298</v>
      </c>
      <c r="F282" s="1224">
        <v>43948</v>
      </c>
      <c r="G282" s="1224" t="s">
        <v>1072</v>
      </c>
      <c r="H282" s="1211" t="s">
        <v>390</v>
      </c>
      <c r="I282" s="1211"/>
      <c r="J282" s="1211"/>
      <c r="K282" s="1225">
        <v>23.9</v>
      </c>
      <c r="L282" s="1225">
        <v>27.9</v>
      </c>
      <c r="M282" s="1225">
        <v>25.9</v>
      </c>
      <c r="N282" s="1211"/>
      <c r="O282" s="1211" t="s">
        <v>1054</v>
      </c>
      <c r="P282" s="1225">
        <v>32.457000000000107</v>
      </c>
      <c r="Q282" s="1211"/>
      <c r="R282" s="1226">
        <v>6.5570000000001087</v>
      </c>
      <c r="S282" s="1227">
        <v>0.25316602316602738</v>
      </c>
      <c r="T282" s="1211"/>
      <c r="U282" s="1228" t="s">
        <v>295</v>
      </c>
      <c r="V282" s="1211"/>
    </row>
    <row r="283" spans="1:22" x14ac:dyDescent="0.3">
      <c r="A283" s="1209">
        <v>39</v>
      </c>
      <c r="B283" s="1211"/>
      <c r="C283" s="1211"/>
      <c r="D283" s="1215"/>
      <c r="E283" s="1212"/>
      <c r="F283" s="1224"/>
      <c r="G283" s="1224"/>
      <c r="H283" s="1211"/>
      <c r="I283" s="1211"/>
      <c r="J283" s="1211"/>
      <c r="K283" s="1225"/>
      <c r="L283" s="1225"/>
      <c r="M283" s="1225"/>
      <c r="N283" s="1211"/>
      <c r="O283" s="1211"/>
      <c r="P283" s="1225"/>
      <c r="Q283" s="1211"/>
      <c r="R283" s="1226"/>
      <c r="S283" s="1227"/>
      <c r="T283" s="1211"/>
      <c r="U283" s="1228"/>
      <c r="V283" s="1211"/>
    </row>
    <row r="284" spans="1:22" x14ac:dyDescent="0.3">
      <c r="A284" s="1209">
        <v>38</v>
      </c>
      <c r="B284" s="1211" t="s">
        <v>1087</v>
      </c>
      <c r="C284" s="1211"/>
      <c r="D284" s="1215" t="s">
        <v>61</v>
      </c>
      <c r="E284" s="1212" t="s">
        <v>293</v>
      </c>
      <c r="F284" s="1224">
        <v>43857</v>
      </c>
      <c r="G284" s="1224" t="s">
        <v>1073</v>
      </c>
      <c r="H284" s="1211" t="s">
        <v>390</v>
      </c>
      <c r="I284" s="1211"/>
      <c r="J284" s="1211"/>
      <c r="K284" s="1225">
        <v>1033</v>
      </c>
      <c r="L284" s="1225">
        <v>1040</v>
      </c>
      <c r="M284" s="1225">
        <v>1036.5</v>
      </c>
      <c r="N284" s="1211"/>
      <c r="O284" s="1211" t="s">
        <v>1054</v>
      </c>
      <c r="P284" s="1225">
        <v>1040.7650000000001</v>
      </c>
      <c r="Q284" s="1211"/>
      <c r="R284" s="1226">
        <v>4.2650000000001</v>
      </c>
      <c r="S284" s="1227">
        <v>4.1148094548963824E-3</v>
      </c>
      <c r="T284" s="1211"/>
      <c r="U284" s="1228" t="s">
        <v>295</v>
      </c>
      <c r="V284" s="1211"/>
    </row>
    <row r="285" spans="1:22" x14ac:dyDescent="0.3">
      <c r="A285" s="1209">
        <v>37</v>
      </c>
      <c r="B285" s="1211" t="s">
        <v>1087</v>
      </c>
      <c r="C285" s="1211"/>
      <c r="D285" s="1215" t="s">
        <v>94</v>
      </c>
      <c r="E285" s="1212" t="s">
        <v>296</v>
      </c>
      <c r="F285" s="1224">
        <v>43857</v>
      </c>
      <c r="G285" s="1224" t="s">
        <v>1073</v>
      </c>
      <c r="H285" s="1211" t="s">
        <v>390</v>
      </c>
      <c r="I285" s="1211"/>
      <c r="J285" s="1211"/>
      <c r="K285" s="1225">
        <v>-45</v>
      </c>
      <c r="L285" s="1225">
        <v>-49</v>
      </c>
      <c r="M285" s="1225">
        <v>-47</v>
      </c>
      <c r="N285" s="1211"/>
      <c r="O285" s="1211" t="s">
        <v>1054</v>
      </c>
      <c r="P285" s="1225">
        <v>-44.997</v>
      </c>
      <c r="Q285" s="1211"/>
      <c r="R285" s="1226">
        <v>2.0030000000000001</v>
      </c>
      <c r="S285" s="1227">
        <v>4.2617021276595744E-2</v>
      </c>
      <c r="T285" s="1211"/>
      <c r="U285" s="1228" t="s">
        <v>295</v>
      </c>
      <c r="V285" s="1211"/>
    </row>
    <row r="286" spans="1:22" x14ac:dyDescent="0.3">
      <c r="A286" s="1209">
        <v>36</v>
      </c>
      <c r="B286" s="1211" t="s">
        <v>1087</v>
      </c>
      <c r="C286" s="1211"/>
      <c r="D286" s="1215" t="s">
        <v>391</v>
      </c>
      <c r="E286" s="1212"/>
      <c r="F286" s="1224">
        <v>43857</v>
      </c>
      <c r="G286" s="1224" t="s">
        <v>1073</v>
      </c>
      <c r="H286" s="1211" t="s">
        <v>390</v>
      </c>
      <c r="I286" s="1211"/>
      <c r="J286" s="1211"/>
      <c r="K286" s="1214">
        <v>0.28000000000000003</v>
      </c>
      <c r="L286" s="1214">
        <v>0.3</v>
      </c>
      <c r="M286" s="1214">
        <v>0.29000000000000004</v>
      </c>
      <c r="N286" s="1211"/>
      <c r="O286" s="1211" t="s">
        <v>1054</v>
      </c>
      <c r="P286" s="1214">
        <v>0.25551201124839124</v>
      </c>
      <c r="Q286" s="1211"/>
      <c r="R286" s="1227">
        <v>-3.44879887516088E-2</v>
      </c>
      <c r="S286" s="1227">
        <v>-0.11892409914347861</v>
      </c>
      <c r="T286" s="1211"/>
      <c r="U286" s="1228" t="s">
        <v>295</v>
      </c>
      <c r="V286" s="1211"/>
    </row>
    <row r="287" spans="1:22" x14ac:dyDescent="0.3">
      <c r="A287" s="1209">
        <v>35</v>
      </c>
      <c r="B287" s="1211" t="s">
        <v>1087</v>
      </c>
      <c r="C287" s="1211"/>
      <c r="D287" s="1215" t="s">
        <v>297</v>
      </c>
      <c r="E287" s="1212" t="s">
        <v>298</v>
      </c>
      <c r="F287" s="1224">
        <v>43857</v>
      </c>
      <c r="G287" s="1224" t="s">
        <v>1073</v>
      </c>
      <c r="H287" s="1211" t="s">
        <v>390</v>
      </c>
      <c r="I287" s="1211"/>
      <c r="J287" s="1211"/>
      <c r="K287" s="1225">
        <v>48</v>
      </c>
      <c r="L287" s="1225">
        <v>52</v>
      </c>
      <c r="M287" s="1225">
        <v>50</v>
      </c>
      <c r="N287" s="1211"/>
      <c r="O287" s="1211" t="s">
        <v>1054</v>
      </c>
      <c r="P287" s="1225">
        <v>32.457000000000107</v>
      </c>
      <c r="Q287" s="1211"/>
      <c r="R287" s="1226">
        <v>-17.542999999999893</v>
      </c>
      <c r="S287" s="1227">
        <v>-0.35085999999999784</v>
      </c>
      <c r="T287" s="1211"/>
      <c r="U287" s="1228" t="s">
        <v>295</v>
      </c>
      <c r="V287" s="1211"/>
    </row>
    <row r="288" spans="1:22" x14ac:dyDescent="0.3">
      <c r="A288" s="1209">
        <v>34</v>
      </c>
      <c r="B288" s="1211"/>
      <c r="C288" s="1211"/>
      <c r="D288" s="1215"/>
      <c r="E288" s="1212"/>
      <c r="F288" s="1224"/>
      <c r="G288" s="1224"/>
      <c r="H288" s="1211"/>
      <c r="I288" s="1211"/>
      <c r="J288" s="1211"/>
      <c r="K288" s="1225"/>
      <c r="L288" s="1225"/>
      <c r="M288" s="1225"/>
      <c r="N288" s="1211"/>
      <c r="O288" s="1211"/>
      <c r="P288" s="1225"/>
      <c r="Q288" s="1211"/>
      <c r="R288" s="1226"/>
      <c r="S288" s="1227"/>
      <c r="T288" s="1211"/>
      <c r="U288" s="1228"/>
      <c r="V288" s="1211"/>
    </row>
    <row r="289" spans="1:22" x14ac:dyDescent="0.3">
      <c r="A289" s="1209">
        <v>33</v>
      </c>
      <c r="B289" s="1211" t="s">
        <v>1087</v>
      </c>
      <c r="C289" s="1211"/>
      <c r="D289" s="1215" t="s">
        <v>61</v>
      </c>
      <c r="E289" s="1212" t="s">
        <v>293</v>
      </c>
      <c r="F289" s="1224">
        <v>43857</v>
      </c>
      <c r="G289" s="1224" t="s">
        <v>1073</v>
      </c>
      <c r="H289" s="1211" t="s">
        <v>406</v>
      </c>
      <c r="I289" s="1211"/>
      <c r="J289" s="1211"/>
      <c r="K289" s="1225">
        <v>252</v>
      </c>
      <c r="L289" s="1225">
        <v>255</v>
      </c>
      <c r="M289" s="1225">
        <v>253.5</v>
      </c>
      <c r="N289" s="1211"/>
      <c r="O289" s="1211" t="s">
        <v>1054</v>
      </c>
      <c r="P289" s="1225">
        <v>257.154</v>
      </c>
      <c r="Q289" s="1211"/>
      <c r="R289" s="1226">
        <v>3.6539999999999964</v>
      </c>
      <c r="S289" s="1227">
        <v>1.4414201183431938E-2</v>
      </c>
      <c r="T289" s="1211"/>
      <c r="U289" s="1228" t="s">
        <v>295</v>
      </c>
      <c r="V289" s="1211"/>
    </row>
    <row r="290" spans="1:22" x14ac:dyDescent="0.3">
      <c r="A290" s="1209">
        <v>32</v>
      </c>
      <c r="B290" s="1211" t="s">
        <v>1087</v>
      </c>
      <c r="C290" s="1211"/>
      <c r="D290" s="1215" t="s">
        <v>94</v>
      </c>
      <c r="E290" s="1212" t="s">
        <v>296</v>
      </c>
      <c r="F290" s="1224">
        <v>43857</v>
      </c>
      <c r="G290" s="1224" t="s">
        <v>1073</v>
      </c>
      <c r="H290" s="1211" t="s">
        <v>406</v>
      </c>
      <c r="I290" s="1211"/>
      <c r="J290" s="1211"/>
      <c r="K290" s="1225">
        <v>-8</v>
      </c>
      <c r="L290" s="1225">
        <v>-10</v>
      </c>
      <c r="M290" s="1225">
        <v>-9</v>
      </c>
      <c r="N290" s="1211"/>
      <c r="O290" s="1211" t="s">
        <v>1054</v>
      </c>
      <c r="P290" s="1225">
        <v>-9.4740000000000002</v>
      </c>
      <c r="Q290" s="1211"/>
      <c r="R290" s="1226">
        <v>-0.4740000000000002</v>
      </c>
      <c r="S290" s="1227">
        <v>-5.2666666666666688E-2</v>
      </c>
      <c r="T290" s="1211"/>
      <c r="U290" s="1228" t="s">
        <v>295</v>
      </c>
      <c r="V290" s="1211"/>
    </row>
    <row r="291" spans="1:22" x14ac:dyDescent="0.3">
      <c r="A291" s="1209">
        <v>31</v>
      </c>
      <c r="B291" s="1211" t="s">
        <v>1087</v>
      </c>
      <c r="C291" s="1211"/>
      <c r="D291" s="1215" t="s">
        <v>297</v>
      </c>
      <c r="E291" s="1212" t="s">
        <v>298</v>
      </c>
      <c r="F291" s="1224">
        <v>43857</v>
      </c>
      <c r="G291" s="1224" t="s">
        <v>1073</v>
      </c>
      <c r="H291" s="1211" t="s">
        <v>406</v>
      </c>
      <c r="I291" s="1211"/>
      <c r="J291" s="1211"/>
      <c r="K291" s="1225">
        <v>18</v>
      </c>
      <c r="L291" s="1225">
        <v>20</v>
      </c>
      <c r="M291" s="1225">
        <v>19</v>
      </c>
      <c r="N291" s="1211"/>
      <c r="O291" s="1211" t="s">
        <v>1054</v>
      </c>
      <c r="P291" s="1225">
        <v>14.499000000000009</v>
      </c>
      <c r="Q291" s="1211"/>
      <c r="R291" s="1226">
        <v>-4.5009999999999906</v>
      </c>
      <c r="S291" s="1227">
        <v>-0.23689473684210477</v>
      </c>
      <c r="T291" s="1211"/>
      <c r="U291" s="1228" t="s">
        <v>295</v>
      </c>
      <c r="V291" s="1211"/>
    </row>
    <row r="292" spans="1:22" x14ac:dyDescent="0.3">
      <c r="A292" s="1209">
        <v>30</v>
      </c>
      <c r="B292" s="1211"/>
      <c r="C292" s="1211"/>
      <c r="D292" s="1215"/>
      <c r="E292" s="1212"/>
      <c r="F292" s="1224"/>
      <c r="G292" s="1224"/>
      <c r="H292" s="1211"/>
      <c r="I292" s="1211"/>
      <c r="J292" s="1211"/>
      <c r="K292" s="1225"/>
      <c r="L292" s="1225"/>
      <c r="M292" s="1225"/>
      <c r="N292" s="1211"/>
      <c r="O292" s="1211"/>
      <c r="P292" s="1225"/>
      <c r="Q292" s="1211"/>
      <c r="R292" s="1226"/>
      <c r="S292" s="1227"/>
      <c r="T292" s="1211"/>
      <c r="U292" s="1228"/>
      <c r="V292" s="1211"/>
    </row>
    <row r="293" spans="1:22" x14ac:dyDescent="0.3">
      <c r="A293" s="1209">
        <v>29</v>
      </c>
      <c r="B293" s="1211" t="s">
        <v>1087</v>
      </c>
      <c r="C293" s="1211"/>
      <c r="D293" s="1215" t="s">
        <v>61</v>
      </c>
      <c r="E293" s="1212" t="s">
        <v>293</v>
      </c>
      <c r="F293" s="1224">
        <v>43760</v>
      </c>
      <c r="G293" s="1224" t="s">
        <v>1074</v>
      </c>
      <c r="H293" s="1211" t="s">
        <v>390</v>
      </c>
      <c r="I293" s="1211"/>
      <c r="J293" s="1211"/>
      <c r="K293" s="1225">
        <v>1020</v>
      </c>
      <c r="L293" s="1225">
        <v>1035</v>
      </c>
      <c r="M293" s="1225">
        <v>1027.5</v>
      </c>
      <c r="N293" s="1211"/>
      <c r="O293" s="1211" t="s">
        <v>1054</v>
      </c>
      <c r="P293" s="1225">
        <v>1040.7650000000001</v>
      </c>
      <c r="Q293" s="1211"/>
      <c r="R293" s="1226">
        <v>13.2650000000001</v>
      </c>
      <c r="S293" s="1227">
        <v>1.2909975669099854E-2</v>
      </c>
      <c r="T293" s="1211"/>
      <c r="U293" s="1228" t="s">
        <v>295</v>
      </c>
      <c r="V293" s="1211"/>
    </row>
    <row r="294" spans="1:22" x14ac:dyDescent="0.3">
      <c r="A294" s="1209">
        <v>28</v>
      </c>
      <c r="B294" s="1211" t="s">
        <v>1087</v>
      </c>
      <c r="C294" s="1211"/>
      <c r="D294" s="1215" t="s">
        <v>94</v>
      </c>
      <c r="E294" s="1212" t="s">
        <v>296</v>
      </c>
      <c r="F294" s="1224">
        <v>43760</v>
      </c>
      <c r="G294" s="1224" t="s">
        <v>1074</v>
      </c>
      <c r="H294" s="1211" t="s">
        <v>390</v>
      </c>
      <c r="I294" s="1211"/>
      <c r="J294" s="1211"/>
      <c r="K294" s="1225">
        <v>-45</v>
      </c>
      <c r="L294" s="1225">
        <v>-49</v>
      </c>
      <c r="M294" s="1225">
        <v>-47</v>
      </c>
      <c r="N294" s="1211"/>
      <c r="O294" s="1211" t="s">
        <v>1054</v>
      </c>
      <c r="P294" s="1225">
        <v>-44.997</v>
      </c>
      <c r="Q294" s="1211"/>
      <c r="R294" s="1226">
        <v>2.0030000000000001</v>
      </c>
      <c r="S294" s="1227">
        <v>4.2617021276595744E-2</v>
      </c>
      <c r="T294" s="1211"/>
      <c r="U294" s="1228" t="s">
        <v>295</v>
      </c>
      <c r="V294" s="1211"/>
    </row>
    <row r="295" spans="1:22" x14ac:dyDescent="0.3">
      <c r="A295" s="1209">
        <v>27</v>
      </c>
      <c r="B295" s="1211" t="s">
        <v>1087</v>
      </c>
      <c r="C295" s="1211"/>
      <c r="D295" s="1215" t="s">
        <v>391</v>
      </c>
      <c r="E295" s="1212"/>
      <c r="F295" s="1224">
        <v>43760</v>
      </c>
      <c r="G295" s="1224" t="s">
        <v>1074</v>
      </c>
      <c r="H295" s="1211" t="s">
        <v>390</v>
      </c>
      <c r="I295" s="1211"/>
      <c r="J295" s="1211"/>
      <c r="K295" s="1214">
        <v>0.28000000000000003</v>
      </c>
      <c r="L295" s="1214">
        <v>0.3</v>
      </c>
      <c r="M295" s="1214">
        <v>0.29000000000000004</v>
      </c>
      <c r="N295" s="1211"/>
      <c r="O295" s="1211" t="s">
        <v>1054</v>
      </c>
      <c r="P295" s="1214">
        <v>0.25551201124839124</v>
      </c>
      <c r="Q295" s="1211"/>
      <c r="R295" s="1227">
        <v>-3.44879887516088E-2</v>
      </c>
      <c r="S295" s="1227">
        <v>-0.11892409914347861</v>
      </c>
      <c r="T295" s="1211"/>
      <c r="U295" s="1228" t="s">
        <v>295</v>
      </c>
      <c r="V295" s="1211"/>
    </row>
    <row r="296" spans="1:22" x14ac:dyDescent="0.3">
      <c r="A296" s="1209">
        <v>26</v>
      </c>
      <c r="B296" s="1211" t="s">
        <v>1087</v>
      </c>
      <c r="C296" s="1211"/>
      <c r="D296" s="1215" t="s">
        <v>297</v>
      </c>
      <c r="E296" s="1212" t="s">
        <v>298</v>
      </c>
      <c r="F296" s="1224">
        <v>43760</v>
      </c>
      <c r="G296" s="1224" t="s">
        <v>1074</v>
      </c>
      <c r="H296" s="1211" t="s">
        <v>390</v>
      </c>
      <c r="I296" s="1211"/>
      <c r="J296" s="1211"/>
      <c r="K296" s="1225">
        <v>68</v>
      </c>
      <c r="L296" s="1225">
        <v>72</v>
      </c>
      <c r="M296" s="1225">
        <v>70</v>
      </c>
      <c r="N296" s="1211"/>
      <c r="O296" s="1211" t="s">
        <v>1054</v>
      </c>
      <c r="P296" s="1225">
        <v>32.457000000000107</v>
      </c>
      <c r="Q296" s="1211"/>
      <c r="R296" s="1226">
        <v>-37.542999999999893</v>
      </c>
      <c r="S296" s="1227">
        <v>-0.53632857142856993</v>
      </c>
      <c r="T296" s="1211"/>
      <c r="U296" s="1228" t="s">
        <v>295</v>
      </c>
      <c r="V296" s="1211"/>
    </row>
    <row r="297" spans="1:22" x14ac:dyDescent="0.3">
      <c r="A297" s="1209">
        <v>25</v>
      </c>
      <c r="B297" s="1211"/>
      <c r="C297" s="1211"/>
      <c r="D297" s="1215"/>
      <c r="E297" s="1212"/>
      <c r="F297" s="1224"/>
      <c r="G297" s="1224"/>
      <c r="H297" s="1211"/>
      <c r="I297" s="1211"/>
      <c r="J297" s="1211"/>
      <c r="K297" s="1225"/>
      <c r="L297" s="1225"/>
      <c r="M297" s="1225"/>
      <c r="N297" s="1211"/>
      <c r="O297" s="1211"/>
      <c r="P297" s="1225"/>
      <c r="Q297" s="1211"/>
      <c r="R297" s="1226"/>
      <c r="S297" s="1227"/>
      <c r="T297" s="1211"/>
      <c r="U297" s="1228"/>
      <c r="V297" s="1211"/>
    </row>
    <row r="298" spans="1:22" x14ac:dyDescent="0.3">
      <c r="A298" s="1209">
        <v>24</v>
      </c>
      <c r="B298" s="1211" t="s">
        <v>1087</v>
      </c>
      <c r="C298" s="1211"/>
      <c r="D298" s="1215" t="s">
        <v>61</v>
      </c>
      <c r="E298" s="1212" t="s">
        <v>293</v>
      </c>
      <c r="F298" s="1224">
        <v>43760</v>
      </c>
      <c r="G298" s="1224" t="s">
        <v>1074</v>
      </c>
      <c r="H298" s="1211" t="s">
        <v>392</v>
      </c>
      <c r="I298" s="1211"/>
      <c r="J298" s="1211"/>
      <c r="K298" s="1225">
        <v>255</v>
      </c>
      <c r="L298" s="1225">
        <v>260</v>
      </c>
      <c r="M298" s="1225">
        <v>257.5</v>
      </c>
      <c r="N298" s="1211"/>
      <c r="O298" s="1211" t="s">
        <v>1054</v>
      </c>
      <c r="P298" s="1225">
        <v>257.55900000000003</v>
      </c>
      <c r="Q298" s="1211"/>
      <c r="R298" s="1226">
        <v>5.9000000000025921E-2</v>
      </c>
      <c r="S298" s="1227">
        <v>2.2912621359233367E-4</v>
      </c>
      <c r="T298" s="1211"/>
      <c r="U298" s="1228" t="s">
        <v>295</v>
      </c>
      <c r="V298" s="1211"/>
    </row>
    <row r="299" spans="1:22" x14ac:dyDescent="0.3">
      <c r="A299" s="1209">
        <v>23</v>
      </c>
      <c r="B299" s="1211" t="s">
        <v>1087</v>
      </c>
      <c r="C299" s="1211"/>
      <c r="D299" s="1215" t="s">
        <v>94</v>
      </c>
      <c r="E299" s="1212" t="s">
        <v>296</v>
      </c>
      <c r="F299" s="1224">
        <v>43760</v>
      </c>
      <c r="G299" s="1224" t="s">
        <v>1074</v>
      </c>
      <c r="H299" s="1211" t="s">
        <v>392</v>
      </c>
      <c r="I299" s="1211"/>
      <c r="J299" s="1211"/>
      <c r="K299" s="1225">
        <v>-9</v>
      </c>
      <c r="L299" s="1225">
        <v>-11</v>
      </c>
      <c r="M299" s="1225">
        <v>-10</v>
      </c>
      <c r="N299" s="1211"/>
      <c r="O299" s="1211" t="s">
        <v>1054</v>
      </c>
      <c r="P299" s="1225">
        <v>-9.3369999999999997</v>
      </c>
      <c r="Q299" s="1211"/>
      <c r="R299" s="1226">
        <v>0.66300000000000026</v>
      </c>
      <c r="S299" s="1227">
        <v>6.6300000000000026E-2</v>
      </c>
      <c r="T299" s="1211"/>
      <c r="U299" s="1228" t="s">
        <v>295</v>
      </c>
      <c r="V299" s="1211"/>
    </row>
    <row r="300" spans="1:22" x14ac:dyDescent="0.3">
      <c r="A300" s="1209">
        <v>22</v>
      </c>
      <c r="B300" s="1211" t="s">
        <v>1087</v>
      </c>
      <c r="C300" s="1211"/>
      <c r="D300" s="1215" t="s">
        <v>297</v>
      </c>
      <c r="E300" s="1212" t="s">
        <v>298</v>
      </c>
      <c r="F300" s="1224">
        <v>43760</v>
      </c>
      <c r="G300" s="1224" t="s">
        <v>1074</v>
      </c>
      <c r="H300" s="1211" t="s">
        <v>392</v>
      </c>
      <c r="I300" s="1211"/>
      <c r="J300" s="1211"/>
      <c r="K300" s="1225">
        <v>35</v>
      </c>
      <c r="L300" s="1225">
        <v>37</v>
      </c>
      <c r="M300" s="1225">
        <v>36</v>
      </c>
      <c r="N300" s="1211"/>
      <c r="O300" s="1211" t="s">
        <v>1054</v>
      </c>
      <c r="P300" s="1225">
        <v>30.305000000000028</v>
      </c>
      <c r="Q300" s="1211"/>
      <c r="R300" s="1226">
        <v>-5.6949999999999719</v>
      </c>
      <c r="S300" s="1227">
        <v>-0.15819444444444367</v>
      </c>
      <c r="T300" s="1211"/>
      <c r="U300" s="1228" t="s">
        <v>295</v>
      </c>
      <c r="V300" s="1211"/>
    </row>
    <row r="301" spans="1:22" x14ac:dyDescent="0.3">
      <c r="A301" s="1209">
        <v>21</v>
      </c>
      <c r="B301" s="1211"/>
      <c r="C301" s="1211"/>
      <c r="D301" s="1215"/>
      <c r="E301" s="1212"/>
      <c r="F301" s="1224"/>
      <c r="G301" s="1224"/>
      <c r="H301" s="1211"/>
      <c r="I301" s="1211"/>
      <c r="J301" s="1211"/>
      <c r="K301" s="1225"/>
      <c r="L301" s="1225"/>
      <c r="M301" s="1225"/>
      <c r="N301" s="1211"/>
      <c r="O301" s="1211"/>
      <c r="P301" s="1225"/>
      <c r="Q301" s="1211"/>
      <c r="R301" s="1226"/>
      <c r="S301" s="1227"/>
      <c r="T301" s="1211"/>
      <c r="U301" s="1228"/>
      <c r="V301" s="1211"/>
    </row>
    <row r="302" spans="1:22" x14ac:dyDescent="0.3">
      <c r="A302" s="1209">
        <v>20</v>
      </c>
      <c r="B302" s="1211" t="s">
        <v>1087</v>
      </c>
      <c r="C302" s="1211"/>
      <c r="D302" s="1215" t="s">
        <v>61</v>
      </c>
      <c r="E302" s="1212" t="s">
        <v>293</v>
      </c>
      <c r="F302" s="1224">
        <v>43578</v>
      </c>
      <c r="G302" s="1224" t="s">
        <v>1075</v>
      </c>
      <c r="H302" s="1211" t="s">
        <v>294</v>
      </c>
      <c r="I302" s="1211"/>
      <c r="J302" s="1211"/>
      <c r="K302" s="1225">
        <v>1005</v>
      </c>
      <c r="L302" s="1225">
        <v>1010</v>
      </c>
      <c r="M302" s="1225">
        <v>1007.5</v>
      </c>
      <c r="N302" s="1211"/>
      <c r="O302" s="1211" t="s">
        <v>1054</v>
      </c>
      <c r="P302" s="1225">
        <v>1015.752</v>
      </c>
      <c r="Q302" s="1211"/>
      <c r="R302" s="1226">
        <v>8.2519999999999527</v>
      </c>
      <c r="S302" s="1227">
        <v>8.1905707196029305E-3</v>
      </c>
      <c r="T302" s="1211"/>
      <c r="U302" s="1228" t="s">
        <v>295</v>
      </c>
      <c r="V302" s="1211"/>
    </row>
    <row r="303" spans="1:22" x14ac:dyDescent="0.3">
      <c r="A303" s="1209">
        <v>19</v>
      </c>
      <c r="B303" s="1211" t="s">
        <v>1087</v>
      </c>
      <c r="C303" s="1211"/>
      <c r="D303" s="1215" t="s">
        <v>94</v>
      </c>
      <c r="E303" s="1212" t="s">
        <v>296</v>
      </c>
      <c r="F303" s="1224">
        <v>43578</v>
      </c>
      <c r="G303" s="1224" t="s">
        <v>1075</v>
      </c>
      <c r="H303" s="1211" t="s">
        <v>294</v>
      </c>
      <c r="I303" s="1211"/>
      <c r="J303" s="1211"/>
      <c r="K303" s="1225">
        <v>-47</v>
      </c>
      <c r="L303" s="1225">
        <v>-50</v>
      </c>
      <c r="M303" s="1225">
        <v>-48.5</v>
      </c>
      <c r="N303" s="1211"/>
      <c r="O303" s="1211" t="s">
        <v>1054</v>
      </c>
      <c r="P303" s="1225">
        <v>-48.406000000000006</v>
      </c>
      <c r="Q303" s="1211"/>
      <c r="R303" s="1226">
        <v>9.3999999999994088E-2</v>
      </c>
      <c r="S303" s="1227">
        <v>1.9381443298967854E-3</v>
      </c>
      <c r="T303" s="1211"/>
      <c r="U303" s="1228" t="s">
        <v>295</v>
      </c>
      <c r="V303" s="1211"/>
    </row>
    <row r="304" spans="1:22" x14ac:dyDescent="0.3">
      <c r="A304" s="1209">
        <v>18</v>
      </c>
      <c r="B304" s="1211" t="s">
        <v>1087</v>
      </c>
      <c r="C304" s="1211"/>
      <c r="D304" s="1215" t="s">
        <v>297</v>
      </c>
      <c r="E304" s="1212" t="s">
        <v>298</v>
      </c>
      <c r="F304" s="1224">
        <v>43578</v>
      </c>
      <c r="G304" s="1224" t="s">
        <v>1075</v>
      </c>
      <c r="H304" s="1211" t="s">
        <v>294</v>
      </c>
      <c r="I304" s="1211"/>
      <c r="J304" s="1211"/>
      <c r="K304" s="1225">
        <v>58</v>
      </c>
      <c r="L304" s="1225">
        <v>60</v>
      </c>
      <c r="M304" s="1225">
        <v>59</v>
      </c>
      <c r="N304" s="1211"/>
      <c r="O304" s="1211" t="s">
        <v>1054</v>
      </c>
      <c r="P304" s="1225">
        <v>45.485999999999933</v>
      </c>
      <c r="Q304" s="1211"/>
      <c r="R304" s="1226">
        <v>-13.514000000000067</v>
      </c>
      <c r="S304" s="1227">
        <v>-0.22905084745762824</v>
      </c>
      <c r="T304" s="1211"/>
      <c r="U304" s="1228" t="s">
        <v>295</v>
      </c>
      <c r="V304" s="1211"/>
    </row>
    <row r="305" spans="1:22" x14ac:dyDescent="0.3">
      <c r="A305" s="1209">
        <v>17</v>
      </c>
      <c r="B305" s="1211"/>
      <c r="C305" s="1211"/>
      <c r="D305" s="1215"/>
      <c r="E305" s="1212"/>
      <c r="F305" s="1224"/>
      <c r="G305" s="1224"/>
      <c r="H305" s="1211"/>
      <c r="I305" s="1211"/>
      <c r="J305" s="1211"/>
      <c r="K305" s="1225"/>
      <c r="L305" s="1225"/>
      <c r="M305" s="1225"/>
      <c r="N305" s="1211"/>
      <c r="O305" s="1211"/>
      <c r="P305" s="1225"/>
      <c r="Q305" s="1211"/>
      <c r="R305" s="1226"/>
      <c r="S305" s="1227"/>
      <c r="T305" s="1211"/>
      <c r="U305" s="1228"/>
      <c r="V305" s="1211"/>
    </row>
    <row r="306" spans="1:22" x14ac:dyDescent="0.3">
      <c r="A306" s="1209">
        <v>16</v>
      </c>
      <c r="B306" s="1211" t="s">
        <v>1087</v>
      </c>
      <c r="C306" s="1211"/>
      <c r="D306" s="1215" t="s">
        <v>61</v>
      </c>
      <c r="E306" s="1212" t="s">
        <v>293</v>
      </c>
      <c r="F306" s="1224">
        <v>43488</v>
      </c>
      <c r="G306" s="1224" t="s">
        <v>1076</v>
      </c>
      <c r="H306" s="1211" t="s">
        <v>299</v>
      </c>
      <c r="I306" s="1211"/>
      <c r="J306" s="1211"/>
      <c r="K306" s="1225">
        <v>250</v>
      </c>
      <c r="L306" s="1225">
        <v>255</v>
      </c>
      <c r="M306" s="1225">
        <v>252.5</v>
      </c>
      <c r="N306" s="1211"/>
      <c r="O306" s="1211" t="s">
        <v>1054</v>
      </c>
      <c r="P306" s="1225">
        <v>253.25200000000001</v>
      </c>
      <c r="Q306" s="1211"/>
      <c r="R306" s="1226">
        <v>0.75200000000000955</v>
      </c>
      <c r="S306" s="1227">
        <v>2.9782178217822161E-3</v>
      </c>
      <c r="T306" s="1211"/>
      <c r="U306" s="1228" t="s">
        <v>295</v>
      </c>
      <c r="V306" s="1211"/>
    </row>
    <row r="307" spans="1:22" x14ac:dyDescent="0.3">
      <c r="A307" s="1209">
        <v>15</v>
      </c>
      <c r="B307" s="1211" t="s">
        <v>1087</v>
      </c>
      <c r="C307" s="1211"/>
      <c r="D307" s="1215" t="s">
        <v>94</v>
      </c>
      <c r="E307" s="1212" t="s">
        <v>296</v>
      </c>
      <c r="F307" s="1224">
        <v>43488</v>
      </c>
      <c r="G307" s="1224" t="s">
        <v>1076</v>
      </c>
      <c r="H307" s="1211" t="s">
        <v>299</v>
      </c>
      <c r="I307" s="1211"/>
      <c r="J307" s="1211"/>
      <c r="K307" s="1225">
        <v>-11</v>
      </c>
      <c r="L307" s="1225">
        <v>-9</v>
      </c>
      <c r="M307" s="1225">
        <v>-10</v>
      </c>
      <c r="N307" s="1211"/>
      <c r="O307" s="1211" t="s">
        <v>1054</v>
      </c>
      <c r="P307" s="1225">
        <v>-9.4469999999999992</v>
      </c>
      <c r="Q307" s="1211"/>
      <c r="R307" s="1226">
        <v>0.55300000000000082</v>
      </c>
      <c r="S307" s="1227">
        <v>5.5300000000000085E-2</v>
      </c>
      <c r="T307" s="1211"/>
      <c r="U307" s="1228" t="s">
        <v>295</v>
      </c>
      <c r="V307" s="1211"/>
    </row>
    <row r="308" spans="1:22" x14ac:dyDescent="0.3">
      <c r="A308" s="1209">
        <v>14</v>
      </c>
      <c r="B308" s="1211" t="s">
        <v>1087</v>
      </c>
      <c r="C308" s="1211"/>
      <c r="D308" s="1215" t="s">
        <v>297</v>
      </c>
      <c r="E308" s="1212" t="s">
        <v>298</v>
      </c>
      <c r="F308" s="1224">
        <v>43488</v>
      </c>
      <c r="G308" s="1224" t="s">
        <v>1076</v>
      </c>
      <c r="H308" s="1211" t="s">
        <v>299</v>
      </c>
      <c r="I308" s="1211"/>
      <c r="J308" s="1211"/>
      <c r="K308" s="1225">
        <v>24</v>
      </c>
      <c r="L308" s="1225">
        <v>26</v>
      </c>
      <c r="M308" s="1225">
        <v>25</v>
      </c>
      <c r="N308" s="1211"/>
      <c r="O308" s="1211" t="s">
        <v>1054</v>
      </c>
      <c r="P308" s="1225">
        <v>23.267000000000017</v>
      </c>
      <c r="Q308" s="1211"/>
      <c r="R308" s="1226">
        <v>-1.7329999999999828</v>
      </c>
      <c r="S308" s="1227">
        <v>-6.9319999999999313E-2</v>
      </c>
      <c r="T308" s="1211"/>
      <c r="U308" s="1228" t="s">
        <v>295</v>
      </c>
      <c r="V308" s="1211"/>
    </row>
    <row r="309" spans="1:22" x14ac:dyDescent="0.3">
      <c r="A309" s="1209">
        <v>13</v>
      </c>
      <c r="B309" s="1211"/>
      <c r="C309" s="1211"/>
      <c r="D309" s="1215"/>
      <c r="E309" s="1212"/>
      <c r="F309" s="1224"/>
      <c r="G309" s="1224"/>
      <c r="H309" s="1211"/>
      <c r="I309" s="1211"/>
      <c r="J309" s="1211"/>
      <c r="K309" s="1225"/>
      <c r="L309" s="1225"/>
      <c r="M309" s="1225"/>
      <c r="N309" s="1211"/>
      <c r="O309" s="1211"/>
      <c r="P309" s="1225"/>
      <c r="Q309" s="1211"/>
      <c r="R309" s="1226"/>
      <c r="S309" s="1227"/>
      <c r="T309" s="1211"/>
      <c r="U309" s="1228"/>
      <c r="V309" s="1211"/>
    </row>
    <row r="310" spans="1:22" x14ac:dyDescent="0.3">
      <c r="A310" s="1209">
        <v>12</v>
      </c>
      <c r="B310" s="1211" t="s">
        <v>1087</v>
      </c>
      <c r="C310" s="1211"/>
      <c r="D310" s="1215" t="s">
        <v>61</v>
      </c>
      <c r="E310" s="1212" t="s">
        <v>293</v>
      </c>
      <c r="F310" s="1224">
        <v>43397</v>
      </c>
      <c r="G310" s="1224" t="s">
        <v>1077</v>
      </c>
      <c r="H310" s="1211" t="s">
        <v>300</v>
      </c>
      <c r="I310" s="1211"/>
      <c r="J310" s="1211"/>
      <c r="K310" s="1225">
        <v>250</v>
      </c>
      <c r="L310" s="1225">
        <v>255</v>
      </c>
      <c r="M310" s="1225">
        <v>252.5</v>
      </c>
      <c r="N310" s="1211"/>
      <c r="O310" s="1211" t="s">
        <v>1054</v>
      </c>
      <c r="P310" s="1225">
        <v>254.87200000000001</v>
      </c>
      <c r="Q310" s="1211"/>
      <c r="R310" s="1226">
        <v>2.3720000000000141</v>
      </c>
      <c r="S310" s="1227">
        <v>9.3940594059406506E-3</v>
      </c>
      <c r="T310" s="1211"/>
      <c r="U310" s="1228" t="s">
        <v>295</v>
      </c>
      <c r="V310" s="1211"/>
    </row>
    <row r="311" spans="1:22" x14ac:dyDescent="0.3">
      <c r="A311" s="1209">
        <v>11</v>
      </c>
      <c r="B311" s="1211" t="s">
        <v>1087</v>
      </c>
      <c r="C311" s="1211"/>
      <c r="D311" s="1215" t="s">
        <v>94</v>
      </c>
      <c r="E311" s="1212" t="s">
        <v>296</v>
      </c>
      <c r="F311" s="1224">
        <v>43397</v>
      </c>
      <c r="G311" s="1224" t="s">
        <v>1077</v>
      </c>
      <c r="H311" s="1211" t="s">
        <v>300</v>
      </c>
      <c r="I311" s="1211"/>
      <c r="J311" s="1211"/>
      <c r="K311" s="1225">
        <v>-13</v>
      </c>
      <c r="L311" s="1225">
        <v>-11</v>
      </c>
      <c r="M311" s="1225">
        <v>-12</v>
      </c>
      <c r="N311" s="1211"/>
      <c r="O311" s="1211" t="s">
        <v>1054</v>
      </c>
      <c r="P311" s="1225">
        <v>-9.5360000000000014</v>
      </c>
      <c r="Q311" s="1211"/>
      <c r="R311" s="1226">
        <v>2.4639999999999986</v>
      </c>
      <c r="S311" s="1227">
        <v>0.20533333333333323</v>
      </c>
      <c r="T311" s="1211"/>
      <c r="U311" s="1228" t="s">
        <v>295</v>
      </c>
      <c r="V311" s="1211"/>
    </row>
    <row r="312" spans="1:22" x14ac:dyDescent="0.3">
      <c r="A312" s="1209">
        <v>10</v>
      </c>
      <c r="B312" s="1211" t="s">
        <v>1087</v>
      </c>
      <c r="C312" s="1211"/>
      <c r="D312" s="1215" t="s">
        <v>297</v>
      </c>
      <c r="E312" s="1212"/>
      <c r="F312" s="1224">
        <v>43397</v>
      </c>
      <c r="G312" s="1224" t="s">
        <v>1077</v>
      </c>
      <c r="H312" s="1211" t="s">
        <v>300</v>
      </c>
      <c r="I312" s="1211"/>
      <c r="J312" s="1211"/>
      <c r="K312" s="1225">
        <v>35</v>
      </c>
      <c r="L312" s="1225">
        <v>38</v>
      </c>
      <c r="M312" s="1225">
        <v>36.5</v>
      </c>
      <c r="N312" s="1211"/>
      <c r="O312" s="1211" t="s">
        <v>1054</v>
      </c>
      <c r="P312" s="1225" t="s">
        <v>1088</v>
      </c>
      <c r="Q312" s="1211"/>
      <c r="R312" s="1226" t="s">
        <v>1088</v>
      </c>
      <c r="S312" s="1227" t="s">
        <v>1088</v>
      </c>
      <c r="T312" s="1211"/>
      <c r="U312" s="1228" t="s">
        <v>295</v>
      </c>
      <c r="V312" s="1211"/>
    </row>
    <row r="313" spans="1:22" x14ac:dyDescent="0.3">
      <c r="A313" s="1209">
        <v>9</v>
      </c>
      <c r="B313" s="1211"/>
      <c r="C313" s="1211"/>
      <c r="D313" s="1215"/>
      <c r="E313" s="1212"/>
      <c r="F313" s="1224"/>
      <c r="G313" s="1224"/>
      <c r="H313" s="1211"/>
      <c r="I313" s="1211"/>
      <c r="J313" s="1211"/>
      <c r="K313" s="1225"/>
      <c r="L313" s="1225"/>
      <c r="M313" s="1225"/>
      <c r="N313" s="1211"/>
      <c r="O313" s="1211"/>
      <c r="P313" s="1225"/>
      <c r="Q313" s="1211"/>
      <c r="R313" s="1226"/>
      <c r="S313" s="1227"/>
      <c r="T313" s="1211"/>
      <c r="U313" s="1228"/>
      <c r="V313" s="1211"/>
    </row>
    <row r="314" spans="1:22" x14ac:dyDescent="0.3">
      <c r="A314" s="1209">
        <v>8</v>
      </c>
      <c r="B314" s="1211" t="s">
        <v>1087</v>
      </c>
      <c r="C314" s="1211"/>
      <c r="D314" s="1215" t="s">
        <v>61</v>
      </c>
      <c r="E314" s="1212" t="s">
        <v>293</v>
      </c>
      <c r="F314" s="1224">
        <v>43397</v>
      </c>
      <c r="G314" s="1224" t="s">
        <v>1077</v>
      </c>
      <c r="H314" s="1211" t="s">
        <v>294</v>
      </c>
      <c r="I314" s="1211"/>
      <c r="J314" s="1211"/>
      <c r="K314" s="1225">
        <v>1000</v>
      </c>
      <c r="L314" s="1225">
        <v>1010</v>
      </c>
      <c r="M314" s="1225">
        <v>1005</v>
      </c>
      <c r="N314" s="1211"/>
      <c r="O314" s="1211" t="s">
        <v>1054</v>
      </c>
      <c r="P314" s="1225">
        <v>1015.752</v>
      </c>
      <c r="Q314" s="1211"/>
      <c r="R314" s="1226">
        <v>10.751999999999953</v>
      </c>
      <c r="S314" s="1227">
        <v>1.0698507462686521E-2</v>
      </c>
      <c r="T314" s="1211"/>
      <c r="U314" s="1228" t="s">
        <v>295</v>
      </c>
      <c r="V314" s="1211"/>
    </row>
    <row r="315" spans="1:22" x14ac:dyDescent="0.3">
      <c r="A315" s="1209">
        <v>7</v>
      </c>
      <c r="B315" s="1211" t="s">
        <v>1087</v>
      </c>
      <c r="C315" s="1211"/>
      <c r="D315" s="1215" t="s">
        <v>94</v>
      </c>
      <c r="E315" s="1212" t="s">
        <v>296</v>
      </c>
      <c r="F315" s="1224">
        <v>43397</v>
      </c>
      <c r="G315" s="1224" t="s">
        <v>1077</v>
      </c>
      <c r="H315" s="1211" t="s">
        <v>294</v>
      </c>
      <c r="I315" s="1211"/>
      <c r="J315" s="1211"/>
      <c r="K315" s="1225">
        <v>-50</v>
      </c>
      <c r="L315" s="1225">
        <v>-47</v>
      </c>
      <c r="M315" s="1225">
        <v>-48.5</v>
      </c>
      <c r="N315" s="1211"/>
      <c r="O315" s="1211" t="s">
        <v>1054</v>
      </c>
      <c r="P315" s="1225">
        <v>-48.406000000000006</v>
      </c>
      <c r="Q315" s="1211"/>
      <c r="R315" s="1226">
        <v>9.3999999999994088E-2</v>
      </c>
      <c r="S315" s="1227">
        <v>1.9381443298967854E-3</v>
      </c>
      <c r="T315" s="1211"/>
      <c r="U315" s="1228" t="s">
        <v>295</v>
      </c>
      <c r="V315" s="1211"/>
    </row>
    <row r="316" spans="1:22" x14ac:dyDescent="0.3">
      <c r="A316" s="1209">
        <v>6</v>
      </c>
      <c r="B316" s="1211" t="s">
        <v>1087</v>
      </c>
      <c r="C316" s="1211"/>
      <c r="D316" s="1215" t="s">
        <v>301</v>
      </c>
      <c r="E316" s="1212"/>
      <c r="F316" s="1224">
        <v>43397</v>
      </c>
      <c r="G316" s="1224" t="s">
        <v>1077</v>
      </c>
      <c r="H316" s="1211" t="s">
        <v>294</v>
      </c>
      <c r="I316" s="1211"/>
      <c r="J316" s="1211"/>
      <c r="K316" s="1214">
        <v>0.25</v>
      </c>
      <c r="L316" s="1214">
        <v>0.3</v>
      </c>
      <c r="M316" s="1214">
        <v>0.27500000000000002</v>
      </c>
      <c r="N316" s="1211"/>
      <c r="O316" s="1211" t="s">
        <v>1054</v>
      </c>
      <c r="P316" s="1214">
        <v>0.21753065486652495</v>
      </c>
      <c r="Q316" s="1211"/>
      <c r="R316" s="1227">
        <v>-5.7469345133475069E-2</v>
      </c>
      <c r="S316" s="1227">
        <v>-0.20897943684900022</v>
      </c>
      <c r="T316" s="1211"/>
      <c r="U316" s="1228" t="s">
        <v>295</v>
      </c>
      <c r="V316" s="1211"/>
    </row>
    <row r="317" spans="1:22" x14ac:dyDescent="0.3">
      <c r="A317" s="1209">
        <v>5</v>
      </c>
      <c r="B317" s="1211" t="s">
        <v>1087</v>
      </c>
      <c r="C317" s="1211"/>
      <c r="D317" s="1215" t="s">
        <v>297</v>
      </c>
      <c r="E317" s="1212"/>
      <c r="F317" s="1224">
        <v>43397</v>
      </c>
      <c r="G317" s="1224" t="s">
        <v>1077</v>
      </c>
      <c r="H317" s="1211" t="s">
        <v>294</v>
      </c>
      <c r="I317" s="1211"/>
      <c r="J317" s="1211"/>
      <c r="K317" s="1225">
        <v>56</v>
      </c>
      <c r="L317" s="1225">
        <v>60</v>
      </c>
      <c r="M317" s="1225">
        <v>58</v>
      </c>
      <c r="N317" s="1211"/>
      <c r="O317" s="1211" t="s">
        <v>1054</v>
      </c>
      <c r="P317" s="1225" t="s">
        <v>1088</v>
      </c>
      <c r="Q317" s="1211"/>
      <c r="R317" s="1226" t="s">
        <v>1088</v>
      </c>
      <c r="S317" s="1227" t="s">
        <v>1088</v>
      </c>
      <c r="T317" s="1211"/>
      <c r="U317" s="1228" t="s">
        <v>295</v>
      </c>
      <c r="V317" s="1211"/>
    </row>
    <row r="318" spans="1:22" x14ac:dyDescent="0.3">
      <c r="A318" s="1209">
        <v>4</v>
      </c>
      <c r="B318" s="1211"/>
      <c r="C318" s="1211"/>
      <c r="D318" s="1215"/>
      <c r="E318" s="1212"/>
      <c r="F318" s="1224"/>
      <c r="G318" s="1224"/>
      <c r="H318" s="1211"/>
      <c r="I318" s="1211"/>
      <c r="J318" s="1211"/>
      <c r="K318" s="1225"/>
      <c r="L318" s="1225"/>
      <c r="M318" s="1225"/>
      <c r="N318" s="1211"/>
      <c r="O318" s="1211"/>
      <c r="P318" s="1225"/>
      <c r="Q318" s="1211"/>
      <c r="R318" s="1226"/>
      <c r="S318" s="1227"/>
      <c r="T318" s="1211"/>
      <c r="U318" s="1228"/>
      <c r="V318" s="1211"/>
    </row>
    <row r="319" spans="1:22" x14ac:dyDescent="0.3">
      <c r="A319" s="1209">
        <v>3</v>
      </c>
      <c r="B319" s="1211" t="s">
        <v>1087</v>
      </c>
      <c r="C319" s="1211"/>
      <c r="D319" s="1215" t="s">
        <v>61</v>
      </c>
      <c r="E319" s="1212" t="s">
        <v>293</v>
      </c>
      <c r="F319" s="1224">
        <v>43215</v>
      </c>
      <c r="G319" s="1224"/>
      <c r="H319" s="1211" t="s">
        <v>302</v>
      </c>
      <c r="I319" s="1211"/>
      <c r="J319" s="1211"/>
      <c r="K319" s="1225">
        <v>906</v>
      </c>
      <c r="L319" s="1225">
        <v>912</v>
      </c>
      <c r="M319" s="1225">
        <v>909</v>
      </c>
      <c r="N319" s="1211"/>
      <c r="O319" s="1211" t="s">
        <v>1054</v>
      </c>
      <c r="P319" s="1225">
        <v>917.73400000000004</v>
      </c>
      <c r="Q319" s="1211"/>
      <c r="R319" s="1226">
        <v>8.7340000000000373</v>
      </c>
      <c r="S319" s="1227">
        <v>9.60836083608365E-3</v>
      </c>
      <c r="T319" s="1211"/>
      <c r="U319" s="1228" t="s">
        <v>295</v>
      </c>
      <c r="V319" s="1211"/>
    </row>
    <row r="320" spans="1:22" x14ac:dyDescent="0.3">
      <c r="A320" s="1209">
        <v>2</v>
      </c>
      <c r="B320" s="1211" t="s">
        <v>1087</v>
      </c>
      <c r="C320" s="1211"/>
      <c r="D320" s="1215" t="s">
        <v>94</v>
      </c>
      <c r="E320" s="1212" t="s">
        <v>296</v>
      </c>
      <c r="F320" s="1224">
        <v>43215</v>
      </c>
      <c r="G320" s="1224"/>
      <c r="H320" s="1211" t="s">
        <v>302</v>
      </c>
      <c r="I320" s="1211"/>
      <c r="J320" s="1211"/>
      <c r="K320" s="1225">
        <v>-47</v>
      </c>
      <c r="L320" s="1225">
        <v>-43</v>
      </c>
      <c r="M320" s="1225">
        <v>-45</v>
      </c>
      <c r="N320" s="1211"/>
      <c r="O320" s="1211" t="s">
        <v>1054</v>
      </c>
      <c r="P320" s="1225">
        <v>-43.203000000000003</v>
      </c>
      <c r="Q320" s="1211"/>
      <c r="R320" s="1226">
        <v>1.796999999999997</v>
      </c>
      <c r="S320" s="1227">
        <v>3.9933333333333265E-2</v>
      </c>
      <c r="T320" s="1211"/>
      <c r="U320" s="1228" t="s">
        <v>295</v>
      </c>
      <c r="V320" s="1211"/>
    </row>
    <row r="321" spans="1:22" x14ac:dyDescent="0.3">
      <c r="A321" s="1209">
        <v>1</v>
      </c>
      <c r="B321" s="1211" t="s">
        <v>1087</v>
      </c>
      <c r="C321" s="1211"/>
      <c r="D321" s="1215" t="s">
        <v>297</v>
      </c>
      <c r="E321" s="1212"/>
      <c r="F321" s="1224">
        <v>43215</v>
      </c>
      <c r="G321" s="1224"/>
      <c r="H321" s="1211" t="s">
        <v>302</v>
      </c>
      <c r="I321" s="1211"/>
      <c r="J321" s="1211"/>
      <c r="K321" s="1225">
        <v>46</v>
      </c>
      <c r="L321" s="1225">
        <v>50</v>
      </c>
      <c r="M321" s="1225">
        <v>48</v>
      </c>
      <c r="N321" s="1211"/>
      <c r="O321" s="1211" t="s">
        <v>1054</v>
      </c>
      <c r="P321" s="1225" t="s">
        <v>1088</v>
      </c>
      <c r="Q321" s="1211"/>
      <c r="R321" s="1226" t="s">
        <v>1088</v>
      </c>
      <c r="S321" s="1227" t="s">
        <v>1088</v>
      </c>
      <c r="T321" s="1211"/>
      <c r="U321" s="1228" t="s">
        <v>295</v>
      </c>
      <c r="V321" s="1211"/>
    </row>
    <row r="322" spans="1:22" x14ac:dyDescent="0.3">
      <c r="A322" s="1209">
        <v>0</v>
      </c>
      <c r="B322" s="1211"/>
      <c r="C322" s="1211"/>
      <c r="D322" s="1211"/>
      <c r="E322" s="1212"/>
      <c r="F322" s="1224"/>
      <c r="G322" s="1224"/>
      <c r="H322" s="1211"/>
      <c r="I322" s="1211"/>
      <c r="J322" s="1211"/>
      <c r="K322" s="1225"/>
      <c r="L322" s="1225"/>
      <c r="M322" s="1225"/>
      <c r="N322" s="1211"/>
      <c r="O322" s="1211"/>
      <c r="P322" s="1225"/>
      <c r="Q322" s="1211"/>
      <c r="R322" s="1246"/>
      <c r="S322" s="1247"/>
      <c r="T322" s="1211"/>
      <c r="U322" s="1248"/>
      <c r="V322" s="1211"/>
    </row>
  </sheetData>
  <autoFilter ref="A9:V9" xr:uid="{00000000-0009-0000-0000-000002000000}"/>
  <conditionalFormatting sqref="S1:S4 S9 S306 S308 S310 S312 S319:S320 S322:S324">
    <cfRule type="colorScale" priority="296">
      <colorScale>
        <cfvo type="num" val="-0.1"/>
        <cfvo type="num" val="0"/>
        <cfvo type="num" val="0.1"/>
        <color rgb="FFF8696B"/>
        <color rgb="FFFFEB84"/>
        <color rgb="FF63BE7B"/>
      </colorScale>
    </cfRule>
  </conditionalFormatting>
  <conditionalFormatting sqref="S10">
    <cfRule type="colorScale" priority="3">
      <colorScale>
        <cfvo type="num" val="-0.1"/>
        <cfvo type="num" val="0"/>
        <cfvo type="num" val="0.1"/>
        <color rgb="FFF8696B"/>
        <color rgb="FFFFEB84"/>
        <color rgb="FF63BE7B"/>
      </colorScale>
    </cfRule>
  </conditionalFormatting>
  <conditionalFormatting sqref="S11">
    <cfRule type="colorScale" priority="2">
      <colorScale>
        <cfvo type="num" val="-0.1"/>
        <cfvo type="num" val="0"/>
        <cfvo type="num" val="0.1"/>
        <color rgb="FFF8696B"/>
        <color rgb="FFFFEB84"/>
        <color rgb="FF63BE7B"/>
      </colorScale>
    </cfRule>
  </conditionalFormatting>
  <conditionalFormatting sqref="S12">
    <cfRule type="colorScale" priority="1">
      <colorScale>
        <cfvo type="num" val="-0.1"/>
        <cfvo type="num" val="0"/>
        <cfvo type="num" val="0.1"/>
        <color rgb="FFF8696B"/>
        <color rgb="FFFFEB84"/>
        <color rgb="FF63BE7B"/>
      </colorScale>
    </cfRule>
  </conditionalFormatting>
  <conditionalFormatting sqref="S13">
    <cfRule type="colorScale" priority="4">
      <colorScale>
        <cfvo type="num" val="-0.1"/>
        <cfvo type="num" val="0"/>
        <cfvo type="num" val="0.1"/>
        <color rgb="FFF8696B"/>
        <color rgb="FFFFEB84"/>
        <color rgb="FF63BE7B"/>
      </colorScale>
    </cfRule>
  </conditionalFormatting>
  <conditionalFormatting sqref="S14">
    <cfRule type="colorScale" priority="7">
      <colorScale>
        <cfvo type="num" val="-0.1"/>
        <cfvo type="num" val="0"/>
        <cfvo type="num" val="0.1"/>
        <color rgb="FFF8696B"/>
        <color rgb="FFFFEB84"/>
        <color rgb="FF63BE7B"/>
      </colorScale>
    </cfRule>
  </conditionalFormatting>
  <conditionalFormatting sqref="S15">
    <cfRule type="colorScale" priority="6">
      <colorScale>
        <cfvo type="num" val="-0.1"/>
        <cfvo type="num" val="0"/>
        <cfvo type="num" val="0.1"/>
        <color rgb="FFF8696B"/>
        <color rgb="FFFFEB84"/>
        <color rgb="FF63BE7B"/>
      </colorScale>
    </cfRule>
  </conditionalFormatting>
  <conditionalFormatting sqref="S16">
    <cfRule type="colorScale" priority="5">
      <colorScale>
        <cfvo type="num" val="-0.1"/>
        <cfvo type="num" val="0"/>
        <cfvo type="num" val="0.1"/>
        <color rgb="FFF8696B"/>
        <color rgb="FFFFEB84"/>
        <color rgb="FF63BE7B"/>
      </colorScale>
    </cfRule>
  </conditionalFormatting>
  <conditionalFormatting sqref="S17">
    <cfRule type="colorScale" priority="8">
      <colorScale>
        <cfvo type="num" val="-0.1"/>
        <cfvo type="num" val="0"/>
        <cfvo type="num" val="0.1"/>
        <color rgb="FFF8696B"/>
        <color rgb="FFFFEB84"/>
        <color rgb="FF63BE7B"/>
      </colorScale>
    </cfRule>
  </conditionalFormatting>
  <conditionalFormatting sqref="S18">
    <cfRule type="colorScale" priority="11">
      <colorScale>
        <cfvo type="num" val="-0.1"/>
        <cfvo type="num" val="0"/>
        <cfvo type="num" val="0.1"/>
        <color rgb="FFF8696B"/>
        <color rgb="FFFFEB84"/>
        <color rgb="FF63BE7B"/>
      </colorScale>
    </cfRule>
  </conditionalFormatting>
  <conditionalFormatting sqref="S19">
    <cfRule type="colorScale" priority="10">
      <colorScale>
        <cfvo type="num" val="-0.1"/>
        <cfvo type="num" val="0"/>
        <cfvo type="num" val="0.1"/>
        <color rgb="FFF8696B"/>
        <color rgb="FFFFEB84"/>
        <color rgb="FF63BE7B"/>
      </colorScale>
    </cfRule>
  </conditionalFormatting>
  <conditionalFormatting sqref="S20">
    <cfRule type="colorScale" priority="9">
      <colorScale>
        <cfvo type="num" val="-0.1"/>
        <cfvo type="num" val="0"/>
        <cfvo type="num" val="0.1"/>
        <color rgb="FFF8696B"/>
        <color rgb="FFFFEB84"/>
        <color rgb="FF63BE7B"/>
      </colorScale>
    </cfRule>
  </conditionalFormatting>
  <conditionalFormatting sqref="S21">
    <cfRule type="colorScale" priority="13">
      <colorScale>
        <cfvo type="num" val="-0.1"/>
        <cfvo type="num" val="0"/>
        <cfvo type="num" val="0.1"/>
        <color rgb="FFF8696B"/>
        <color rgb="FFFFEB84"/>
        <color rgb="FF63BE7B"/>
      </colorScale>
    </cfRule>
  </conditionalFormatting>
  <conditionalFormatting sqref="S22">
    <cfRule type="colorScale" priority="14">
      <colorScale>
        <cfvo type="num" val="-0.1"/>
        <cfvo type="num" val="0"/>
        <cfvo type="num" val="0.1"/>
        <color rgb="FFF8696B"/>
        <color rgb="FFFFEB84"/>
        <color rgb="FF63BE7B"/>
      </colorScale>
    </cfRule>
  </conditionalFormatting>
  <conditionalFormatting sqref="S23">
    <cfRule type="colorScale" priority="15">
      <colorScale>
        <cfvo type="num" val="-0.1"/>
        <cfvo type="num" val="0"/>
        <cfvo type="num" val="0.1"/>
        <color rgb="FFF8696B"/>
        <color rgb="FFFFEB84"/>
        <color rgb="FF63BE7B"/>
      </colorScale>
    </cfRule>
  </conditionalFormatting>
  <conditionalFormatting sqref="S24">
    <cfRule type="colorScale" priority="16">
      <colorScale>
        <cfvo type="num" val="-0.1"/>
        <cfvo type="num" val="0"/>
        <cfvo type="num" val="0.1"/>
        <color rgb="FFF8696B"/>
        <color rgb="FFFFEB84"/>
        <color rgb="FF63BE7B"/>
      </colorScale>
    </cfRule>
  </conditionalFormatting>
  <conditionalFormatting sqref="S25">
    <cfRule type="colorScale" priority="12">
      <colorScale>
        <cfvo type="num" val="-0.1"/>
        <cfvo type="num" val="0"/>
        <cfvo type="num" val="0.1"/>
        <color rgb="FFF8696B"/>
        <color rgb="FFFFEB84"/>
        <color rgb="FF63BE7B"/>
      </colorScale>
    </cfRule>
  </conditionalFormatting>
  <conditionalFormatting sqref="S26">
    <cfRule type="colorScale" priority="26">
      <colorScale>
        <cfvo type="num" val="-0.1"/>
        <cfvo type="num" val="0"/>
        <cfvo type="num" val="0.1"/>
        <color rgb="FFF8696B"/>
        <color rgb="FFFFEB84"/>
        <color rgb="FF63BE7B"/>
      </colorScale>
    </cfRule>
  </conditionalFormatting>
  <conditionalFormatting sqref="S27">
    <cfRule type="colorScale" priority="25">
      <colorScale>
        <cfvo type="num" val="-0.1"/>
        <cfvo type="num" val="0"/>
        <cfvo type="num" val="0.1"/>
        <color rgb="FFF8696B"/>
        <color rgb="FFFFEB84"/>
        <color rgb="FF63BE7B"/>
      </colorScale>
    </cfRule>
  </conditionalFormatting>
  <conditionalFormatting sqref="S28">
    <cfRule type="colorScale" priority="24">
      <colorScale>
        <cfvo type="num" val="-0.1"/>
        <cfvo type="num" val="0"/>
        <cfvo type="num" val="0.1"/>
        <color rgb="FFF8696B"/>
        <color rgb="FFFFEB84"/>
        <color rgb="FF63BE7B"/>
      </colorScale>
    </cfRule>
  </conditionalFormatting>
  <conditionalFormatting sqref="S29">
    <cfRule type="colorScale" priority="28">
      <colorScale>
        <cfvo type="num" val="-0.1"/>
        <cfvo type="num" val="0"/>
        <cfvo type="num" val="0.1"/>
        <color rgb="FFF8696B"/>
        <color rgb="FFFFEB84"/>
        <color rgb="FF63BE7B"/>
      </colorScale>
    </cfRule>
  </conditionalFormatting>
  <conditionalFormatting sqref="S30">
    <cfRule type="colorScale" priority="29">
      <colorScale>
        <cfvo type="num" val="-0.1"/>
        <cfvo type="num" val="0"/>
        <cfvo type="num" val="0.1"/>
        <color rgb="FFF8696B"/>
        <color rgb="FFFFEB84"/>
        <color rgb="FF63BE7B"/>
      </colorScale>
    </cfRule>
  </conditionalFormatting>
  <conditionalFormatting sqref="S31">
    <cfRule type="colorScale" priority="30">
      <colorScale>
        <cfvo type="num" val="-0.1"/>
        <cfvo type="num" val="0"/>
        <cfvo type="num" val="0.1"/>
        <color rgb="FFF8696B"/>
        <color rgb="FFFFEB84"/>
        <color rgb="FF63BE7B"/>
      </colorScale>
    </cfRule>
  </conditionalFormatting>
  <conditionalFormatting sqref="S32">
    <cfRule type="colorScale" priority="31">
      <colorScale>
        <cfvo type="num" val="-0.1"/>
        <cfvo type="num" val="0"/>
        <cfvo type="num" val="0.1"/>
        <color rgb="FFF8696B"/>
        <color rgb="FFFFEB84"/>
        <color rgb="FF63BE7B"/>
      </colorScale>
    </cfRule>
  </conditionalFormatting>
  <conditionalFormatting sqref="S33:S40">
    <cfRule type="colorScale" priority="27">
      <colorScale>
        <cfvo type="num" val="-0.1"/>
        <cfvo type="num" val="0"/>
        <cfvo type="num" val="0.1"/>
        <color rgb="FFF8696B"/>
        <color rgb="FFFFEB84"/>
        <color rgb="FF63BE7B"/>
      </colorScale>
    </cfRule>
  </conditionalFormatting>
  <conditionalFormatting sqref="S34">
    <cfRule type="colorScale" priority="18">
      <colorScale>
        <cfvo type="num" val="-0.1"/>
        <cfvo type="num" val="0"/>
        <cfvo type="num" val="0.1"/>
        <color rgb="FFF8696B"/>
        <color rgb="FFFFEB84"/>
        <color rgb="FF63BE7B"/>
      </colorScale>
    </cfRule>
  </conditionalFormatting>
  <conditionalFormatting sqref="S35">
    <cfRule type="colorScale" priority="17">
      <colorScale>
        <cfvo type="num" val="-0.1"/>
        <cfvo type="num" val="0"/>
        <cfvo type="num" val="0.1"/>
        <color rgb="FFF8696B"/>
        <color rgb="FFFFEB84"/>
        <color rgb="FF63BE7B"/>
      </colorScale>
    </cfRule>
  </conditionalFormatting>
  <conditionalFormatting sqref="S36">
    <cfRule type="colorScale" priority="20">
      <colorScale>
        <cfvo type="num" val="-0.1"/>
        <cfvo type="num" val="0"/>
        <cfvo type="num" val="0.1"/>
        <color rgb="FFF8696B"/>
        <color rgb="FFFFEB84"/>
        <color rgb="FF63BE7B"/>
      </colorScale>
    </cfRule>
  </conditionalFormatting>
  <conditionalFormatting sqref="S37">
    <cfRule type="colorScale" priority="21">
      <colorScale>
        <cfvo type="num" val="-0.1"/>
        <cfvo type="num" val="0"/>
        <cfvo type="num" val="0.1"/>
        <color rgb="FFF8696B"/>
        <color rgb="FFFFEB84"/>
        <color rgb="FF63BE7B"/>
      </colorScale>
    </cfRule>
  </conditionalFormatting>
  <conditionalFormatting sqref="S38">
    <cfRule type="colorScale" priority="22">
      <colorScale>
        <cfvo type="num" val="-0.1"/>
        <cfvo type="num" val="0"/>
        <cfvo type="num" val="0.1"/>
        <color rgb="FFF8696B"/>
        <color rgb="FFFFEB84"/>
        <color rgb="FF63BE7B"/>
      </colorScale>
    </cfRule>
  </conditionalFormatting>
  <conditionalFormatting sqref="S39">
    <cfRule type="colorScale" priority="23">
      <colorScale>
        <cfvo type="num" val="-0.1"/>
        <cfvo type="num" val="0"/>
        <cfvo type="num" val="0.1"/>
        <color rgb="FFF8696B"/>
        <color rgb="FFFFEB84"/>
        <color rgb="FF63BE7B"/>
      </colorScale>
    </cfRule>
  </conditionalFormatting>
  <conditionalFormatting sqref="S40">
    <cfRule type="colorScale" priority="19">
      <colorScale>
        <cfvo type="num" val="-0.1"/>
        <cfvo type="num" val="0"/>
        <cfvo type="num" val="0.1"/>
        <color rgb="FFF8696B"/>
        <color rgb="FFFFEB84"/>
        <color rgb="FF63BE7B"/>
      </colorScale>
    </cfRule>
  </conditionalFormatting>
  <conditionalFormatting sqref="S41">
    <cfRule type="colorScale" priority="33">
      <colorScale>
        <cfvo type="num" val="-0.1"/>
        <cfvo type="num" val="0"/>
        <cfvo type="num" val="0.1"/>
        <color rgb="FFF8696B"/>
        <color rgb="FFFFEB84"/>
        <color rgb="FF63BE7B"/>
      </colorScale>
    </cfRule>
  </conditionalFormatting>
  <conditionalFormatting sqref="S42">
    <cfRule type="colorScale" priority="32">
      <colorScale>
        <cfvo type="num" val="-0.1"/>
        <cfvo type="num" val="0"/>
        <cfvo type="num" val="0.1"/>
        <color rgb="FFF8696B"/>
        <color rgb="FFFFEB84"/>
        <color rgb="FF63BE7B"/>
      </colorScale>
    </cfRule>
  </conditionalFormatting>
  <conditionalFormatting sqref="S43">
    <cfRule type="colorScale" priority="34">
      <colorScale>
        <cfvo type="num" val="-0.1"/>
        <cfvo type="num" val="0"/>
        <cfvo type="num" val="0.1"/>
        <color rgb="FFF8696B"/>
        <color rgb="FFFFEB84"/>
        <color rgb="FF63BE7B"/>
      </colorScale>
    </cfRule>
  </conditionalFormatting>
  <conditionalFormatting sqref="S44">
    <cfRule type="colorScale" priority="39">
      <colorScale>
        <cfvo type="num" val="-0.1"/>
        <cfvo type="num" val="0"/>
        <cfvo type="num" val="0.1"/>
        <color rgb="FFF8696B"/>
        <color rgb="FFFFEB84"/>
        <color rgb="FF63BE7B"/>
      </colorScale>
    </cfRule>
  </conditionalFormatting>
  <conditionalFormatting sqref="S45">
    <cfRule type="colorScale" priority="38">
      <colorScale>
        <cfvo type="num" val="-0.1"/>
        <cfvo type="num" val="0"/>
        <cfvo type="num" val="0.1"/>
        <color rgb="FFF8696B"/>
        <color rgb="FFFFEB84"/>
        <color rgb="FF63BE7B"/>
      </colorScale>
    </cfRule>
  </conditionalFormatting>
  <conditionalFormatting sqref="S46">
    <cfRule type="colorScale" priority="37">
      <colorScale>
        <cfvo type="num" val="-0.1"/>
        <cfvo type="num" val="0"/>
        <cfvo type="num" val="0.1"/>
        <color rgb="FFF8696B"/>
        <color rgb="FFFFEB84"/>
        <color rgb="FF63BE7B"/>
      </colorScale>
    </cfRule>
  </conditionalFormatting>
  <conditionalFormatting sqref="S47">
    <cfRule type="colorScale" priority="41">
      <colorScale>
        <cfvo type="num" val="-0.1"/>
        <cfvo type="num" val="0"/>
        <cfvo type="num" val="0.1"/>
        <color rgb="FFF8696B"/>
        <color rgb="FFFFEB84"/>
        <color rgb="FF63BE7B"/>
      </colorScale>
    </cfRule>
  </conditionalFormatting>
  <conditionalFormatting sqref="S48">
    <cfRule type="colorScale" priority="42">
      <colorScale>
        <cfvo type="num" val="-0.1"/>
        <cfvo type="num" val="0"/>
        <cfvo type="num" val="0.1"/>
        <color rgb="FFF8696B"/>
        <color rgb="FFFFEB84"/>
        <color rgb="FF63BE7B"/>
      </colorScale>
    </cfRule>
  </conditionalFormatting>
  <conditionalFormatting sqref="S49">
    <cfRule type="colorScale" priority="43">
      <colorScale>
        <cfvo type="num" val="-0.1"/>
        <cfvo type="num" val="0"/>
        <cfvo type="num" val="0.1"/>
        <color rgb="FFF8696B"/>
        <color rgb="FFFFEB84"/>
        <color rgb="FF63BE7B"/>
      </colorScale>
    </cfRule>
  </conditionalFormatting>
  <conditionalFormatting sqref="S50">
    <cfRule type="colorScale" priority="44">
      <colorScale>
        <cfvo type="num" val="-0.1"/>
        <cfvo type="num" val="0"/>
        <cfvo type="num" val="0.1"/>
        <color rgb="FFF8696B"/>
        <color rgb="FFFFEB84"/>
        <color rgb="FF63BE7B"/>
      </colorScale>
    </cfRule>
  </conditionalFormatting>
  <conditionalFormatting sqref="S51">
    <cfRule type="colorScale" priority="40">
      <colorScale>
        <cfvo type="num" val="-0.1"/>
        <cfvo type="num" val="0"/>
        <cfvo type="num" val="0.1"/>
        <color rgb="FFF8696B"/>
        <color rgb="FFFFEB84"/>
        <color rgb="FF63BE7B"/>
      </colorScale>
    </cfRule>
  </conditionalFormatting>
  <conditionalFormatting sqref="S52">
    <cfRule type="colorScale" priority="36">
      <colorScale>
        <cfvo type="num" val="-0.1"/>
        <cfvo type="num" val="0"/>
        <cfvo type="num" val="0.1"/>
        <color rgb="FFF8696B"/>
        <color rgb="FFFFEB84"/>
        <color rgb="FF63BE7B"/>
      </colorScale>
    </cfRule>
  </conditionalFormatting>
  <conditionalFormatting sqref="S53">
    <cfRule type="colorScale" priority="35">
      <colorScale>
        <cfvo type="num" val="-0.1"/>
        <cfvo type="num" val="0"/>
        <cfvo type="num" val="0.1"/>
        <color rgb="FFF8696B"/>
        <color rgb="FFFFEB84"/>
        <color rgb="FF63BE7B"/>
      </colorScale>
    </cfRule>
  </conditionalFormatting>
  <conditionalFormatting sqref="S54">
    <cfRule type="colorScale" priority="46">
      <colorScale>
        <cfvo type="num" val="-0.1"/>
        <cfvo type="num" val="0"/>
        <cfvo type="num" val="0.1"/>
        <color rgb="FFF8696B"/>
        <color rgb="FFFFEB84"/>
        <color rgb="FF63BE7B"/>
      </colorScale>
    </cfRule>
  </conditionalFormatting>
  <conditionalFormatting sqref="S55">
    <cfRule type="colorScale" priority="47">
      <colorScale>
        <cfvo type="num" val="-0.1"/>
        <cfvo type="num" val="0"/>
        <cfvo type="num" val="0.1"/>
        <color rgb="FFF8696B"/>
        <color rgb="FFFFEB84"/>
        <color rgb="FF63BE7B"/>
      </colorScale>
    </cfRule>
  </conditionalFormatting>
  <conditionalFormatting sqref="S56">
    <cfRule type="colorScale" priority="48">
      <colorScale>
        <cfvo type="num" val="-0.1"/>
        <cfvo type="num" val="0"/>
        <cfvo type="num" val="0.1"/>
        <color rgb="FFF8696B"/>
        <color rgb="FFFFEB84"/>
        <color rgb="FF63BE7B"/>
      </colorScale>
    </cfRule>
  </conditionalFormatting>
  <conditionalFormatting sqref="S57">
    <cfRule type="colorScale" priority="49">
      <colorScale>
        <cfvo type="num" val="-0.1"/>
        <cfvo type="num" val="0"/>
        <cfvo type="num" val="0.1"/>
        <color rgb="FFF8696B"/>
        <color rgb="FFFFEB84"/>
        <color rgb="FF63BE7B"/>
      </colorScale>
    </cfRule>
  </conditionalFormatting>
  <conditionalFormatting sqref="S58">
    <cfRule type="colorScale" priority="45">
      <colorScale>
        <cfvo type="num" val="-0.1"/>
        <cfvo type="num" val="0"/>
        <cfvo type="num" val="0.1"/>
        <color rgb="FFF8696B"/>
        <color rgb="FFFFEB84"/>
        <color rgb="FF63BE7B"/>
      </colorScale>
    </cfRule>
  </conditionalFormatting>
  <conditionalFormatting sqref="S59">
    <cfRule type="colorScale" priority="52">
      <colorScale>
        <cfvo type="num" val="-0.1"/>
        <cfvo type="num" val="0"/>
        <cfvo type="num" val="0.1"/>
        <color rgb="FFF8696B"/>
        <color rgb="FFFFEB84"/>
        <color rgb="FF63BE7B"/>
      </colorScale>
    </cfRule>
  </conditionalFormatting>
  <conditionalFormatting sqref="S60">
    <cfRule type="colorScale" priority="50">
      <colorScale>
        <cfvo type="num" val="-0.1"/>
        <cfvo type="num" val="0"/>
        <cfvo type="num" val="0.1"/>
        <color rgb="FFF8696B"/>
        <color rgb="FFFFEB84"/>
        <color rgb="FF63BE7B"/>
      </colorScale>
    </cfRule>
  </conditionalFormatting>
  <conditionalFormatting sqref="S61">
    <cfRule type="colorScale" priority="51">
      <colorScale>
        <cfvo type="num" val="-0.1"/>
        <cfvo type="num" val="0"/>
        <cfvo type="num" val="0.1"/>
        <color rgb="FFF8696B"/>
        <color rgb="FFFFEB84"/>
        <color rgb="FF63BE7B"/>
      </colorScale>
    </cfRule>
  </conditionalFormatting>
  <conditionalFormatting sqref="S62">
    <cfRule type="colorScale" priority="53">
      <colorScale>
        <cfvo type="num" val="-0.1"/>
        <cfvo type="num" val="0"/>
        <cfvo type="num" val="0.1"/>
        <color rgb="FFF8696B"/>
        <color rgb="FFFFEB84"/>
        <color rgb="FF63BE7B"/>
      </colorScale>
    </cfRule>
  </conditionalFormatting>
  <conditionalFormatting sqref="S63">
    <cfRule type="colorScale" priority="55">
      <colorScale>
        <cfvo type="num" val="-0.1"/>
        <cfvo type="num" val="0"/>
        <cfvo type="num" val="0.1"/>
        <color rgb="FFF8696B"/>
        <color rgb="FFFFEB84"/>
        <color rgb="FF63BE7B"/>
      </colorScale>
    </cfRule>
  </conditionalFormatting>
  <conditionalFormatting sqref="S64">
    <cfRule type="colorScale" priority="54">
      <colorScale>
        <cfvo type="num" val="-0.1"/>
        <cfvo type="num" val="0"/>
        <cfvo type="num" val="0.1"/>
        <color rgb="FFF8696B"/>
        <color rgb="FFFFEB84"/>
        <color rgb="FF63BE7B"/>
      </colorScale>
    </cfRule>
  </conditionalFormatting>
  <conditionalFormatting sqref="S65">
    <cfRule type="colorScale" priority="56">
      <colorScale>
        <cfvo type="num" val="-0.1"/>
        <cfvo type="num" val="0"/>
        <cfvo type="num" val="0.1"/>
        <color rgb="FFF8696B"/>
        <color rgb="FFFFEB84"/>
        <color rgb="FF63BE7B"/>
      </colorScale>
    </cfRule>
  </conditionalFormatting>
  <conditionalFormatting sqref="S66">
    <cfRule type="colorScale" priority="59">
      <colorScale>
        <cfvo type="num" val="-0.1"/>
        <cfvo type="num" val="0"/>
        <cfvo type="num" val="0.1"/>
        <color rgb="FFF8696B"/>
        <color rgb="FFFFEB84"/>
        <color rgb="FF63BE7B"/>
      </colorScale>
    </cfRule>
  </conditionalFormatting>
  <conditionalFormatting sqref="S67">
    <cfRule type="colorScale" priority="58">
      <colorScale>
        <cfvo type="num" val="-0.1"/>
        <cfvo type="num" val="0"/>
        <cfvo type="num" val="0.1"/>
        <color rgb="FFF8696B"/>
        <color rgb="FFFFEB84"/>
        <color rgb="FF63BE7B"/>
      </colorScale>
    </cfRule>
  </conditionalFormatting>
  <conditionalFormatting sqref="S68">
    <cfRule type="colorScale" priority="57">
      <colorScale>
        <cfvo type="num" val="-0.1"/>
        <cfvo type="num" val="0"/>
        <cfvo type="num" val="0.1"/>
        <color rgb="FFF8696B"/>
        <color rgb="FFFFEB84"/>
        <color rgb="FF63BE7B"/>
      </colorScale>
    </cfRule>
  </conditionalFormatting>
  <conditionalFormatting sqref="S69">
    <cfRule type="colorScale" priority="61">
      <colorScale>
        <cfvo type="num" val="-0.1"/>
        <cfvo type="num" val="0"/>
        <cfvo type="num" val="0.1"/>
        <color rgb="FFF8696B"/>
        <color rgb="FFFFEB84"/>
        <color rgb="FF63BE7B"/>
      </colorScale>
    </cfRule>
  </conditionalFormatting>
  <conditionalFormatting sqref="S70">
    <cfRule type="colorScale" priority="62">
      <colorScale>
        <cfvo type="num" val="-0.1"/>
        <cfvo type="num" val="0"/>
        <cfvo type="num" val="0.1"/>
        <color rgb="FFF8696B"/>
        <color rgb="FFFFEB84"/>
        <color rgb="FF63BE7B"/>
      </colorScale>
    </cfRule>
  </conditionalFormatting>
  <conditionalFormatting sqref="S71">
    <cfRule type="colorScale" priority="63">
      <colorScale>
        <cfvo type="num" val="-0.1"/>
        <cfvo type="num" val="0"/>
        <cfvo type="num" val="0.1"/>
        <color rgb="FFF8696B"/>
        <color rgb="FFFFEB84"/>
        <color rgb="FF63BE7B"/>
      </colorScale>
    </cfRule>
  </conditionalFormatting>
  <conditionalFormatting sqref="S72">
    <cfRule type="colorScale" priority="64">
      <colorScale>
        <cfvo type="num" val="-0.1"/>
        <cfvo type="num" val="0"/>
        <cfvo type="num" val="0.1"/>
        <color rgb="FFF8696B"/>
        <color rgb="FFFFEB84"/>
        <color rgb="FF63BE7B"/>
      </colorScale>
    </cfRule>
  </conditionalFormatting>
  <conditionalFormatting sqref="S73">
    <cfRule type="colorScale" priority="60">
      <colorScale>
        <cfvo type="num" val="-0.1"/>
        <cfvo type="num" val="0"/>
        <cfvo type="num" val="0.1"/>
        <color rgb="FFF8696B"/>
        <color rgb="FFFFEB84"/>
        <color rgb="FF63BE7B"/>
      </colorScale>
    </cfRule>
  </conditionalFormatting>
  <conditionalFormatting sqref="S74">
    <cfRule type="colorScale" priority="66">
      <colorScale>
        <cfvo type="num" val="-0.1"/>
        <cfvo type="num" val="0"/>
        <cfvo type="num" val="0.1"/>
        <color rgb="FFF8696B"/>
        <color rgb="FFFFEB84"/>
        <color rgb="FF63BE7B"/>
      </colorScale>
    </cfRule>
  </conditionalFormatting>
  <conditionalFormatting sqref="S75">
    <cfRule type="colorScale" priority="65">
      <colorScale>
        <cfvo type="num" val="-0.1"/>
        <cfvo type="num" val="0"/>
        <cfvo type="num" val="0.1"/>
        <color rgb="FFF8696B"/>
        <color rgb="FFFFEB84"/>
        <color rgb="FF63BE7B"/>
      </colorScale>
    </cfRule>
  </conditionalFormatting>
  <conditionalFormatting sqref="S76">
    <cfRule type="colorScale" priority="67">
      <colorScale>
        <cfvo type="num" val="-0.1"/>
        <cfvo type="num" val="0"/>
        <cfvo type="num" val="0.1"/>
        <color rgb="FFF8696B"/>
        <color rgb="FFFFEB84"/>
        <color rgb="FF63BE7B"/>
      </colorScale>
    </cfRule>
  </conditionalFormatting>
  <conditionalFormatting sqref="S77">
    <cfRule type="colorScale" priority="72">
      <colorScale>
        <cfvo type="num" val="-0.1"/>
        <cfvo type="num" val="0"/>
        <cfvo type="num" val="0.1"/>
        <color rgb="FFF8696B"/>
        <color rgb="FFFFEB84"/>
        <color rgb="FF63BE7B"/>
      </colorScale>
    </cfRule>
  </conditionalFormatting>
  <conditionalFormatting sqref="S78">
    <cfRule type="colorScale" priority="71">
      <colorScale>
        <cfvo type="num" val="-0.1"/>
        <cfvo type="num" val="0"/>
        <cfvo type="num" val="0.1"/>
        <color rgb="FFF8696B"/>
        <color rgb="FFFFEB84"/>
        <color rgb="FF63BE7B"/>
      </colorScale>
    </cfRule>
  </conditionalFormatting>
  <conditionalFormatting sqref="S79">
    <cfRule type="colorScale" priority="70">
      <colorScale>
        <cfvo type="num" val="-0.1"/>
        <cfvo type="num" val="0"/>
        <cfvo type="num" val="0.1"/>
        <color rgb="FFF8696B"/>
        <color rgb="FFFFEB84"/>
        <color rgb="FF63BE7B"/>
      </colorScale>
    </cfRule>
  </conditionalFormatting>
  <conditionalFormatting sqref="S80">
    <cfRule type="colorScale" priority="74">
      <colorScale>
        <cfvo type="num" val="-0.1"/>
        <cfvo type="num" val="0"/>
        <cfvo type="num" val="0.1"/>
        <color rgb="FFF8696B"/>
        <color rgb="FFFFEB84"/>
        <color rgb="FF63BE7B"/>
      </colorScale>
    </cfRule>
  </conditionalFormatting>
  <conditionalFormatting sqref="S81">
    <cfRule type="colorScale" priority="75">
      <colorScale>
        <cfvo type="num" val="-0.1"/>
        <cfvo type="num" val="0"/>
        <cfvo type="num" val="0.1"/>
        <color rgb="FFF8696B"/>
        <color rgb="FFFFEB84"/>
        <color rgb="FF63BE7B"/>
      </colorScale>
    </cfRule>
  </conditionalFormatting>
  <conditionalFormatting sqref="S82">
    <cfRule type="colorScale" priority="76">
      <colorScale>
        <cfvo type="num" val="-0.1"/>
        <cfvo type="num" val="0"/>
        <cfvo type="num" val="0.1"/>
        <color rgb="FFF8696B"/>
        <color rgb="FFFFEB84"/>
        <color rgb="FF63BE7B"/>
      </colorScale>
    </cfRule>
  </conditionalFormatting>
  <conditionalFormatting sqref="S83">
    <cfRule type="colorScale" priority="77">
      <colorScale>
        <cfvo type="num" val="-0.1"/>
        <cfvo type="num" val="0"/>
        <cfvo type="num" val="0.1"/>
        <color rgb="FFF8696B"/>
        <color rgb="FFFFEB84"/>
        <color rgb="FF63BE7B"/>
      </colorScale>
    </cfRule>
  </conditionalFormatting>
  <conditionalFormatting sqref="S84">
    <cfRule type="colorScale" priority="73">
      <colorScale>
        <cfvo type="num" val="-0.1"/>
        <cfvo type="num" val="0"/>
        <cfvo type="num" val="0.1"/>
        <color rgb="FFF8696B"/>
        <color rgb="FFFFEB84"/>
        <color rgb="FF63BE7B"/>
      </colorScale>
    </cfRule>
  </conditionalFormatting>
  <conditionalFormatting sqref="S85">
    <cfRule type="colorScale" priority="69">
      <colorScale>
        <cfvo type="num" val="-0.1"/>
        <cfvo type="num" val="0"/>
        <cfvo type="num" val="0.1"/>
        <color rgb="FFF8696B"/>
        <color rgb="FFFFEB84"/>
        <color rgb="FF63BE7B"/>
      </colorScale>
    </cfRule>
  </conditionalFormatting>
  <conditionalFormatting sqref="S86">
    <cfRule type="colorScale" priority="68">
      <colorScale>
        <cfvo type="num" val="-0.1"/>
        <cfvo type="num" val="0"/>
        <cfvo type="num" val="0.1"/>
        <color rgb="FFF8696B"/>
        <color rgb="FFFFEB84"/>
        <color rgb="FF63BE7B"/>
      </colorScale>
    </cfRule>
  </conditionalFormatting>
  <conditionalFormatting sqref="S87">
    <cfRule type="colorScale" priority="79">
      <colorScale>
        <cfvo type="num" val="-0.1"/>
        <cfvo type="num" val="0"/>
        <cfvo type="num" val="0.1"/>
        <color rgb="FFF8696B"/>
        <color rgb="FFFFEB84"/>
        <color rgb="FF63BE7B"/>
      </colorScale>
    </cfRule>
  </conditionalFormatting>
  <conditionalFormatting sqref="S88">
    <cfRule type="colorScale" priority="80">
      <colorScale>
        <cfvo type="num" val="-0.1"/>
        <cfvo type="num" val="0"/>
        <cfvo type="num" val="0.1"/>
        <color rgb="FFF8696B"/>
        <color rgb="FFFFEB84"/>
        <color rgb="FF63BE7B"/>
      </colorScale>
    </cfRule>
  </conditionalFormatting>
  <conditionalFormatting sqref="S89">
    <cfRule type="colorScale" priority="81">
      <colorScale>
        <cfvo type="num" val="-0.1"/>
        <cfvo type="num" val="0"/>
        <cfvo type="num" val="0.1"/>
        <color rgb="FFF8696B"/>
        <color rgb="FFFFEB84"/>
        <color rgb="FF63BE7B"/>
      </colorScale>
    </cfRule>
  </conditionalFormatting>
  <conditionalFormatting sqref="S90">
    <cfRule type="colorScale" priority="82">
      <colorScale>
        <cfvo type="num" val="-0.1"/>
        <cfvo type="num" val="0"/>
        <cfvo type="num" val="0.1"/>
        <color rgb="FFF8696B"/>
        <color rgb="FFFFEB84"/>
        <color rgb="FF63BE7B"/>
      </colorScale>
    </cfRule>
  </conditionalFormatting>
  <conditionalFormatting sqref="S91">
    <cfRule type="colorScale" priority="78">
      <colorScale>
        <cfvo type="num" val="-0.1"/>
        <cfvo type="num" val="0"/>
        <cfvo type="num" val="0.1"/>
        <color rgb="FFF8696B"/>
        <color rgb="FFFFEB84"/>
        <color rgb="FF63BE7B"/>
      </colorScale>
    </cfRule>
  </conditionalFormatting>
  <conditionalFormatting sqref="S92">
    <cfRule type="colorScale" priority="84">
      <colorScale>
        <cfvo type="num" val="-0.1"/>
        <cfvo type="num" val="0"/>
        <cfvo type="num" val="0.1"/>
        <color rgb="FFF8696B"/>
        <color rgb="FFFFEB84"/>
        <color rgb="FF63BE7B"/>
      </colorScale>
    </cfRule>
  </conditionalFormatting>
  <conditionalFormatting sqref="S93">
    <cfRule type="colorScale" priority="83">
      <colorScale>
        <cfvo type="num" val="-0.1"/>
        <cfvo type="num" val="0"/>
        <cfvo type="num" val="0.1"/>
        <color rgb="FFF8696B"/>
        <color rgb="FFFFEB84"/>
        <color rgb="FF63BE7B"/>
      </colorScale>
    </cfRule>
  </conditionalFormatting>
  <conditionalFormatting sqref="S94">
    <cfRule type="colorScale" priority="86">
      <colorScale>
        <cfvo type="num" val="-0.1"/>
        <cfvo type="num" val="0"/>
        <cfvo type="num" val="0.1"/>
        <color rgb="FFF8696B"/>
        <color rgb="FFFFEB84"/>
        <color rgb="FF63BE7B"/>
      </colorScale>
    </cfRule>
  </conditionalFormatting>
  <conditionalFormatting sqref="S95">
    <cfRule type="colorScale" priority="85">
      <colorScale>
        <cfvo type="num" val="-0.1"/>
        <cfvo type="num" val="0"/>
        <cfvo type="num" val="0.1"/>
        <color rgb="FFF8696B"/>
        <color rgb="FFFFEB84"/>
        <color rgb="FF63BE7B"/>
      </colorScale>
    </cfRule>
  </conditionalFormatting>
  <conditionalFormatting sqref="S96">
    <cfRule type="colorScale" priority="87">
      <colorScale>
        <cfvo type="num" val="-0.1"/>
        <cfvo type="num" val="0"/>
        <cfvo type="num" val="0.1"/>
        <color rgb="FFF8696B"/>
        <color rgb="FFFFEB84"/>
        <color rgb="FF63BE7B"/>
      </colorScale>
    </cfRule>
  </conditionalFormatting>
  <conditionalFormatting sqref="S97">
    <cfRule type="colorScale" priority="97">
      <colorScale>
        <cfvo type="num" val="-0.1"/>
        <cfvo type="num" val="0"/>
        <cfvo type="num" val="0.1"/>
        <color rgb="FFF8696B"/>
        <color rgb="FFFFEB84"/>
        <color rgb="FF63BE7B"/>
      </colorScale>
    </cfRule>
  </conditionalFormatting>
  <conditionalFormatting sqref="S98">
    <cfRule type="colorScale" priority="96">
      <colorScale>
        <cfvo type="num" val="-0.1"/>
        <cfvo type="num" val="0"/>
        <cfvo type="num" val="0.1"/>
        <color rgb="FFF8696B"/>
        <color rgb="FFFFEB84"/>
        <color rgb="FF63BE7B"/>
      </colorScale>
    </cfRule>
  </conditionalFormatting>
  <conditionalFormatting sqref="S99">
    <cfRule type="colorScale" priority="95">
      <colorScale>
        <cfvo type="num" val="-0.1"/>
        <cfvo type="num" val="0"/>
        <cfvo type="num" val="0.1"/>
        <color rgb="FFF8696B"/>
        <color rgb="FFFFEB84"/>
        <color rgb="FF63BE7B"/>
      </colorScale>
    </cfRule>
  </conditionalFormatting>
  <conditionalFormatting sqref="S100">
    <cfRule type="colorScale" priority="99">
      <colorScale>
        <cfvo type="num" val="-0.1"/>
        <cfvo type="num" val="0"/>
        <cfvo type="num" val="0.1"/>
        <color rgb="FFF8696B"/>
        <color rgb="FFFFEB84"/>
        <color rgb="FF63BE7B"/>
      </colorScale>
    </cfRule>
  </conditionalFormatting>
  <conditionalFormatting sqref="S101">
    <cfRule type="colorScale" priority="100">
      <colorScale>
        <cfvo type="num" val="-0.1"/>
        <cfvo type="num" val="0"/>
        <cfvo type="num" val="0.1"/>
        <color rgb="FFF8696B"/>
        <color rgb="FFFFEB84"/>
        <color rgb="FF63BE7B"/>
      </colorScale>
    </cfRule>
  </conditionalFormatting>
  <conditionalFormatting sqref="S102">
    <cfRule type="colorScale" priority="101">
      <colorScale>
        <cfvo type="num" val="-0.1"/>
        <cfvo type="num" val="0"/>
        <cfvo type="num" val="0.1"/>
        <color rgb="FFF8696B"/>
        <color rgb="FFFFEB84"/>
        <color rgb="FF63BE7B"/>
      </colorScale>
    </cfRule>
  </conditionalFormatting>
  <conditionalFormatting sqref="S103">
    <cfRule type="colorScale" priority="102">
      <colorScale>
        <cfvo type="num" val="-0.1"/>
        <cfvo type="num" val="0"/>
        <cfvo type="num" val="0.1"/>
        <color rgb="FFF8696B"/>
        <color rgb="FFFFEB84"/>
        <color rgb="FF63BE7B"/>
      </colorScale>
    </cfRule>
  </conditionalFormatting>
  <conditionalFormatting sqref="S104">
    <cfRule type="colorScale" priority="98">
      <colorScale>
        <cfvo type="num" val="-0.1"/>
        <cfvo type="num" val="0"/>
        <cfvo type="num" val="0.1"/>
        <color rgb="FFF8696B"/>
        <color rgb="FFFFEB84"/>
        <color rgb="FF63BE7B"/>
      </colorScale>
    </cfRule>
  </conditionalFormatting>
  <conditionalFormatting sqref="S105">
    <cfRule type="colorScale" priority="89">
      <colorScale>
        <cfvo type="num" val="-0.1"/>
        <cfvo type="num" val="0"/>
        <cfvo type="num" val="0.1"/>
        <color rgb="FFF8696B"/>
        <color rgb="FFFFEB84"/>
        <color rgb="FF63BE7B"/>
      </colorScale>
    </cfRule>
  </conditionalFormatting>
  <conditionalFormatting sqref="S106">
    <cfRule type="colorScale" priority="88">
      <colorScale>
        <cfvo type="num" val="-0.1"/>
        <cfvo type="num" val="0"/>
        <cfvo type="num" val="0.1"/>
        <color rgb="FFF8696B"/>
        <color rgb="FFFFEB84"/>
        <color rgb="FF63BE7B"/>
      </colorScale>
    </cfRule>
  </conditionalFormatting>
  <conditionalFormatting sqref="S107">
    <cfRule type="colorScale" priority="91">
      <colorScale>
        <cfvo type="num" val="-0.1"/>
        <cfvo type="num" val="0"/>
        <cfvo type="num" val="0.1"/>
        <color rgb="FFF8696B"/>
        <color rgb="FFFFEB84"/>
        <color rgb="FF63BE7B"/>
      </colorScale>
    </cfRule>
  </conditionalFormatting>
  <conditionalFormatting sqref="S108">
    <cfRule type="colorScale" priority="92">
      <colorScale>
        <cfvo type="num" val="-0.1"/>
        <cfvo type="num" val="0"/>
        <cfvo type="num" val="0.1"/>
        <color rgb="FFF8696B"/>
        <color rgb="FFFFEB84"/>
        <color rgb="FF63BE7B"/>
      </colorScale>
    </cfRule>
  </conditionalFormatting>
  <conditionalFormatting sqref="S109">
    <cfRule type="colorScale" priority="93">
      <colorScale>
        <cfvo type="num" val="-0.1"/>
        <cfvo type="num" val="0"/>
        <cfvo type="num" val="0.1"/>
        <color rgb="FFF8696B"/>
        <color rgb="FFFFEB84"/>
        <color rgb="FF63BE7B"/>
      </colorScale>
    </cfRule>
  </conditionalFormatting>
  <conditionalFormatting sqref="S110">
    <cfRule type="colorScale" priority="94">
      <colorScale>
        <cfvo type="num" val="-0.1"/>
        <cfvo type="num" val="0"/>
        <cfvo type="num" val="0.1"/>
        <color rgb="FFF8696B"/>
        <color rgb="FFFFEB84"/>
        <color rgb="FF63BE7B"/>
      </colorScale>
    </cfRule>
  </conditionalFormatting>
  <conditionalFormatting sqref="S111">
    <cfRule type="colorScale" priority="90">
      <colorScale>
        <cfvo type="num" val="-0.1"/>
        <cfvo type="num" val="0"/>
        <cfvo type="num" val="0.1"/>
        <color rgb="FFF8696B"/>
        <color rgb="FFFFEB84"/>
        <color rgb="FF63BE7B"/>
      </colorScale>
    </cfRule>
  </conditionalFormatting>
  <conditionalFormatting sqref="S112">
    <cfRule type="colorScale" priority="104">
      <colorScale>
        <cfvo type="num" val="-0.1"/>
        <cfvo type="num" val="0"/>
        <cfvo type="num" val="0.1"/>
        <color rgb="FFF8696B"/>
        <color rgb="FFFFEB84"/>
        <color rgb="FF63BE7B"/>
      </colorScale>
    </cfRule>
  </conditionalFormatting>
  <conditionalFormatting sqref="S113">
    <cfRule type="colorScale" priority="103">
      <colorScale>
        <cfvo type="num" val="-0.1"/>
        <cfvo type="num" val="0"/>
        <cfvo type="num" val="0.1"/>
        <color rgb="FFF8696B"/>
        <color rgb="FFFFEB84"/>
        <color rgb="FF63BE7B"/>
      </colorScale>
    </cfRule>
  </conditionalFormatting>
  <conditionalFormatting sqref="S114">
    <cfRule type="colorScale" priority="115">
      <colorScale>
        <cfvo type="num" val="-0.1"/>
        <cfvo type="num" val="0"/>
        <cfvo type="num" val="0.1"/>
        <color rgb="FFF8696B"/>
        <color rgb="FFFFEB84"/>
        <color rgb="FF63BE7B"/>
      </colorScale>
    </cfRule>
  </conditionalFormatting>
  <conditionalFormatting sqref="S115">
    <cfRule type="colorScale" priority="114">
      <colorScale>
        <cfvo type="num" val="-0.1"/>
        <cfvo type="num" val="0"/>
        <cfvo type="num" val="0.1"/>
        <color rgb="FFF8696B"/>
        <color rgb="FFFFEB84"/>
        <color rgb="FF63BE7B"/>
      </colorScale>
    </cfRule>
  </conditionalFormatting>
  <conditionalFormatting sqref="S116">
    <cfRule type="colorScale" priority="113">
      <colorScale>
        <cfvo type="num" val="-0.1"/>
        <cfvo type="num" val="0"/>
        <cfvo type="num" val="0.1"/>
        <color rgb="FFF8696B"/>
        <color rgb="FFFFEB84"/>
        <color rgb="FF63BE7B"/>
      </colorScale>
    </cfRule>
  </conditionalFormatting>
  <conditionalFormatting sqref="S117">
    <cfRule type="colorScale" priority="112">
      <colorScale>
        <cfvo type="num" val="-0.1"/>
        <cfvo type="num" val="0"/>
        <cfvo type="num" val="0.1"/>
        <color rgb="FFF8696B"/>
        <color rgb="FFFFEB84"/>
        <color rgb="FF63BE7B"/>
      </colorScale>
    </cfRule>
  </conditionalFormatting>
  <conditionalFormatting sqref="S118">
    <cfRule type="colorScale" priority="111">
      <colorScale>
        <cfvo type="num" val="-0.1"/>
        <cfvo type="num" val="0"/>
        <cfvo type="num" val="0.1"/>
        <color rgb="FFF8696B"/>
        <color rgb="FFFFEB84"/>
        <color rgb="FF63BE7B"/>
      </colorScale>
    </cfRule>
  </conditionalFormatting>
  <conditionalFormatting sqref="S119">
    <cfRule type="colorScale" priority="110">
      <colorScale>
        <cfvo type="num" val="-0.1"/>
        <cfvo type="num" val="0"/>
        <cfvo type="num" val="0.1"/>
        <color rgb="FFF8696B"/>
        <color rgb="FFFFEB84"/>
        <color rgb="FF63BE7B"/>
      </colorScale>
    </cfRule>
  </conditionalFormatting>
  <conditionalFormatting sqref="S120">
    <cfRule type="colorScale" priority="109">
      <colorScale>
        <cfvo type="num" val="-0.1"/>
        <cfvo type="num" val="0"/>
        <cfvo type="num" val="0.1"/>
        <color rgb="FFF8696B"/>
        <color rgb="FFFFEB84"/>
        <color rgb="FF63BE7B"/>
      </colorScale>
    </cfRule>
  </conditionalFormatting>
  <conditionalFormatting sqref="S121">
    <cfRule type="colorScale" priority="108">
      <colorScale>
        <cfvo type="num" val="-0.1"/>
        <cfvo type="num" val="0"/>
        <cfvo type="num" val="0.1"/>
        <color rgb="FFF8696B"/>
        <color rgb="FFFFEB84"/>
        <color rgb="FF63BE7B"/>
      </colorScale>
    </cfRule>
  </conditionalFormatting>
  <conditionalFormatting sqref="S122">
    <cfRule type="colorScale" priority="107">
      <colorScale>
        <cfvo type="num" val="-0.1"/>
        <cfvo type="num" val="0"/>
        <cfvo type="num" val="0.1"/>
        <color rgb="FFF8696B"/>
        <color rgb="FFFFEB84"/>
        <color rgb="FF63BE7B"/>
      </colorScale>
    </cfRule>
  </conditionalFormatting>
  <conditionalFormatting sqref="S123">
    <cfRule type="colorScale" priority="106">
      <colorScale>
        <cfvo type="num" val="-0.1"/>
        <cfvo type="num" val="0"/>
        <cfvo type="num" val="0.1"/>
        <color rgb="FFF8696B"/>
        <color rgb="FFFFEB84"/>
        <color rgb="FF63BE7B"/>
      </colorScale>
    </cfRule>
  </conditionalFormatting>
  <conditionalFormatting sqref="S124">
    <cfRule type="colorScale" priority="105">
      <colorScale>
        <cfvo type="num" val="-0.1"/>
        <cfvo type="num" val="0"/>
        <cfvo type="num" val="0.1"/>
        <color rgb="FFF8696B"/>
        <color rgb="FFFFEB84"/>
        <color rgb="FF63BE7B"/>
      </colorScale>
    </cfRule>
  </conditionalFormatting>
  <conditionalFormatting sqref="S125">
    <cfRule type="colorScale" priority="116">
      <colorScale>
        <cfvo type="num" val="-0.1"/>
        <cfvo type="num" val="0"/>
        <cfvo type="num" val="0.1"/>
        <color rgb="FFF8696B"/>
        <color rgb="FFFFEB84"/>
        <color rgb="FF63BE7B"/>
      </colorScale>
    </cfRule>
  </conditionalFormatting>
  <conditionalFormatting sqref="S126">
    <cfRule type="colorScale" priority="121">
      <colorScale>
        <cfvo type="num" val="-0.1"/>
        <cfvo type="num" val="0"/>
        <cfvo type="num" val="0.1"/>
        <color rgb="FFF8696B"/>
        <color rgb="FFFFEB84"/>
        <color rgb="FF63BE7B"/>
      </colorScale>
    </cfRule>
  </conditionalFormatting>
  <conditionalFormatting sqref="S127">
    <cfRule type="colorScale" priority="120">
      <colorScale>
        <cfvo type="num" val="-0.1"/>
        <cfvo type="num" val="0"/>
        <cfvo type="num" val="0.1"/>
        <color rgb="FFF8696B"/>
        <color rgb="FFFFEB84"/>
        <color rgb="FF63BE7B"/>
      </colorScale>
    </cfRule>
  </conditionalFormatting>
  <conditionalFormatting sqref="S128">
    <cfRule type="colorScale" priority="132">
      <colorScale>
        <cfvo type="num" val="-0.1"/>
        <cfvo type="num" val="0"/>
        <cfvo type="num" val="0.1"/>
        <color rgb="FFF8696B"/>
        <color rgb="FFFFEB84"/>
        <color rgb="FF63BE7B"/>
      </colorScale>
    </cfRule>
  </conditionalFormatting>
  <conditionalFormatting sqref="S129">
    <cfRule type="colorScale" priority="131">
      <colorScale>
        <cfvo type="num" val="-0.1"/>
        <cfvo type="num" val="0"/>
        <cfvo type="num" val="0.1"/>
        <color rgb="FFF8696B"/>
        <color rgb="FFFFEB84"/>
        <color rgb="FF63BE7B"/>
      </colorScale>
    </cfRule>
  </conditionalFormatting>
  <conditionalFormatting sqref="S130">
    <cfRule type="colorScale" priority="130">
      <colorScale>
        <cfvo type="num" val="-0.1"/>
        <cfvo type="num" val="0"/>
        <cfvo type="num" val="0.1"/>
        <color rgb="FFF8696B"/>
        <color rgb="FFFFEB84"/>
        <color rgb="FF63BE7B"/>
      </colorScale>
    </cfRule>
  </conditionalFormatting>
  <conditionalFormatting sqref="S131">
    <cfRule type="colorScale" priority="129">
      <colorScale>
        <cfvo type="num" val="-0.1"/>
        <cfvo type="num" val="0"/>
        <cfvo type="num" val="0.1"/>
        <color rgb="FFF8696B"/>
        <color rgb="FFFFEB84"/>
        <color rgb="FF63BE7B"/>
      </colorScale>
    </cfRule>
  </conditionalFormatting>
  <conditionalFormatting sqref="S132">
    <cfRule type="colorScale" priority="128">
      <colorScale>
        <cfvo type="num" val="-0.1"/>
        <cfvo type="num" val="0"/>
        <cfvo type="num" val="0.1"/>
        <color rgb="FFF8696B"/>
        <color rgb="FFFFEB84"/>
        <color rgb="FF63BE7B"/>
      </colorScale>
    </cfRule>
  </conditionalFormatting>
  <conditionalFormatting sqref="S133">
    <cfRule type="colorScale" priority="127">
      <colorScale>
        <cfvo type="num" val="-0.1"/>
        <cfvo type="num" val="0"/>
        <cfvo type="num" val="0.1"/>
        <color rgb="FFF8696B"/>
        <color rgb="FFFFEB84"/>
        <color rgb="FF63BE7B"/>
      </colorScale>
    </cfRule>
  </conditionalFormatting>
  <conditionalFormatting sqref="S134">
    <cfRule type="colorScale" priority="126">
      <colorScale>
        <cfvo type="num" val="-0.1"/>
        <cfvo type="num" val="0"/>
        <cfvo type="num" val="0.1"/>
        <color rgb="FFF8696B"/>
        <color rgb="FFFFEB84"/>
        <color rgb="FF63BE7B"/>
      </colorScale>
    </cfRule>
  </conditionalFormatting>
  <conditionalFormatting sqref="S135">
    <cfRule type="colorScale" priority="125">
      <colorScale>
        <cfvo type="num" val="-0.1"/>
        <cfvo type="num" val="0"/>
        <cfvo type="num" val="0.1"/>
        <color rgb="FFF8696B"/>
        <color rgb="FFFFEB84"/>
        <color rgb="FF63BE7B"/>
      </colorScale>
    </cfRule>
  </conditionalFormatting>
  <conditionalFormatting sqref="S136">
    <cfRule type="colorScale" priority="124">
      <colorScale>
        <cfvo type="num" val="-0.1"/>
        <cfvo type="num" val="0"/>
        <cfvo type="num" val="0.1"/>
        <color rgb="FFF8696B"/>
        <color rgb="FFFFEB84"/>
        <color rgb="FF63BE7B"/>
      </colorScale>
    </cfRule>
  </conditionalFormatting>
  <conditionalFormatting sqref="S137">
    <cfRule type="colorScale" priority="123">
      <colorScale>
        <cfvo type="num" val="-0.1"/>
        <cfvo type="num" val="0"/>
        <cfvo type="num" val="0.1"/>
        <color rgb="FFF8696B"/>
        <color rgb="FFFFEB84"/>
        <color rgb="FF63BE7B"/>
      </colorScale>
    </cfRule>
  </conditionalFormatting>
  <conditionalFormatting sqref="S138">
    <cfRule type="colorScale" priority="122">
      <colorScale>
        <cfvo type="num" val="-0.1"/>
        <cfvo type="num" val="0"/>
        <cfvo type="num" val="0.1"/>
        <color rgb="FFF8696B"/>
        <color rgb="FFFFEB84"/>
        <color rgb="FF63BE7B"/>
      </colorScale>
    </cfRule>
  </conditionalFormatting>
  <conditionalFormatting sqref="S139">
    <cfRule type="colorScale" priority="133">
      <colorScale>
        <cfvo type="num" val="-0.1"/>
        <cfvo type="num" val="0"/>
        <cfvo type="num" val="0.1"/>
        <color rgb="FFF8696B"/>
        <color rgb="FFFFEB84"/>
        <color rgb="FF63BE7B"/>
      </colorScale>
    </cfRule>
  </conditionalFormatting>
  <conditionalFormatting sqref="S140">
    <cfRule type="colorScale" priority="119">
      <colorScale>
        <cfvo type="num" val="-0.1"/>
        <cfvo type="num" val="0"/>
        <cfvo type="num" val="0.1"/>
        <color rgb="FFF8696B"/>
        <color rgb="FFFFEB84"/>
        <color rgb="FF63BE7B"/>
      </colorScale>
    </cfRule>
  </conditionalFormatting>
  <conditionalFormatting sqref="S141">
    <cfRule type="colorScale" priority="118">
      <colorScale>
        <cfvo type="num" val="-0.1"/>
        <cfvo type="num" val="0"/>
        <cfvo type="num" val="0.1"/>
        <color rgb="FFF8696B"/>
        <color rgb="FFFFEB84"/>
        <color rgb="FF63BE7B"/>
      </colorScale>
    </cfRule>
  </conditionalFormatting>
  <conditionalFormatting sqref="S142">
    <cfRule type="colorScale" priority="117">
      <colorScale>
        <cfvo type="num" val="-0.1"/>
        <cfvo type="num" val="0"/>
        <cfvo type="num" val="0.1"/>
        <color rgb="FFF8696B"/>
        <color rgb="FFFFEB84"/>
        <color rgb="FF63BE7B"/>
      </colorScale>
    </cfRule>
  </conditionalFormatting>
  <conditionalFormatting sqref="S143">
    <cfRule type="colorScale" priority="135">
      <colorScale>
        <cfvo type="num" val="-0.1"/>
        <cfvo type="num" val="0"/>
        <cfvo type="num" val="0.1"/>
        <color rgb="FFF8696B"/>
        <color rgb="FFFFEB84"/>
        <color rgb="FF63BE7B"/>
      </colorScale>
    </cfRule>
  </conditionalFormatting>
  <conditionalFormatting sqref="S144">
    <cfRule type="colorScale" priority="136">
      <colorScale>
        <cfvo type="num" val="-0.1"/>
        <cfvo type="num" val="0"/>
        <cfvo type="num" val="0.1"/>
        <color rgb="FFF8696B"/>
        <color rgb="FFFFEB84"/>
        <color rgb="FF63BE7B"/>
      </colorScale>
    </cfRule>
  </conditionalFormatting>
  <conditionalFormatting sqref="S145">
    <cfRule type="colorScale" priority="137">
      <colorScale>
        <cfvo type="num" val="-0.1"/>
        <cfvo type="num" val="0"/>
        <cfvo type="num" val="0.1"/>
        <color rgb="FFF8696B"/>
        <color rgb="FFFFEB84"/>
        <color rgb="FF63BE7B"/>
      </colorScale>
    </cfRule>
  </conditionalFormatting>
  <conditionalFormatting sqref="S146">
    <cfRule type="colorScale" priority="138">
      <colorScale>
        <cfvo type="num" val="-0.1"/>
        <cfvo type="num" val="0"/>
        <cfvo type="num" val="0.1"/>
        <color rgb="FFF8696B"/>
        <color rgb="FFFFEB84"/>
        <color rgb="FF63BE7B"/>
      </colorScale>
    </cfRule>
  </conditionalFormatting>
  <conditionalFormatting sqref="S147">
    <cfRule type="colorScale" priority="134">
      <colorScale>
        <cfvo type="num" val="-0.1"/>
        <cfvo type="num" val="0"/>
        <cfvo type="num" val="0.1"/>
        <color rgb="FFF8696B"/>
        <color rgb="FFFFEB84"/>
        <color rgb="FF63BE7B"/>
      </colorScale>
    </cfRule>
  </conditionalFormatting>
  <conditionalFormatting sqref="S148">
    <cfRule type="colorScale" priority="142">
      <colorScale>
        <cfvo type="num" val="-0.1"/>
        <cfvo type="num" val="0"/>
        <cfvo type="num" val="0.1"/>
        <color rgb="FFF8696B"/>
        <color rgb="FFFFEB84"/>
        <color rgb="FF63BE7B"/>
      </colorScale>
    </cfRule>
  </conditionalFormatting>
  <conditionalFormatting sqref="S149">
    <cfRule type="colorScale" priority="141">
      <colorScale>
        <cfvo type="num" val="-0.1"/>
        <cfvo type="num" val="0"/>
        <cfvo type="num" val="0.1"/>
        <color rgb="FFF8696B"/>
        <color rgb="FFFFEB84"/>
        <color rgb="FF63BE7B"/>
      </colorScale>
    </cfRule>
  </conditionalFormatting>
  <conditionalFormatting sqref="S150">
    <cfRule type="colorScale" priority="153">
      <colorScale>
        <cfvo type="num" val="-0.1"/>
        <cfvo type="num" val="0"/>
        <cfvo type="num" val="0.1"/>
        <color rgb="FFF8696B"/>
        <color rgb="FFFFEB84"/>
        <color rgb="FF63BE7B"/>
      </colorScale>
    </cfRule>
  </conditionalFormatting>
  <conditionalFormatting sqref="S151">
    <cfRule type="colorScale" priority="152">
      <colorScale>
        <cfvo type="num" val="-0.1"/>
        <cfvo type="num" val="0"/>
        <cfvo type="num" val="0.1"/>
        <color rgb="FFF8696B"/>
        <color rgb="FFFFEB84"/>
        <color rgb="FF63BE7B"/>
      </colorScale>
    </cfRule>
  </conditionalFormatting>
  <conditionalFormatting sqref="S152">
    <cfRule type="colorScale" priority="151">
      <colorScale>
        <cfvo type="num" val="-0.1"/>
        <cfvo type="num" val="0"/>
        <cfvo type="num" val="0.1"/>
        <color rgb="FFF8696B"/>
        <color rgb="FFFFEB84"/>
        <color rgb="FF63BE7B"/>
      </colorScale>
    </cfRule>
  </conditionalFormatting>
  <conditionalFormatting sqref="S153">
    <cfRule type="colorScale" priority="150">
      <colorScale>
        <cfvo type="num" val="-0.1"/>
        <cfvo type="num" val="0"/>
        <cfvo type="num" val="0.1"/>
        <color rgb="FFF8696B"/>
        <color rgb="FFFFEB84"/>
        <color rgb="FF63BE7B"/>
      </colorScale>
    </cfRule>
  </conditionalFormatting>
  <conditionalFormatting sqref="S154">
    <cfRule type="colorScale" priority="149">
      <colorScale>
        <cfvo type="num" val="-0.1"/>
        <cfvo type="num" val="0"/>
        <cfvo type="num" val="0.1"/>
        <color rgb="FFF8696B"/>
        <color rgb="FFFFEB84"/>
        <color rgb="FF63BE7B"/>
      </colorScale>
    </cfRule>
  </conditionalFormatting>
  <conditionalFormatting sqref="S155">
    <cfRule type="colorScale" priority="148">
      <colorScale>
        <cfvo type="num" val="-0.1"/>
        <cfvo type="num" val="0"/>
        <cfvo type="num" val="0.1"/>
        <color rgb="FFF8696B"/>
        <color rgb="FFFFEB84"/>
        <color rgb="FF63BE7B"/>
      </colorScale>
    </cfRule>
  </conditionalFormatting>
  <conditionalFormatting sqref="S156">
    <cfRule type="colorScale" priority="147">
      <colorScale>
        <cfvo type="num" val="-0.1"/>
        <cfvo type="num" val="0"/>
        <cfvo type="num" val="0.1"/>
        <color rgb="FFF8696B"/>
        <color rgb="FFFFEB84"/>
        <color rgb="FF63BE7B"/>
      </colorScale>
    </cfRule>
  </conditionalFormatting>
  <conditionalFormatting sqref="S157">
    <cfRule type="colorScale" priority="146">
      <colorScale>
        <cfvo type="num" val="-0.1"/>
        <cfvo type="num" val="0"/>
        <cfvo type="num" val="0.1"/>
        <color rgb="FFF8696B"/>
        <color rgb="FFFFEB84"/>
        <color rgb="FF63BE7B"/>
      </colorScale>
    </cfRule>
  </conditionalFormatting>
  <conditionalFormatting sqref="S158">
    <cfRule type="colorScale" priority="145">
      <colorScale>
        <cfvo type="num" val="-0.1"/>
        <cfvo type="num" val="0"/>
        <cfvo type="num" val="0.1"/>
        <color rgb="FFF8696B"/>
        <color rgb="FFFFEB84"/>
        <color rgb="FF63BE7B"/>
      </colorScale>
    </cfRule>
  </conditionalFormatting>
  <conditionalFormatting sqref="S159">
    <cfRule type="colorScale" priority="144">
      <colorScale>
        <cfvo type="num" val="-0.1"/>
        <cfvo type="num" val="0"/>
        <cfvo type="num" val="0.1"/>
        <color rgb="FFF8696B"/>
        <color rgb="FFFFEB84"/>
        <color rgb="FF63BE7B"/>
      </colorScale>
    </cfRule>
  </conditionalFormatting>
  <conditionalFormatting sqref="S160">
    <cfRule type="colorScale" priority="143">
      <colorScale>
        <cfvo type="num" val="-0.1"/>
        <cfvo type="num" val="0"/>
        <cfvo type="num" val="0.1"/>
        <color rgb="FFF8696B"/>
        <color rgb="FFFFEB84"/>
        <color rgb="FF63BE7B"/>
      </colorScale>
    </cfRule>
  </conditionalFormatting>
  <conditionalFormatting sqref="S161">
    <cfRule type="colorScale" priority="154">
      <colorScale>
        <cfvo type="num" val="-0.1"/>
        <cfvo type="num" val="0"/>
        <cfvo type="num" val="0.1"/>
        <color rgb="FFF8696B"/>
        <color rgb="FFFFEB84"/>
        <color rgb="FF63BE7B"/>
      </colorScale>
    </cfRule>
  </conditionalFormatting>
  <conditionalFormatting sqref="S162:S164">
    <cfRule type="colorScale" priority="157">
      <colorScale>
        <cfvo type="num" val="-0.1"/>
        <cfvo type="num" val="0"/>
        <cfvo type="num" val="0.1"/>
        <color rgb="FFF8696B"/>
        <color rgb="FFFFEB84"/>
        <color rgb="FF63BE7B"/>
      </colorScale>
    </cfRule>
  </conditionalFormatting>
  <conditionalFormatting sqref="S163">
    <cfRule type="colorScale" priority="156">
      <colorScale>
        <cfvo type="num" val="-0.1"/>
        <cfvo type="num" val="0"/>
        <cfvo type="num" val="0.1"/>
        <color rgb="FFF8696B"/>
        <color rgb="FFFFEB84"/>
        <color rgb="FF63BE7B"/>
      </colorScale>
    </cfRule>
  </conditionalFormatting>
  <conditionalFormatting sqref="S164">
    <cfRule type="colorScale" priority="155">
      <colorScale>
        <cfvo type="num" val="-0.1"/>
        <cfvo type="num" val="0"/>
        <cfvo type="num" val="0.1"/>
        <color rgb="FFF8696B"/>
        <color rgb="FFFFEB84"/>
        <color rgb="FF63BE7B"/>
      </colorScale>
    </cfRule>
  </conditionalFormatting>
  <conditionalFormatting sqref="S165">
    <cfRule type="colorScale" priority="158">
      <colorScale>
        <cfvo type="num" val="-0.1"/>
        <cfvo type="num" val="0"/>
        <cfvo type="num" val="0.1"/>
        <color rgb="FFF8696B"/>
        <color rgb="FFFFEB84"/>
        <color rgb="FF63BE7B"/>
      </colorScale>
    </cfRule>
  </conditionalFormatting>
  <conditionalFormatting sqref="S166">
    <cfRule type="colorScale" priority="159">
      <colorScale>
        <cfvo type="num" val="-0.1"/>
        <cfvo type="num" val="0"/>
        <cfvo type="num" val="0.1"/>
        <color rgb="FFF8696B"/>
        <color rgb="FFFFEB84"/>
        <color rgb="FF63BE7B"/>
      </colorScale>
    </cfRule>
  </conditionalFormatting>
  <conditionalFormatting sqref="S167">
    <cfRule type="colorScale" priority="160">
      <colorScale>
        <cfvo type="num" val="-0.1"/>
        <cfvo type="num" val="0"/>
        <cfvo type="num" val="0.1"/>
        <color rgb="FFF8696B"/>
        <color rgb="FFFFEB84"/>
        <color rgb="FF63BE7B"/>
      </colorScale>
    </cfRule>
  </conditionalFormatting>
  <conditionalFormatting sqref="S168">
    <cfRule type="colorScale" priority="162">
      <colorScale>
        <cfvo type="num" val="-0.1"/>
        <cfvo type="num" val="0"/>
        <cfvo type="num" val="0.1"/>
        <color rgb="FFF8696B"/>
        <color rgb="FFFFEB84"/>
        <color rgb="FF63BE7B"/>
      </colorScale>
    </cfRule>
  </conditionalFormatting>
  <conditionalFormatting sqref="S169">
    <cfRule type="colorScale" priority="140">
      <colorScale>
        <cfvo type="num" val="-0.1"/>
        <cfvo type="num" val="0"/>
        <cfvo type="num" val="0.1"/>
        <color rgb="FFF8696B"/>
        <color rgb="FFFFEB84"/>
        <color rgb="FF63BE7B"/>
      </colorScale>
    </cfRule>
  </conditionalFormatting>
  <conditionalFormatting sqref="S170">
    <cfRule type="colorScale" priority="139">
      <colorScale>
        <cfvo type="num" val="-0.1"/>
        <cfvo type="num" val="0"/>
        <cfvo type="num" val="0.1"/>
        <color rgb="FFF8696B"/>
        <color rgb="FFFFEB84"/>
        <color rgb="FF63BE7B"/>
      </colorScale>
    </cfRule>
  </conditionalFormatting>
  <conditionalFormatting sqref="S171">
    <cfRule type="colorScale" priority="161">
      <colorScale>
        <cfvo type="num" val="-0.1"/>
        <cfvo type="num" val="0"/>
        <cfvo type="num" val="0.1"/>
        <color rgb="FFF8696B"/>
        <color rgb="FFFFEB84"/>
        <color rgb="FF63BE7B"/>
      </colorScale>
    </cfRule>
  </conditionalFormatting>
  <conditionalFormatting sqref="S172:S173">
    <cfRule type="colorScale" priority="164">
      <colorScale>
        <cfvo type="num" val="-0.1"/>
        <cfvo type="num" val="0"/>
        <cfvo type="num" val="0.1"/>
        <color rgb="FFF8696B"/>
        <color rgb="FFFFEB84"/>
        <color rgb="FF63BE7B"/>
      </colorScale>
    </cfRule>
  </conditionalFormatting>
  <conditionalFormatting sqref="S173">
    <cfRule type="colorScale" priority="163">
      <colorScale>
        <cfvo type="num" val="-0.1"/>
        <cfvo type="num" val="0"/>
        <cfvo type="num" val="0.1"/>
        <color rgb="FFF8696B"/>
        <color rgb="FFFFEB84"/>
        <color rgb="FF63BE7B"/>
      </colorScale>
    </cfRule>
  </conditionalFormatting>
  <conditionalFormatting sqref="S174">
    <cfRule type="colorScale" priority="165">
      <colorScale>
        <cfvo type="num" val="-0.1"/>
        <cfvo type="num" val="0"/>
        <cfvo type="num" val="0.1"/>
        <color rgb="FFF8696B"/>
        <color rgb="FFFFEB84"/>
        <color rgb="FF63BE7B"/>
      </colorScale>
    </cfRule>
  </conditionalFormatting>
  <conditionalFormatting sqref="S175">
    <cfRule type="colorScale" priority="166">
      <colorScale>
        <cfvo type="num" val="-0.1"/>
        <cfvo type="num" val="0"/>
        <cfvo type="num" val="0.1"/>
        <color rgb="FFF8696B"/>
        <color rgb="FFFFEB84"/>
        <color rgb="FF63BE7B"/>
      </colorScale>
    </cfRule>
  </conditionalFormatting>
  <conditionalFormatting sqref="S176">
    <cfRule type="colorScale" priority="167">
      <colorScale>
        <cfvo type="num" val="-0.1"/>
        <cfvo type="num" val="0"/>
        <cfvo type="num" val="0.1"/>
        <color rgb="FFF8696B"/>
        <color rgb="FFFFEB84"/>
        <color rgb="FF63BE7B"/>
      </colorScale>
    </cfRule>
  </conditionalFormatting>
  <conditionalFormatting sqref="S177">
    <cfRule type="colorScale" priority="169">
      <colorScale>
        <cfvo type="num" val="-0.1"/>
        <cfvo type="num" val="0"/>
        <cfvo type="num" val="0.1"/>
        <color rgb="FFF8696B"/>
        <color rgb="FFFFEB84"/>
        <color rgb="FF63BE7B"/>
      </colorScale>
    </cfRule>
  </conditionalFormatting>
  <conditionalFormatting sqref="S178">
    <cfRule type="colorScale" priority="168">
      <colorScale>
        <cfvo type="num" val="-0.1"/>
        <cfvo type="num" val="0"/>
        <cfvo type="num" val="0.1"/>
        <color rgb="FFF8696B"/>
        <color rgb="FFFFEB84"/>
        <color rgb="FF63BE7B"/>
      </colorScale>
    </cfRule>
  </conditionalFormatting>
  <conditionalFormatting sqref="S179">
    <cfRule type="colorScale" priority="179">
      <colorScale>
        <cfvo type="num" val="-0.1"/>
        <cfvo type="num" val="0"/>
        <cfvo type="num" val="0.1"/>
        <color rgb="FFF8696B"/>
        <color rgb="FFFFEB84"/>
        <color rgb="FF63BE7B"/>
      </colorScale>
    </cfRule>
  </conditionalFormatting>
  <conditionalFormatting sqref="S180">
    <cfRule type="colorScale" priority="178">
      <colorScale>
        <cfvo type="num" val="-0.1"/>
        <cfvo type="num" val="0"/>
        <cfvo type="num" val="0.1"/>
        <color rgb="FFF8696B"/>
        <color rgb="FFFFEB84"/>
        <color rgb="FF63BE7B"/>
      </colorScale>
    </cfRule>
  </conditionalFormatting>
  <conditionalFormatting sqref="S181">
    <cfRule type="colorScale" priority="192">
      <colorScale>
        <cfvo type="num" val="-0.1"/>
        <cfvo type="num" val="0"/>
        <cfvo type="num" val="0.1"/>
        <color rgb="FFF8696B"/>
        <color rgb="FFFFEB84"/>
        <color rgb="FF63BE7B"/>
      </colorScale>
    </cfRule>
  </conditionalFormatting>
  <conditionalFormatting sqref="S182">
    <cfRule type="colorScale" priority="191">
      <colorScale>
        <cfvo type="num" val="-0.1"/>
        <cfvo type="num" val="0"/>
        <cfvo type="num" val="0.1"/>
        <color rgb="FFF8696B"/>
        <color rgb="FFFFEB84"/>
        <color rgb="FF63BE7B"/>
      </colorScale>
    </cfRule>
  </conditionalFormatting>
  <conditionalFormatting sqref="S183">
    <cfRule type="colorScale" priority="190">
      <colorScale>
        <cfvo type="num" val="-0.1"/>
        <cfvo type="num" val="0"/>
        <cfvo type="num" val="0.1"/>
        <color rgb="FFF8696B"/>
        <color rgb="FFFFEB84"/>
        <color rgb="FF63BE7B"/>
      </colorScale>
    </cfRule>
  </conditionalFormatting>
  <conditionalFormatting sqref="S184">
    <cfRule type="colorScale" priority="189">
      <colorScale>
        <cfvo type="num" val="-0.1"/>
        <cfvo type="num" val="0"/>
        <cfvo type="num" val="0.1"/>
        <color rgb="FFF8696B"/>
        <color rgb="FFFFEB84"/>
        <color rgb="FF63BE7B"/>
      </colorScale>
    </cfRule>
  </conditionalFormatting>
  <conditionalFormatting sqref="S185">
    <cfRule type="colorScale" priority="188">
      <colorScale>
        <cfvo type="num" val="-0.1"/>
        <cfvo type="num" val="0"/>
        <cfvo type="num" val="0.1"/>
        <color rgb="FFF8696B"/>
        <color rgb="FFFFEB84"/>
        <color rgb="FF63BE7B"/>
      </colorScale>
    </cfRule>
  </conditionalFormatting>
  <conditionalFormatting sqref="S186">
    <cfRule type="colorScale" priority="186">
      <colorScale>
        <cfvo type="num" val="-0.1"/>
        <cfvo type="num" val="0"/>
        <cfvo type="num" val="0.1"/>
        <color rgb="FFF8696B"/>
        <color rgb="FFFFEB84"/>
        <color rgb="FF63BE7B"/>
      </colorScale>
    </cfRule>
  </conditionalFormatting>
  <conditionalFormatting sqref="S187">
    <cfRule type="colorScale" priority="185">
      <colorScale>
        <cfvo type="num" val="-0.1"/>
        <cfvo type="num" val="0"/>
        <cfvo type="num" val="0.1"/>
        <color rgb="FFF8696B"/>
        <color rgb="FFFFEB84"/>
        <color rgb="FF63BE7B"/>
      </colorScale>
    </cfRule>
  </conditionalFormatting>
  <conditionalFormatting sqref="S188">
    <cfRule type="colorScale" priority="184">
      <colorScale>
        <cfvo type="num" val="-0.1"/>
        <cfvo type="num" val="0"/>
        <cfvo type="num" val="0.1"/>
        <color rgb="FFF8696B"/>
        <color rgb="FFFFEB84"/>
        <color rgb="FF63BE7B"/>
      </colorScale>
    </cfRule>
  </conditionalFormatting>
  <conditionalFormatting sqref="S189">
    <cfRule type="colorScale" priority="183">
      <colorScale>
        <cfvo type="num" val="-0.1"/>
        <cfvo type="num" val="0"/>
        <cfvo type="num" val="0.1"/>
        <color rgb="FFF8696B"/>
        <color rgb="FFFFEB84"/>
        <color rgb="FF63BE7B"/>
      </colorScale>
    </cfRule>
  </conditionalFormatting>
  <conditionalFormatting sqref="S190">
    <cfRule type="colorScale" priority="182">
      <colorScale>
        <cfvo type="num" val="-0.1"/>
        <cfvo type="num" val="0"/>
        <cfvo type="num" val="0.1"/>
        <color rgb="FFF8696B"/>
        <color rgb="FFFFEB84"/>
        <color rgb="FF63BE7B"/>
      </colorScale>
    </cfRule>
  </conditionalFormatting>
  <conditionalFormatting sqref="S191">
    <cfRule type="colorScale" priority="181">
      <colorScale>
        <cfvo type="num" val="-0.1"/>
        <cfvo type="num" val="0"/>
        <cfvo type="num" val="0.1"/>
        <color rgb="FFF8696B"/>
        <color rgb="FFFFEB84"/>
        <color rgb="FF63BE7B"/>
      </colorScale>
    </cfRule>
  </conditionalFormatting>
  <conditionalFormatting sqref="S192">
    <cfRule type="colorScale" priority="193">
      <colorScale>
        <cfvo type="num" val="-0.1"/>
        <cfvo type="num" val="0"/>
        <cfvo type="num" val="0.1"/>
        <color rgb="FFF8696B"/>
        <color rgb="FFFFEB84"/>
        <color rgb="FF63BE7B"/>
      </colorScale>
    </cfRule>
  </conditionalFormatting>
  <conditionalFormatting sqref="S193">
    <cfRule type="colorScale" priority="195">
      <colorScale>
        <cfvo type="num" val="-0.1"/>
        <cfvo type="num" val="0"/>
        <cfvo type="num" val="0.1"/>
        <color rgb="FFF8696B"/>
        <color rgb="FFFFEB84"/>
        <color rgb="FF63BE7B"/>
      </colorScale>
    </cfRule>
  </conditionalFormatting>
  <conditionalFormatting sqref="S194">
    <cfRule type="colorScale" priority="170">
      <colorScale>
        <cfvo type="num" val="-0.1"/>
        <cfvo type="num" val="0"/>
        <cfvo type="num" val="0.1"/>
        <color rgb="FFF8696B"/>
        <color rgb="FFFFEB84"/>
        <color rgb="FF63BE7B"/>
      </colorScale>
    </cfRule>
  </conditionalFormatting>
  <conditionalFormatting sqref="S195">
    <cfRule type="colorScale" priority="171">
      <colorScale>
        <cfvo type="num" val="-0.1"/>
        <cfvo type="num" val="0"/>
        <cfvo type="num" val="0.1"/>
        <color rgb="FFF8696B"/>
        <color rgb="FFFFEB84"/>
        <color rgb="FF63BE7B"/>
      </colorScale>
    </cfRule>
  </conditionalFormatting>
  <conditionalFormatting sqref="S196">
    <cfRule type="colorScale" priority="172">
      <colorScale>
        <cfvo type="num" val="-0.1"/>
        <cfvo type="num" val="0"/>
        <cfvo type="num" val="0.1"/>
        <color rgb="FFF8696B"/>
        <color rgb="FFFFEB84"/>
        <color rgb="FF63BE7B"/>
      </colorScale>
    </cfRule>
  </conditionalFormatting>
  <conditionalFormatting sqref="S197">
    <cfRule type="colorScale" priority="194">
      <colorScale>
        <cfvo type="num" val="-0.1"/>
        <cfvo type="num" val="0"/>
        <cfvo type="num" val="0.1"/>
        <color rgb="FFF8696B"/>
        <color rgb="FFFFEB84"/>
        <color rgb="FF63BE7B"/>
      </colorScale>
    </cfRule>
  </conditionalFormatting>
  <conditionalFormatting sqref="S198">
    <cfRule type="colorScale" priority="187">
      <colorScale>
        <cfvo type="num" val="-0.1"/>
        <cfvo type="num" val="0"/>
        <cfvo type="num" val="0.1"/>
        <color rgb="FFF8696B"/>
        <color rgb="FFFFEB84"/>
        <color rgb="FF63BE7B"/>
      </colorScale>
    </cfRule>
  </conditionalFormatting>
  <conditionalFormatting sqref="S199">
    <cfRule type="colorScale" priority="180">
      <colorScale>
        <cfvo type="num" val="-0.1"/>
        <cfvo type="num" val="0"/>
        <cfvo type="num" val="0.1"/>
        <color rgb="FFF8696B"/>
        <color rgb="FFFFEB84"/>
        <color rgb="FF63BE7B"/>
      </colorScale>
    </cfRule>
  </conditionalFormatting>
  <conditionalFormatting sqref="S200">
    <cfRule type="colorScale" priority="196">
      <colorScale>
        <cfvo type="num" val="-0.1"/>
        <cfvo type="num" val="0"/>
        <cfvo type="num" val="0.1"/>
        <color rgb="FFF8696B"/>
        <color rgb="FFFFEB84"/>
        <color rgb="FF63BE7B"/>
      </colorScale>
    </cfRule>
  </conditionalFormatting>
  <conditionalFormatting sqref="S201">
    <cfRule type="colorScale" priority="173">
      <colorScale>
        <cfvo type="num" val="-0.1"/>
        <cfvo type="num" val="0"/>
        <cfvo type="num" val="0.1"/>
        <color rgb="FFF8696B"/>
        <color rgb="FFFFEB84"/>
        <color rgb="FF63BE7B"/>
      </colorScale>
    </cfRule>
  </conditionalFormatting>
  <conditionalFormatting sqref="S202">
    <cfRule type="colorScale" priority="174">
      <colorScale>
        <cfvo type="num" val="-0.1"/>
        <cfvo type="num" val="0"/>
        <cfvo type="num" val="0.1"/>
        <color rgb="FFF8696B"/>
        <color rgb="FFFFEB84"/>
        <color rgb="FF63BE7B"/>
      </colorScale>
    </cfRule>
  </conditionalFormatting>
  <conditionalFormatting sqref="S203">
    <cfRule type="colorScale" priority="175">
      <colorScale>
        <cfvo type="num" val="-0.1"/>
        <cfvo type="num" val="0"/>
        <cfvo type="num" val="0.1"/>
        <color rgb="FFF8696B"/>
        <color rgb="FFFFEB84"/>
        <color rgb="FF63BE7B"/>
      </colorScale>
    </cfRule>
  </conditionalFormatting>
  <conditionalFormatting sqref="S204">
    <cfRule type="colorScale" priority="177">
      <colorScale>
        <cfvo type="num" val="-0.1"/>
        <cfvo type="num" val="0"/>
        <cfvo type="num" val="0.1"/>
        <color rgb="FFF8696B"/>
        <color rgb="FFFFEB84"/>
        <color rgb="FF63BE7B"/>
      </colorScale>
    </cfRule>
  </conditionalFormatting>
  <conditionalFormatting sqref="S205">
    <cfRule type="colorScale" priority="176">
      <colorScale>
        <cfvo type="num" val="-0.1"/>
        <cfvo type="num" val="0"/>
        <cfvo type="num" val="0.1"/>
        <color rgb="FFF8696B"/>
        <color rgb="FFFFEB84"/>
        <color rgb="FF63BE7B"/>
      </colorScale>
    </cfRule>
  </conditionalFormatting>
  <conditionalFormatting sqref="S206">
    <cfRule type="colorScale" priority="211">
      <colorScale>
        <cfvo type="num" val="-0.1"/>
        <cfvo type="num" val="0"/>
        <cfvo type="num" val="0.1"/>
        <color rgb="FFF8696B"/>
        <color rgb="FFFFEB84"/>
        <color rgb="FF63BE7B"/>
      </colorScale>
    </cfRule>
  </conditionalFormatting>
  <conditionalFormatting sqref="S207">
    <cfRule type="colorScale" priority="210">
      <colorScale>
        <cfvo type="num" val="-0.1"/>
        <cfvo type="num" val="0"/>
        <cfvo type="num" val="0.1"/>
        <color rgb="FFF8696B"/>
        <color rgb="FFFFEB84"/>
        <color rgb="FF63BE7B"/>
      </colorScale>
    </cfRule>
  </conditionalFormatting>
  <conditionalFormatting sqref="S208">
    <cfRule type="colorScale" priority="209">
      <colorScale>
        <cfvo type="num" val="-0.1"/>
        <cfvo type="num" val="0"/>
        <cfvo type="num" val="0.1"/>
        <color rgb="FFF8696B"/>
        <color rgb="FFFFEB84"/>
        <color rgb="FF63BE7B"/>
      </colorScale>
    </cfRule>
  </conditionalFormatting>
  <conditionalFormatting sqref="S209">
    <cfRule type="colorScale" priority="204">
      <colorScale>
        <cfvo type="num" val="-0.1"/>
        <cfvo type="num" val="0"/>
        <cfvo type="num" val="0.1"/>
        <color rgb="FFF8696B"/>
        <color rgb="FFFFEB84"/>
        <color rgb="FF63BE7B"/>
      </colorScale>
    </cfRule>
  </conditionalFormatting>
  <conditionalFormatting sqref="S210">
    <cfRule type="colorScale" priority="205">
      <colorScale>
        <cfvo type="num" val="-0.1"/>
        <cfvo type="num" val="0"/>
        <cfvo type="num" val="0.1"/>
        <color rgb="FFF8696B"/>
        <color rgb="FFFFEB84"/>
        <color rgb="FF63BE7B"/>
      </colorScale>
    </cfRule>
  </conditionalFormatting>
  <conditionalFormatting sqref="S211">
    <cfRule type="colorScale" priority="206">
      <colorScale>
        <cfvo type="num" val="-0.1"/>
        <cfvo type="num" val="0"/>
        <cfvo type="num" val="0.1"/>
        <color rgb="FFF8696B"/>
        <color rgb="FFFFEB84"/>
        <color rgb="FF63BE7B"/>
      </colorScale>
    </cfRule>
  </conditionalFormatting>
  <conditionalFormatting sqref="S212">
    <cfRule type="colorScale" priority="208">
      <colorScale>
        <cfvo type="num" val="-0.1"/>
        <cfvo type="num" val="0"/>
        <cfvo type="num" val="0.1"/>
        <color rgb="FFF8696B"/>
        <color rgb="FFFFEB84"/>
        <color rgb="FF63BE7B"/>
      </colorScale>
    </cfRule>
  </conditionalFormatting>
  <conditionalFormatting sqref="S213">
    <cfRule type="colorScale" priority="207">
      <colorScale>
        <cfvo type="num" val="-0.1"/>
        <cfvo type="num" val="0"/>
        <cfvo type="num" val="0.1"/>
        <color rgb="FFF8696B"/>
        <color rgb="FFFFEB84"/>
        <color rgb="FF63BE7B"/>
      </colorScale>
    </cfRule>
  </conditionalFormatting>
  <conditionalFormatting sqref="S214">
    <cfRule type="colorScale" priority="203">
      <colorScale>
        <cfvo type="num" val="-0.1"/>
        <cfvo type="num" val="0"/>
        <cfvo type="num" val="0.1"/>
        <color rgb="FFF8696B"/>
        <color rgb="FFFFEB84"/>
        <color rgb="FF63BE7B"/>
      </colorScale>
    </cfRule>
  </conditionalFormatting>
  <conditionalFormatting sqref="S215">
    <cfRule type="colorScale" priority="202">
      <colorScale>
        <cfvo type="num" val="-0.1"/>
        <cfvo type="num" val="0"/>
        <cfvo type="num" val="0.1"/>
        <color rgb="FFF8696B"/>
        <color rgb="FFFFEB84"/>
        <color rgb="FF63BE7B"/>
      </colorScale>
    </cfRule>
  </conditionalFormatting>
  <conditionalFormatting sqref="S216">
    <cfRule type="colorScale" priority="197">
      <colorScale>
        <cfvo type="num" val="-0.1"/>
        <cfvo type="num" val="0"/>
        <cfvo type="num" val="0.1"/>
        <color rgb="FFF8696B"/>
        <color rgb="FFFFEB84"/>
        <color rgb="FF63BE7B"/>
      </colorScale>
    </cfRule>
  </conditionalFormatting>
  <conditionalFormatting sqref="S217">
    <cfRule type="colorScale" priority="198">
      <colorScale>
        <cfvo type="num" val="-0.1"/>
        <cfvo type="num" val="0"/>
        <cfvo type="num" val="0.1"/>
        <color rgb="FFF8696B"/>
        <color rgb="FFFFEB84"/>
        <color rgb="FF63BE7B"/>
      </colorScale>
    </cfRule>
  </conditionalFormatting>
  <conditionalFormatting sqref="S218">
    <cfRule type="colorScale" priority="199">
      <colorScale>
        <cfvo type="num" val="-0.1"/>
        <cfvo type="num" val="0"/>
        <cfvo type="num" val="0.1"/>
        <color rgb="FFF8696B"/>
        <color rgb="FFFFEB84"/>
        <color rgb="FF63BE7B"/>
      </colorScale>
    </cfRule>
  </conditionalFormatting>
  <conditionalFormatting sqref="S219">
    <cfRule type="colorScale" priority="201">
      <colorScale>
        <cfvo type="num" val="-0.1"/>
        <cfvo type="num" val="0"/>
        <cfvo type="num" val="0.1"/>
        <color rgb="FFF8696B"/>
        <color rgb="FFFFEB84"/>
        <color rgb="FF63BE7B"/>
      </colorScale>
    </cfRule>
  </conditionalFormatting>
  <conditionalFormatting sqref="S220">
    <cfRule type="colorScale" priority="200">
      <colorScale>
        <cfvo type="num" val="-0.1"/>
        <cfvo type="num" val="0"/>
        <cfvo type="num" val="0.1"/>
        <color rgb="FFF8696B"/>
        <color rgb="FFFFEB84"/>
        <color rgb="FF63BE7B"/>
      </colorScale>
    </cfRule>
  </conditionalFormatting>
  <conditionalFormatting sqref="S221">
    <cfRule type="colorScale" priority="218">
      <colorScale>
        <cfvo type="num" val="-0.1"/>
        <cfvo type="num" val="0"/>
        <cfvo type="num" val="0.1"/>
        <color rgb="FFF8696B"/>
        <color rgb="FFFFEB84"/>
        <color rgb="FF63BE7B"/>
      </colorScale>
    </cfRule>
  </conditionalFormatting>
  <conditionalFormatting sqref="S222">
    <cfRule type="colorScale" priority="217">
      <colorScale>
        <cfvo type="num" val="-0.1"/>
        <cfvo type="num" val="0"/>
        <cfvo type="num" val="0.1"/>
        <color rgb="FFF8696B"/>
        <color rgb="FFFFEB84"/>
        <color rgb="FF63BE7B"/>
      </colorScale>
    </cfRule>
  </conditionalFormatting>
  <conditionalFormatting sqref="S223">
    <cfRule type="colorScale" priority="216">
      <colorScale>
        <cfvo type="num" val="-0.1"/>
        <cfvo type="num" val="0"/>
        <cfvo type="num" val="0.1"/>
        <color rgb="FFF8696B"/>
        <color rgb="FFFFEB84"/>
        <color rgb="FF63BE7B"/>
      </colorScale>
    </cfRule>
  </conditionalFormatting>
  <conditionalFormatting sqref="S224">
    <cfRule type="colorScale" priority="212">
      <colorScale>
        <cfvo type="num" val="-0.1"/>
        <cfvo type="num" val="0"/>
        <cfvo type="num" val="0.1"/>
        <color rgb="FFF8696B"/>
        <color rgb="FFFFEB84"/>
        <color rgb="FF63BE7B"/>
      </colorScale>
    </cfRule>
  </conditionalFormatting>
  <conditionalFormatting sqref="S225">
    <cfRule type="colorScale" priority="213">
      <colorScale>
        <cfvo type="num" val="-0.1"/>
        <cfvo type="num" val="0"/>
        <cfvo type="num" val="0.1"/>
        <color rgb="FFF8696B"/>
        <color rgb="FFFFEB84"/>
        <color rgb="FF63BE7B"/>
      </colorScale>
    </cfRule>
  </conditionalFormatting>
  <conditionalFormatting sqref="S226">
    <cfRule type="colorScale" priority="214">
      <colorScale>
        <cfvo type="num" val="-0.1"/>
        <cfvo type="num" val="0"/>
        <cfvo type="num" val="0.1"/>
        <color rgb="FFF8696B"/>
        <color rgb="FFFFEB84"/>
        <color rgb="FF63BE7B"/>
      </colorScale>
    </cfRule>
  </conditionalFormatting>
  <conditionalFormatting sqref="S227">
    <cfRule type="colorScale" priority="215">
      <colorScale>
        <cfvo type="num" val="-0.1"/>
        <cfvo type="num" val="0"/>
        <cfvo type="num" val="0.1"/>
        <color rgb="FFF8696B"/>
        <color rgb="FFFFEB84"/>
        <color rgb="FF63BE7B"/>
      </colorScale>
    </cfRule>
  </conditionalFormatting>
  <conditionalFormatting sqref="S228">
    <cfRule type="colorScale" priority="219">
      <colorScale>
        <cfvo type="num" val="-0.1"/>
        <cfvo type="num" val="0"/>
        <cfvo type="num" val="0.1"/>
        <color rgb="FFF8696B"/>
        <color rgb="FFFFEB84"/>
        <color rgb="FF63BE7B"/>
      </colorScale>
    </cfRule>
  </conditionalFormatting>
  <conditionalFormatting sqref="S229">
    <cfRule type="colorScale" priority="220">
      <colorScale>
        <cfvo type="num" val="-0.1"/>
        <cfvo type="num" val="0"/>
        <cfvo type="num" val="0.1"/>
        <color rgb="FFF8696B"/>
        <color rgb="FFFFEB84"/>
        <color rgb="FF63BE7B"/>
      </colorScale>
    </cfRule>
  </conditionalFormatting>
  <conditionalFormatting sqref="S230">
    <cfRule type="colorScale" priority="235">
      <colorScale>
        <cfvo type="num" val="-0.1"/>
        <cfvo type="num" val="0"/>
        <cfvo type="num" val="0.1"/>
        <color rgb="FFF8696B"/>
        <color rgb="FFFFEB84"/>
        <color rgb="FF63BE7B"/>
      </colorScale>
    </cfRule>
  </conditionalFormatting>
  <conditionalFormatting sqref="S231">
    <cfRule type="colorScale" priority="234">
      <colorScale>
        <cfvo type="num" val="-0.1"/>
        <cfvo type="num" val="0"/>
        <cfvo type="num" val="0.1"/>
        <color rgb="FFF8696B"/>
        <color rgb="FFFFEB84"/>
        <color rgb="FF63BE7B"/>
      </colorScale>
    </cfRule>
  </conditionalFormatting>
  <conditionalFormatting sqref="S232">
    <cfRule type="colorScale" priority="233">
      <colorScale>
        <cfvo type="num" val="-0.1"/>
        <cfvo type="num" val="0"/>
        <cfvo type="num" val="0.1"/>
        <color rgb="FFF8696B"/>
        <color rgb="FFFFEB84"/>
        <color rgb="FF63BE7B"/>
      </colorScale>
    </cfRule>
  </conditionalFormatting>
  <conditionalFormatting sqref="S233">
    <cfRule type="colorScale" priority="228">
      <colorScale>
        <cfvo type="num" val="-0.1"/>
        <cfvo type="num" val="0"/>
        <cfvo type="num" val="0.1"/>
        <color rgb="FFF8696B"/>
        <color rgb="FFFFEB84"/>
        <color rgb="FF63BE7B"/>
      </colorScale>
    </cfRule>
  </conditionalFormatting>
  <conditionalFormatting sqref="S234">
    <cfRule type="colorScale" priority="229">
      <colorScale>
        <cfvo type="num" val="-0.1"/>
        <cfvo type="num" val="0"/>
        <cfvo type="num" val="0.1"/>
        <color rgb="FFF8696B"/>
        <color rgb="FFFFEB84"/>
        <color rgb="FF63BE7B"/>
      </colorScale>
    </cfRule>
  </conditionalFormatting>
  <conditionalFormatting sqref="S235">
    <cfRule type="colorScale" priority="230">
      <colorScale>
        <cfvo type="num" val="-0.1"/>
        <cfvo type="num" val="0"/>
        <cfvo type="num" val="0.1"/>
        <color rgb="FFF8696B"/>
        <color rgb="FFFFEB84"/>
        <color rgb="FF63BE7B"/>
      </colorScale>
    </cfRule>
  </conditionalFormatting>
  <conditionalFormatting sqref="S236">
    <cfRule type="colorScale" priority="232">
      <colorScale>
        <cfvo type="num" val="-0.1"/>
        <cfvo type="num" val="0"/>
        <cfvo type="num" val="0.1"/>
        <color rgb="FFF8696B"/>
        <color rgb="FFFFEB84"/>
        <color rgb="FF63BE7B"/>
      </colorScale>
    </cfRule>
  </conditionalFormatting>
  <conditionalFormatting sqref="S237">
    <cfRule type="colorScale" priority="231">
      <colorScale>
        <cfvo type="num" val="-0.1"/>
        <cfvo type="num" val="0"/>
        <cfvo type="num" val="0.1"/>
        <color rgb="FFF8696B"/>
        <color rgb="FFFFEB84"/>
        <color rgb="FF63BE7B"/>
      </colorScale>
    </cfRule>
  </conditionalFormatting>
  <conditionalFormatting sqref="S238">
    <cfRule type="colorScale" priority="227">
      <colorScale>
        <cfvo type="num" val="-0.1"/>
        <cfvo type="num" val="0"/>
        <cfvo type="num" val="0.1"/>
        <color rgb="FFF8696B"/>
        <color rgb="FFFFEB84"/>
        <color rgb="FF63BE7B"/>
      </colorScale>
    </cfRule>
  </conditionalFormatting>
  <conditionalFormatting sqref="S239">
    <cfRule type="colorScale" priority="226">
      <colorScale>
        <cfvo type="num" val="-0.1"/>
        <cfvo type="num" val="0"/>
        <cfvo type="num" val="0.1"/>
        <color rgb="FFF8696B"/>
        <color rgb="FFFFEB84"/>
        <color rgb="FF63BE7B"/>
      </colorScale>
    </cfRule>
  </conditionalFormatting>
  <conditionalFormatting sqref="S240">
    <cfRule type="colorScale" priority="221">
      <colorScale>
        <cfvo type="num" val="-0.1"/>
        <cfvo type="num" val="0"/>
        <cfvo type="num" val="0.1"/>
        <color rgb="FFF8696B"/>
        <color rgb="FFFFEB84"/>
        <color rgb="FF63BE7B"/>
      </colorScale>
    </cfRule>
  </conditionalFormatting>
  <conditionalFormatting sqref="S241">
    <cfRule type="colorScale" priority="222">
      <colorScale>
        <cfvo type="num" val="-0.1"/>
        <cfvo type="num" val="0"/>
        <cfvo type="num" val="0.1"/>
        <color rgb="FFF8696B"/>
        <color rgb="FFFFEB84"/>
        <color rgb="FF63BE7B"/>
      </colorScale>
    </cfRule>
  </conditionalFormatting>
  <conditionalFormatting sqref="S242">
    <cfRule type="colorScale" priority="223">
      <colorScale>
        <cfvo type="num" val="-0.1"/>
        <cfvo type="num" val="0"/>
        <cfvo type="num" val="0.1"/>
        <color rgb="FFF8696B"/>
        <color rgb="FFFFEB84"/>
        <color rgb="FF63BE7B"/>
      </colorScale>
    </cfRule>
  </conditionalFormatting>
  <conditionalFormatting sqref="S243:S244">
    <cfRule type="colorScale" priority="225">
      <colorScale>
        <cfvo type="num" val="-0.1"/>
        <cfvo type="num" val="0"/>
        <cfvo type="num" val="0.1"/>
        <color rgb="FFF8696B"/>
        <color rgb="FFFFEB84"/>
        <color rgb="FF63BE7B"/>
      </colorScale>
    </cfRule>
  </conditionalFormatting>
  <conditionalFormatting sqref="S245">
    <cfRule type="colorScale" priority="224">
      <colorScale>
        <cfvo type="num" val="-0.1"/>
        <cfvo type="num" val="0"/>
        <cfvo type="num" val="0.1"/>
        <color rgb="FFF8696B"/>
        <color rgb="FFFFEB84"/>
        <color rgb="FF63BE7B"/>
      </colorScale>
    </cfRule>
  </conditionalFormatting>
  <conditionalFormatting sqref="S246">
    <cfRule type="colorScale" priority="241">
      <colorScale>
        <cfvo type="num" val="-0.1"/>
        <cfvo type="num" val="0"/>
        <cfvo type="num" val="0.1"/>
        <color rgb="FFF8696B"/>
        <color rgb="FFFFEB84"/>
        <color rgb="FF63BE7B"/>
      </colorScale>
    </cfRule>
  </conditionalFormatting>
  <conditionalFormatting sqref="S247">
    <cfRule type="colorScale" priority="240">
      <colorScale>
        <cfvo type="num" val="-0.1"/>
        <cfvo type="num" val="0"/>
        <cfvo type="num" val="0.1"/>
        <color rgb="FFF8696B"/>
        <color rgb="FFFFEB84"/>
        <color rgb="FF63BE7B"/>
      </colorScale>
    </cfRule>
  </conditionalFormatting>
  <conditionalFormatting sqref="S248">
    <cfRule type="colorScale" priority="238">
      <colorScale>
        <cfvo type="num" val="-0.1"/>
        <cfvo type="num" val="0"/>
        <cfvo type="num" val="0.1"/>
        <color rgb="FFF8696B"/>
        <color rgb="FFFFEB84"/>
        <color rgb="FF63BE7B"/>
      </colorScale>
    </cfRule>
  </conditionalFormatting>
  <conditionalFormatting sqref="S249">
    <cfRule type="colorScale" priority="237">
      <colorScale>
        <cfvo type="num" val="-0.1"/>
        <cfvo type="num" val="0"/>
        <cfvo type="num" val="0.1"/>
        <color rgb="FFF8696B"/>
        <color rgb="FFFFEB84"/>
        <color rgb="FF63BE7B"/>
      </colorScale>
    </cfRule>
  </conditionalFormatting>
  <conditionalFormatting sqref="S250">
    <cfRule type="colorScale" priority="236">
      <colorScale>
        <cfvo type="num" val="-0.1"/>
        <cfvo type="num" val="0"/>
        <cfvo type="num" val="0.1"/>
        <color rgb="FFF8696B"/>
        <color rgb="FFFFEB84"/>
        <color rgb="FF63BE7B"/>
      </colorScale>
    </cfRule>
  </conditionalFormatting>
  <conditionalFormatting sqref="S251">
    <cfRule type="colorScale" priority="239">
      <colorScale>
        <cfvo type="num" val="-0.1"/>
        <cfvo type="num" val="0"/>
        <cfvo type="num" val="0.1"/>
        <color rgb="FFF8696B"/>
        <color rgb="FFFFEB84"/>
        <color rgb="FF63BE7B"/>
      </colorScale>
    </cfRule>
  </conditionalFormatting>
  <conditionalFormatting sqref="S252">
    <cfRule type="colorScale" priority="246">
      <colorScale>
        <cfvo type="num" val="-0.1"/>
        <cfvo type="num" val="0"/>
        <cfvo type="num" val="0.1"/>
        <color rgb="FFF8696B"/>
        <color rgb="FFFFEB84"/>
        <color rgb="FF63BE7B"/>
      </colorScale>
    </cfRule>
  </conditionalFormatting>
  <conditionalFormatting sqref="S253">
    <cfRule type="colorScale" priority="245">
      <colorScale>
        <cfvo type="num" val="-0.1"/>
        <cfvo type="num" val="0"/>
        <cfvo type="num" val="0.1"/>
        <color rgb="FFF8696B"/>
        <color rgb="FFFFEB84"/>
        <color rgb="FF63BE7B"/>
      </colorScale>
    </cfRule>
  </conditionalFormatting>
  <conditionalFormatting sqref="S254">
    <cfRule type="colorScale" priority="244">
      <colorScale>
        <cfvo type="num" val="-0.1"/>
        <cfvo type="num" val="0"/>
        <cfvo type="num" val="0.1"/>
        <color rgb="FFF8696B"/>
        <color rgb="FFFFEB84"/>
        <color rgb="FF63BE7B"/>
      </colorScale>
    </cfRule>
  </conditionalFormatting>
  <conditionalFormatting sqref="S255">
    <cfRule type="colorScale" priority="243">
      <colorScale>
        <cfvo type="num" val="-0.1"/>
        <cfvo type="num" val="0"/>
        <cfvo type="num" val="0.1"/>
        <color rgb="FFF8696B"/>
        <color rgb="FFFFEB84"/>
        <color rgb="FF63BE7B"/>
      </colorScale>
    </cfRule>
  </conditionalFormatting>
  <conditionalFormatting sqref="S256:S257">
    <cfRule type="colorScale" priority="242">
      <colorScale>
        <cfvo type="num" val="-0.1"/>
        <cfvo type="num" val="0"/>
        <cfvo type="num" val="0.1"/>
        <color rgb="FFF8696B"/>
        <color rgb="FFFFEB84"/>
        <color rgb="FF63BE7B"/>
      </colorScale>
    </cfRule>
  </conditionalFormatting>
  <conditionalFormatting sqref="S258">
    <cfRule type="colorScale" priority="260">
      <colorScale>
        <cfvo type="num" val="-0.1"/>
        <cfvo type="num" val="0"/>
        <cfvo type="num" val="0.1"/>
        <color rgb="FFF8696B"/>
        <color rgb="FFFFEB84"/>
        <color rgb="FF63BE7B"/>
      </colorScale>
    </cfRule>
  </conditionalFormatting>
  <conditionalFormatting sqref="S259">
    <cfRule type="colorScale" priority="259">
      <colorScale>
        <cfvo type="num" val="-0.1"/>
        <cfvo type="num" val="0"/>
        <cfvo type="num" val="0.1"/>
        <color rgb="FFF8696B"/>
        <color rgb="FFFFEB84"/>
        <color rgb="FF63BE7B"/>
      </colorScale>
    </cfRule>
  </conditionalFormatting>
  <conditionalFormatting sqref="S260">
    <cfRule type="colorScale" priority="258">
      <colorScale>
        <cfvo type="num" val="-0.1"/>
        <cfvo type="num" val="0"/>
        <cfvo type="num" val="0.1"/>
        <color rgb="FFF8696B"/>
        <color rgb="FFFFEB84"/>
        <color rgb="FF63BE7B"/>
      </colorScale>
    </cfRule>
  </conditionalFormatting>
  <conditionalFormatting sqref="S261">
    <cfRule type="colorScale" priority="247">
      <colorScale>
        <cfvo type="num" val="-0.1"/>
        <cfvo type="num" val="0"/>
        <cfvo type="num" val="0.1"/>
        <color rgb="FFF8696B"/>
        <color rgb="FFFFEB84"/>
        <color rgb="FF63BE7B"/>
      </colorScale>
    </cfRule>
  </conditionalFormatting>
  <conditionalFormatting sqref="S262">
    <cfRule type="colorScale" priority="248">
      <colorScale>
        <cfvo type="num" val="-0.1"/>
        <cfvo type="num" val="0"/>
        <cfvo type="num" val="0.1"/>
        <color rgb="FFF8696B"/>
        <color rgb="FFFFEB84"/>
        <color rgb="FF63BE7B"/>
      </colorScale>
    </cfRule>
  </conditionalFormatting>
  <conditionalFormatting sqref="S263">
    <cfRule type="colorScale" priority="249">
      <colorScale>
        <cfvo type="num" val="-0.1"/>
        <cfvo type="num" val="0"/>
        <cfvo type="num" val="0.1"/>
        <color rgb="FFF8696B"/>
        <color rgb="FFFFEB84"/>
        <color rgb="FF63BE7B"/>
      </colorScale>
    </cfRule>
  </conditionalFormatting>
  <conditionalFormatting sqref="S264">
    <cfRule type="colorScale" priority="251">
      <colorScale>
        <cfvo type="num" val="-0.1"/>
        <cfvo type="num" val="0"/>
        <cfvo type="num" val="0.1"/>
        <color rgb="FFF8696B"/>
        <color rgb="FFFFEB84"/>
        <color rgb="FF63BE7B"/>
      </colorScale>
    </cfRule>
  </conditionalFormatting>
  <conditionalFormatting sqref="S265">
    <cfRule type="colorScale" priority="250">
      <colorScale>
        <cfvo type="num" val="-0.1"/>
        <cfvo type="num" val="0"/>
        <cfvo type="num" val="0.1"/>
        <color rgb="FFF8696B"/>
        <color rgb="FFFFEB84"/>
        <color rgb="FF63BE7B"/>
      </colorScale>
    </cfRule>
  </conditionalFormatting>
  <conditionalFormatting sqref="S266 S271">
    <cfRule type="colorScale" priority="257">
      <colorScale>
        <cfvo type="num" val="-0.1"/>
        <cfvo type="num" val="0"/>
        <cfvo type="num" val="0.1"/>
        <color rgb="FFF8696B"/>
        <color rgb="FFFFEB84"/>
        <color rgb="FF63BE7B"/>
      </colorScale>
    </cfRule>
  </conditionalFormatting>
  <conditionalFormatting sqref="S267">
    <cfRule type="colorScale" priority="256">
      <colorScale>
        <cfvo type="num" val="-0.1"/>
        <cfvo type="num" val="0"/>
        <cfvo type="num" val="0.1"/>
        <color rgb="FFF8696B"/>
        <color rgb="FFFFEB84"/>
        <color rgb="FF63BE7B"/>
      </colorScale>
    </cfRule>
  </conditionalFormatting>
  <conditionalFormatting sqref="S268">
    <cfRule type="colorScale" priority="252">
      <colorScale>
        <cfvo type="num" val="-0.1"/>
        <cfvo type="num" val="0"/>
        <cfvo type="num" val="0.1"/>
        <color rgb="FFF8696B"/>
        <color rgb="FFFFEB84"/>
        <color rgb="FF63BE7B"/>
      </colorScale>
    </cfRule>
  </conditionalFormatting>
  <conditionalFormatting sqref="S269">
    <cfRule type="colorScale" priority="253">
      <colorScale>
        <cfvo type="num" val="-0.1"/>
        <cfvo type="num" val="0"/>
        <cfvo type="num" val="0.1"/>
        <color rgb="FFF8696B"/>
        <color rgb="FFFFEB84"/>
        <color rgb="FF63BE7B"/>
      </colorScale>
    </cfRule>
  </conditionalFormatting>
  <conditionalFormatting sqref="S270">
    <cfRule type="colorScale" priority="254">
      <colorScale>
        <cfvo type="num" val="-0.1"/>
        <cfvo type="num" val="0"/>
        <cfvo type="num" val="0.1"/>
        <color rgb="FFF8696B"/>
        <color rgb="FFFFEB84"/>
        <color rgb="FF63BE7B"/>
      </colorScale>
    </cfRule>
  </conditionalFormatting>
  <conditionalFormatting sqref="S272">
    <cfRule type="colorScale" priority="255">
      <colorScale>
        <cfvo type="num" val="-0.1"/>
        <cfvo type="num" val="0"/>
        <cfvo type="num" val="0.1"/>
        <color rgb="FFF8696B"/>
        <color rgb="FFFFEB84"/>
        <color rgb="FF63BE7B"/>
      </colorScale>
    </cfRule>
  </conditionalFormatting>
  <conditionalFormatting sqref="S273">
    <cfRule type="colorScale" priority="264">
      <colorScale>
        <cfvo type="num" val="-0.1"/>
        <cfvo type="num" val="0"/>
        <cfvo type="num" val="0.1"/>
        <color rgb="FFF8696B"/>
        <color rgb="FFFFEB84"/>
        <color rgb="FF63BE7B"/>
      </colorScale>
    </cfRule>
  </conditionalFormatting>
  <conditionalFormatting sqref="S274">
    <cfRule type="colorScale" priority="262">
      <colorScale>
        <cfvo type="num" val="-0.1"/>
        <cfvo type="num" val="0"/>
        <cfvo type="num" val="0.1"/>
        <color rgb="FFF8696B"/>
        <color rgb="FFFFEB84"/>
        <color rgb="FF63BE7B"/>
      </colorScale>
    </cfRule>
  </conditionalFormatting>
  <conditionalFormatting sqref="S275">
    <cfRule type="colorScale" priority="261">
      <colorScale>
        <cfvo type="num" val="-0.1"/>
        <cfvo type="num" val="0"/>
        <cfvo type="num" val="0.1"/>
        <color rgb="FFF8696B"/>
        <color rgb="FFFFEB84"/>
        <color rgb="FF63BE7B"/>
      </colorScale>
    </cfRule>
  </conditionalFormatting>
  <conditionalFormatting sqref="S276">
    <cfRule type="colorScale" priority="263">
      <colorScale>
        <cfvo type="num" val="-0.1"/>
        <cfvo type="num" val="0"/>
        <cfvo type="num" val="0.1"/>
        <color rgb="FFF8696B"/>
        <color rgb="FFFFEB84"/>
        <color rgb="FF63BE7B"/>
      </colorScale>
    </cfRule>
  </conditionalFormatting>
  <conditionalFormatting sqref="S277 S280">
    <cfRule type="colorScale" priority="270">
      <colorScale>
        <cfvo type="num" val="-0.1"/>
        <cfvo type="num" val="0"/>
        <cfvo type="num" val="0.1"/>
        <color rgb="FFF8696B"/>
        <color rgb="FFFFEB84"/>
        <color rgb="FF63BE7B"/>
      </colorScale>
    </cfRule>
  </conditionalFormatting>
  <conditionalFormatting sqref="S278">
    <cfRule type="colorScale" priority="269">
      <colorScale>
        <cfvo type="num" val="-0.1"/>
        <cfvo type="num" val="0"/>
        <cfvo type="num" val="0.1"/>
        <color rgb="FFF8696B"/>
        <color rgb="FFFFEB84"/>
        <color rgb="FF63BE7B"/>
      </colorScale>
    </cfRule>
  </conditionalFormatting>
  <conditionalFormatting sqref="S279">
    <cfRule type="colorScale" priority="268">
      <colorScale>
        <cfvo type="num" val="-0.1"/>
        <cfvo type="num" val="0"/>
        <cfvo type="num" val="0.1"/>
        <color rgb="FFF8696B"/>
        <color rgb="FFFFEB84"/>
        <color rgb="FF63BE7B"/>
      </colorScale>
    </cfRule>
  </conditionalFormatting>
  <conditionalFormatting sqref="S281">
    <cfRule type="colorScale" priority="265">
      <colorScale>
        <cfvo type="num" val="-0.1"/>
        <cfvo type="num" val="0"/>
        <cfvo type="num" val="0.1"/>
        <color rgb="FFF8696B"/>
        <color rgb="FFFFEB84"/>
        <color rgb="FF63BE7B"/>
      </colorScale>
    </cfRule>
  </conditionalFormatting>
  <conditionalFormatting sqref="S282">
    <cfRule type="colorScale" priority="266">
      <colorScale>
        <cfvo type="num" val="-0.1"/>
        <cfvo type="num" val="0"/>
        <cfvo type="num" val="0.1"/>
        <color rgb="FFF8696B"/>
        <color rgb="FFFFEB84"/>
        <color rgb="FF63BE7B"/>
      </colorScale>
    </cfRule>
  </conditionalFormatting>
  <conditionalFormatting sqref="S283">
    <cfRule type="colorScale" priority="267">
      <colorScale>
        <cfvo type="num" val="-0.1"/>
        <cfvo type="num" val="0"/>
        <cfvo type="num" val="0.1"/>
        <color rgb="FFF8696B"/>
        <color rgb="FFFFEB84"/>
        <color rgb="FF63BE7B"/>
      </colorScale>
    </cfRule>
  </conditionalFormatting>
  <conditionalFormatting sqref="S284 S287">
    <cfRule type="colorScale" priority="278">
      <colorScale>
        <cfvo type="num" val="-0.1"/>
        <cfvo type="num" val="0"/>
        <cfvo type="num" val="0.1"/>
        <color rgb="FFF8696B"/>
        <color rgb="FFFFEB84"/>
        <color rgb="FF63BE7B"/>
      </colorScale>
    </cfRule>
  </conditionalFormatting>
  <conditionalFormatting sqref="S285">
    <cfRule type="colorScale" priority="277">
      <colorScale>
        <cfvo type="num" val="-0.1"/>
        <cfvo type="num" val="0"/>
        <cfvo type="num" val="0.1"/>
        <color rgb="FFF8696B"/>
        <color rgb="FFFFEB84"/>
        <color rgb="FF63BE7B"/>
      </colorScale>
    </cfRule>
  </conditionalFormatting>
  <conditionalFormatting sqref="S286">
    <cfRule type="colorScale" priority="276">
      <colorScale>
        <cfvo type="num" val="-0.1"/>
        <cfvo type="num" val="0"/>
        <cfvo type="num" val="0.1"/>
        <color rgb="FFF8696B"/>
        <color rgb="FFFFEB84"/>
        <color rgb="FF63BE7B"/>
      </colorScale>
    </cfRule>
  </conditionalFormatting>
  <conditionalFormatting sqref="S288">
    <cfRule type="colorScale" priority="271">
      <colorScale>
        <cfvo type="num" val="-0.1"/>
        <cfvo type="num" val="0"/>
        <cfvo type="num" val="0.1"/>
        <color rgb="FFF8696B"/>
        <color rgb="FFFFEB84"/>
        <color rgb="FF63BE7B"/>
      </colorScale>
    </cfRule>
  </conditionalFormatting>
  <conditionalFormatting sqref="S289 S291">
    <cfRule type="colorScale" priority="275">
      <colorScale>
        <cfvo type="num" val="-0.1"/>
        <cfvo type="num" val="0"/>
        <cfvo type="num" val="0.1"/>
        <color rgb="FFF8696B"/>
        <color rgb="FFFFEB84"/>
        <color rgb="FF63BE7B"/>
      </colorScale>
    </cfRule>
  </conditionalFormatting>
  <conditionalFormatting sqref="S290">
    <cfRule type="colorScale" priority="273">
      <colorScale>
        <cfvo type="num" val="-0.1"/>
        <cfvo type="num" val="0"/>
        <cfvo type="num" val="0.1"/>
        <color rgb="FFF8696B"/>
        <color rgb="FFFFEB84"/>
        <color rgb="FF63BE7B"/>
      </colorScale>
    </cfRule>
  </conditionalFormatting>
  <conditionalFormatting sqref="S292">
    <cfRule type="colorScale" priority="274">
      <colorScale>
        <cfvo type="num" val="-0.1"/>
        <cfvo type="num" val="0"/>
        <cfvo type="num" val="0.1"/>
        <color rgb="FFF8696B"/>
        <color rgb="FFFFEB84"/>
        <color rgb="FF63BE7B"/>
      </colorScale>
    </cfRule>
  </conditionalFormatting>
  <conditionalFormatting sqref="S293 S296">
    <cfRule type="colorScale" priority="284">
      <colorScale>
        <cfvo type="num" val="-0.1"/>
        <cfvo type="num" val="0"/>
        <cfvo type="num" val="0.1"/>
        <color rgb="FFF8696B"/>
        <color rgb="FFFFEB84"/>
        <color rgb="FF63BE7B"/>
      </colorScale>
    </cfRule>
  </conditionalFormatting>
  <conditionalFormatting sqref="S294">
    <cfRule type="colorScale" priority="283">
      <colorScale>
        <cfvo type="num" val="-0.1"/>
        <cfvo type="num" val="0"/>
        <cfvo type="num" val="0.1"/>
        <color rgb="FFF8696B"/>
        <color rgb="FFFFEB84"/>
        <color rgb="FF63BE7B"/>
      </colorScale>
    </cfRule>
  </conditionalFormatting>
  <conditionalFormatting sqref="S295">
    <cfRule type="colorScale" priority="282">
      <colorScale>
        <cfvo type="num" val="-0.1"/>
        <cfvo type="num" val="0"/>
        <cfvo type="num" val="0.1"/>
        <color rgb="FFF8696B"/>
        <color rgb="FFFFEB84"/>
        <color rgb="FF63BE7B"/>
      </colorScale>
    </cfRule>
  </conditionalFormatting>
  <conditionalFormatting sqref="S297">
    <cfRule type="colorScale" priority="272">
      <colorScale>
        <cfvo type="num" val="-0.1"/>
        <cfvo type="num" val="0"/>
        <cfvo type="num" val="0.1"/>
        <color rgb="FFF8696B"/>
        <color rgb="FFFFEB84"/>
        <color rgb="FF63BE7B"/>
      </colorScale>
    </cfRule>
  </conditionalFormatting>
  <conditionalFormatting sqref="S298 S300">
    <cfRule type="colorScale" priority="281">
      <colorScale>
        <cfvo type="num" val="-0.1"/>
        <cfvo type="num" val="0"/>
        <cfvo type="num" val="0.1"/>
        <color rgb="FFF8696B"/>
        <color rgb="FFFFEB84"/>
        <color rgb="FF63BE7B"/>
      </colorScale>
    </cfRule>
  </conditionalFormatting>
  <conditionalFormatting sqref="S299">
    <cfRule type="colorScale" priority="279">
      <colorScale>
        <cfvo type="num" val="-0.1"/>
        <cfvo type="num" val="0"/>
        <cfvo type="num" val="0.1"/>
        <color rgb="FFF8696B"/>
        <color rgb="FFFFEB84"/>
        <color rgb="FF63BE7B"/>
      </colorScale>
    </cfRule>
  </conditionalFormatting>
  <conditionalFormatting sqref="S301">
    <cfRule type="colorScale" priority="280">
      <colorScale>
        <cfvo type="num" val="-0.1"/>
        <cfvo type="num" val="0"/>
        <cfvo type="num" val="0.1"/>
        <color rgb="FFF8696B"/>
        <color rgb="FFFFEB84"/>
        <color rgb="FF63BE7B"/>
      </colorScale>
    </cfRule>
  </conditionalFormatting>
  <conditionalFormatting sqref="S303">
    <cfRule type="colorScale" priority="285">
      <colorScale>
        <cfvo type="num" val="-0.1"/>
        <cfvo type="num" val="0"/>
        <cfvo type="num" val="0.1"/>
        <color rgb="FFF8696B"/>
        <color rgb="FFFFEB84"/>
        <color rgb="FF63BE7B"/>
      </colorScale>
    </cfRule>
  </conditionalFormatting>
  <conditionalFormatting sqref="S304 S302">
    <cfRule type="colorScale" priority="287">
      <colorScale>
        <cfvo type="num" val="-0.1"/>
        <cfvo type="num" val="0"/>
        <cfvo type="num" val="0.1"/>
        <color rgb="FFF8696B"/>
        <color rgb="FFFFEB84"/>
        <color rgb="FF63BE7B"/>
      </colorScale>
    </cfRule>
  </conditionalFormatting>
  <conditionalFormatting sqref="S305">
    <cfRule type="colorScale" priority="286">
      <colorScale>
        <cfvo type="num" val="-0.1"/>
        <cfvo type="num" val="0"/>
        <cfvo type="num" val="0.1"/>
        <color rgb="FFF8696B"/>
        <color rgb="FFFFEB84"/>
        <color rgb="FF63BE7B"/>
      </colorScale>
    </cfRule>
  </conditionalFormatting>
  <conditionalFormatting sqref="S307">
    <cfRule type="colorScale" priority="288">
      <colorScale>
        <cfvo type="num" val="-0.1"/>
        <cfvo type="num" val="0"/>
        <cfvo type="num" val="0.1"/>
        <color rgb="FFF8696B"/>
        <color rgb="FFFFEB84"/>
        <color rgb="FF63BE7B"/>
      </colorScale>
    </cfRule>
  </conditionalFormatting>
  <conditionalFormatting sqref="S309:S312">
    <cfRule type="colorScale" priority="290">
      <colorScale>
        <cfvo type="num" val="-0.1"/>
        <cfvo type="num" val="0"/>
        <cfvo type="num" val="0.1"/>
        <color rgb="FFF8696B"/>
        <color rgb="FFFFEB84"/>
        <color rgb="FF63BE7B"/>
      </colorScale>
    </cfRule>
  </conditionalFormatting>
  <conditionalFormatting sqref="S311">
    <cfRule type="colorScale" priority="289">
      <colorScale>
        <cfvo type="num" val="-0.1"/>
        <cfvo type="num" val="0"/>
        <cfvo type="num" val="0.1"/>
        <color rgb="FFF8696B"/>
        <color rgb="FFFFEB84"/>
        <color rgb="FF63BE7B"/>
      </colorScale>
    </cfRule>
  </conditionalFormatting>
  <conditionalFormatting sqref="S313">
    <cfRule type="colorScale" priority="291">
      <colorScale>
        <cfvo type="num" val="-0.1"/>
        <cfvo type="num" val="0"/>
        <cfvo type="num" val="0.1"/>
        <color rgb="FFF8696B"/>
        <color rgb="FFFFEB84"/>
        <color rgb="FF63BE7B"/>
      </colorScale>
    </cfRule>
  </conditionalFormatting>
  <conditionalFormatting sqref="S314:S315 S318">
    <cfRule type="colorScale" priority="294">
      <colorScale>
        <cfvo type="num" val="-0.1"/>
        <cfvo type="num" val="0"/>
        <cfvo type="num" val="0.1"/>
        <color rgb="FFF8696B"/>
        <color rgb="FFFFEB84"/>
        <color rgb="FF63BE7B"/>
      </colorScale>
    </cfRule>
  </conditionalFormatting>
  <conditionalFormatting sqref="S316">
    <cfRule type="colorScale" priority="292">
      <colorScale>
        <cfvo type="num" val="-0.1"/>
        <cfvo type="num" val="0"/>
        <cfvo type="num" val="0.1"/>
        <color rgb="FFF8696B"/>
        <color rgb="FFFFEB84"/>
        <color rgb="FF63BE7B"/>
      </colorScale>
    </cfRule>
  </conditionalFormatting>
  <conditionalFormatting sqref="S317">
    <cfRule type="colorScale" priority="293">
      <colorScale>
        <cfvo type="num" val="-0.1"/>
        <cfvo type="num" val="0"/>
        <cfvo type="num" val="0.1"/>
        <color rgb="FFF8696B"/>
        <color rgb="FFFFEB84"/>
        <color rgb="FF63BE7B"/>
      </colorScale>
    </cfRule>
  </conditionalFormatting>
  <conditionalFormatting sqref="S321">
    <cfRule type="colorScale" priority="295">
      <colorScale>
        <cfvo type="num" val="-0.1"/>
        <cfvo type="num" val="0"/>
        <cfvo type="num" val="0.1"/>
        <color rgb="FFF8696B"/>
        <color rgb="FFFFEB84"/>
        <color rgb="FF63BE7B"/>
      </colorScale>
    </cfRule>
  </conditionalFormatting>
  <hyperlinks>
    <hyperlink ref="U302" r:id="rId1" xr:uid="{7EA41911-D619-46C1-BAB9-417930E7C224}"/>
    <hyperlink ref="U303" r:id="rId2" xr:uid="{6CD04DCD-D0AD-4FDB-B199-C81793A47404}"/>
    <hyperlink ref="U304" r:id="rId3" xr:uid="{99DD9C96-83A8-45FB-8E97-B119BFBBBD7E}"/>
    <hyperlink ref="U306" r:id="rId4" xr:uid="{A8466FDB-0CED-4837-9083-C969600C17A1}"/>
    <hyperlink ref="U307" r:id="rId5" xr:uid="{FA56EA2B-96FF-4CD1-A570-3010D2C95A13}"/>
    <hyperlink ref="U308" r:id="rId6" xr:uid="{0C63A7AF-622E-4D20-98F8-F9E7F8940EB3}"/>
    <hyperlink ref="U310" r:id="rId7" xr:uid="{1E3D7EC3-D14D-4662-9C1F-99C06A4EE662}"/>
    <hyperlink ref="U311" r:id="rId8" xr:uid="{4D519251-1C78-4534-B404-C0D6C5054364}"/>
    <hyperlink ref="U312" r:id="rId9" xr:uid="{C9E58890-BB95-4E60-A6A2-9A6532904547}"/>
    <hyperlink ref="U314" r:id="rId10" xr:uid="{59A0EC79-89AB-4860-987E-E0DD24D9F318}"/>
    <hyperlink ref="U315" r:id="rId11" xr:uid="{3A6375AB-D2B8-4C5E-8633-6653F7AA8326}"/>
    <hyperlink ref="U316" r:id="rId12" xr:uid="{132AF6F4-0B66-409D-8333-48A2956D5946}"/>
    <hyperlink ref="U317" r:id="rId13" xr:uid="{184EB6A6-1ABC-424D-AAC0-822452F87806}"/>
    <hyperlink ref="U319" r:id="rId14" xr:uid="{206589F6-46E1-4D88-9A2E-E6BE3680B1C7}"/>
    <hyperlink ref="U320" r:id="rId15" xr:uid="{7FCD423C-E2E5-442E-A5AF-20E13DC97ED9}"/>
    <hyperlink ref="U321" r:id="rId16" xr:uid="{C21EB699-53A9-49CE-AF84-89110D9D3A4E}"/>
    <hyperlink ref="U293" r:id="rId17" xr:uid="{7FA62562-38B7-4BE8-80FD-4703CA2626C4}"/>
    <hyperlink ref="U294" r:id="rId18" xr:uid="{F46B8B44-3919-4CEA-8A9E-F992A4A8B6E0}"/>
    <hyperlink ref="U296" r:id="rId19" xr:uid="{A7529790-3B82-440C-88BE-CCF2741F2A1F}"/>
    <hyperlink ref="U295" r:id="rId20" xr:uid="{67D0E511-CACB-4D60-89FA-858FCCBA3042}"/>
    <hyperlink ref="U298" r:id="rId21" xr:uid="{7546164A-48EA-4370-B426-EF465B62A69B}"/>
    <hyperlink ref="U299" r:id="rId22" xr:uid="{FDE61091-579E-42AC-AB53-4E2C37F5EE67}"/>
    <hyperlink ref="U300" r:id="rId23" xr:uid="{56F7EE96-0910-479D-B3A2-915746D2FCD9}"/>
    <hyperlink ref="U284" r:id="rId24" xr:uid="{4925A1C2-4129-40F3-A967-6350E5025E1F}"/>
    <hyperlink ref="U285" r:id="rId25" xr:uid="{801B6B96-2EEA-4385-979F-E7CB2D51D2EB}"/>
    <hyperlink ref="U286" r:id="rId26" xr:uid="{352BCD7F-A61F-46C4-893F-5F06201DEFE3}"/>
    <hyperlink ref="U287" r:id="rId27" xr:uid="{43CDED27-748A-4638-8CFC-5E2A53EEBD24}"/>
    <hyperlink ref="U289" r:id="rId28" xr:uid="{1B52F89A-FD43-463F-8CF2-8C82EE40C8F9}"/>
    <hyperlink ref="U290" r:id="rId29" xr:uid="{468C7940-117D-4E81-BFB9-921C5CF42F3B}"/>
    <hyperlink ref="U291" r:id="rId30" xr:uid="{D089AA06-994D-4D01-A44B-C52218B842E1}"/>
    <hyperlink ref="U277" r:id="rId31" xr:uid="{4DC41174-3CD9-421E-A9CB-A0564F8FCD69}"/>
    <hyperlink ref="U278" r:id="rId32" xr:uid="{CEAD1CB0-BA2F-406E-B491-15FB8DC8B13F}"/>
    <hyperlink ref="U279" r:id="rId33" xr:uid="{7118448A-ECF4-4335-9692-E2F74E8DE9D9}"/>
    <hyperlink ref="U280" r:id="rId34" xr:uid="{D71644AE-F667-4271-A326-702B872EEF0F}"/>
    <hyperlink ref="U277:U280" r:id="rId35" display="Press Release" xr:uid="{C187B045-773F-42BC-B9E6-9C99A0BD74B0}"/>
    <hyperlink ref="U282" r:id="rId36" xr:uid="{E2101672-55BD-4C49-8EDB-A35B9A4C9D56}"/>
    <hyperlink ref="U281" r:id="rId37" xr:uid="{4BB60B2E-8954-48F5-B052-B9E453E0F0CB}"/>
    <hyperlink ref="U273" r:id="rId38" xr:uid="{ABBACF3F-F7BC-4AA5-98DD-55C13CB92FEB}"/>
    <hyperlink ref="U274" r:id="rId39" xr:uid="{7B1A64E0-353C-498B-BDAD-768CA3BDB0DB}"/>
    <hyperlink ref="U275" r:id="rId40" xr:uid="{1086E4D1-A98F-4E72-B167-FC547D9362F5}"/>
    <hyperlink ref="U259:U264" r:id="rId41" display="Press Release" xr:uid="{919B5A50-C82E-4E99-AFF9-0ED71B1E908B}"/>
    <hyperlink ref="U266:U271" r:id="rId42" display="Press Release" xr:uid="{6D12C0C7-5249-45F8-BB7D-3A6258D4DF5E}"/>
    <hyperlink ref="U258" r:id="rId43" xr:uid="{2A336352-8E4C-44A1-9246-01CD740DFE76}"/>
    <hyperlink ref="U255" r:id="rId44" xr:uid="{EB0ED69E-9D48-46E4-8F96-BFAE185C1458}"/>
    <hyperlink ref="U254" r:id="rId45" xr:uid="{52B67490-E5C1-4666-8D98-80F2F606E3FC}"/>
    <hyperlink ref="U253" r:id="rId46" xr:uid="{556B67DB-8682-4887-9993-7FAC50F1AFAF}"/>
    <hyperlink ref="U252" r:id="rId47" xr:uid="{43ABB853-5DBB-4588-994A-B9CC5E682037}"/>
    <hyperlink ref="U246" r:id="rId48" xr:uid="{C687CD27-D311-4B28-ABA6-4318DB0C2253}"/>
    <hyperlink ref="U247" r:id="rId49" xr:uid="{B25096A0-A458-481B-A318-87AE1E870DE0}"/>
    <hyperlink ref="U248" r:id="rId50" xr:uid="{16C30EBA-C48E-4527-A474-F5AB7B1E6D1A}"/>
    <hyperlink ref="U249" r:id="rId51" xr:uid="{2759FB9E-A0E8-4266-B21F-D5D4B3CDB88C}"/>
    <hyperlink ref="U250" r:id="rId52" xr:uid="{CAA7121A-8219-4E3D-AC24-B67BF6C0E2D6}"/>
    <hyperlink ref="U231:U236" r:id="rId53" display="Press Release" xr:uid="{CBC02605-AB57-49DB-9B8D-EE0D3DE3ABB4}"/>
    <hyperlink ref="U230" r:id="rId54" xr:uid="{FFD95ADE-DBCB-4BC7-9F69-BD8ABF0FAA44}"/>
    <hyperlink ref="U230:U236" r:id="rId55" display="Press Release" xr:uid="{CB69CBDF-8E87-4302-8E79-1567D3AEBD06}"/>
    <hyperlink ref="U239:U243" r:id="rId56" display="Press Release" xr:uid="{B93BD12D-8992-4AB2-A441-0F7D94B0164A}"/>
    <hyperlink ref="U238" r:id="rId57" xr:uid="{CFD08F5F-1594-4DE7-BCA7-929071550C32}"/>
    <hyperlink ref="U238:U243" r:id="rId58" display="Press Release" xr:uid="{47986D0A-CC15-4BFC-8F9A-3DF0E921DD5B}"/>
    <hyperlink ref="U229" r:id="rId59" xr:uid="{7FF33810-A17C-4D9F-89A4-298B954AAF1E}"/>
    <hyperlink ref="U221" r:id="rId60" xr:uid="{8DFAA06E-9549-47FE-9AD0-19DFA7E497F5}"/>
    <hyperlink ref="U222:U227" r:id="rId61" display="Press Release" xr:uid="{081F3562-D547-4E9B-BE9C-848196473BD9}"/>
    <hyperlink ref="U214" r:id="rId62" xr:uid="{102CBCA6-11B2-454D-9B16-AC53A96DCB98}"/>
    <hyperlink ref="U215" r:id="rId63" xr:uid="{E718DE26-1AC0-4017-AB53-442FE233A985}"/>
    <hyperlink ref="U216" r:id="rId64" xr:uid="{886BECA0-CA4F-46F9-B553-A0B1F9A544E7}"/>
    <hyperlink ref="U217" r:id="rId65" xr:uid="{AEDE8DAD-D69C-4388-964F-AD59476386D9}"/>
    <hyperlink ref="U218" r:id="rId66" xr:uid="{5B56C169-24C4-4A03-8A15-FD6C864D67B1}"/>
    <hyperlink ref="U219" r:id="rId67" xr:uid="{49CFBD7C-14C8-48EB-8086-BD04E2EC4E16}"/>
    <hyperlink ref="U206" r:id="rId68" xr:uid="{C0EE8309-AF5B-44E0-8382-11BE3D37C775}"/>
    <hyperlink ref="U207" r:id="rId69" xr:uid="{F0A3F663-BAC3-4B2A-9F61-D33FCC2CA3C0}"/>
    <hyperlink ref="U208" r:id="rId70" xr:uid="{C09E2D61-E465-48FD-830A-FA71BE99426F}"/>
    <hyperlink ref="U209" r:id="rId71" xr:uid="{DC3C06C3-7610-4324-AC48-419B2C5F7103}"/>
    <hyperlink ref="U210" r:id="rId72" xr:uid="{5A00E310-6545-40B4-B689-2619A3AE6703}"/>
    <hyperlink ref="U211" r:id="rId73" xr:uid="{6E0C0FAD-D6B7-4361-AAC5-3992A6575C3A}"/>
    <hyperlink ref="U212" r:id="rId74" xr:uid="{E3CAD625-A1F1-460E-99C0-DE691B49B128}"/>
    <hyperlink ref="U193" r:id="rId75" xr:uid="{24582A28-99B9-4929-B265-5FFFCB99EFCD}"/>
    <hyperlink ref="U197" r:id="rId76" xr:uid="{7FCA2647-CBA8-409F-949F-68B2F1A461D0}"/>
    <hyperlink ref="U181" r:id="rId77" xr:uid="{2DC6C8DB-4AFE-4738-8322-4D419DF7298C}"/>
    <hyperlink ref="U182" r:id="rId78" xr:uid="{BF9768E5-DAA8-4B81-B020-A75365C3614D}"/>
    <hyperlink ref="U183" r:id="rId79" xr:uid="{FF6A5F3D-60D9-4744-84F3-95A25B9FF3BE}"/>
    <hyperlink ref="U184" r:id="rId80" xr:uid="{410812C2-42C9-4E24-8BB4-08DEF33D1C00}"/>
    <hyperlink ref="U185" r:id="rId81" xr:uid="{3179C102-9756-4DC6-88C1-0F18C1E6F775}"/>
    <hyperlink ref="U198" r:id="rId82" xr:uid="{628F96B8-0312-4403-8156-59F7BA3B2EB7}"/>
    <hyperlink ref="U186" r:id="rId83" xr:uid="{6AB69228-A512-492A-B0F4-BED85134309B}"/>
    <hyperlink ref="U187" r:id="rId84" xr:uid="{F6065D96-8C74-431A-B0AA-8591A16F2DF8}"/>
    <hyperlink ref="U188" r:id="rId85" xr:uid="{C7F86187-B616-4986-A967-AE48F53AEB11}"/>
    <hyperlink ref="U189" r:id="rId86" xr:uid="{E12D4D9E-E1E0-4DA4-8035-C885158A7D19}"/>
    <hyperlink ref="U190" r:id="rId87" xr:uid="{A0F31676-6302-44C7-B77F-2C155CBA76FC}"/>
    <hyperlink ref="U191" r:id="rId88" xr:uid="{563A5D1A-9A54-4128-9E2D-028891E61E1F}"/>
    <hyperlink ref="U199" r:id="rId89" xr:uid="{F02B4D2B-7FED-46A4-AB4C-BE398205E1EC}"/>
    <hyperlink ref="U179" r:id="rId90" xr:uid="{FCFF62D1-2E68-4BDC-817A-4345A7BB0205}"/>
    <hyperlink ref="U180" r:id="rId91" xr:uid="{61CF40CE-0ECB-4A5D-8AF6-E6ECE06A49AD}"/>
    <hyperlink ref="U201" r:id="rId92" xr:uid="{C7432346-F05F-4E2A-B868-4BB96FE5ED8B}"/>
    <hyperlink ref="U202" r:id="rId93" xr:uid="{622A4727-611F-4B0D-8812-B7E808EB0907}"/>
    <hyperlink ref="U203" r:id="rId94" xr:uid="{04630B14-6FBB-4365-8602-85C55E6FE236}"/>
    <hyperlink ref="U204" r:id="rId95" xr:uid="{EFE5A14F-1DB0-4EEB-A815-B1A0716E0069}"/>
    <hyperlink ref="U194" r:id="rId96" xr:uid="{83F053AD-6479-4B97-9EEC-FA9F6E8B4096}"/>
    <hyperlink ref="U195" r:id="rId97" xr:uid="{656EA66C-CF48-435F-BB19-1661729D085C}"/>
    <hyperlink ref="U196" r:id="rId98" xr:uid="{CFEA4264-A925-4437-B68F-4C8E9FF2DF4C}"/>
    <hyperlink ref="U174" r:id="rId99" xr:uid="{44D1E4F2-8B49-4E84-8649-153036F5D40C}"/>
    <hyperlink ref="U175" r:id="rId100" xr:uid="{9698FFC0-5144-4D8C-8D2C-23FE1955A97B}"/>
    <hyperlink ref="U176" r:id="rId101" xr:uid="{4DEA4CF9-9681-4240-9101-41CDCBF8E3E8}"/>
    <hyperlink ref="U177" r:id="rId102" xr:uid="{F6119C9B-7053-4AAF-A27F-95787654CE23}"/>
    <hyperlink ref="U172" r:id="rId103" xr:uid="{DDF9D81E-F756-4797-A37B-30AC1F75AEC5}"/>
    <hyperlink ref="U173" r:id="rId104" xr:uid="{4511AD9F-95AE-4980-9FED-F93EC4C31F6A}"/>
    <hyperlink ref="U165" r:id="rId105" xr:uid="{A4F45136-9727-4A56-903F-473A0C456D30}"/>
    <hyperlink ref="U166" r:id="rId106" xr:uid="{439C92CD-0D5E-468A-BA73-0A8F877B5D7F}"/>
    <hyperlink ref="U167" r:id="rId107" xr:uid="{E9AF7703-B1FC-4E69-B812-C40575AB7879}"/>
    <hyperlink ref="U168" r:id="rId108" xr:uid="{9E8E0FFB-7847-4825-B2CC-DE70750C57A9}"/>
    <hyperlink ref="U162" r:id="rId109" xr:uid="{A557E7A1-5096-4283-B6FD-142B04704ADA}"/>
    <hyperlink ref="U163" r:id="rId110" xr:uid="{15432ABE-7C93-47AF-954B-629F995DB12A}"/>
    <hyperlink ref="U164" r:id="rId111" xr:uid="{E62248D2-18AA-4307-B150-C8DA936A836D}"/>
    <hyperlink ref="U148" r:id="rId112" xr:uid="{2D3D1E4B-D684-4685-AFD9-8EE762AF80D6}"/>
    <hyperlink ref="U149" r:id="rId113" xr:uid="{C3FD6C02-AEEC-4480-BC68-B457F7BA7DD5}"/>
    <hyperlink ref="U150" r:id="rId114" xr:uid="{5E6B5F0B-0ECF-4169-8A6B-B0BBEBECE723}"/>
    <hyperlink ref="U151" r:id="rId115" xr:uid="{B4C0A04A-D7E3-4D24-8CBE-8AC847E49433}"/>
    <hyperlink ref="U152" r:id="rId116" xr:uid="{E4B6580A-E62B-4EE6-A93B-328671F72E69}"/>
    <hyperlink ref="U153" r:id="rId117" xr:uid="{D3EAE305-E318-4821-95B1-8E441B5A0B48}"/>
    <hyperlink ref="U154" r:id="rId118" xr:uid="{128F4D1A-CC6D-450E-A01F-07B2B0D13EA0}"/>
    <hyperlink ref="U155" r:id="rId119" xr:uid="{48C40E26-C6C7-4E46-99DB-652B36A10318}"/>
    <hyperlink ref="U156" r:id="rId120" xr:uid="{A95F70E1-14E5-4D57-9104-727417AB8F2C}"/>
    <hyperlink ref="U157" r:id="rId121" xr:uid="{41E74BAF-5B8F-4C9D-843E-54DD8180F9D1}"/>
    <hyperlink ref="U158" r:id="rId122" xr:uid="{E5773AC8-551F-4727-8254-4CDC26167E32}"/>
    <hyperlink ref="U159" r:id="rId123" xr:uid="{F8B811EF-5BFD-4F4D-A141-30E227DAA80B}"/>
    <hyperlink ref="U160" r:id="rId124" xr:uid="{8DEF546F-62EA-4BD6-837E-07E3B605FCFE}"/>
    <hyperlink ref="U169" r:id="rId125" xr:uid="{EE5EA71C-BE2F-4F5F-9DA6-A4299670D01D}"/>
    <hyperlink ref="U170" r:id="rId126" xr:uid="{302FC214-9C1D-4F05-BBD1-A3CE08F1B45C}"/>
    <hyperlink ref="U143" r:id="rId127" xr:uid="{E7A0E25F-93DD-4C06-893B-191164BE4962}"/>
    <hyperlink ref="U144" r:id="rId128" xr:uid="{01418FB1-03EB-46EF-92DF-7D49BE182DBD}"/>
    <hyperlink ref="U145" r:id="rId129" xr:uid="{AFC5256A-D06C-48F0-B8D2-FA0221B820BE}"/>
    <hyperlink ref="U146" r:id="rId130" xr:uid="{86F3BA12-9334-486C-B34A-C09EAE533A91}"/>
    <hyperlink ref="U126" r:id="rId131" xr:uid="{950AF7A0-F279-44A2-8A73-5422154EDCBE}"/>
    <hyperlink ref="U127" r:id="rId132" xr:uid="{E6DD77DC-0669-4C11-9F93-1FB97ABC524D}"/>
    <hyperlink ref="U128" r:id="rId133" xr:uid="{4DA22E4B-B41F-40C2-A2B5-420FD299ACB3}"/>
    <hyperlink ref="U129" r:id="rId134" xr:uid="{AB0838F3-1F85-4055-9DDA-07AE2781D254}"/>
    <hyperlink ref="U130" r:id="rId135" xr:uid="{99A37677-F958-4AF3-B745-B96F8E6FA190}"/>
    <hyperlink ref="U131" r:id="rId136" xr:uid="{D86A6641-C233-488D-87B0-2EAD101253E3}"/>
    <hyperlink ref="U132" r:id="rId137" xr:uid="{18C7A87E-FD87-4EBD-A454-923EECCCAC83}"/>
    <hyperlink ref="U133" r:id="rId138" xr:uid="{8E4E74E1-5C2F-4680-BCAD-A7D72FE46AFC}"/>
    <hyperlink ref="U134" r:id="rId139" xr:uid="{B81C4A81-6E1B-49CB-AF9A-05D53BFFED8A}"/>
    <hyperlink ref="U135" r:id="rId140" xr:uid="{1981F66E-EBFE-4275-BDD9-C9D4A32EA4D5}"/>
    <hyperlink ref="U136" r:id="rId141" xr:uid="{472999AE-9FD5-4CB9-8463-D203046767BB}"/>
    <hyperlink ref="U137" r:id="rId142" xr:uid="{68B7A437-4B37-4843-A430-8F045269E028}"/>
    <hyperlink ref="U138" r:id="rId143" xr:uid="{0D1FDDC7-2DA8-4E3E-AC83-B0E90CF16D4D}"/>
    <hyperlink ref="U140" r:id="rId144" xr:uid="{B2252B14-6872-4CE2-B850-286B587E8591}"/>
    <hyperlink ref="U141" r:id="rId145" xr:uid="{16EB24EE-540C-409D-91B9-67EFE9EF673A}"/>
    <hyperlink ref="U142" r:id="rId146" xr:uid="{4D2369F8-3B37-4DFE-947A-B8637BF177FF}"/>
    <hyperlink ref="U112" r:id="rId147" xr:uid="{56478307-AF95-4B48-AE3A-FEDE917CFF80}"/>
    <hyperlink ref="U113" r:id="rId148" xr:uid="{A7658F81-02E8-4A61-B0FC-6441E87CA439}"/>
    <hyperlink ref="U114" r:id="rId149" xr:uid="{F1757221-E824-40B0-8708-778FEB7146A4}"/>
    <hyperlink ref="U115" r:id="rId150" xr:uid="{15C0E57C-2618-426C-9876-9F4559F3F9DD}"/>
    <hyperlink ref="U116" r:id="rId151" xr:uid="{5D1CACBB-EB57-4471-8E45-8B00B31F5438}"/>
    <hyperlink ref="U117" r:id="rId152" xr:uid="{ADC00CB5-E011-42A5-80EB-6F6C395EAAC1}"/>
    <hyperlink ref="U118" r:id="rId153" xr:uid="{E460631B-C0DD-40B8-B80F-049E548BF7DC}"/>
    <hyperlink ref="U119" r:id="rId154" xr:uid="{662BDC16-3E3F-4B56-AC91-6931C7B1289D}"/>
    <hyperlink ref="U120" r:id="rId155" xr:uid="{BCD72219-86FD-42CA-8CDA-48A2AED48826}"/>
    <hyperlink ref="U121" r:id="rId156" xr:uid="{15DFE776-BDB2-4381-8560-976D7EA3A14B}"/>
    <hyperlink ref="U122" r:id="rId157" xr:uid="{2D001D3D-8A5D-4A38-9B3B-3C489C084A8D}"/>
    <hyperlink ref="U123" r:id="rId158" xr:uid="{43D5FCD0-3447-466E-8F47-804845370643}"/>
    <hyperlink ref="U124" r:id="rId159" xr:uid="{971BE454-BC70-4458-B5BE-6EFF32718862}"/>
    <hyperlink ref="U97" r:id="rId160" xr:uid="{532A3CA7-33A0-470D-A997-5E2989A19814}"/>
    <hyperlink ref="U98" r:id="rId161" xr:uid="{956E4743-20C2-485F-88BE-673303FA5F83}"/>
    <hyperlink ref="U99" r:id="rId162" xr:uid="{C53F682E-8134-4EBC-959F-CC907B1B9330}"/>
    <hyperlink ref="U100" r:id="rId163" xr:uid="{3FA77E92-AACB-4C94-9F2A-436AD42B4F8F}"/>
    <hyperlink ref="U101" r:id="rId164" xr:uid="{4996FF96-E24A-4679-9AC2-BDEB6574E289}"/>
    <hyperlink ref="U102" r:id="rId165" xr:uid="{407D2492-1502-4075-ABED-530133E69B1E}"/>
    <hyperlink ref="U103" r:id="rId166" xr:uid="{0BEBF5D3-20B9-46AB-9C6F-884119AA4879}"/>
    <hyperlink ref="U105" r:id="rId167" xr:uid="{646A8F97-066A-4FD2-A514-432D441F9C75}"/>
    <hyperlink ref="U106" r:id="rId168" xr:uid="{686FA569-2ABC-4BD9-9166-C297D13DAC34}"/>
    <hyperlink ref="U107" r:id="rId169" xr:uid="{2059F032-2427-47B5-8C6E-F7113CBEDB5E}"/>
    <hyperlink ref="U108" r:id="rId170" xr:uid="{0F110B9D-C565-4C47-BBA3-14900CDE5E84}"/>
    <hyperlink ref="U109" r:id="rId171" xr:uid="{B91F7DA4-6F87-4E10-BF73-CA48FB5C073A}"/>
    <hyperlink ref="U110" r:id="rId172" xr:uid="{46854E5E-5530-4F8F-B7B5-C5CB6438EC29}"/>
    <hyperlink ref="U92" r:id="rId173" xr:uid="{BDCE656B-6D14-4D88-8313-57182BF29230}"/>
    <hyperlink ref="U93" r:id="rId174" xr:uid="{4F99F09D-9B8B-4521-A7BD-4A1BC42AB020}"/>
    <hyperlink ref="U94" r:id="rId175" xr:uid="{D7A7E3B3-E6D1-4C3E-9EEE-BAE743C7D845}"/>
    <hyperlink ref="U95" r:id="rId176" xr:uid="{5BE6E5F0-7EAF-4A90-94EC-DE2176CFDA6C}"/>
    <hyperlink ref="U80" r:id="rId177" xr:uid="{DD7381AC-0AC9-41CF-A602-38F5CDBEC8E9}"/>
    <hyperlink ref="U81" r:id="rId178" xr:uid="{DE1F6AF4-13A0-4483-B0E1-8B09EFCF9948}"/>
    <hyperlink ref="U82" r:id="rId179" xr:uid="{8C89BEF8-1FEE-4E43-804F-04D46C6407CA}"/>
    <hyperlink ref="U83" r:id="rId180" xr:uid="{580B248E-AB54-4D30-9340-4B2A9034E126}"/>
    <hyperlink ref="U87" r:id="rId181" xr:uid="{2FA10FB1-789E-4B49-950F-1A30FAC8726F}"/>
    <hyperlink ref="U88" r:id="rId182" xr:uid="{37C5660A-E6A5-466E-8448-6F86E38D0AF1}"/>
    <hyperlink ref="U89" r:id="rId183" xr:uid="{1D1C6898-B265-451F-BE6C-B6FF38B64BFB}"/>
    <hyperlink ref="U90" r:id="rId184" xr:uid="{78FA7A41-C06F-4F1E-8BCC-8D849E5479A0}"/>
    <hyperlink ref="U77" r:id="rId185" xr:uid="{42B8BD57-5172-4901-A6A3-B5496F56DFFC}"/>
    <hyperlink ref="U78" r:id="rId186" xr:uid="{93010829-98EC-4C92-8E42-FFBD96E60E03}"/>
    <hyperlink ref="U79" r:id="rId187" xr:uid="{03BA682A-B0CC-47D6-A354-26956227DD1F}"/>
    <hyperlink ref="U85" r:id="rId188" xr:uid="{FD541338-29CD-4AC0-BD83-ABA69F2D3D34}"/>
    <hyperlink ref="U86" r:id="rId189" xr:uid="{3A4C0AD0-2114-4036-BBE4-527505F252D2}"/>
    <hyperlink ref="U74" r:id="rId190" xr:uid="{B5D55047-7B31-4E3A-A43F-E520F6773FAF}"/>
    <hyperlink ref="U75" r:id="rId191" xr:uid="{36ACCC0D-6EA0-4B71-A556-432894DD0DDC}"/>
    <hyperlink ref="U66" r:id="rId192" xr:uid="{0033B93E-204C-45CF-ABB5-6B88629C34FE}"/>
    <hyperlink ref="U67" r:id="rId193" xr:uid="{BDB071A6-BB9E-48F6-B00A-F9F7B2D4BF61}"/>
    <hyperlink ref="U68" r:id="rId194" xr:uid="{85D24E86-5E46-4DB6-A6D0-2A8C7BD30FD7}"/>
    <hyperlink ref="U69" r:id="rId195" xr:uid="{A56DC541-1E40-45CC-BDA1-BF9A14ED473D}"/>
    <hyperlink ref="U70" r:id="rId196" xr:uid="{ED9B37F6-758F-4F07-9BEB-83AFA3AB9E3F}"/>
    <hyperlink ref="U71" r:id="rId197" xr:uid="{89C99173-A665-4502-92B9-9AF8BAC2368C}"/>
    <hyperlink ref="U72" r:id="rId198" xr:uid="{4E6516A4-4B6C-4A00-BD23-CB7102B11CC2}"/>
    <hyperlink ref="U63" r:id="rId199" xr:uid="{781FBBCC-6C17-41C9-A6CD-F2C93824588B}"/>
    <hyperlink ref="U64" r:id="rId200" xr:uid="{E216EA7F-3F00-45A7-B1AE-BA061AB9F52D}"/>
    <hyperlink ref="U59" r:id="rId201" xr:uid="{FF09E2EA-4519-47D0-AF07-31B66B3AE07A}"/>
    <hyperlink ref="U61" r:id="rId202" xr:uid="{D66C370A-AF1F-4D96-8FAE-5627C6EE91AD}"/>
    <hyperlink ref="U60" r:id="rId203" xr:uid="{27E23AE8-F2BF-487E-A7BA-EEB89BB2DD06}"/>
    <hyperlink ref="U47" r:id="rId204" xr:uid="{7FE6CFF3-9800-4D8C-A97F-DF1C2B4FAD60}"/>
    <hyperlink ref="U48" r:id="rId205" xr:uid="{12D9EF3E-33BD-4240-9FED-81E7C03353EA}"/>
    <hyperlink ref="U49" r:id="rId206" xr:uid="{81BBCA05-FCA9-4F0A-A548-069C70624459}"/>
    <hyperlink ref="U50" r:id="rId207" xr:uid="{E3521421-C088-4F77-92BD-AA34CCE2BFD7}"/>
    <hyperlink ref="U54" r:id="rId208" xr:uid="{B10C4D00-18F6-4645-93E4-2DE3D34BAC9B}"/>
    <hyperlink ref="U55" r:id="rId209" xr:uid="{9169974B-660F-4009-8C53-546304150965}"/>
    <hyperlink ref="U56" r:id="rId210" xr:uid="{9C38C5D2-3B7B-4224-9F1E-F7E90813E91E}"/>
    <hyperlink ref="U57" r:id="rId211" xr:uid="{12FC1D87-396E-420B-813A-EA893F8F3735}"/>
    <hyperlink ref="U44" r:id="rId212" xr:uid="{D7C28B61-B0FF-4190-B48B-C98090B15C38}"/>
    <hyperlink ref="U45" r:id="rId213" xr:uid="{6FF3642D-458F-4E4A-BE77-00EFBEAEB3CC}"/>
    <hyperlink ref="U46" r:id="rId214" xr:uid="{B55EAA9B-8AC7-4830-A705-09EED705C186}"/>
    <hyperlink ref="U52" r:id="rId215" xr:uid="{6D839CA1-8084-4C18-9378-0DF915C20755}"/>
    <hyperlink ref="U53" r:id="rId216" xr:uid="{DD49EAA5-3F2E-413C-8980-E19D43C09675}"/>
    <hyperlink ref="U41:U42" r:id="rId217" display="Investor Presentation" xr:uid="{AFA918EE-EDA6-476B-A72D-50B53E182C50}"/>
    <hyperlink ref="U26" r:id="rId218" xr:uid="{F965D2D7-AFC9-49CE-8364-22FD2B9F5304}"/>
    <hyperlink ref="U27" r:id="rId219" xr:uid="{84B2DD7A-1594-45B2-BAFA-E5573406891A}"/>
    <hyperlink ref="U28" r:id="rId220" xr:uid="{D67B55D7-182B-4851-8F74-4327BDEF4E4C}"/>
    <hyperlink ref="U29" r:id="rId221" xr:uid="{592C2A25-30E4-498D-951D-979F7D36BA21}"/>
    <hyperlink ref="U30" r:id="rId222" xr:uid="{D5C7E8BB-23E0-4CF4-99FF-BF0F8F0590F0}"/>
    <hyperlink ref="U31" r:id="rId223" xr:uid="{20B5AB4A-4E4A-4086-ABE9-6F9E11883473}"/>
    <hyperlink ref="U32" r:id="rId224" xr:uid="{107F7DC4-C12F-4243-8921-97396F3F3249}"/>
    <hyperlink ref="U34" r:id="rId225" xr:uid="{061B4B10-3D16-4DE6-BB1B-A3565FADA06E}"/>
    <hyperlink ref="U35" r:id="rId226" xr:uid="{2667A044-EACA-4B64-A332-5B115C4E1C4A}"/>
    <hyperlink ref="U36" r:id="rId227" xr:uid="{B7B8072E-4555-4798-AA1E-0A17B2B9C8E0}"/>
    <hyperlink ref="U37" r:id="rId228" xr:uid="{86868F90-576A-4F0F-98E4-8098FAA9A5BA}"/>
    <hyperlink ref="U38" r:id="rId229" xr:uid="{F8F3507A-2394-4823-9E29-A849C8055D57}"/>
    <hyperlink ref="U39" r:id="rId230" xr:uid="{F56BD5BB-7A81-4844-B200-A11ADEFAA4C0}"/>
    <hyperlink ref="U18" r:id="rId231" xr:uid="{02B1E3A3-F58E-49AB-8F60-604BCA5D20DD}"/>
    <hyperlink ref="U19" r:id="rId232" xr:uid="{6A8C45DA-B4DE-4EB7-B902-5819BA04E8A6}"/>
    <hyperlink ref="U20" r:id="rId233" xr:uid="{DCBFADBE-6BFA-44A9-A426-BEE128439565}"/>
    <hyperlink ref="U21" r:id="rId234" xr:uid="{7B2255A0-2F1C-4776-BC2C-A68A5E36E2AC}"/>
    <hyperlink ref="U22" r:id="rId235" xr:uid="{6FCBA789-00DE-4855-A9B8-E714CE5753EC}"/>
    <hyperlink ref="U23" r:id="rId236" xr:uid="{25CCFED2-B48D-4676-A892-F5AE8D208CA7}"/>
    <hyperlink ref="U24" r:id="rId237" xr:uid="{A7CD9A37-2EAC-4AA1-800E-B885723A1C7B}"/>
    <hyperlink ref="U14" r:id="rId238" xr:uid="{C6FA64B0-EECF-4981-B518-565E0B511130}"/>
    <hyperlink ref="U15:U16" r:id="rId239" display="Investor Presentation" xr:uid="{74BF4ECF-7256-40FC-8D69-1321F0032548}"/>
    <hyperlink ref="U10" r:id="rId240" xr:uid="{7EDB5399-CA02-4632-8677-3617B38BBA52}"/>
    <hyperlink ref="U11" r:id="rId241" xr:uid="{4647AB42-F6F4-4C0D-A395-55BE8C9B1123}"/>
    <hyperlink ref="U12" r:id="rId242" xr:uid="{C1E46C80-C2BE-4BDF-9E1D-2D2EEB89A27D}"/>
  </hyperlinks>
  <pageMargins left="0.3" right="0.3" top="0.3" bottom="0.3" header="0.3" footer="0.3"/>
  <pageSetup scale="61" fitToHeight="0" orientation="portrait" r:id="rId243"/>
  <headerFooter>
    <oddFooter>Page &amp;P</oddFooter>
  </headerFooter>
  <rowBreaks count="2" manualBreakCount="2">
    <brk id="139" max="18" man="1"/>
    <brk id="272" max="18" man="1"/>
  </rowBreaks>
  <legacyDrawing r:id="rId24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7F69E-6BDE-4AA8-AFFA-D9D32FD5EC42}">
  <sheetPr>
    <pageSetUpPr fitToPage="1"/>
  </sheetPr>
  <dimension ref="A1:AX30"/>
  <sheetViews>
    <sheetView view="pageBreakPreview" topLeftCell="B1" zoomScale="70" zoomScaleNormal="100" zoomScaleSheetLayoutView="70" workbookViewId="0">
      <selection activeCell="B1" sqref="B1"/>
    </sheetView>
  </sheetViews>
  <sheetFormatPr defaultColWidth="9.1796875" defaultRowHeight="12.5" outlineLevelCol="1" x14ac:dyDescent="0.25"/>
  <cols>
    <col min="1" max="1" width="14.1796875" style="884" hidden="1" customWidth="1" outlineLevel="1"/>
    <col min="2" max="2" width="1.453125" style="884" customWidth="1" collapsed="1"/>
    <col min="3" max="3" width="14.1796875" style="884" customWidth="1"/>
    <col min="4" max="4" width="14.54296875" style="884" customWidth="1"/>
    <col min="5" max="5" width="120.81640625" style="884" customWidth="1"/>
    <col min="6" max="6" width="38.1796875" style="884" customWidth="1"/>
    <col min="7" max="49" width="9.1796875" style="884"/>
    <col min="50" max="50" width="10.7265625" style="884" bestFit="1" customWidth="1"/>
    <col min="51" max="16384" width="9.1796875" style="884"/>
  </cols>
  <sheetData>
    <row r="1" spans="1:50" ht="13" x14ac:dyDescent="0.3">
      <c r="A1" s="884" t="s">
        <v>651</v>
      </c>
      <c r="B1" s="884" t="s">
        <v>651</v>
      </c>
      <c r="F1" s="1203">
        <f ca="1">TODAY()</f>
        <v>45797</v>
      </c>
      <c r="AW1" s="907"/>
      <c r="AX1" s="907"/>
    </row>
    <row r="2" spans="1:50" s="886" customFormat="1" ht="13" x14ac:dyDescent="0.3">
      <c r="A2" s="885" t="s">
        <v>1089</v>
      </c>
      <c r="B2" s="885" t="s">
        <v>1089</v>
      </c>
      <c r="C2" s="885"/>
    </row>
    <row r="3" spans="1:50" ht="13" x14ac:dyDescent="0.3">
      <c r="A3" s="887"/>
      <c r="B3" s="887"/>
      <c r="C3" s="887"/>
      <c r="Y3" s="909"/>
      <c r="Z3" s="909"/>
      <c r="AA3" s="909"/>
      <c r="AB3" s="909"/>
      <c r="AC3" s="909"/>
      <c r="AD3" s="909"/>
      <c r="AE3" s="909"/>
      <c r="AF3" s="909"/>
    </row>
    <row r="4" spans="1:50" s="908" customFormat="1" ht="16" x14ac:dyDescent="0.6">
      <c r="A4" s="893" t="s">
        <v>1090</v>
      </c>
      <c r="B4" s="893"/>
      <c r="C4" s="893" t="s">
        <v>1093</v>
      </c>
      <c r="D4" s="893" t="s">
        <v>1050</v>
      </c>
      <c r="E4" s="893" t="s">
        <v>1091</v>
      </c>
      <c r="F4" s="893" t="s">
        <v>1092</v>
      </c>
    </row>
    <row r="5" spans="1:50" s="908" customFormat="1" ht="16" x14ac:dyDescent="0.6">
      <c r="A5" s="893"/>
      <c r="B5" s="1259" t="s">
        <v>945</v>
      </c>
      <c r="C5" s="1254"/>
      <c r="D5" s="893"/>
      <c r="E5" s="893"/>
      <c r="F5" s="893"/>
    </row>
    <row r="6" spans="1:50" ht="38" x14ac:dyDescent="0.25">
      <c r="A6" s="1254" t="s">
        <v>945</v>
      </c>
      <c r="B6" s="1254"/>
      <c r="C6" s="1254" t="s">
        <v>1094</v>
      </c>
      <c r="D6" s="1254" t="s">
        <v>1095</v>
      </c>
      <c r="E6" s="1258" t="s">
        <v>1099</v>
      </c>
      <c r="F6" s="1253" t="s">
        <v>1096</v>
      </c>
    </row>
    <row r="7" spans="1:50" ht="63.5" x14ac:dyDescent="0.25">
      <c r="A7" s="1254" t="s">
        <v>945</v>
      </c>
      <c r="B7" s="1254"/>
      <c r="C7" s="1254" t="s">
        <v>115</v>
      </c>
      <c r="D7" s="1254" t="s">
        <v>1097</v>
      </c>
      <c r="E7" s="1258" t="s">
        <v>1098</v>
      </c>
      <c r="F7" s="1253" t="s">
        <v>1096</v>
      </c>
    </row>
    <row r="8" spans="1:50" ht="13" x14ac:dyDescent="0.25">
      <c r="A8" s="1254" t="s">
        <v>945</v>
      </c>
      <c r="B8" s="1254"/>
      <c r="C8" s="1254" t="s">
        <v>115</v>
      </c>
      <c r="D8" s="1254" t="s">
        <v>1100</v>
      </c>
      <c r="E8" s="1254" t="s">
        <v>1111</v>
      </c>
      <c r="F8" s="1253" t="s">
        <v>1096</v>
      </c>
    </row>
    <row r="9" spans="1:50" ht="13" x14ac:dyDescent="0.25">
      <c r="A9" s="1254" t="s">
        <v>945</v>
      </c>
      <c r="B9" s="1254"/>
      <c r="C9" s="1254" t="s">
        <v>115</v>
      </c>
      <c r="D9" s="1254" t="s">
        <v>1102</v>
      </c>
      <c r="E9" s="1254" t="s">
        <v>1101</v>
      </c>
      <c r="F9" s="1253" t="s">
        <v>1096</v>
      </c>
    </row>
    <row r="10" spans="1:50" ht="13" x14ac:dyDescent="0.25">
      <c r="A10" s="1254" t="s">
        <v>945</v>
      </c>
      <c r="B10" s="1254"/>
      <c r="C10" s="1254" t="s">
        <v>115</v>
      </c>
      <c r="D10" s="1254" t="s">
        <v>1103</v>
      </c>
      <c r="E10" s="1254" t="s">
        <v>1112</v>
      </c>
      <c r="F10" s="1253" t="s">
        <v>1096</v>
      </c>
    </row>
    <row r="11" spans="1:50" ht="13" x14ac:dyDescent="0.25">
      <c r="A11" s="1254" t="s">
        <v>945</v>
      </c>
      <c r="B11" s="1254"/>
      <c r="C11" s="1254" t="s">
        <v>115</v>
      </c>
      <c r="D11" s="1254" t="s">
        <v>124</v>
      </c>
      <c r="E11" s="1254" t="s">
        <v>1113</v>
      </c>
      <c r="F11" s="1253" t="s">
        <v>1096</v>
      </c>
    </row>
    <row r="12" spans="1:50" x14ac:dyDescent="0.25">
      <c r="A12" s="1254"/>
      <c r="B12" s="1254"/>
      <c r="C12" s="1254"/>
      <c r="D12" s="1254"/>
      <c r="E12" s="1254"/>
      <c r="F12" s="1254"/>
    </row>
    <row r="13" spans="1:50" ht="13" x14ac:dyDescent="0.25">
      <c r="A13" s="1254"/>
      <c r="B13" s="1259" t="s">
        <v>682</v>
      </c>
      <c r="C13" s="1254"/>
      <c r="D13" s="1254"/>
      <c r="E13" s="1254"/>
      <c r="F13" s="1254"/>
    </row>
    <row r="14" spans="1:50" ht="13" x14ac:dyDescent="0.25">
      <c r="A14" s="1254" t="s">
        <v>682</v>
      </c>
      <c r="B14" s="1254"/>
      <c r="C14" s="1254" t="s">
        <v>1094</v>
      </c>
      <c r="D14" s="1254" t="s">
        <v>1095</v>
      </c>
      <c r="E14" s="1254" t="s">
        <v>1114</v>
      </c>
      <c r="F14" s="1255" t="s">
        <v>1138</v>
      </c>
    </row>
    <row r="15" spans="1:50" ht="13" x14ac:dyDescent="0.25">
      <c r="A15" s="1254" t="s">
        <v>682</v>
      </c>
      <c r="B15" s="1254"/>
      <c r="C15" s="1254" t="s">
        <v>115</v>
      </c>
      <c r="D15" s="1254" t="s">
        <v>1095</v>
      </c>
      <c r="E15" s="1254" t="s">
        <v>1104</v>
      </c>
      <c r="F15" s="1255" t="s">
        <v>1138</v>
      </c>
    </row>
    <row r="16" spans="1:50" ht="26" x14ac:dyDescent="0.25">
      <c r="A16" s="1254" t="s">
        <v>682</v>
      </c>
      <c r="B16" s="1254"/>
      <c r="C16" s="1254" t="s">
        <v>115</v>
      </c>
      <c r="D16" s="1254" t="s">
        <v>1097</v>
      </c>
      <c r="E16" s="1258" t="s">
        <v>1115</v>
      </c>
      <c r="F16" s="1256" t="s">
        <v>1137</v>
      </c>
    </row>
    <row r="17" spans="1:6" ht="15.75" customHeight="1" x14ac:dyDescent="0.25">
      <c r="A17" s="1254" t="s">
        <v>682</v>
      </c>
      <c r="B17" s="1254"/>
      <c r="C17" s="1254" t="s">
        <v>115</v>
      </c>
      <c r="D17" s="1254" t="s">
        <v>1100</v>
      </c>
      <c r="E17" s="1258" t="s">
        <v>1116</v>
      </c>
      <c r="F17" s="1255" t="s">
        <v>1135</v>
      </c>
    </row>
    <row r="18" spans="1:6" ht="13" x14ac:dyDescent="0.25">
      <c r="A18" s="1254" t="s">
        <v>682</v>
      </c>
      <c r="B18" s="1254"/>
      <c r="C18" s="1254" t="s">
        <v>115</v>
      </c>
      <c r="D18" s="1254" t="s">
        <v>1105</v>
      </c>
      <c r="E18" s="1254" t="s">
        <v>1106</v>
      </c>
      <c r="F18" s="1255" t="s">
        <v>1134</v>
      </c>
    </row>
    <row r="19" spans="1:6" ht="26" x14ac:dyDescent="0.25">
      <c r="A19" s="1254" t="s">
        <v>682</v>
      </c>
      <c r="B19" s="1254"/>
      <c r="C19" s="1254" t="s">
        <v>115</v>
      </c>
      <c r="D19" s="1254" t="s">
        <v>124</v>
      </c>
      <c r="E19" s="1254" t="s">
        <v>1107</v>
      </c>
      <c r="F19" s="1257" t="s">
        <v>1133</v>
      </c>
    </row>
    <row r="20" spans="1:6" ht="13" x14ac:dyDescent="0.25">
      <c r="A20" s="1254"/>
      <c r="B20" s="1254"/>
      <c r="C20" s="1254"/>
      <c r="D20" s="1254"/>
      <c r="E20" s="1254"/>
      <c r="F20" s="1257"/>
    </row>
    <row r="21" spans="1:6" ht="13" x14ac:dyDescent="0.25">
      <c r="A21" s="1254"/>
      <c r="B21" s="1259" t="s">
        <v>678</v>
      </c>
      <c r="C21" s="1254"/>
      <c r="D21" s="1254"/>
      <c r="E21" s="1254"/>
      <c r="F21" s="1254"/>
    </row>
    <row r="22" spans="1:6" ht="25.5" x14ac:dyDescent="0.25">
      <c r="A22" s="1254" t="s">
        <v>678</v>
      </c>
      <c r="B22" s="1254"/>
      <c r="C22" s="1254" t="s">
        <v>1094</v>
      </c>
      <c r="D22" s="1254" t="s">
        <v>1109</v>
      </c>
      <c r="E22" s="1258" t="s">
        <v>1117</v>
      </c>
      <c r="F22" s="1256" t="s">
        <v>1132</v>
      </c>
    </row>
    <row r="23" spans="1:6" ht="13" x14ac:dyDescent="0.25">
      <c r="A23" s="1254" t="s">
        <v>678</v>
      </c>
      <c r="B23" s="1254"/>
      <c r="C23" s="1254" t="s">
        <v>1108</v>
      </c>
      <c r="D23" s="1254" t="s">
        <v>658</v>
      </c>
      <c r="E23" s="1254" t="s">
        <v>1118</v>
      </c>
      <c r="F23" s="1255" t="s">
        <v>1131</v>
      </c>
    </row>
    <row r="24" spans="1:6" ht="32.25" customHeight="1" x14ac:dyDescent="0.25">
      <c r="A24" s="1254" t="s">
        <v>678</v>
      </c>
      <c r="B24" s="1254"/>
      <c r="C24" s="1254" t="s">
        <v>1108</v>
      </c>
      <c r="D24" s="1254" t="s">
        <v>1109</v>
      </c>
      <c r="E24" s="1258" t="s">
        <v>1130</v>
      </c>
      <c r="F24" s="1256" t="s">
        <v>1136</v>
      </c>
    </row>
    <row r="25" spans="1:6" ht="38" x14ac:dyDescent="0.25">
      <c r="A25" s="1254" t="s">
        <v>678</v>
      </c>
      <c r="B25" s="1254"/>
      <c r="C25" s="1254" t="s">
        <v>1108</v>
      </c>
      <c r="D25" s="1254" t="s">
        <v>1110</v>
      </c>
      <c r="E25" s="1258" t="s">
        <v>1119</v>
      </c>
      <c r="F25" s="1256" t="s">
        <v>1129</v>
      </c>
    </row>
    <row r="26" spans="1:6" x14ac:dyDescent="0.25">
      <c r="A26" s="1254"/>
      <c r="B26" s="1254"/>
      <c r="C26" s="1254"/>
      <c r="D26" s="1254"/>
      <c r="E26" s="1254"/>
      <c r="F26" s="1254"/>
    </row>
    <row r="27" spans="1:6" ht="13" x14ac:dyDescent="0.25">
      <c r="A27" s="1254"/>
      <c r="B27" s="1259" t="s">
        <v>674</v>
      </c>
      <c r="C27" s="1254"/>
      <c r="D27" s="1254"/>
      <c r="E27" s="1254"/>
      <c r="F27" s="1254"/>
    </row>
    <row r="28" spans="1:6" ht="13" x14ac:dyDescent="0.25">
      <c r="A28" s="1254" t="s">
        <v>674</v>
      </c>
      <c r="B28" s="1254"/>
      <c r="C28" s="1254" t="s">
        <v>1094</v>
      </c>
      <c r="D28" s="1254" t="s">
        <v>1095</v>
      </c>
      <c r="E28" s="1254" t="s">
        <v>1120</v>
      </c>
      <c r="F28" s="1255" t="s">
        <v>1128</v>
      </c>
    </row>
    <row r="29" spans="1:6" ht="13" x14ac:dyDescent="0.25">
      <c r="A29" s="1254" t="s">
        <v>674</v>
      </c>
      <c r="B29" s="1254"/>
      <c r="C29" s="1254" t="s">
        <v>1121</v>
      </c>
      <c r="D29" s="1254" t="s">
        <v>1123</v>
      </c>
      <c r="E29" s="1254" t="s">
        <v>1122</v>
      </c>
      <c r="F29" s="1255" t="s">
        <v>1127</v>
      </c>
    </row>
    <row r="30" spans="1:6" ht="13" x14ac:dyDescent="0.25">
      <c r="A30" s="1254" t="s">
        <v>674</v>
      </c>
      <c r="B30" s="1254"/>
      <c r="C30" s="1254" t="s">
        <v>1121</v>
      </c>
      <c r="D30" s="1254" t="s">
        <v>1125</v>
      </c>
      <c r="E30" s="1258" t="s">
        <v>1124</v>
      </c>
      <c r="F30" s="1255" t="s">
        <v>1126</v>
      </c>
    </row>
  </sheetData>
  <pageMargins left="0.3" right="0.3" top="0.3" bottom="0.3" header="0.3" footer="0.3"/>
  <pageSetup scale="70"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D31ED-63ED-4DCE-B8F6-F22698740A0B}">
  <dimension ref="A1:AY42"/>
  <sheetViews>
    <sheetView workbookViewId="0">
      <selection activeCell="C10" sqref="C10"/>
    </sheetView>
  </sheetViews>
  <sheetFormatPr defaultRowHeight="14.5" x14ac:dyDescent="0.35"/>
  <cols>
    <col min="3" max="3" width="10.54296875" bestFit="1" customWidth="1"/>
  </cols>
  <sheetData>
    <row r="1" spans="1:51" s="884" customFormat="1" ht="13" x14ac:dyDescent="0.3">
      <c r="A1" s="884" t="s">
        <v>651</v>
      </c>
      <c r="F1" s="1203">
        <f ca="1">TODAY()</f>
        <v>45797</v>
      </c>
      <c r="G1" s="1203"/>
      <c r="AX1" s="907"/>
      <c r="AY1" s="907"/>
    </row>
    <row r="2" spans="1:51" s="886" customFormat="1" ht="13" x14ac:dyDescent="0.3">
      <c r="A2" s="885" t="s">
        <v>1618</v>
      </c>
      <c r="B2" s="885"/>
      <c r="C2" s="885"/>
      <c r="D2" s="885"/>
    </row>
    <row r="4" spans="1:51" s="1465" customFormat="1" x14ac:dyDescent="0.35">
      <c r="A4" s="1465" t="s">
        <v>1560</v>
      </c>
      <c r="B4" s="1465" t="s">
        <v>1649</v>
      </c>
      <c r="C4" s="1465" t="s">
        <v>1650</v>
      </c>
      <c r="D4" s="1465" t="s">
        <v>1651</v>
      </c>
      <c r="E4" s="1465" t="s">
        <v>1652</v>
      </c>
    </row>
    <row r="5" spans="1:51" x14ac:dyDescent="0.35">
      <c r="A5" t="s">
        <v>1559</v>
      </c>
      <c r="B5">
        <v>2009</v>
      </c>
      <c r="C5" s="1464">
        <v>5837</v>
      </c>
    </row>
    <row r="6" spans="1:51" x14ac:dyDescent="0.35">
      <c r="A6" t="s">
        <v>1822</v>
      </c>
      <c r="B6">
        <v>2009</v>
      </c>
      <c r="C6">
        <v>0</v>
      </c>
      <c r="D6" t="s">
        <v>1819</v>
      </c>
    </row>
    <row r="7" spans="1:51" x14ac:dyDescent="0.35">
      <c r="A7" t="s">
        <v>1620</v>
      </c>
      <c r="B7">
        <v>2003</v>
      </c>
      <c r="C7" s="1464">
        <v>6225</v>
      </c>
    </row>
    <row r="8" spans="1:51" x14ac:dyDescent="0.35">
      <c r="A8" t="s">
        <v>1621</v>
      </c>
      <c r="B8">
        <v>2002</v>
      </c>
      <c r="C8" s="1464">
        <v>1695</v>
      </c>
      <c r="G8" t="s">
        <v>1826</v>
      </c>
    </row>
    <row r="9" spans="1:51" x14ac:dyDescent="0.35">
      <c r="A9" t="s">
        <v>1622</v>
      </c>
      <c r="B9">
        <v>2002</v>
      </c>
      <c r="C9" s="1464">
        <v>2142</v>
      </c>
      <c r="G9" t="s">
        <v>1827</v>
      </c>
    </row>
    <row r="10" spans="1:51" x14ac:dyDescent="0.35">
      <c r="A10" t="s">
        <v>1623</v>
      </c>
      <c r="B10">
        <v>2001</v>
      </c>
      <c r="C10" s="1464">
        <v>3285</v>
      </c>
      <c r="H10" t="s">
        <v>1828</v>
      </c>
    </row>
    <row r="11" spans="1:51" x14ac:dyDescent="0.35">
      <c r="A11" t="s">
        <v>1624</v>
      </c>
      <c r="C11" s="1464">
        <v>435</v>
      </c>
      <c r="H11" t="s">
        <v>1829</v>
      </c>
    </row>
    <row r="12" spans="1:51" x14ac:dyDescent="0.35">
      <c r="A12" t="s">
        <v>1625</v>
      </c>
      <c r="B12">
        <v>2003</v>
      </c>
      <c r="C12" s="1464">
        <v>10011</v>
      </c>
      <c r="I12" t="s">
        <v>1830</v>
      </c>
    </row>
    <row r="13" spans="1:51" x14ac:dyDescent="0.35">
      <c r="A13" t="s">
        <v>1626</v>
      </c>
      <c r="B13">
        <v>2007</v>
      </c>
      <c r="C13" s="1464">
        <v>389</v>
      </c>
      <c r="G13" t="s">
        <v>1831</v>
      </c>
    </row>
    <row r="14" spans="1:51" x14ac:dyDescent="0.35">
      <c r="A14" t="s">
        <v>1821</v>
      </c>
      <c r="B14">
        <v>2008</v>
      </c>
      <c r="C14" s="1464">
        <v>0</v>
      </c>
      <c r="D14" t="s">
        <v>1819</v>
      </c>
    </row>
    <row r="15" spans="1:51" x14ac:dyDescent="0.35">
      <c r="A15" t="s">
        <v>1627</v>
      </c>
      <c r="B15">
        <v>2002</v>
      </c>
      <c r="C15" s="1464">
        <v>1644</v>
      </c>
    </row>
    <row r="16" spans="1:51" x14ac:dyDescent="0.35">
      <c r="A16" t="s">
        <v>1818</v>
      </c>
      <c r="B16">
        <v>2006</v>
      </c>
      <c r="C16" s="1464">
        <v>0</v>
      </c>
      <c r="D16" t="s">
        <v>1819</v>
      </c>
    </row>
    <row r="17" spans="1:4" x14ac:dyDescent="0.35">
      <c r="A17" t="s">
        <v>1628</v>
      </c>
      <c r="B17">
        <v>2008</v>
      </c>
      <c r="C17" s="1464">
        <v>10422</v>
      </c>
    </row>
    <row r="18" spans="1:4" x14ac:dyDescent="0.35">
      <c r="A18" t="s">
        <v>1629</v>
      </c>
      <c r="B18">
        <v>2012</v>
      </c>
      <c r="C18" s="1464">
        <v>862</v>
      </c>
    </row>
    <row r="19" spans="1:4" x14ac:dyDescent="0.35">
      <c r="A19" t="s">
        <v>1630</v>
      </c>
      <c r="B19">
        <v>2004</v>
      </c>
      <c r="C19" s="1464">
        <v>6591</v>
      </c>
    </row>
    <row r="20" spans="1:4" x14ac:dyDescent="0.35">
      <c r="A20" t="s">
        <v>1631</v>
      </c>
      <c r="B20">
        <v>2011</v>
      </c>
      <c r="C20" s="1464">
        <v>2630</v>
      </c>
    </row>
    <row r="21" spans="1:4" x14ac:dyDescent="0.35">
      <c r="A21" t="s">
        <v>1632</v>
      </c>
      <c r="B21">
        <v>2015</v>
      </c>
      <c r="C21" s="1464">
        <v>438</v>
      </c>
    </row>
    <row r="22" spans="1:4" x14ac:dyDescent="0.35">
      <c r="A22" t="s">
        <v>1633</v>
      </c>
      <c r="B22" t="s">
        <v>890</v>
      </c>
      <c r="C22" s="1464" t="s">
        <v>890</v>
      </c>
    </row>
    <row r="23" spans="1:4" x14ac:dyDescent="0.35">
      <c r="A23" t="s">
        <v>1823</v>
      </c>
      <c r="B23">
        <v>2010</v>
      </c>
      <c r="C23" s="1464">
        <v>0</v>
      </c>
      <c r="D23" t="s">
        <v>1819</v>
      </c>
    </row>
    <row r="24" spans="1:4" x14ac:dyDescent="0.35">
      <c r="A24" t="s">
        <v>1824</v>
      </c>
      <c r="B24">
        <v>2010</v>
      </c>
      <c r="C24" s="1464">
        <v>0</v>
      </c>
      <c r="D24" t="s">
        <v>1819</v>
      </c>
    </row>
    <row r="25" spans="1:4" x14ac:dyDescent="0.35">
      <c r="A25" t="s">
        <v>1634</v>
      </c>
      <c r="B25">
        <v>2002</v>
      </c>
      <c r="C25" s="1464">
        <v>9253</v>
      </c>
    </row>
    <row r="26" spans="1:4" x14ac:dyDescent="0.35">
      <c r="A26" t="s">
        <v>1635</v>
      </c>
      <c r="B26" t="s">
        <v>890</v>
      </c>
      <c r="C26" s="1464">
        <v>910</v>
      </c>
    </row>
    <row r="27" spans="1:4" x14ac:dyDescent="0.35">
      <c r="A27" t="s">
        <v>1820</v>
      </c>
      <c r="B27">
        <v>2007</v>
      </c>
      <c r="C27" s="1464">
        <v>0</v>
      </c>
      <c r="D27" t="s">
        <v>1819</v>
      </c>
    </row>
    <row r="28" spans="1:4" x14ac:dyDescent="0.35">
      <c r="A28" t="s">
        <v>1636</v>
      </c>
      <c r="B28">
        <v>2012</v>
      </c>
      <c r="C28" s="1464">
        <v>1911</v>
      </c>
    </row>
    <row r="29" spans="1:4" x14ac:dyDescent="0.35">
      <c r="A29" t="s">
        <v>1637</v>
      </c>
      <c r="B29">
        <v>2015</v>
      </c>
      <c r="C29" s="1464">
        <v>4290</v>
      </c>
    </row>
    <row r="30" spans="1:4" x14ac:dyDescent="0.35">
      <c r="A30" t="s">
        <v>1638</v>
      </c>
      <c r="B30">
        <v>2002</v>
      </c>
      <c r="C30" s="1464">
        <v>15273</v>
      </c>
    </row>
    <row r="31" spans="1:4" x14ac:dyDescent="0.35">
      <c r="A31" t="s">
        <v>1639</v>
      </c>
      <c r="B31">
        <v>2009</v>
      </c>
      <c r="C31" s="1464">
        <v>4042</v>
      </c>
    </row>
    <row r="32" spans="1:4" x14ac:dyDescent="0.35">
      <c r="A32" t="s">
        <v>1640</v>
      </c>
      <c r="B32">
        <v>2008</v>
      </c>
      <c r="C32" s="1464">
        <v>990</v>
      </c>
    </row>
    <row r="33" spans="1:5" x14ac:dyDescent="0.35">
      <c r="A33" t="s">
        <v>1619</v>
      </c>
      <c r="B33">
        <v>2001</v>
      </c>
      <c r="C33" s="1464">
        <v>8595</v>
      </c>
    </row>
    <row r="34" spans="1:5" x14ac:dyDescent="0.35">
      <c r="A34" t="s">
        <v>1641</v>
      </c>
      <c r="B34">
        <v>2008</v>
      </c>
      <c r="C34" s="1464">
        <v>6897</v>
      </c>
    </row>
    <row r="35" spans="1:5" x14ac:dyDescent="0.35">
      <c r="A35" t="s">
        <v>1642</v>
      </c>
      <c r="B35">
        <v>2011</v>
      </c>
      <c r="C35" s="1464">
        <v>3837</v>
      </c>
    </row>
    <row r="36" spans="1:5" x14ac:dyDescent="0.35">
      <c r="A36" t="s">
        <v>1561</v>
      </c>
      <c r="B36">
        <v>2005</v>
      </c>
      <c r="C36" s="1464">
        <v>21972</v>
      </c>
      <c r="E36" t="s">
        <v>1825</v>
      </c>
    </row>
    <row r="37" spans="1:5" x14ac:dyDescent="0.35">
      <c r="A37" t="s">
        <v>1643</v>
      </c>
      <c r="B37">
        <v>2003</v>
      </c>
      <c r="C37" s="1464">
        <v>1772</v>
      </c>
    </row>
    <row r="38" spans="1:5" x14ac:dyDescent="0.35">
      <c r="A38" t="s">
        <v>1644</v>
      </c>
      <c r="B38">
        <v>2009</v>
      </c>
      <c r="C38" s="1464" t="s">
        <v>890</v>
      </c>
    </row>
    <row r="39" spans="1:5" x14ac:dyDescent="0.35">
      <c r="A39" t="s">
        <v>1645</v>
      </c>
      <c r="B39">
        <v>2006</v>
      </c>
      <c r="C39" s="1464">
        <v>3067</v>
      </c>
    </row>
    <row r="40" spans="1:5" x14ac:dyDescent="0.35">
      <c r="A40" t="s">
        <v>1646</v>
      </c>
      <c r="B40" t="s">
        <v>890</v>
      </c>
      <c r="C40" s="1464">
        <v>398</v>
      </c>
    </row>
    <row r="41" spans="1:5" x14ac:dyDescent="0.35">
      <c r="A41" t="s">
        <v>1647</v>
      </c>
      <c r="B41">
        <v>2003</v>
      </c>
      <c r="C41" s="1464">
        <v>3040</v>
      </c>
    </row>
    <row r="42" spans="1:5" x14ac:dyDescent="0.35">
      <c r="A42" t="s">
        <v>1648</v>
      </c>
      <c r="B42">
        <v>2009</v>
      </c>
      <c r="C42" s="1464" t="s">
        <v>890</v>
      </c>
    </row>
  </sheetData>
  <sortState xmlns:xlrd2="http://schemas.microsoft.com/office/spreadsheetml/2017/richdata2" ref="A5:E42">
    <sortCondition ref="A5:A4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7EEE7-EB2D-4615-AE69-AA2558797C64}">
  <sheetPr>
    <pageSetUpPr fitToPage="1"/>
  </sheetPr>
  <dimension ref="A1:F76"/>
  <sheetViews>
    <sheetView view="pageBreakPreview" zoomScale="60" zoomScaleNormal="70" workbookViewId="0">
      <pane ySplit="2" topLeftCell="A3" activePane="bottomLeft" state="frozen"/>
      <selection pane="bottomLeft" activeCell="A4" sqref="A4"/>
    </sheetView>
  </sheetViews>
  <sheetFormatPr defaultRowHeight="14.5" x14ac:dyDescent="0.35"/>
  <cols>
    <col min="1" max="1" width="41.26953125" bestFit="1" customWidth="1"/>
    <col min="2" max="2" width="20.81640625" customWidth="1"/>
    <col min="3" max="6" width="20.81640625" style="133" customWidth="1"/>
    <col min="7" max="7" width="20.81640625" customWidth="1"/>
  </cols>
  <sheetData>
    <row r="1" spans="1:6" x14ac:dyDescent="0.35">
      <c r="A1" t="s">
        <v>651</v>
      </c>
      <c r="F1" s="1506">
        <f ca="1">TODAY()</f>
        <v>45797</v>
      </c>
    </row>
    <row r="2" spans="1:6" s="1497" customFormat="1" x14ac:dyDescent="0.35">
      <c r="A2" s="1517" t="s">
        <v>1839</v>
      </c>
      <c r="C2" s="1503"/>
      <c r="D2" s="1503"/>
      <c r="E2" s="1503"/>
      <c r="F2" s="1503"/>
    </row>
    <row r="3" spans="1:6" ht="15" thickBot="1" x14ac:dyDescent="0.4"/>
    <row r="4" spans="1:6" ht="15" thickBot="1" x14ac:dyDescent="0.4">
      <c r="A4" s="1505" t="s">
        <v>1561</v>
      </c>
    </row>
    <row r="5" spans="1:6" x14ac:dyDescent="0.35">
      <c r="A5" s="130"/>
    </row>
    <row r="6" spans="1:6" x14ac:dyDescent="0.35">
      <c r="A6" t="s">
        <v>1887</v>
      </c>
      <c r="B6">
        <f>+'State Database'!B36</f>
        <v>2005</v>
      </c>
    </row>
    <row r="7" spans="1:6" x14ac:dyDescent="0.35">
      <c r="A7" t="s">
        <v>1845</v>
      </c>
      <c r="B7" s="1498">
        <f>+'State Database'!C36</f>
        <v>21972</v>
      </c>
    </row>
    <row r="8" spans="1:6" x14ac:dyDescent="0.35">
      <c r="A8" t="s">
        <v>1886</v>
      </c>
      <c r="B8" s="1511">
        <f>+D51</f>
        <v>0.55236562924229471</v>
      </c>
    </row>
    <row r="9" spans="1:6" x14ac:dyDescent="0.35">
      <c r="A9" t="s">
        <v>1889</v>
      </c>
      <c r="B9" s="1511">
        <f>+D54</f>
        <v>7.1915210271266674E-3</v>
      </c>
    </row>
    <row r="10" spans="1:6" x14ac:dyDescent="0.35">
      <c r="A10" t="s">
        <v>1890</v>
      </c>
      <c r="B10" s="1511">
        <f>+B7/D53</f>
        <v>3.9723490373580151E-3</v>
      </c>
    </row>
    <row r="11" spans="1:6" x14ac:dyDescent="0.35">
      <c r="A11" t="s">
        <v>1840</v>
      </c>
      <c r="B11">
        <v>4</v>
      </c>
    </row>
    <row r="12" spans="1:6" x14ac:dyDescent="0.35">
      <c r="A12" t="s">
        <v>1872</v>
      </c>
      <c r="B12" s="1500" t="s">
        <v>1873</v>
      </c>
    </row>
    <row r="14" spans="1:6" s="130" customFormat="1" x14ac:dyDescent="0.35">
      <c r="A14" s="130" t="s">
        <v>1858</v>
      </c>
      <c r="B14" s="130" t="s">
        <v>1841</v>
      </c>
      <c r="C14" s="1508"/>
      <c r="D14" s="130" t="s">
        <v>1860</v>
      </c>
      <c r="E14" s="130" t="s">
        <v>1856</v>
      </c>
      <c r="F14" s="1508"/>
    </row>
    <row r="15" spans="1:6" x14ac:dyDescent="0.35">
      <c r="A15" s="1499" t="s">
        <v>1874</v>
      </c>
      <c r="B15" s="1464" t="s">
        <v>1875</v>
      </c>
      <c r="D15" s="1499" t="s">
        <v>1874</v>
      </c>
      <c r="E15" s="1464" t="s">
        <v>1875</v>
      </c>
    </row>
    <row r="16" spans="1:6" x14ac:dyDescent="0.35">
      <c r="A16" s="1499" t="s">
        <v>1879</v>
      </c>
      <c r="B16" s="1464" t="s">
        <v>1880</v>
      </c>
      <c r="D16" s="1499" t="s">
        <v>1879</v>
      </c>
      <c r="E16" s="1464" t="s">
        <v>1096</v>
      </c>
    </row>
    <row r="17" spans="1:6" x14ac:dyDescent="0.35">
      <c r="A17" s="1499" t="s">
        <v>1843</v>
      </c>
      <c r="B17" s="1498">
        <v>14830</v>
      </c>
      <c r="D17" s="1499" t="s">
        <v>1843</v>
      </c>
      <c r="E17" s="1498">
        <v>1334</v>
      </c>
    </row>
    <row r="18" spans="1:6" x14ac:dyDescent="0.35">
      <c r="A18" s="1499" t="s">
        <v>1842</v>
      </c>
      <c r="B18">
        <v>2031</v>
      </c>
      <c r="D18" s="1499" t="s">
        <v>1842</v>
      </c>
      <c r="E18" s="1500" t="s">
        <v>1096</v>
      </c>
    </row>
    <row r="19" spans="1:6" x14ac:dyDescent="0.35">
      <c r="A19" s="1499" t="s">
        <v>1844</v>
      </c>
      <c r="B19">
        <v>5</v>
      </c>
      <c r="D19" s="1499" t="s">
        <v>1844</v>
      </c>
      <c r="E19" s="1500" t="s">
        <v>1096</v>
      </c>
    </row>
    <row r="20" spans="1:6" x14ac:dyDescent="0.35">
      <c r="D20"/>
      <c r="E20"/>
    </row>
    <row r="21" spans="1:6" s="130" customFormat="1" x14ac:dyDescent="0.35">
      <c r="A21" s="130" t="s">
        <v>1859</v>
      </c>
      <c r="B21" s="130" t="s">
        <v>1854</v>
      </c>
      <c r="C21" s="1508"/>
      <c r="D21" s="130" t="s">
        <v>1861</v>
      </c>
      <c r="E21" s="130" t="s">
        <v>1857</v>
      </c>
      <c r="F21" s="1508"/>
    </row>
    <row r="22" spans="1:6" x14ac:dyDescent="0.35">
      <c r="A22" s="1499" t="s">
        <v>1874</v>
      </c>
      <c r="B22" s="1464" t="s">
        <v>1875</v>
      </c>
      <c r="D22" s="1499" t="s">
        <v>1874</v>
      </c>
      <c r="E22" s="1464" t="s">
        <v>1875</v>
      </c>
    </row>
    <row r="23" spans="1:6" x14ac:dyDescent="0.35">
      <c r="A23" s="1499" t="s">
        <v>1879</v>
      </c>
      <c r="B23" s="1464" t="s">
        <v>1096</v>
      </c>
      <c r="D23" s="1499" t="s">
        <v>1879</v>
      </c>
      <c r="E23" s="1464" t="s">
        <v>1096</v>
      </c>
    </row>
    <row r="24" spans="1:6" x14ac:dyDescent="0.35">
      <c r="A24" s="1499" t="s">
        <v>1843</v>
      </c>
      <c r="B24" s="1498">
        <v>5581</v>
      </c>
      <c r="D24" s="1499" t="s">
        <v>1843</v>
      </c>
      <c r="E24">
        <v>227</v>
      </c>
    </row>
    <row r="25" spans="1:6" x14ac:dyDescent="0.35">
      <c r="A25" s="1499" t="s">
        <v>1842</v>
      </c>
      <c r="B25" s="1500" t="s">
        <v>1855</v>
      </c>
      <c r="D25" s="1499" t="s">
        <v>1842</v>
      </c>
      <c r="E25" s="1500" t="s">
        <v>1096</v>
      </c>
    </row>
    <row r="26" spans="1:6" x14ac:dyDescent="0.35">
      <c r="A26" s="1499" t="s">
        <v>1844</v>
      </c>
      <c r="B26" s="1500" t="s">
        <v>1096</v>
      </c>
      <c r="D26" s="1499" t="s">
        <v>1844</v>
      </c>
      <c r="E26" s="1500" t="s">
        <v>1096</v>
      </c>
    </row>
    <row r="29" spans="1:6" x14ac:dyDescent="0.35">
      <c r="A29" s="1502" t="s">
        <v>1852</v>
      </c>
      <c r="B29" s="1502" t="s">
        <v>1853</v>
      </c>
      <c r="C29" s="1502" t="s">
        <v>283</v>
      </c>
      <c r="D29" s="1504" t="s">
        <v>1851</v>
      </c>
      <c r="E29" s="1502"/>
      <c r="F29" s="1502"/>
    </row>
    <row r="30" spans="1:6" x14ac:dyDescent="0.35">
      <c r="A30" t="s">
        <v>1862</v>
      </c>
      <c r="B30" t="s">
        <v>1096</v>
      </c>
      <c r="C30" s="133" t="s">
        <v>1906</v>
      </c>
      <c r="D30" s="1524">
        <v>925</v>
      </c>
    </row>
    <row r="31" spans="1:6" x14ac:dyDescent="0.35">
      <c r="A31" t="s">
        <v>1863</v>
      </c>
      <c r="B31" t="s">
        <v>1096</v>
      </c>
      <c r="C31" s="133" t="s">
        <v>1875</v>
      </c>
      <c r="D31" s="1524">
        <v>1332</v>
      </c>
    </row>
    <row r="32" spans="1:6" x14ac:dyDescent="0.35">
      <c r="A32" t="s">
        <v>1907</v>
      </c>
      <c r="B32" t="s">
        <v>1096</v>
      </c>
      <c r="C32" s="133" t="s">
        <v>1906</v>
      </c>
      <c r="D32" s="1500" t="s">
        <v>890</v>
      </c>
    </row>
    <row r="33" spans="1:4" x14ac:dyDescent="0.35">
      <c r="A33" t="s">
        <v>1864</v>
      </c>
      <c r="B33" t="s">
        <v>1866</v>
      </c>
      <c r="C33" s="133" t="s">
        <v>1875</v>
      </c>
      <c r="D33" s="1501">
        <v>8332</v>
      </c>
    </row>
    <row r="34" spans="1:4" x14ac:dyDescent="0.35">
      <c r="A34" t="s">
        <v>1865</v>
      </c>
      <c r="B34" t="s">
        <v>1096</v>
      </c>
      <c r="C34" s="133" t="s">
        <v>1875</v>
      </c>
      <c r="D34" s="1500" t="s">
        <v>890</v>
      </c>
    </row>
    <row r="35" spans="1:4" x14ac:dyDescent="0.35">
      <c r="A35" t="s">
        <v>1893</v>
      </c>
      <c r="B35" t="s">
        <v>1096</v>
      </c>
      <c r="C35" s="133" t="s">
        <v>1875</v>
      </c>
      <c r="D35" s="1500" t="s">
        <v>890</v>
      </c>
    </row>
    <row r="36" spans="1:4" x14ac:dyDescent="0.35">
      <c r="A36" t="s">
        <v>1894</v>
      </c>
      <c r="B36" t="s">
        <v>1096</v>
      </c>
      <c r="C36" s="133" t="s">
        <v>1875</v>
      </c>
      <c r="D36" s="1501">
        <v>3515</v>
      </c>
    </row>
    <row r="37" spans="1:4" x14ac:dyDescent="0.35">
      <c r="A37" t="s">
        <v>1895</v>
      </c>
      <c r="B37" t="s">
        <v>1096</v>
      </c>
      <c r="C37" s="133" t="s">
        <v>1875</v>
      </c>
      <c r="D37" s="1500">
        <v>147</v>
      </c>
    </row>
    <row r="38" spans="1:4" x14ac:dyDescent="0.35">
      <c r="A38" t="s">
        <v>1896</v>
      </c>
      <c r="B38" t="s">
        <v>1096</v>
      </c>
      <c r="C38" s="133" t="s">
        <v>1875</v>
      </c>
      <c r="D38" s="1500">
        <v>173</v>
      </c>
    </row>
    <row r="39" spans="1:4" x14ac:dyDescent="0.35">
      <c r="A39" t="s">
        <v>1897</v>
      </c>
      <c r="B39" t="s">
        <v>1096</v>
      </c>
      <c r="C39" s="133" t="s">
        <v>1875</v>
      </c>
      <c r="D39" s="1500">
        <v>70</v>
      </c>
    </row>
    <row r="40" spans="1:4" x14ac:dyDescent="0.35">
      <c r="A40" t="s">
        <v>1898</v>
      </c>
      <c r="B40" t="s">
        <v>1096</v>
      </c>
      <c r="C40" s="133" t="s">
        <v>1875</v>
      </c>
      <c r="D40" s="1500" t="s">
        <v>890</v>
      </c>
    </row>
    <row r="41" spans="1:4" x14ac:dyDescent="0.35">
      <c r="A41" t="s">
        <v>1899</v>
      </c>
      <c r="B41" t="s">
        <v>1096</v>
      </c>
      <c r="C41" s="133" t="s">
        <v>1875</v>
      </c>
      <c r="D41" s="1500">
        <v>100</v>
      </c>
    </row>
    <row r="42" spans="1:4" x14ac:dyDescent="0.35">
      <c r="A42" t="s">
        <v>1900</v>
      </c>
      <c r="B42" t="s">
        <v>1096</v>
      </c>
      <c r="C42" s="133" t="s">
        <v>1875</v>
      </c>
      <c r="D42" s="1500">
        <v>239</v>
      </c>
    </row>
    <row r="43" spans="1:4" x14ac:dyDescent="0.35">
      <c r="A43" t="s">
        <v>1901</v>
      </c>
      <c r="B43" t="s">
        <v>1096</v>
      </c>
      <c r="C43" s="133" t="s">
        <v>1875</v>
      </c>
      <c r="D43" s="1500">
        <v>28</v>
      </c>
    </row>
    <row r="44" spans="1:4" x14ac:dyDescent="0.35">
      <c r="A44" t="s">
        <v>1902</v>
      </c>
      <c r="B44" t="s">
        <v>1096</v>
      </c>
      <c r="C44" s="133" t="s">
        <v>1875</v>
      </c>
      <c r="D44" s="1500">
        <v>52</v>
      </c>
    </row>
    <row r="45" spans="1:4" x14ac:dyDescent="0.35">
      <c r="A45" t="s">
        <v>1903</v>
      </c>
      <c r="B45" t="s">
        <v>1096</v>
      </c>
      <c r="C45" s="133" t="s">
        <v>1875</v>
      </c>
      <c r="D45" s="1500">
        <v>2712</v>
      </c>
    </row>
    <row r="46" spans="1:4" x14ac:dyDescent="0.35">
      <c r="A46" t="s">
        <v>1904</v>
      </c>
      <c r="B46" t="s">
        <v>1096</v>
      </c>
      <c r="C46" s="133" t="s">
        <v>1875</v>
      </c>
      <c r="D46" s="1500">
        <v>181</v>
      </c>
    </row>
    <row r="47" spans="1:4" x14ac:dyDescent="0.35">
      <c r="A47" t="s">
        <v>1905</v>
      </c>
      <c r="B47" t="s">
        <v>1096</v>
      </c>
      <c r="C47" s="133" t="s">
        <v>1906</v>
      </c>
      <c r="D47" s="1516" t="s">
        <v>890</v>
      </c>
    </row>
    <row r="48" spans="1:4" x14ac:dyDescent="0.35">
      <c r="A48" s="1499" t="s">
        <v>1883</v>
      </c>
      <c r="D48" s="1501">
        <f>+SUM(D30:D47)</f>
        <v>17806</v>
      </c>
    </row>
    <row r="49" spans="1:6" ht="16" x14ac:dyDescent="0.5">
      <c r="A49" t="s">
        <v>1888</v>
      </c>
      <c r="D49" s="1509">
        <f>+B7</f>
        <v>21972</v>
      </c>
    </row>
    <row r="50" spans="1:6" x14ac:dyDescent="0.35">
      <c r="A50" s="1499" t="s">
        <v>1884</v>
      </c>
      <c r="D50" s="1501">
        <f>+D49+D48</f>
        <v>39778</v>
      </c>
    </row>
    <row r="51" spans="1:6" s="131" customFormat="1" x14ac:dyDescent="0.35">
      <c r="A51" s="1512" t="s">
        <v>1908</v>
      </c>
      <c r="C51" s="1513"/>
      <c r="D51" s="1515">
        <f>+D49/D50</f>
        <v>0.55236562924229471</v>
      </c>
      <c r="E51" s="1513"/>
      <c r="F51" s="1513"/>
    </row>
    <row r="53" spans="1:6" x14ac:dyDescent="0.35">
      <c r="A53" t="s">
        <v>1885</v>
      </c>
      <c r="D53" s="1510">
        <v>5531236</v>
      </c>
    </row>
    <row r="54" spans="1:6" x14ac:dyDescent="0.35">
      <c r="A54" s="1514" t="s">
        <v>1909</v>
      </c>
      <c r="B54" s="131"/>
      <c r="C54" s="1513"/>
      <c r="D54" s="1515">
        <f>+D50/D53</f>
        <v>7.1915210271266674E-3</v>
      </c>
    </row>
    <row r="55" spans="1:6" x14ac:dyDescent="0.35">
      <c r="A55" s="1514" t="s">
        <v>1910</v>
      </c>
      <c r="B55" s="131"/>
      <c r="C55" s="1513"/>
      <c r="D55" s="1515">
        <f>+D49/D53</f>
        <v>3.9723490373580151E-3</v>
      </c>
    </row>
    <row r="57" spans="1:6" x14ac:dyDescent="0.35">
      <c r="A57" s="1502" t="s">
        <v>1850</v>
      </c>
    </row>
    <row r="58" spans="1:6" x14ac:dyDescent="0.35">
      <c r="A58" s="133" t="s">
        <v>1848</v>
      </c>
      <c r="B58" s="1501">
        <v>6160</v>
      </c>
    </row>
    <row r="59" spans="1:6" x14ac:dyDescent="0.35">
      <c r="A59" s="133" t="s">
        <v>1849</v>
      </c>
      <c r="B59" s="1501">
        <v>6160</v>
      </c>
    </row>
    <row r="60" spans="1:6" x14ac:dyDescent="0.35">
      <c r="A60" s="133" t="s">
        <v>1869</v>
      </c>
      <c r="B60" s="1507" t="s">
        <v>1870</v>
      </c>
    </row>
    <row r="61" spans="1:6" x14ac:dyDescent="0.35">
      <c r="A61" s="133" t="s">
        <v>1846</v>
      </c>
      <c r="B61">
        <v>2019</v>
      </c>
    </row>
    <row r="62" spans="1:6" x14ac:dyDescent="0.35">
      <c r="A62" s="133" t="s">
        <v>1847</v>
      </c>
      <c r="B62" t="s">
        <v>1871</v>
      </c>
    </row>
    <row r="64" spans="1:6" x14ac:dyDescent="0.35">
      <c r="A64" s="133" t="s">
        <v>1878</v>
      </c>
      <c r="B64" t="s">
        <v>1867</v>
      </c>
    </row>
    <row r="65" spans="1:2" x14ac:dyDescent="0.35">
      <c r="B65" t="s">
        <v>1876</v>
      </c>
    </row>
    <row r="66" spans="1:2" x14ac:dyDescent="0.35">
      <c r="B66" t="s">
        <v>1877</v>
      </c>
    </row>
    <row r="68" spans="1:2" x14ac:dyDescent="0.35">
      <c r="A68" s="1502" t="s">
        <v>1868</v>
      </c>
    </row>
    <row r="69" spans="1:2" x14ac:dyDescent="0.35">
      <c r="A69" t="s">
        <v>1891</v>
      </c>
    </row>
    <row r="71" spans="1:2" x14ac:dyDescent="0.35">
      <c r="A71" s="1502" t="s">
        <v>1881</v>
      </c>
    </row>
    <row r="72" spans="1:2" x14ac:dyDescent="0.35">
      <c r="A72" t="s">
        <v>1882</v>
      </c>
    </row>
    <row r="74" spans="1:2" x14ac:dyDescent="0.35">
      <c r="A74" t="s">
        <v>1142</v>
      </c>
    </row>
    <row r="75" spans="1:2" x14ac:dyDescent="0.35">
      <c r="A75" t="s">
        <v>1892</v>
      </c>
    </row>
    <row r="76" spans="1:2" x14ac:dyDescent="0.35">
      <c r="A76" t="s">
        <v>1913</v>
      </c>
    </row>
  </sheetData>
  <printOptions horizontalCentered="1"/>
  <pageMargins left="0.3" right="0.3" top="0.3" bottom="0.3" header="0.3" footer="0.3"/>
  <pageSetup scale="69" fitToHeight="0" orientation="portrait" r:id="rId1"/>
  <headerFooter>
    <oddFooter>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B2A76-E8C2-41A0-8328-82F4D36FB77F}">
  <sheetPr>
    <pageSetUpPr fitToPage="1"/>
  </sheetPr>
  <dimension ref="A1:F79"/>
  <sheetViews>
    <sheetView view="pageBreakPreview" zoomScale="60" zoomScaleNormal="70" workbookViewId="0">
      <pane ySplit="2" topLeftCell="A3" activePane="bottomLeft" state="frozen"/>
      <selection pane="bottomLeft" activeCell="B10" sqref="B10"/>
    </sheetView>
  </sheetViews>
  <sheetFormatPr defaultRowHeight="14.5" x14ac:dyDescent="0.35"/>
  <cols>
    <col min="1" max="1" width="53.7265625" customWidth="1"/>
    <col min="2" max="2" width="20.81640625" customWidth="1"/>
    <col min="3" max="6" width="20.81640625" style="133" customWidth="1"/>
    <col min="7" max="7" width="20.81640625" customWidth="1"/>
  </cols>
  <sheetData>
    <row r="1" spans="1:6" x14ac:dyDescent="0.35">
      <c r="A1" t="s">
        <v>651</v>
      </c>
      <c r="F1" s="1506">
        <f ca="1">TODAY()</f>
        <v>45797</v>
      </c>
    </row>
    <row r="2" spans="1:6" s="1497" customFormat="1" x14ac:dyDescent="0.35">
      <c r="A2" s="1517" t="s">
        <v>1839</v>
      </c>
      <c r="C2" s="1503"/>
      <c r="D2" s="1503"/>
      <c r="E2" s="1503"/>
      <c r="F2" s="1503"/>
    </row>
    <row r="3" spans="1:6" ht="15" thickBot="1" x14ac:dyDescent="0.4"/>
    <row r="4" spans="1:6" ht="15" thickBot="1" x14ac:dyDescent="0.4">
      <c r="A4" s="1505" t="s">
        <v>1628</v>
      </c>
    </row>
    <row r="5" spans="1:6" x14ac:dyDescent="0.35">
      <c r="A5" s="130"/>
    </row>
    <row r="6" spans="1:6" x14ac:dyDescent="0.35">
      <c r="A6" t="s">
        <v>1887</v>
      </c>
      <c r="B6">
        <f>+'State Database'!B17</f>
        <v>2008</v>
      </c>
    </row>
    <row r="7" spans="1:6" x14ac:dyDescent="0.35">
      <c r="A7" t="s">
        <v>1845</v>
      </c>
      <c r="B7" s="1498">
        <f>+'State Database'!C17</f>
        <v>10422</v>
      </c>
    </row>
    <row r="8" spans="1:6" x14ac:dyDescent="0.35">
      <c r="A8" t="s">
        <v>1886</v>
      </c>
      <c r="B8" s="1511">
        <f>+D56</f>
        <v>0.4709444193402621</v>
      </c>
    </row>
    <row r="9" spans="1:6" x14ac:dyDescent="0.35">
      <c r="A9" t="s">
        <v>1889</v>
      </c>
      <c r="B9" s="1511">
        <f>+D59</f>
        <v>2.1358777270323172E-2</v>
      </c>
    </row>
    <row r="10" spans="1:6" x14ac:dyDescent="0.35">
      <c r="A10" t="s">
        <v>1890</v>
      </c>
      <c r="B10" s="1511">
        <f>+B7/D58</f>
        <v>1.0058796959390335E-2</v>
      </c>
    </row>
    <row r="11" spans="1:6" x14ac:dyDescent="0.35">
      <c r="A11" t="s">
        <v>1840</v>
      </c>
      <c r="B11">
        <v>5</v>
      </c>
    </row>
    <row r="12" spans="1:6" x14ac:dyDescent="0.35">
      <c r="A12" t="s">
        <v>1872</v>
      </c>
      <c r="B12" s="1500" t="s">
        <v>1950</v>
      </c>
    </row>
    <row r="14" spans="1:6" s="130" customFormat="1" x14ac:dyDescent="0.35">
      <c r="A14" s="130" t="s">
        <v>1858</v>
      </c>
      <c r="B14" s="130" t="s">
        <v>1918</v>
      </c>
      <c r="C14" s="1508"/>
      <c r="D14" s="130" t="s">
        <v>1921</v>
      </c>
      <c r="E14" s="130" t="s">
        <v>1925</v>
      </c>
      <c r="F14" s="1508"/>
    </row>
    <row r="15" spans="1:6" x14ac:dyDescent="0.35">
      <c r="A15" s="1499" t="s">
        <v>1874</v>
      </c>
      <c r="B15" s="1500" t="s">
        <v>1875</v>
      </c>
      <c r="D15" s="1499" t="s">
        <v>1874</v>
      </c>
      <c r="E15" s="1500" t="s">
        <v>1875</v>
      </c>
    </row>
    <row r="16" spans="1:6" x14ac:dyDescent="0.35">
      <c r="A16" s="1499" t="s">
        <v>1879</v>
      </c>
      <c r="B16" s="1500" t="s">
        <v>1926</v>
      </c>
      <c r="D16" s="1499" t="s">
        <v>1879</v>
      </c>
      <c r="E16" s="1500" t="s">
        <v>890</v>
      </c>
    </row>
    <row r="17" spans="1:6" x14ac:dyDescent="0.35">
      <c r="A17" s="1499" t="s">
        <v>1843</v>
      </c>
      <c r="B17" s="1498">
        <v>6974</v>
      </c>
      <c r="D17" s="1499" t="s">
        <v>1843</v>
      </c>
      <c r="E17" s="1498">
        <v>91</v>
      </c>
    </row>
    <row r="18" spans="1:6" x14ac:dyDescent="0.35">
      <c r="A18" s="1499" t="s">
        <v>1842</v>
      </c>
      <c r="B18">
        <v>2029</v>
      </c>
      <c r="D18" s="1499" t="s">
        <v>1842</v>
      </c>
      <c r="E18" s="1500" t="s">
        <v>890</v>
      </c>
    </row>
    <row r="19" spans="1:6" x14ac:dyDescent="0.35">
      <c r="A19" s="1499" t="s">
        <v>1844</v>
      </c>
      <c r="B19">
        <v>5</v>
      </c>
      <c r="D19" s="1499" t="s">
        <v>1844</v>
      </c>
      <c r="E19" s="1500" t="s">
        <v>890</v>
      </c>
    </row>
    <row r="20" spans="1:6" x14ac:dyDescent="0.35">
      <c r="D20"/>
      <c r="E20"/>
    </row>
    <row r="21" spans="1:6" s="130" customFormat="1" x14ac:dyDescent="0.35">
      <c r="A21" s="130" t="s">
        <v>1859</v>
      </c>
      <c r="B21" s="130" t="s">
        <v>1919</v>
      </c>
      <c r="C21" s="1508"/>
      <c r="D21" s="130" t="s">
        <v>1917</v>
      </c>
      <c r="E21" s="130" t="s">
        <v>1924</v>
      </c>
      <c r="F21" s="1508"/>
    </row>
    <row r="22" spans="1:6" x14ac:dyDescent="0.35">
      <c r="A22" s="1499" t="s">
        <v>1874</v>
      </c>
      <c r="B22" s="1500" t="s">
        <v>1906</v>
      </c>
      <c r="D22" s="1499" t="s">
        <v>1874</v>
      </c>
      <c r="E22" s="1500" t="s">
        <v>1875</v>
      </c>
    </row>
    <row r="23" spans="1:6" x14ac:dyDescent="0.35">
      <c r="A23" s="1499" t="s">
        <v>1879</v>
      </c>
      <c r="B23" s="1500" t="s">
        <v>890</v>
      </c>
      <c r="D23" s="1499" t="s">
        <v>1879</v>
      </c>
      <c r="E23" s="1500" t="s">
        <v>890</v>
      </c>
    </row>
    <row r="24" spans="1:6" x14ac:dyDescent="0.35">
      <c r="A24" s="1499" t="s">
        <v>1843</v>
      </c>
      <c r="B24" s="1498">
        <v>740</v>
      </c>
      <c r="D24" s="1499" t="s">
        <v>1843</v>
      </c>
      <c r="E24" s="1500">
        <v>333</v>
      </c>
    </row>
    <row r="25" spans="1:6" x14ac:dyDescent="0.35">
      <c r="A25" s="1499" t="s">
        <v>1842</v>
      </c>
      <c r="B25" s="1500" t="s">
        <v>890</v>
      </c>
      <c r="D25" s="1499" t="s">
        <v>1842</v>
      </c>
      <c r="E25" s="1500" t="s">
        <v>890</v>
      </c>
    </row>
    <row r="26" spans="1:6" x14ac:dyDescent="0.35">
      <c r="A26" s="1499" t="s">
        <v>1844</v>
      </c>
      <c r="B26" s="1500" t="s">
        <v>890</v>
      </c>
      <c r="D26" s="1499" t="s">
        <v>1844</v>
      </c>
      <c r="E26" s="1500" t="s">
        <v>890</v>
      </c>
    </row>
    <row r="28" spans="1:6" x14ac:dyDescent="0.35">
      <c r="A28" s="130" t="s">
        <v>1920</v>
      </c>
      <c r="B28" s="130" t="s">
        <v>1922</v>
      </c>
      <c r="C28" s="1508"/>
      <c r="D28" s="130"/>
      <c r="E28" s="130"/>
    </row>
    <row r="29" spans="1:6" x14ac:dyDescent="0.35">
      <c r="A29" s="1499" t="s">
        <v>1874</v>
      </c>
      <c r="B29" s="1500" t="s">
        <v>1875</v>
      </c>
      <c r="D29" s="1499"/>
    </row>
    <row r="30" spans="1:6" x14ac:dyDescent="0.35">
      <c r="A30" s="1499" t="s">
        <v>1879</v>
      </c>
      <c r="B30" s="1500" t="s">
        <v>890</v>
      </c>
      <c r="D30" s="1499"/>
    </row>
    <row r="31" spans="1:6" x14ac:dyDescent="0.35">
      <c r="A31" s="1499" t="s">
        <v>1843</v>
      </c>
      <c r="B31" s="1498">
        <v>2617</v>
      </c>
      <c r="D31" s="1499"/>
      <c r="E31" s="1498"/>
    </row>
    <row r="32" spans="1:6" x14ac:dyDescent="0.35">
      <c r="A32" s="1499" t="s">
        <v>1842</v>
      </c>
      <c r="B32" s="1500" t="s">
        <v>890</v>
      </c>
      <c r="D32" s="1499"/>
    </row>
    <row r="33" spans="1:6" x14ac:dyDescent="0.35">
      <c r="A33" s="1499" t="s">
        <v>1844</v>
      </c>
      <c r="B33" s="1500" t="s">
        <v>890</v>
      </c>
      <c r="D33" s="1499"/>
    </row>
    <row r="35" spans="1:6" x14ac:dyDescent="0.35">
      <c r="A35" s="1502" t="s">
        <v>1852</v>
      </c>
      <c r="B35" s="1502" t="s">
        <v>1853</v>
      </c>
      <c r="C35" s="1502" t="s">
        <v>283</v>
      </c>
      <c r="D35" s="1504" t="s">
        <v>1851</v>
      </c>
      <c r="E35" s="1502"/>
      <c r="F35" s="1502"/>
    </row>
    <row r="36" spans="1:6" x14ac:dyDescent="0.35">
      <c r="A36" t="s">
        <v>1928</v>
      </c>
      <c r="B36" t="s">
        <v>1866</v>
      </c>
      <c r="C36" s="133" t="s">
        <v>1906</v>
      </c>
      <c r="D36" s="1525">
        <v>5475</v>
      </c>
    </row>
    <row r="37" spans="1:6" x14ac:dyDescent="0.35">
      <c r="A37" t="s">
        <v>1932</v>
      </c>
      <c r="B37" t="s">
        <v>1096</v>
      </c>
      <c r="C37" s="133" t="s">
        <v>1875</v>
      </c>
      <c r="D37" s="1525">
        <v>1456</v>
      </c>
    </row>
    <row r="38" spans="1:6" s="133" customFormat="1" x14ac:dyDescent="0.35">
      <c r="A38" t="s">
        <v>1933</v>
      </c>
      <c r="B38" t="s">
        <v>1866</v>
      </c>
      <c r="C38" s="133" t="s">
        <v>1906</v>
      </c>
      <c r="D38" s="1525">
        <v>724</v>
      </c>
    </row>
    <row r="39" spans="1:6" s="133" customFormat="1" x14ac:dyDescent="0.35">
      <c r="A39" t="s">
        <v>1934</v>
      </c>
      <c r="B39" t="s">
        <v>1096</v>
      </c>
      <c r="C39" s="133" t="s">
        <v>1875</v>
      </c>
      <c r="D39" s="1525">
        <v>631</v>
      </c>
    </row>
    <row r="40" spans="1:6" s="133" customFormat="1" x14ac:dyDescent="0.35">
      <c r="A40" t="s">
        <v>1935</v>
      </c>
      <c r="B40" t="s">
        <v>1096</v>
      </c>
      <c r="C40" s="133" t="s">
        <v>1875</v>
      </c>
      <c r="D40" s="1525">
        <v>351</v>
      </c>
    </row>
    <row r="41" spans="1:6" s="133" customFormat="1" x14ac:dyDescent="0.35">
      <c r="A41" t="s">
        <v>1936</v>
      </c>
      <c r="B41" t="s">
        <v>1096</v>
      </c>
      <c r="C41" s="133" t="s">
        <v>1875</v>
      </c>
      <c r="D41" s="1525">
        <v>239</v>
      </c>
    </row>
    <row r="42" spans="1:6" s="133" customFormat="1" x14ac:dyDescent="0.35">
      <c r="A42" t="s">
        <v>1937</v>
      </c>
      <c r="B42" t="s">
        <v>1096</v>
      </c>
      <c r="C42" s="133" t="s">
        <v>1875</v>
      </c>
      <c r="D42" s="1525">
        <v>426</v>
      </c>
    </row>
    <row r="43" spans="1:6" s="133" customFormat="1" x14ac:dyDescent="0.35">
      <c r="A43" t="s">
        <v>1938</v>
      </c>
      <c r="B43" t="s">
        <v>1096</v>
      </c>
      <c r="C43" s="133" t="s">
        <v>1875</v>
      </c>
      <c r="D43" s="1525">
        <v>239</v>
      </c>
    </row>
    <row r="44" spans="1:6" s="133" customFormat="1" x14ac:dyDescent="0.35">
      <c r="A44" t="s">
        <v>1939</v>
      </c>
      <c r="B44" t="s">
        <v>1096</v>
      </c>
      <c r="C44" s="133" t="s">
        <v>1906</v>
      </c>
      <c r="D44" s="1525">
        <v>373</v>
      </c>
    </row>
    <row r="45" spans="1:6" s="133" customFormat="1" x14ac:dyDescent="0.35">
      <c r="A45" t="s">
        <v>1940</v>
      </c>
      <c r="B45" t="s">
        <v>1096</v>
      </c>
      <c r="C45" s="133" t="s">
        <v>1906</v>
      </c>
      <c r="D45" s="1525">
        <v>603</v>
      </c>
    </row>
    <row r="46" spans="1:6" s="133" customFormat="1" x14ac:dyDescent="0.35">
      <c r="A46" t="s">
        <v>1941</v>
      </c>
      <c r="B46" t="s">
        <v>1096</v>
      </c>
      <c r="C46" s="133" t="s">
        <v>1906</v>
      </c>
      <c r="D46" s="1525">
        <v>289</v>
      </c>
    </row>
    <row r="47" spans="1:6" s="133" customFormat="1" x14ac:dyDescent="0.35">
      <c r="A47" t="s">
        <v>1942</v>
      </c>
      <c r="B47" t="s">
        <v>1096</v>
      </c>
      <c r="C47" s="133" t="s">
        <v>1875</v>
      </c>
      <c r="D47" s="1525">
        <v>293</v>
      </c>
    </row>
    <row r="48" spans="1:6" s="133" customFormat="1" x14ac:dyDescent="0.35">
      <c r="A48" t="s">
        <v>1943</v>
      </c>
      <c r="B48" t="s">
        <v>1096</v>
      </c>
      <c r="C48" s="133" t="s">
        <v>1875</v>
      </c>
      <c r="D48" s="1525">
        <v>186</v>
      </c>
    </row>
    <row r="49" spans="1:6" s="133" customFormat="1" x14ac:dyDescent="0.35">
      <c r="A49" t="s">
        <v>1944</v>
      </c>
      <c r="B49" t="s">
        <v>1096</v>
      </c>
      <c r="C49" s="133" t="s">
        <v>1875</v>
      </c>
      <c r="D49" s="1525">
        <v>202</v>
      </c>
    </row>
    <row r="50" spans="1:6" s="133" customFormat="1" x14ac:dyDescent="0.35">
      <c r="A50" t="s">
        <v>1945</v>
      </c>
      <c r="B50" t="s">
        <v>1096</v>
      </c>
      <c r="C50" s="133" t="s">
        <v>1875</v>
      </c>
      <c r="D50" s="1525">
        <v>59</v>
      </c>
    </row>
    <row r="51" spans="1:6" s="133" customFormat="1" x14ac:dyDescent="0.35">
      <c r="A51" t="s">
        <v>1946</v>
      </c>
      <c r="B51" t="s">
        <v>1096</v>
      </c>
      <c r="C51" s="133" t="s">
        <v>1875</v>
      </c>
      <c r="D51" s="1525">
        <v>62</v>
      </c>
    </row>
    <row r="52" spans="1:6" s="133" customFormat="1" x14ac:dyDescent="0.35">
      <c r="A52" t="s">
        <v>1947</v>
      </c>
      <c r="B52" t="s">
        <v>1096</v>
      </c>
      <c r="C52" s="133" t="s">
        <v>1875</v>
      </c>
      <c r="D52" s="1526">
        <v>100</v>
      </c>
    </row>
    <row r="53" spans="1:6" s="133" customFormat="1" x14ac:dyDescent="0.35">
      <c r="A53" s="1499" t="s">
        <v>1883</v>
      </c>
      <c r="B53"/>
      <c r="D53" s="1501">
        <f>+SUM(D36:D52)</f>
        <v>11708</v>
      </c>
    </row>
    <row r="54" spans="1:6" ht="16" x14ac:dyDescent="0.5">
      <c r="A54" t="s">
        <v>1888</v>
      </c>
      <c r="D54" s="1509">
        <f>+B7</f>
        <v>10422</v>
      </c>
    </row>
    <row r="55" spans="1:6" x14ac:dyDescent="0.35">
      <c r="A55" s="1499" t="s">
        <v>1884</v>
      </c>
      <c r="D55" s="1501">
        <f>+D54+D53</f>
        <v>22130</v>
      </c>
    </row>
    <row r="56" spans="1:6" s="131" customFormat="1" x14ac:dyDescent="0.35">
      <c r="A56" s="1512" t="s">
        <v>1908</v>
      </c>
      <c r="C56" s="1513"/>
      <c r="D56" s="1515">
        <f>+D54/D55</f>
        <v>0.4709444193402621</v>
      </c>
      <c r="E56" s="1513"/>
      <c r="F56" s="1513"/>
    </row>
    <row r="58" spans="1:6" x14ac:dyDescent="0.35">
      <c r="A58" t="s">
        <v>1885</v>
      </c>
      <c r="D58" s="1510">
        <v>1036108</v>
      </c>
    </row>
    <row r="59" spans="1:6" x14ac:dyDescent="0.35">
      <c r="A59" s="1514" t="s">
        <v>1909</v>
      </c>
      <c r="B59" s="131"/>
      <c r="C59" s="1513"/>
      <c r="D59" s="1515">
        <f>+D55/D58</f>
        <v>2.1358777270323172E-2</v>
      </c>
    </row>
    <row r="60" spans="1:6" x14ac:dyDescent="0.35">
      <c r="A60" s="1514" t="s">
        <v>1910</v>
      </c>
      <c r="B60" s="131"/>
      <c r="C60" s="1513"/>
      <c r="D60" s="1515">
        <f>+D54/D58</f>
        <v>1.0058796959390335E-2</v>
      </c>
    </row>
    <row r="62" spans="1:6" x14ac:dyDescent="0.35">
      <c r="A62" s="1502" t="s">
        <v>1850</v>
      </c>
    </row>
    <row r="63" spans="1:6" x14ac:dyDescent="0.35">
      <c r="A63" s="133" t="s">
        <v>1848</v>
      </c>
      <c r="B63" s="1501"/>
      <c r="D63" s="1510">
        <f>+'State Trends'!U24</f>
        <v>6884</v>
      </c>
    </row>
    <row r="64" spans="1:6" x14ac:dyDescent="0.35">
      <c r="A64" s="133" t="s">
        <v>1849</v>
      </c>
      <c r="B64" s="1501"/>
      <c r="D64" s="1510">
        <f>+'State Trends'!U25</f>
        <v>5926</v>
      </c>
    </row>
    <row r="65" spans="1:4" x14ac:dyDescent="0.35">
      <c r="A65" s="133" t="s">
        <v>1846</v>
      </c>
      <c r="D65" s="1510"/>
    </row>
    <row r="66" spans="1:4" x14ac:dyDescent="0.35">
      <c r="A66" s="133" t="s">
        <v>1847</v>
      </c>
      <c r="D66" s="1510"/>
    </row>
    <row r="68" spans="1:4" x14ac:dyDescent="0.35">
      <c r="A68" s="133" t="s">
        <v>1878</v>
      </c>
      <c r="D68" s="133" t="s">
        <v>1951</v>
      </c>
    </row>
    <row r="69" spans="1:4" x14ac:dyDescent="0.35">
      <c r="D69" s="133" t="s">
        <v>1952</v>
      </c>
    </row>
    <row r="70" spans="1:4" x14ac:dyDescent="0.35">
      <c r="A70" s="1502" t="s">
        <v>1868</v>
      </c>
    </row>
    <row r="71" spans="1:4" s="133" customFormat="1" x14ac:dyDescent="0.35">
      <c r="A71" t="s">
        <v>1931</v>
      </c>
      <c r="B71"/>
    </row>
    <row r="72" spans="1:4" x14ac:dyDescent="0.35">
      <c r="A72" t="s">
        <v>1927</v>
      </c>
    </row>
    <row r="74" spans="1:4" s="133" customFormat="1" x14ac:dyDescent="0.35">
      <c r="A74" s="1502" t="s">
        <v>1881</v>
      </c>
      <c r="B74"/>
    </row>
    <row r="75" spans="1:4" x14ac:dyDescent="0.35">
      <c r="A75" t="s">
        <v>1916</v>
      </c>
    </row>
    <row r="77" spans="1:4" s="133" customFormat="1" x14ac:dyDescent="0.35">
      <c r="A77" t="s">
        <v>1142</v>
      </c>
      <c r="B77"/>
    </row>
    <row r="79" spans="1:4" x14ac:dyDescent="0.35">
      <c r="A79" t="s">
        <v>1931</v>
      </c>
    </row>
  </sheetData>
  <printOptions horizontalCentered="1"/>
  <pageMargins left="0.3" right="0.3" top="0.3" bottom="0.3" header="0.3" footer="0.3"/>
  <pageSetup scale="63" fitToHeight="0" orientation="portrait" r:id="rId1"/>
  <headerFooter>
    <oddFooter>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BED0B-0FA4-4885-ACFD-5940EC42854A}">
  <sheetPr>
    <pageSetUpPr fitToPage="1"/>
  </sheetPr>
  <dimension ref="A1:F65"/>
  <sheetViews>
    <sheetView view="pageBreakPreview" zoomScale="60" zoomScaleNormal="70" workbookViewId="0">
      <pane ySplit="2" topLeftCell="A3" activePane="bottomLeft" state="frozen"/>
      <selection pane="bottomLeft" activeCell="D7" sqref="D7"/>
    </sheetView>
  </sheetViews>
  <sheetFormatPr defaultRowHeight="14.5" x14ac:dyDescent="0.35"/>
  <cols>
    <col min="1" max="1" width="41.26953125" bestFit="1" customWidth="1"/>
    <col min="2" max="2" width="20.81640625" customWidth="1"/>
    <col min="3" max="6" width="20.81640625" style="133" customWidth="1"/>
    <col min="7" max="7" width="20.81640625" customWidth="1"/>
  </cols>
  <sheetData>
    <row r="1" spans="1:6" x14ac:dyDescent="0.35">
      <c r="A1" t="s">
        <v>651</v>
      </c>
      <c r="F1" s="1506">
        <f ca="1">TODAY()</f>
        <v>45797</v>
      </c>
    </row>
    <row r="2" spans="1:6" s="1497" customFormat="1" x14ac:dyDescent="0.35">
      <c r="A2" s="1517" t="s">
        <v>1839</v>
      </c>
      <c r="C2" s="1503"/>
      <c r="D2" s="1503"/>
      <c r="E2" s="1503"/>
      <c r="F2" s="1503"/>
    </row>
    <row r="3" spans="1:6" ht="15" thickBot="1" x14ac:dyDescent="0.4"/>
    <row r="4" spans="1:6" ht="15" thickBot="1" x14ac:dyDescent="0.4">
      <c r="A4" s="1505" t="s">
        <v>1638</v>
      </c>
    </row>
    <row r="5" spans="1:6" x14ac:dyDescent="0.35">
      <c r="A5" s="130"/>
    </row>
    <row r="6" spans="1:6" x14ac:dyDescent="0.35">
      <c r="A6" t="s">
        <v>1887</v>
      </c>
      <c r="B6">
        <f>+'State Database'!B30</f>
        <v>2002</v>
      </c>
    </row>
    <row r="7" spans="1:6" x14ac:dyDescent="0.35">
      <c r="A7" t="s">
        <v>1845</v>
      </c>
      <c r="B7" s="1498">
        <f>+'State Database'!C30</f>
        <v>15273</v>
      </c>
    </row>
    <row r="8" spans="1:6" x14ac:dyDescent="0.35">
      <c r="A8" t="s">
        <v>1886</v>
      </c>
      <c r="B8" s="1511">
        <f>+D41</f>
        <v>0.43287135447666014</v>
      </c>
    </row>
    <row r="9" spans="1:6" x14ac:dyDescent="0.35">
      <c r="A9" t="s">
        <v>1889</v>
      </c>
      <c r="B9" s="1511">
        <f>+D44</f>
        <v>2.0083331910315739E-2</v>
      </c>
    </row>
    <row r="10" spans="1:6" x14ac:dyDescent="0.35">
      <c r="A10" t="s">
        <v>1890</v>
      </c>
      <c r="B10" s="1511">
        <f>+B7/D43</f>
        <v>8.6934990864227044E-3</v>
      </c>
    </row>
    <row r="11" spans="1:6" x14ac:dyDescent="0.35">
      <c r="A11" t="s">
        <v>1840</v>
      </c>
      <c r="B11">
        <v>2</v>
      </c>
    </row>
    <row r="12" spans="1:6" x14ac:dyDescent="0.35">
      <c r="A12" t="s">
        <v>1872</v>
      </c>
      <c r="B12" s="1500" t="s">
        <v>1906</v>
      </c>
    </row>
    <row r="14" spans="1:6" s="130" customFormat="1" x14ac:dyDescent="0.35">
      <c r="A14" s="130" t="s">
        <v>1858</v>
      </c>
      <c r="B14" s="130" t="s">
        <v>1948</v>
      </c>
      <c r="C14" s="1508"/>
      <c r="D14" s="130" t="s">
        <v>1859</v>
      </c>
      <c r="E14" s="130" t="s">
        <v>1949</v>
      </c>
      <c r="F14" s="1508"/>
    </row>
    <row r="15" spans="1:6" x14ac:dyDescent="0.35">
      <c r="A15" s="1499" t="s">
        <v>1874</v>
      </c>
      <c r="B15" s="1500" t="s">
        <v>1906</v>
      </c>
      <c r="D15" s="1499" t="s">
        <v>1874</v>
      </c>
      <c r="E15" s="1500" t="s">
        <v>1906</v>
      </c>
    </row>
    <row r="16" spans="1:6" x14ac:dyDescent="0.35">
      <c r="A16" s="1499" t="s">
        <v>1879</v>
      </c>
      <c r="B16" s="1500" t="s">
        <v>1096</v>
      </c>
      <c r="D16" s="1499" t="s">
        <v>1879</v>
      </c>
      <c r="E16" s="1500" t="s">
        <v>1096</v>
      </c>
    </row>
    <row r="17" spans="1:6" x14ac:dyDescent="0.35">
      <c r="A17" s="1499" t="s">
        <v>1843</v>
      </c>
      <c r="B17" s="1498">
        <v>14334</v>
      </c>
      <c r="D17" s="1499" t="s">
        <v>1843</v>
      </c>
      <c r="E17" s="1498">
        <v>939</v>
      </c>
    </row>
    <row r="18" spans="1:6" x14ac:dyDescent="0.35">
      <c r="A18" s="1499" t="s">
        <v>1842</v>
      </c>
      <c r="B18" s="1500" t="s">
        <v>1096</v>
      </c>
      <c r="D18" s="1499" t="s">
        <v>1842</v>
      </c>
      <c r="E18" s="1500" t="s">
        <v>1096</v>
      </c>
    </row>
    <row r="19" spans="1:6" x14ac:dyDescent="0.35">
      <c r="A19" s="1499" t="s">
        <v>1844</v>
      </c>
      <c r="B19" s="1500" t="s">
        <v>1096</v>
      </c>
      <c r="D19" s="1499" t="s">
        <v>1844</v>
      </c>
      <c r="E19" s="1500" t="s">
        <v>1096</v>
      </c>
    </row>
    <row r="20" spans="1:6" x14ac:dyDescent="0.35">
      <c r="D20"/>
      <c r="E20"/>
    </row>
    <row r="21" spans="1:6" x14ac:dyDescent="0.35">
      <c r="A21" s="1502" t="s">
        <v>1852</v>
      </c>
      <c r="B21" s="1502" t="s">
        <v>1853</v>
      </c>
      <c r="C21" s="1502" t="s">
        <v>283</v>
      </c>
      <c r="D21" s="1504" t="s">
        <v>1851</v>
      </c>
      <c r="E21" s="1502"/>
      <c r="F21" s="1502"/>
    </row>
    <row r="22" spans="1:6" x14ac:dyDescent="0.35">
      <c r="A22" t="s">
        <v>2454</v>
      </c>
      <c r="D22" s="1525">
        <v>6486</v>
      </c>
    </row>
    <row r="23" spans="1:6" x14ac:dyDescent="0.35">
      <c r="A23" t="s">
        <v>2455</v>
      </c>
      <c r="C23"/>
      <c r="D23" s="1525">
        <v>95</v>
      </c>
    </row>
    <row r="24" spans="1:6" x14ac:dyDescent="0.35">
      <c r="A24" t="s">
        <v>2456</v>
      </c>
      <c r="D24" s="1525">
        <v>521</v>
      </c>
    </row>
    <row r="25" spans="1:6" s="133" customFormat="1" x14ac:dyDescent="0.35">
      <c r="A25" t="s">
        <v>2457</v>
      </c>
      <c r="B25"/>
      <c r="D25" s="1525">
        <v>64</v>
      </c>
    </row>
    <row r="26" spans="1:6" s="133" customFormat="1" x14ac:dyDescent="0.35">
      <c r="A26" t="s">
        <v>2458</v>
      </c>
      <c r="B26"/>
      <c r="D26" s="1525">
        <v>247</v>
      </c>
    </row>
    <row r="27" spans="1:6" s="133" customFormat="1" x14ac:dyDescent="0.35">
      <c r="A27" t="s">
        <v>2459</v>
      </c>
      <c r="B27"/>
      <c r="D27" s="1525">
        <v>205</v>
      </c>
    </row>
    <row r="28" spans="1:6" s="133" customFormat="1" x14ac:dyDescent="0.35">
      <c r="A28" t="s">
        <v>2460</v>
      </c>
      <c r="B28"/>
      <c r="D28" s="1525">
        <v>770</v>
      </c>
    </row>
    <row r="29" spans="1:6" s="133" customFormat="1" x14ac:dyDescent="0.35">
      <c r="A29" t="s">
        <v>2461</v>
      </c>
      <c r="B29"/>
      <c r="D29" s="1525">
        <v>740</v>
      </c>
    </row>
    <row r="30" spans="1:6" s="133" customFormat="1" x14ac:dyDescent="0.35">
      <c r="A30" t="s">
        <v>2462</v>
      </c>
      <c r="B30"/>
      <c r="D30" s="1525">
        <v>1681</v>
      </c>
    </row>
    <row r="31" spans="1:6" s="133" customFormat="1" x14ac:dyDescent="0.35">
      <c r="A31" t="s">
        <v>2463</v>
      </c>
      <c r="B31"/>
      <c r="C31"/>
      <c r="D31" s="1525">
        <v>580</v>
      </c>
    </row>
    <row r="32" spans="1:6" s="133" customFormat="1" x14ac:dyDescent="0.35">
      <c r="A32" t="s">
        <v>2464</v>
      </c>
      <c r="B32"/>
      <c r="D32" s="1525">
        <v>5305</v>
      </c>
    </row>
    <row r="33" spans="1:6" s="133" customFormat="1" x14ac:dyDescent="0.35">
      <c r="A33" t="s">
        <v>2465</v>
      </c>
      <c r="B33"/>
      <c r="D33" s="1525">
        <v>45</v>
      </c>
    </row>
    <row r="34" spans="1:6" s="133" customFormat="1" x14ac:dyDescent="0.35">
      <c r="A34" t="s">
        <v>2466</v>
      </c>
      <c r="B34"/>
      <c r="D34" s="1525">
        <v>809</v>
      </c>
    </row>
    <row r="35" spans="1:6" s="133" customFormat="1" x14ac:dyDescent="0.35">
      <c r="A35" t="s">
        <v>2467</v>
      </c>
      <c r="B35"/>
      <c r="D35" s="1525">
        <v>154</v>
      </c>
    </row>
    <row r="36" spans="1:6" s="133" customFormat="1" x14ac:dyDescent="0.35">
      <c r="A36" t="s">
        <v>2468</v>
      </c>
      <c r="B36"/>
      <c r="D36" s="1525">
        <v>2159</v>
      </c>
    </row>
    <row r="37" spans="1:6" s="133" customFormat="1" x14ac:dyDescent="0.35">
      <c r="A37" t="s">
        <v>2469</v>
      </c>
      <c r="B37"/>
      <c r="D37" s="1526">
        <v>149</v>
      </c>
    </row>
    <row r="38" spans="1:6" s="133" customFormat="1" x14ac:dyDescent="0.35">
      <c r="A38" s="1499" t="s">
        <v>1883</v>
      </c>
      <c r="B38"/>
      <c r="D38" s="1501">
        <f>+SUM(D22:D37)</f>
        <v>20010</v>
      </c>
    </row>
    <row r="39" spans="1:6" ht="16" x14ac:dyDescent="0.5">
      <c r="A39" t="s">
        <v>1888</v>
      </c>
      <c r="D39" s="1509">
        <f>+B7</f>
        <v>15273</v>
      </c>
    </row>
    <row r="40" spans="1:6" x14ac:dyDescent="0.35">
      <c r="A40" s="1499" t="s">
        <v>1884</v>
      </c>
      <c r="D40" s="1501">
        <f>+D39+D38</f>
        <v>35283</v>
      </c>
    </row>
    <row r="41" spans="1:6" s="131" customFormat="1" x14ac:dyDescent="0.35">
      <c r="A41" s="1512" t="s">
        <v>1908</v>
      </c>
      <c r="C41" s="1513"/>
      <c r="D41" s="1515">
        <f>+D39/D40</f>
        <v>0.43287135447666014</v>
      </c>
      <c r="E41" s="1513"/>
      <c r="F41" s="1513"/>
    </row>
    <row r="43" spans="1:6" x14ac:dyDescent="0.35">
      <c r="A43" t="s">
        <v>1885</v>
      </c>
      <c r="D43" s="1510">
        <f>+'State Trends'!U9</f>
        <v>1756830</v>
      </c>
    </row>
    <row r="44" spans="1:6" x14ac:dyDescent="0.35">
      <c r="A44" s="1514" t="s">
        <v>1909</v>
      </c>
      <c r="B44" s="131"/>
      <c r="C44" s="1513"/>
      <c r="D44" s="1515">
        <f>+D40/D43</f>
        <v>2.0083331910315739E-2</v>
      </c>
    </row>
    <row r="45" spans="1:6" x14ac:dyDescent="0.35">
      <c r="A45" s="1514" t="s">
        <v>1910</v>
      </c>
      <c r="B45" s="131"/>
      <c r="C45" s="1513"/>
      <c r="D45" s="1515">
        <f>+D39/D43</f>
        <v>8.6934990864227044E-3</v>
      </c>
    </row>
    <row r="47" spans="1:6" x14ac:dyDescent="0.35">
      <c r="A47" s="1502" t="s">
        <v>1850</v>
      </c>
    </row>
    <row r="48" spans="1:6" s="133" customFormat="1" x14ac:dyDescent="0.35">
      <c r="A48" s="133" t="s">
        <v>1848</v>
      </c>
      <c r="B48" s="1501"/>
      <c r="D48" s="1510">
        <f>+'State Trends'!U27</f>
        <v>6110</v>
      </c>
    </row>
    <row r="49" spans="1:4" s="133" customFormat="1" x14ac:dyDescent="0.35">
      <c r="A49" s="133" t="s">
        <v>1849</v>
      </c>
      <c r="B49" s="1501"/>
      <c r="D49" s="1510">
        <f>+D48</f>
        <v>6110</v>
      </c>
    </row>
    <row r="50" spans="1:4" s="133" customFormat="1" x14ac:dyDescent="0.35">
      <c r="A50" s="133" t="s">
        <v>1846</v>
      </c>
      <c r="B50"/>
      <c r="D50" s="1510" t="s">
        <v>2472</v>
      </c>
    </row>
    <row r="51" spans="1:4" s="133" customFormat="1" x14ac:dyDescent="0.35">
      <c r="A51" s="133" t="s">
        <v>1847</v>
      </c>
      <c r="B51"/>
      <c r="D51" s="1510" t="s">
        <v>1096</v>
      </c>
    </row>
    <row r="53" spans="1:4" s="133" customFormat="1" x14ac:dyDescent="0.35">
      <c r="A53" s="133" t="s">
        <v>1878</v>
      </c>
      <c r="B53"/>
    </row>
    <row r="57" spans="1:4" s="133" customFormat="1" x14ac:dyDescent="0.35">
      <c r="A57" s="1502" t="s">
        <v>1868</v>
      </c>
      <c r="B57"/>
    </row>
    <row r="58" spans="1:4" x14ac:dyDescent="0.35">
      <c r="A58" t="s">
        <v>2473</v>
      </c>
    </row>
    <row r="59" spans="1:4" x14ac:dyDescent="0.35">
      <c r="A59" t="s">
        <v>2474</v>
      </c>
    </row>
    <row r="60" spans="1:4" x14ac:dyDescent="0.35">
      <c r="A60" t="s">
        <v>2475</v>
      </c>
    </row>
    <row r="62" spans="1:4" s="133" customFormat="1" x14ac:dyDescent="0.35">
      <c r="A62" s="1502" t="s">
        <v>1881</v>
      </c>
      <c r="B62"/>
    </row>
    <row r="63" spans="1:4" s="133" customFormat="1" x14ac:dyDescent="0.35">
      <c r="A63"/>
      <c r="B63"/>
    </row>
    <row r="65" spans="1:2" s="133" customFormat="1" x14ac:dyDescent="0.35">
      <c r="A65" t="s">
        <v>2471</v>
      </c>
      <c r="B65"/>
    </row>
  </sheetData>
  <printOptions horizontalCentered="1"/>
  <pageMargins left="0.3" right="0.3" top="0.3" bottom="0.3" header="0.3" footer="0.3"/>
  <pageSetup scale="69" fitToHeight="0" orientation="portrait" r:id="rId1"/>
  <headerFooter>
    <oddFooter>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AD28-44AB-46AD-A578-7A66B585CFDB}">
  <sheetPr>
    <pageSetUpPr fitToPage="1"/>
  </sheetPr>
  <dimension ref="A1:F62"/>
  <sheetViews>
    <sheetView view="pageBreakPreview" zoomScale="60" zoomScaleNormal="70" workbookViewId="0">
      <pane ySplit="2" topLeftCell="A3" activePane="bottomLeft" state="frozen"/>
      <selection pane="bottomLeft" activeCell="A3" sqref="A3"/>
    </sheetView>
  </sheetViews>
  <sheetFormatPr defaultRowHeight="14.5" x14ac:dyDescent="0.35"/>
  <cols>
    <col min="1" max="1" width="41.26953125" bestFit="1" customWidth="1"/>
    <col min="2" max="2" width="20.81640625" customWidth="1"/>
    <col min="3" max="6" width="20.81640625" style="133" customWidth="1"/>
    <col min="7" max="7" width="20.81640625" customWidth="1"/>
  </cols>
  <sheetData>
    <row r="1" spans="1:6" x14ac:dyDescent="0.35">
      <c r="A1" t="s">
        <v>651</v>
      </c>
      <c r="F1" s="1506">
        <f ca="1">TODAY()</f>
        <v>45797</v>
      </c>
    </row>
    <row r="2" spans="1:6" s="1497" customFormat="1" x14ac:dyDescent="0.35">
      <c r="A2" s="1517" t="s">
        <v>1839</v>
      </c>
      <c r="C2" s="1503"/>
      <c r="D2" s="1503"/>
      <c r="E2" s="1503"/>
      <c r="F2" s="1503"/>
    </row>
    <row r="3" spans="1:6" ht="15" thickBot="1" x14ac:dyDescent="0.4"/>
    <row r="4" spans="1:6" ht="15" thickBot="1" x14ac:dyDescent="0.4">
      <c r="A4" s="1505" t="s">
        <v>1620</v>
      </c>
    </row>
    <row r="5" spans="1:6" x14ac:dyDescent="0.35">
      <c r="A5" s="130"/>
    </row>
    <row r="6" spans="1:6" x14ac:dyDescent="0.35">
      <c r="A6" t="s">
        <v>1887</v>
      </c>
      <c r="B6">
        <f>+'State Database'!B7</f>
        <v>2003</v>
      </c>
    </row>
    <row r="7" spans="1:6" x14ac:dyDescent="0.35">
      <c r="A7" t="s">
        <v>1845</v>
      </c>
      <c r="B7" s="1498">
        <f>+'State Database'!C7</f>
        <v>6225</v>
      </c>
    </row>
    <row r="8" spans="1:6" x14ac:dyDescent="0.35">
      <c r="A8" t="s">
        <v>1886</v>
      </c>
      <c r="B8" s="1511">
        <f>+D39</f>
        <v>0.25127149430854928</v>
      </c>
    </row>
    <row r="9" spans="1:6" x14ac:dyDescent="0.35">
      <c r="A9" t="s">
        <v>1889</v>
      </c>
      <c r="B9" s="1511">
        <f>+D42</f>
        <v>2.8314275428159983E-2</v>
      </c>
    </row>
    <row r="10" spans="1:6" x14ac:dyDescent="0.35">
      <c r="A10" t="s">
        <v>1890</v>
      </c>
      <c r="B10" s="1511">
        <f>+B7/D41</f>
        <v>7.114570297097598E-3</v>
      </c>
    </row>
    <row r="11" spans="1:6" x14ac:dyDescent="0.35">
      <c r="A11" t="s">
        <v>1840</v>
      </c>
      <c r="B11">
        <v>2</v>
      </c>
    </row>
    <row r="12" spans="1:6" x14ac:dyDescent="0.35">
      <c r="A12" t="s">
        <v>1872</v>
      </c>
      <c r="B12" s="1500" t="s">
        <v>1906</v>
      </c>
    </row>
    <row r="14" spans="1:6" s="130" customFormat="1" x14ac:dyDescent="0.35">
      <c r="A14" s="130" t="s">
        <v>1858</v>
      </c>
      <c r="B14" s="130" t="s">
        <v>2016</v>
      </c>
      <c r="C14" s="1508"/>
      <c r="D14" s="130" t="s">
        <v>1859</v>
      </c>
      <c r="E14" s="130" t="s">
        <v>2011</v>
      </c>
      <c r="F14" s="1508"/>
    </row>
    <row r="15" spans="1:6" x14ac:dyDescent="0.35">
      <c r="A15" s="1499" t="s">
        <v>1874</v>
      </c>
      <c r="B15" s="1500" t="s">
        <v>1906</v>
      </c>
      <c r="D15" s="1499" t="s">
        <v>1874</v>
      </c>
      <c r="E15" s="1500" t="s">
        <v>1906</v>
      </c>
    </row>
    <row r="16" spans="1:6" x14ac:dyDescent="0.35">
      <c r="A16" s="1499" t="s">
        <v>1879</v>
      </c>
      <c r="B16" s="1500" t="s">
        <v>1096</v>
      </c>
      <c r="D16" s="1499" t="s">
        <v>1879</v>
      </c>
      <c r="E16" s="1500" t="s">
        <v>1096</v>
      </c>
    </row>
    <row r="17" spans="1:6" x14ac:dyDescent="0.35">
      <c r="A17" s="1499" t="s">
        <v>1843</v>
      </c>
      <c r="B17" s="1498">
        <v>5122</v>
      </c>
      <c r="D17" s="1499" t="s">
        <v>1843</v>
      </c>
      <c r="E17" s="1498">
        <v>1103</v>
      </c>
    </row>
    <row r="18" spans="1:6" x14ac:dyDescent="0.35">
      <c r="A18" s="1499" t="s">
        <v>1842</v>
      </c>
      <c r="B18" s="1500" t="s">
        <v>1096</v>
      </c>
      <c r="D18" s="1499" t="s">
        <v>1842</v>
      </c>
      <c r="E18" s="1500" t="s">
        <v>1096</v>
      </c>
    </row>
    <row r="19" spans="1:6" x14ac:dyDescent="0.35">
      <c r="A19" s="1499" t="s">
        <v>1844</v>
      </c>
      <c r="B19" s="1500" t="s">
        <v>1096</v>
      </c>
      <c r="D19" s="1499" t="s">
        <v>1844</v>
      </c>
      <c r="E19" s="1500" t="s">
        <v>1096</v>
      </c>
    </row>
    <row r="20" spans="1:6" x14ac:dyDescent="0.35">
      <c r="D20"/>
      <c r="E20"/>
    </row>
    <row r="21" spans="1:6" x14ac:dyDescent="0.35">
      <c r="A21" s="1502" t="s">
        <v>1852</v>
      </c>
      <c r="B21" s="1502" t="s">
        <v>1853</v>
      </c>
      <c r="C21" s="1502" t="s">
        <v>283</v>
      </c>
      <c r="D21" s="1504" t="s">
        <v>1851</v>
      </c>
      <c r="E21" s="1502"/>
      <c r="F21" s="1502"/>
    </row>
    <row r="22" spans="1:6" x14ac:dyDescent="0.35">
      <c r="A22" t="s">
        <v>2476</v>
      </c>
      <c r="D22" s="1525">
        <v>3563</v>
      </c>
    </row>
    <row r="23" spans="1:6" x14ac:dyDescent="0.35">
      <c r="A23" t="s">
        <v>2477</v>
      </c>
      <c r="C23"/>
      <c r="D23" s="1525">
        <v>224</v>
      </c>
    </row>
    <row r="24" spans="1:6" x14ac:dyDescent="0.35">
      <c r="A24" t="s">
        <v>2478</v>
      </c>
      <c r="D24" s="1525">
        <v>85</v>
      </c>
    </row>
    <row r="25" spans="1:6" s="133" customFormat="1" x14ac:dyDescent="0.35">
      <c r="A25" t="s">
        <v>2479</v>
      </c>
      <c r="B25"/>
      <c r="D25" s="1525">
        <v>249</v>
      </c>
    </row>
    <row r="26" spans="1:6" s="133" customFormat="1" x14ac:dyDescent="0.35">
      <c r="A26" t="s">
        <v>2480</v>
      </c>
      <c r="B26"/>
      <c r="D26" s="1525">
        <v>353</v>
      </c>
    </row>
    <row r="27" spans="1:6" s="133" customFormat="1" x14ac:dyDescent="0.35">
      <c r="A27" t="s">
        <v>2481</v>
      </c>
      <c r="B27"/>
      <c r="D27" s="1525">
        <v>112</v>
      </c>
    </row>
    <row r="28" spans="1:6" s="133" customFormat="1" x14ac:dyDescent="0.35">
      <c r="A28" t="s">
        <v>2482</v>
      </c>
      <c r="B28"/>
      <c r="D28" s="1525">
        <v>143</v>
      </c>
    </row>
    <row r="29" spans="1:6" s="133" customFormat="1" x14ac:dyDescent="0.35">
      <c r="A29" t="s">
        <v>2483</v>
      </c>
      <c r="B29"/>
      <c r="D29" s="1525">
        <v>152</v>
      </c>
    </row>
    <row r="30" spans="1:6" s="133" customFormat="1" x14ac:dyDescent="0.35">
      <c r="A30" t="s">
        <v>2484</v>
      </c>
      <c r="B30"/>
      <c r="C30"/>
      <c r="D30" s="1525">
        <v>170</v>
      </c>
    </row>
    <row r="31" spans="1:6" s="133" customFormat="1" x14ac:dyDescent="0.35">
      <c r="A31" t="s">
        <v>2485</v>
      </c>
      <c r="B31"/>
      <c r="D31" s="1525">
        <v>1987</v>
      </c>
    </row>
    <row r="32" spans="1:6" s="133" customFormat="1" x14ac:dyDescent="0.35">
      <c r="A32" t="s">
        <v>2488</v>
      </c>
      <c r="B32"/>
      <c r="D32" s="1525">
        <v>6820</v>
      </c>
    </row>
    <row r="33" spans="1:6" s="133" customFormat="1" x14ac:dyDescent="0.35">
      <c r="A33" t="s">
        <v>2486</v>
      </c>
      <c r="B33"/>
      <c r="D33" s="1525">
        <v>393</v>
      </c>
    </row>
    <row r="34" spans="1:6" s="133" customFormat="1" x14ac:dyDescent="0.35">
      <c r="A34" t="s">
        <v>2487</v>
      </c>
      <c r="B34"/>
      <c r="D34" s="1525">
        <v>135</v>
      </c>
    </row>
    <row r="35" spans="1:6" s="133" customFormat="1" x14ac:dyDescent="0.35">
      <c r="A35" t="s">
        <v>124</v>
      </c>
      <c r="B35"/>
      <c r="D35" s="1526">
        <f>+D36-SUM(D22:D34)</f>
        <v>4163</v>
      </c>
    </row>
    <row r="36" spans="1:6" s="133" customFormat="1" x14ac:dyDescent="0.35">
      <c r="A36" s="1499" t="s">
        <v>1883</v>
      </c>
      <c r="B36"/>
      <c r="D36" s="1501">
        <f>+D38-D37</f>
        <v>18549</v>
      </c>
    </row>
    <row r="37" spans="1:6" ht="16" x14ac:dyDescent="0.5">
      <c r="A37" t="s">
        <v>1888</v>
      </c>
      <c r="D37" s="1509">
        <f>+B7</f>
        <v>6225</v>
      </c>
    </row>
    <row r="38" spans="1:6" x14ac:dyDescent="0.35">
      <c r="A38" s="1499" t="s">
        <v>1884</v>
      </c>
      <c r="D38" s="1568">
        <v>24774</v>
      </c>
    </row>
    <row r="39" spans="1:6" s="131" customFormat="1" x14ac:dyDescent="0.35">
      <c r="A39" s="1512" t="s">
        <v>1908</v>
      </c>
      <c r="C39" s="1513"/>
      <c r="D39" s="1515">
        <f>+D37/D38</f>
        <v>0.25127149430854928</v>
      </c>
      <c r="E39" s="1513"/>
      <c r="F39" s="1513"/>
    </row>
    <row r="41" spans="1:6" x14ac:dyDescent="0.35">
      <c r="A41" t="s">
        <v>1885</v>
      </c>
      <c r="D41" s="1568">
        <v>874965</v>
      </c>
    </row>
    <row r="42" spans="1:6" x14ac:dyDescent="0.35">
      <c r="A42" s="1514" t="s">
        <v>1909</v>
      </c>
      <c r="B42" s="131"/>
      <c r="C42" s="1513"/>
      <c r="D42" s="1515">
        <f>+D38/D41</f>
        <v>2.8314275428159983E-2</v>
      </c>
    </row>
    <row r="43" spans="1:6" x14ac:dyDescent="0.35">
      <c r="A43" s="1514" t="s">
        <v>1910</v>
      </c>
      <c r="B43" s="131"/>
      <c r="C43" s="1513"/>
      <c r="D43" s="1515">
        <f>+D37/D41</f>
        <v>7.114570297097598E-3</v>
      </c>
    </row>
    <row r="45" spans="1:6" x14ac:dyDescent="0.35">
      <c r="A45" s="1502" t="s">
        <v>1850</v>
      </c>
    </row>
    <row r="46" spans="1:6" s="133" customFormat="1" x14ac:dyDescent="0.35">
      <c r="A46" s="133" t="s">
        <v>2489</v>
      </c>
      <c r="B46" s="1501"/>
      <c r="D46" s="1510">
        <v>5030</v>
      </c>
    </row>
    <row r="47" spans="1:6" s="133" customFormat="1" x14ac:dyDescent="0.35">
      <c r="A47" s="133" t="s">
        <v>2490</v>
      </c>
      <c r="B47" s="1501"/>
      <c r="D47" s="1510">
        <v>10218</v>
      </c>
    </row>
    <row r="48" spans="1:6" s="133" customFormat="1" x14ac:dyDescent="0.35">
      <c r="A48" s="133" t="s">
        <v>1846</v>
      </c>
      <c r="B48"/>
      <c r="D48" s="1510" t="s">
        <v>1096</v>
      </c>
    </row>
    <row r="49" spans="1:4" s="133" customFormat="1" x14ac:dyDescent="0.35">
      <c r="A49" s="133" t="s">
        <v>1847</v>
      </c>
      <c r="B49"/>
      <c r="D49" s="1510" t="s">
        <v>1096</v>
      </c>
    </row>
    <row r="51" spans="1:4" s="133" customFormat="1" x14ac:dyDescent="0.35">
      <c r="A51" s="133" t="s">
        <v>1878</v>
      </c>
      <c r="B51"/>
    </row>
    <row r="55" spans="1:4" s="133" customFormat="1" x14ac:dyDescent="0.35">
      <c r="A55" s="1502" t="s">
        <v>1868</v>
      </c>
      <c r="B55"/>
    </row>
    <row r="56" spans="1:4" x14ac:dyDescent="0.35">
      <c r="A56" t="s">
        <v>2491</v>
      </c>
    </row>
    <row r="57" spans="1:4" x14ac:dyDescent="0.35">
      <c r="A57" t="s">
        <v>2492</v>
      </c>
    </row>
    <row r="59" spans="1:4" s="133" customFormat="1" x14ac:dyDescent="0.35">
      <c r="A59" s="1502" t="s">
        <v>1881</v>
      </c>
      <c r="B59"/>
    </row>
    <row r="60" spans="1:4" s="133" customFormat="1" x14ac:dyDescent="0.35">
      <c r="A60"/>
      <c r="B60"/>
    </row>
    <row r="62" spans="1:4" s="133" customFormat="1" x14ac:dyDescent="0.35">
      <c r="A62" t="s">
        <v>2471</v>
      </c>
      <c r="B62"/>
    </row>
  </sheetData>
  <printOptions horizontalCentered="1"/>
  <pageMargins left="0.3" right="0.3" top="0.3" bottom="0.3" header="0.3" footer="0.3"/>
  <pageSetup scale="69" fitToHeight="0" orientation="portrait" r:id="rId1"/>
  <headerFooter>
    <oddFooter>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9279A-DEBA-4515-B1A1-E3FFB4E16E41}">
  <sheetPr>
    <pageSetUpPr fitToPage="1"/>
  </sheetPr>
  <dimension ref="A1:F64"/>
  <sheetViews>
    <sheetView view="pageBreakPreview" zoomScale="60" zoomScaleNormal="70" workbookViewId="0">
      <pane ySplit="2" topLeftCell="A3" activePane="bottomLeft" state="frozen"/>
      <selection pane="bottomLeft" activeCell="B9" sqref="B9"/>
    </sheetView>
  </sheetViews>
  <sheetFormatPr defaultRowHeight="14.5" x14ac:dyDescent="0.35"/>
  <cols>
    <col min="1" max="1" width="41.26953125" bestFit="1" customWidth="1"/>
    <col min="2" max="2" width="20.81640625" customWidth="1"/>
    <col min="3" max="6" width="20.81640625" style="133" customWidth="1"/>
    <col min="7" max="7" width="20.81640625" customWidth="1"/>
  </cols>
  <sheetData>
    <row r="1" spans="1:6" x14ac:dyDescent="0.35">
      <c r="A1" t="s">
        <v>651</v>
      </c>
      <c r="F1" s="1506">
        <f ca="1">TODAY()</f>
        <v>45797</v>
      </c>
    </row>
    <row r="2" spans="1:6" s="1497" customFormat="1" x14ac:dyDescent="0.35">
      <c r="A2" s="1517" t="s">
        <v>1839</v>
      </c>
      <c r="C2" s="1503"/>
      <c r="D2" s="1503"/>
      <c r="E2" s="1503"/>
      <c r="F2" s="1503"/>
    </row>
    <row r="3" spans="1:6" ht="15" thickBot="1" x14ac:dyDescent="0.4"/>
    <row r="4" spans="1:6" ht="15" thickBot="1" x14ac:dyDescent="0.4">
      <c r="A4" s="1505" t="s">
        <v>1824</v>
      </c>
    </row>
    <row r="5" spans="1:6" x14ac:dyDescent="0.35">
      <c r="A5" s="130"/>
    </row>
    <row r="6" spans="1:6" x14ac:dyDescent="0.35">
      <c r="A6" t="s">
        <v>1887</v>
      </c>
      <c r="B6">
        <f>+'State Database'!B24</f>
        <v>2010</v>
      </c>
    </row>
    <row r="7" spans="1:6" x14ac:dyDescent="0.35">
      <c r="A7" t="s">
        <v>1845</v>
      </c>
      <c r="B7" s="1498">
        <f>+'K12 Schools'!K183+'K12 Schools'!K182+'K12 Schools'!K181+'K12 Schools'!K180</f>
        <v>9253</v>
      </c>
    </row>
    <row r="8" spans="1:6" x14ac:dyDescent="0.35">
      <c r="A8" t="s">
        <v>1886</v>
      </c>
      <c r="B8" s="1511">
        <f>+D41</f>
        <v>0.18887142536384233</v>
      </c>
    </row>
    <row r="9" spans="1:6" x14ac:dyDescent="0.35">
      <c r="A9" t="s">
        <v>1889</v>
      </c>
      <c r="B9" s="1511">
        <f>+D44</f>
        <v>3.540096062617739E-2</v>
      </c>
    </row>
    <row r="10" spans="1:6" x14ac:dyDescent="0.35">
      <c r="A10" t="s">
        <v>1890</v>
      </c>
      <c r="B10" s="1511">
        <f>+B7/D43</f>
        <v>6.6862298927153844E-3</v>
      </c>
    </row>
    <row r="11" spans="1:6" x14ac:dyDescent="0.35">
      <c r="A11" t="s">
        <v>1840</v>
      </c>
      <c r="B11">
        <v>4</v>
      </c>
    </row>
    <row r="12" spans="1:6" x14ac:dyDescent="0.35">
      <c r="A12" t="s">
        <v>1872</v>
      </c>
      <c r="B12" s="1500" t="s">
        <v>1906</v>
      </c>
    </row>
    <row r="14" spans="1:6" s="130" customFormat="1" x14ac:dyDescent="0.35">
      <c r="A14" s="130" t="s">
        <v>1858</v>
      </c>
      <c r="B14" s="130" t="str">
        <f>+'K12 Schools'!D180</f>
        <v>Michigan Great Lakes Virtual Academy</v>
      </c>
      <c r="C14" s="1508"/>
      <c r="D14" s="130" t="s">
        <v>1859</v>
      </c>
      <c r="E14" s="130" t="str">
        <f>+'K12 Schools'!D181</f>
        <v>Insight School of Michigan</v>
      </c>
      <c r="F14" s="1508"/>
    </row>
    <row r="15" spans="1:6" x14ac:dyDescent="0.35">
      <c r="A15" s="1499" t="s">
        <v>1874</v>
      </c>
      <c r="B15" s="1500" t="s">
        <v>1906</v>
      </c>
      <c r="D15" s="1499" t="s">
        <v>1874</v>
      </c>
      <c r="E15" s="1500" t="s">
        <v>1906</v>
      </c>
    </row>
    <row r="16" spans="1:6" x14ac:dyDescent="0.35">
      <c r="A16" s="1499" t="s">
        <v>1879</v>
      </c>
      <c r="B16" s="1500" t="s">
        <v>1096</v>
      </c>
      <c r="D16" s="1499" t="s">
        <v>1879</v>
      </c>
      <c r="E16" s="1500" t="s">
        <v>1096</v>
      </c>
    </row>
    <row r="17" spans="1:6" x14ac:dyDescent="0.35">
      <c r="A17" s="1499" t="s">
        <v>1843</v>
      </c>
      <c r="B17" s="1498">
        <f>+'K12 Schools'!K180</f>
        <v>3398</v>
      </c>
      <c r="D17" s="1499" t="s">
        <v>1843</v>
      </c>
      <c r="E17" s="1498">
        <f>+'K12 Schools'!K181</f>
        <v>652</v>
      </c>
    </row>
    <row r="18" spans="1:6" x14ac:dyDescent="0.35">
      <c r="A18" s="1499" t="s">
        <v>1842</v>
      </c>
      <c r="B18" s="1500" t="s">
        <v>1096</v>
      </c>
      <c r="D18" s="1499" t="s">
        <v>1842</v>
      </c>
      <c r="E18" s="1500" t="s">
        <v>1096</v>
      </c>
    </row>
    <row r="19" spans="1:6" x14ac:dyDescent="0.35">
      <c r="A19" s="1499" t="s">
        <v>1844</v>
      </c>
      <c r="B19" s="1500" t="s">
        <v>1096</v>
      </c>
      <c r="D19" s="1499" t="s">
        <v>1844</v>
      </c>
      <c r="E19" s="1500" t="s">
        <v>1096</v>
      </c>
    </row>
    <row r="20" spans="1:6" x14ac:dyDescent="0.35">
      <c r="D20"/>
      <c r="E20"/>
    </row>
    <row r="21" spans="1:6" s="130" customFormat="1" x14ac:dyDescent="0.35">
      <c r="A21" s="130" t="s">
        <v>1920</v>
      </c>
      <c r="B21" s="130" t="str">
        <f>+'K12 Schools'!D182</f>
        <v>Highpoint Virtual Academy of Michigan</v>
      </c>
      <c r="C21" s="1508"/>
      <c r="D21" s="130" t="s">
        <v>1861</v>
      </c>
      <c r="E21" s="130" t="str">
        <f>+'K12 Schools'!D183</f>
        <v>Michigan Virtual Charter Academy</v>
      </c>
      <c r="F21" s="1508"/>
    </row>
    <row r="22" spans="1:6" x14ac:dyDescent="0.35">
      <c r="A22" s="1499" t="s">
        <v>1874</v>
      </c>
      <c r="B22" s="1500" t="s">
        <v>1906</v>
      </c>
      <c r="D22" s="1499" t="s">
        <v>1874</v>
      </c>
      <c r="E22" s="1500" t="s">
        <v>1906</v>
      </c>
    </row>
    <row r="23" spans="1:6" x14ac:dyDescent="0.35">
      <c r="A23" s="1499" t="s">
        <v>1879</v>
      </c>
      <c r="B23" s="1500" t="s">
        <v>1096</v>
      </c>
      <c r="D23" s="1499" t="s">
        <v>1879</v>
      </c>
      <c r="E23" s="1500" t="s">
        <v>1096</v>
      </c>
    </row>
    <row r="24" spans="1:6" x14ac:dyDescent="0.35">
      <c r="A24" s="1499" t="s">
        <v>1843</v>
      </c>
      <c r="B24" s="1498">
        <f>+'K12 Schools'!K182</f>
        <v>2308</v>
      </c>
      <c r="D24" s="1499" t="s">
        <v>1843</v>
      </c>
      <c r="E24" s="1498">
        <f>+'K12 Schools'!K183</f>
        <v>2895</v>
      </c>
    </row>
    <row r="25" spans="1:6" x14ac:dyDescent="0.35">
      <c r="A25" s="1499" t="s">
        <v>1842</v>
      </c>
      <c r="B25" s="1500" t="s">
        <v>1096</v>
      </c>
      <c r="D25" s="1499" t="s">
        <v>1842</v>
      </c>
      <c r="E25" s="1500" t="s">
        <v>1096</v>
      </c>
    </row>
    <row r="26" spans="1:6" x14ac:dyDescent="0.35">
      <c r="A26" s="1499" t="s">
        <v>1844</v>
      </c>
      <c r="B26" s="1500" t="s">
        <v>1096</v>
      </c>
      <c r="D26" s="1499" t="s">
        <v>1844</v>
      </c>
      <c r="E26" s="1500" t="s">
        <v>1096</v>
      </c>
    </row>
    <row r="27" spans="1:6" x14ac:dyDescent="0.35">
      <c r="D27"/>
      <c r="E27"/>
    </row>
    <row r="28" spans="1:6" x14ac:dyDescent="0.35">
      <c r="D28"/>
      <c r="E28"/>
    </row>
    <row r="29" spans="1:6" x14ac:dyDescent="0.35">
      <c r="A29" s="1502" t="s">
        <v>1852</v>
      </c>
      <c r="B29" s="1502" t="s">
        <v>1853</v>
      </c>
      <c r="C29" s="1502" t="s">
        <v>283</v>
      </c>
      <c r="D29" s="1504" t="s">
        <v>1851</v>
      </c>
      <c r="E29" s="1502"/>
      <c r="F29" s="1502"/>
    </row>
    <row r="30" spans="1:6" x14ac:dyDescent="0.35">
      <c r="A30" t="s">
        <v>2495</v>
      </c>
      <c r="D30" s="1525">
        <v>35</v>
      </c>
    </row>
    <row r="31" spans="1:6" x14ac:dyDescent="0.35">
      <c r="A31" t="s">
        <v>2496</v>
      </c>
      <c r="C31"/>
      <c r="D31" s="1525">
        <v>227</v>
      </c>
    </row>
    <row r="32" spans="1:6" x14ac:dyDescent="0.35">
      <c r="A32" t="s">
        <v>2497</v>
      </c>
      <c r="D32" s="1525">
        <v>1239</v>
      </c>
    </row>
    <row r="33" spans="1:6" s="133" customFormat="1" x14ac:dyDescent="0.35">
      <c r="A33" t="s">
        <v>2498</v>
      </c>
      <c r="B33"/>
      <c r="D33" s="1525">
        <v>1429</v>
      </c>
    </row>
    <row r="34" spans="1:6" s="133" customFormat="1" x14ac:dyDescent="0.35">
      <c r="A34" t="s">
        <v>2499</v>
      </c>
      <c r="B34"/>
      <c r="D34" s="1525">
        <v>2187</v>
      </c>
    </row>
    <row r="35" spans="1:6" s="133" customFormat="1" x14ac:dyDescent="0.35">
      <c r="A35" t="s">
        <v>2500</v>
      </c>
      <c r="B35"/>
      <c r="D35" s="1525">
        <v>1645</v>
      </c>
    </row>
    <row r="36" spans="1:6" s="133" customFormat="1" x14ac:dyDescent="0.35">
      <c r="A36" t="s">
        <v>2501</v>
      </c>
      <c r="B36"/>
      <c r="D36" s="1525">
        <f>646+217</f>
        <v>863</v>
      </c>
    </row>
    <row r="37" spans="1:6" s="133" customFormat="1" x14ac:dyDescent="0.35">
      <c r="A37" t="s">
        <v>124</v>
      </c>
      <c r="B37"/>
      <c r="D37" s="1526">
        <f>+D38-SUM(D30:D36)</f>
        <v>32113</v>
      </c>
    </row>
    <row r="38" spans="1:6" s="133" customFormat="1" x14ac:dyDescent="0.35">
      <c r="A38" s="1499" t="s">
        <v>1883</v>
      </c>
      <c r="B38"/>
      <c r="D38" s="1501">
        <f>+D40-D39</f>
        <v>39738</v>
      </c>
    </row>
    <row r="39" spans="1:6" ht="16" x14ac:dyDescent="0.5">
      <c r="A39" t="s">
        <v>1888</v>
      </c>
      <c r="D39" s="1509">
        <f>+B7</f>
        <v>9253</v>
      </c>
    </row>
    <row r="40" spans="1:6" x14ac:dyDescent="0.35">
      <c r="A40" s="1499" t="s">
        <v>1884</v>
      </c>
      <c r="D40" s="1568">
        <v>48991</v>
      </c>
    </row>
    <row r="41" spans="1:6" s="131" customFormat="1" x14ac:dyDescent="0.35">
      <c r="A41" s="1512" t="s">
        <v>1908</v>
      </c>
      <c r="C41" s="1513"/>
      <c r="D41" s="1515">
        <f>+D39/D40</f>
        <v>0.18887142536384233</v>
      </c>
      <c r="E41" s="1513"/>
      <c r="F41" s="1513"/>
    </row>
    <row r="43" spans="1:6" x14ac:dyDescent="0.35">
      <c r="A43" t="s">
        <v>1885</v>
      </c>
      <c r="D43" s="1568">
        <v>1383889</v>
      </c>
    </row>
    <row r="44" spans="1:6" x14ac:dyDescent="0.35">
      <c r="A44" s="1514" t="s">
        <v>1909</v>
      </c>
      <c r="B44" s="131"/>
      <c r="C44" s="1513"/>
      <c r="D44" s="1515">
        <f>+D40/D43</f>
        <v>3.540096062617739E-2</v>
      </c>
    </row>
    <row r="45" spans="1:6" x14ac:dyDescent="0.35">
      <c r="A45" s="1514" t="s">
        <v>1910</v>
      </c>
      <c r="B45" s="131"/>
      <c r="C45" s="1513"/>
      <c r="D45" s="1515">
        <f>+D39/D43</f>
        <v>6.6862298927153844E-3</v>
      </c>
    </row>
    <row r="47" spans="1:6" x14ac:dyDescent="0.35">
      <c r="A47" s="1502" t="s">
        <v>1850</v>
      </c>
    </row>
    <row r="48" spans="1:6" s="133" customFormat="1" x14ac:dyDescent="0.35">
      <c r="A48" s="133" t="s">
        <v>2489</v>
      </c>
      <c r="B48" s="1501"/>
      <c r="D48" s="1510" t="s">
        <v>1096</v>
      </c>
    </row>
    <row r="49" spans="1:4" s="133" customFormat="1" x14ac:dyDescent="0.35">
      <c r="A49" s="133" t="s">
        <v>2490</v>
      </c>
      <c r="B49" s="1501"/>
      <c r="D49" s="1510" t="s">
        <v>1096</v>
      </c>
    </row>
    <row r="50" spans="1:4" s="133" customFormat="1" x14ac:dyDescent="0.35">
      <c r="A50" s="133" t="s">
        <v>1846</v>
      </c>
      <c r="B50"/>
      <c r="D50" s="1510" t="s">
        <v>1096</v>
      </c>
    </row>
    <row r="51" spans="1:4" s="133" customFormat="1" x14ac:dyDescent="0.35">
      <c r="A51" s="133" t="s">
        <v>1847</v>
      </c>
      <c r="B51"/>
      <c r="D51" s="1510" t="s">
        <v>1096</v>
      </c>
    </row>
    <row r="53" spans="1:4" s="133" customFormat="1" x14ac:dyDescent="0.35">
      <c r="A53" s="133" t="s">
        <v>1878</v>
      </c>
      <c r="B53"/>
    </row>
    <row r="57" spans="1:4" s="133" customFormat="1" x14ac:dyDescent="0.35">
      <c r="A57" s="1502" t="s">
        <v>1868</v>
      </c>
      <c r="B57"/>
    </row>
    <row r="58" spans="1:4" x14ac:dyDescent="0.35">
      <c r="A58" t="s">
        <v>2493</v>
      </c>
    </row>
    <row r="59" spans="1:4" x14ac:dyDescent="0.35">
      <c r="A59" t="s">
        <v>2494</v>
      </c>
    </row>
    <row r="61" spans="1:4" s="133" customFormat="1" x14ac:dyDescent="0.35">
      <c r="A61" s="1502" t="s">
        <v>1881</v>
      </c>
      <c r="B61"/>
    </row>
    <row r="62" spans="1:4" s="133" customFormat="1" x14ac:dyDescent="0.35">
      <c r="A62"/>
      <c r="B62"/>
    </row>
    <row r="64" spans="1:4" s="133" customFormat="1" x14ac:dyDescent="0.35">
      <c r="A64" t="s">
        <v>2471</v>
      </c>
      <c r="B64"/>
    </row>
  </sheetData>
  <printOptions horizontalCentered="1"/>
  <pageMargins left="0.3" right="0.3" top="0.3" bottom="0.3" header="0.3" footer="0.3"/>
  <pageSetup scale="69" fitToHeight="0" orientation="portrait" r:id="rId1"/>
  <headerFooter>
    <oddFooter>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88C85-AF5B-4F08-A11A-4E01074D812A}">
  <dimension ref="A1:U33"/>
  <sheetViews>
    <sheetView zoomScale="85" zoomScaleNormal="85" workbookViewId="0">
      <selection activeCell="T27" sqref="T27"/>
    </sheetView>
  </sheetViews>
  <sheetFormatPr defaultRowHeight="14.5" x14ac:dyDescent="0.35"/>
  <cols>
    <col min="1" max="1" width="10.54296875" customWidth="1"/>
    <col min="2" max="2" width="15.1796875" customWidth="1"/>
    <col min="3" max="21" width="10.54296875" customWidth="1"/>
  </cols>
  <sheetData>
    <row r="1" spans="1:21" x14ac:dyDescent="0.35">
      <c r="A1" t="s">
        <v>651</v>
      </c>
      <c r="C1" s="133"/>
      <c r="D1" s="133"/>
      <c r="E1" s="133"/>
      <c r="K1" s="1506"/>
    </row>
    <row r="2" spans="1:21" s="1497" customFormat="1" x14ac:dyDescent="0.35">
      <c r="A2" s="1517" t="s">
        <v>1911</v>
      </c>
      <c r="C2" s="1503"/>
      <c r="D2" s="1503"/>
      <c r="E2" s="1503"/>
      <c r="F2" s="1503"/>
    </row>
    <row r="3" spans="1:21" x14ac:dyDescent="0.35">
      <c r="C3" s="1520">
        <v>2005</v>
      </c>
      <c r="D3" s="1520">
        <f>+C3+1</f>
        <v>2006</v>
      </c>
      <c r="E3" s="1520">
        <f t="shared" ref="E3:U3" si="0">+D3+1</f>
        <v>2007</v>
      </c>
      <c r="F3" s="1520">
        <f t="shared" si="0"/>
        <v>2008</v>
      </c>
      <c r="G3" s="1520">
        <f t="shared" si="0"/>
        <v>2009</v>
      </c>
      <c r="H3" s="1520">
        <f t="shared" si="0"/>
        <v>2010</v>
      </c>
      <c r="I3" s="1520">
        <f t="shared" si="0"/>
        <v>2011</v>
      </c>
      <c r="J3" s="1520">
        <f t="shared" si="0"/>
        <v>2012</v>
      </c>
      <c r="K3" s="1520">
        <f t="shared" si="0"/>
        <v>2013</v>
      </c>
      <c r="L3" s="1520">
        <f t="shared" si="0"/>
        <v>2014</v>
      </c>
      <c r="M3" s="1520">
        <f t="shared" si="0"/>
        <v>2015</v>
      </c>
      <c r="N3" s="1520">
        <f t="shared" si="0"/>
        <v>2016</v>
      </c>
      <c r="O3" s="1520">
        <f t="shared" si="0"/>
        <v>2017</v>
      </c>
      <c r="P3" s="1520">
        <f t="shared" si="0"/>
        <v>2018</v>
      </c>
      <c r="Q3" s="1520">
        <f t="shared" si="0"/>
        <v>2019</v>
      </c>
      <c r="R3" s="1520">
        <f t="shared" si="0"/>
        <v>2020</v>
      </c>
      <c r="S3" s="1520">
        <f t="shared" si="0"/>
        <v>2021</v>
      </c>
      <c r="T3" s="1520">
        <f t="shared" si="0"/>
        <v>2022</v>
      </c>
      <c r="U3" s="1520">
        <f t="shared" si="0"/>
        <v>2023</v>
      </c>
    </row>
    <row r="4" spans="1:21" x14ac:dyDescent="0.35">
      <c r="A4" s="1518" t="s">
        <v>1095</v>
      </c>
      <c r="B4" s="1519"/>
    </row>
    <row r="6" spans="1:21" s="1521" customFormat="1" x14ac:dyDescent="0.35">
      <c r="C6" s="1521" t="str">
        <f>"SY"&amp;C3</f>
        <v>SY2005</v>
      </c>
      <c r="D6" s="1521" t="str">
        <f t="shared" ref="D6:U6" si="1">"SY"&amp;D3</f>
        <v>SY2006</v>
      </c>
      <c r="E6" s="1521" t="str">
        <f t="shared" si="1"/>
        <v>SY2007</v>
      </c>
      <c r="F6" s="1521" t="str">
        <f t="shared" si="1"/>
        <v>SY2008</v>
      </c>
      <c r="G6" s="1521" t="str">
        <f t="shared" si="1"/>
        <v>SY2009</v>
      </c>
      <c r="H6" s="1521" t="str">
        <f t="shared" si="1"/>
        <v>SY2010</v>
      </c>
      <c r="I6" s="1521" t="str">
        <f t="shared" si="1"/>
        <v>SY2011</v>
      </c>
      <c r="J6" s="1521" t="str">
        <f t="shared" si="1"/>
        <v>SY2012</v>
      </c>
      <c r="K6" s="1521" t="str">
        <f t="shared" si="1"/>
        <v>SY2013</v>
      </c>
      <c r="L6" s="1521" t="str">
        <f t="shared" si="1"/>
        <v>SY2014</v>
      </c>
      <c r="M6" s="1521" t="str">
        <f t="shared" si="1"/>
        <v>SY2015</v>
      </c>
      <c r="N6" s="1521" t="str">
        <f t="shared" si="1"/>
        <v>SY2016</v>
      </c>
      <c r="O6" s="1521" t="str">
        <f t="shared" si="1"/>
        <v>SY2017</v>
      </c>
      <c r="P6" s="1521" t="str">
        <f t="shared" si="1"/>
        <v>SY2018</v>
      </c>
      <c r="Q6" s="1521" t="str">
        <f t="shared" si="1"/>
        <v>SY2019</v>
      </c>
      <c r="R6" s="1521" t="str">
        <f t="shared" si="1"/>
        <v>SY2020</v>
      </c>
      <c r="S6" s="1521" t="str">
        <f t="shared" si="1"/>
        <v>SY2021</v>
      </c>
      <c r="T6" s="1521" t="str">
        <f t="shared" si="1"/>
        <v>SY2022</v>
      </c>
      <c r="U6" s="1521" t="str">
        <f t="shared" si="1"/>
        <v>SY2023</v>
      </c>
    </row>
    <row r="7" spans="1:21" x14ac:dyDescent="0.35">
      <c r="A7" t="s">
        <v>1561</v>
      </c>
      <c r="C7" s="1498">
        <v>4521043</v>
      </c>
      <c r="D7" s="1498">
        <v>4594942</v>
      </c>
      <c r="E7" s="1498">
        <v>4671493</v>
      </c>
      <c r="F7" s="1498">
        <v>4749571</v>
      </c>
      <c r="G7" s="1498">
        <v>4847844</v>
      </c>
      <c r="H7" s="1498">
        <v>4933617</v>
      </c>
      <c r="I7" s="1498">
        <v>4998579</v>
      </c>
      <c r="J7" s="1498">
        <v>5075840</v>
      </c>
      <c r="K7" s="1498">
        <v>5151925</v>
      </c>
      <c r="L7" s="1498">
        <v>5232065</v>
      </c>
      <c r="M7" s="1498">
        <v>5299728</v>
      </c>
      <c r="N7" s="1498">
        <v>5359127</v>
      </c>
      <c r="O7" s="1498">
        <v>5399682</v>
      </c>
      <c r="P7" s="1498">
        <v>5431910</v>
      </c>
      <c r="Q7" s="1498">
        <v>5493940</v>
      </c>
      <c r="R7" s="1498">
        <v>5371586</v>
      </c>
      <c r="S7" s="1498">
        <v>5427370</v>
      </c>
      <c r="T7" s="1498">
        <v>5518432</v>
      </c>
      <c r="U7" s="1498">
        <v>5531236</v>
      </c>
    </row>
    <row r="8" spans="1:21" x14ac:dyDescent="0.35">
      <c r="A8" t="s">
        <v>1628</v>
      </c>
      <c r="C8" s="1498">
        <v>1098391</v>
      </c>
      <c r="D8" s="1498">
        <v>1112015</v>
      </c>
      <c r="E8" s="1498">
        <v>1112203</v>
      </c>
      <c r="F8" s="1498">
        <v>1112660</v>
      </c>
      <c r="G8" s="1498">
        <v>1116485</v>
      </c>
      <c r="H8" s="1498">
        <v>1047071</v>
      </c>
      <c r="I8" s="1498">
        <v>1040164</v>
      </c>
      <c r="J8" s="1498">
        <v>1039411</v>
      </c>
      <c r="K8" s="1498">
        <v>1047669</v>
      </c>
      <c r="L8" s="1498">
        <v>1046269</v>
      </c>
      <c r="M8" s="1498">
        <v>1046527</v>
      </c>
      <c r="N8" s="1498">
        <v>1049292</v>
      </c>
      <c r="O8" s="1498">
        <v>1053809</v>
      </c>
      <c r="P8" s="1498">
        <v>1055354</v>
      </c>
      <c r="Q8" s="1498">
        <v>1051051</v>
      </c>
      <c r="R8" s="1498">
        <v>1033781</v>
      </c>
      <c r="S8" s="1498">
        <v>1036697</v>
      </c>
      <c r="T8" s="1498">
        <v>1036123</v>
      </c>
      <c r="U8" s="1498">
        <v>1032724</v>
      </c>
    </row>
    <row r="9" spans="1:21" x14ac:dyDescent="0.35">
      <c r="A9" t="s">
        <v>2453</v>
      </c>
      <c r="C9" s="1498"/>
      <c r="D9" s="1498"/>
      <c r="E9" s="1498"/>
      <c r="F9" s="1498"/>
      <c r="G9" s="1498"/>
      <c r="H9" s="1498"/>
      <c r="I9" s="1498">
        <v>1895768</v>
      </c>
      <c r="J9" s="1498">
        <v>1885618</v>
      </c>
      <c r="K9" s="1498">
        <v>1873057</v>
      </c>
      <c r="L9" s="1498">
        <v>1864340</v>
      </c>
      <c r="M9" s="1498">
        <v>1858716</v>
      </c>
      <c r="N9" s="1498">
        <v>1810577</v>
      </c>
      <c r="O9" s="1498">
        <v>1795339</v>
      </c>
      <c r="P9" s="1498">
        <v>1803461</v>
      </c>
      <c r="Q9" s="1498">
        <v>1802993</v>
      </c>
      <c r="R9" s="1498">
        <v>1795686</v>
      </c>
      <c r="S9" s="1498">
        <v>1792055</v>
      </c>
      <c r="T9" s="1498">
        <v>1739386</v>
      </c>
      <c r="U9" s="1498">
        <v>1756830</v>
      </c>
    </row>
    <row r="10" spans="1:21" x14ac:dyDescent="0.35">
      <c r="J10" s="1522"/>
      <c r="K10" s="1522"/>
      <c r="L10" s="1522"/>
      <c r="M10" s="1522"/>
      <c r="N10" s="1522"/>
      <c r="O10" s="1522"/>
      <c r="P10" s="1522"/>
      <c r="Q10" s="1522"/>
      <c r="R10" s="1522"/>
      <c r="S10" s="1522"/>
      <c r="T10" s="1522"/>
      <c r="U10" s="1522"/>
    </row>
    <row r="19" spans="1:21" x14ac:dyDescent="0.35">
      <c r="D19" s="1523"/>
      <c r="E19" s="1523"/>
      <c r="F19" s="1523"/>
      <c r="G19" s="1523"/>
      <c r="H19" s="1523"/>
      <c r="I19" s="1523"/>
      <c r="J19" s="1523"/>
      <c r="K19" s="1523"/>
      <c r="L19" s="1523"/>
      <c r="M19" s="1523"/>
      <c r="N19" s="1523"/>
      <c r="O19" s="1523"/>
      <c r="P19" s="1523"/>
      <c r="Q19" s="1523"/>
      <c r="R19" s="1523"/>
      <c r="S19" s="1523"/>
      <c r="T19" s="1523"/>
      <c r="U19" s="1523"/>
    </row>
    <row r="20" spans="1:21" x14ac:dyDescent="0.35">
      <c r="A20" s="1518" t="s">
        <v>1912</v>
      </c>
      <c r="B20" s="1519"/>
    </row>
    <row r="22" spans="1:21" x14ac:dyDescent="0.35">
      <c r="B22" s="1502" t="s">
        <v>1915</v>
      </c>
    </row>
    <row r="23" spans="1:21" x14ac:dyDescent="0.35">
      <c r="A23" t="s">
        <v>1561</v>
      </c>
      <c r="B23" t="s">
        <v>1914</v>
      </c>
      <c r="C23" s="1498">
        <v>2537</v>
      </c>
      <c r="D23" s="1498">
        <f>+C23</f>
        <v>2537</v>
      </c>
      <c r="E23" s="1498">
        <v>3135</v>
      </c>
      <c r="F23" s="1498">
        <f>+E23</f>
        <v>3135</v>
      </c>
      <c r="G23" s="1498">
        <v>4765</v>
      </c>
      <c r="H23" s="1498">
        <f>+G23</f>
        <v>4765</v>
      </c>
      <c r="I23" s="1498">
        <v>4765</v>
      </c>
      <c r="J23" s="1498">
        <f>+I23</f>
        <v>4765</v>
      </c>
      <c r="K23" s="1498">
        <v>4950</v>
      </c>
      <c r="L23" s="1498">
        <f>+K23</f>
        <v>4950</v>
      </c>
      <c r="M23" s="1498">
        <v>5140</v>
      </c>
      <c r="N23" s="1498">
        <f>+M23</f>
        <v>5140</v>
      </c>
      <c r="O23" s="1498">
        <v>5140</v>
      </c>
      <c r="P23" s="1498">
        <f>+O23</f>
        <v>5140</v>
      </c>
      <c r="Q23" s="1498">
        <v>6160</v>
      </c>
      <c r="R23" s="1498">
        <f>+Q23</f>
        <v>6160</v>
      </c>
      <c r="S23" s="1498">
        <f>+R23</f>
        <v>6160</v>
      </c>
      <c r="T23" s="1498">
        <v>6160</v>
      </c>
      <c r="U23" s="1498">
        <f>+T23</f>
        <v>6160</v>
      </c>
    </row>
    <row r="24" spans="1:21" x14ac:dyDescent="0.35">
      <c r="A24" t="s">
        <v>1628</v>
      </c>
      <c r="B24" t="s">
        <v>1929</v>
      </c>
      <c r="C24" s="1498"/>
      <c r="D24" s="1498"/>
      <c r="E24" s="1498"/>
      <c r="F24" s="1498"/>
      <c r="G24" s="1498"/>
      <c r="H24" s="1498"/>
      <c r="I24" s="1498"/>
      <c r="J24" s="1498"/>
      <c r="K24" s="1498"/>
      <c r="L24" s="1498"/>
      <c r="M24" s="1498"/>
      <c r="N24" s="1498"/>
      <c r="O24" s="1498"/>
      <c r="P24" s="1498"/>
      <c r="Q24" s="1498"/>
      <c r="R24" s="1498"/>
      <c r="S24" s="1498"/>
      <c r="T24" s="1498"/>
      <c r="U24" s="1498">
        <v>6884</v>
      </c>
    </row>
    <row r="25" spans="1:21" x14ac:dyDescent="0.35">
      <c r="A25" t="s">
        <v>1628</v>
      </c>
      <c r="B25" t="s">
        <v>1930</v>
      </c>
      <c r="C25" s="1498"/>
      <c r="D25" s="1498"/>
      <c r="E25" s="1498"/>
      <c r="F25" s="1498"/>
      <c r="G25" s="1498"/>
      <c r="H25" s="1498"/>
      <c r="I25" s="1498"/>
      <c r="J25" s="1498"/>
      <c r="K25" s="1498"/>
      <c r="L25" s="1498"/>
      <c r="M25" s="1498"/>
      <c r="N25" s="1498"/>
      <c r="O25" s="1498"/>
      <c r="P25" s="1498"/>
      <c r="Q25" s="1498"/>
      <c r="R25" s="1498"/>
      <c r="S25" s="1498"/>
      <c r="T25" s="1498"/>
      <c r="U25" s="1498">
        <v>5926</v>
      </c>
    </row>
    <row r="26" spans="1:21" x14ac:dyDescent="0.35">
      <c r="A26" t="s">
        <v>1628</v>
      </c>
      <c r="B26" t="s">
        <v>1906</v>
      </c>
      <c r="C26" s="1498"/>
      <c r="D26" s="1498"/>
      <c r="E26" s="1498"/>
      <c r="F26" s="1498"/>
      <c r="G26" s="1498"/>
      <c r="H26" s="1498"/>
      <c r="I26" s="1498"/>
      <c r="J26" s="1498"/>
      <c r="K26" s="1498"/>
      <c r="L26" s="1498"/>
      <c r="M26" s="1498"/>
      <c r="N26" s="1498"/>
      <c r="O26" s="1498"/>
      <c r="P26" s="1498"/>
      <c r="Q26" s="1498"/>
      <c r="R26" s="1498"/>
      <c r="S26" s="1498"/>
      <c r="T26" s="1498"/>
      <c r="U26" s="1498">
        <v>7635</v>
      </c>
    </row>
    <row r="27" spans="1:21" x14ac:dyDescent="0.35">
      <c r="A27" t="s">
        <v>1638</v>
      </c>
      <c r="C27" s="1498"/>
      <c r="D27" s="1498"/>
      <c r="E27" s="1498"/>
      <c r="F27" s="1498"/>
      <c r="G27" s="1498"/>
      <c r="H27" s="1498"/>
      <c r="I27" s="1498"/>
      <c r="J27" s="1498"/>
      <c r="K27" s="1498"/>
      <c r="L27" s="1498">
        <v>5745</v>
      </c>
      <c r="M27" s="1498">
        <v>5800</v>
      </c>
      <c r="N27" s="1498">
        <v>5900</v>
      </c>
      <c r="O27" s="1498">
        <v>6000</v>
      </c>
      <c r="P27" s="1498">
        <v>6010</v>
      </c>
      <c r="Q27" s="1498">
        <v>6020</v>
      </c>
      <c r="R27" s="1498">
        <v>6020</v>
      </c>
      <c r="S27" s="1498">
        <v>6020</v>
      </c>
      <c r="T27" s="1498">
        <v>6110</v>
      </c>
      <c r="U27" s="1498">
        <v>6110</v>
      </c>
    </row>
    <row r="28" spans="1:21" x14ac:dyDescent="0.35">
      <c r="K28" s="1566"/>
    </row>
    <row r="29" spans="1:21" x14ac:dyDescent="0.35">
      <c r="K29" s="1566"/>
    </row>
    <row r="30" spans="1:21" x14ac:dyDescent="0.35">
      <c r="K30" s="1566"/>
    </row>
    <row r="31" spans="1:21" x14ac:dyDescent="0.35">
      <c r="A31" t="s">
        <v>2451</v>
      </c>
      <c r="K31" s="1566"/>
    </row>
    <row r="32" spans="1:21" x14ac:dyDescent="0.35">
      <c r="A32" t="s">
        <v>2452</v>
      </c>
      <c r="K32" s="1566"/>
    </row>
    <row r="33" spans="1:11" x14ac:dyDescent="0.35">
      <c r="A33" t="s">
        <v>2470</v>
      </c>
      <c r="K33" s="156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8437A-26B5-4B41-9F30-FB7914A4F162}">
  <sheetPr filterMode="1">
    <pageSetUpPr fitToPage="1"/>
  </sheetPr>
  <dimension ref="A1:BP496"/>
  <sheetViews>
    <sheetView view="pageBreakPreview" zoomScale="70" zoomScaleNormal="70" zoomScaleSheetLayoutView="70" workbookViewId="0">
      <pane xSplit="4" ySplit="5" topLeftCell="E6" activePane="bottomRight" state="frozen"/>
      <selection pane="topRight" activeCell="D1" sqref="D1"/>
      <selection pane="bottomLeft" activeCell="A6" sqref="A6"/>
      <selection pane="bottomRight" activeCell="K19" sqref="K19"/>
    </sheetView>
  </sheetViews>
  <sheetFormatPr defaultColWidth="9.1796875" defaultRowHeight="14.5" x14ac:dyDescent="0.35"/>
  <cols>
    <col min="1" max="1" width="9.1796875" style="1537"/>
    <col min="2" max="2" width="4.81640625" style="1537" customWidth="1"/>
    <col min="3" max="3" width="15.1796875" style="1537" customWidth="1"/>
    <col min="4" max="4" width="44.7265625" style="1537" customWidth="1"/>
    <col min="5" max="5" width="45.1796875" style="1537" bestFit="1" customWidth="1"/>
    <col min="6" max="6" width="12" style="1537" customWidth="1"/>
    <col min="7" max="7" width="10.7265625" style="1539" customWidth="1"/>
    <col min="8" max="10" width="21.1796875" style="1537" customWidth="1"/>
    <col min="11" max="11" width="15.1796875" style="1537" customWidth="1"/>
    <col min="12" max="12" width="16.7265625" style="1537" customWidth="1"/>
    <col min="13" max="30" width="5.453125" style="1537" customWidth="1"/>
    <col min="31" max="37" width="10.81640625" style="1537" customWidth="1"/>
    <col min="38" max="38" width="11.26953125" style="1537" bestFit="1" customWidth="1"/>
    <col min="39" max="39" width="11.81640625" style="1537" bestFit="1" customWidth="1"/>
    <col min="40" max="40" width="12.1796875" style="1537" bestFit="1" customWidth="1"/>
    <col min="41" max="41" width="9.26953125" style="1537" bestFit="1" customWidth="1"/>
    <col min="42" max="42" width="14.7265625" style="1537" bestFit="1" customWidth="1"/>
    <col min="43" max="44" width="14.7265625" style="1537" customWidth="1"/>
    <col min="45" max="45" width="90.54296875" style="1537" bestFit="1" customWidth="1"/>
    <col min="46" max="16384" width="9.1796875" style="1537"/>
  </cols>
  <sheetData>
    <row r="1" spans="2:68" s="1527" customFormat="1" x14ac:dyDescent="0.35">
      <c r="B1" s="1527" t="s">
        <v>651</v>
      </c>
      <c r="G1" s="1528"/>
      <c r="O1" s="1529"/>
      <c r="U1" s="1530"/>
      <c r="V1" s="1527" t="s">
        <v>1953</v>
      </c>
      <c r="BO1" s="1531"/>
      <c r="BP1" s="1531"/>
    </row>
    <row r="2" spans="2:68" s="1534" customFormat="1" ht="13" x14ac:dyDescent="0.3">
      <c r="B2" s="1532" t="s">
        <v>1954</v>
      </c>
      <c r="C2" s="1532"/>
      <c r="D2" s="1532"/>
      <c r="E2" s="1532"/>
      <c r="F2" s="1532"/>
      <c r="G2" s="1533"/>
    </row>
    <row r="3" spans="2:68" s="1527" customFormat="1" ht="13" x14ac:dyDescent="0.3">
      <c r="C3" s="1535"/>
      <c r="D3" s="1535"/>
      <c r="E3" s="1535"/>
      <c r="F3" s="1535"/>
      <c r="G3" s="1536"/>
    </row>
    <row r="4" spans="2:68" x14ac:dyDescent="0.35">
      <c r="C4" s="1538"/>
      <c r="K4" s="1540"/>
      <c r="M4" s="1541" t="s">
        <v>1955</v>
      </c>
      <c r="N4" s="1541"/>
      <c r="O4" s="1541"/>
      <c r="P4" s="1541"/>
      <c r="Q4" s="1541"/>
      <c r="R4" s="1541"/>
      <c r="S4" s="1541"/>
      <c r="T4" s="1541"/>
      <c r="U4" s="1541"/>
      <c r="V4" s="1541"/>
      <c r="W4" s="1541"/>
      <c r="X4" s="1541"/>
      <c r="Y4" s="1541"/>
      <c r="Z4" s="1541"/>
      <c r="AA4" s="1527"/>
      <c r="AB4" s="1527"/>
      <c r="AC4" s="1527"/>
      <c r="AD4" s="1527"/>
      <c r="AE4" s="1541" t="s">
        <v>1956</v>
      </c>
      <c r="AF4" s="1541"/>
      <c r="AG4" s="1541"/>
      <c r="AH4" s="1541"/>
      <c r="AI4" s="1541"/>
      <c r="AJ4" s="1541"/>
      <c r="AK4" s="1541"/>
      <c r="AL4" s="1541" t="s">
        <v>1957</v>
      </c>
      <c r="AM4" s="1541"/>
      <c r="AN4" s="1541" t="s">
        <v>1958</v>
      </c>
      <c r="AO4" s="1541"/>
      <c r="AP4" s="1542"/>
      <c r="AQ4" s="1542"/>
      <c r="AR4" s="1542"/>
    </row>
    <row r="5" spans="2:68" s="1543" customFormat="1" ht="32.5" customHeight="1" x14ac:dyDescent="0.6">
      <c r="B5" s="1543" t="s">
        <v>1959</v>
      </c>
      <c r="C5" s="1543" t="s">
        <v>1560</v>
      </c>
      <c r="D5" s="1543" t="s">
        <v>1960</v>
      </c>
      <c r="E5" s="1543" t="s">
        <v>1961</v>
      </c>
      <c r="F5" s="1543" t="s">
        <v>1962</v>
      </c>
      <c r="G5" s="1543" t="s">
        <v>1963</v>
      </c>
      <c r="H5" s="1543" t="s">
        <v>1964</v>
      </c>
      <c r="I5" s="1543" t="s">
        <v>283</v>
      </c>
      <c r="J5" s="1543" t="s">
        <v>1965</v>
      </c>
      <c r="K5" s="1543" t="s">
        <v>1966</v>
      </c>
      <c r="L5" s="1543" t="s">
        <v>1967</v>
      </c>
      <c r="M5" s="1543" t="s">
        <v>1968</v>
      </c>
      <c r="N5" s="1543" t="s">
        <v>1969</v>
      </c>
      <c r="O5" s="1543">
        <v>1</v>
      </c>
      <c r="P5" s="1543">
        <f t="shared" ref="P5:Z5" si="0">+O5+1</f>
        <v>2</v>
      </c>
      <c r="Q5" s="1543">
        <f t="shared" si="0"/>
        <v>3</v>
      </c>
      <c r="R5" s="1543">
        <f t="shared" si="0"/>
        <v>4</v>
      </c>
      <c r="S5" s="1543">
        <f t="shared" si="0"/>
        <v>5</v>
      </c>
      <c r="T5" s="1543">
        <f t="shared" si="0"/>
        <v>6</v>
      </c>
      <c r="U5" s="1543">
        <f t="shared" si="0"/>
        <v>7</v>
      </c>
      <c r="V5" s="1543">
        <f t="shared" si="0"/>
        <v>8</v>
      </c>
      <c r="W5" s="1543">
        <f t="shared" si="0"/>
        <v>9</v>
      </c>
      <c r="X5" s="1543">
        <f t="shared" si="0"/>
        <v>10</v>
      </c>
      <c r="Y5" s="1543">
        <f t="shared" si="0"/>
        <v>11</v>
      </c>
      <c r="Z5" s="1543">
        <f t="shared" si="0"/>
        <v>12</v>
      </c>
      <c r="AA5" s="1527" t="s">
        <v>1970</v>
      </c>
      <c r="AB5" s="1527" t="s">
        <v>1971</v>
      </c>
      <c r="AC5" s="1527"/>
      <c r="AD5" s="1527"/>
      <c r="AE5" s="1543" t="s">
        <v>1972</v>
      </c>
      <c r="AF5" s="1543" t="s">
        <v>1973</v>
      </c>
      <c r="AG5" s="1543" t="s">
        <v>1974</v>
      </c>
      <c r="AH5" s="1543" t="s">
        <v>1975</v>
      </c>
      <c r="AI5" s="1543" t="s">
        <v>1976</v>
      </c>
      <c r="AJ5" s="1543" t="s">
        <v>1977</v>
      </c>
      <c r="AK5" s="1543" t="s">
        <v>1978</v>
      </c>
      <c r="AL5" s="1543" t="s">
        <v>1979</v>
      </c>
      <c r="AM5" s="1543" t="s">
        <v>1980</v>
      </c>
      <c r="AN5" s="1543" t="s">
        <v>1981</v>
      </c>
      <c r="AO5" s="1543" t="s">
        <v>1982</v>
      </c>
      <c r="AP5" s="1543" t="s">
        <v>1983</v>
      </c>
      <c r="AQ5" s="1543" t="s">
        <v>1984</v>
      </c>
      <c r="AR5" s="1543" t="s">
        <v>1985</v>
      </c>
      <c r="AS5" s="1544" t="s">
        <v>1986</v>
      </c>
    </row>
    <row r="6" spans="2:68" x14ac:dyDescent="0.35">
      <c r="B6" s="1537">
        <v>1</v>
      </c>
      <c r="C6" s="1537" t="s">
        <v>1559</v>
      </c>
      <c r="D6" s="1537" t="s">
        <v>1987</v>
      </c>
      <c r="E6" s="1537" t="s">
        <v>1988</v>
      </c>
      <c r="F6" s="1537">
        <v>1</v>
      </c>
      <c r="G6" s="1539" t="s">
        <v>1989</v>
      </c>
      <c r="H6" s="1537" t="s">
        <v>1990</v>
      </c>
      <c r="I6" s="1537" t="s">
        <v>1991</v>
      </c>
      <c r="K6" s="1545">
        <v>3901</v>
      </c>
      <c r="L6" s="1545" t="s">
        <v>890</v>
      </c>
      <c r="M6" s="1546">
        <v>0</v>
      </c>
      <c r="N6" s="1546">
        <v>240</v>
      </c>
      <c r="O6" s="1546">
        <v>231</v>
      </c>
      <c r="P6" s="1546">
        <v>234</v>
      </c>
      <c r="Q6" s="1546">
        <v>243</v>
      </c>
      <c r="R6" s="1546">
        <v>280</v>
      </c>
      <c r="S6" s="1546">
        <v>299</v>
      </c>
      <c r="T6" s="1546">
        <v>375</v>
      </c>
      <c r="U6" s="1546">
        <v>366</v>
      </c>
      <c r="V6" s="1546">
        <v>460</v>
      </c>
      <c r="W6" s="1546">
        <v>374</v>
      </c>
      <c r="X6" s="1546">
        <v>360</v>
      </c>
      <c r="Y6" s="1546">
        <v>265</v>
      </c>
      <c r="Z6" s="1546">
        <v>174</v>
      </c>
      <c r="AA6" s="1546"/>
      <c r="AB6" s="1546"/>
      <c r="AC6" s="1546"/>
      <c r="AD6" s="1546"/>
      <c r="AE6" s="1546">
        <v>26</v>
      </c>
      <c r="AF6" s="1546">
        <v>40</v>
      </c>
      <c r="AG6" s="1546">
        <v>1567</v>
      </c>
      <c r="AH6" s="1546">
        <v>198</v>
      </c>
      <c r="AI6" s="1546">
        <v>8</v>
      </c>
      <c r="AJ6" s="1546">
        <v>1948</v>
      </c>
      <c r="AK6" s="1546">
        <v>114</v>
      </c>
      <c r="AL6" s="1546">
        <v>1876</v>
      </c>
      <c r="AM6" s="1546">
        <v>2025</v>
      </c>
      <c r="AN6" s="1546">
        <v>2600</v>
      </c>
      <c r="AO6" s="1546">
        <v>60</v>
      </c>
      <c r="AP6" s="1547" t="s">
        <v>1992</v>
      </c>
      <c r="AQ6" s="1547" t="s">
        <v>890</v>
      </c>
      <c r="AR6" s="1547"/>
      <c r="AS6" s="1548" t="s">
        <v>1993</v>
      </c>
    </row>
    <row r="7" spans="2:68" x14ac:dyDescent="0.35">
      <c r="B7" s="1537">
        <f>+B6+1</f>
        <v>2</v>
      </c>
      <c r="C7" s="1537" t="s">
        <v>1559</v>
      </c>
      <c r="D7" s="1537" t="s">
        <v>1994</v>
      </c>
      <c r="E7" s="1537" t="s">
        <v>1994</v>
      </c>
      <c r="F7" s="1537">
        <v>1</v>
      </c>
      <c r="G7" s="1539" t="s">
        <v>1989</v>
      </c>
      <c r="H7" s="1537" t="s">
        <v>1990</v>
      </c>
      <c r="I7" s="1537" t="s">
        <v>1991</v>
      </c>
      <c r="K7" s="1545">
        <v>1596</v>
      </c>
      <c r="L7" s="1545" t="s">
        <v>890</v>
      </c>
      <c r="M7" s="1546">
        <v>1</v>
      </c>
      <c r="N7" s="1546">
        <v>71</v>
      </c>
      <c r="O7" s="1546">
        <v>102</v>
      </c>
      <c r="P7" s="1546">
        <v>101</v>
      </c>
      <c r="Q7" s="1546">
        <v>98</v>
      </c>
      <c r="R7" s="1546">
        <v>114</v>
      </c>
      <c r="S7" s="1546">
        <v>113</v>
      </c>
      <c r="T7" s="1546">
        <v>151</v>
      </c>
      <c r="U7" s="1546">
        <v>196</v>
      </c>
      <c r="V7" s="1546">
        <v>196</v>
      </c>
      <c r="W7" s="1546">
        <v>167</v>
      </c>
      <c r="X7" s="1546">
        <v>147</v>
      </c>
      <c r="Y7" s="1546">
        <v>93</v>
      </c>
      <c r="Z7" s="1546">
        <v>46</v>
      </c>
      <c r="AA7" s="1546"/>
      <c r="AB7" s="1546"/>
      <c r="AC7" s="1546"/>
      <c r="AD7" s="1546"/>
      <c r="AE7" s="1546">
        <v>25</v>
      </c>
      <c r="AF7" s="1546">
        <v>7</v>
      </c>
      <c r="AG7" s="1546">
        <v>721</v>
      </c>
      <c r="AH7" s="1546">
        <v>85</v>
      </c>
      <c r="AI7" s="1546">
        <v>2</v>
      </c>
      <c r="AJ7" s="1546">
        <v>712</v>
      </c>
      <c r="AK7" s="1546">
        <v>44</v>
      </c>
      <c r="AL7" s="1546">
        <v>785</v>
      </c>
      <c r="AM7" s="1546">
        <v>811</v>
      </c>
      <c r="AN7" s="1546">
        <v>1157</v>
      </c>
      <c r="AO7" s="1546">
        <v>26</v>
      </c>
      <c r="AP7" s="1537" t="s">
        <v>1995</v>
      </c>
      <c r="AQ7" s="1548" t="s">
        <v>1996</v>
      </c>
      <c r="AR7" s="1548"/>
      <c r="AS7" s="1548" t="s">
        <v>1997</v>
      </c>
    </row>
    <row r="8" spans="2:68" hidden="1" x14ac:dyDescent="0.35">
      <c r="B8" s="1537">
        <f t="shared" ref="B8:B71" si="1">+B7+1</f>
        <v>3</v>
      </c>
      <c r="C8" s="1537" t="s">
        <v>1559</v>
      </c>
      <c r="D8" s="1530" t="s">
        <v>1998</v>
      </c>
      <c r="F8" s="1537">
        <v>1</v>
      </c>
      <c r="G8" s="1537" t="s">
        <v>1999</v>
      </c>
      <c r="H8" s="1537" t="s">
        <v>2000</v>
      </c>
      <c r="K8" s="1545"/>
      <c r="L8" s="1545"/>
      <c r="M8" s="1545"/>
      <c r="N8" s="1545"/>
      <c r="O8" s="1545"/>
      <c r="P8" s="1545"/>
      <c r="Q8" s="1545"/>
      <c r="R8" s="1545"/>
      <c r="S8" s="1545"/>
      <c r="T8" s="1545"/>
      <c r="U8" s="1545"/>
      <c r="V8" s="1545"/>
      <c r="W8" s="1545"/>
      <c r="X8" s="1545"/>
      <c r="Y8" s="1545"/>
      <c r="Z8" s="1545"/>
      <c r="AA8" s="1545"/>
      <c r="AB8" s="1545"/>
      <c r="AC8" s="1545"/>
      <c r="AD8" s="1545"/>
      <c r="AE8" s="1545"/>
      <c r="AF8" s="1545"/>
      <c r="AG8" s="1545"/>
      <c r="AH8" s="1545"/>
      <c r="AI8" s="1545"/>
      <c r="AJ8" s="1545"/>
      <c r="AK8" s="1545"/>
      <c r="AL8" s="1545"/>
      <c r="AM8" s="1545"/>
      <c r="AN8" s="1545"/>
      <c r="AO8" s="1545"/>
    </row>
    <row r="9" spans="2:68" hidden="1" x14ac:dyDescent="0.35">
      <c r="B9" s="1537">
        <f t="shared" si="1"/>
        <v>4</v>
      </c>
      <c r="C9" s="1537" t="s">
        <v>1559</v>
      </c>
      <c r="D9" s="1530" t="s">
        <v>2001</v>
      </c>
      <c r="F9" s="1537">
        <v>1</v>
      </c>
      <c r="G9" s="1537" t="s">
        <v>1989</v>
      </c>
      <c r="H9" s="1537" t="s">
        <v>2000</v>
      </c>
      <c r="K9" s="1545"/>
      <c r="L9" s="1545"/>
      <c r="M9" s="1545"/>
      <c r="N9" s="1545"/>
      <c r="O9" s="1545"/>
      <c r="P9" s="1545"/>
      <c r="Q9" s="1545"/>
      <c r="R9" s="1545"/>
      <c r="S9" s="1545"/>
      <c r="T9" s="1545"/>
      <c r="U9" s="1545"/>
      <c r="V9" s="1545"/>
      <c r="W9" s="1545"/>
      <c r="X9" s="1545"/>
      <c r="Y9" s="1545"/>
      <c r="Z9" s="1545"/>
      <c r="AA9" s="1545"/>
      <c r="AB9" s="1545"/>
      <c r="AC9" s="1545"/>
      <c r="AD9" s="1545"/>
      <c r="AE9" s="1545"/>
      <c r="AF9" s="1545"/>
      <c r="AG9" s="1545"/>
      <c r="AH9" s="1545"/>
      <c r="AI9" s="1545"/>
      <c r="AJ9" s="1545"/>
      <c r="AK9" s="1545"/>
      <c r="AL9" s="1545"/>
      <c r="AM9" s="1545"/>
      <c r="AN9" s="1545"/>
      <c r="AO9" s="1545"/>
    </row>
    <row r="10" spans="2:68" hidden="1" x14ac:dyDescent="0.35">
      <c r="B10" s="1537">
        <f t="shared" si="1"/>
        <v>5</v>
      </c>
      <c r="C10" s="1537" t="s">
        <v>1559</v>
      </c>
      <c r="D10" s="1530" t="s">
        <v>2002</v>
      </c>
      <c r="F10" s="1537">
        <v>1</v>
      </c>
      <c r="G10" s="1537" t="s">
        <v>1989</v>
      </c>
      <c r="H10" s="1537" t="s">
        <v>2000</v>
      </c>
      <c r="K10" s="1545"/>
      <c r="L10" s="1545"/>
      <c r="M10" s="1545"/>
      <c r="N10" s="1545"/>
      <c r="O10" s="1545"/>
      <c r="P10" s="1545"/>
      <c r="Q10" s="1545"/>
      <c r="R10" s="1545"/>
      <c r="S10" s="1545"/>
      <c r="T10" s="1545"/>
      <c r="U10" s="1545"/>
      <c r="V10" s="1545"/>
      <c r="W10" s="1545"/>
      <c r="X10" s="1545"/>
      <c r="Y10" s="1545"/>
      <c r="Z10" s="1545"/>
      <c r="AA10" s="1545"/>
      <c r="AB10" s="1545"/>
      <c r="AC10" s="1545"/>
      <c r="AD10" s="1545"/>
      <c r="AE10" s="1545"/>
      <c r="AF10" s="1545"/>
      <c r="AG10" s="1545"/>
      <c r="AH10" s="1545"/>
      <c r="AI10" s="1545"/>
      <c r="AJ10" s="1545"/>
      <c r="AK10" s="1545"/>
      <c r="AL10" s="1545"/>
      <c r="AM10" s="1545"/>
      <c r="AN10" s="1545"/>
      <c r="AO10" s="1545"/>
    </row>
    <row r="11" spans="2:68" hidden="1" x14ac:dyDescent="0.35">
      <c r="B11" s="1537">
        <f t="shared" si="1"/>
        <v>6</v>
      </c>
      <c r="C11" s="1537" t="s">
        <v>1559</v>
      </c>
      <c r="D11" s="1530" t="s">
        <v>2003</v>
      </c>
      <c r="F11" s="1537">
        <v>1</v>
      </c>
      <c r="G11" s="1549" t="s">
        <v>2004</v>
      </c>
      <c r="H11" s="1537" t="s">
        <v>2000</v>
      </c>
      <c r="K11" s="1545"/>
      <c r="L11" s="1545"/>
      <c r="M11" s="1545"/>
      <c r="N11" s="1545"/>
      <c r="O11" s="1545"/>
      <c r="P11" s="1545"/>
      <c r="Q11" s="1545"/>
      <c r="R11" s="1545"/>
      <c r="S11" s="1545"/>
      <c r="T11" s="1545"/>
      <c r="U11" s="1545"/>
      <c r="V11" s="1545"/>
      <c r="W11" s="1545"/>
      <c r="X11" s="1545"/>
      <c r="Y11" s="1545"/>
      <c r="Z11" s="1545"/>
      <c r="AA11" s="1545"/>
      <c r="AB11" s="1545"/>
      <c r="AC11" s="1545"/>
      <c r="AD11" s="1545"/>
      <c r="AE11" s="1545"/>
      <c r="AF11" s="1545"/>
      <c r="AG11" s="1545"/>
      <c r="AH11" s="1545"/>
      <c r="AI11" s="1545"/>
      <c r="AJ11" s="1545"/>
      <c r="AK11" s="1545"/>
      <c r="AL11" s="1545"/>
      <c r="AM11" s="1545"/>
      <c r="AN11" s="1545"/>
      <c r="AO11" s="1545"/>
    </row>
    <row r="12" spans="2:68" hidden="1" x14ac:dyDescent="0.35">
      <c r="B12" s="1537">
        <f t="shared" si="1"/>
        <v>7</v>
      </c>
      <c r="C12" s="1537" t="s">
        <v>1559</v>
      </c>
      <c r="D12" s="1530" t="s">
        <v>2005</v>
      </c>
      <c r="F12" s="1537">
        <v>1</v>
      </c>
      <c r="G12" s="1537" t="s">
        <v>1999</v>
      </c>
      <c r="H12" s="1537" t="s">
        <v>2000</v>
      </c>
      <c r="K12" s="1545"/>
      <c r="L12" s="1545"/>
      <c r="M12" s="1545"/>
      <c r="N12" s="1545"/>
      <c r="O12" s="1545"/>
      <c r="P12" s="1545"/>
      <c r="Q12" s="1545"/>
      <c r="R12" s="1545"/>
      <c r="S12" s="1545"/>
      <c r="T12" s="1545"/>
      <c r="U12" s="1545"/>
      <c r="V12" s="1545"/>
      <c r="W12" s="1545"/>
      <c r="X12" s="1545"/>
      <c r="Y12" s="1545"/>
      <c r="Z12" s="1545"/>
      <c r="AA12" s="1545"/>
      <c r="AB12" s="1545"/>
      <c r="AC12" s="1545"/>
      <c r="AD12" s="1545"/>
      <c r="AE12" s="1545"/>
      <c r="AF12" s="1545"/>
      <c r="AG12" s="1545"/>
      <c r="AH12" s="1545"/>
      <c r="AI12" s="1545"/>
      <c r="AJ12" s="1545"/>
      <c r="AK12" s="1545"/>
      <c r="AL12" s="1545"/>
      <c r="AM12" s="1545"/>
      <c r="AN12" s="1545"/>
      <c r="AO12" s="1545"/>
    </row>
    <row r="13" spans="2:68" x14ac:dyDescent="0.35">
      <c r="B13" s="1537">
        <f t="shared" si="1"/>
        <v>8</v>
      </c>
      <c r="C13" s="1537" t="s">
        <v>1559</v>
      </c>
      <c r="D13" s="1537" t="s">
        <v>2006</v>
      </c>
      <c r="E13" s="1537" t="s">
        <v>2006</v>
      </c>
      <c r="F13" s="1537">
        <v>1</v>
      </c>
      <c r="G13" s="1550" t="s">
        <v>1989</v>
      </c>
      <c r="H13" s="1537" t="s">
        <v>1990</v>
      </c>
      <c r="I13" s="1537" t="s">
        <v>1991</v>
      </c>
      <c r="K13" s="1545">
        <v>340</v>
      </c>
      <c r="L13" s="1545" t="s">
        <v>890</v>
      </c>
      <c r="M13" s="1551">
        <v>0</v>
      </c>
      <c r="N13" s="1551">
        <v>1</v>
      </c>
      <c r="O13" s="1551">
        <v>3</v>
      </c>
      <c r="P13" s="1551">
        <v>6</v>
      </c>
      <c r="Q13" s="1551">
        <v>5</v>
      </c>
      <c r="R13" s="1551">
        <v>8</v>
      </c>
      <c r="S13" s="1551">
        <v>13</v>
      </c>
      <c r="T13" s="1551">
        <v>12</v>
      </c>
      <c r="U13" s="1551">
        <v>25</v>
      </c>
      <c r="V13" s="1551">
        <v>20</v>
      </c>
      <c r="W13" s="1551">
        <v>37</v>
      </c>
      <c r="X13" s="1551">
        <v>50</v>
      </c>
      <c r="Y13" s="1551">
        <v>78</v>
      </c>
      <c r="Z13" s="1551">
        <v>82</v>
      </c>
      <c r="AA13" s="1551"/>
      <c r="AB13" s="1551"/>
      <c r="AC13" s="1551"/>
      <c r="AD13" s="1551"/>
      <c r="AE13" s="1551">
        <v>2</v>
      </c>
      <c r="AF13" s="1551">
        <v>4</v>
      </c>
      <c r="AG13" s="1551">
        <v>137</v>
      </c>
      <c r="AH13" s="1551">
        <v>8</v>
      </c>
      <c r="AI13" s="1551">
        <v>1</v>
      </c>
      <c r="AJ13" s="1551">
        <v>176</v>
      </c>
      <c r="AK13" s="1551">
        <v>12</v>
      </c>
      <c r="AL13" s="1551">
        <v>162</v>
      </c>
      <c r="AM13" s="1551">
        <v>178</v>
      </c>
      <c r="AN13" s="1551">
        <v>249</v>
      </c>
      <c r="AO13" s="1551">
        <v>6</v>
      </c>
      <c r="AP13" s="1537" t="s">
        <v>2007</v>
      </c>
      <c r="AQ13" s="1537" t="s">
        <v>2008</v>
      </c>
      <c r="AR13" s="1537" t="s">
        <v>2009</v>
      </c>
      <c r="AS13" s="1552" t="s">
        <v>2010</v>
      </c>
    </row>
    <row r="14" spans="2:68" hidden="1" x14ac:dyDescent="0.35">
      <c r="B14" s="1537">
        <f t="shared" si="1"/>
        <v>9</v>
      </c>
      <c r="C14" s="1537" t="s">
        <v>1822</v>
      </c>
      <c r="D14" s="1530" t="s">
        <v>1998</v>
      </c>
      <c r="F14" s="1537">
        <v>1</v>
      </c>
      <c r="G14" s="1537" t="s">
        <v>1999</v>
      </c>
      <c r="H14" s="1537" t="s">
        <v>2000</v>
      </c>
      <c r="K14" s="1545"/>
      <c r="L14" s="1545"/>
      <c r="M14" s="1545"/>
      <c r="N14" s="1545"/>
      <c r="O14" s="1545"/>
      <c r="P14" s="1545"/>
      <c r="Q14" s="1545"/>
      <c r="R14" s="1545"/>
      <c r="S14" s="1545"/>
      <c r="T14" s="1545"/>
      <c r="U14" s="1545"/>
      <c r="V14" s="1545"/>
      <c r="W14" s="1545"/>
      <c r="X14" s="1545"/>
      <c r="Y14" s="1545"/>
      <c r="Z14" s="1545"/>
      <c r="AA14" s="1545"/>
      <c r="AB14" s="1545"/>
      <c r="AC14" s="1545"/>
      <c r="AD14" s="1545"/>
      <c r="AE14" s="1545"/>
      <c r="AF14" s="1545"/>
      <c r="AG14" s="1545"/>
      <c r="AH14" s="1545"/>
      <c r="AI14" s="1545"/>
      <c r="AJ14" s="1545"/>
      <c r="AK14" s="1545"/>
      <c r="AL14" s="1545"/>
      <c r="AM14" s="1545"/>
      <c r="AN14" s="1545"/>
      <c r="AO14" s="1545"/>
    </row>
    <row r="15" spans="2:68" hidden="1" x14ac:dyDescent="0.35">
      <c r="B15" s="1537">
        <f t="shared" si="1"/>
        <v>10</v>
      </c>
      <c r="C15" s="1537" t="s">
        <v>1822</v>
      </c>
      <c r="D15" s="1530" t="s">
        <v>2001</v>
      </c>
      <c r="F15" s="1537">
        <v>1</v>
      </c>
      <c r="G15" s="1537" t="s">
        <v>1989</v>
      </c>
      <c r="H15" s="1537" t="s">
        <v>2000</v>
      </c>
      <c r="K15" s="1545"/>
      <c r="L15" s="1545"/>
      <c r="M15" s="1545"/>
      <c r="N15" s="1545"/>
      <c r="O15" s="1545"/>
      <c r="P15" s="1545"/>
      <c r="Q15" s="1545"/>
      <c r="R15" s="1545"/>
      <c r="S15" s="1545"/>
      <c r="T15" s="1545"/>
      <c r="U15" s="1545"/>
      <c r="V15" s="1545"/>
      <c r="W15" s="1545"/>
      <c r="X15" s="1545"/>
      <c r="Y15" s="1545"/>
      <c r="Z15" s="1545"/>
      <c r="AA15" s="1545"/>
      <c r="AB15" s="1545"/>
      <c r="AC15" s="1545"/>
      <c r="AD15" s="1545"/>
      <c r="AE15" s="1545"/>
      <c r="AF15" s="1545"/>
      <c r="AG15" s="1545"/>
      <c r="AH15" s="1545"/>
      <c r="AI15" s="1545"/>
      <c r="AJ15" s="1545"/>
      <c r="AK15" s="1545"/>
      <c r="AL15" s="1545"/>
      <c r="AM15" s="1545"/>
      <c r="AN15" s="1545"/>
      <c r="AO15" s="1545"/>
    </row>
    <row r="16" spans="2:68" hidden="1" x14ac:dyDescent="0.35">
      <c r="B16" s="1537">
        <f t="shared" si="1"/>
        <v>11</v>
      </c>
      <c r="C16" s="1537" t="s">
        <v>1822</v>
      </c>
      <c r="D16" s="1530" t="s">
        <v>2002</v>
      </c>
      <c r="F16" s="1537">
        <v>1</v>
      </c>
      <c r="G16" s="1537" t="s">
        <v>1989</v>
      </c>
      <c r="H16" s="1537" t="s">
        <v>2000</v>
      </c>
      <c r="K16" s="1545"/>
      <c r="L16" s="1545"/>
      <c r="M16" s="1545"/>
      <c r="N16" s="1545"/>
      <c r="O16" s="1545"/>
      <c r="P16" s="1545"/>
      <c r="Q16" s="1545"/>
      <c r="R16" s="1545"/>
      <c r="S16" s="1545"/>
      <c r="T16" s="1545"/>
      <c r="U16" s="1545"/>
      <c r="V16" s="1545"/>
      <c r="W16" s="1545"/>
      <c r="X16" s="1545"/>
      <c r="Y16" s="1545"/>
      <c r="Z16" s="1545"/>
      <c r="AA16" s="1545"/>
      <c r="AB16" s="1545"/>
      <c r="AC16" s="1545"/>
      <c r="AD16" s="1545"/>
      <c r="AE16" s="1545"/>
      <c r="AF16" s="1545"/>
      <c r="AG16" s="1545"/>
      <c r="AH16" s="1545"/>
      <c r="AI16" s="1545"/>
      <c r="AJ16" s="1545"/>
      <c r="AK16" s="1545"/>
      <c r="AL16" s="1545"/>
      <c r="AM16" s="1545"/>
      <c r="AN16" s="1545"/>
      <c r="AO16" s="1545"/>
    </row>
    <row r="17" spans="1:45" hidden="1" x14ac:dyDescent="0.35">
      <c r="B17" s="1537">
        <f t="shared" si="1"/>
        <v>12</v>
      </c>
      <c r="C17" s="1537" t="s">
        <v>1822</v>
      </c>
      <c r="D17" s="1530" t="s">
        <v>2003</v>
      </c>
      <c r="F17" s="1537">
        <v>1</v>
      </c>
      <c r="G17" s="1549" t="s">
        <v>2004</v>
      </c>
      <c r="H17" s="1537" t="s">
        <v>2000</v>
      </c>
      <c r="K17" s="1545"/>
      <c r="L17" s="1545"/>
      <c r="M17" s="1545"/>
      <c r="N17" s="1545"/>
      <c r="O17" s="1545"/>
      <c r="P17" s="1545"/>
      <c r="Q17" s="1545"/>
      <c r="R17" s="1545"/>
      <c r="S17" s="1545"/>
      <c r="T17" s="1545"/>
      <c r="U17" s="1545"/>
      <c r="V17" s="1545"/>
      <c r="W17" s="1545"/>
      <c r="X17" s="1545"/>
      <c r="Y17" s="1545"/>
      <c r="Z17" s="1545"/>
      <c r="AA17" s="1545"/>
      <c r="AB17" s="1545"/>
      <c r="AC17" s="1545"/>
      <c r="AD17" s="1545"/>
      <c r="AE17" s="1545"/>
      <c r="AF17" s="1545"/>
      <c r="AG17" s="1545"/>
      <c r="AH17" s="1545"/>
      <c r="AI17" s="1545"/>
      <c r="AJ17" s="1545"/>
      <c r="AK17" s="1545"/>
      <c r="AL17" s="1545"/>
      <c r="AM17" s="1545"/>
      <c r="AN17" s="1545"/>
      <c r="AO17" s="1545"/>
    </row>
    <row r="18" spans="1:45" hidden="1" x14ac:dyDescent="0.35">
      <c r="B18" s="1537">
        <f t="shared" si="1"/>
        <v>13</v>
      </c>
      <c r="C18" s="1537" t="s">
        <v>1822</v>
      </c>
      <c r="D18" s="1530" t="s">
        <v>2005</v>
      </c>
      <c r="F18" s="1537">
        <v>1</v>
      </c>
      <c r="G18" s="1537" t="s">
        <v>1999</v>
      </c>
      <c r="H18" s="1537" t="s">
        <v>2000</v>
      </c>
      <c r="K18" s="1545"/>
      <c r="L18" s="1545"/>
      <c r="M18" s="1545"/>
      <c r="N18" s="1545"/>
      <c r="O18" s="1545"/>
      <c r="P18" s="1545"/>
      <c r="Q18" s="1545"/>
      <c r="R18" s="1545"/>
      <c r="S18" s="1545"/>
      <c r="T18" s="1545"/>
      <c r="U18" s="1545"/>
      <c r="V18" s="1545"/>
      <c r="W18" s="1545"/>
      <c r="X18" s="1545"/>
      <c r="Y18" s="1545"/>
      <c r="Z18" s="1545"/>
      <c r="AA18" s="1545"/>
      <c r="AB18" s="1545"/>
      <c r="AC18" s="1545"/>
      <c r="AD18" s="1545"/>
      <c r="AE18" s="1545"/>
      <c r="AF18" s="1545"/>
      <c r="AG18" s="1545"/>
      <c r="AH18" s="1545"/>
      <c r="AI18" s="1545"/>
      <c r="AJ18" s="1545"/>
      <c r="AK18" s="1545"/>
      <c r="AL18" s="1545"/>
      <c r="AM18" s="1545"/>
      <c r="AN18" s="1545"/>
      <c r="AO18" s="1545"/>
    </row>
    <row r="19" spans="1:45" x14ac:dyDescent="0.35">
      <c r="B19" s="1537">
        <f t="shared" si="1"/>
        <v>14</v>
      </c>
      <c r="C19" s="1537" t="s">
        <v>1620</v>
      </c>
      <c r="D19" s="1567" t="s">
        <v>2011</v>
      </c>
      <c r="E19" s="1537" t="s">
        <v>2012</v>
      </c>
      <c r="F19" s="1537">
        <v>1</v>
      </c>
      <c r="G19" s="1550" t="s">
        <v>2013</v>
      </c>
      <c r="H19" s="1537" t="s">
        <v>1990</v>
      </c>
      <c r="I19" s="1537" t="s">
        <v>1991</v>
      </c>
      <c r="K19" s="1545">
        <v>1103</v>
      </c>
      <c r="L19" s="1545" t="s">
        <v>890</v>
      </c>
      <c r="M19" s="1551">
        <v>0</v>
      </c>
      <c r="N19" s="1551">
        <v>0</v>
      </c>
      <c r="O19" s="1551">
        <v>0</v>
      </c>
      <c r="P19" s="1551">
        <v>0</v>
      </c>
      <c r="Q19" s="1551">
        <v>0</v>
      </c>
      <c r="R19" s="1551">
        <v>0</v>
      </c>
      <c r="S19" s="1551">
        <v>0</v>
      </c>
      <c r="T19" s="1551">
        <v>0</v>
      </c>
      <c r="U19" s="1551">
        <v>62</v>
      </c>
      <c r="V19" s="1551">
        <v>96</v>
      </c>
      <c r="W19" s="1551">
        <v>152</v>
      </c>
      <c r="X19" s="1551">
        <v>228</v>
      </c>
      <c r="Y19" s="1551">
        <v>266</v>
      </c>
      <c r="Z19" s="1551">
        <v>299</v>
      </c>
      <c r="AA19" s="1551"/>
      <c r="AB19" s="1551"/>
      <c r="AC19" s="1551"/>
      <c r="AD19" s="1551"/>
      <c r="AE19" s="1551">
        <v>32</v>
      </c>
      <c r="AF19" s="1551">
        <v>11</v>
      </c>
      <c r="AG19" s="1551">
        <v>109</v>
      </c>
      <c r="AH19" s="1551">
        <v>435</v>
      </c>
      <c r="AI19" s="1551">
        <v>2</v>
      </c>
      <c r="AJ19" s="1551">
        <v>451</v>
      </c>
      <c r="AK19" s="1551">
        <v>63</v>
      </c>
      <c r="AL19" s="1551">
        <v>534</v>
      </c>
      <c r="AM19" s="1551">
        <v>569</v>
      </c>
      <c r="AN19" s="1551" t="s">
        <v>890</v>
      </c>
      <c r="AO19" s="1551" t="s">
        <v>890</v>
      </c>
      <c r="AP19" s="1537" t="s">
        <v>2014</v>
      </c>
      <c r="AQ19" s="1537" t="s">
        <v>890</v>
      </c>
      <c r="AS19" s="1552" t="s">
        <v>2015</v>
      </c>
    </row>
    <row r="20" spans="1:45" x14ac:dyDescent="0.35">
      <c r="B20" s="1537">
        <f t="shared" si="1"/>
        <v>15</v>
      </c>
      <c r="C20" s="1537" t="s">
        <v>1620</v>
      </c>
      <c r="D20" s="1537" t="s">
        <v>2016</v>
      </c>
      <c r="E20" s="1537" t="s">
        <v>2016</v>
      </c>
      <c r="F20" s="1537">
        <v>1</v>
      </c>
      <c r="G20" s="1539" t="s">
        <v>1989</v>
      </c>
      <c r="H20" s="1537" t="s">
        <v>1990</v>
      </c>
      <c r="I20" s="1537" t="s">
        <v>1991</v>
      </c>
      <c r="K20" s="1545">
        <v>5122</v>
      </c>
      <c r="L20" s="1545" t="s">
        <v>890</v>
      </c>
      <c r="M20" s="1551">
        <v>0</v>
      </c>
      <c r="N20" s="1551">
        <v>305</v>
      </c>
      <c r="O20" s="1551">
        <v>352</v>
      </c>
      <c r="P20" s="1551">
        <v>379</v>
      </c>
      <c r="Q20" s="1551">
        <v>374</v>
      </c>
      <c r="R20" s="1551">
        <v>378</v>
      </c>
      <c r="S20" s="1551">
        <v>419</v>
      </c>
      <c r="T20" s="1551">
        <v>470</v>
      </c>
      <c r="U20" s="1551">
        <v>465</v>
      </c>
      <c r="V20" s="1551">
        <v>529</v>
      </c>
      <c r="W20" s="1551">
        <v>416</v>
      </c>
      <c r="X20" s="1551">
        <v>389</v>
      </c>
      <c r="Y20" s="1551">
        <v>352</v>
      </c>
      <c r="Z20" s="1551">
        <v>294</v>
      </c>
      <c r="AA20" s="1551"/>
      <c r="AB20" s="1551"/>
      <c r="AC20" s="1551"/>
      <c r="AD20" s="1551"/>
      <c r="AE20" s="1551">
        <v>162</v>
      </c>
      <c r="AF20" s="1551">
        <v>86</v>
      </c>
      <c r="AG20" s="1551">
        <v>500</v>
      </c>
      <c r="AH20" s="1551">
        <v>2047</v>
      </c>
      <c r="AI20" s="1551">
        <v>16</v>
      </c>
      <c r="AJ20" s="1551">
        <v>1882</v>
      </c>
      <c r="AK20" s="1551">
        <v>429</v>
      </c>
      <c r="AL20" s="1551">
        <v>2513</v>
      </c>
      <c r="AM20" s="1551">
        <v>2609</v>
      </c>
      <c r="AN20" s="1551" t="s">
        <v>890</v>
      </c>
      <c r="AO20" s="1551" t="s">
        <v>890</v>
      </c>
      <c r="AP20" s="1537" t="s">
        <v>2014</v>
      </c>
      <c r="AQ20" s="1552" t="s">
        <v>2017</v>
      </c>
      <c r="AR20" s="1537" t="s">
        <v>2009</v>
      </c>
      <c r="AS20" s="1552" t="s">
        <v>2018</v>
      </c>
    </row>
    <row r="21" spans="1:45" hidden="1" x14ac:dyDescent="0.35">
      <c r="B21" s="1537">
        <f t="shared" si="1"/>
        <v>16</v>
      </c>
      <c r="C21" s="1537" t="s">
        <v>1620</v>
      </c>
      <c r="D21" s="1537" t="s">
        <v>2005</v>
      </c>
      <c r="F21" s="1537">
        <v>1</v>
      </c>
      <c r="G21" s="1537" t="s">
        <v>1999</v>
      </c>
      <c r="H21" s="1537" t="s">
        <v>2019</v>
      </c>
      <c r="K21" s="1545"/>
      <c r="L21" s="1545"/>
      <c r="M21" s="1545"/>
      <c r="N21" s="1545"/>
      <c r="O21" s="1545"/>
      <c r="P21" s="1545"/>
      <c r="Q21" s="1545"/>
      <c r="R21" s="1545"/>
      <c r="S21" s="1545"/>
      <c r="T21" s="1545"/>
      <c r="U21" s="1545"/>
      <c r="V21" s="1545"/>
      <c r="W21" s="1545"/>
      <c r="X21" s="1545"/>
      <c r="Y21" s="1545"/>
      <c r="Z21" s="1545"/>
      <c r="AA21" s="1545"/>
      <c r="AB21" s="1545"/>
      <c r="AC21" s="1545"/>
      <c r="AD21" s="1545"/>
      <c r="AE21" s="1545"/>
      <c r="AF21" s="1545"/>
      <c r="AG21" s="1545"/>
      <c r="AH21" s="1545"/>
      <c r="AI21" s="1545"/>
      <c r="AJ21" s="1545"/>
      <c r="AK21" s="1545"/>
      <c r="AL21" s="1545"/>
      <c r="AM21" s="1545"/>
      <c r="AN21" s="1545"/>
      <c r="AO21" s="1545"/>
    </row>
    <row r="22" spans="1:45" hidden="1" x14ac:dyDescent="0.35">
      <c r="A22" s="1537" t="s">
        <v>2020</v>
      </c>
      <c r="B22" s="1537">
        <f t="shared" si="1"/>
        <v>17</v>
      </c>
      <c r="C22" s="1537" t="s">
        <v>1620</v>
      </c>
      <c r="D22" s="1530" t="s">
        <v>1998</v>
      </c>
      <c r="F22" s="1537">
        <v>1</v>
      </c>
      <c r="G22" s="1537" t="s">
        <v>1989</v>
      </c>
      <c r="H22" s="1537" t="s">
        <v>2000</v>
      </c>
      <c r="K22" s="1545"/>
      <c r="L22" s="1545"/>
      <c r="M22" s="1545"/>
      <c r="N22" s="1545"/>
      <c r="O22" s="1545"/>
      <c r="P22" s="1545"/>
      <c r="Q22" s="1545"/>
      <c r="R22" s="1545"/>
      <c r="S22" s="1545"/>
      <c r="T22" s="1545"/>
      <c r="U22" s="1545"/>
      <c r="V22" s="1545"/>
      <c r="W22" s="1545"/>
      <c r="X22" s="1545"/>
      <c r="Y22" s="1545"/>
      <c r="Z22" s="1545"/>
      <c r="AA22" s="1545"/>
      <c r="AB22" s="1545"/>
      <c r="AC22" s="1545"/>
      <c r="AD22" s="1545"/>
      <c r="AE22" s="1545"/>
      <c r="AF22" s="1545"/>
      <c r="AG22" s="1545"/>
      <c r="AH22" s="1545"/>
      <c r="AI22" s="1545"/>
      <c r="AJ22" s="1545"/>
      <c r="AK22" s="1545"/>
      <c r="AL22" s="1545"/>
      <c r="AM22" s="1545"/>
      <c r="AN22" s="1545"/>
      <c r="AO22" s="1545"/>
    </row>
    <row r="23" spans="1:45" hidden="1" x14ac:dyDescent="0.35">
      <c r="A23" s="1537" t="s">
        <v>2020</v>
      </c>
      <c r="B23" s="1537">
        <f t="shared" si="1"/>
        <v>18</v>
      </c>
      <c r="C23" s="1537" t="s">
        <v>1620</v>
      </c>
      <c r="D23" s="1530" t="s">
        <v>2003</v>
      </c>
      <c r="F23" s="1537">
        <v>1</v>
      </c>
      <c r="G23" s="1553" t="s">
        <v>2004</v>
      </c>
      <c r="H23" s="1537" t="s">
        <v>2000</v>
      </c>
      <c r="K23" s="1545"/>
      <c r="L23" s="1545"/>
      <c r="M23" s="1545"/>
      <c r="N23" s="1545"/>
      <c r="O23" s="1545"/>
      <c r="P23" s="1545"/>
      <c r="Q23" s="1545"/>
      <c r="R23" s="1545"/>
      <c r="S23" s="1545"/>
      <c r="T23" s="1545"/>
      <c r="U23" s="1545"/>
      <c r="V23" s="1545"/>
      <c r="W23" s="1545"/>
      <c r="X23" s="1545"/>
      <c r="Y23" s="1545"/>
      <c r="Z23" s="1545"/>
      <c r="AA23" s="1545"/>
      <c r="AB23" s="1545"/>
      <c r="AC23" s="1545"/>
      <c r="AD23" s="1545"/>
      <c r="AE23" s="1545"/>
      <c r="AF23" s="1545"/>
      <c r="AG23" s="1545"/>
      <c r="AH23" s="1545"/>
      <c r="AI23" s="1545"/>
      <c r="AJ23" s="1545"/>
      <c r="AK23" s="1545"/>
      <c r="AL23" s="1545"/>
      <c r="AM23" s="1545"/>
      <c r="AN23" s="1545"/>
      <c r="AO23" s="1545"/>
    </row>
    <row r="24" spans="1:45" hidden="1" x14ac:dyDescent="0.35">
      <c r="A24" s="1537" t="s">
        <v>2020</v>
      </c>
      <c r="B24" s="1537">
        <f t="shared" si="1"/>
        <v>19</v>
      </c>
      <c r="C24" s="1537" t="s">
        <v>1620</v>
      </c>
      <c r="D24" s="1554" t="s">
        <v>2002</v>
      </c>
      <c r="F24" s="1537">
        <v>1</v>
      </c>
      <c r="G24" s="1537" t="s">
        <v>1989</v>
      </c>
      <c r="H24" s="1537" t="s">
        <v>2000</v>
      </c>
      <c r="K24" s="1545"/>
      <c r="L24" s="1545"/>
      <c r="M24" s="1545"/>
      <c r="N24" s="1545"/>
      <c r="O24" s="1545"/>
      <c r="P24" s="1545"/>
      <c r="Q24" s="1545"/>
      <c r="R24" s="1545"/>
      <c r="S24" s="1545"/>
      <c r="T24" s="1545"/>
      <c r="U24" s="1545"/>
      <c r="V24" s="1545"/>
      <c r="W24" s="1545"/>
      <c r="X24" s="1545"/>
      <c r="Y24" s="1545"/>
      <c r="Z24" s="1545"/>
      <c r="AA24" s="1545"/>
      <c r="AB24" s="1545"/>
      <c r="AC24" s="1545"/>
      <c r="AD24" s="1545"/>
      <c r="AE24" s="1545"/>
      <c r="AF24" s="1545"/>
      <c r="AG24" s="1545"/>
      <c r="AH24" s="1545"/>
      <c r="AI24" s="1545"/>
      <c r="AJ24" s="1545"/>
      <c r="AK24" s="1545"/>
      <c r="AL24" s="1545"/>
      <c r="AM24" s="1545"/>
      <c r="AN24" s="1545"/>
      <c r="AO24" s="1545"/>
    </row>
    <row r="25" spans="1:45" hidden="1" x14ac:dyDescent="0.35">
      <c r="B25" s="1537">
        <f t="shared" si="1"/>
        <v>20</v>
      </c>
      <c r="C25" s="1537" t="s">
        <v>1620</v>
      </c>
      <c r="D25" s="1530" t="s">
        <v>1998</v>
      </c>
      <c r="F25" s="1537">
        <v>1</v>
      </c>
      <c r="G25" s="1537" t="s">
        <v>1999</v>
      </c>
      <c r="H25" s="1537" t="s">
        <v>2000</v>
      </c>
      <c r="K25" s="1545"/>
      <c r="L25" s="1545"/>
      <c r="M25" s="1545"/>
      <c r="N25" s="1545"/>
      <c r="O25" s="1545"/>
      <c r="P25" s="1545"/>
      <c r="Q25" s="1545"/>
      <c r="R25" s="1545"/>
      <c r="S25" s="1545"/>
      <c r="T25" s="1545"/>
      <c r="U25" s="1545"/>
      <c r="V25" s="1545"/>
      <c r="W25" s="1545"/>
      <c r="X25" s="1545"/>
      <c r="Y25" s="1545"/>
      <c r="Z25" s="1545"/>
      <c r="AA25" s="1545"/>
      <c r="AB25" s="1545"/>
      <c r="AC25" s="1545"/>
      <c r="AD25" s="1545"/>
      <c r="AE25" s="1545"/>
      <c r="AF25" s="1545"/>
      <c r="AG25" s="1545"/>
      <c r="AH25" s="1545"/>
      <c r="AI25" s="1545"/>
      <c r="AJ25" s="1545"/>
      <c r="AK25" s="1545"/>
      <c r="AL25" s="1545"/>
      <c r="AM25" s="1545"/>
      <c r="AN25" s="1545"/>
      <c r="AO25" s="1545"/>
    </row>
    <row r="26" spans="1:45" hidden="1" x14ac:dyDescent="0.35">
      <c r="B26" s="1537">
        <f t="shared" si="1"/>
        <v>21</v>
      </c>
      <c r="C26" s="1537" t="s">
        <v>1620</v>
      </c>
      <c r="D26" s="1530" t="s">
        <v>2001</v>
      </c>
      <c r="F26" s="1537">
        <v>1</v>
      </c>
      <c r="G26" s="1537" t="s">
        <v>1989</v>
      </c>
      <c r="H26" s="1537" t="s">
        <v>2000</v>
      </c>
      <c r="K26" s="1545"/>
      <c r="L26" s="1545"/>
      <c r="M26" s="1545"/>
      <c r="N26" s="1545"/>
      <c r="O26" s="1545"/>
      <c r="P26" s="1545"/>
      <c r="Q26" s="1545"/>
      <c r="R26" s="1545"/>
      <c r="S26" s="1545"/>
      <c r="T26" s="1545"/>
      <c r="U26" s="1545"/>
      <c r="V26" s="1545"/>
      <c r="W26" s="1545"/>
      <c r="X26" s="1545"/>
      <c r="Y26" s="1545"/>
      <c r="Z26" s="1545"/>
      <c r="AA26" s="1545"/>
      <c r="AB26" s="1545"/>
      <c r="AC26" s="1545"/>
      <c r="AD26" s="1545"/>
      <c r="AE26" s="1545"/>
      <c r="AF26" s="1545"/>
      <c r="AG26" s="1545"/>
      <c r="AH26" s="1545"/>
      <c r="AI26" s="1545"/>
      <c r="AJ26" s="1545"/>
      <c r="AK26" s="1545"/>
      <c r="AL26" s="1545"/>
      <c r="AM26" s="1545"/>
      <c r="AN26" s="1545"/>
      <c r="AO26" s="1545"/>
    </row>
    <row r="27" spans="1:45" hidden="1" x14ac:dyDescent="0.35">
      <c r="B27" s="1537">
        <f t="shared" si="1"/>
        <v>22</v>
      </c>
      <c r="C27" s="1537" t="s">
        <v>1620</v>
      </c>
      <c r="D27" s="1530" t="s">
        <v>2002</v>
      </c>
      <c r="F27" s="1537">
        <v>1</v>
      </c>
      <c r="G27" s="1537" t="s">
        <v>1989</v>
      </c>
      <c r="H27" s="1537" t="s">
        <v>2000</v>
      </c>
      <c r="K27" s="1545"/>
      <c r="L27" s="1545"/>
      <c r="M27" s="1545"/>
      <c r="N27" s="1545"/>
      <c r="O27" s="1545"/>
      <c r="P27" s="1545"/>
      <c r="Q27" s="1545"/>
      <c r="R27" s="1545"/>
      <c r="S27" s="1545"/>
      <c r="T27" s="1545"/>
      <c r="U27" s="1545"/>
      <c r="V27" s="1545"/>
      <c r="W27" s="1545"/>
      <c r="X27" s="1545"/>
      <c r="Y27" s="1545"/>
      <c r="Z27" s="1545"/>
      <c r="AA27" s="1545"/>
      <c r="AB27" s="1545"/>
      <c r="AC27" s="1545"/>
      <c r="AD27" s="1545"/>
      <c r="AE27" s="1545"/>
      <c r="AF27" s="1545"/>
      <c r="AG27" s="1545"/>
      <c r="AH27" s="1545"/>
      <c r="AI27" s="1545"/>
      <c r="AJ27" s="1545"/>
      <c r="AK27" s="1545"/>
      <c r="AL27" s="1545"/>
      <c r="AM27" s="1545"/>
      <c r="AN27" s="1545"/>
      <c r="AO27" s="1545"/>
    </row>
    <row r="28" spans="1:45" hidden="1" x14ac:dyDescent="0.35">
      <c r="B28" s="1537">
        <f t="shared" si="1"/>
        <v>23</v>
      </c>
      <c r="C28" s="1537" t="s">
        <v>1620</v>
      </c>
      <c r="D28" s="1530" t="s">
        <v>2003</v>
      </c>
      <c r="F28" s="1537">
        <v>1</v>
      </c>
      <c r="G28" s="1553" t="s">
        <v>2004</v>
      </c>
      <c r="H28" s="1537" t="s">
        <v>2000</v>
      </c>
      <c r="K28" s="1545"/>
      <c r="L28" s="1545"/>
      <c r="M28" s="1545"/>
      <c r="N28" s="1545"/>
      <c r="O28" s="1545"/>
      <c r="P28" s="1545"/>
      <c r="Q28" s="1545"/>
      <c r="R28" s="1545"/>
      <c r="S28" s="1545"/>
      <c r="T28" s="1545"/>
      <c r="U28" s="1545"/>
      <c r="V28" s="1545"/>
      <c r="W28" s="1545"/>
      <c r="X28" s="1545"/>
      <c r="Y28" s="1545"/>
      <c r="Z28" s="1545"/>
      <c r="AA28" s="1545"/>
      <c r="AB28" s="1545"/>
      <c r="AC28" s="1545"/>
      <c r="AD28" s="1545"/>
      <c r="AE28" s="1545"/>
      <c r="AF28" s="1545"/>
      <c r="AG28" s="1545"/>
      <c r="AH28" s="1545"/>
      <c r="AI28" s="1545"/>
      <c r="AJ28" s="1545"/>
      <c r="AK28" s="1545"/>
      <c r="AL28" s="1545"/>
      <c r="AM28" s="1545"/>
      <c r="AN28" s="1545"/>
      <c r="AO28" s="1545"/>
    </row>
    <row r="29" spans="1:45" x14ac:dyDescent="0.35">
      <c r="B29" s="1537">
        <f t="shared" si="1"/>
        <v>24</v>
      </c>
      <c r="C29" s="1537" t="s">
        <v>1621</v>
      </c>
      <c r="D29" s="1537" t="s">
        <v>2021</v>
      </c>
      <c r="E29" s="1537" t="s">
        <v>2022</v>
      </c>
      <c r="F29" s="1537">
        <v>1</v>
      </c>
      <c r="G29" s="1539" t="s">
        <v>1989</v>
      </c>
      <c r="H29" s="1537" t="s">
        <v>1990</v>
      </c>
      <c r="I29" s="1537" t="s">
        <v>1991</v>
      </c>
      <c r="K29" s="1545">
        <v>1695</v>
      </c>
      <c r="L29" s="1545" t="s">
        <v>890</v>
      </c>
      <c r="M29" s="1551">
        <v>0</v>
      </c>
      <c r="N29" s="1551">
        <v>0</v>
      </c>
      <c r="O29" s="1551">
        <v>0</v>
      </c>
      <c r="P29" s="1551">
        <v>0</v>
      </c>
      <c r="Q29" s="1551">
        <v>0</v>
      </c>
      <c r="R29" s="1551">
        <v>0</v>
      </c>
      <c r="S29" s="1551">
        <v>0</v>
      </c>
      <c r="T29" s="1551">
        <v>0</v>
      </c>
      <c r="U29" s="1551">
        <v>0</v>
      </c>
      <c r="V29" s="1551">
        <v>0</v>
      </c>
      <c r="W29" s="1551">
        <v>428</v>
      </c>
      <c r="X29" s="1551">
        <v>455</v>
      </c>
      <c r="Y29" s="1551">
        <v>414</v>
      </c>
      <c r="Z29" s="1551">
        <v>398</v>
      </c>
      <c r="AA29" s="1551"/>
      <c r="AB29" s="1551"/>
      <c r="AC29" s="1551"/>
      <c r="AD29" s="1551"/>
      <c r="AE29" s="1551">
        <v>25</v>
      </c>
      <c r="AF29" s="1551">
        <v>14</v>
      </c>
      <c r="AG29" s="1551">
        <v>307</v>
      </c>
      <c r="AH29" s="1551">
        <v>110</v>
      </c>
      <c r="AI29" s="1551">
        <v>1</v>
      </c>
      <c r="AJ29" s="1551">
        <v>1195</v>
      </c>
      <c r="AK29" s="1551">
        <v>43</v>
      </c>
      <c r="AL29" s="1551">
        <v>728</v>
      </c>
      <c r="AM29" s="1551">
        <v>967</v>
      </c>
      <c r="AN29" s="1551" t="s">
        <v>890</v>
      </c>
      <c r="AO29" s="1551" t="s">
        <v>890</v>
      </c>
      <c r="AP29" s="1537" t="s">
        <v>2023</v>
      </c>
      <c r="AQ29" s="1552" t="s">
        <v>2024</v>
      </c>
      <c r="AR29" s="1552"/>
      <c r="AS29" s="1552" t="s">
        <v>2025</v>
      </c>
    </row>
    <row r="30" spans="1:45" hidden="1" x14ac:dyDescent="0.35">
      <c r="B30" s="1537">
        <f t="shared" si="1"/>
        <v>25</v>
      </c>
      <c r="C30" s="1537" t="s">
        <v>1621</v>
      </c>
      <c r="D30" s="1530" t="s">
        <v>1998</v>
      </c>
      <c r="F30" s="1537">
        <v>1</v>
      </c>
      <c r="G30" s="1537" t="s">
        <v>1989</v>
      </c>
      <c r="H30" s="1537" t="s">
        <v>2000</v>
      </c>
      <c r="K30" s="1545"/>
      <c r="L30" s="1545"/>
      <c r="M30" s="1545"/>
      <c r="N30" s="1545"/>
      <c r="O30" s="1545"/>
      <c r="P30" s="1545"/>
      <c r="Q30" s="1545"/>
      <c r="R30" s="1545"/>
      <c r="S30" s="1545"/>
      <c r="T30" s="1545"/>
      <c r="U30" s="1545"/>
      <c r="V30" s="1545"/>
      <c r="W30" s="1545"/>
      <c r="X30" s="1545"/>
      <c r="Y30" s="1545"/>
      <c r="Z30" s="1545"/>
      <c r="AA30" s="1545"/>
      <c r="AB30" s="1545"/>
      <c r="AC30" s="1545"/>
      <c r="AD30" s="1545"/>
      <c r="AE30" s="1545"/>
      <c r="AF30" s="1545"/>
      <c r="AG30" s="1545"/>
      <c r="AH30" s="1545"/>
      <c r="AI30" s="1545"/>
      <c r="AJ30" s="1545"/>
      <c r="AK30" s="1545"/>
      <c r="AL30" s="1545"/>
      <c r="AM30" s="1545"/>
      <c r="AN30" s="1545"/>
      <c r="AO30" s="1545"/>
    </row>
    <row r="31" spans="1:45" hidden="1" x14ac:dyDescent="0.35">
      <c r="B31" s="1537">
        <f t="shared" si="1"/>
        <v>26</v>
      </c>
      <c r="C31" s="1537" t="s">
        <v>1621</v>
      </c>
      <c r="D31" s="1530" t="s">
        <v>2001</v>
      </c>
      <c r="F31" s="1537">
        <v>1</v>
      </c>
      <c r="G31" s="1537" t="s">
        <v>1989</v>
      </c>
      <c r="H31" s="1537" t="s">
        <v>2000</v>
      </c>
      <c r="K31" s="1545"/>
      <c r="L31" s="1545"/>
      <c r="M31" s="1545"/>
      <c r="N31" s="1545"/>
      <c r="O31" s="1545"/>
      <c r="P31" s="1545"/>
      <c r="Q31" s="1545"/>
      <c r="R31" s="1545"/>
      <c r="S31" s="1545"/>
      <c r="T31" s="1545"/>
      <c r="U31" s="1545"/>
      <c r="V31" s="1545"/>
      <c r="W31" s="1545"/>
      <c r="X31" s="1545"/>
      <c r="Y31" s="1545"/>
      <c r="Z31" s="1545"/>
      <c r="AA31" s="1545"/>
      <c r="AB31" s="1545"/>
      <c r="AC31" s="1545"/>
      <c r="AD31" s="1545"/>
      <c r="AE31" s="1545"/>
      <c r="AF31" s="1545"/>
      <c r="AG31" s="1545"/>
      <c r="AH31" s="1545"/>
      <c r="AI31" s="1545"/>
      <c r="AJ31" s="1545"/>
      <c r="AK31" s="1545"/>
      <c r="AL31" s="1545"/>
      <c r="AM31" s="1545"/>
      <c r="AN31" s="1545"/>
      <c r="AO31" s="1545"/>
    </row>
    <row r="32" spans="1:45" hidden="1" x14ac:dyDescent="0.35">
      <c r="B32" s="1537">
        <f t="shared" si="1"/>
        <v>27</v>
      </c>
      <c r="C32" s="1537" t="s">
        <v>1621</v>
      </c>
      <c r="D32" s="1530" t="s">
        <v>2002</v>
      </c>
      <c r="F32" s="1537">
        <v>1</v>
      </c>
      <c r="G32" s="1537" t="s">
        <v>1989</v>
      </c>
      <c r="H32" s="1537" t="s">
        <v>2000</v>
      </c>
      <c r="K32" s="1545"/>
      <c r="L32" s="1545"/>
      <c r="M32" s="1545"/>
      <c r="N32" s="1545"/>
      <c r="O32" s="1545"/>
      <c r="P32" s="1545"/>
      <c r="Q32" s="1545"/>
      <c r="R32" s="1545"/>
      <c r="S32" s="1545"/>
      <c r="T32" s="1545"/>
      <c r="U32" s="1545"/>
      <c r="V32" s="1545"/>
      <c r="W32" s="1545"/>
      <c r="X32" s="1545"/>
      <c r="Y32" s="1545"/>
      <c r="Z32" s="1545"/>
      <c r="AA32" s="1545"/>
      <c r="AB32" s="1545"/>
      <c r="AC32" s="1545"/>
      <c r="AD32" s="1545"/>
      <c r="AE32" s="1545"/>
      <c r="AF32" s="1545"/>
      <c r="AG32" s="1545"/>
      <c r="AH32" s="1545"/>
      <c r="AI32" s="1545"/>
      <c r="AJ32" s="1545"/>
      <c r="AK32" s="1545"/>
      <c r="AL32" s="1545"/>
      <c r="AM32" s="1545"/>
      <c r="AN32" s="1545"/>
      <c r="AO32" s="1545"/>
    </row>
    <row r="33" spans="1:45" hidden="1" x14ac:dyDescent="0.35">
      <c r="B33" s="1537">
        <f t="shared" si="1"/>
        <v>28</v>
      </c>
      <c r="C33" s="1537" t="s">
        <v>1621</v>
      </c>
      <c r="D33" s="1530" t="s">
        <v>2003</v>
      </c>
      <c r="F33" s="1537">
        <v>1</v>
      </c>
      <c r="G33" s="1553" t="s">
        <v>2004</v>
      </c>
      <c r="H33" s="1537" t="s">
        <v>2000</v>
      </c>
      <c r="K33" s="1545"/>
      <c r="L33" s="1545"/>
      <c r="M33" s="1545"/>
      <c r="N33" s="1545"/>
      <c r="O33" s="1545"/>
      <c r="P33" s="1545"/>
      <c r="Q33" s="1545"/>
      <c r="R33" s="1545"/>
      <c r="S33" s="1545"/>
      <c r="T33" s="1545"/>
      <c r="U33" s="1545"/>
      <c r="V33" s="1545"/>
      <c r="W33" s="1545"/>
      <c r="X33" s="1545"/>
      <c r="Y33" s="1545"/>
      <c r="Z33" s="1545"/>
      <c r="AA33" s="1545"/>
      <c r="AB33" s="1545"/>
      <c r="AC33" s="1545"/>
      <c r="AD33" s="1545"/>
      <c r="AE33" s="1545"/>
      <c r="AF33" s="1545"/>
      <c r="AG33" s="1545"/>
      <c r="AH33" s="1545"/>
      <c r="AI33" s="1545"/>
      <c r="AJ33" s="1545"/>
      <c r="AK33" s="1545"/>
      <c r="AL33" s="1545"/>
      <c r="AM33" s="1545"/>
      <c r="AN33" s="1545"/>
      <c r="AO33" s="1545"/>
    </row>
    <row r="34" spans="1:45" hidden="1" x14ac:dyDescent="0.35">
      <c r="B34" s="1537">
        <f t="shared" si="1"/>
        <v>29</v>
      </c>
      <c r="C34" s="1537" t="s">
        <v>1621</v>
      </c>
      <c r="D34" s="1530" t="s">
        <v>2005</v>
      </c>
      <c r="F34" s="1537">
        <v>1</v>
      </c>
      <c r="G34" s="1537" t="s">
        <v>1989</v>
      </c>
      <c r="H34" s="1537" t="s">
        <v>2000</v>
      </c>
      <c r="K34" s="1545"/>
      <c r="L34" s="1545"/>
      <c r="M34" s="1545"/>
      <c r="N34" s="1545"/>
      <c r="O34" s="1545"/>
      <c r="P34" s="1545"/>
      <c r="Q34" s="1545"/>
      <c r="R34" s="1545"/>
      <c r="S34" s="1545"/>
      <c r="T34" s="1545"/>
      <c r="U34" s="1545"/>
      <c r="V34" s="1545"/>
      <c r="W34" s="1545"/>
      <c r="X34" s="1545"/>
      <c r="Y34" s="1545"/>
      <c r="Z34" s="1545"/>
      <c r="AA34" s="1545"/>
      <c r="AB34" s="1545"/>
      <c r="AC34" s="1545"/>
      <c r="AD34" s="1545"/>
      <c r="AE34" s="1545"/>
      <c r="AF34" s="1545"/>
      <c r="AG34" s="1545"/>
      <c r="AH34" s="1545"/>
      <c r="AI34" s="1545"/>
      <c r="AJ34" s="1545"/>
      <c r="AK34" s="1545"/>
      <c r="AL34" s="1545"/>
      <c r="AM34" s="1545"/>
      <c r="AN34" s="1545"/>
      <c r="AO34" s="1545"/>
    </row>
    <row r="35" spans="1:45" x14ac:dyDescent="0.35">
      <c r="B35" s="1537">
        <f t="shared" si="1"/>
        <v>30</v>
      </c>
      <c r="C35" s="1537" t="s">
        <v>1622</v>
      </c>
      <c r="D35" s="1537" t="s">
        <v>2026</v>
      </c>
      <c r="E35" s="1537" t="s">
        <v>2027</v>
      </c>
      <c r="F35" s="1537">
        <v>1</v>
      </c>
      <c r="G35" s="1550" t="s">
        <v>2028</v>
      </c>
      <c r="H35" s="1537" t="s">
        <v>1990</v>
      </c>
      <c r="I35" s="1537" t="s">
        <v>1991</v>
      </c>
      <c r="K35" s="1545">
        <v>1289</v>
      </c>
      <c r="L35" s="1545">
        <v>54.9</v>
      </c>
      <c r="M35" s="1551">
        <v>0</v>
      </c>
      <c r="N35" s="1551">
        <v>107</v>
      </c>
      <c r="O35" s="1551">
        <v>84</v>
      </c>
      <c r="P35" s="1551">
        <v>97</v>
      </c>
      <c r="Q35" s="1551">
        <v>84</v>
      </c>
      <c r="R35" s="1551">
        <v>90</v>
      </c>
      <c r="S35" s="1551">
        <v>91</v>
      </c>
      <c r="T35" s="1551">
        <v>102</v>
      </c>
      <c r="U35" s="1551">
        <v>100</v>
      </c>
      <c r="V35" s="1551">
        <v>103</v>
      </c>
      <c r="W35" s="1551">
        <v>102</v>
      </c>
      <c r="X35" s="1551">
        <v>109</v>
      </c>
      <c r="Y35" s="1551">
        <v>117</v>
      </c>
      <c r="Z35" s="1551">
        <v>103</v>
      </c>
      <c r="AA35" s="1551"/>
      <c r="AB35" s="1551"/>
      <c r="AC35" s="1551"/>
      <c r="AD35" s="1551"/>
      <c r="AE35" s="1551">
        <v>21</v>
      </c>
      <c r="AF35" s="1551">
        <v>76</v>
      </c>
      <c r="AG35" s="1551">
        <v>285</v>
      </c>
      <c r="AH35" s="1551">
        <v>685</v>
      </c>
      <c r="AI35" s="1551">
        <v>11</v>
      </c>
      <c r="AJ35" s="1551">
        <v>194</v>
      </c>
      <c r="AK35" s="1551">
        <v>17</v>
      </c>
      <c r="AL35" s="1551">
        <v>616</v>
      </c>
      <c r="AM35" s="1551">
        <v>673</v>
      </c>
      <c r="AN35" s="1551">
        <v>864</v>
      </c>
      <c r="AO35" s="1551">
        <v>97</v>
      </c>
      <c r="AP35" s="1537" t="s">
        <v>2029</v>
      </c>
      <c r="AQ35" s="1552" t="s">
        <v>2030</v>
      </c>
      <c r="AR35" s="1537" t="s">
        <v>2009</v>
      </c>
      <c r="AS35" s="1552" t="s">
        <v>2031</v>
      </c>
    </row>
    <row r="36" spans="1:45" x14ac:dyDescent="0.35">
      <c r="A36" s="1537" t="s">
        <v>2032</v>
      </c>
      <c r="B36" s="1537">
        <f t="shared" si="1"/>
        <v>31</v>
      </c>
      <c r="C36" s="1537" t="s">
        <v>1622</v>
      </c>
      <c r="D36" s="1537" t="s">
        <v>2033</v>
      </c>
      <c r="E36" s="1537" t="s">
        <v>2034</v>
      </c>
      <c r="F36" s="1537">
        <v>1</v>
      </c>
      <c r="G36" s="1550" t="s">
        <v>2028</v>
      </c>
      <c r="H36" s="1537" t="s">
        <v>1990</v>
      </c>
      <c r="I36" s="1537" t="s">
        <v>1991</v>
      </c>
      <c r="K36" s="1545">
        <v>547</v>
      </c>
      <c r="L36" s="1545">
        <v>20.55</v>
      </c>
      <c r="M36" s="1551">
        <v>0</v>
      </c>
      <c r="N36" s="1551">
        <v>31</v>
      </c>
      <c r="O36" s="1551">
        <v>53</v>
      </c>
      <c r="P36" s="1551">
        <v>34</v>
      </c>
      <c r="Q36" s="1551">
        <v>40</v>
      </c>
      <c r="R36" s="1551">
        <v>45</v>
      </c>
      <c r="S36" s="1551">
        <v>50</v>
      </c>
      <c r="T36" s="1551">
        <v>38</v>
      </c>
      <c r="U36" s="1551">
        <v>41</v>
      </c>
      <c r="V36" s="1551">
        <v>66</v>
      </c>
      <c r="W36" s="1551">
        <v>34</v>
      </c>
      <c r="X36" s="1551">
        <v>31</v>
      </c>
      <c r="Y36" s="1551">
        <v>41</v>
      </c>
      <c r="Z36" s="1551">
        <v>43</v>
      </c>
      <c r="AA36" s="1551"/>
      <c r="AB36" s="1551"/>
      <c r="AC36" s="1551"/>
      <c r="AD36" s="1551"/>
      <c r="AE36" s="1551">
        <v>8</v>
      </c>
      <c r="AF36" s="1551">
        <v>21</v>
      </c>
      <c r="AG36" s="1551">
        <v>19</v>
      </c>
      <c r="AH36" s="1551">
        <v>302</v>
      </c>
      <c r="AI36" s="1551">
        <v>5</v>
      </c>
      <c r="AJ36" s="1551">
        <v>185</v>
      </c>
      <c r="AK36" s="1551">
        <v>7</v>
      </c>
      <c r="AL36" s="1551">
        <v>280</v>
      </c>
      <c r="AM36" s="1551">
        <v>267</v>
      </c>
      <c r="AN36" s="1551">
        <v>355</v>
      </c>
      <c r="AO36" s="1551">
        <v>34</v>
      </c>
      <c r="AP36" s="1537" t="s">
        <v>2035</v>
      </c>
      <c r="AQ36" s="1552" t="s">
        <v>2036</v>
      </c>
      <c r="AR36" s="1552"/>
      <c r="AS36" s="1552" t="s">
        <v>2037</v>
      </c>
    </row>
    <row r="37" spans="1:45" x14ac:dyDescent="0.35">
      <c r="B37" s="1537">
        <f t="shared" si="1"/>
        <v>32</v>
      </c>
      <c r="C37" s="1537" t="s">
        <v>1622</v>
      </c>
      <c r="D37" s="1537" t="s">
        <v>2038</v>
      </c>
      <c r="E37" s="1537" t="s">
        <v>2038</v>
      </c>
      <c r="F37" s="1537">
        <v>1</v>
      </c>
      <c r="G37" s="1550" t="s">
        <v>2039</v>
      </c>
      <c r="H37" s="1537" t="s">
        <v>1990</v>
      </c>
      <c r="I37" s="1537" t="s">
        <v>1991</v>
      </c>
      <c r="K37" s="1545">
        <v>306</v>
      </c>
      <c r="L37" s="1545">
        <v>9.69</v>
      </c>
      <c r="M37" s="1551">
        <v>0</v>
      </c>
      <c r="N37" s="1551">
        <v>0</v>
      </c>
      <c r="O37" s="1551">
        <v>0</v>
      </c>
      <c r="P37" s="1551">
        <v>0</v>
      </c>
      <c r="Q37" s="1551">
        <v>0</v>
      </c>
      <c r="R37" s="1551">
        <v>0</v>
      </c>
      <c r="S37" s="1551">
        <v>0</v>
      </c>
      <c r="T37" s="1551">
        <v>0</v>
      </c>
      <c r="U37" s="1551">
        <v>0</v>
      </c>
      <c r="V37" s="1551">
        <v>0</v>
      </c>
      <c r="W37" s="1551">
        <v>22</v>
      </c>
      <c r="X37" s="1551">
        <v>49</v>
      </c>
      <c r="Y37" s="1551">
        <v>82</v>
      </c>
      <c r="Z37" s="1551">
        <v>153</v>
      </c>
      <c r="AA37" s="1551"/>
      <c r="AB37" s="1551"/>
      <c r="AC37" s="1551"/>
      <c r="AD37" s="1551"/>
      <c r="AE37" s="1551">
        <v>5</v>
      </c>
      <c r="AF37" s="1551">
        <v>9</v>
      </c>
      <c r="AG37" s="1551">
        <v>62</v>
      </c>
      <c r="AH37" s="1551">
        <v>140</v>
      </c>
      <c r="AI37" s="1551">
        <v>1</v>
      </c>
      <c r="AJ37" s="1551">
        <v>85</v>
      </c>
      <c r="AK37" s="1551">
        <v>4</v>
      </c>
      <c r="AL37" s="1551">
        <v>137</v>
      </c>
      <c r="AM37" s="1551">
        <v>169</v>
      </c>
      <c r="AN37" s="1551">
        <v>199</v>
      </c>
      <c r="AO37" s="1551">
        <v>22</v>
      </c>
      <c r="AP37" s="1537" t="s">
        <v>2035</v>
      </c>
      <c r="AQ37" s="1552" t="s">
        <v>2036</v>
      </c>
      <c r="AR37" s="1552"/>
      <c r="AS37" s="1552" t="s">
        <v>2040</v>
      </c>
    </row>
    <row r="38" spans="1:45" hidden="1" x14ac:dyDescent="0.35">
      <c r="B38" s="1537">
        <f t="shared" si="1"/>
        <v>33</v>
      </c>
      <c r="C38" s="1537" t="s">
        <v>1622</v>
      </c>
      <c r="D38" s="1530" t="s">
        <v>1998</v>
      </c>
      <c r="F38" s="1537">
        <v>1</v>
      </c>
      <c r="G38" s="1553" t="s">
        <v>1999</v>
      </c>
      <c r="H38" s="1537" t="s">
        <v>2000</v>
      </c>
      <c r="K38" s="1545"/>
      <c r="L38" s="1545"/>
      <c r="M38" s="1545"/>
      <c r="N38" s="1545"/>
      <c r="O38" s="1545"/>
      <c r="P38" s="1545"/>
      <c r="Q38" s="1545"/>
      <c r="R38" s="1545"/>
      <c r="S38" s="1545"/>
      <c r="T38" s="1545"/>
      <c r="U38" s="1545"/>
      <c r="V38" s="1545"/>
      <c r="W38" s="1545"/>
      <c r="X38" s="1545"/>
      <c r="Y38" s="1545"/>
      <c r="Z38" s="1545"/>
      <c r="AA38" s="1545"/>
      <c r="AB38" s="1545"/>
      <c r="AC38" s="1545"/>
      <c r="AD38" s="1545"/>
      <c r="AE38" s="1545"/>
      <c r="AF38" s="1545"/>
      <c r="AG38" s="1545"/>
      <c r="AH38" s="1545"/>
      <c r="AI38" s="1545"/>
      <c r="AJ38" s="1545"/>
      <c r="AK38" s="1545"/>
      <c r="AL38" s="1545"/>
      <c r="AM38" s="1545"/>
      <c r="AN38" s="1545"/>
      <c r="AO38" s="1545"/>
    </row>
    <row r="39" spans="1:45" hidden="1" x14ac:dyDescent="0.35">
      <c r="B39" s="1537">
        <f t="shared" si="1"/>
        <v>34</v>
      </c>
      <c r="C39" s="1537" t="s">
        <v>1622</v>
      </c>
      <c r="D39" s="1530" t="s">
        <v>2001</v>
      </c>
      <c r="F39" s="1537">
        <v>1</v>
      </c>
      <c r="G39" s="1553" t="s">
        <v>1989</v>
      </c>
      <c r="H39" s="1537" t="s">
        <v>2000</v>
      </c>
      <c r="K39" s="1545"/>
      <c r="L39" s="1545"/>
      <c r="M39" s="1545"/>
      <c r="N39" s="1545"/>
      <c r="O39" s="1545"/>
      <c r="P39" s="1545"/>
      <c r="Q39" s="1545"/>
      <c r="R39" s="1545"/>
      <c r="S39" s="1545"/>
      <c r="T39" s="1545"/>
      <c r="U39" s="1545"/>
      <c r="V39" s="1545"/>
      <c r="W39" s="1545"/>
      <c r="X39" s="1545"/>
      <c r="Y39" s="1545"/>
      <c r="Z39" s="1545"/>
      <c r="AA39" s="1545"/>
      <c r="AB39" s="1545"/>
      <c r="AC39" s="1545"/>
      <c r="AD39" s="1545"/>
      <c r="AE39" s="1545"/>
      <c r="AF39" s="1545"/>
      <c r="AG39" s="1545"/>
      <c r="AH39" s="1545"/>
      <c r="AI39" s="1545"/>
      <c r="AJ39" s="1545"/>
      <c r="AK39" s="1545"/>
      <c r="AL39" s="1545"/>
      <c r="AM39" s="1545"/>
      <c r="AN39" s="1545"/>
      <c r="AO39" s="1545"/>
    </row>
    <row r="40" spans="1:45" hidden="1" x14ac:dyDescent="0.35">
      <c r="B40" s="1537">
        <f t="shared" si="1"/>
        <v>35</v>
      </c>
      <c r="C40" s="1537" t="s">
        <v>1622</v>
      </c>
      <c r="D40" s="1530" t="s">
        <v>2002</v>
      </c>
      <c r="F40" s="1537">
        <v>1</v>
      </c>
      <c r="G40" s="1553" t="s">
        <v>1989</v>
      </c>
      <c r="H40" s="1537" t="s">
        <v>2000</v>
      </c>
      <c r="K40" s="1545"/>
      <c r="L40" s="1545"/>
      <c r="M40" s="1545"/>
      <c r="N40" s="1545"/>
      <c r="O40" s="1545"/>
      <c r="P40" s="1545"/>
      <c r="Q40" s="1545"/>
      <c r="R40" s="1545"/>
      <c r="S40" s="1545"/>
      <c r="T40" s="1545"/>
      <c r="U40" s="1545"/>
      <c r="V40" s="1545"/>
      <c r="W40" s="1545"/>
      <c r="X40" s="1545"/>
      <c r="Y40" s="1545"/>
      <c r="Z40" s="1545"/>
      <c r="AA40" s="1545"/>
      <c r="AB40" s="1545"/>
      <c r="AC40" s="1545"/>
      <c r="AD40" s="1545"/>
      <c r="AE40" s="1545"/>
      <c r="AF40" s="1545"/>
      <c r="AG40" s="1545"/>
      <c r="AH40" s="1545"/>
      <c r="AI40" s="1545"/>
      <c r="AJ40" s="1545"/>
      <c r="AK40" s="1545"/>
      <c r="AL40" s="1545"/>
      <c r="AM40" s="1545"/>
      <c r="AN40" s="1545"/>
      <c r="AO40" s="1545"/>
    </row>
    <row r="41" spans="1:45" hidden="1" x14ac:dyDescent="0.35">
      <c r="B41" s="1537">
        <f t="shared" si="1"/>
        <v>36</v>
      </c>
      <c r="C41" s="1537" t="s">
        <v>1622</v>
      </c>
      <c r="D41" s="1530" t="s">
        <v>2003</v>
      </c>
      <c r="F41" s="1537">
        <v>1</v>
      </c>
      <c r="G41" s="1553" t="s">
        <v>2004</v>
      </c>
      <c r="H41" s="1537" t="s">
        <v>2000</v>
      </c>
      <c r="K41" s="1545"/>
      <c r="L41" s="1545"/>
      <c r="M41" s="1545"/>
      <c r="N41" s="1545"/>
      <c r="O41" s="1545"/>
      <c r="P41" s="1545"/>
      <c r="Q41" s="1545"/>
      <c r="R41" s="1545"/>
      <c r="S41" s="1545"/>
      <c r="T41" s="1545"/>
      <c r="U41" s="1545"/>
      <c r="V41" s="1545"/>
      <c r="W41" s="1545"/>
      <c r="X41" s="1545"/>
      <c r="Y41" s="1545"/>
      <c r="Z41" s="1545"/>
      <c r="AA41" s="1545"/>
      <c r="AB41" s="1545"/>
      <c r="AC41" s="1545"/>
      <c r="AD41" s="1545"/>
      <c r="AE41" s="1545"/>
      <c r="AF41" s="1545"/>
      <c r="AG41" s="1545"/>
      <c r="AH41" s="1545"/>
      <c r="AI41" s="1545"/>
      <c r="AJ41" s="1545"/>
      <c r="AK41" s="1545"/>
      <c r="AL41" s="1545"/>
      <c r="AM41" s="1545"/>
      <c r="AN41" s="1545"/>
      <c r="AO41" s="1545"/>
    </row>
    <row r="42" spans="1:45" hidden="1" x14ac:dyDescent="0.35">
      <c r="B42" s="1537">
        <f t="shared" si="1"/>
        <v>37</v>
      </c>
      <c r="C42" s="1537" t="s">
        <v>1622</v>
      </c>
      <c r="D42" s="1530" t="s">
        <v>2005</v>
      </c>
      <c r="F42" s="1537">
        <v>1</v>
      </c>
      <c r="G42" s="1553" t="s">
        <v>1999</v>
      </c>
      <c r="H42" s="1537" t="s">
        <v>2000</v>
      </c>
      <c r="K42" s="1545"/>
      <c r="L42" s="1545"/>
      <c r="M42" s="1545"/>
      <c r="N42" s="1545"/>
      <c r="O42" s="1545"/>
      <c r="P42" s="1545"/>
      <c r="Q42" s="1545"/>
      <c r="R42" s="1545"/>
      <c r="S42" s="1545"/>
      <c r="T42" s="1545"/>
      <c r="U42" s="1545"/>
      <c r="V42" s="1545"/>
      <c r="W42" s="1545"/>
      <c r="X42" s="1545"/>
      <c r="Y42" s="1545"/>
      <c r="Z42" s="1545"/>
      <c r="AA42" s="1545"/>
      <c r="AB42" s="1545"/>
      <c r="AC42" s="1545"/>
      <c r="AD42" s="1545"/>
      <c r="AE42" s="1545"/>
      <c r="AF42" s="1545"/>
      <c r="AG42" s="1545"/>
      <c r="AH42" s="1545"/>
      <c r="AI42" s="1545"/>
      <c r="AJ42" s="1545"/>
      <c r="AK42" s="1545"/>
      <c r="AL42" s="1545"/>
      <c r="AM42" s="1545"/>
      <c r="AN42" s="1545"/>
      <c r="AO42" s="1545"/>
    </row>
    <row r="43" spans="1:45" x14ac:dyDescent="0.35">
      <c r="B43" s="1537">
        <f t="shared" si="1"/>
        <v>38</v>
      </c>
      <c r="C43" s="1537" t="s">
        <v>1623</v>
      </c>
      <c r="D43" s="1537" t="s">
        <v>2041</v>
      </c>
      <c r="E43" s="1537" t="s">
        <v>2041</v>
      </c>
      <c r="F43" s="1537">
        <v>1</v>
      </c>
      <c r="G43" s="1550" t="s">
        <v>2042</v>
      </c>
      <c r="H43" s="1537" t="s">
        <v>1990</v>
      </c>
      <c r="I43" s="1537" t="s">
        <v>890</v>
      </c>
      <c r="K43" s="1545">
        <v>375</v>
      </c>
      <c r="L43" s="1545">
        <v>25.39</v>
      </c>
      <c r="M43" s="1551">
        <v>0</v>
      </c>
      <c r="N43" s="1551">
        <v>0</v>
      </c>
      <c r="O43" s="1551">
        <v>0</v>
      </c>
      <c r="P43" s="1551">
        <v>0</v>
      </c>
      <c r="Q43" s="1551">
        <v>0</v>
      </c>
      <c r="R43" s="1551">
        <v>0</v>
      </c>
      <c r="S43" s="1551">
        <v>0</v>
      </c>
      <c r="T43" s="1551">
        <v>10</v>
      </c>
      <c r="U43" s="1551">
        <v>34</v>
      </c>
      <c r="V43" s="1551">
        <v>55</v>
      </c>
      <c r="W43" s="1551">
        <v>60</v>
      </c>
      <c r="X43" s="1551">
        <v>65</v>
      </c>
      <c r="Y43" s="1551">
        <v>86</v>
      </c>
      <c r="Z43" s="1551">
        <v>65</v>
      </c>
      <c r="AA43" s="1551"/>
      <c r="AB43" s="1551"/>
      <c r="AC43" s="1551"/>
      <c r="AD43" s="1551"/>
      <c r="AE43" s="1551">
        <v>5</v>
      </c>
      <c r="AF43" s="1551">
        <v>9</v>
      </c>
      <c r="AG43" s="1551">
        <v>15</v>
      </c>
      <c r="AH43" s="1551">
        <v>129</v>
      </c>
      <c r="AI43" s="1551">
        <v>0</v>
      </c>
      <c r="AJ43" s="1551">
        <v>193</v>
      </c>
      <c r="AK43" s="1551">
        <v>24</v>
      </c>
      <c r="AL43" s="1551">
        <v>195</v>
      </c>
      <c r="AM43" s="1551">
        <v>180</v>
      </c>
      <c r="AN43" s="1551" t="s">
        <v>890</v>
      </c>
      <c r="AO43" s="1551" t="s">
        <v>890</v>
      </c>
      <c r="AP43" s="1537" t="s">
        <v>2043</v>
      </c>
      <c r="AQ43" s="1537" t="s">
        <v>890</v>
      </c>
      <c r="AS43" s="1552" t="s">
        <v>2044</v>
      </c>
    </row>
    <row r="44" spans="1:45" x14ac:dyDescent="0.35">
      <c r="B44" s="1537">
        <f t="shared" si="1"/>
        <v>39</v>
      </c>
      <c r="C44" s="1537" t="s">
        <v>1623</v>
      </c>
      <c r="D44" s="1537" t="s">
        <v>2045</v>
      </c>
      <c r="E44" s="1537" t="s">
        <v>2046</v>
      </c>
      <c r="F44" s="1537">
        <v>1</v>
      </c>
      <c r="G44" s="1550" t="s">
        <v>2047</v>
      </c>
      <c r="H44" s="1537" t="s">
        <v>1990</v>
      </c>
      <c r="I44" s="1537" t="s">
        <v>1991</v>
      </c>
      <c r="K44" s="1545">
        <v>1010</v>
      </c>
      <c r="L44" s="1545">
        <v>33.130000000000003</v>
      </c>
      <c r="M44" s="1551">
        <v>0</v>
      </c>
      <c r="N44" s="1551">
        <v>130</v>
      </c>
      <c r="O44" s="1551">
        <v>167</v>
      </c>
      <c r="P44" s="1551">
        <v>147</v>
      </c>
      <c r="Q44" s="1551">
        <v>173</v>
      </c>
      <c r="R44" s="1551">
        <v>182</v>
      </c>
      <c r="S44" s="1551">
        <v>211</v>
      </c>
      <c r="T44" s="1551">
        <v>0</v>
      </c>
      <c r="U44" s="1551">
        <v>0</v>
      </c>
      <c r="V44" s="1551">
        <v>0</v>
      </c>
      <c r="W44" s="1551">
        <v>0</v>
      </c>
      <c r="X44" s="1551">
        <v>0</v>
      </c>
      <c r="Y44" s="1551">
        <v>0</v>
      </c>
      <c r="Z44" s="1551">
        <v>0</v>
      </c>
      <c r="AA44" s="1551"/>
      <c r="AB44" s="1551"/>
      <c r="AC44" s="1551"/>
      <c r="AD44" s="1551"/>
      <c r="AE44" s="1551">
        <v>10</v>
      </c>
      <c r="AF44" s="1551">
        <v>11</v>
      </c>
      <c r="AG44" s="1551">
        <v>100</v>
      </c>
      <c r="AH44" s="1551">
        <v>356</v>
      </c>
      <c r="AI44" s="1551">
        <v>3</v>
      </c>
      <c r="AJ44" s="1551">
        <v>434</v>
      </c>
      <c r="AK44" s="1551">
        <v>96</v>
      </c>
      <c r="AL44" s="1551">
        <v>496</v>
      </c>
      <c r="AM44" s="1551">
        <v>514</v>
      </c>
      <c r="AN44" s="1551" t="s">
        <v>890</v>
      </c>
      <c r="AO44" s="1551" t="s">
        <v>890</v>
      </c>
      <c r="AP44" s="1537" t="s">
        <v>2048</v>
      </c>
      <c r="AQ44" s="1537" t="s">
        <v>890</v>
      </c>
      <c r="AS44" s="1552" t="s">
        <v>2049</v>
      </c>
    </row>
    <row r="45" spans="1:45" x14ac:dyDescent="0.35">
      <c r="B45" s="1537">
        <f t="shared" si="1"/>
        <v>40</v>
      </c>
      <c r="C45" s="1537" t="s">
        <v>1623</v>
      </c>
      <c r="D45" s="1537" t="s">
        <v>2050</v>
      </c>
      <c r="E45" s="1537" t="s">
        <v>2051</v>
      </c>
      <c r="G45" s="1550" t="s">
        <v>2052</v>
      </c>
      <c r="H45" s="1537" t="s">
        <v>1990</v>
      </c>
      <c r="I45" s="1537" t="s">
        <v>1991</v>
      </c>
      <c r="K45" s="1545">
        <v>718</v>
      </c>
      <c r="L45" s="1545">
        <v>29.13</v>
      </c>
      <c r="M45" s="1551">
        <v>0</v>
      </c>
      <c r="N45" s="1551">
        <v>0</v>
      </c>
      <c r="O45" s="1551">
        <v>0</v>
      </c>
      <c r="P45" s="1551">
        <v>0</v>
      </c>
      <c r="Q45" s="1551">
        <v>0</v>
      </c>
      <c r="R45" s="1551">
        <v>0</v>
      </c>
      <c r="S45" s="1551">
        <v>0</v>
      </c>
      <c r="T45" s="1551">
        <v>203</v>
      </c>
      <c r="U45" s="1551">
        <v>232</v>
      </c>
      <c r="V45" s="1551">
        <v>283</v>
      </c>
      <c r="W45" s="1551">
        <v>0</v>
      </c>
      <c r="X45" s="1551">
        <v>0</v>
      </c>
      <c r="Y45" s="1551">
        <v>0</v>
      </c>
      <c r="Z45" s="1551">
        <v>0</v>
      </c>
      <c r="AA45" s="1551"/>
      <c r="AB45" s="1551"/>
      <c r="AC45" s="1551"/>
      <c r="AD45" s="1551"/>
      <c r="AE45" s="1551">
        <v>5</v>
      </c>
      <c r="AF45" s="1551">
        <v>10</v>
      </c>
      <c r="AG45" s="1551">
        <v>66</v>
      </c>
      <c r="AH45" s="1551">
        <v>227</v>
      </c>
      <c r="AI45" s="1551">
        <v>2</v>
      </c>
      <c r="AJ45" s="1551">
        <v>358</v>
      </c>
      <c r="AK45" s="1551">
        <v>50</v>
      </c>
      <c r="AL45" s="1551">
        <v>369</v>
      </c>
      <c r="AM45" s="1551">
        <v>349</v>
      </c>
      <c r="AN45" s="1551" t="s">
        <v>890</v>
      </c>
      <c r="AO45" s="1551" t="s">
        <v>890</v>
      </c>
      <c r="AP45" s="1537" t="s">
        <v>2048</v>
      </c>
      <c r="AQ45" s="1537" t="s">
        <v>890</v>
      </c>
      <c r="AS45" s="1552" t="s">
        <v>2053</v>
      </c>
    </row>
    <row r="46" spans="1:45" x14ac:dyDescent="0.35">
      <c r="B46" s="1537">
        <f t="shared" si="1"/>
        <v>41</v>
      </c>
      <c r="C46" s="1537" t="s">
        <v>1623</v>
      </c>
      <c r="D46" s="1537" t="s">
        <v>2054</v>
      </c>
      <c r="E46" s="1537" t="s">
        <v>2055</v>
      </c>
      <c r="G46" s="1550" t="s">
        <v>1989</v>
      </c>
      <c r="H46" s="1537" t="s">
        <v>1990</v>
      </c>
      <c r="I46" s="1537" t="s">
        <v>1991</v>
      </c>
      <c r="K46" s="1545">
        <v>810</v>
      </c>
      <c r="L46" s="1545">
        <v>29.63</v>
      </c>
      <c r="M46" s="1551">
        <v>0</v>
      </c>
      <c r="N46" s="1551">
        <v>0</v>
      </c>
      <c r="O46" s="1551">
        <v>0</v>
      </c>
      <c r="P46" s="1551">
        <v>0</v>
      </c>
      <c r="Q46" s="1551">
        <v>0</v>
      </c>
      <c r="R46" s="1551">
        <v>0</v>
      </c>
      <c r="S46" s="1551">
        <v>0</v>
      </c>
      <c r="T46" s="1551">
        <v>0</v>
      </c>
      <c r="U46" s="1551">
        <v>0</v>
      </c>
      <c r="V46" s="1551">
        <v>0</v>
      </c>
      <c r="W46" s="1551">
        <v>214</v>
      </c>
      <c r="X46" s="1551">
        <v>223</v>
      </c>
      <c r="Y46" s="1551">
        <v>189</v>
      </c>
      <c r="Z46" s="1551">
        <v>184</v>
      </c>
      <c r="AA46" s="1551"/>
      <c r="AB46" s="1551"/>
      <c r="AC46" s="1551"/>
      <c r="AD46" s="1551"/>
      <c r="AE46" s="1551">
        <v>5</v>
      </c>
      <c r="AF46" s="1551">
        <v>13</v>
      </c>
      <c r="AG46" s="1551">
        <v>55</v>
      </c>
      <c r="AH46" s="1551">
        <v>254</v>
      </c>
      <c r="AI46" s="1551">
        <v>0</v>
      </c>
      <c r="AJ46" s="1551">
        <v>421</v>
      </c>
      <c r="AK46" s="1551">
        <v>62</v>
      </c>
      <c r="AL46" s="1551">
        <v>374</v>
      </c>
      <c r="AM46" s="1551">
        <v>436</v>
      </c>
      <c r="AN46" s="1551" t="s">
        <v>890</v>
      </c>
      <c r="AO46" s="1551" t="s">
        <v>890</v>
      </c>
      <c r="AP46" s="1537" t="s">
        <v>2048</v>
      </c>
      <c r="AQ46" s="1537" t="s">
        <v>890</v>
      </c>
      <c r="AS46" s="1552" t="s">
        <v>2056</v>
      </c>
    </row>
    <row r="47" spans="1:45" x14ac:dyDescent="0.35">
      <c r="B47" s="1537">
        <f t="shared" si="1"/>
        <v>42</v>
      </c>
      <c r="C47" s="1537" t="s">
        <v>1623</v>
      </c>
      <c r="D47" s="1537" t="s">
        <v>2057</v>
      </c>
      <c r="E47" s="1537" t="s">
        <v>2058</v>
      </c>
      <c r="F47" s="1537">
        <v>1</v>
      </c>
      <c r="G47" s="1550" t="s">
        <v>2039</v>
      </c>
      <c r="H47" s="1537" t="s">
        <v>1990</v>
      </c>
      <c r="I47" s="1537" t="s">
        <v>2059</v>
      </c>
      <c r="K47" s="1545">
        <v>372</v>
      </c>
      <c r="L47" s="1545">
        <v>19.75</v>
      </c>
      <c r="M47" s="1551">
        <v>0</v>
      </c>
      <c r="N47" s="1551">
        <v>0</v>
      </c>
      <c r="O47" s="1551">
        <v>0</v>
      </c>
      <c r="P47" s="1551">
        <v>0</v>
      </c>
      <c r="Q47" s="1551">
        <v>0</v>
      </c>
      <c r="R47" s="1551">
        <v>0</v>
      </c>
      <c r="S47" s="1551">
        <v>0</v>
      </c>
      <c r="T47" s="1551">
        <v>0</v>
      </c>
      <c r="U47" s="1551">
        <v>0</v>
      </c>
      <c r="V47" s="1551">
        <v>0</v>
      </c>
      <c r="W47" s="1551">
        <v>28</v>
      </c>
      <c r="X47" s="1551">
        <v>81</v>
      </c>
      <c r="Y47" s="1551">
        <v>113</v>
      </c>
      <c r="Z47" s="1551">
        <v>150</v>
      </c>
      <c r="AA47" s="1551"/>
      <c r="AB47" s="1551"/>
      <c r="AC47" s="1551"/>
      <c r="AD47" s="1551"/>
      <c r="AE47" s="1551">
        <v>1</v>
      </c>
      <c r="AF47" s="1551">
        <v>4</v>
      </c>
      <c r="AG47" s="1551">
        <v>17</v>
      </c>
      <c r="AH47" s="1551">
        <v>127</v>
      </c>
      <c r="AI47" s="1551">
        <v>2</v>
      </c>
      <c r="AJ47" s="1551">
        <v>191</v>
      </c>
      <c r="AK47" s="1551">
        <v>30</v>
      </c>
      <c r="AL47" s="1551">
        <v>190</v>
      </c>
      <c r="AM47" s="1551">
        <v>182</v>
      </c>
      <c r="AN47" s="1551" t="s">
        <v>890</v>
      </c>
      <c r="AO47" s="1551" t="s">
        <v>890</v>
      </c>
      <c r="AP47" s="1537" t="s">
        <v>2060</v>
      </c>
      <c r="AQ47" s="1537" t="s">
        <v>2061</v>
      </c>
      <c r="AR47" s="1537" t="s">
        <v>2009</v>
      </c>
      <c r="AS47" s="1552" t="s">
        <v>2062</v>
      </c>
    </row>
    <row r="48" spans="1:45" hidden="1" x14ac:dyDescent="0.35">
      <c r="B48" s="1537">
        <f t="shared" si="1"/>
        <v>43</v>
      </c>
      <c r="C48" s="1537" t="s">
        <v>1623</v>
      </c>
      <c r="D48" s="1530" t="s">
        <v>1998</v>
      </c>
      <c r="F48" s="1537">
        <v>1</v>
      </c>
      <c r="G48" s="1553" t="s">
        <v>1999</v>
      </c>
      <c r="H48" s="1537" t="s">
        <v>2000</v>
      </c>
      <c r="K48" s="1545"/>
      <c r="L48" s="1545"/>
      <c r="M48" s="1545"/>
      <c r="N48" s="1545"/>
      <c r="O48" s="1545"/>
      <c r="P48" s="1545"/>
      <c r="Q48" s="1545"/>
      <c r="R48" s="1545"/>
      <c r="S48" s="1545"/>
      <c r="T48" s="1545"/>
      <c r="U48" s="1545"/>
      <c r="V48" s="1545"/>
      <c r="W48" s="1545"/>
      <c r="X48" s="1545"/>
      <c r="Y48" s="1545"/>
      <c r="Z48" s="1545"/>
      <c r="AA48" s="1545"/>
      <c r="AB48" s="1545"/>
      <c r="AC48" s="1545"/>
      <c r="AD48" s="1545"/>
      <c r="AE48" s="1545"/>
      <c r="AF48" s="1545"/>
      <c r="AG48" s="1545"/>
      <c r="AH48" s="1545"/>
      <c r="AI48" s="1545"/>
      <c r="AJ48" s="1545"/>
      <c r="AK48" s="1545"/>
      <c r="AL48" s="1545"/>
      <c r="AM48" s="1545"/>
      <c r="AN48" s="1545"/>
      <c r="AO48" s="1545"/>
    </row>
    <row r="49" spans="2:45" hidden="1" x14ac:dyDescent="0.35">
      <c r="B49" s="1537">
        <f t="shared" si="1"/>
        <v>44</v>
      </c>
      <c r="C49" s="1537" t="s">
        <v>1623</v>
      </c>
      <c r="D49" s="1530" t="s">
        <v>2001</v>
      </c>
      <c r="F49" s="1537">
        <v>1</v>
      </c>
      <c r="G49" s="1553" t="s">
        <v>1989</v>
      </c>
      <c r="H49" s="1537" t="s">
        <v>2000</v>
      </c>
      <c r="K49" s="1545"/>
      <c r="L49" s="1545"/>
      <c r="M49" s="1545"/>
      <c r="N49" s="1545"/>
      <c r="O49" s="1545"/>
      <c r="P49" s="1545"/>
      <c r="Q49" s="1545"/>
      <c r="R49" s="1545"/>
      <c r="S49" s="1545"/>
      <c r="T49" s="1545"/>
      <c r="U49" s="1545"/>
      <c r="V49" s="1545"/>
      <c r="W49" s="1545"/>
      <c r="X49" s="1545"/>
      <c r="Y49" s="1545"/>
      <c r="Z49" s="1545"/>
      <c r="AA49" s="1545"/>
      <c r="AB49" s="1545"/>
      <c r="AC49" s="1545"/>
      <c r="AD49" s="1545"/>
      <c r="AE49" s="1545"/>
      <c r="AF49" s="1545"/>
      <c r="AG49" s="1545"/>
      <c r="AH49" s="1545"/>
      <c r="AI49" s="1545"/>
      <c r="AJ49" s="1545"/>
      <c r="AK49" s="1545"/>
      <c r="AL49" s="1545"/>
      <c r="AM49" s="1545"/>
      <c r="AN49" s="1545"/>
      <c r="AO49" s="1545"/>
    </row>
    <row r="50" spans="2:45" hidden="1" x14ac:dyDescent="0.35">
      <c r="B50" s="1537">
        <f t="shared" si="1"/>
        <v>45</v>
      </c>
      <c r="C50" s="1537" t="s">
        <v>1623</v>
      </c>
      <c r="D50" s="1530" t="s">
        <v>2002</v>
      </c>
      <c r="F50" s="1537">
        <v>1</v>
      </c>
      <c r="G50" s="1553" t="s">
        <v>1989</v>
      </c>
      <c r="H50" s="1537" t="s">
        <v>2000</v>
      </c>
      <c r="K50" s="1545"/>
      <c r="L50" s="1545"/>
      <c r="M50" s="1545"/>
      <c r="N50" s="1545"/>
      <c r="O50" s="1545"/>
      <c r="P50" s="1545"/>
      <c r="Q50" s="1545"/>
      <c r="R50" s="1545"/>
      <c r="S50" s="1545"/>
      <c r="T50" s="1545"/>
      <c r="U50" s="1545"/>
      <c r="V50" s="1545"/>
      <c r="W50" s="1545"/>
      <c r="X50" s="1545"/>
      <c r="Y50" s="1545"/>
      <c r="Z50" s="1545"/>
      <c r="AA50" s="1545"/>
      <c r="AB50" s="1545"/>
      <c r="AC50" s="1545"/>
      <c r="AD50" s="1545"/>
      <c r="AE50" s="1545"/>
      <c r="AF50" s="1545"/>
      <c r="AG50" s="1545"/>
      <c r="AH50" s="1545"/>
      <c r="AI50" s="1545"/>
      <c r="AJ50" s="1545"/>
      <c r="AK50" s="1545"/>
      <c r="AL50" s="1545"/>
      <c r="AM50" s="1545"/>
      <c r="AN50" s="1545"/>
      <c r="AO50" s="1545"/>
    </row>
    <row r="51" spans="2:45" hidden="1" x14ac:dyDescent="0.35">
      <c r="B51" s="1537">
        <f t="shared" si="1"/>
        <v>46</v>
      </c>
      <c r="C51" s="1537" t="s">
        <v>1623</v>
      </c>
      <c r="D51" s="1530" t="s">
        <v>2003</v>
      </c>
      <c r="F51" s="1537">
        <v>1</v>
      </c>
      <c r="G51" s="1553" t="s">
        <v>2004</v>
      </c>
      <c r="H51" s="1537" t="s">
        <v>2000</v>
      </c>
      <c r="K51" s="1545"/>
      <c r="L51" s="1545"/>
      <c r="M51" s="1545"/>
      <c r="N51" s="1545"/>
      <c r="O51" s="1545"/>
      <c r="P51" s="1545"/>
      <c r="Q51" s="1545"/>
      <c r="R51" s="1545"/>
      <c r="S51" s="1545"/>
      <c r="T51" s="1545"/>
      <c r="U51" s="1545"/>
      <c r="V51" s="1545"/>
      <c r="W51" s="1545"/>
      <c r="X51" s="1545"/>
      <c r="Y51" s="1545"/>
      <c r="Z51" s="1545"/>
      <c r="AA51" s="1545"/>
      <c r="AB51" s="1545"/>
      <c r="AC51" s="1545"/>
      <c r="AD51" s="1545"/>
      <c r="AE51" s="1545"/>
      <c r="AF51" s="1545"/>
      <c r="AG51" s="1545"/>
      <c r="AH51" s="1545"/>
      <c r="AI51" s="1545"/>
      <c r="AJ51" s="1545"/>
      <c r="AK51" s="1545"/>
      <c r="AL51" s="1545"/>
      <c r="AM51" s="1545"/>
      <c r="AN51" s="1545"/>
      <c r="AO51" s="1545"/>
    </row>
    <row r="52" spans="2:45" hidden="1" x14ac:dyDescent="0.35">
      <c r="B52" s="1537">
        <f t="shared" si="1"/>
        <v>47</v>
      </c>
      <c r="C52" s="1537" t="s">
        <v>1623</v>
      </c>
      <c r="D52" s="1530" t="s">
        <v>2005</v>
      </c>
      <c r="F52" s="1537">
        <v>1</v>
      </c>
      <c r="G52" s="1553" t="s">
        <v>1999</v>
      </c>
      <c r="H52" s="1537" t="s">
        <v>2000</v>
      </c>
      <c r="K52" s="1545"/>
      <c r="L52" s="1545"/>
      <c r="M52" s="1545"/>
      <c r="N52" s="1545"/>
      <c r="O52" s="1545"/>
      <c r="P52" s="1545"/>
      <c r="Q52" s="1545"/>
      <c r="R52" s="1545"/>
      <c r="S52" s="1545"/>
      <c r="T52" s="1545"/>
      <c r="U52" s="1545"/>
      <c r="V52" s="1545"/>
      <c r="W52" s="1545"/>
      <c r="X52" s="1545"/>
      <c r="Y52" s="1545"/>
      <c r="Z52" s="1545"/>
      <c r="AA52" s="1545"/>
      <c r="AB52" s="1545"/>
      <c r="AC52" s="1545"/>
      <c r="AD52" s="1545"/>
      <c r="AE52" s="1545"/>
      <c r="AF52" s="1545"/>
      <c r="AG52" s="1545"/>
      <c r="AH52" s="1545"/>
      <c r="AI52" s="1545"/>
      <c r="AJ52" s="1545"/>
      <c r="AK52" s="1545"/>
      <c r="AL52" s="1545"/>
      <c r="AM52" s="1545"/>
      <c r="AN52" s="1545"/>
      <c r="AO52" s="1545"/>
    </row>
    <row r="53" spans="2:45" hidden="1" x14ac:dyDescent="0.35">
      <c r="B53" s="1537">
        <f t="shared" si="1"/>
        <v>48</v>
      </c>
      <c r="C53" s="1537" t="s">
        <v>2063</v>
      </c>
      <c r="D53" s="1530" t="s">
        <v>1998</v>
      </c>
      <c r="F53" s="1537">
        <v>1</v>
      </c>
      <c r="G53" s="1553" t="s">
        <v>1999</v>
      </c>
      <c r="H53" s="1537" t="s">
        <v>2000</v>
      </c>
      <c r="K53" s="1545"/>
      <c r="L53" s="1545"/>
      <c r="M53" s="1545"/>
      <c r="N53" s="1545"/>
      <c r="O53" s="1545"/>
      <c r="P53" s="1545"/>
      <c r="Q53" s="1545"/>
      <c r="R53" s="1545"/>
      <c r="S53" s="1545"/>
      <c r="T53" s="1545"/>
      <c r="U53" s="1545"/>
      <c r="V53" s="1545"/>
      <c r="W53" s="1545"/>
      <c r="X53" s="1545"/>
      <c r="Y53" s="1545"/>
      <c r="Z53" s="1545"/>
      <c r="AA53" s="1545"/>
      <c r="AB53" s="1545"/>
      <c r="AC53" s="1545"/>
      <c r="AD53" s="1545"/>
      <c r="AE53" s="1545"/>
      <c r="AF53" s="1545"/>
      <c r="AG53" s="1545"/>
      <c r="AH53" s="1545"/>
      <c r="AI53" s="1545"/>
      <c r="AJ53" s="1545"/>
      <c r="AK53" s="1545"/>
      <c r="AL53" s="1545"/>
      <c r="AM53" s="1545"/>
      <c r="AN53" s="1545"/>
      <c r="AO53" s="1545"/>
    </row>
    <row r="54" spans="2:45" hidden="1" x14ac:dyDescent="0.35">
      <c r="B54" s="1537">
        <f t="shared" si="1"/>
        <v>49</v>
      </c>
      <c r="C54" s="1537" t="s">
        <v>2063</v>
      </c>
      <c r="D54" s="1530" t="s">
        <v>2001</v>
      </c>
      <c r="F54" s="1537">
        <v>1</v>
      </c>
      <c r="G54" s="1553" t="s">
        <v>1989</v>
      </c>
      <c r="H54" s="1537" t="s">
        <v>2000</v>
      </c>
      <c r="K54" s="1545"/>
      <c r="L54" s="1545"/>
      <c r="M54" s="1545"/>
      <c r="N54" s="1545"/>
      <c r="O54" s="1545"/>
      <c r="P54" s="1545"/>
      <c r="Q54" s="1545"/>
      <c r="R54" s="1545"/>
      <c r="S54" s="1545"/>
      <c r="T54" s="1545"/>
      <c r="U54" s="1545"/>
      <c r="V54" s="1545"/>
      <c r="W54" s="1545"/>
      <c r="X54" s="1545"/>
      <c r="Y54" s="1545"/>
      <c r="Z54" s="1545"/>
      <c r="AA54" s="1545"/>
      <c r="AB54" s="1545"/>
      <c r="AC54" s="1545"/>
      <c r="AD54" s="1545"/>
      <c r="AE54" s="1545"/>
      <c r="AF54" s="1545"/>
      <c r="AG54" s="1545"/>
      <c r="AH54" s="1545"/>
      <c r="AI54" s="1545"/>
      <c r="AJ54" s="1545"/>
      <c r="AK54" s="1545"/>
      <c r="AL54" s="1545"/>
      <c r="AM54" s="1545"/>
      <c r="AN54" s="1545"/>
      <c r="AO54" s="1545"/>
    </row>
    <row r="55" spans="2:45" hidden="1" x14ac:dyDescent="0.35">
      <c r="B55" s="1537">
        <f t="shared" si="1"/>
        <v>50</v>
      </c>
      <c r="C55" s="1537" t="s">
        <v>2063</v>
      </c>
      <c r="D55" s="1530" t="s">
        <v>2002</v>
      </c>
      <c r="F55" s="1537">
        <v>1</v>
      </c>
      <c r="G55" s="1553" t="s">
        <v>1989</v>
      </c>
      <c r="H55" s="1537" t="s">
        <v>2000</v>
      </c>
      <c r="K55" s="1545"/>
      <c r="L55" s="1545"/>
      <c r="M55" s="1545"/>
      <c r="N55" s="1545"/>
      <c r="O55" s="1545"/>
      <c r="P55" s="1545"/>
      <c r="Q55" s="1545"/>
      <c r="R55" s="1545"/>
      <c r="S55" s="1545"/>
      <c r="T55" s="1545"/>
      <c r="U55" s="1545"/>
      <c r="V55" s="1545"/>
      <c r="W55" s="1545"/>
      <c r="X55" s="1545"/>
      <c r="Y55" s="1545"/>
      <c r="Z55" s="1545"/>
      <c r="AA55" s="1545"/>
      <c r="AB55" s="1545"/>
      <c r="AC55" s="1545"/>
      <c r="AD55" s="1545"/>
      <c r="AE55" s="1545"/>
      <c r="AF55" s="1545"/>
      <c r="AG55" s="1545"/>
      <c r="AH55" s="1545"/>
      <c r="AI55" s="1545"/>
      <c r="AJ55" s="1545"/>
      <c r="AK55" s="1545"/>
      <c r="AL55" s="1545"/>
      <c r="AM55" s="1545"/>
      <c r="AN55" s="1545"/>
      <c r="AO55" s="1545"/>
    </row>
    <row r="56" spans="2:45" hidden="1" x14ac:dyDescent="0.35">
      <c r="B56" s="1537">
        <f t="shared" si="1"/>
        <v>51</v>
      </c>
      <c r="C56" s="1537" t="s">
        <v>2063</v>
      </c>
      <c r="D56" s="1530" t="s">
        <v>2003</v>
      </c>
      <c r="F56" s="1537">
        <v>1</v>
      </c>
      <c r="G56" s="1553" t="s">
        <v>2004</v>
      </c>
      <c r="H56" s="1537" t="s">
        <v>2000</v>
      </c>
      <c r="K56" s="1545"/>
      <c r="L56" s="1545"/>
      <c r="M56" s="1545"/>
      <c r="N56" s="1545"/>
      <c r="O56" s="1545"/>
      <c r="P56" s="1545"/>
      <c r="Q56" s="1545"/>
      <c r="R56" s="1545"/>
      <c r="S56" s="1545"/>
      <c r="T56" s="1545"/>
      <c r="U56" s="1545"/>
      <c r="V56" s="1545"/>
      <c r="W56" s="1545"/>
      <c r="X56" s="1545"/>
      <c r="Y56" s="1545"/>
      <c r="Z56" s="1545"/>
      <c r="AA56" s="1545"/>
      <c r="AB56" s="1545"/>
      <c r="AC56" s="1545"/>
      <c r="AD56" s="1545"/>
      <c r="AE56" s="1545"/>
      <c r="AF56" s="1545"/>
      <c r="AG56" s="1545"/>
      <c r="AH56" s="1545"/>
      <c r="AI56" s="1545"/>
      <c r="AJ56" s="1545"/>
      <c r="AK56" s="1545"/>
      <c r="AL56" s="1545"/>
      <c r="AM56" s="1545"/>
      <c r="AN56" s="1545"/>
      <c r="AO56" s="1545"/>
    </row>
    <row r="57" spans="2:45" hidden="1" x14ac:dyDescent="0.35">
      <c r="B57" s="1537">
        <f t="shared" si="1"/>
        <v>52</v>
      </c>
      <c r="C57" s="1537" t="s">
        <v>2063</v>
      </c>
      <c r="D57" s="1530" t="s">
        <v>2005</v>
      </c>
      <c r="F57" s="1537">
        <v>1</v>
      </c>
      <c r="G57" s="1553" t="s">
        <v>1999</v>
      </c>
      <c r="H57" s="1537" t="s">
        <v>2000</v>
      </c>
      <c r="K57" s="1545"/>
      <c r="L57" s="1545"/>
      <c r="M57" s="1545"/>
      <c r="N57" s="1545"/>
      <c r="O57" s="1545"/>
      <c r="P57" s="1545"/>
      <c r="Q57" s="1545"/>
      <c r="R57" s="1545"/>
      <c r="S57" s="1545"/>
      <c r="T57" s="1545"/>
      <c r="U57" s="1545"/>
      <c r="V57" s="1545"/>
      <c r="W57" s="1545"/>
      <c r="X57" s="1545"/>
      <c r="Y57" s="1545"/>
      <c r="Z57" s="1545"/>
      <c r="AA57" s="1545"/>
      <c r="AB57" s="1545"/>
      <c r="AC57" s="1545"/>
      <c r="AD57" s="1545"/>
      <c r="AE57" s="1545"/>
      <c r="AF57" s="1545"/>
      <c r="AG57" s="1545"/>
      <c r="AH57" s="1545"/>
      <c r="AI57" s="1545"/>
      <c r="AJ57" s="1545"/>
      <c r="AK57" s="1545"/>
      <c r="AL57" s="1545"/>
      <c r="AM57" s="1545"/>
      <c r="AN57" s="1545"/>
      <c r="AO57" s="1545"/>
    </row>
    <row r="58" spans="2:45" hidden="1" x14ac:dyDescent="0.35">
      <c r="B58" s="1537">
        <f t="shared" si="1"/>
        <v>53</v>
      </c>
      <c r="C58" s="1537" t="s">
        <v>2064</v>
      </c>
      <c r="D58" s="1530" t="s">
        <v>1998</v>
      </c>
      <c r="F58" s="1537">
        <v>1</v>
      </c>
      <c r="G58" s="1553" t="s">
        <v>1999</v>
      </c>
      <c r="H58" s="1537" t="s">
        <v>2000</v>
      </c>
      <c r="K58" s="1545"/>
      <c r="L58" s="1545"/>
      <c r="M58" s="1545"/>
      <c r="N58" s="1545"/>
      <c r="O58" s="1545"/>
      <c r="P58" s="1545"/>
      <c r="Q58" s="1545"/>
      <c r="R58" s="1545"/>
      <c r="S58" s="1545"/>
      <c r="T58" s="1545"/>
      <c r="U58" s="1545"/>
      <c r="V58" s="1545"/>
      <c r="W58" s="1545"/>
      <c r="X58" s="1545"/>
      <c r="Y58" s="1545"/>
      <c r="Z58" s="1545"/>
      <c r="AA58" s="1545"/>
      <c r="AB58" s="1545"/>
      <c r="AC58" s="1545"/>
      <c r="AD58" s="1545"/>
      <c r="AE58" s="1545"/>
      <c r="AF58" s="1545"/>
      <c r="AG58" s="1545"/>
      <c r="AH58" s="1545"/>
      <c r="AI58" s="1545"/>
      <c r="AJ58" s="1545"/>
      <c r="AK58" s="1545"/>
      <c r="AL58" s="1545"/>
      <c r="AM58" s="1545"/>
      <c r="AN58" s="1545"/>
      <c r="AO58" s="1545"/>
    </row>
    <row r="59" spans="2:45" hidden="1" x14ac:dyDescent="0.35">
      <c r="B59" s="1537">
        <f t="shared" si="1"/>
        <v>54</v>
      </c>
      <c r="C59" s="1537" t="s">
        <v>2064</v>
      </c>
      <c r="D59" s="1530" t="s">
        <v>2001</v>
      </c>
      <c r="F59" s="1537">
        <v>1</v>
      </c>
      <c r="G59" s="1553" t="s">
        <v>1989</v>
      </c>
      <c r="H59" s="1537" t="s">
        <v>2000</v>
      </c>
      <c r="K59" s="1545"/>
      <c r="L59" s="1545"/>
      <c r="M59" s="1545"/>
      <c r="N59" s="1545"/>
      <c r="O59" s="1545"/>
      <c r="P59" s="1545"/>
      <c r="Q59" s="1545"/>
      <c r="R59" s="1545"/>
      <c r="S59" s="1545"/>
      <c r="T59" s="1545"/>
      <c r="U59" s="1545"/>
      <c r="V59" s="1545"/>
      <c r="W59" s="1545"/>
      <c r="X59" s="1545"/>
      <c r="Y59" s="1545"/>
      <c r="Z59" s="1545"/>
      <c r="AA59" s="1545"/>
      <c r="AB59" s="1545"/>
      <c r="AC59" s="1545"/>
      <c r="AD59" s="1545"/>
      <c r="AE59" s="1545"/>
      <c r="AF59" s="1545"/>
      <c r="AG59" s="1545"/>
      <c r="AH59" s="1545"/>
      <c r="AI59" s="1545"/>
      <c r="AJ59" s="1545"/>
      <c r="AK59" s="1545"/>
      <c r="AL59" s="1545"/>
      <c r="AM59" s="1545"/>
      <c r="AN59" s="1545"/>
      <c r="AO59" s="1545"/>
    </row>
    <row r="60" spans="2:45" hidden="1" x14ac:dyDescent="0.35">
      <c r="B60" s="1537">
        <f t="shared" si="1"/>
        <v>55</v>
      </c>
      <c r="C60" s="1537" t="s">
        <v>2064</v>
      </c>
      <c r="D60" s="1530" t="s">
        <v>2002</v>
      </c>
      <c r="F60" s="1537">
        <v>1</v>
      </c>
      <c r="G60" s="1553" t="s">
        <v>1989</v>
      </c>
      <c r="H60" s="1537" t="s">
        <v>2000</v>
      </c>
      <c r="K60" s="1545"/>
      <c r="L60" s="1545"/>
      <c r="M60" s="1545"/>
      <c r="N60" s="1545"/>
      <c r="O60" s="1545"/>
      <c r="P60" s="1545"/>
      <c r="Q60" s="1545"/>
      <c r="R60" s="1545"/>
      <c r="S60" s="1545"/>
      <c r="T60" s="1545"/>
      <c r="U60" s="1545"/>
      <c r="V60" s="1545"/>
      <c r="W60" s="1545"/>
      <c r="X60" s="1545"/>
      <c r="Y60" s="1545"/>
      <c r="Z60" s="1545"/>
      <c r="AA60" s="1545"/>
      <c r="AB60" s="1545"/>
      <c r="AC60" s="1545"/>
      <c r="AD60" s="1545"/>
      <c r="AE60" s="1545"/>
      <c r="AF60" s="1545"/>
      <c r="AG60" s="1545"/>
      <c r="AH60" s="1545"/>
      <c r="AI60" s="1545"/>
      <c r="AJ60" s="1545"/>
      <c r="AK60" s="1545"/>
      <c r="AL60" s="1545"/>
      <c r="AM60" s="1545"/>
      <c r="AN60" s="1545"/>
      <c r="AO60" s="1545"/>
    </row>
    <row r="61" spans="2:45" hidden="1" x14ac:dyDescent="0.35">
      <c r="B61" s="1537">
        <f t="shared" si="1"/>
        <v>56</v>
      </c>
      <c r="C61" s="1537" t="s">
        <v>2064</v>
      </c>
      <c r="D61" s="1530" t="s">
        <v>2003</v>
      </c>
      <c r="F61" s="1537">
        <v>1</v>
      </c>
      <c r="G61" s="1553" t="s">
        <v>2004</v>
      </c>
      <c r="H61" s="1537" t="s">
        <v>2000</v>
      </c>
      <c r="K61" s="1545"/>
      <c r="L61" s="1545"/>
      <c r="M61" s="1545"/>
      <c r="N61" s="1545"/>
      <c r="O61" s="1545"/>
      <c r="P61" s="1545"/>
      <c r="Q61" s="1545"/>
      <c r="R61" s="1545"/>
      <c r="S61" s="1545"/>
      <c r="T61" s="1545"/>
      <c r="U61" s="1545"/>
      <c r="V61" s="1545"/>
      <c r="W61" s="1545"/>
      <c r="X61" s="1545"/>
      <c r="Y61" s="1545"/>
      <c r="Z61" s="1545"/>
      <c r="AA61" s="1545"/>
      <c r="AB61" s="1545"/>
      <c r="AC61" s="1545"/>
      <c r="AD61" s="1545"/>
      <c r="AE61" s="1545"/>
      <c r="AF61" s="1545"/>
      <c r="AG61" s="1545"/>
      <c r="AH61" s="1545"/>
      <c r="AI61" s="1545"/>
      <c r="AJ61" s="1545"/>
      <c r="AK61" s="1545"/>
      <c r="AL61" s="1545"/>
      <c r="AM61" s="1545"/>
      <c r="AN61" s="1545"/>
      <c r="AO61" s="1545"/>
    </row>
    <row r="62" spans="2:45" hidden="1" x14ac:dyDescent="0.35">
      <c r="B62" s="1537">
        <f t="shared" si="1"/>
        <v>57</v>
      </c>
      <c r="C62" s="1537" t="s">
        <v>2064</v>
      </c>
      <c r="D62" s="1530" t="s">
        <v>2005</v>
      </c>
      <c r="F62" s="1537">
        <v>1</v>
      </c>
      <c r="G62" s="1553" t="s">
        <v>1999</v>
      </c>
      <c r="H62" s="1537" t="s">
        <v>2000</v>
      </c>
      <c r="K62" s="1545"/>
      <c r="L62" s="1545"/>
      <c r="M62" s="1545"/>
      <c r="N62" s="1545"/>
      <c r="O62" s="1545"/>
      <c r="P62" s="1545"/>
      <c r="Q62" s="1545"/>
      <c r="R62" s="1545"/>
      <c r="S62" s="1545"/>
      <c r="T62" s="1545"/>
      <c r="U62" s="1545"/>
      <c r="V62" s="1545"/>
      <c r="W62" s="1545"/>
      <c r="X62" s="1545"/>
      <c r="Y62" s="1545"/>
      <c r="Z62" s="1545"/>
      <c r="AA62" s="1545"/>
      <c r="AB62" s="1545"/>
      <c r="AC62" s="1545"/>
      <c r="AD62" s="1545"/>
      <c r="AE62" s="1545"/>
      <c r="AF62" s="1545"/>
      <c r="AG62" s="1545"/>
      <c r="AH62" s="1545"/>
      <c r="AI62" s="1545"/>
      <c r="AJ62" s="1545"/>
      <c r="AK62" s="1545"/>
      <c r="AL62" s="1545"/>
      <c r="AM62" s="1545"/>
      <c r="AN62" s="1545"/>
      <c r="AO62" s="1545"/>
    </row>
    <row r="63" spans="2:45" x14ac:dyDescent="0.35">
      <c r="B63" s="1537">
        <f t="shared" si="1"/>
        <v>58</v>
      </c>
      <c r="C63" s="1537" t="s">
        <v>1624</v>
      </c>
      <c r="D63" s="1537" t="s">
        <v>2065</v>
      </c>
      <c r="E63" s="1537" t="s">
        <v>2066</v>
      </c>
      <c r="F63" s="1537">
        <v>1</v>
      </c>
      <c r="G63" s="1550" t="s">
        <v>2067</v>
      </c>
      <c r="H63" s="1537" t="s">
        <v>1990</v>
      </c>
      <c r="I63" s="1537" t="s">
        <v>1991</v>
      </c>
      <c r="K63" s="1545">
        <v>435</v>
      </c>
      <c r="L63" s="1545">
        <v>21</v>
      </c>
      <c r="M63" s="1551">
        <v>0</v>
      </c>
      <c r="N63" s="1551">
        <v>35</v>
      </c>
      <c r="O63" s="1551">
        <v>35</v>
      </c>
      <c r="P63" s="1551">
        <v>37</v>
      </c>
      <c r="Q63" s="1551">
        <v>41</v>
      </c>
      <c r="R63" s="1551">
        <v>44</v>
      </c>
      <c r="S63" s="1551">
        <v>51</v>
      </c>
      <c r="T63" s="1551">
        <v>58</v>
      </c>
      <c r="U63" s="1551">
        <v>71</v>
      </c>
      <c r="V63" s="1551">
        <v>63</v>
      </c>
      <c r="W63" s="1551">
        <v>0</v>
      </c>
      <c r="X63" s="1551">
        <v>0</v>
      </c>
      <c r="Y63" s="1551">
        <v>0</v>
      </c>
      <c r="Z63" s="1551">
        <v>0</v>
      </c>
      <c r="AA63" s="1551"/>
      <c r="AB63" s="1551"/>
      <c r="AC63" s="1551"/>
      <c r="AD63" s="1551"/>
      <c r="AE63" s="1551">
        <v>4</v>
      </c>
      <c r="AF63" s="1551">
        <v>2</v>
      </c>
      <c r="AG63" s="1551">
        <v>384</v>
      </c>
      <c r="AH63" s="1551">
        <v>20</v>
      </c>
      <c r="AI63" s="1551">
        <v>1</v>
      </c>
      <c r="AJ63" s="1551">
        <v>10</v>
      </c>
      <c r="AK63" s="1551">
        <v>14</v>
      </c>
      <c r="AL63" s="1551">
        <v>223</v>
      </c>
      <c r="AM63" s="1551">
        <v>212</v>
      </c>
      <c r="AN63" s="1551">
        <v>324</v>
      </c>
      <c r="AO63" s="1551">
        <v>0</v>
      </c>
      <c r="AP63" s="1537" t="s">
        <v>2068</v>
      </c>
      <c r="AQ63" s="1537" t="s">
        <v>2069</v>
      </c>
      <c r="AS63" s="1552" t="s">
        <v>2070</v>
      </c>
    </row>
    <row r="64" spans="2:45" hidden="1" x14ac:dyDescent="0.35">
      <c r="B64" s="1537">
        <f t="shared" si="1"/>
        <v>59</v>
      </c>
      <c r="C64" s="1537" t="s">
        <v>1624</v>
      </c>
      <c r="D64" s="1530" t="s">
        <v>1998</v>
      </c>
      <c r="F64" s="1537">
        <v>1</v>
      </c>
      <c r="G64" s="1553" t="s">
        <v>1999</v>
      </c>
      <c r="H64" s="1537" t="s">
        <v>2000</v>
      </c>
      <c r="K64" s="1545"/>
      <c r="L64" s="1545"/>
      <c r="M64" s="1545"/>
      <c r="N64" s="1545"/>
      <c r="O64" s="1545"/>
      <c r="P64" s="1545"/>
      <c r="Q64" s="1545"/>
      <c r="R64" s="1545"/>
      <c r="S64" s="1545"/>
      <c r="T64" s="1545"/>
      <c r="U64" s="1545"/>
      <c r="V64" s="1545"/>
      <c r="W64" s="1545"/>
      <c r="X64" s="1545"/>
      <c r="Y64" s="1545"/>
      <c r="Z64" s="1545"/>
      <c r="AA64" s="1545"/>
      <c r="AB64" s="1545"/>
      <c r="AC64" s="1545"/>
      <c r="AD64" s="1545"/>
      <c r="AE64" s="1545"/>
      <c r="AF64" s="1545"/>
      <c r="AG64" s="1545"/>
      <c r="AH64" s="1545"/>
      <c r="AI64" s="1545"/>
      <c r="AJ64" s="1545"/>
      <c r="AK64" s="1545"/>
      <c r="AL64" s="1545"/>
      <c r="AM64" s="1545"/>
      <c r="AN64" s="1545"/>
      <c r="AO64" s="1545"/>
    </row>
    <row r="65" spans="2:45" hidden="1" x14ac:dyDescent="0.35">
      <c r="B65" s="1537">
        <f t="shared" si="1"/>
        <v>60</v>
      </c>
      <c r="C65" s="1537" t="s">
        <v>1624</v>
      </c>
      <c r="D65" s="1530" t="s">
        <v>2001</v>
      </c>
      <c r="F65" s="1537">
        <v>1</v>
      </c>
      <c r="G65" s="1553" t="s">
        <v>1989</v>
      </c>
      <c r="H65" s="1537" t="s">
        <v>2000</v>
      </c>
      <c r="K65" s="1545"/>
      <c r="L65" s="1545"/>
      <c r="M65" s="1545"/>
      <c r="N65" s="1545"/>
      <c r="O65" s="1545"/>
      <c r="P65" s="1545"/>
      <c r="Q65" s="1545"/>
      <c r="R65" s="1545"/>
      <c r="S65" s="1545"/>
      <c r="T65" s="1545"/>
      <c r="U65" s="1545"/>
      <c r="V65" s="1545"/>
      <c r="W65" s="1545"/>
      <c r="X65" s="1545"/>
      <c r="Y65" s="1545"/>
      <c r="Z65" s="1545"/>
      <c r="AA65" s="1545"/>
      <c r="AB65" s="1545"/>
      <c r="AC65" s="1545"/>
      <c r="AD65" s="1545"/>
      <c r="AE65" s="1545"/>
      <c r="AF65" s="1545"/>
      <c r="AG65" s="1545"/>
      <c r="AH65" s="1545"/>
      <c r="AI65" s="1545"/>
      <c r="AJ65" s="1545"/>
      <c r="AK65" s="1545"/>
      <c r="AL65" s="1545"/>
      <c r="AM65" s="1545"/>
      <c r="AN65" s="1545"/>
      <c r="AO65" s="1545"/>
    </row>
    <row r="66" spans="2:45" hidden="1" x14ac:dyDescent="0.35">
      <c r="B66" s="1537">
        <f t="shared" si="1"/>
        <v>61</v>
      </c>
      <c r="C66" s="1537" t="s">
        <v>1624</v>
      </c>
      <c r="D66" s="1530" t="s">
        <v>2002</v>
      </c>
      <c r="F66" s="1537">
        <v>1</v>
      </c>
      <c r="G66" s="1553" t="s">
        <v>1989</v>
      </c>
      <c r="H66" s="1537" t="s">
        <v>2000</v>
      </c>
      <c r="K66" s="1545"/>
      <c r="L66" s="1545"/>
      <c r="M66" s="1545"/>
      <c r="N66" s="1545"/>
      <c r="O66" s="1545"/>
      <c r="P66" s="1545"/>
      <c r="Q66" s="1545"/>
      <c r="R66" s="1545"/>
      <c r="S66" s="1545"/>
      <c r="T66" s="1545"/>
      <c r="U66" s="1545"/>
      <c r="V66" s="1545"/>
      <c r="W66" s="1545"/>
      <c r="X66" s="1545"/>
      <c r="Y66" s="1545"/>
      <c r="Z66" s="1545"/>
      <c r="AA66" s="1545"/>
      <c r="AB66" s="1545"/>
      <c r="AC66" s="1545"/>
      <c r="AD66" s="1545"/>
      <c r="AE66" s="1545"/>
      <c r="AF66" s="1545"/>
      <c r="AG66" s="1545"/>
      <c r="AH66" s="1545"/>
      <c r="AI66" s="1545"/>
      <c r="AJ66" s="1545"/>
      <c r="AK66" s="1545"/>
      <c r="AL66" s="1545"/>
      <c r="AM66" s="1545"/>
      <c r="AN66" s="1545"/>
      <c r="AO66" s="1545"/>
    </row>
    <row r="67" spans="2:45" hidden="1" x14ac:dyDescent="0.35">
      <c r="B67" s="1537">
        <f t="shared" si="1"/>
        <v>62</v>
      </c>
      <c r="C67" s="1537" t="s">
        <v>1624</v>
      </c>
      <c r="D67" s="1530" t="s">
        <v>2003</v>
      </c>
      <c r="F67" s="1537">
        <v>1</v>
      </c>
      <c r="G67" s="1553" t="s">
        <v>2004</v>
      </c>
      <c r="H67" s="1537" t="s">
        <v>2000</v>
      </c>
      <c r="K67" s="1545"/>
      <c r="L67" s="1545"/>
      <c r="M67" s="1545"/>
      <c r="N67" s="1545"/>
      <c r="O67" s="1545"/>
      <c r="P67" s="1545"/>
      <c r="Q67" s="1545"/>
      <c r="R67" s="1545"/>
      <c r="S67" s="1545"/>
      <c r="T67" s="1545"/>
      <c r="U67" s="1545"/>
      <c r="V67" s="1545"/>
      <c r="W67" s="1545"/>
      <c r="X67" s="1545"/>
      <c r="Y67" s="1545"/>
      <c r="Z67" s="1545"/>
      <c r="AA67" s="1545"/>
      <c r="AB67" s="1545"/>
      <c r="AC67" s="1545"/>
      <c r="AD67" s="1545"/>
      <c r="AE67" s="1545"/>
      <c r="AF67" s="1545"/>
      <c r="AG67" s="1545"/>
      <c r="AH67" s="1545"/>
      <c r="AI67" s="1545"/>
      <c r="AJ67" s="1545"/>
      <c r="AK67" s="1545"/>
      <c r="AL67" s="1545"/>
      <c r="AM67" s="1545"/>
      <c r="AN67" s="1545"/>
      <c r="AO67" s="1545"/>
    </row>
    <row r="68" spans="2:45" hidden="1" x14ac:dyDescent="0.35">
      <c r="B68" s="1537">
        <f t="shared" si="1"/>
        <v>63</v>
      </c>
      <c r="C68" s="1537" t="s">
        <v>1624</v>
      </c>
      <c r="D68" s="1530" t="s">
        <v>2005</v>
      </c>
      <c r="F68" s="1537">
        <v>1</v>
      </c>
      <c r="G68" s="1553" t="s">
        <v>1999</v>
      </c>
      <c r="H68" s="1537" t="s">
        <v>2000</v>
      </c>
      <c r="K68" s="1545"/>
      <c r="L68" s="1545"/>
      <c r="M68" s="1545"/>
      <c r="N68" s="1545"/>
      <c r="O68" s="1545"/>
      <c r="P68" s="1545"/>
      <c r="Q68" s="1545"/>
      <c r="R68" s="1545"/>
      <c r="S68" s="1545"/>
      <c r="T68" s="1545"/>
      <c r="U68" s="1545"/>
      <c r="V68" s="1545"/>
      <c r="W68" s="1545"/>
      <c r="X68" s="1545"/>
      <c r="Y68" s="1545"/>
      <c r="Z68" s="1545"/>
      <c r="AA68" s="1545"/>
      <c r="AB68" s="1545"/>
      <c r="AC68" s="1545"/>
      <c r="AD68" s="1545"/>
      <c r="AE68" s="1545"/>
      <c r="AF68" s="1545"/>
      <c r="AG68" s="1545"/>
      <c r="AH68" s="1545"/>
      <c r="AI68" s="1545"/>
      <c r="AJ68" s="1545"/>
      <c r="AK68" s="1545"/>
      <c r="AL68" s="1545"/>
      <c r="AM68" s="1545"/>
      <c r="AN68" s="1545"/>
      <c r="AO68" s="1545"/>
    </row>
    <row r="69" spans="2:45" x14ac:dyDescent="0.35">
      <c r="B69" s="1537">
        <f t="shared" si="1"/>
        <v>64</v>
      </c>
      <c r="C69" s="1537" t="s">
        <v>1625</v>
      </c>
      <c r="D69" s="1537" t="s">
        <v>2071</v>
      </c>
      <c r="E69" s="1537" t="s">
        <v>2072</v>
      </c>
      <c r="F69" s="1537">
        <v>1</v>
      </c>
      <c r="G69" s="1550" t="s">
        <v>1989</v>
      </c>
      <c r="H69" s="1537" t="s">
        <v>1990</v>
      </c>
      <c r="I69" s="1537" t="s">
        <v>1991</v>
      </c>
      <c r="J69" s="1537">
        <v>2031</v>
      </c>
      <c r="K69" s="1545">
        <v>6396</v>
      </c>
      <c r="L69" s="1545" t="s">
        <v>890</v>
      </c>
      <c r="M69" s="1551">
        <v>0</v>
      </c>
      <c r="N69" s="1551">
        <v>314</v>
      </c>
      <c r="O69" s="1551">
        <v>326</v>
      </c>
      <c r="P69" s="1551">
        <v>335</v>
      </c>
      <c r="Q69" s="1551">
        <v>419</v>
      </c>
      <c r="R69" s="1551">
        <v>264</v>
      </c>
      <c r="S69" s="1551">
        <v>364</v>
      </c>
      <c r="T69" s="1551">
        <v>529</v>
      </c>
      <c r="U69" s="1551">
        <v>625</v>
      </c>
      <c r="V69" s="1551">
        <v>747</v>
      </c>
      <c r="W69" s="1551">
        <v>678</v>
      </c>
      <c r="X69" s="1551">
        <v>738</v>
      </c>
      <c r="Y69" s="1551">
        <v>621</v>
      </c>
      <c r="Z69" s="1551">
        <v>436</v>
      </c>
      <c r="AA69" s="1551"/>
      <c r="AB69" s="1551"/>
      <c r="AC69" s="1551"/>
      <c r="AD69" s="1551"/>
      <c r="AE69" s="1551">
        <v>19</v>
      </c>
      <c r="AF69" s="1551">
        <v>76</v>
      </c>
      <c r="AG69" s="1551">
        <v>1464</v>
      </c>
      <c r="AH69" s="1551">
        <v>2398</v>
      </c>
      <c r="AI69" s="1551">
        <v>11</v>
      </c>
      <c r="AJ69" s="1551">
        <v>1970</v>
      </c>
      <c r="AK69" s="1551">
        <v>458</v>
      </c>
      <c r="AL69" s="1551">
        <v>3066</v>
      </c>
      <c r="AM69" s="1551">
        <v>3330</v>
      </c>
      <c r="AN69" s="1551">
        <v>3041</v>
      </c>
      <c r="AO69" s="1551">
        <v>672</v>
      </c>
      <c r="AP69" s="1537" t="s">
        <v>2073</v>
      </c>
      <c r="AQ69" s="1552" t="s">
        <v>2074</v>
      </c>
      <c r="AR69" s="1537" t="s">
        <v>2009</v>
      </c>
      <c r="AS69" s="1552" t="s">
        <v>2075</v>
      </c>
    </row>
    <row r="70" spans="2:45" x14ac:dyDescent="0.35">
      <c r="B70" s="1537">
        <f t="shared" si="1"/>
        <v>65</v>
      </c>
      <c r="C70" s="1537" t="s">
        <v>1625</v>
      </c>
      <c r="D70" s="1537" t="s">
        <v>2076</v>
      </c>
      <c r="E70" s="1537" t="s">
        <v>2077</v>
      </c>
      <c r="F70" s="1537">
        <v>1</v>
      </c>
      <c r="G70" s="1550" t="s">
        <v>1989</v>
      </c>
      <c r="H70" s="1537" t="s">
        <v>1990</v>
      </c>
      <c r="I70" s="1537" t="s">
        <v>1991</v>
      </c>
      <c r="K70" s="1545">
        <v>1018</v>
      </c>
      <c r="L70" s="1545">
        <v>87</v>
      </c>
      <c r="M70" s="1551">
        <v>0</v>
      </c>
      <c r="N70" s="1551">
        <v>80</v>
      </c>
      <c r="O70" s="1551">
        <v>64</v>
      </c>
      <c r="P70" s="1551">
        <v>44</v>
      </c>
      <c r="Q70" s="1551">
        <v>41</v>
      </c>
      <c r="R70" s="1551">
        <v>56</v>
      </c>
      <c r="S70" s="1551">
        <v>56</v>
      </c>
      <c r="T70" s="1551">
        <v>79</v>
      </c>
      <c r="U70" s="1551">
        <v>79</v>
      </c>
      <c r="V70" s="1551">
        <v>81</v>
      </c>
      <c r="W70" s="1551">
        <v>121</v>
      </c>
      <c r="X70" s="1551">
        <v>131</v>
      </c>
      <c r="Y70" s="1551">
        <v>107</v>
      </c>
      <c r="Z70" s="1551">
        <v>79</v>
      </c>
      <c r="AA70" s="1551"/>
      <c r="AB70" s="1551"/>
      <c r="AC70" s="1551"/>
      <c r="AD70" s="1551"/>
      <c r="AE70" s="1551">
        <v>2</v>
      </c>
      <c r="AF70" s="1551">
        <v>12</v>
      </c>
      <c r="AG70" s="1551">
        <v>277</v>
      </c>
      <c r="AH70" s="1551">
        <v>249</v>
      </c>
      <c r="AI70" s="1551">
        <v>5</v>
      </c>
      <c r="AJ70" s="1551">
        <v>399</v>
      </c>
      <c r="AK70" s="1551">
        <v>74</v>
      </c>
      <c r="AL70" s="1551">
        <v>477</v>
      </c>
      <c r="AM70" s="1551">
        <v>541</v>
      </c>
      <c r="AN70" s="1551">
        <v>572</v>
      </c>
      <c r="AO70" s="1551">
        <v>129</v>
      </c>
      <c r="AP70" s="1537" t="s">
        <v>2078</v>
      </c>
      <c r="AQ70" s="1552" t="s">
        <v>2079</v>
      </c>
      <c r="AR70" s="1537" t="s">
        <v>2009</v>
      </c>
      <c r="AS70" s="1552" t="s">
        <v>2080</v>
      </c>
    </row>
    <row r="71" spans="2:45" hidden="1" x14ac:dyDescent="0.35">
      <c r="B71" s="1537">
        <f t="shared" si="1"/>
        <v>66</v>
      </c>
      <c r="C71" s="1537" t="s">
        <v>1625</v>
      </c>
      <c r="D71" s="1530" t="s">
        <v>1998</v>
      </c>
      <c r="F71" s="1537">
        <v>1</v>
      </c>
      <c r="G71" s="1553" t="s">
        <v>1999</v>
      </c>
      <c r="H71" s="1537" t="s">
        <v>2000</v>
      </c>
      <c r="K71" s="1545"/>
      <c r="L71" s="1545"/>
      <c r="M71" s="1545"/>
      <c r="N71" s="1545"/>
      <c r="O71" s="1545"/>
      <c r="P71" s="1545"/>
      <c r="Q71" s="1545"/>
      <c r="R71" s="1545"/>
      <c r="S71" s="1545"/>
      <c r="T71" s="1545"/>
      <c r="U71" s="1545"/>
      <c r="V71" s="1545"/>
      <c r="W71" s="1545"/>
      <c r="X71" s="1545"/>
      <c r="Y71" s="1545"/>
      <c r="Z71" s="1545"/>
      <c r="AA71" s="1545"/>
      <c r="AB71" s="1545"/>
      <c r="AC71" s="1545"/>
      <c r="AD71" s="1545"/>
      <c r="AE71" s="1545"/>
      <c r="AF71" s="1545"/>
      <c r="AG71" s="1545"/>
      <c r="AH71" s="1545"/>
      <c r="AI71" s="1545"/>
      <c r="AJ71" s="1545"/>
      <c r="AK71" s="1545"/>
      <c r="AL71" s="1545"/>
      <c r="AM71" s="1545"/>
      <c r="AN71" s="1545"/>
      <c r="AO71" s="1545"/>
    </row>
    <row r="72" spans="2:45" hidden="1" x14ac:dyDescent="0.35">
      <c r="B72" s="1537">
        <f t="shared" ref="B72:B135" si="2">+B71+1</f>
        <v>67</v>
      </c>
      <c r="C72" s="1537" t="s">
        <v>1625</v>
      </c>
      <c r="D72" s="1530" t="s">
        <v>2001</v>
      </c>
      <c r="F72" s="1537">
        <v>1</v>
      </c>
      <c r="G72" s="1553" t="s">
        <v>1989</v>
      </c>
      <c r="H72" s="1537" t="s">
        <v>2000</v>
      </c>
      <c r="K72" s="1545"/>
      <c r="L72" s="1545"/>
      <c r="M72" s="1545"/>
      <c r="N72" s="1545"/>
      <c r="O72" s="1545"/>
      <c r="P72" s="1545"/>
      <c r="Q72" s="1545"/>
      <c r="R72" s="1545"/>
      <c r="S72" s="1545"/>
      <c r="T72" s="1545"/>
      <c r="U72" s="1545"/>
      <c r="V72" s="1545"/>
      <c r="W72" s="1545"/>
      <c r="X72" s="1545"/>
      <c r="Y72" s="1545"/>
      <c r="Z72" s="1545"/>
      <c r="AA72" s="1545"/>
      <c r="AB72" s="1545"/>
      <c r="AC72" s="1545"/>
      <c r="AD72" s="1545"/>
      <c r="AE72" s="1545"/>
      <c r="AF72" s="1545"/>
      <c r="AG72" s="1545"/>
      <c r="AH72" s="1545"/>
      <c r="AI72" s="1545"/>
      <c r="AJ72" s="1545"/>
      <c r="AK72" s="1545"/>
      <c r="AL72" s="1545"/>
      <c r="AM72" s="1545"/>
      <c r="AN72" s="1545"/>
      <c r="AO72" s="1545"/>
    </row>
    <row r="73" spans="2:45" hidden="1" x14ac:dyDescent="0.35">
      <c r="B73" s="1537">
        <f t="shared" si="2"/>
        <v>68</v>
      </c>
      <c r="C73" s="1537" t="s">
        <v>1625</v>
      </c>
      <c r="D73" s="1530" t="s">
        <v>2002</v>
      </c>
      <c r="F73" s="1537">
        <v>1</v>
      </c>
      <c r="G73" s="1553" t="s">
        <v>1989</v>
      </c>
      <c r="H73" s="1537" t="s">
        <v>2000</v>
      </c>
      <c r="K73" s="1545"/>
      <c r="L73" s="1545"/>
      <c r="M73" s="1545"/>
      <c r="N73" s="1545"/>
      <c r="O73" s="1545"/>
      <c r="P73" s="1545"/>
      <c r="Q73" s="1545"/>
      <c r="R73" s="1545"/>
      <c r="S73" s="1545"/>
      <c r="T73" s="1545"/>
      <c r="U73" s="1545"/>
      <c r="V73" s="1545"/>
      <c r="W73" s="1545"/>
      <c r="X73" s="1545"/>
      <c r="Y73" s="1545"/>
      <c r="Z73" s="1545"/>
      <c r="AA73" s="1545"/>
      <c r="AB73" s="1545"/>
      <c r="AC73" s="1545"/>
      <c r="AD73" s="1545"/>
      <c r="AE73" s="1545"/>
      <c r="AF73" s="1545"/>
      <c r="AG73" s="1545"/>
      <c r="AH73" s="1545"/>
      <c r="AI73" s="1545"/>
      <c r="AJ73" s="1545"/>
      <c r="AK73" s="1545"/>
      <c r="AL73" s="1545"/>
      <c r="AM73" s="1545"/>
      <c r="AN73" s="1545"/>
      <c r="AO73" s="1545"/>
    </row>
    <row r="74" spans="2:45" hidden="1" x14ac:dyDescent="0.35">
      <c r="B74" s="1537">
        <f t="shared" si="2"/>
        <v>69</v>
      </c>
      <c r="C74" s="1537" t="s">
        <v>1625</v>
      </c>
      <c r="D74" s="1530" t="s">
        <v>2003</v>
      </c>
      <c r="F74" s="1537">
        <v>1</v>
      </c>
      <c r="G74" s="1553" t="s">
        <v>2004</v>
      </c>
      <c r="H74" s="1537" t="s">
        <v>2000</v>
      </c>
      <c r="K74" s="1545"/>
      <c r="L74" s="1545"/>
      <c r="M74" s="1545"/>
      <c r="N74" s="1545"/>
      <c r="O74" s="1545"/>
      <c r="P74" s="1545"/>
      <c r="Q74" s="1545"/>
      <c r="R74" s="1545"/>
      <c r="S74" s="1545"/>
      <c r="T74" s="1545"/>
      <c r="U74" s="1545"/>
      <c r="V74" s="1545"/>
      <c r="W74" s="1545"/>
      <c r="X74" s="1545"/>
      <c r="Y74" s="1545"/>
      <c r="Z74" s="1545"/>
      <c r="AA74" s="1545"/>
      <c r="AB74" s="1545"/>
      <c r="AC74" s="1545"/>
      <c r="AD74" s="1545"/>
      <c r="AE74" s="1545"/>
      <c r="AF74" s="1545"/>
      <c r="AG74" s="1545"/>
      <c r="AH74" s="1545"/>
      <c r="AI74" s="1545"/>
      <c r="AJ74" s="1545"/>
      <c r="AK74" s="1545"/>
      <c r="AL74" s="1545"/>
      <c r="AM74" s="1545"/>
      <c r="AN74" s="1545"/>
      <c r="AO74" s="1545"/>
    </row>
    <row r="75" spans="2:45" hidden="1" x14ac:dyDescent="0.35">
      <c r="B75" s="1537">
        <f t="shared" si="2"/>
        <v>70</v>
      </c>
      <c r="C75" s="1537" t="s">
        <v>1625</v>
      </c>
      <c r="D75" s="1530" t="s">
        <v>2005</v>
      </c>
      <c r="F75" s="1537">
        <v>1</v>
      </c>
      <c r="G75" s="1553" t="s">
        <v>1999</v>
      </c>
      <c r="H75" s="1537" t="s">
        <v>2000</v>
      </c>
      <c r="K75" s="1545"/>
      <c r="L75" s="1545"/>
      <c r="M75" s="1545"/>
      <c r="N75" s="1545"/>
      <c r="O75" s="1545"/>
      <c r="P75" s="1545"/>
      <c r="Q75" s="1545"/>
      <c r="R75" s="1545"/>
      <c r="S75" s="1545"/>
      <c r="T75" s="1545"/>
      <c r="U75" s="1545"/>
      <c r="V75" s="1545"/>
      <c r="W75" s="1545"/>
      <c r="X75" s="1545"/>
      <c r="Y75" s="1545"/>
      <c r="Z75" s="1545"/>
      <c r="AA75" s="1545"/>
      <c r="AB75" s="1545"/>
      <c r="AC75" s="1545"/>
      <c r="AD75" s="1545"/>
      <c r="AE75" s="1545"/>
      <c r="AF75" s="1545"/>
      <c r="AG75" s="1545"/>
      <c r="AH75" s="1545"/>
      <c r="AI75" s="1545"/>
      <c r="AJ75" s="1545"/>
      <c r="AK75" s="1545"/>
      <c r="AL75" s="1545"/>
      <c r="AM75" s="1545"/>
      <c r="AN75" s="1545"/>
      <c r="AO75" s="1545"/>
    </row>
    <row r="76" spans="2:45" x14ac:dyDescent="0.35">
      <c r="B76" s="1537">
        <f t="shared" si="2"/>
        <v>71</v>
      </c>
      <c r="C76" s="1537" t="s">
        <v>1625</v>
      </c>
      <c r="D76" s="1537" t="s">
        <v>2081</v>
      </c>
      <c r="E76" s="1537" t="s">
        <v>2082</v>
      </c>
      <c r="F76" s="1537">
        <v>1</v>
      </c>
      <c r="G76" s="1550" t="s">
        <v>1989</v>
      </c>
      <c r="H76" s="1537" t="s">
        <v>1990</v>
      </c>
      <c r="I76" s="1537" t="s">
        <v>1991</v>
      </c>
      <c r="K76" s="1545">
        <v>190</v>
      </c>
      <c r="L76" s="1545" t="s">
        <v>890</v>
      </c>
      <c r="M76" s="1551">
        <v>0</v>
      </c>
      <c r="N76" s="1551">
        <v>8</v>
      </c>
      <c r="O76" s="1551">
        <v>12</v>
      </c>
      <c r="P76" s="1551">
        <v>8</v>
      </c>
      <c r="Q76" s="1551">
        <v>9</v>
      </c>
      <c r="R76" s="1551">
        <v>15</v>
      </c>
      <c r="S76" s="1551">
        <v>18</v>
      </c>
      <c r="T76" s="1551">
        <v>22</v>
      </c>
      <c r="U76" s="1551">
        <v>13</v>
      </c>
      <c r="V76" s="1551">
        <v>22</v>
      </c>
      <c r="W76" s="1551">
        <v>12</v>
      </c>
      <c r="X76" s="1551">
        <v>19</v>
      </c>
      <c r="Y76" s="1551">
        <v>19</v>
      </c>
      <c r="Z76" s="1551">
        <v>13</v>
      </c>
      <c r="AA76" s="1551"/>
      <c r="AB76" s="1551"/>
      <c r="AC76" s="1551"/>
      <c r="AD76" s="1551"/>
      <c r="AE76" s="1551">
        <v>0</v>
      </c>
      <c r="AF76" s="1551">
        <v>14</v>
      </c>
      <c r="AG76" s="1551">
        <v>23</v>
      </c>
      <c r="AH76" s="1551">
        <v>120</v>
      </c>
      <c r="AI76" s="1551">
        <v>0</v>
      </c>
      <c r="AJ76" s="1551">
        <v>29</v>
      </c>
      <c r="AK76" s="1551">
        <v>4</v>
      </c>
      <c r="AL76" s="1551">
        <v>76</v>
      </c>
      <c r="AM76" s="1551">
        <v>114</v>
      </c>
      <c r="AN76" s="1551">
        <v>2</v>
      </c>
      <c r="AO76" s="1551">
        <v>1</v>
      </c>
      <c r="AP76" s="1537" t="s">
        <v>2083</v>
      </c>
      <c r="AQ76" s="1537" t="s">
        <v>890</v>
      </c>
      <c r="AS76" s="1552" t="s">
        <v>2084</v>
      </c>
    </row>
    <row r="77" spans="2:45" x14ac:dyDescent="0.35">
      <c r="B77" s="1537">
        <f t="shared" si="2"/>
        <v>72</v>
      </c>
      <c r="C77" s="1537" t="s">
        <v>1625</v>
      </c>
      <c r="D77" s="1537" t="s">
        <v>2085</v>
      </c>
      <c r="E77" s="1537" t="s">
        <v>2086</v>
      </c>
      <c r="F77" s="1537">
        <v>1</v>
      </c>
      <c r="G77" s="1550" t="s">
        <v>1989</v>
      </c>
      <c r="H77" s="1537" t="s">
        <v>1990</v>
      </c>
      <c r="I77" s="1537" t="s">
        <v>1991</v>
      </c>
      <c r="K77" s="1545">
        <v>0</v>
      </c>
      <c r="L77" s="1545">
        <v>0</v>
      </c>
      <c r="M77" s="1551">
        <v>0</v>
      </c>
      <c r="N77" s="1551">
        <v>0</v>
      </c>
      <c r="O77" s="1551">
        <v>0</v>
      </c>
      <c r="P77" s="1551">
        <v>0</v>
      </c>
      <c r="Q77" s="1551">
        <v>0</v>
      </c>
      <c r="R77" s="1551">
        <v>0</v>
      </c>
      <c r="S77" s="1551">
        <v>0</v>
      </c>
      <c r="T77" s="1551">
        <v>0</v>
      </c>
      <c r="U77" s="1551">
        <v>0</v>
      </c>
      <c r="V77" s="1551">
        <v>0</v>
      </c>
      <c r="W77" s="1551">
        <v>0</v>
      </c>
      <c r="X77" s="1551">
        <v>0</v>
      </c>
      <c r="Y77" s="1551">
        <v>0</v>
      </c>
      <c r="Z77" s="1551">
        <v>0</v>
      </c>
      <c r="AA77" s="1551"/>
      <c r="AB77" s="1551"/>
      <c r="AC77" s="1551"/>
      <c r="AD77" s="1551"/>
      <c r="AE77" s="1551">
        <v>0</v>
      </c>
      <c r="AF77" s="1551">
        <v>0</v>
      </c>
      <c r="AG77" s="1551">
        <v>0</v>
      </c>
      <c r="AH77" s="1551">
        <v>0</v>
      </c>
      <c r="AI77" s="1551">
        <v>0</v>
      </c>
      <c r="AJ77" s="1551">
        <v>0</v>
      </c>
      <c r="AK77" s="1551">
        <v>0</v>
      </c>
      <c r="AL77" s="1551">
        <v>0</v>
      </c>
      <c r="AM77" s="1551">
        <v>0</v>
      </c>
      <c r="AN77" s="1551" t="s">
        <v>890</v>
      </c>
      <c r="AO77" s="1551" t="s">
        <v>890</v>
      </c>
      <c r="AP77" s="1537" t="s">
        <v>2087</v>
      </c>
      <c r="AQ77" s="1537" t="s">
        <v>2088</v>
      </c>
      <c r="AS77" s="1552" t="s">
        <v>2089</v>
      </c>
    </row>
    <row r="78" spans="2:45" x14ac:dyDescent="0.35">
      <c r="B78" s="1537">
        <f t="shared" si="2"/>
        <v>73</v>
      </c>
      <c r="C78" s="1537" t="s">
        <v>1625</v>
      </c>
      <c r="D78" s="1537" t="s">
        <v>2090</v>
      </c>
      <c r="E78" s="1537" t="s">
        <v>2091</v>
      </c>
      <c r="F78" s="1537">
        <v>1</v>
      </c>
      <c r="G78" s="1550" t="s">
        <v>1989</v>
      </c>
      <c r="H78" s="1537" t="s">
        <v>1990</v>
      </c>
      <c r="I78" s="1537" t="s">
        <v>1991</v>
      </c>
      <c r="K78" s="1545">
        <v>7</v>
      </c>
      <c r="L78" s="1545" t="s">
        <v>890</v>
      </c>
      <c r="M78" s="1551">
        <v>0</v>
      </c>
      <c r="N78" s="1551">
        <v>0</v>
      </c>
      <c r="O78" s="1551">
        <v>0</v>
      </c>
      <c r="P78" s="1551">
        <v>2</v>
      </c>
      <c r="Q78" s="1551">
        <v>1</v>
      </c>
      <c r="R78" s="1551">
        <v>1</v>
      </c>
      <c r="S78" s="1551">
        <v>1</v>
      </c>
      <c r="T78" s="1551">
        <v>2</v>
      </c>
      <c r="U78" s="1551">
        <v>0</v>
      </c>
      <c r="V78" s="1551">
        <v>0</v>
      </c>
      <c r="W78" s="1551">
        <v>0</v>
      </c>
      <c r="X78" s="1551">
        <v>0</v>
      </c>
      <c r="Y78" s="1551">
        <v>0</v>
      </c>
      <c r="Z78" s="1551">
        <v>0</v>
      </c>
      <c r="AA78" s="1551"/>
      <c r="AB78" s="1551"/>
      <c r="AC78" s="1551"/>
      <c r="AD78" s="1551"/>
      <c r="AE78" s="1551">
        <v>0</v>
      </c>
      <c r="AF78" s="1551">
        <v>0</v>
      </c>
      <c r="AG78" s="1551">
        <v>2</v>
      </c>
      <c r="AH78" s="1551">
        <v>0</v>
      </c>
      <c r="AI78" s="1551">
        <v>0</v>
      </c>
      <c r="AJ78" s="1551">
        <v>5</v>
      </c>
      <c r="AK78" s="1551">
        <v>0</v>
      </c>
      <c r="AL78" s="1551">
        <v>5</v>
      </c>
      <c r="AM78" s="1551">
        <v>2</v>
      </c>
      <c r="AN78" s="1551" t="s">
        <v>890</v>
      </c>
      <c r="AO78" s="1551" t="s">
        <v>890</v>
      </c>
      <c r="AP78" s="1537" t="s">
        <v>2092</v>
      </c>
      <c r="AQ78" s="1537" t="s">
        <v>890</v>
      </c>
      <c r="AS78" s="1552" t="s">
        <v>2093</v>
      </c>
    </row>
    <row r="79" spans="2:45" x14ac:dyDescent="0.35">
      <c r="B79" s="1537">
        <f t="shared" si="2"/>
        <v>74</v>
      </c>
      <c r="C79" s="1537" t="s">
        <v>1625</v>
      </c>
      <c r="D79" s="1537" t="s">
        <v>2094</v>
      </c>
      <c r="E79" s="1537" t="s">
        <v>2095</v>
      </c>
      <c r="G79" s="1550" t="s">
        <v>1989</v>
      </c>
      <c r="H79" s="1537" t="s">
        <v>1990</v>
      </c>
      <c r="I79" s="1537" t="s">
        <v>1991</v>
      </c>
      <c r="K79" s="1545">
        <v>0</v>
      </c>
      <c r="L79" s="1545">
        <v>0</v>
      </c>
      <c r="M79" s="1551">
        <v>0</v>
      </c>
      <c r="N79" s="1551">
        <v>0</v>
      </c>
      <c r="O79" s="1551">
        <v>0</v>
      </c>
      <c r="P79" s="1551">
        <v>0</v>
      </c>
      <c r="Q79" s="1551">
        <v>0</v>
      </c>
      <c r="R79" s="1551">
        <v>0</v>
      </c>
      <c r="S79" s="1551">
        <v>0</v>
      </c>
      <c r="T79" s="1551">
        <v>0</v>
      </c>
      <c r="U79" s="1551">
        <v>0</v>
      </c>
      <c r="V79" s="1551">
        <v>0</v>
      </c>
      <c r="W79" s="1551">
        <v>0</v>
      </c>
      <c r="X79" s="1551">
        <v>0</v>
      </c>
      <c r="Y79" s="1551">
        <v>0</v>
      </c>
      <c r="Z79" s="1551">
        <v>0</v>
      </c>
      <c r="AA79" s="1551"/>
      <c r="AB79" s="1551"/>
      <c r="AC79" s="1551"/>
      <c r="AD79" s="1551"/>
      <c r="AE79" s="1551">
        <v>0</v>
      </c>
      <c r="AF79" s="1551">
        <v>0</v>
      </c>
      <c r="AG79" s="1551">
        <v>0</v>
      </c>
      <c r="AH79" s="1551">
        <v>0</v>
      </c>
      <c r="AI79" s="1551">
        <v>0</v>
      </c>
      <c r="AJ79" s="1551">
        <v>0</v>
      </c>
      <c r="AK79" s="1551">
        <v>0</v>
      </c>
      <c r="AL79" s="1551">
        <v>0</v>
      </c>
      <c r="AM79" s="1551">
        <v>0</v>
      </c>
      <c r="AN79" s="1551" t="s">
        <v>890</v>
      </c>
      <c r="AO79" s="1551" t="s">
        <v>890</v>
      </c>
      <c r="AP79" s="1537" t="s">
        <v>2096</v>
      </c>
      <c r="AQ79" s="1537" t="s">
        <v>2097</v>
      </c>
      <c r="AS79" s="1552" t="s">
        <v>2098</v>
      </c>
    </row>
    <row r="80" spans="2:45" x14ac:dyDescent="0.35">
      <c r="B80" s="1537">
        <f t="shared" si="2"/>
        <v>75</v>
      </c>
      <c r="C80" s="1537" t="s">
        <v>1625</v>
      </c>
      <c r="D80" s="1537" t="s">
        <v>2099</v>
      </c>
      <c r="E80" s="1537" t="s">
        <v>2100</v>
      </c>
      <c r="F80" s="1537">
        <v>1</v>
      </c>
      <c r="G80" s="1550" t="s">
        <v>2047</v>
      </c>
      <c r="H80" s="1537" t="s">
        <v>1990</v>
      </c>
      <c r="I80" s="1537" t="s">
        <v>1991</v>
      </c>
      <c r="K80" s="1545">
        <v>113</v>
      </c>
      <c r="L80" s="1545" t="s">
        <v>890</v>
      </c>
      <c r="M80" s="1551">
        <v>0</v>
      </c>
      <c r="N80" s="1551">
        <v>13</v>
      </c>
      <c r="O80" s="1551">
        <v>22</v>
      </c>
      <c r="P80" s="1551">
        <v>21</v>
      </c>
      <c r="Q80" s="1551">
        <v>21</v>
      </c>
      <c r="R80" s="1551">
        <v>17</v>
      </c>
      <c r="S80" s="1551">
        <v>19</v>
      </c>
      <c r="T80" s="1551">
        <v>0</v>
      </c>
      <c r="U80" s="1551">
        <v>0</v>
      </c>
      <c r="V80" s="1551">
        <v>0</v>
      </c>
      <c r="W80" s="1551">
        <v>0</v>
      </c>
      <c r="X80" s="1551">
        <v>0</v>
      </c>
      <c r="Y80" s="1551">
        <v>0</v>
      </c>
      <c r="Z80" s="1551">
        <v>0</v>
      </c>
      <c r="AA80" s="1551"/>
      <c r="AB80" s="1551"/>
      <c r="AC80" s="1551"/>
      <c r="AD80" s="1551"/>
      <c r="AE80" s="1551">
        <v>1</v>
      </c>
      <c r="AF80" s="1551">
        <v>14</v>
      </c>
      <c r="AG80" s="1551">
        <v>47</v>
      </c>
      <c r="AH80" s="1551">
        <v>35</v>
      </c>
      <c r="AI80" s="1551">
        <v>0</v>
      </c>
      <c r="AJ80" s="1551">
        <v>14</v>
      </c>
      <c r="AK80" s="1551">
        <v>2</v>
      </c>
      <c r="AL80" s="1551">
        <v>63</v>
      </c>
      <c r="AM80" s="1551">
        <v>50</v>
      </c>
      <c r="AN80" s="1551">
        <v>3</v>
      </c>
      <c r="AO80" s="1551">
        <v>0</v>
      </c>
      <c r="AP80" s="1537" t="s">
        <v>2101</v>
      </c>
      <c r="AQ80" s="1552" t="s">
        <v>2102</v>
      </c>
      <c r="AR80" s="1552"/>
      <c r="AS80" s="1552" t="s">
        <v>2103</v>
      </c>
    </row>
    <row r="81" spans="2:45" x14ac:dyDescent="0.35">
      <c r="B81" s="1537">
        <f t="shared" si="2"/>
        <v>76</v>
      </c>
      <c r="C81" s="1537" t="s">
        <v>1625</v>
      </c>
      <c r="D81" s="1537" t="s">
        <v>2104</v>
      </c>
      <c r="E81" s="1537" t="s">
        <v>2105</v>
      </c>
      <c r="G81" s="1550" t="s">
        <v>2106</v>
      </c>
      <c r="H81" s="1537" t="s">
        <v>1990</v>
      </c>
      <c r="I81" s="1537" t="s">
        <v>1991</v>
      </c>
      <c r="K81" s="1545">
        <v>600</v>
      </c>
      <c r="L81" s="1545">
        <v>62.3</v>
      </c>
      <c r="M81" s="1551">
        <v>0</v>
      </c>
      <c r="N81" s="1551">
        <v>0</v>
      </c>
      <c r="O81" s="1551">
        <v>0</v>
      </c>
      <c r="P81" s="1551">
        <v>0</v>
      </c>
      <c r="Q81" s="1551">
        <v>0</v>
      </c>
      <c r="R81" s="1551">
        <v>0</v>
      </c>
      <c r="S81" s="1551">
        <v>0</v>
      </c>
      <c r="T81" s="1551">
        <v>43</v>
      </c>
      <c r="U81" s="1551">
        <v>57</v>
      </c>
      <c r="V81" s="1551">
        <v>75</v>
      </c>
      <c r="W81" s="1551">
        <v>87</v>
      </c>
      <c r="X81" s="1551">
        <v>89</v>
      </c>
      <c r="Y81" s="1551">
        <v>104</v>
      </c>
      <c r="Z81" s="1551">
        <v>145</v>
      </c>
      <c r="AA81" s="1551"/>
      <c r="AB81" s="1551"/>
      <c r="AC81" s="1551"/>
      <c r="AD81" s="1551"/>
      <c r="AE81" s="1551">
        <v>0</v>
      </c>
      <c r="AF81" s="1551">
        <v>37</v>
      </c>
      <c r="AG81" s="1551">
        <v>113</v>
      </c>
      <c r="AH81" s="1551">
        <v>241</v>
      </c>
      <c r="AI81" s="1551">
        <v>2</v>
      </c>
      <c r="AJ81" s="1551">
        <v>192</v>
      </c>
      <c r="AK81" s="1551">
        <v>15</v>
      </c>
      <c r="AL81" s="1551">
        <v>272</v>
      </c>
      <c r="AM81" s="1551">
        <v>328</v>
      </c>
      <c r="AN81" s="1551">
        <v>18</v>
      </c>
      <c r="AO81" s="1551">
        <v>1</v>
      </c>
      <c r="AP81" s="1537" t="s">
        <v>2101</v>
      </c>
      <c r="AQ81" s="1552" t="s">
        <v>2102</v>
      </c>
      <c r="AR81" s="1552"/>
      <c r="AS81" s="1552" t="s">
        <v>2107</v>
      </c>
    </row>
    <row r="82" spans="2:45" x14ac:dyDescent="0.35">
      <c r="B82" s="1537">
        <f t="shared" si="2"/>
        <v>77</v>
      </c>
      <c r="C82" s="1537" t="s">
        <v>1625</v>
      </c>
      <c r="D82" s="1537" t="s">
        <v>2108</v>
      </c>
      <c r="E82" s="1537" t="s">
        <v>2109</v>
      </c>
      <c r="F82" s="1537">
        <v>1</v>
      </c>
      <c r="G82" s="1550" t="s">
        <v>1989</v>
      </c>
      <c r="H82" s="1537" t="s">
        <v>1990</v>
      </c>
      <c r="I82" s="1537" t="s">
        <v>1991</v>
      </c>
      <c r="K82" s="1545">
        <v>42</v>
      </c>
      <c r="L82" s="1545" t="s">
        <v>890</v>
      </c>
      <c r="M82" s="1551">
        <v>0</v>
      </c>
      <c r="N82" s="1551">
        <v>0</v>
      </c>
      <c r="O82" s="1551">
        <v>1</v>
      </c>
      <c r="P82" s="1551">
        <v>0</v>
      </c>
      <c r="Q82" s="1551">
        <v>2</v>
      </c>
      <c r="R82" s="1551">
        <v>3</v>
      </c>
      <c r="S82" s="1551">
        <v>0</v>
      </c>
      <c r="T82" s="1551">
        <v>5</v>
      </c>
      <c r="U82" s="1551">
        <v>0</v>
      </c>
      <c r="V82" s="1551">
        <v>3</v>
      </c>
      <c r="W82" s="1551">
        <v>5</v>
      </c>
      <c r="X82" s="1551">
        <v>8</v>
      </c>
      <c r="Y82" s="1551">
        <v>6</v>
      </c>
      <c r="Z82" s="1551">
        <v>9</v>
      </c>
      <c r="AA82" s="1551"/>
      <c r="AB82" s="1551"/>
      <c r="AC82" s="1551"/>
      <c r="AD82" s="1551"/>
      <c r="AE82" s="1551">
        <v>0</v>
      </c>
      <c r="AF82" s="1551">
        <v>0</v>
      </c>
      <c r="AG82" s="1551">
        <v>2</v>
      </c>
      <c r="AH82" s="1551">
        <v>3</v>
      </c>
      <c r="AI82" s="1551">
        <v>0</v>
      </c>
      <c r="AJ82" s="1551">
        <v>35</v>
      </c>
      <c r="AK82" s="1551">
        <v>2</v>
      </c>
      <c r="AL82" s="1551">
        <v>17</v>
      </c>
      <c r="AM82" s="1551">
        <v>25</v>
      </c>
      <c r="AN82" s="1551">
        <v>10</v>
      </c>
      <c r="AO82" s="1551" t="s">
        <v>890</v>
      </c>
      <c r="AP82" s="1537" t="s">
        <v>2110</v>
      </c>
      <c r="AQ82" s="1552" t="s">
        <v>2111</v>
      </c>
      <c r="AR82" s="1552"/>
      <c r="AS82" s="1552" t="s">
        <v>2112</v>
      </c>
    </row>
    <row r="83" spans="2:45" x14ac:dyDescent="0.35">
      <c r="B83" s="1537">
        <f t="shared" si="2"/>
        <v>78</v>
      </c>
      <c r="C83" s="1537" t="s">
        <v>1625</v>
      </c>
      <c r="D83" s="1537" t="s">
        <v>2113</v>
      </c>
      <c r="E83" s="1537" t="s">
        <v>2114</v>
      </c>
      <c r="G83" s="1550" t="s">
        <v>1989</v>
      </c>
      <c r="H83" s="1537" t="s">
        <v>1990</v>
      </c>
      <c r="I83" s="1537" t="s">
        <v>1991</v>
      </c>
      <c r="K83" s="1545">
        <v>0</v>
      </c>
      <c r="L83" s="1545" t="s">
        <v>890</v>
      </c>
      <c r="M83" s="1551">
        <v>0</v>
      </c>
      <c r="N83" s="1551">
        <v>0</v>
      </c>
      <c r="O83" s="1551">
        <v>0</v>
      </c>
      <c r="P83" s="1551">
        <v>0</v>
      </c>
      <c r="Q83" s="1551">
        <v>0</v>
      </c>
      <c r="R83" s="1551">
        <v>0</v>
      </c>
      <c r="S83" s="1551">
        <v>0</v>
      </c>
      <c r="T83" s="1551">
        <v>0</v>
      </c>
      <c r="U83" s="1551">
        <v>0</v>
      </c>
      <c r="V83" s="1551">
        <v>0</v>
      </c>
      <c r="W83" s="1551">
        <v>0</v>
      </c>
      <c r="X83" s="1551">
        <v>0</v>
      </c>
      <c r="Y83" s="1551">
        <v>0</v>
      </c>
      <c r="Z83" s="1551">
        <v>0</v>
      </c>
      <c r="AA83" s="1551"/>
      <c r="AB83" s="1551"/>
      <c r="AC83" s="1551"/>
      <c r="AD83" s="1551"/>
      <c r="AE83" s="1551">
        <v>0</v>
      </c>
      <c r="AF83" s="1551">
        <v>0</v>
      </c>
      <c r="AG83" s="1551">
        <v>0</v>
      </c>
      <c r="AH83" s="1551">
        <v>0</v>
      </c>
      <c r="AI83" s="1551">
        <v>0</v>
      </c>
      <c r="AJ83" s="1551">
        <v>0</v>
      </c>
      <c r="AK83" s="1551">
        <v>0</v>
      </c>
      <c r="AL83" s="1551">
        <v>0</v>
      </c>
      <c r="AM83" s="1551">
        <v>0</v>
      </c>
      <c r="AN83" s="1551" t="s">
        <v>890</v>
      </c>
      <c r="AO83" s="1551" t="s">
        <v>890</v>
      </c>
      <c r="AP83" s="1537" t="s">
        <v>2115</v>
      </c>
      <c r="AQ83" s="1552" t="s">
        <v>2116</v>
      </c>
      <c r="AR83" s="1537" t="s">
        <v>2009</v>
      </c>
      <c r="AS83" s="1552" t="s">
        <v>2117</v>
      </c>
    </row>
    <row r="84" spans="2:45" x14ac:dyDescent="0.35">
      <c r="B84" s="1537">
        <f t="shared" si="2"/>
        <v>79</v>
      </c>
      <c r="C84" s="1537" t="s">
        <v>1625</v>
      </c>
      <c r="D84" s="1537" t="s">
        <v>2118</v>
      </c>
      <c r="E84" s="1537" t="s">
        <v>2119</v>
      </c>
      <c r="G84" s="1550" t="s">
        <v>1989</v>
      </c>
      <c r="H84" s="1537" t="s">
        <v>1990</v>
      </c>
      <c r="I84" s="1537" t="s">
        <v>1991</v>
      </c>
      <c r="K84" s="1545">
        <v>0</v>
      </c>
      <c r="L84" s="1545" t="s">
        <v>890</v>
      </c>
      <c r="M84" s="1551">
        <v>0</v>
      </c>
      <c r="N84" s="1551">
        <v>0</v>
      </c>
      <c r="O84" s="1551">
        <v>0</v>
      </c>
      <c r="P84" s="1551">
        <v>0</v>
      </c>
      <c r="Q84" s="1551">
        <v>0</v>
      </c>
      <c r="R84" s="1551">
        <v>0</v>
      </c>
      <c r="S84" s="1551">
        <v>0</v>
      </c>
      <c r="T84" s="1551">
        <v>0</v>
      </c>
      <c r="U84" s="1551">
        <v>0</v>
      </c>
      <c r="V84" s="1551">
        <v>0</v>
      </c>
      <c r="W84" s="1551">
        <v>0</v>
      </c>
      <c r="X84" s="1551">
        <v>0</v>
      </c>
      <c r="Y84" s="1551">
        <v>0</v>
      </c>
      <c r="Z84" s="1551">
        <v>0</v>
      </c>
      <c r="AA84" s="1551"/>
      <c r="AB84" s="1551"/>
      <c r="AC84" s="1551"/>
      <c r="AD84" s="1551"/>
      <c r="AE84" s="1551">
        <v>0</v>
      </c>
      <c r="AF84" s="1551">
        <v>0</v>
      </c>
      <c r="AG84" s="1551">
        <v>0</v>
      </c>
      <c r="AH84" s="1551">
        <v>0</v>
      </c>
      <c r="AI84" s="1551">
        <v>0</v>
      </c>
      <c r="AJ84" s="1551">
        <v>0</v>
      </c>
      <c r="AK84" s="1551">
        <v>0</v>
      </c>
      <c r="AL84" s="1551">
        <v>0</v>
      </c>
      <c r="AM84" s="1551">
        <v>0</v>
      </c>
      <c r="AN84" s="1551" t="s">
        <v>890</v>
      </c>
      <c r="AO84" s="1551" t="s">
        <v>890</v>
      </c>
      <c r="AP84" s="1537" t="s">
        <v>2120</v>
      </c>
      <c r="AQ84" s="1552" t="s">
        <v>2121</v>
      </c>
      <c r="AR84" s="1552"/>
      <c r="AS84" s="1552" t="s">
        <v>2122</v>
      </c>
    </row>
    <row r="85" spans="2:45" x14ac:dyDescent="0.35">
      <c r="B85" s="1537">
        <f t="shared" si="2"/>
        <v>80</v>
      </c>
      <c r="C85" s="1537" t="s">
        <v>1625</v>
      </c>
      <c r="D85" s="1537" t="s">
        <v>2123</v>
      </c>
      <c r="E85" s="1537" t="s">
        <v>2124</v>
      </c>
      <c r="F85" s="1537">
        <v>1</v>
      </c>
      <c r="G85" s="1550" t="s">
        <v>1989</v>
      </c>
      <c r="H85" s="1537" t="s">
        <v>1990</v>
      </c>
      <c r="I85" s="1537" t="s">
        <v>1991</v>
      </c>
      <c r="K85" s="1545">
        <v>8</v>
      </c>
      <c r="L85" s="1545" t="s">
        <v>890</v>
      </c>
      <c r="M85" s="1551">
        <v>0</v>
      </c>
      <c r="N85" s="1551">
        <v>0</v>
      </c>
      <c r="O85" s="1551">
        <v>0</v>
      </c>
      <c r="P85" s="1551">
        <v>0</v>
      </c>
      <c r="Q85" s="1551">
        <v>1</v>
      </c>
      <c r="R85" s="1551">
        <v>0</v>
      </c>
      <c r="S85" s="1551">
        <v>0</v>
      </c>
      <c r="T85" s="1551">
        <v>0</v>
      </c>
      <c r="U85" s="1551">
        <v>2</v>
      </c>
      <c r="V85" s="1551">
        <v>2</v>
      </c>
      <c r="W85" s="1551">
        <v>1</v>
      </c>
      <c r="X85" s="1551">
        <v>0</v>
      </c>
      <c r="Y85" s="1551">
        <v>1</v>
      </c>
      <c r="Z85" s="1551">
        <v>1</v>
      </c>
      <c r="AA85" s="1551"/>
      <c r="AB85" s="1551"/>
      <c r="AC85" s="1551"/>
      <c r="AD85" s="1551"/>
      <c r="AE85" s="1551">
        <v>0</v>
      </c>
      <c r="AF85" s="1551">
        <v>0</v>
      </c>
      <c r="AG85" s="1551">
        <v>0</v>
      </c>
      <c r="AH85" s="1551">
        <v>2</v>
      </c>
      <c r="AI85" s="1551">
        <v>0</v>
      </c>
      <c r="AJ85" s="1551">
        <v>6</v>
      </c>
      <c r="AK85" s="1551">
        <v>0</v>
      </c>
      <c r="AL85" s="1551">
        <v>3</v>
      </c>
      <c r="AM85" s="1551">
        <v>5</v>
      </c>
      <c r="AN85" s="1551" t="s">
        <v>890</v>
      </c>
      <c r="AO85" s="1551" t="s">
        <v>890</v>
      </c>
      <c r="AP85" s="1537" t="s">
        <v>2125</v>
      </c>
      <c r="AQ85" s="1552" t="s">
        <v>2126</v>
      </c>
      <c r="AR85" s="1552"/>
      <c r="AS85" s="1552" t="s">
        <v>2127</v>
      </c>
    </row>
    <row r="86" spans="2:45" x14ac:dyDescent="0.35">
      <c r="B86" s="1537">
        <f t="shared" si="2"/>
        <v>81</v>
      </c>
      <c r="C86" s="1537" t="s">
        <v>1625</v>
      </c>
      <c r="D86" s="1537" t="s">
        <v>2128</v>
      </c>
      <c r="E86" s="1537" t="s">
        <v>2129</v>
      </c>
      <c r="F86" s="1537">
        <v>1</v>
      </c>
      <c r="G86" s="1550" t="s">
        <v>1989</v>
      </c>
      <c r="H86" s="1537" t="s">
        <v>1990</v>
      </c>
      <c r="I86" s="1537" t="s">
        <v>1991</v>
      </c>
      <c r="K86" s="1545">
        <v>1</v>
      </c>
      <c r="L86" s="1545">
        <v>2</v>
      </c>
      <c r="M86" s="1551">
        <v>0</v>
      </c>
      <c r="N86" s="1551">
        <v>0</v>
      </c>
      <c r="O86" s="1551">
        <v>1</v>
      </c>
      <c r="P86" s="1551">
        <v>0</v>
      </c>
      <c r="Q86" s="1551">
        <v>0</v>
      </c>
      <c r="R86" s="1551">
        <v>0</v>
      </c>
      <c r="S86" s="1551">
        <v>0</v>
      </c>
      <c r="T86" s="1551">
        <v>0</v>
      </c>
      <c r="U86" s="1551">
        <v>0</v>
      </c>
      <c r="V86" s="1551">
        <v>0</v>
      </c>
      <c r="W86" s="1551">
        <v>0</v>
      </c>
      <c r="X86" s="1551">
        <v>0</v>
      </c>
      <c r="Y86" s="1551">
        <v>0</v>
      </c>
      <c r="Z86" s="1551">
        <v>0</v>
      </c>
      <c r="AA86" s="1551"/>
      <c r="AB86" s="1551"/>
      <c r="AC86" s="1551"/>
      <c r="AD86" s="1551"/>
      <c r="AE86" s="1551">
        <v>0</v>
      </c>
      <c r="AF86" s="1551">
        <v>0</v>
      </c>
      <c r="AG86" s="1551">
        <v>0</v>
      </c>
      <c r="AH86" s="1551">
        <v>0</v>
      </c>
      <c r="AI86" s="1551">
        <v>0</v>
      </c>
      <c r="AJ86" s="1551">
        <v>1</v>
      </c>
      <c r="AK86" s="1551">
        <v>0</v>
      </c>
      <c r="AL86" s="1551">
        <v>0</v>
      </c>
      <c r="AM86" s="1551">
        <v>1</v>
      </c>
      <c r="AN86" s="1551" t="s">
        <v>890</v>
      </c>
      <c r="AO86" s="1551" t="s">
        <v>890</v>
      </c>
      <c r="AP86" s="1537" t="s">
        <v>2130</v>
      </c>
      <c r="AQ86" s="1552" t="s">
        <v>2131</v>
      </c>
      <c r="AR86" s="1552"/>
      <c r="AS86" s="1552" t="s">
        <v>2132</v>
      </c>
    </row>
    <row r="87" spans="2:45" x14ac:dyDescent="0.35">
      <c r="B87" s="1537">
        <f t="shared" si="2"/>
        <v>82</v>
      </c>
      <c r="C87" s="1537" t="s">
        <v>1625</v>
      </c>
      <c r="D87" s="1537" t="s">
        <v>2133</v>
      </c>
      <c r="E87" s="1537" t="s">
        <v>2134</v>
      </c>
      <c r="G87" s="1550" t="s">
        <v>1989</v>
      </c>
      <c r="H87" s="1537" t="s">
        <v>1990</v>
      </c>
      <c r="I87" s="1537" t="s">
        <v>1991</v>
      </c>
      <c r="K87" s="1545">
        <v>0</v>
      </c>
      <c r="L87" s="1545" t="s">
        <v>890</v>
      </c>
      <c r="M87" s="1551">
        <v>0</v>
      </c>
      <c r="N87" s="1551">
        <v>0</v>
      </c>
      <c r="O87" s="1551">
        <v>0</v>
      </c>
      <c r="P87" s="1551">
        <v>0</v>
      </c>
      <c r="Q87" s="1551">
        <v>0</v>
      </c>
      <c r="R87" s="1551">
        <v>0</v>
      </c>
      <c r="S87" s="1551">
        <v>0</v>
      </c>
      <c r="T87" s="1551">
        <v>0</v>
      </c>
      <c r="U87" s="1551">
        <v>0</v>
      </c>
      <c r="V87" s="1551">
        <v>0</v>
      </c>
      <c r="W87" s="1551">
        <v>0</v>
      </c>
      <c r="X87" s="1551">
        <v>0</v>
      </c>
      <c r="Y87" s="1551">
        <v>0</v>
      </c>
      <c r="Z87" s="1551">
        <v>0</v>
      </c>
      <c r="AA87" s="1551"/>
      <c r="AB87" s="1551"/>
      <c r="AC87" s="1551"/>
      <c r="AD87" s="1551"/>
      <c r="AE87" s="1551">
        <v>0</v>
      </c>
      <c r="AF87" s="1551">
        <v>0</v>
      </c>
      <c r="AG87" s="1551">
        <v>0</v>
      </c>
      <c r="AH87" s="1551">
        <v>0</v>
      </c>
      <c r="AI87" s="1551">
        <v>0</v>
      </c>
      <c r="AJ87" s="1551">
        <v>0</v>
      </c>
      <c r="AK87" s="1551">
        <v>0</v>
      </c>
      <c r="AL87" s="1551">
        <v>0</v>
      </c>
      <c r="AM87" s="1551">
        <v>0</v>
      </c>
      <c r="AN87" s="1551" t="s">
        <v>890</v>
      </c>
      <c r="AO87" s="1551" t="s">
        <v>890</v>
      </c>
      <c r="AP87" s="1537" t="s">
        <v>2135</v>
      </c>
      <c r="AQ87" s="1552" t="s">
        <v>2136</v>
      </c>
      <c r="AR87" s="1552"/>
      <c r="AS87" s="1552" t="s">
        <v>2137</v>
      </c>
    </row>
    <row r="88" spans="2:45" x14ac:dyDescent="0.35">
      <c r="B88" s="1537">
        <f t="shared" si="2"/>
        <v>83</v>
      </c>
      <c r="C88" s="1537" t="s">
        <v>1625</v>
      </c>
      <c r="D88" s="1537" t="s">
        <v>2138</v>
      </c>
      <c r="E88" s="1537" t="s">
        <v>2139</v>
      </c>
      <c r="G88" s="1550" t="s">
        <v>1989</v>
      </c>
      <c r="H88" s="1537" t="s">
        <v>1990</v>
      </c>
      <c r="I88" s="1537" t="s">
        <v>1991</v>
      </c>
      <c r="K88" s="1545">
        <v>0</v>
      </c>
      <c r="L88" s="1545" t="s">
        <v>890</v>
      </c>
      <c r="M88" s="1551">
        <v>0</v>
      </c>
      <c r="N88" s="1551">
        <v>0</v>
      </c>
      <c r="O88" s="1551">
        <v>0</v>
      </c>
      <c r="P88" s="1551">
        <v>0</v>
      </c>
      <c r="Q88" s="1551">
        <v>0</v>
      </c>
      <c r="R88" s="1551">
        <v>0</v>
      </c>
      <c r="S88" s="1551">
        <v>0</v>
      </c>
      <c r="T88" s="1551">
        <v>0</v>
      </c>
      <c r="U88" s="1551">
        <v>0</v>
      </c>
      <c r="V88" s="1551">
        <v>0</v>
      </c>
      <c r="W88" s="1551">
        <v>0</v>
      </c>
      <c r="X88" s="1551">
        <v>0</v>
      </c>
      <c r="Y88" s="1551">
        <v>0</v>
      </c>
      <c r="Z88" s="1551">
        <v>0</v>
      </c>
      <c r="AA88" s="1551"/>
      <c r="AB88" s="1551"/>
      <c r="AC88" s="1551"/>
      <c r="AD88" s="1551"/>
      <c r="AE88" s="1551">
        <v>0</v>
      </c>
      <c r="AF88" s="1551">
        <v>0</v>
      </c>
      <c r="AG88" s="1551">
        <v>0</v>
      </c>
      <c r="AH88" s="1551">
        <v>0</v>
      </c>
      <c r="AI88" s="1551">
        <v>0</v>
      </c>
      <c r="AJ88" s="1551">
        <v>0</v>
      </c>
      <c r="AK88" s="1551">
        <v>0</v>
      </c>
      <c r="AL88" s="1551">
        <v>0</v>
      </c>
      <c r="AM88" s="1551">
        <v>0</v>
      </c>
      <c r="AN88" s="1551" t="s">
        <v>890</v>
      </c>
      <c r="AO88" s="1551" t="s">
        <v>890</v>
      </c>
      <c r="AP88" s="1537" t="s">
        <v>2140</v>
      </c>
      <c r="AQ88" s="1537" t="s">
        <v>890</v>
      </c>
      <c r="AS88" s="1552" t="s">
        <v>2141</v>
      </c>
    </row>
    <row r="89" spans="2:45" x14ac:dyDescent="0.35">
      <c r="B89" s="1537">
        <f t="shared" si="2"/>
        <v>84</v>
      </c>
      <c r="C89" s="1537" t="s">
        <v>1625</v>
      </c>
      <c r="D89" s="1537" t="s">
        <v>2142</v>
      </c>
      <c r="E89" s="1537" t="s">
        <v>2143</v>
      </c>
      <c r="F89" s="1537">
        <v>1</v>
      </c>
      <c r="G89" s="1550" t="s">
        <v>1989</v>
      </c>
      <c r="H89" s="1537" t="s">
        <v>1990</v>
      </c>
      <c r="I89" s="1537" t="s">
        <v>1991</v>
      </c>
      <c r="K89" s="1545">
        <v>57</v>
      </c>
      <c r="L89" s="1545" t="s">
        <v>890</v>
      </c>
      <c r="M89" s="1551">
        <v>0</v>
      </c>
      <c r="N89" s="1551">
        <v>3</v>
      </c>
      <c r="O89" s="1551">
        <v>3</v>
      </c>
      <c r="P89" s="1551">
        <v>1</v>
      </c>
      <c r="Q89" s="1551">
        <v>2</v>
      </c>
      <c r="R89" s="1551">
        <v>5</v>
      </c>
      <c r="S89" s="1551">
        <v>6</v>
      </c>
      <c r="T89" s="1551">
        <v>4</v>
      </c>
      <c r="U89" s="1551">
        <v>5</v>
      </c>
      <c r="V89" s="1551">
        <v>5</v>
      </c>
      <c r="W89" s="1551">
        <v>4</v>
      </c>
      <c r="X89" s="1551">
        <v>3</v>
      </c>
      <c r="Y89" s="1551">
        <v>3</v>
      </c>
      <c r="Z89" s="1551">
        <v>13</v>
      </c>
      <c r="AA89" s="1551"/>
      <c r="AB89" s="1551"/>
      <c r="AC89" s="1551"/>
      <c r="AD89" s="1551"/>
      <c r="AE89" s="1551">
        <v>0</v>
      </c>
      <c r="AF89" s="1551">
        <v>0</v>
      </c>
      <c r="AG89" s="1551">
        <v>10</v>
      </c>
      <c r="AH89" s="1551">
        <v>9</v>
      </c>
      <c r="AI89" s="1551">
        <v>0</v>
      </c>
      <c r="AJ89" s="1551">
        <v>36</v>
      </c>
      <c r="AK89" s="1551">
        <v>2</v>
      </c>
      <c r="AL89" s="1551">
        <v>24</v>
      </c>
      <c r="AM89" s="1551">
        <v>33</v>
      </c>
      <c r="AN89" s="1551">
        <v>22</v>
      </c>
      <c r="AO89" s="1551">
        <v>0</v>
      </c>
      <c r="AP89" s="1537" t="s">
        <v>2144</v>
      </c>
      <c r="AQ89" s="1552" t="s">
        <v>2145</v>
      </c>
      <c r="AR89" s="1552"/>
      <c r="AS89" s="1552" t="s">
        <v>2146</v>
      </c>
    </row>
    <row r="90" spans="2:45" x14ac:dyDescent="0.35">
      <c r="B90" s="1537">
        <f t="shared" si="2"/>
        <v>85</v>
      </c>
      <c r="C90" s="1537" t="s">
        <v>1625</v>
      </c>
      <c r="D90" s="1537" t="s">
        <v>2147</v>
      </c>
      <c r="E90" s="1537" t="s">
        <v>2148</v>
      </c>
      <c r="F90" s="1537">
        <v>1</v>
      </c>
      <c r="G90" s="1550" t="s">
        <v>1989</v>
      </c>
      <c r="H90" s="1537" t="s">
        <v>1990</v>
      </c>
      <c r="I90" s="1537" t="s">
        <v>1991</v>
      </c>
      <c r="K90" s="1545">
        <v>48</v>
      </c>
      <c r="L90" s="1545" t="s">
        <v>890</v>
      </c>
      <c r="M90" s="1551">
        <v>0</v>
      </c>
      <c r="N90" s="1551">
        <v>0</v>
      </c>
      <c r="O90" s="1551">
        <v>3</v>
      </c>
      <c r="P90" s="1551">
        <v>2</v>
      </c>
      <c r="Q90" s="1551">
        <v>4</v>
      </c>
      <c r="R90" s="1551">
        <v>1</v>
      </c>
      <c r="S90" s="1551">
        <v>3</v>
      </c>
      <c r="T90" s="1551">
        <v>3</v>
      </c>
      <c r="U90" s="1551">
        <v>5</v>
      </c>
      <c r="V90" s="1551">
        <v>8</v>
      </c>
      <c r="W90" s="1551">
        <v>8</v>
      </c>
      <c r="X90" s="1551">
        <v>4</v>
      </c>
      <c r="Y90" s="1551">
        <v>5</v>
      </c>
      <c r="Z90" s="1551">
        <v>2</v>
      </c>
      <c r="AA90" s="1551"/>
      <c r="AB90" s="1551"/>
      <c r="AC90" s="1551"/>
      <c r="AD90" s="1551"/>
      <c r="AE90" s="1551">
        <v>0</v>
      </c>
      <c r="AF90" s="1551">
        <v>0</v>
      </c>
      <c r="AG90" s="1551">
        <v>12</v>
      </c>
      <c r="AH90" s="1551">
        <v>1</v>
      </c>
      <c r="AI90" s="1551">
        <v>0</v>
      </c>
      <c r="AJ90" s="1551">
        <v>30</v>
      </c>
      <c r="AK90" s="1551">
        <v>5</v>
      </c>
      <c r="AL90" s="1551">
        <v>22</v>
      </c>
      <c r="AM90" s="1551">
        <v>26</v>
      </c>
      <c r="AN90" s="1551">
        <v>12</v>
      </c>
      <c r="AO90" s="1551">
        <v>0</v>
      </c>
      <c r="AP90" s="1537" t="s">
        <v>2149</v>
      </c>
      <c r="AQ90" s="1552" t="s">
        <v>2150</v>
      </c>
      <c r="AR90" s="1552"/>
      <c r="AS90" s="1552" t="s">
        <v>2151</v>
      </c>
    </row>
    <row r="91" spans="2:45" x14ac:dyDescent="0.35">
      <c r="B91" s="1537">
        <f t="shared" si="2"/>
        <v>86</v>
      </c>
      <c r="C91" s="1537" t="s">
        <v>1625</v>
      </c>
      <c r="D91" s="1537" t="s">
        <v>2152</v>
      </c>
      <c r="E91" s="1537" t="s">
        <v>2153</v>
      </c>
      <c r="F91" s="1537">
        <v>1</v>
      </c>
      <c r="G91" s="1550" t="s">
        <v>2047</v>
      </c>
      <c r="H91" s="1537" t="s">
        <v>1990</v>
      </c>
      <c r="I91" s="1537" t="s">
        <v>1991</v>
      </c>
      <c r="K91" s="1545">
        <v>8</v>
      </c>
      <c r="L91" s="1545" t="s">
        <v>890</v>
      </c>
      <c r="M91" s="1551">
        <v>0</v>
      </c>
      <c r="N91" s="1551">
        <v>1</v>
      </c>
      <c r="O91" s="1551">
        <v>1</v>
      </c>
      <c r="P91" s="1551">
        <v>1</v>
      </c>
      <c r="Q91" s="1551">
        <v>0</v>
      </c>
      <c r="R91" s="1551">
        <v>3</v>
      </c>
      <c r="S91" s="1551">
        <v>2</v>
      </c>
      <c r="T91" s="1551">
        <v>0</v>
      </c>
      <c r="U91" s="1551">
        <v>0</v>
      </c>
      <c r="V91" s="1551">
        <v>0</v>
      </c>
      <c r="W91" s="1551">
        <v>0</v>
      </c>
      <c r="X91" s="1551">
        <v>0</v>
      </c>
      <c r="Y91" s="1551">
        <v>0</v>
      </c>
      <c r="Z91" s="1551">
        <v>0</v>
      </c>
      <c r="AA91" s="1551"/>
      <c r="AB91" s="1551"/>
      <c r="AC91" s="1551"/>
      <c r="AD91" s="1551"/>
      <c r="AE91" s="1551">
        <v>0</v>
      </c>
      <c r="AF91" s="1551">
        <v>0</v>
      </c>
      <c r="AG91" s="1551">
        <v>0</v>
      </c>
      <c r="AH91" s="1551">
        <v>3</v>
      </c>
      <c r="AI91" s="1551">
        <v>0</v>
      </c>
      <c r="AJ91" s="1551">
        <v>5</v>
      </c>
      <c r="AK91" s="1551">
        <v>0</v>
      </c>
      <c r="AL91" s="1551">
        <v>3</v>
      </c>
      <c r="AM91" s="1551">
        <v>5</v>
      </c>
      <c r="AN91" s="1551" t="s">
        <v>890</v>
      </c>
      <c r="AO91" s="1551" t="s">
        <v>890</v>
      </c>
      <c r="AP91" s="1537" t="s">
        <v>2154</v>
      </c>
      <c r="AQ91" s="1552" t="s">
        <v>2155</v>
      </c>
      <c r="AR91" s="1537" t="s">
        <v>2009</v>
      </c>
      <c r="AS91" s="1552" t="s">
        <v>2156</v>
      </c>
    </row>
    <row r="92" spans="2:45" x14ac:dyDescent="0.35">
      <c r="B92" s="1537">
        <f t="shared" si="2"/>
        <v>87</v>
      </c>
      <c r="C92" s="1537" t="s">
        <v>1625</v>
      </c>
      <c r="D92" s="1537" t="s">
        <v>2157</v>
      </c>
      <c r="E92" s="1537" t="s">
        <v>2158</v>
      </c>
      <c r="F92" s="1537">
        <v>1</v>
      </c>
      <c r="G92" s="1550" t="s">
        <v>1989</v>
      </c>
      <c r="H92" s="1537" t="s">
        <v>1990</v>
      </c>
      <c r="I92" s="1537" t="s">
        <v>1991</v>
      </c>
      <c r="K92" s="1545">
        <v>7</v>
      </c>
      <c r="L92" s="1545" t="s">
        <v>890</v>
      </c>
      <c r="M92" s="1551">
        <v>0</v>
      </c>
      <c r="N92" s="1551">
        <v>0</v>
      </c>
      <c r="O92" s="1551">
        <v>0</v>
      </c>
      <c r="P92" s="1551">
        <v>0</v>
      </c>
      <c r="Q92" s="1551">
        <v>0</v>
      </c>
      <c r="R92" s="1551">
        <v>0</v>
      </c>
      <c r="S92" s="1551">
        <v>0</v>
      </c>
      <c r="T92" s="1551">
        <v>0</v>
      </c>
      <c r="U92" s="1551">
        <v>1</v>
      </c>
      <c r="V92" s="1551">
        <v>0</v>
      </c>
      <c r="W92" s="1551">
        <v>1</v>
      </c>
      <c r="X92" s="1551">
        <v>1</v>
      </c>
      <c r="Y92" s="1551">
        <v>1</v>
      </c>
      <c r="Z92" s="1551">
        <v>3</v>
      </c>
      <c r="AA92" s="1551"/>
      <c r="AB92" s="1551"/>
      <c r="AC92" s="1551"/>
      <c r="AD92" s="1551"/>
      <c r="AE92" s="1551">
        <v>0</v>
      </c>
      <c r="AF92" s="1551">
        <v>0</v>
      </c>
      <c r="AG92" s="1551">
        <v>0</v>
      </c>
      <c r="AH92" s="1551">
        <v>4</v>
      </c>
      <c r="AI92" s="1551">
        <v>0</v>
      </c>
      <c r="AJ92" s="1551">
        <v>3</v>
      </c>
      <c r="AK92" s="1551">
        <v>0</v>
      </c>
      <c r="AL92" s="1551">
        <v>7</v>
      </c>
      <c r="AM92" s="1551">
        <v>0</v>
      </c>
      <c r="AN92" s="1551" t="s">
        <v>890</v>
      </c>
      <c r="AO92" s="1551" t="s">
        <v>890</v>
      </c>
      <c r="AP92" s="1537" t="s">
        <v>2159</v>
      </c>
      <c r="AQ92" s="1537" t="s">
        <v>890</v>
      </c>
      <c r="AS92" s="1552" t="s">
        <v>2160</v>
      </c>
    </row>
    <row r="93" spans="2:45" x14ac:dyDescent="0.35">
      <c r="B93" s="1537">
        <f t="shared" si="2"/>
        <v>88</v>
      </c>
      <c r="C93" s="1537" t="s">
        <v>1625</v>
      </c>
      <c r="D93" s="1537" t="s">
        <v>2161</v>
      </c>
      <c r="E93" s="1537" t="s">
        <v>2162</v>
      </c>
      <c r="F93" s="1537">
        <v>1</v>
      </c>
      <c r="G93" s="1550" t="s">
        <v>1989</v>
      </c>
      <c r="H93" s="1537" t="s">
        <v>1990</v>
      </c>
      <c r="I93" s="1537" t="s">
        <v>1991</v>
      </c>
      <c r="K93" s="1545">
        <v>13</v>
      </c>
      <c r="L93" s="1545" t="s">
        <v>890</v>
      </c>
      <c r="M93" s="1551">
        <v>0</v>
      </c>
      <c r="N93" s="1551">
        <v>0</v>
      </c>
      <c r="O93" s="1551">
        <v>0</v>
      </c>
      <c r="P93" s="1551">
        <v>0</v>
      </c>
      <c r="Q93" s="1551">
        <v>1</v>
      </c>
      <c r="R93" s="1551">
        <v>0</v>
      </c>
      <c r="S93" s="1551">
        <v>1</v>
      </c>
      <c r="T93" s="1551">
        <v>0</v>
      </c>
      <c r="U93" s="1551">
        <v>0</v>
      </c>
      <c r="V93" s="1551">
        <v>0</v>
      </c>
      <c r="W93" s="1551">
        <v>2</v>
      </c>
      <c r="X93" s="1551">
        <v>5</v>
      </c>
      <c r="Y93" s="1551">
        <v>3</v>
      </c>
      <c r="Z93" s="1551">
        <v>1</v>
      </c>
      <c r="AA93" s="1551"/>
      <c r="AB93" s="1551"/>
      <c r="AC93" s="1551"/>
      <c r="AD93" s="1551"/>
      <c r="AE93" s="1551">
        <v>0</v>
      </c>
      <c r="AF93" s="1551">
        <v>0</v>
      </c>
      <c r="AG93" s="1551">
        <v>3</v>
      </c>
      <c r="AH93" s="1551">
        <v>1</v>
      </c>
      <c r="AI93" s="1551">
        <v>0</v>
      </c>
      <c r="AJ93" s="1551">
        <v>9</v>
      </c>
      <c r="AK93" s="1551">
        <v>0</v>
      </c>
      <c r="AL93" s="1551">
        <v>8</v>
      </c>
      <c r="AM93" s="1551">
        <v>5</v>
      </c>
      <c r="AN93" s="1551">
        <v>4</v>
      </c>
      <c r="AO93" s="1551">
        <v>1</v>
      </c>
      <c r="AP93" s="1537" t="s">
        <v>2163</v>
      </c>
      <c r="AQ93" s="1537" t="s">
        <v>890</v>
      </c>
      <c r="AS93" s="1552" t="s">
        <v>2164</v>
      </c>
    </row>
    <row r="94" spans="2:45" x14ac:dyDescent="0.35">
      <c r="B94" s="1537">
        <f t="shared" si="2"/>
        <v>89</v>
      </c>
      <c r="C94" s="1537" t="s">
        <v>1625</v>
      </c>
      <c r="D94" s="1537" t="s">
        <v>2165</v>
      </c>
      <c r="E94" s="1537" t="s">
        <v>2166</v>
      </c>
      <c r="F94" s="1537">
        <v>1</v>
      </c>
      <c r="G94" s="1550" t="s">
        <v>1989</v>
      </c>
      <c r="H94" s="1537" t="s">
        <v>1990</v>
      </c>
      <c r="I94" s="1537" t="s">
        <v>1991</v>
      </c>
      <c r="K94" s="1545">
        <v>1270</v>
      </c>
      <c r="L94" s="1545">
        <v>139</v>
      </c>
      <c r="M94" s="1551">
        <v>0</v>
      </c>
      <c r="N94" s="1551">
        <v>24</v>
      </c>
      <c r="O94" s="1551">
        <v>50</v>
      </c>
      <c r="P94" s="1551">
        <v>66</v>
      </c>
      <c r="Q94" s="1551">
        <v>57</v>
      </c>
      <c r="R94" s="1551">
        <v>71</v>
      </c>
      <c r="S94" s="1551">
        <v>84</v>
      </c>
      <c r="T94" s="1551">
        <v>89</v>
      </c>
      <c r="U94" s="1551">
        <v>134</v>
      </c>
      <c r="V94" s="1551">
        <v>136</v>
      </c>
      <c r="W94" s="1551">
        <v>109</v>
      </c>
      <c r="X94" s="1551">
        <v>121</v>
      </c>
      <c r="Y94" s="1551">
        <v>149</v>
      </c>
      <c r="Z94" s="1551">
        <v>180</v>
      </c>
      <c r="AA94" s="1551"/>
      <c r="AB94" s="1551"/>
      <c r="AC94" s="1551"/>
      <c r="AD94" s="1551"/>
      <c r="AE94" s="1551">
        <v>6</v>
      </c>
      <c r="AF94" s="1551">
        <v>63</v>
      </c>
      <c r="AG94" s="1551">
        <v>238</v>
      </c>
      <c r="AH94" s="1551">
        <v>502</v>
      </c>
      <c r="AI94" s="1551">
        <v>7</v>
      </c>
      <c r="AJ94" s="1551">
        <v>390</v>
      </c>
      <c r="AK94" s="1551">
        <v>64</v>
      </c>
      <c r="AL94" s="1551">
        <v>598</v>
      </c>
      <c r="AM94" s="1551">
        <v>672</v>
      </c>
      <c r="AN94" s="1551">
        <v>3</v>
      </c>
      <c r="AO94" s="1551">
        <v>0</v>
      </c>
      <c r="AP94" s="1537" t="s">
        <v>2167</v>
      </c>
      <c r="AQ94" s="1537" t="s">
        <v>2168</v>
      </c>
      <c r="AS94" s="1552" t="s">
        <v>2169</v>
      </c>
    </row>
    <row r="95" spans="2:45" x14ac:dyDescent="0.35">
      <c r="B95" s="1537">
        <f t="shared" si="2"/>
        <v>90</v>
      </c>
      <c r="C95" s="1537" t="s">
        <v>1625</v>
      </c>
      <c r="D95" s="1537" t="s">
        <v>2170</v>
      </c>
      <c r="E95" s="1537" t="s">
        <v>2171</v>
      </c>
      <c r="F95" s="1537">
        <v>1</v>
      </c>
      <c r="G95" s="1550" t="s">
        <v>2047</v>
      </c>
      <c r="H95" s="1537" t="s">
        <v>1990</v>
      </c>
      <c r="I95" s="1537" t="s">
        <v>1991</v>
      </c>
      <c r="K95" s="1545">
        <v>138</v>
      </c>
      <c r="L95" s="1545">
        <v>88</v>
      </c>
      <c r="M95" s="1551">
        <v>0</v>
      </c>
      <c r="N95" s="1551">
        <v>4</v>
      </c>
      <c r="O95" s="1551">
        <v>16</v>
      </c>
      <c r="P95" s="1551">
        <v>27</v>
      </c>
      <c r="Q95" s="1551">
        <v>20</v>
      </c>
      <c r="R95" s="1551">
        <v>16</v>
      </c>
      <c r="S95" s="1551">
        <v>13</v>
      </c>
      <c r="T95" s="1551">
        <v>7</v>
      </c>
      <c r="U95" s="1551">
        <v>2</v>
      </c>
      <c r="V95" s="1551">
        <v>8</v>
      </c>
      <c r="W95" s="1551">
        <v>5</v>
      </c>
      <c r="X95" s="1551">
        <v>8</v>
      </c>
      <c r="Y95" s="1551">
        <v>7</v>
      </c>
      <c r="Z95" s="1551">
        <v>5</v>
      </c>
      <c r="AA95" s="1551"/>
      <c r="AB95" s="1551"/>
      <c r="AC95" s="1551"/>
      <c r="AD95" s="1551"/>
      <c r="AE95" s="1551">
        <v>0</v>
      </c>
      <c r="AF95" s="1551">
        <v>10</v>
      </c>
      <c r="AG95" s="1551">
        <v>32</v>
      </c>
      <c r="AH95" s="1551">
        <v>45</v>
      </c>
      <c r="AI95" s="1551">
        <v>1</v>
      </c>
      <c r="AJ95" s="1551">
        <v>43</v>
      </c>
      <c r="AK95" s="1551">
        <v>7</v>
      </c>
      <c r="AL95" s="1551">
        <v>63</v>
      </c>
      <c r="AM95" s="1551">
        <v>75</v>
      </c>
      <c r="AN95" s="1551">
        <v>13</v>
      </c>
      <c r="AO95" s="1551">
        <v>0</v>
      </c>
      <c r="AP95" s="1537" t="s">
        <v>2172</v>
      </c>
      <c r="AQ95" s="1552" t="s">
        <v>2173</v>
      </c>
      <c r="AR95" s="1552"/>
      <c r="AS95" s="1552" t="s">
        <v>2174</v>
      </c>
    </row>
    <row r="96" spans="2:45" x14ac:dyDescent="0.35">
      <c r="B96" s="1537">
        <f t="shared" si="2"/>
        <v>91</v>
      </c>
      <c r="C96" s="1537" t="s">
        <v>1625</v>
      </c>
      <c r="D96" s="1537" t="s">
        <v>2175</v>
      </c>
      <c r="E96" s="1537" t="s">
        <v>2176</v>
      </c>
      <c r="F96" s="1537">
        <v>1</v>
      </c>
      <c r="G96" s="1550" t="s">
        <v>1989</v>
      </c>
      <c r="H96" s="1537" t="s">
        <v>1990</v>
      </c>
      <c r="I96" s="1537" t="s">
        <v>1991</v>
      </c>
      <c r="K96" s="1545">
        <v>42</v>
      </c>
      <c r="L96" s="1545" t="s">
        <v>890</v>
      </c>
      <c r="M96" s="1551">
        <v>0</v>
      </c>
      <c r="N96" s="1551">
        <v>2</v>
      </c>
      <c r="O96" s="1551">
        <v>2</v>
      </c>
      <c r="P96" s="1551">
        <v>3</v>
      </c>
      <c r="Q96" s="1551">
        <v>12</v>
      </c>
      <c r="R96" s="1551">
        <v>3</v>
      </c>
      <c r="S96" s="1551">
        <v>1</v>
      </c>
      <c r="T96" s="1551">
        <v>8</v>
      </c>
      <c r="U96" s="1551">
        <v>6</v>
      </c>
      <c r="V96" s="1551">
        <v>2</v>
      </c>
      <c r="W96" s="1551">
        <v>2</v>
      </c>
      <c r="X96" s="1551">
        <v>0</v>
      </c>
      <c r="Y96" s="1551">
        <v>1</v>
      </c>
      <c r="Z96" s="1551">
        <v>0</v>
      </c>
      <c r="AA96" s="1551"/>
      <c r="AB96" s="1551"/>
      <c r="AC96" s="1551"/>
      <c r="AD96" s="1551"/>
      <c r="AE96" s="1551">
        <v>0</v>
      </c>
      <c r="AF96" s="1551">
        <v>0</v>
      </c>
      <c r="AG96" s="1551">
        <v>8</v>
      </c>
      <c r="AH96" s="1551">
        <v>15</v>
      </c>
      <c r="AI96" s="1551">
        <v>0</v>
      </c>
      <c r="AJ96" s="1551">
        <v>17</v>
      </c>
      <c r="AK96" s="1551">
        <v>2</v>
      </c>
      <c r="AL96" s="1551">
        <v>28</v>
      </c>
      <c r="AM96" s="1551">
        <v>14</v>
      </c>
      <c r="AN96" s="1551" t="s">
        <v>890</v>
      </c>
      <c r="AO96" s="1551" t="s">
        <v>890</v>
      </c>
      <c r="AP96" s="1537" t="s">
        <v>2177</v>
      </c>
      <c r="AQ96" s="1552" t="s">
        <v>2178</v>
      </c>
      <c r="AR96" s="1552"/>
      <c r="AS96" s="1552" t="s">
        <v>2179</v>
      </c>
    </row>
    <row r="97" spans="2:45" x14ac:dyDescent="0.35">
      <c r="B97" s="1537">
        <f t="shared" si="2"/>
        <v>92</v>
      </c>
      <c r="C97" s="1537" t="s">
        <v>1625</v>
      </c>
      <c r="D97" s="1537" t="s">
        <v>2180</v>
      </c>
      <c r="E97" s="1537" t="s">
        <v>2181</v>
      </c>
      <c r="F97" s="1537">
        <v>1</v>
      </c>
      <c r="G97" s="1550" t="s">
        <v>1989</v>
      </c>
      <c r="H97" s="1537" t="s">
        <v>1990</v>
      </c>
      <c r="I97" s="1537" t="s">
        <v>1991</v>
      </c>
      <c r="K97" s="1545">
        <v>25</v>
      </c>
      <c r="L97" s="1545" t="s">
        <v>890</v>
      </c>
      <c r="M97" s="1551">
        <v>0</v>
      </c>
      <c r="N97" s="1551">
        <v>0</v>
      </c>
      <c r="O97" s="1551">
        <v>1</v>
      </c>
      <c r="P97" s="1551">
        <v>1</v>
      </c>
      <c r="Q97" s="1551">
        <v>3</v>
      </c>
      <c r="R97" s="1551">
        <v>3</v>
      </c>
      <c r="S97" s="1551">
        <v>2</v>
      </c>
      <c r="T97" s="1551">
        <v>2</v>
      </c>
      <c r="U97" s="1551">
        <v>0</v>
      </c>
      <c r="V97" s="1551">
        <v>0</v>
      </c>
      <c r="W97" s="1551">
        <v>3</v>
      </c>
      <c r="X97" s="1551">
        <v>1</v>
      </c>
      <c r="Y97" s="1551">
        <v>2</v>
      </c>
      <c r="Z97" s="1551">
        <v>7</v>
      </c>
      <c r="AA97" s="1551"/>
      <c r="AB97" s="1551"/>
      <c r="AC97" s="1551"/>
      <c r="AD97" s="1551"/>
      <c r="AE97" s="1551">
        <v>0</v>
      </c>
      <c r="AF97" s="1551">
        <v>0</v>
      </c>
      <c r="AG97" s="1551">
        <v>5</v>
      </c>
      <c r="AH97" s="1551">
        <v>4</v>
      </c>
      <c r="AI97" s="1551">
        <v>0</v>
      </c>
      <c r="AJ97" s="1551">
        <v>15</v>
      </c>
      <c r="AK97" s="1551">
        <v>1</v>
      </c>
      <c r="AL97" s="1551">
        <v>17</v>
      </c>
      <c r="AM97" s="1551">
        <v>8</v>
      </c>
      <c r="AN97" s="1551">
        <v>3</v>
      </c>
      <c r="AO97" s="1551">
        <v>0</v>
      </c>
      <c r="AP97" s="1537" t="s">
        <v>2182</v>
      </c>
      <c r="AQ97" s="1537" t="s">
        <v>890</v>
      </c>
      <c r="AS97" s="1552" t="s">
        <v>2183</v>
      </c>
    </row>
    <row r="98" spans="2:45" x14ac:dyDescent="0.35">
      <c r="B98" s="1537">
        <f t="shared" si="2"/>
        <v>93</v>
      </c>
      <c r="C98" s="1537" t="s">
        <v>1625</v>
      </c>
      <c r="D98" s="1537" t="s">
        <v>2184</v>
      </c>
      <c r="E98" s="1537" t="s">
        <v>2185</v>
      </c>
      <c r="F98" s="1537">
        <v>1</v>
      </c>
      <c r="G98" s="1550" t="s">
        <v>1989</v>
      </c>
      <c r="H98" s="1537" t="s">
        <v>1990</v>
      </c>
      <c r="I98" s="1537" t="s">
        <v>1991</v>
      </c>
      <c r="K98" s="1545">
        <v>12</v>
      </c>
      <c r="L98" s="1545" t="s">
        <v>890</v>
      </c>
      <c r="M98" s="1551">
        <v>0</v>
      </c>
      <c r="N98" s="1551">
        <v>1</v>
      </c>
      <c r="O98" s="1551">
        <v>1</v>
      </c>
      <c r="P98" s="1551">
        <v>1</v>
      </c>
      <c r="Q98" s="1551">
        <v>1</v>
      </c>
      <c r="R98" s="1551">
        <v>0</v>
      </c>
      <c r="S98" s="1551">
        <v>1</v>
      </c>
      <c r="T98" s="1551">
        <v>1</v>
      </c>
      <c r="U98" s="1551">
        <v>1</v>
      </c>
      <c r="V98" s="1551">
        <v>2</v>
      </c>
      <c r="W98" s="1551">
        <v>0</v>
      </c>
      <c r="X98" s="1551">
        <v>2</v>
      </c>
      <c r="Y98" s="1551">
        <v>0</v>
      </c>
      <c r="Z98" s="1551">
        <v>1</v>
      </c>
      <c r="AA98" s="1551"/>
      <c r="AB98" s="1551"/>
      <c r="AC98" s="1551"/>
      <c r="AD98" s="1551"/>
      <c r="AE98" s="1551">
        <v>0</v>
      </c>
      <c r="AF98" s="1551">
        <v>0</v>
      </c>
      <c r="AG98" s="1551">
        <v>0</v>
      </c>
      <c r="AH98" s="1551">
        <v>1</v>
      </c>
      <c r="AI98" s="1551">
        <v>0</v>
      </c>
      <c r="AJ98" s="1551">
        <v>10</v>
      </c>
      <c r="AK98" s="1551">
        <v>1</v>
      </c>
      <c r="AL98" s="1551">
        <v>5</v>
      </c>
      <c r="AM98" s="1551">
        <v>7</v>
      </c>
      <c r="AN98" s="1551" t="s">
        <v>890</v>
      </c>
      <c r="AO98" s="1551" t="s">
        <v>890</v>
      </c>
      <c r="AP98" s="1537" t="s">
        <v>2186</v>
      </c>
      <c r="AQ98" s="1537" t="s">
        <v>890</v>
      </c>
      <c r="AS98" s="1552" t="s">
        <v>2187</v>
      </c>
    </row>
    <row r="99" spans="2:45" x14ac:dyDescent="0.35">
      <c r="B99" s="1537">
        <f t="shared" si="2"/>
        <v>94</v>
      </c>
      <c r="C99" s="1537" t="s">
        <v>1625</v>
      </c>
      <c r="D99" s="1537" t="s">
        <v>2188</v>
      </c>
      <c r="E99" s="1537" t="s">
        <v>2189</v>
      </c>
      <c r="F99" s="1537">
        <v>1</v>
      </c>
      <c r="G99" s="1550" t="s">
        <v>1989</v>
      </c>
      <c r="H99" s="1537" t="s">
        <v>1990</v>
      </c>
      <c r="I99" s="1537" t="s">
        <v>1991</v>
      </c>
      <c r="K99" s="1545">
        <v>16</v>
      </c>
      <c r="L99" s="1545" t="s">
        <v>890</v>
      </c>
      <c r="M99" s="1551">
        <v>0</v>
      </c>
      <c r="N99" s="1551">
        <v>2</v>
      </c>
      <c r="O99" s="1551">
        <v>0</v>
      </c>
      <c r="P99" s="1551">
        <v>2</v>
      </c>
      <c r="Q99" s="1551">
        <v>0</v>
      </c>
      <c r="R99" s="1551">
        <v>0</v>
      </c>
      <c r="S99" s="1551">
        <v>2</v>
      </c>
      <c r="T99" s="1551">
        <v>2</v>
      </c>
      <c r="U99" s="1551">
        <v>0</v>
      </c>
      <c r="V99" s="1551">
        <v>2</v>
      </c>
      <c r="W99" s="1551">
        <v>2</v>
      </c>
      <c r="X99" s="1551">
        <v>3</v>
      </c>
      <c r="Y99" s="1551">
        <v>1</v>
      </c>
      <c r="Z99" s="1551">
        <v>0</v>
      </c>
      <c r="AA99" s="1551"/>
      <c r="AB99" s="1551"/>
      <c r="AC99" s="1551"/>
      <c r="AD99" s="1551"/>
      <c r="AE99" s="1551">
        <v>0</v>
      </c>
      <c r="AF99" s="1551">
        <v>0</v>
      </c>
      <c r="AG99" s="1551">
        <v>1</v>
      </c>
      <c r="AH99" s="1551">
        <v>1</v>
      </c>
      <c r="AI99" s="1551">
        <v>0</v>
      </c>
      <c r="AJ99" s="1551">
        <v>12</v>
      </c>
      <c r="AK99" s="1551">
        <v>2</v>
      </c>
      <c r="AL99" s="1551">
        <v>8</v>
      </c>
      <c r="AM99" s="1551">
        <v>8</v>
      </c>
      <c r="AN99" s="1551">
        <v>3</v>
      </c>
      <c r="AO99" s="1551">
        <v>0</v>
      </c>
      <c r="AP99" s="1537" t="s">
        <v>2190</v>
      </c>
      <c r="AQ99" s="1552" t="s">
        <v>2191</v>
      </c>
      <c r="AR99" s="1552"/>
      <c r="AS99" s="1552" t="s">
        <v>2192</v>
      </c>
    </row>
    <row r="100" spans="2:45" x14ac:dyDescent="0.35">
      <c r="B100" s="1537">
        <f t="shared" si="2"/>
        <v>95</v>
      </c>
      <c r="C100" s="1537" t="s">
        <v>1626</v>
      </c>
      <c r="D100" s="1537" t="s">
        <v>2193</v>
      </c>
      <c r="E100" s="1537" t="s">
        <v>2194</v>
      </c>
      <c r="F100" s="1537">
        <v>1</v>
      </c>
      <c r="G100" s="1550" t="s">
        <v>2195</v>
      </c>
      <c r="H100" s="1537" t="s">
        <v>1990</v>
      </c>
      <c r="I100" s="1537" t="s">
        <v>1991</v>
      </c>
      <c r="K100" s="1545">
        <v>389</v>
      </c>
      <c r="L100" s="1545">
        <v>14</v>
      </c>
      <c r="M100" s="1551">
        <v>0</v>
      </c>
      <c r="N100" s="1551">
        <v>0</v>
      </c>
      <c r="O100" s="1551">
        <v>0</v>
      </c>
      <c r="P100" s="1551">
        <v>0</v>
      </c>
      <c r="Q100" s="1551">
        <v>0</v>
      </c>
      <c r="R100" s="1551">
        <v>0</v>
      </c>
      <c r="S100" s="1551">
        <v>0</v>
      </c>
      <c r="T100" s="1551">
        <v>115</v>
      </c>
      <c r="U100" s="1551">
        <v>130</v>
      </c>
      <c r="V100" s="1551">
        <v>144</v>
      </c>
      <c r="W100" s="1551">
        <v>0</v>
      </c>
      <c r="X100" s="1551">
        <v>0</v>
      </c>
      <c r="Y100" s="1551">
        <v>0</v>
      </c>
      <c r="Z100" s="1551">
        <v>0</v>
      </c>
      <c r="AA100" s="1551"/>
      <c r="AB100" s="1551"/>
      <c r="AC100" s="1551"/>
      <c r="AD100" s="1551"/>
      <c r="AE100" s="1551">
        <v>6</v>
      </c>
      <c r="AF100" s="1551">
        <v>0</v>
      </c>
      <c r="AG100" s="1551">
        <v>168</v>
      </c>
      <c r="AH100" s="1551">
        <v>52</v>
      </c>
      <c r="AI100" s="1551">
        <v>1</v>
      </c>
      <c r="AJ100" s="1551">
        <v>126</v>
      </c>
      <c r="AK100" s="1551">
        <v>36</v>
      </c>
      <c r="AL100" s="1551">
        <v>170</v>
      </c>
      <c r="AM100" s="1551">
        <v>219</v>
      </c>
      <c r="AN100" s="1551">
        <v>191</v>
      </c>
      <c r="AO100" s="1551">
        <v>32</v>
      </c>
      <c r="AP100" s="1537" t="s">
        <v>2196</v>
      </c>
      <c r="AQ100" s="1537" t="s">
        <v>890</v>
      </c>
      <c r="AS100" s="1552" t="s">
        <v>2197</v>
      </c>
    </row>
    <row r="101" spans="2:45" hidden="1" x14ac:dyDescent="0.35">
      <c r="B101" s="1537">
        <f t="shared" si="2"/>
        <v>96</v>
      </c>
      <c r="C101" s="1537" t="s">
        <v>1626</v>
      </c>
      <c r="D101" s="1530" t="s">
        <v>1998</v>
      </c>
      <c r="F101" s="1537">
        <v>1</v>
      </c>
      <c r="G101" s="1553" t="s">
        <v>1999</v>
      </c>
      <c r="H101" s="1537" t="s">
        <v>2000</v>
      </c>
      <c r="K101" s="1545"/>
      <c r="L101" s="1545"/>
      <c r="M101" s="1545"/>
      <c r="N101" s="1545"/>
      <c r="O101" s="1545"/>
      <c r="P101" s="1545"/>
      <c r="Q101" s="1545"/>
      <c r="R101" s="1545"/>
      <c r="S101" s="1545"/>
      <c r="T101" s="1545"/>
      <c r="U101" s="1545"/>
      <c r="V101" s="1545"/>
      <c r="W101" s="1545"/>
      <c r="X101" s="1545"/>
      <c r="Y101" s="1545"/>
      <c r="Z101" s="1545"/>
      <c r="AA101" s="1545"/>
      <c r="AB101" s="1545"/>
      <c r="AC101" s="1545"/>
      <c r="AD101" s="1545"/>
      <c r="AE101" s="1545"/>
      <c r="AF101" s="1545"/>
      <c r="AG101" s="1545"/>
      <c r="AH101" s="1545"/>
      <c r="AI101" s="1545"/>
      <c r="AJ101" s="1545"/>
      <c r="AK101" s="1545"/>
      <c r="AL101" s="1545"/>
      <c r="AM101" s="1545"/>
      <c r="AN101" s="1545"/>
      <c r="AO101" s="1545"/>
    </row>
    <row r="102" spans="2:45" hidden="1" x14ac:dyDescent="0.35">
      <c r="B102" s="1537">
        <f t="shared" si="2"/>
        <v>97</v>
      </c>
      <c r="C102" s="1537" t="s">
        <v>1626</v>
      </c>
      <c r="D102" s="1530" t="s">
        <v>2001</v>
      </c>
      <c r="F102" s="1537">
        <v>1</v>
      </c>
      <c r="G102" s="1553" t="s">
        <v>1989</v>
      </c>
      <c r="H102" s="1537" t="s">
        <v>2000</v>
      </c>
      <c r="K102" s="1545"/>
      <c r="L102" s="1545"/>
      <c r="M102" s="1545"/>
      <c r="N102" s="1545"/>
      <c r="O102" s="1545"/>
      <c r="P102" s="1545"/>
      <c r="Q102" s="1545"/>
      <c r="R102" s="1545"/>
      <c r="S102" s="1545"/>
      <c r="T102" s="1545"/>
      <c r="U102" s="1545"/>
      <c r="V102" s="1545"/>
      <c r="W102" s="1545"/>
      <c r="X102" s="1545"/>
      <c r="Y102" s="1545"/>
      <c r="Z102" s="1545"/>
      <c r="AA102" s="1545"/>
      <c r="AB102" s="1545"/>
      <c r="AC102" s="1545"/>
      <c r="AD102" s="1545"/>
      <c r="AE102" s="1545"/>
      <c r="AF102" s="1545"/>
      <c r="AG102" s="1545"/>
      <c r="AH102" s="1545"/>
      <c r="AI102" s="1545"/>
      <c r="AJ102" s="1545"/>
      <c r="AK102" s="1545"/>
      <c r="AL102" s="1545"/>
      <c r="AM102" s="1545"/>
      <c r="AN102" s="1545"/>
      <c r="AO102" s="1545"/>
    </row>
    <row r="103" spans="2:45" hidden="1" x14ac:dyDescent="0.35">
      <c r="B103" s="1537">
        <f t="shared" si="2"/>
        <v>98</v>
      </c>
      <c r="C103" s="1537" t="s">
        <v>1626</v>
      </c>
      <c r="D103" s="1530" t="s">
        <v>2002</v>
      </c>
      <c r="F103" s="1537">
        <v>1</v>
      </c>
      <c r="G103" s="1553" t="s">
        <v>1989</v>
      </c>
      <c r="H103" s="1537" t="s">
        <v>2000</v>
      </c>
      <c r="K103" s="1545"/>
      <c r="L103" s="1545"/>
      <c r="M103" s="1545"/>
      <c r="N103" s="1545"/>
      <c r="O103" s="1545"/>
      <c r="P103" s="1545"/>
      <c r="Q103" s="1545"/>
      <c r="R103" s="1545"/>
      <c r="S103" s="1545"/>
      <c r="T103" s="1545"/>
      <c r="U103" s="1545"/>
      <c r="V103" s="1545"/>
      <c r="W103" s="1545"/>
      <c r="X103" s="1545"/>
      <c r="Y103" s="1545"/>
      <c r="Z103" s="1545"/>
      <c r="AA103" s="1545"/>
      <c r="AB103" s="1545"/>
      <c r="AC103" s="1545"/>
      <c r="AD103" s="1545"/>
      <c r="AE103" s="1545"/>
      <c r="AF103" s="1545"/>
      <c r="AG103" s="1545"/>
      <c r="AH103" s="1545"/>
      <c r="AI103" s="1545"/>
      <c r="AJ103" s="1545"/>
      <c r="AK103" s="1545"/>
      <c r="AL103" s="1545"/>
      <c r="AM103" s="1545"/>
      <c r="AN103" s="1545"/>
      <c r="AO103" s="1545"/>
    </row>
    <row r="104" spans="2:45" hidden="1" x14ac:dyDescent="0.35">
      <c r="B104" s="1537">
        <f t="shared" si="2"/>
        <v>99</v>
      </c>
      <c r="C104" s="1537" t="s">
        <v>1626</v>
      </c>
      <c r="D104" s="1530" t="s">
        <v>2003</v>
      </c>
      <c r="F104" s="1537">
        <v>1</v>
      </c>
      <c r="G104" s="1553" t="s">
        <v>2004</v>
      </c>
      <c r="H104" s="1537" t="s">
        <v>2000</v>
      </c>
      <c r="K104" s="1545"/>
      <c r="L104" s="1545"/>
      <c r="M104" s="1545"/>
      <c r="N104" s="1545"/>
      <c r="O104" s="1545"/>
      <c r="P104" s="1545"/>
      <c r="Q104" s="1545"/>
      <c r="R104" s="1545"/>
      <c r="S104" s="1545"/>
      <c r="T104" s="1545"/>
      <c r="U104" s="1545"/>
      <c r="V104" s="1545"/>
      <c r="W104" s="1545"/>
      <c r="X104" s="1545"/>
      <c r="Y104" s="1545"/>
      <c r="Z104" s="1545"/>
      <c r="AA104" s="1545"/>
      <c r="AB104" s="1545"/>
      <c r="AC104" s="1545"/>
      <c r="AD104" s="1545"/>
      <c r="AE104" s="1545"/>
      <c r="AF104" s="1545"/>
      <c r="AG104" s="1545"/>
      <c r="AH104" s="1545"/>
      <c r="AI104" s="1545"/>
      <c r="AJ104" s="1545"/>
      <c r="AK104" s="1545"/>
      <c r="AL104" s="1545"/>
      <c r="AM104" s="1545"/>
      <c r="AN104" s="1545"/>
      <c r="AO104" s="1545"/>
    </row>
    <row r="105" spans="2:45" hidden="1" x14ac:dyDescent="0.35">
      <c r="B105" s="1537">
        <f t="shared" si="2"/>
        <v>100</v>
      </c>
      <c r="C105" s="1537" t="s">
        <v>1626</v>
      </c>
      <c r="D105" s="1530" t="s">
        <v>2005</v>
      </c>
      <c r="F105" s="1537">
        <v>1</v>
      </c>
      <c r="G105" s="1553" t="s">
        <v>1999</v>
      </c>
      <c r="H105" s="1537" t="s">
        <v>2000</v>
      </c>
      <c r="K105" s="1545"/>
      <c r="L105" s="1545"/>
      <c r="M105" s="1545"/>
      <c r="N105" s="1545"/>
      <c r="O105" s="1545"/>
      <c r="P105" s="1545"/>
      <c r="Q105" s="1545"/>
      <c r="R105" s="1545"/>
      <c r="S105" s="1545"/>
      <c r="T105" s="1545"/>
      <c r="U105" s="1545"/>
      <c r="V105" s="1545"/>
      <c r="W105" s="1545"/>
      <c r="X105" s="1545"/>
      <c r="Y105" s="1545"/>
      <c r="Z105" s="1545"/>
      <c r="AA105" s="1545"/>
      <c r="AB105" s="1545"/>
      <c r="AC105" s="1545"/>
      <c r="AD105" s="1545"/>
      <c r="AE105" s="1545"/>
      <c r="AF105" s="1545"/>
      <c r="AG105" s="1545"/>
      <c r="AH105" s="1545"/>
      <c r="AI105" s="1545"/>
      <c r="AJ105" s="1545"/>
      <c r="AK105" s="1545"/>
      <c r="AL105" s="1545"/>
      <c r="AM105" s="1545"/>
      <c r="AN105" s="1545"/>
      <c r="AO105" s="1545"/>
    </row>
    <row r="106" spans="2:45" hidden="1" x14ac:dyDescent="0.35">
      <c r="B106" s="1537">
        <f t="shared" si="2"/>
        <v>101</v>
      </c>
      <c r="C106" s="1537" t="s">
        <v>1821</v>
      </c>
      <c r="D106" s="1530" t="s">
        <v>1998</v>
      </c>
      <c r="F106" s="1537">
        <v>1</v>
      </c>
      <c r="G106" s="1553" t="s">
        <v>1999</v>
      </c>
      <c r="H106" s="1537" t="s">
        <v>2000</v>
      </c>
      <c r="K106" s="1545"/>
      <c r="L106" s="1545"/>
      <c r="M106" s="1545"/>
      <c r="N106" s="1545"/>
      <c r="O106" s="1545"/>
      <c r="P106" s="1545"/>
      <c r="Q106" s="1545"/>
      <c r="R106" s="1545"/>
      <c r="S106" s="1545"/>
      <c r="T106" s="1545"/>
      <c r="U106" s="1545"/>
      <c r="V106" s="1545"/>
      <c r="W106" s="1545"/>
      <c r="X106" s="1545"/>
      <c r="Y106" s="1545"/>
      <c r="Z106" s="1545"/>
      <c r="AA106" s="1545"/>
      <c r="AB106" s="1545"/>
      <c r="AC106" s="1545"/>
      <c r="AD106" s="1545"/>
      <c r="AE106" s="1545"/>
      <c r="AF106" s="1545"/>
      <c r="AG106" s="1545"/>
      <c r="AH106" s="1545"/>
      <c r="AI106" s="1545"/>
      <c r="AJ106" s="1545"/>
      <c r="AK106" s="1545"/>
      <c r="AL106" s="1545"/>
      <c r="AM106" s="1545"/>
      <c r="AN106" s="1545"/>
      <c r="AO106" s="1545"/>
    </row>
    <row r="107" spans="2:45" hidden="1" x14ac:dyDescent="0.35">
      <c r="B107" s="1537">
        <f t="shared" si="2"/>
        <v>102</v>
      </c>
      <c r="C107" s="1537" t="s">
        <v>1821</v>
      </c>
      <c r="D107" s="1530" t="s">
        <v>2001</v>
      </c>
      <c r="F107" s="1537">
        <v>1</v>
      </c>
      <c r="G107" s="1553" t="s">
        <v>1989</v>
      </c>
      <c r="H107" s="1537" t="s">
        <v>2000</v>
      </c>
      <c r="K107" s="1545"/>
      <c r="L107" s="1545"/>
      <c r="M107" s="1545"/>
      <c r="N107" s="1545"/>
      <c r="O107" s="1545"/>
      <c r="P107" s="1545"/>
      <c r="Q107" s="1545"/>
      <c r="R107" s="1545"/>
      <c r="S107" s="1545"/>
      <c r="T107" s="1545"/>
      <c r="U107" s="1545"/>
      <c r="V107" s="1545"/>
      <c r="W107" s="1545"/>
      <c r="X107" s="1545"/>
      <c r="Y107" s="1545"/>
      <c r="Z107" s="1545"/>
      <c r="AA107" s="1545"/>
      <c r="AB107" s="1545"/>
      <c r="AC107" s="1545"/>
      <c r="AD107" s="1545"/>
      <c r="AE107" s="1545"/>
      <c r="AF107" s="1545"/>
      <c r="AG107" s="1545"/>
      <c r="AH107" s="1545"/>
      <c r="AI107" s="1545"/>
      <c r="AJ107" s="1545"/>
      <c r="AK107" s="1545"/>
      <c r="AL107" s="1545"/>
      <c r="AM107" s="1545"/>
      <c r="AN107" s="1545"/>
      <c r="AO107" s="1545"/>
    </row>
    <row r="108" spans="2:45" hidden="1" x14ac:dyDescent="0.35">
      <c r="B108" s="1537">
        <f t="shared" si="2"/>
        <v>103</v>
      </c>
      <c r="C108" s="1537" t="s">
        <v>1821</v>
      </c>
      <c r="D108" s="1530" t="s">
        <v>2002</v>
      </c>
      <c r="F108" s="1537">
        <v>1</v>
      </c>
      <c r="G108" s="1553" t="s">
        <v>1989</v>
      </c>
      <c r="H108" s="1537" t="s">
        <v>2000</v>
      </c>
      <c r="K108" s="1545"/>
      <c r="L108" s="1545"/>
      <c r="M108" s="1545"/>
      <c r="N108" s="1545"/>
      <c r="O108" s="1545"/>
      <c r="P108" s="1545"/>
      <c r="Q108" s="1545"/>
      <c r="R108" s="1545"/>
      <c r="S108" s="1545"/>
      <c r="T108" s="1545"/>
      <c r="U108" s="1545"/>
      <c r="V108" s="1545"/>
      <c r="W108" s="1545"/>
      <c r="X108" s="1545"/>
      <c r="Y108" s="1545"/>
      <c r="Z108" s="1545"/>
      <c r="AA108" s="1545"/>
      <c r="AB108" s="1545"/>
      <c r="AC108" s="1545"/>
      <c r="AD108" s="1545"/>
      <c r="AE108" s="1545"/>
      <c r="AF108" s="1545"/>
      <c r="AG108" s="1545"/>
      <c r="AH108" s="1545"/>
      <c r="AI108" s="1545"/>
      <c r="AJ108" s="1545"/>
      <c r="AK108" s="1545"/>
      <c r="AL108" s="1545"/>
      <c r="AM108" s="1545"/>
      <c r="AN108" s="1545"/>
      <c r="AO108" s="1545"/>
    </row>
    <row r="109" spans="2:45" hidden="1" x14ac:dyDescent="0.35">
      <c r="B109" s="1537">
        <f t="shared" si="2"/>
        <v>104</v>
      </c>
      <c r="C109" s="1537" t="s">
        <v>1821</v>
      </c>
      <c r="D109" s="1530" t="s">
        <v>2003</v>
      </c>
      <c r="F109" s="1537">
        <v>1</v>
      </c>
      <c r="G109" s="1553" t="s">
        <v>2004</v>
      </c>
      <c r="H109" s="1537" t="s">
        <v>2000</v>
      </c>
      <c r="K109" s="1545"/>
      <c r="L109" s="1545"/>
      <c r="M109" s="1545"/>
      <c r="N109" s="1545"/>
      <c r="O109" s="1545"/>
      <c r="P109" s="1545"/>
      <c r="Q109" s="1545"/>
      <c r="R109" s="1545"/>
      <c r="S109" s="1545"/>
      <c r="T109" s="1545"/>
      <c r="U109" s="1545"/>
      <c r="V109" s="1545"/>
      <c r="W109" s="1545"/>
      <c r="X109" s="1545"/>
      <c r="Y109" s="1545"/>
      <c r="Z109" s="1545"/>
      <c r="AA109" s="1545"/>
      <c r="AB109" s="1545"/>
      <c r="AC109" s="1545"/>
      <c r="AD109" s="1545"/>
      <c r="AE109" s="1545"/>
      <c r="AF109" s="1545"/>
      <c r="AG109" s="1545"/>
      <c r="AH109" s="1545"/>
      <c r="AI109" s="1545"/>
      <c r="AJ109" s="1545"/>
      <c r="AK109" s="1545"/>
      <c r="AL109" s="1545"/>
      <c r="AM109" s="1545"/>
      <c r="AN109" s="1545"/>
      <c r="AO109" s="1545"/>
    </row>
    <row r="110" spans="2:45" hidden="1" x14ac:dyDescent="0.35">
      <c r="B110" s="1537">
        <f t="shared" si="2"/>
        <v>105</v>
      </c>
      <c r="C110" s="1537" t="s">
        <v>1821</v>
      </c>
      <c r="D110" s="1530" t="s">
        <v>2005</v>
      </c>
      <c r="F110" s="1537">
        <v>1</v>
      </c>
      <c r="G110" s="1553" t="s">
        <v>1999</v>
      </c>
      <c r="H110" s="1537" t="s">
        <v>2000</v>
      </c>
      <c r="K110" s="1545"/>
      <c r="L110" s="1545"/>
      <c r="M110" s="1545"/>
      <c r="N110" s="1545"/>
      <c r="O110" s="1545"/>
      <c r="P110" s="1545"/>
      <c r="Q110" s="1545"/>
      <c r="R110" s="1545"/>
      <c r="S110" s="1545"/>
      <c r="T110" s="1545"/>
      <c r="U110" s="1545"/>
      <c r="V110" s="1545"/>
      <c r="W110" s="1545"/>
      <c r="X110" s="1545"/>
      <c r="Y110" s="1545"/>
      <c r="Z110" s="1545"/>
      <c r="AA110" s="1545"/>
      <c r="AB110" s="1545"/>
      <c r="AC110" s="1545"/>
      <c r="AD110" s="1545"/>
      <c r="AE110" s="1545"/>
      <c r="AF110" s="1545"/>
      <c r="AG110" s="1545"/>
      <c r="AH110" s="1545"/>
      <c r="AI110" s="1545"/>
      <c r="AJ110" s="1545"/>
      <c r="AK110" s="1545"/>
      <c r="AL110" s="1545"/>
      <c r="AM110" s="1545"/>
      <c r="AN110" s="1545"/>
      <c r="AO110" s="1545"/>
    </row>
    <row r="111" spans="2:45" x14ac:dyDescent="0.35">
      <c r="B111" s="1537">
        <f t="shared" si="2"/>
        <v>106</v>
      </c>
      <c r="C111" s="1537" t="s">
        <v>1627</v>
      </c>
      <c r="D111" s="1537" t="s">
        <v>2198</v>
      </c>
      <c r="E111" s="1537" t="s">
        <v>2199</v>
      </c>
      <c r="F111" s="1537">
        <v>1</v>
      </c>
      <c r="G111" s="1550" t="s">
        <v>2039</v>
      </c>
      <c r="H111" s="1537" t="s">
        <v>1990</v>
      </c>
      <c r="I111" s="1537" t="s">
        <v>1991</v>
      </c>
      <c r="K111" s="1545">
        <v>151</v>
      </c>
      <c r="L111" s="1545">
        <v>12.44</v>
      </c>
      <c r="M111" s="1551">
        <v>0</v>
      </c>
      <c r="N111" s="1551">
        <v>0</v>
      </c>
      <c r="O111" s="1551">
        <v>0</v>
      </c>
      <c r="P111" s="1551">
        <v>0</v>
      </c>
      <c r="Q111" s="1551">
        <v>0</v>
      </c>
      <c r="R111" s="1551">
        <v>0</v>
      </c>
      <c r="S111" s="1551">
        <v>0</v>
      </c>
      <c r="T111" s="1551">
        <v>0</v>
      </c>
      <c r="U111" s="1551">
        <v>0</v>
      </c>
      <c r="V111" s="1551">
        <v>0</v>
      </c>
      <c r="W111" s="1551">
        <v>16</v>
      </c>
      <c r="X111" s="1551">
        <v>37</v>
      </c>
      <c r="Y111" s="1551">
        <v>49</v>
      </c>
      <c r="Z111" s="1551">
        <v>49</v>
      </c>
      <c r="AA111" s="1551"/>
      <c r="AB111" s="1551"/>
      <c r="AC111" s="1551"/>
      <c r="AD111" s="1551"/>
      <c r="AE111" s="1551">
        <v>2</v>
      </c>
      <c r="AF111" s="1551">
        <v>1</v>
      </c>
      <c r="AG111" s="1551">
        <v>1</v>
      </c>
      <c r="AH111" s="1551">
        <v>36</v>
      </c>
      <c r="AI111" s="1551">
        <v>0</v>
      </c>
      <c r="AJ111" s="1551">
        <v>103</v>
      </c>
      <c r="AK111" s="1551">
        <v>8</v>
      </c>
      <c r="AL111" s="1551">
        <v>60</v>
      </c>
      <c r="AM111" s="1551">
        <v>91</v>
      </c>
      <c r="AN111" s="1551" t="s">
        <v>890</v>
      </c>
      <c r="AO111" s="1551" t="s">
        <v>890</v>
      </c>
      <c r="AP111" s="1537" t="s">
        <v>2200</v>
      </c>
      <c r="AQ111" s="1537" t="s">
        <v>890</v>
      </c>
      <c r="AS111" s="1552" t="s">
        <v>2201</v>
      </c>
    </row>
    <row r="112" spans="2:45" x14ac:dyDescent="0.35">
      <c r="B112" s="1537">
        <f t="shared" si="2"/>
        <v>107</v>
      </c>
      <c r="C112" s="1537" t="s">
        <v>1627</v>
      </c>
      <c r="D112" s="1537" t="s">
        <v>2202</v>
      </c>
      <c r="E112" s="1537" t="s">
        <v>2203</v>
      </c>
      <c r="F112" s="1537">
        <v>1</v>
      </c>
      <c r="G112" s="1539" t="s">
        <v>1989</v>
      </c>
      <c r="H112" s="1537" t="s">
        <v>1990</v>
      </c>
      <c r="I112" s="1537" t="s">
        <v>1991</v>
      </c>
      <c r="K112" s="1545">
        <v>1493</v>
      </c>
      <c r="L112" s="1545">
        <v>73.88</v>
      </c>
      <c r="M112" s="1551">
        <v>0</v>
      </c>
      <c r="N112" s="1551">
        <v>74</v>
      </c>
      <c r="O112" s="1551">
        <v>75</v>
      </c>
      <c r="P112" s="1551">
        <v>76</v>
      </c>
      <c r="Q112" s="1551">
        <v>69</v>
      </c>
      <c r="R112" s="1551">
        <v>91</v>
      </c>
      <c r="S112" s="1551">
        <v>94</v>
      </c>
      <c r="T112" s="1551">
        <v>103</v>
      </c>
      <c r="U112" s="1551">
        <v>158</v>
      </c>
      <c r="V112" s="1551">
        <v>197</v>
      </c>
      <c r="W112" s="1551">
        <v>176</v>
      </c>
      <c r="X112" s="1551">
        <v>141</v>
      </c>
      <c r="Y112" s="1551">
        <v>113</v>
      </c>
      <c r="Z112" s="1551">
        <v>126</v>
      </c>
      <c r="AA112" s="1551"/>
      <c r="AB112" s="1551"/>
      <c r="AC112" s="1551"/>
      <c r="AD112" s="1551"/>
      <c r="AE112" s="1551">
        <v>16</v>
      </c>
      <c r="AF112" s="1551">
        <v>20</v>
      </c>
      <c r="AG112" s="1551">
        <v>7</v>
      </c>
      <c r="AH112" s="1551">
        <v>216</v>
      </c>
      <c r="AI112" s="1551">
        <v>2</v>
      </c>
      <c r="AJ112" s="1551">
        <v>1145</v>
      </c>
      <c r="AK112" s="1551">
        <v>87</v>
      </c>
      <c r="AL112" s="1551">
        <v>701</v>
      </c>
      <c r="AM112" s="1551">
        <v>792</v>
      </c>
      <c r="AN112" s="1551" t="s">
        <v>890</v>
      </c>
      <c r="AO112" s="1551" t="s">
        <v>890</v>
      </c>
      <c r="AP112" s="1537" t="s">
        <v>2204</v>
      </c>
      <c r="AQ112" s="1537" t="s">
        <v>890</v>
      </c>
      <c r="AS112" s="1552" t="s">
        <v>2205</v>
      </c>
    </row>
    <row r="113" spans="2:45" hidden="1" x14ac:dyDescent="0.35">
      <c r="B113" s="1537">
        <f t="shared" si="2"/>
        <v>108</v>
      </c>
      <c r="C113" s="1537" t="s">
        <v>1627</v>
      </c>
      <c r="D113" s="1530" t="s">
        <v>1998</v>
      </c>
      <c r="F113" s="1537">
        <v>1</v>
      </c>
      <c r="G113" s="1537" t="s">
        <v>1989</v>
      </c>
      <c r="H113" s="1537" t="s">
        <v>2000</v>
      </c>
      <c r="K113" s="1545"/>
      <c r="L113" s="1545"/>
      <c r="M113" s="1545"/>
      <c r="N113" s="1545"/>
      <c r="O113" s="1545"/>
      <c r="P113" s="1545"/>
      <c r="Q113" s="1545"/>
      <c r="R113" s="1545"/>
      <c r="S113" s="1545"/>
      <c r="T113" s="1545"/>
      <c r="U113" s="1545"/>
      <c r="V113" s="1545"/>
      <c r="W113" s="1545"/>
      <c r="X113" s="1545"/>
      <c r="Y113" s="1545"/>
      <c r="Z113" s="1545"/>
      <c r="AA113" s="1545"/>
      <c r="AB113" s="1545"/>
      <c r="AC113" s="1545"/>
      <c r="AD113" s="1545"/>
      <c r="AE113" s="1545"/>
      <c r="AF113" s="1545"/>
      <c r="AG113" s="1545"/>
      <c r="AH113" s="1545"/>
      <c r="AI113" s="1545"/>
      <c r="AJ113" s="1545"/>
      <c r="AK113" s="1545"/>
      <c r="AL113" s="1545"/>
      <c r="AM113" s="1545"/>
      <c r="AN113" s="1545"/>
      <c r="AO113" s="1545"/>
    </row>
    <row r="114" spans="2:45" hidden="1" x14ac:dyDescent="0.35">
      <c r="B114" s="1537">
        <f t="shared" si="2"/>
        <v>109</v>
      </c>
      <c r="C114" s="1537" t="s">
        <v>1627</v>
      </c>
      <c r="D114" s="1530" t="s">
        <v>2001</v>
      </c>
      <c r="F114" s="1537">
        <v>1</v>
      </c>
      <c r="G114" s="1537" t="s">
        <v>1989</v>
      </c>
      <c r="H114" s="1537" t="s">
        <v>2000</v>
      </c>
      <c r="K114" s="1545"/>
      <c r="L114" s="1545"/>
      <c r="M114" s="1545"/>
      <c r="N114" s="1545"/>
      <c r="O114" s="1545"/>
      <c r="P114" s="1545"/>
      <c r="Q114" s="1545"/>
      <c r="R114" s="1545"/>
      <c r="S114" s="1545"/>
      <c r="T114" s="1545"/>
      <c r="U114" s="1545"/>
      <c r="V114" s="1545"/>
      <c r="W114" s="1545"/>
      <c r="X114" s="1545"/>
      <c r="Y114" s="1545"/>
      <c r="Z114" s="1545"/>
      <c r="AA114" s="1545"/>
      <c r="AB114" s="1545"/>
      <c r="AC114" s="1545"/>
      <c r="AD114" s="1545"/>
      <c r="AE114" s="1545"/>
      <c r="AF114" s="1545"/>
      <c r="AG114" s="1545"/>
      <c r="AH114" s="1545"/>
      <c r="AI114" s="1545"/>
      <c r="AJ114" s="1545"/>
      <c r="AK114" s="1545"/>
      <c r="AL114" s="1545"/>
      <c r="AM114" s="1545"/>
      <c r="AN114" s="1545"/>
      <c r="AO114" s="1545"/>
    </row>
    <row r="115" spans="2:45" hidden="1" x14ac:dyDescent="0.35">
      <c r="B115" s="1537">
        <f t="shared" si="2"/>
        <v>110</v>
      </c>
      <c r="C115" s="1537" t="s">
        <v>1627</v>
      </c>
      <c r="D115" s="1530" t="s">
        <v>2002</v>
      </c>
      <c r="F115" s="1537">
        <v>1</v>
      </c>
      <c r="G115" s="1537" t="s">
        <v>1989</v>
      </c>
      <c r="H115" s="1537" t="s">
        <v>2000</v>
      </c>
      <c r="K115" s="1545"/>
      <c r="L115" s="1545"/>
      <c r="M115" s="1545"/>
      <c r="N115" s="1545"/>
      <c r="O115" s="1545"/>
      <c r="P115" s="1545"/>
      <c r="Q115" s="1545"/>
      <c r="R115" s="1545"/>
      <c r="S115" s="1545"/>
      <c r="T115" s="1545"/>
      <c r="U115" s="1545"/>
      <c r="V115" s="1545"/>
      <c r="W115" s="1545"/>
      <c r="X115" s="1545"/>
      <c r="Y115" s="1545"/>
      <c r="Z115" s="1545"/>
      <c r="AA115" s="1545"/>
      <c r="AB115" s="1545"/>
      <c r="AC115" s="1545"/>
      <c r="AD115" s="1545"/>
      <c r="AE115" s="1545"/>
      <c r="AF115" s="1545"/>
      <c r="AG115" s="1545"/>
      <c r="AH115" s="1545"/>
      <c r="AI115" s="1545"/>
      <c r="AJ115" s="1545"/>
      <c r="AK115" s="1545"/>
      <c r="AL115" s="1545"/>
      <c r="AM115" s="1545"/>
      <c r="AN115" s="1545"/>
      <c r="AO115" s="1545"/>
    </row>
    <row r="116" spans="2:45" hidden="1" x14ac:dyDescent="0.35">
      <c r="B116" s="1537">
        <f t="shared" si="2"/>
        <v>111</v>
      </c>
      <c r="C116" s="1537" t="s">
        <v>1627</v>
      </c>
      <c r="D116" s="1530" t="s">
        <v>2003</v>
      </c>
      <c r="F116" s="1537">
        <v>1</v>
      </c>
      <c r="G116" s="1553" t="s">
        <v>2004</v>
      </c>
      <c r="H116" s="1537" t="s">
        <v>2000</v>
      </c>
      <c r="K116" s="1545"/>
      <c r="L116" s="1545"/>
      <c r="M116" s="1545"/>
      <c r="N116" s="1545"/>
      <c r="O116" s="1545"/>
      <c r="P116" s="1545"/>
      <c r="Q116" s="1545"/>
      <c r="R116" s="1545"/>
      <c r="S116" s="1545"/>
      <c r="T116" s="1545"/>
      <c r="U116" s="1545"/>
      <c r="V116" s="1545"/>
      <c r="W116" s="1545"/>
      <c r="X116" s="1545"/>
      <c r="Y116" s="1545"/>
      <c r="Z116" s="1545"/>
      <c r="AA116" s="1545"/>
      <c r="AB116" s="1545"/>
      <c r="AC116" s="1545"/>
      <c r="AD116" s="1545"/>
      <c r="AE116" s="1545"/>
      <c r="AF116" s="1545"/>
      <c r="AG116" s="1545"/>
      <c r="AH116" s="1545"/>
      <c r="AI116" s="1545"/>
      <c r="AJ116" s="1545"/>
      <c r="AK116" s="1545"/>
      <c r="AL116" s="1545"/>
      <c r="AM116" s="1545"/>
      <c r="AN116" s="1545"/>
      <c r="AO116" s="1545"/>
    </row>
    <row r="117" spans="2:45" hidden="1" x14ac:dyDescent="0.35">
      <c r="B117" s="1537">
        <f t="shared" si="2"/>
        <v>112</v>
      </c>
      <c r="C117" s="1537" t="s">
        <v>1627</v>
      </c>
      <c r="D117" s="1530" t="s">
        <v>2005</v>
      </c>
      <c r="F117" s="1537">
        <v>1</v>
      </c>
      <c r="G117" s="1537" t="s">
        <v>1999</v>
      </c>
      <c r="H117" s="1537" t="s">
        <v>2000</v>
      </c>
      <c r="K117" s="1545"/>
      <c r="L117" s="1545"/>
      <c r="M117" s="1545"/>
      <c r="N117" s="1545"/>
      <c r="O117" s="1545"/>
      <c r="P117" s="1545"/>
      <c r="Q117" s="1545"/>
      <c r="R117" s="1545"/>
      <c r="S117" s="1545"/>
      <c r="T117" s="1545"/>
      <c r="U117" s="1545"/>
      <c r="V117" s="1545"/>
      <c r="W117" s="1545"/>
      <c r="X117" s="1545"/>
      <c r="Y117" s="1545"/>
      <c r="Z117" s="1545"/>
      <c r="AA117" s="1545"/>
      <c r="AB117" s="1545"/>
      <c r="AC117" s="1545"/>
      <c r="AD117" s="1545"/>
      <c r="AE117" s="1545"/>
      <c r="AF117" s="1545"/>
      <c r="AG117" s="1545"/>
      <c r="AH117" s="1545"/>
      <c r="AI117" s="1545"/>
      <c r="AJ117" s="1545"/>
      <c r="AK117" s="1545"/>
      <c r="AL117" s="1545"/>
      <c r="AM117" s="1545"/>
      <c r="AN117" s="1545"/>
      <c r="AO117" s="1545"/>
    </row>
    <row r="118" spans="2:45" hidden="1" x14ac:dyDescent="0.35">
      <c r="B118" s="1537">
        <f t="shared" si="2"/>
        <v>113</v>
      </c>
      <c r="C118" s="1537" t="s">
        <v>2206</v>
      </c>
      <c r="D118" s="1530" t="s">
        <v>1998</v>
      </c>
      <c r="F118" s="1537">
        <v>1</v>
      </c>
      <c r="G118" s="1537" t="s">
        <v>1989</v>
      </c>
      <c r="H118" s="1537" t="s">
        <v>2000</v>
      </c>
      <c r="K118" s="1545"/>
      <c r="L118" s="1545"/>
      <c r="M118" s="1545"/>
      <c r="N118" s="1545"/>
      <c r="O118" s="1545"/>
      <c r="P118" s="1545"/>
      <c r="Q118" s="1545"/>
      <c r="R118" s="1545"/>
      <c r="S118" s="1545"/>
      <c r="T118" s="1545"/>
      <c r="U118" s="1545"/>
      <c r="V118" s="1545"/>
      <c r="W118" s="1545"/>
      <c r="X118" s="1545"/>
      <c r="Y118" s="1545"/>
      <c r="Z118" s="1545"/>
      <c r="AA118" s="1545"/>
      <c r="AB118" s="1545"/>
      <c r="AC118" s="1545"/>
      <c r="AD118" s="1545"/>
      <c r="AE118" s="1545"/>
      <c r="AF118" s="1545"/>
      <c r="AG118" s="1545"/>
      <c r="AH118" s="1545"/>
      <c r="AI118" s="1545"/>
      <c r="AJ118" s="1545"/>
      <c r="AK118" s="1545"/>
      <c r="AL118" s="1545"/>
      <c r="AM118" s="1545"/>
      <c r="AN118" s="1545"/>
      <c r="AO118" s="1545"/>
    </row>
    <row r="119" spans="2:45" hidden="1" x14ac:dyDescent="0.35">
      <c r="B119" s="1537">
        <f t="shared" si="2"/>
        <v>114</v>
      </c>
      <c r="C119" s="1537" t="s">
        <v>2206</v>
      </c>
      <c r="D119" s="1530" t="s">
        <v>2001</v>
      </c>
      <c r="F119" s="1537">
        <v>1</v>
      </c>
      <c r="G119" s="1537" t="s">
        <v>1989</v>
      </c>
      <c r="H119" s="1537" t="s">
        <v>2000</v>
      </c>
      <c r="K119" s="1545"/>
      <c r="L119" s="1545"/>
      <c r="M119" s="1545"/>
      <c r="N119" s="1545"/>
      <c r="O119" s="1545"/>
      <c r="P119" s="1545"/>
      <c r="Q119" s="1545"/>
      <c r="R119" s="1545"/>
      <c r="S119" s="1545"/>
      <c r="T119" s="1545"/>
      <c r="U119" s="1545"/>
      <c r="V119" s="1545"/>
      <c r="W119" s="1545"/>
      <c r="X119" s="1545"/>
      <c r="Y119" s="1545"/>
      <c r="Z119" s="1545"/>
      <c r="AA119" s="1545"/>
      <c r="AB119" s="1545"/>
      <c r="AC119" s="1545"/>
      <c r="AD119" s="1545"/>
      <c r="AE119" s="1545"/>
      <c r="AF119" s="1545"/>
      <c r="AG119" s="1545"/>
      <c r="AH119" s="1545"/>
      <c r="AI119" s="1545"/>
      <c r="AJ119" s="1545"/>
      <c r="AK119" s="1545"/>
      <c r="AL119" s="1545"/>
      <c r="AM119" s="1545"/>
      <c r="AN119" s="1545"/>
      <c r="AO119" s="1545"/>
    </row>
    <row r="120" spans="2:45" hidden="1" x14ac:dyDescent="0.35">
      <c r="B120" s="1537">
        <f t="shared" si="2"/>
        <v>115</v>
      </c>
      <c r="C120" s="1537" t="s">
        <v>2206</v>
      </c>
      <c r="D120" s="1530" t="s">
        <v>2002</v>
      </c>
      <c r="F120" s="1537">
        <v>1</v>
      </c>
      <c r="G120" s="1537" t="s">
        <v>1989</v>
      </c>
      <c r="H120" s="1537" t="s">
        <v>2000</v>
      </c>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row>
    <row r="121" spans="2:45" hidden="1" x14ac:dyDescent="0.35">
      <c r="B121" s="1537">
        <f t="shared" si="2"/>
        <v>116</v>
      </c>
      <c r="C121" s="1537" t="s">
        <v>2206</v>
      </c>
      <c r="D121" s="1530" t="s">
        <v>2003</v>
      </c>
      <c r="F121" s="1537">
        <v>1</v>
      </c>
      <c r="G121" s="1553" t="s">
        <v>2004</v>
      </c>
      <c r="H121" s="1537" t="s">
        <v>2000</v>
      </c>
      <c r="K121" s="1545"/>
      <c r="L121" s="1545"/>
      <c r="M121" s="1545"/>
      <c r="N121" s="1545"/>
      <c r="O121" s="1545"/>
      <c r="P121" s="1545"/>
      <c r="Q121" s="1545"/>
      <c r="R121" s="1545"/>
      <c r="S121" s="1545"/>
      <c r="T121" s="1545"/>
      <c r="U121" s="1545"/>
      <c r="V121" s="1545"/>
      <c r="W121" s="1545"/>
      <c r="X121" s="1545"/>
      <c r="Y121" s="1545"/>
      <c r="Z121" s="1545"/>
      <c r="AA121" s="1545"/>
      <c r="AB121" s="1545"/>
      <c r="AC121" s="1545"/>
      <c r="AD121" s="1545"/>
      <c r="AE121" s="1545"/>
      <c r="AF121" s="1545"/>
      <c r="AG121" s="1545"/>
      <c r="AH121" s="1545"/>
      <c r="AI121" s="1545"/>
      <c r="AJ121" s="1545"/>
      <c r="AK121" s="1545"/>
      <c r="AL121" s="1545"/>
      <c r="AM121" s="1545"/>
      <c r="AN121" s="1545"/>
      <c r="AO121" s="1545"/>
    </row>
    <row r="122" spans="2:45" hidden="1" x14ac:dyDescent="0.35">
      <c r="B122" s="1537">
        <f t="shared" si="2"/>
        <v>117</v>
      </c>
      <c r="C122" s="1537" t="s">
        <v>2206</v>
      </c>
      <c r="D122" s="1530" t="s">
        <v>2005</v>
      </c>
      <c r="F122" s="1537">
        <v>1</v>
      </c>
      <c r="G122" s="1537" t="s">
        <v>1999</v>
      </c>
      <c r="H122" s="1537" t="s">
        <v>2000</v>
      </c>
      <c r="K122" s="1545"/>
      <c r="L122" s="1545"/>
      <c r="M122" s="1545"/>
      <c r="N122" s="1545"/>
      <c r="O122" s="1545"/>
      <c r="P122" s="1545"/>
      <c r="Q122" s="1545"/>
      <c r="R122" s="1545"/>
      <c r="S122" s="1545"/>
      <c r="T122" s="1545"/>
      <c r="U122" s="1545"/>
      <c r="V122" s="1545"/>
      <c r="W122" s="1545"/>
      <c r="X122" s="1545"/>
      <c r="Y122" s="1545"/>
      <c r="Z122" s="1545"/>
      <c r="AA122" s="1545"/>
      <c r="AB122" s="1545"/>
      <c r="AC122" s="1545"/>
      <c r="AD122" s="1545"/>
      <c r="AE122" s="1545"/>
      <c r="AF122" s="1545"/>
      <c r="AG122" s="1545"/>
      <c r="AH122" s="1545"/>
      <c r="AI122" s="1545"/>
      <c r="AJ122" s="1545"/>
      <c r="AK122" s="1545"/>
      <c r="AL122" s="1545"/>
      <c r="AM122" s="1545"/>
      <c r="AN122" s="1545"/>
      <c r="AO122" s="1545"/>
    </row>
    <row r="123" spans="2:45" x14ac:dyDescent="0.35">
      <c r="B123" s="1537">
        <f t="shared" si="2"/>
        <v>118</v>
      </c>
      <c r="C123" s="1537" t="s">
        <v>1628</v>
      </c>
      <c r="D123" s="1537" t="s">
        <v>2207</v>
      </c>
      <c r="E123" s="1537" t="s">
        <v>2208</v>
      </c>
      <c r="F123" s="1537">
        <v>1</v>
      </c>
      <c r="G123" s="1550" t="s">
        <v>2209</v>
      </c>
      <c r="H123" s="1537" t="s">
        <v>1990</v>
      </c>
      <c r="I123" s="1537" t="s">
        <v>1991</v>
      </c>
      <c r="J123" s="1540"/>
      <c r="K123" s="1545">
        <v>2120</v>
      </c>
      <c r="L123" s="1545">
        <v>88.5</v>
      </c>
      <c r="M123" s="1551">
        <v>0</v>
      </c>
      <c r="N123" s="1551">
        <v>260</v>
      </c>
      <c r="O123" s="1551">
        <v>278</v>
      </c>
      <c r="P123" s="1551">
        <v>259</v>
      </c>
      <c r="Q123" s="1551">
        <v>265</v>
      </c>
      <c r="R123" s="1551">
        <v>326</v>
      </c>
      <c r="S123" s="1551">
        <v>320</v>
      </c>
      <c r="T123" s="1551">
        <v>412</v>
      </c>
      <c r="U123" s="1551">
        <v>0</v>
      </c>
      <c r="V123" s="1551">
        <v>0</v>
      </c>
      <c r="W123" s="1551">
        <v>0</v>
      </c>
      <c r="X123" s="1551">
        <v>0</v>
      </c>
      <c r="Y123" s="1551">
        <v>0</v>
      </c>
      <c r="Z123" s="1551">
        <v>0</v>
      </c>
      <c r="AA123" s="1551"/>
      <c r="AB123" s="1551"/>
      <c r="AC123" s="1551"/>
      <c r="AD123" s="1551"/>
      <c r="AE123" s="1551">
        <v>24</v>
      </c>
      <c r="AF123" s="1551">
        <v>21</v>
      </c>
      <c r="AG123" s="1551">
        <v>497</v>
      </c>
      <c r="AH123" s="1551">
        <v>196</v>
      </c>
      <c r="AI123" s="1551">
        <v>2</v>
      </c>
      <c r="AJ123" s="1551">
        <v>1256</v>
      </c>
      <c r="AK123" s="1551">
        <v>124</v>
      </c>
      <c r="AL123" s="1551">
        <v>1109</v>
      </c>
      <c r="AM123" s="1551">
        <v>1011</v>
      </c>
      <c r="AN123" s="1551">
        <v>593</v>
      </c>
      <c r="AO123" s="1551">
        <v>37</v>
      </c>
      <c r="AP123" s="1537" t="s">
        <v>2210</v>
      </c>
      <c r="AQ123" s="1537" t="s">
        <v>890</v>
      </c>
      <c r="AS123" s="1552" t="s">
        <v>2211</v>
      </c>
    </row>
    <row r="124" spans="2:45" x14ac:dyDescent="0.35">
      <c r="B124" s="1537">
        <f t="shared" si="2"/>
        <v>119</v>
      </c>
      <c r="C124" s="1537" t="s">
        <v>1628</v>
      </c>
      <c r="D124" s="1537" t="s">
        <v>2212</v>
      </c>
      <c r="E124" s="1537" t="s">
        <v>2213</v>
      </c>
      <c r="G124" s="1550" t="s">
        <v>2013</v>
      </c>
      <c r="H124" s="1537" t="s">
        <v>1990</v>
      </c>
      <c r="I124" s="1537" t="s">
        <v>1991</v>
      </c>
      <c r="K124" s="1545">
        <v>3832</v>
      </c>
      <c r="L124" s="1545">
        <v>107.5</v>
      </c>
      <c r="M124" s="1551">
        <v>0</v>
      </c>
      <c r="N124" s="1551">
        <v>0</v>
      </c>
      <c r="O124" s="1551">
        <v>0</v>
      </c>
      <c r="P124" s="1551">
        <v>0</v>
      </c>
      <c r="Q124" s="1551">
        <v>0</v>
      </c>
      <c r="R124" s="1551">
        <v>0</v>
      </c>
      <c r="S124" s="1551">
        <v>0</v>
      </c>
      <c r="T124" s="1551">
        <v>0</v>
      </c>
      <c r="U124" s="1551">
        <v>625</v>
      </c>
      <c r="V124" s="1551">
        <v>789</v>
      </c>
      <c r="W124" s="1551">
        <v>765</v>
      </c>
      <c r="X124" s="1551">
        <v>861</v>
      </c>
      <c r="Y124" s="1551">
        <v>496</v>
      </c>
      <c r="Z124" s="1551">
        <v>296</v>
      </c>
      <c r="AA124" s="1551"/>
      <c r="AB124" s="1551"/>
      <c r="AC124" s="1551"/>
      <c r="AD124" s="1551"/>
      <c r="AE124" s="1551">
        <v>7</v>
      </c>
      <c r="AF124" s="1551">
        <v>26</v>
      </c>
      <c r="AG124" s="1551">
        <v>508</v>
      </c>
      <c r="AH124" s="1551">
        <v>400</v>
      </c>
      <c r="AI124" s="1551">
        <v>1</v>
      </c>
      <c r="AJ124" s="1551">
        <v>2623</v>
      </c>
      <c r="AK124" s="1551">
        <v>267</v>
      </c>
      <c r="AL124" s="1551">
        <v>1714</v>
      </c>
      <c r="AM124" s="1551">
        <v>2118</v>
      </c>
      <c r="AN124" s="1551">
        <v>964</v>
      </c>
      <c r="AO124" s="1551">
        <v>66</v>
      </c>
      <c r="AP124" s="1537" t="s">
        <v>2210</v>
      </c>
      <c r="AQ124" s="1537" t="s">
        <v>890</v>
      </c>
      <c r="AS124" s="1552" t="s">
        <v>2214</v>
      </c>
    </row>
    <row r="125" spans="2:45" x14ac:dyDescent="0.35">
      <c r="B125" s="1537">
        <f t="shared" si="2"/>
        <v>120</v>
      </c>
      <c r="C125" s="1537" t="s">
        <v>1628</v>
      </c>
      <c r="D125" s="1537" t="s">
        <v>1919</v>
      </c>
      <c r="E125" s="1537" t="s">
        <v>2215</v>
      </c>
      <c r="F125" s="1537">
        <v>1</v>
      </c>
      <c r="G125" s="1550" t="s">
        <v>2013</v>
      </c>
      <c r="H125" s="1537" t="s">
        <v>1990</v>
      </c>
      <c r="I125" s="1537" t="s">
        <v>1991</v>
      </c>
      <c r="K125" s="1545">
        <v>740</v>
      </c>
      <c r="L125" s="1545">
        <v>26</v>
      </c>
      <c r="M125" s="1551">
        <v>0</v>
      </c>
      <c r="N125" s="1551">
        <v>0</v>
      </c>
      <c r="O125" s="1551">
        <v>0</v>
      </c>
      <c r="P125" s="1551">
        <v>0</v>
      </c>
      <c r="Q125" s="1551">
        <v>0</v>
      </c>
      <c r="R125" s="1551">
        <v>0</v>
      </c>
      <c r="S125" s="1551">
        <v>0</v>
      </c>
      <c r="T125" s="1551">
        <v>0</v>
      </c>
      <c r="U125" s="1551">
        <v>24</v>
      </c>
      <c r="V125" s="1551">
        <v>60</v>
      </c>
      <c r="W125" s="1551">
        <v>92</v>
      </c>
      <c r="X125" s="1551">
        <v>132</v>
      </c>
      <c r="Y125" s="1551">
        <v>190</v>
      </c>
      <c r="Z125" s="1551">
        <v>242</v>
      </c>
      <c r="AA125" s="1551"/>
      <c r="AB125" s="1551"/>
      <c r="AC125" s="1551"/>
      <c r="AD125" s="1551"/>
      <c r="AE125" s="1551">
        <v>0</v>
      </c>
      <c r="AF125" s="1551">
        <v>5</v>
      </c>
      <c r="AG125" s="1551">
        <v>111</v>
      </c>
      <c r="AH125" s="1551">
        <v>86</v>
      </c>
      <c r="AI125" s="1551">
        <v>0</v>
      </c>
      <c r="AJ125" s="1551">
        <v>491</v>
      </c>
      <c r="AK125" s="1551">
        <v>47</v>
      </c>
      <c r="AL125" s="1551">
        <v>314</v>
      </c>
      <c r="AM125" s="1551">
        <v>426</v>
      </c>
      <c r="AN125" s="1551">
        <v>295</v>
      </c>
      <c r="AO125" s="1551"/>
      <c r="AP125" s="1537">
        <v>55</v>
      </c>
      <c r="AQ125" s="1537" t="s">
        <v>890</v>
      </c>
      <c r="AS125" s="1552" t="s">
        <v>2216</v>
      </c>
    </row>
    <row r="126" spans="2:45" x14ac:dyDescent="0.35">
      <c r="B126" s="1537">
        <f t="shared" si="2"/>
        <v>121</v>
      </c>
      <c r="C126" s="1537" t="s">
        <v>1628</v>
      </c>
      <c r="D126" s="1537" t="s">
        <v>1922</v>
      </c>
      <c r="E126" s="1537" t="s">
        <v>1922</v>
      </c>
      <c r="F126" s="1537">
        <v>1</v>
      </c>
      <c r="G126" s="1539" t="s">
        <v>1989</v>
      </c>
      <c r="H126" s="1537" t="s">
        <v>1990</v>
      </c>
      <c r="I126" s="1537" t="s">
        <v>1991</v>
      </c>
      <c r="K126" s="1545">
        <v>2617</v>
      </c>
      <c r="L126" s="1545">
        <v>85</v>
      </c>
      <c r="M126" s="1551">
        <v>0</v>
      </c>
      <c r="N126" s="1551">
        <v>96</v>
      </c>
      <c r="O126" s="1551">
        <v>103</v>
      </c>
      <c r="P126" s="1551">
        <v>94</v>
      </c>
      <c r="Q126" s="1551">
        <v>100</v>
      </c>
      <c r="R126" s="1551">
        <v>103</v>
      </c>
      <c r="S126" s="1551">
        <v>134</v>
      </c>
      <c r="T126" s="1551">
        <v>145</v>
      </c>
      <c r="U126" s="1551">
        <v>191</v>
      </c>
      <c r="V126" s="1551">
        <v>244</v>
      </c>
      <c r="W126" s="1551">
        <v>231</v>
      </c>
      <c r="X126" s="1551">
        <v>326</v>
      </c>
      <c r="Y126" s="1551">
        <v>477</v>
      </c>
      <c r="Z126" s="1551">
        <v>373</v>
      </c>
      <c r="AA126" s="1551"/>
      <c r="AB126" s="1551"/>
      <c r="AC126" s="1551"/>
      <c r="AD126" s="1551"/>
      <c r="AE126" s="1551">
        <v>7</v>
      </c>
      <c r="AF126" s="1551">
        <v>20</v>
      </c>
      <c r="AG126" s="1551">
        <v>440</v>
      </c>
      <c r="AH126" s="1551">
        <v>267</v>
      </c>
      <c r="AI126" s="1551">
        <v>0</v>
      </c>
      <c r="AJ126" s="1551">
        <v>1715</v>
      </c>
      <c r="AK126" s="1551">
        <v>168</v>
      </c>
      <c r="AL126" s="1551">
        <v>1149</v>
      </c>
      <c r="AM126" s="1551">
        <v>1468</v>
      </c>
      <c r="AN126" s="1551">
        <v>1559</v>
      </c>
      <c r="AO126" s="1551">
        <v>281</v>
      </c>
      <c r="AP126" s="1537" t="s">
        <v>2217</v>
      </c>
      <c r="AQ126" s="1537" t="s">
        <v>890</v>
      </c>
      <c r="AS126" s="1552" t="s">
        <v>2218</v>
      </c>
    </row>
    <row r="127" spans="2:45" x14ac:dyDescent="0.35">
      <c r="B127" s="1537">
        <f t="shared" si="2"/>
        <v>122</v>
      </c>
      <c r="C127" s="1537" t="s">
        <v>1628</v>
      </c>
      <c r="D127" s="1537" t="s">
        <v>1923</v>
      </c>
      <c r="E127" s="1537" t="s">
        <v>1923</v>
      </c>
      <c r="F127" s="1537">
        <v>1</v>
      </c>
      <c r="G127" s="1550" t="s">
        <v>2039</v>
      </c>
      <c r="H127" s="1537" t="s">
        <v>1990</v>
      </c>
      <c r="I127" s="1537" t="s">
        <v>1991</v>
      </c>
      <c r="J127" s="1540"/>
      <c r="K127" s="1545">
        <v>1022</v>
      </c>
      <c r="L127" s="1545">
        <v>54.33</v>
      </c>
      <c r="M127" s="1551">
        <v>0</v>
      </c>
      <c r="N127" s="1551">
        <v>0</v>
      </c>
      <c r="O127" s="1551">
        <v>0</v>
      </c>
      <c r="P127" s="1551">
        <v>0</v>
      </c>
      <c r="Q127" s="1551">
        <v>0</v>
      </c>
      <c r="R127" s="1551">
        <v>0</v>
      </c>
      <c r="S127" s="1551">
        <v>0</v>
      </c>
      <c r="T127" s="1551">
        <v>0</v>
      </c>
      <c r="U127" s="1551">
        <v>0</v>
      </c>
      <c r="V127" s="1551">
        <v>0</v>
      </c>
      <c r="W127" s="1551">
        <v>77</v>
      </c>
      <c r="X127" s="1551">
        <v>198</v>
      </c>
      <c r="Y127" s="1551">
        <v>336</v>
      </c>
      <c r="Z127" s="1551">
        <v>411</v>
      </c>
      <c r="AA127" s="1551"/>
      <c r="AB127" s="1551"/>
      <c r="AC127" s="1551"/>
      <c r="AD127" s="1551"/>
      <c r="AE127" s="1551">
        <v>5</v>
      </c>
      <c r="AF127" s="1551">
        <v>10</v>
      </c>
      <c r="AG127" s="1551">
        <v>109</v>
      </c>
      <c r="AH127" s="1551">
        <v>117</v>
      </c>
      <c r="AI127" s="1551">
        <v>1</v>
      </c>
      <c r="AJ127" s="1551">
        <v>722</v>
      </c>
      <c r="AK127" s="1551">
        <v>58</v>
      </c>
      <c r="AL127" s="1551">
        <v>443</v>
      </c>
      <c r="AM127" s="1551">
        <v>579</v>
      </c>
      <c r="AN127" s="1551">
        <v>610</v>
      </c>
      <c r="AO127" s="1551">
        <v>69</v>
      </c>
      <c r="AP127" s="1537" t="s">
        <v>2210</v>
      </c>
      <c r="AQ127" s="1537" t="s">
        <v>890</v>
      </c>
      <c r="AS127" s="1552" t="s">
        <v>2219</v>
      </c>
    </row>
    <row r="128" spans="2:45" x14ac:dyDescent="0.35">
      <c r="B128" s="1537">
        <f t="shared" si="2"/>
        <v>123</v>
      </c>
      <c r="C128" s="1537" t="s">
        <v>1628</v>
      </c>
      <c r="D128" s="1537" t="s">
        <v>1924</v>
      </c>
      <c r="E128" s="1537" t="s">
        <v>1924</v>
      </c>
      <c r="G128" s="1550" t="s">
        <v>2039</v>
      </c>
      <c r="H128" s="1537" t="s">
        <v>1990</v>
      </c>
      <c r="I128" s="1537" t="s">
        <v>1991</v>
      </c>
      <c r="K128" s="1545">
        <v>333</v>
      </c>
      <c r="L128" s="1545">
        <v>23</v>
      </c>
      <c r="M128" s="1551">
        <v>0</v>
      </c>
      <c r="N128" s="1551">
        <v>0</v>
      </c>
      <c r="O128" s="1551">
        <v>0</v>
      </c>
      <c r="P128" s="1551">
        <v>0</v>
      </c>
      <c r="Q128" s="1551">
        <v>0</v>
      </c>
      <c r="R128" s="1551">
        <v>0</v>
      </c>
      <c r="S128" s="1551">
        <v>0</v>
      </c>
      <c r="T128" s="1551">
        <v>0</v>
      </c>
      <c r="U128" s="1551">
        <v>0</v>
      </c>
      <c r="V128" s="1551">
        <v>0</v>
      </c>
      <c r="W128" s="1551">
        <v>0</v>
      </c>
      <c r="X128" s="1551">
        <v>41</v>
      </c>
      <c r="Y128" s="1551">
        <v>118</v>
      </c>
      <c r="Z128" s="1551">
        <v>174</v>
      </c>
      <c r="AA128" s="1551"/>
      <c r="AB128" s="1551"/>
      <c r="AC128" s="1551"/>
      <c r="AD128" s="1551"/>
      <c r="AE128" s="1551">
        <v>0</v>
      </c>
      <c r="AF128" s="1551">
        <v>0</v>
      </c>
      <c r="AG128" s="1551">
        <v>0</v>
      </c>
      <c r="AH128" s="1551">
        <v>0</v>
      </c>
      <c r="AI128" s="1551">
        <v>0</v>
      </c>
      <c r="AJ128" s="1551">
        <v>0</v>
      </c>
      <c r="AK128" s="1551">
        <v>0</v>
      </c>
      <c r="AL128" s="1551">
        <v>0</v>
      </c>
      <c r="AM128" s="1551">
        <v>0</v>
      </c>
      <c r="AN128" s="1551">
        <v>0</v>
      </c>
      <c r="AO128" s="1551">
        <v>0</v>
      </c>
      <c r="AP128" s="1537" t="s">
        <v>2220</v>
      </c>
      <c r="AQ128" s="1537" t="s">
        <v>890</v>
      </c>
      <c r="AS128" s="1552" t="s">
        <v>2221</v>
      </c>
    </row>
    <row r="129" spans="1:45" x14ac:dyDescent="0.35">
      <c r="B129" s="1537">
        <f t="shared" si="2"/>
        <v>124</v>
      </c>
      <c r="C129" s="1537" t="s">
        <v>1628</v>
      </c>
      <c r="D129" s="1537" t="s">
        <v>1925</v>
      </c>
      <c r="E129" s="1537" t="s">
        <v>2222</v>
      </c>
      <c r="F129" s="1537">
        <v>1</v>
      </c>
      <c r="G129" s="1550" t="s">
        <v>1989</v>
      </c>
      <c r="H129" s="1537" t="s">
        <v>1990</v>
      </c>
      <c r="I129" s="1537" t="s">
        <v>2059</v>
      </c>
      <c r="K129" s="1545">
        <v>91</v>
      </c>
      <c r="L129" s="1545">
        <v>10</v>
      </c>
      <c r="M129" s="1551">
        <v>0</v>
      </c>
      <c r="N129" s="1551">
        <v>5</v>
      </c>
      <c r="O129" s="1551">
        <v>3</v>
      </c>
      <c r="P129" s="1551">
        <v>5</v>
      </c>
      <c r="Q129" s="1551">
        <v>8</v>
      </c>
      <c r="R129" s="1551">
        <v>11</v>
      </c>
      <c r="S129" s="1551">
        <v>8</v>
      </c>
      <c r="T129" s="1551">
        <v>7</v>
      </c>
      <c r="U129" s="1551">
        <v>5</v>
      </c>
      <c r="V129" s="1551">
        <v>9</v>
      </c>
      <c r="W129" s="1551">
        <v>6</v>
      </c>
      <c r="X129" s="1551">
        <v>10</v>
      </c>
      <c r="Y129" s="1551">
        <v>7</v>
      </c>
      <c r="Z129" s="1551">
        <v>7</v>
      </c>
      <c r="AA129" s="1551"/>
      <c r="AB129" s="1551"/>
      <c r="AC129" s="1551"/>
      <c r="AD129" s="1551"/>
      <c r="AE129" s="1551">
        <v>0</v>
      </c>
      <c r="AF129" s="1551">
        <v>0</v>
      </c>
      <c r="AG129" s="1551">
        <v>28</v>
      </c>
      <c r="AH129" s="1551">
        <v>9</v>
      </c>
      <c r="AI129" s="1551">
        <v>53</v>
      </c>
      <c r="AJ129" s="1551">
        <v>0</v>
      </c>
      <c r="AK129" s="1551">
        <v>1</v>
      </c>
      <c r="AL129" s="1551" t="s">
        <v>890</v>
      </c>
      <c r="AM129" s="1551" t="s">
        <v>890</v>
      </c>
      <c r="AN129" s="1551" t="s">
        <v>890</v>
      </c>
      <c r="AO129" s="1551" t="s">
        <v>890</v>
      </c>
      <c r="AP129" s="1537" t="s">
        <v>2223</v>
      </c>
      <c r="AQ129" s="1537" t="s">
        <v>890</v>
      </c>
      <c r="AS129" s="1552" t="s">
        <v>2224</v>
      </c>
    </row>
    <row r="130" spans="1:45" hidden="1" x14ac:dyDescent="0.35">
      <c r="B130" s="1537">
        <f t="shared" si="2"/>
        <v>125</v>
      </c>
      <c r="C130" s="1537" t="s">
        <v>1628</v>
      </c>
      <c r="D130" s="1530" t="s">
        <v>2225</v>
      </c>
      <c r="F130" s="1537">
        <v>1</v>
      </c>
      <c r="G130" s="1537" t="s">
        <v>1989</v>
      </c>
      <c r="H130" s="1537" t="s">
        <v>2019</v>
      </c>
      <c r="K130" s="1545"/>
      <c r="L130" s="1545"/>
      <c r="M130" s="1545"/>
      <c r="N130" s="1545"/>
      <c r="O130" s="1545"/>
      <c r="P130" s="1545"/>
      <c r="Q130" s="1545"/>
      <c r="R130" s="1545"/>
      <c r="S130" s="1545"/>
      <c r="T130" s="1545"/>
      <c r="U130" s="1545"/>
      <c r="V130" s="1545"/>
      <c r="W130" s="1545"/>
      <c r="X130" s="1545"/>
      <c r="Y130" s="1545"/>
      <c r="Z130" s="1545"/>
      <c r="AA130" s="1545"/>
      <c r="AB130" s="1545"/>
      <c r="AC130" s="1545"/>
      <c r="AD130" s="1545"/>
      <c r="AE130" s="1545"/>
      <c r="AF130" s="1545"/>
      <c r="AG130" s="1545"/>
      <c r="AH130" s="1545"/>
      <c r="AI130" s="1545"/>
      <c r="AJ130" s="1545"/>
      <c r="AK130" s="1545"/>
      <c r="AL130" s="1545"/>
      <c r="AM130" s="1545"/>
      <c r="AN130" s="1545"/>
      <c r="AO130" s="1545"/>
    </row>
    <row r="131" spans="1:45" hidden="1" x14ac:dyDescent="0.35">
      <c r="B131" s="1537">
        <f t="shared" si="2"/>
        <v>126</v>
      </c>
      <c r="C131" s="1537" t="s">
        <v>1628</v>
      </c>
      <c r="D131" s="1530" t="s">
        <v>1998</v>
      </c>
      <c r="F131" s="1537">
        <v>1</v>
      </c>
      <c r="G131" s="1537" t="s">
        <v>1989</v>
      </c>
      <c r="H131" s="1537" t="s">
        <v>2000</v>
      </c>
      <c r="K131" s="1545"/>
      <c r="L131" s="1545"/>
      <c r="M131" s="1545"/>
      <c r="N131" s="1545"/>
      <c r="O131" s="1545"/>
      <c r="P131" s="1545"/>
      <c r="Q131" s="1545"/>
      <c r="R131" s="1545"/>
      <c r="S131" s="1545"/>
      <c r="T131" s="1545"/>
      <c r="U131" s="1545"/>
      <c r="V131" s="1545"/>
      <c r="W131" s="1545"/>
      <c r="X131" s="1545"/>
      <c r="Y131" s="1545"/>
      <c r="Z131" s="1545"/>
      <c r="AA131" s="1545"/>
      <c r="AB131" s="1545"/>
      <c r="AC131" s="1545"/>
      <c r="AD131" s="1545"/>
      <c r="AE131" s="1545"/>
      <c r="AF131" s="1545"/>
      <c r="AG131" s="1545"/>
      <c r="AH131" s="1545"/>
      <c r="AI131" s="1545"/>
      <c r="AJ131" s="1545"/>
      <c r="AK131" s="1545"/>
      <c r="AL131" s="1545"/>
      <c r="AM131" s="1545"/>
      <c r="AN131" s="1545"/>
      <c r="AO131" s="1545"/>
    </row>
    <row r="132" spans="1:45" hidden="1" x14ac:dyDescent="0.35">
      <c r="B132" s="1537">
        <f t="shared" si="2"/>
        <v>127</v>
      </c>
      <c r="C132" s="1537" t="s">
        <v>1628</v>
      </c>
      <c r="D132" s="1530" t="s">
        <v>2002</v>
      </c>
      <c r="F132" s="1537">
        <v>1</v>
      </c>
      <c r="G132" s="1537" t="s">
        <v>1989</v>
      </c>
      <c r="H132" s="1537" t="s">
        <v>2000</v>
      </c>
      <c r="K132" s="1545"/>
      <c r="L132" s="1545"/>
      <c r="M132" s="1545"/>
      <c r="N132" s="1545"/>
      <c r="O132" s="1545"/>
      <c r="P132" s="1545"/>
      <c r="Q132" s="1545"/>
      <c r="R132" s="1545"/>
      <c r="S132" s="1545"/>
      <c r="T132" s="1545"/>
      <c r="U132" s="1545"/>
      <c r="V132" s="1545"/>
      <c r="W132" s="1545"/>
      <c r="X132" s="1545"/>
      <c r="Y132" s="1545"/>
      <c r="Z132" s="1545"/>
      <c r="AA132" s="1545"/>
      <c r="AB132" s="1545"/>
      <c r="AC132" s="1545"/>
      <c r="AD132" s="1545"/>
      <c r="AE132" s="1545"/>
      <c r="AF132" s="1545"/>
      <c r="AG132" s="1545"/>
      <c r="AH132" s="1545"/>
      <c r="AI132" s="1545"/>
      <c r="AJ132" s="1545"/>
      <c r="AK132" s="1545"/>
      <c r="AL132" s="1545"/>
      <c r="AM132" s="1545"/>
      <c r="AN132" s="1545"/>
      <c r="AO132" s="1545"/>
    </row>
    <row r="133" spans="1:45" hidden="1" x14ac:dyDescent="0.35">
      <c r="B133" s="1537">
        <f t="shared" si="2"/>
        <v>128</v>
      </c>
      <c r="C133" s="1537" t="s">
        <v>1628</v>
      </c>
      <c r="D133" s="1530" t="s">
        <v>2003</v>
      </c>
      <c r="F133" s="1537">
        <v>1</v>
      </c>
      <c r="G133" s="1553" t="s">
        <v>2004</v>
      </c>
      <c r="H133" s="1537" t="s">
        <v>2000</v>
      </c>
      <c r="K133" s="1545"/>
      <c r="L133" s="1545"/>
      <c r="M133" s="1545"/>
      <c r="N133" s="1545"/>
      <c r="O133" s="1545"/>
      <c r="P133" s="1545"/>
      <c r="Q133" s="1545"/>
      <c r="R133" s="1545"/>
      <c r="S133" s="1545"/>
      <c r="T133" s="1545"/>
      <c r="U133" s="1545"/>
      <c r="V133" s="1545"/>
      <c r="W133" s="1545"/>
      <c r="X133" s="1545"/>
      <c r="Y133" s="1545"/>
      <c r="Z133" s="1545"/>
      <c r="AA133" s="1545"/>
      <c r="AB133" s="1545"/>
      <c r="AC133" s="1545"/>
      <c r="AD133" s="1545"/>
      <c r="AE133" s="1545"/>
      <c r="AF133" s="1545"/>
      <c r="AG133" s="1545"/>
      <c r="AH133" s="1545"/>
      <c r="AI133" s="1545"/>
      <c r="AJ133" s="1545"/>
      <c r="AK133" s="1545"/>
      <c r="AL133" s="1545"/>
      <c r="AM133" s="1545"/>
      <c r="AN133" s="1545"/>
      <c r="AO133" s="1545"/>
    </row>
    <row r="134" spans="1:45" hidden="1" x14ac:dyDescent="0.35">
      <c r="B134" s="1537">
        <f t="shared" si="2"/>
        <v>129</v>
      </c>
      <c r="C134" s="1537" t="s">
        <v>1628</v>
      </c>
      <c r="D134" s="1530" t="s">
        <v>2005</v>
      </c>
      <c r="F134" s="1537">
        <v>1</v>
      </c>
      <c r="G134" s="1537" t="s">
        <v>1999</v>
      </c>
      <c r="H134" s="1537" t="s">
        <v>2000</v>
      </c>
      <c r="K134" s="1545"/>
      <c r="L134" s="1545"/>
      <c r="M134" s="1545"/>
      <c r="N134" s="1545"/>
      <c r="O134" s="1545"/>
      <c r="P134" s="1545"/>
      <c r="Q134" s="1545"/>
      <c r="R134" s="1545"/>
      <c r="S134" s="1545"/>
      <c r="T134" s="1545"/>
      <c r="U134" s="1545"/>
      <c r="V134" s="1545"/>
      <c r="W134" s="1545"/>
      <c r="X134" s="1545"/>
      <c r="Y134" s="1545"/>
      <c r="Z134" s="1545"/>
      <c r="AA134" s="1545"/>
      <c r="AB134" s="1545"/>
      <c r="AC134" s="1545"/>
      <c r="AD134" s="1545"/>
      <c r="AE134" s="1545"/>
      <c r="AF134" s="1545"/>
      <c r="AG134" s="1545"/>
      <c r="AH134" s="1545"/>
      <c r="AI134" s="1545"/>
      <c r="AJ134" s="1545"/>
      <c r="AK134" s="1545"/>
      <c r="AL134" s="1545"/>
      <c r="AM134" s="1545"/>
      <c r="AN134" s="1545"/>
      <c r="AO134" s="1545"/>
    </row>
    <row r="135" spans="1:45" x14ac:dyDescent="0.35">
      <c r="B135" s="1537">
        <f t="shared" si="2"/>
        <v>130</v>
      </c>
      <c r="C135" s="1537" t="s">
        <v>1629</v>
      </c>
      <c r="D135" s="1555" t="s">
        <v>2226</v>
      </c>
      <c r="E135" s="1537" t="s">
        <v>2226</v>
      </c>
      <c r="F135" s="1537">
        <v>1</v>
      </c>
      <c r="G135" s="1539" t="s">
        <v>1989</v>
      </c>
      <c r="H135" s="1555" t="s">
        <v>1990</v>
      </c>
      <c r="I135" s="1537" t="s">
        <v>1991</v>
      </c>
      <c r="K135" s="1545">
        <v>862</v>
      </c>
      <c r="L135" s="1545">
        <v>25.9</v>
      </c>
      <c r="M135" s="1551">
        <v>0</v>
      </c>
      <c r="N135" s="1551">
        <v>49</v>
      </c>
      <c r="O135" s="1551">
        <v>33</v>
      </c>
      <c r="P135" s="1551">
        <v>31</v>
      </c>
      <c r="Q135" s="1551">
        <v>34</v>
      </c>
      <c r="R135" s="1551">
        <v>37</v>
      </c>
      <c r="S135" s="1551">
        <v>49</v>
      </c>
      <c r="T135" s="1551">
        <v>48</v>
      </c>
      <c r="U135" s="1551">
        <v>84</v>
      </c>
      <c r="V135" s="1551">
        <v>97</v>
      </c>
      <c r="W135" s="1551">
        <v>84</v>
      </c>
      <c r="X135" s="1551">
        <v>118</v>
      </c>
      <c r="Y135" s="1551">
        <v>114</v>
      </c>
      <c r="Z135" s="1551">
        <v>84</v>
      </c>
      <c r="AA135" s="1551"/>
      <c r="AB135" s="1551"/>
      <c r="AC135" s="1551"/>
      <c r="AD135" s="1551"/>
      <c r="AE135" s="1551">
        <v>2</v>
      </c>
      <c r="AF135" s="1551">
        <v>9</v>
      </c>
      <c r="AG135" s="1551">
        <v>84</v>
      </c>
      <c r="AH135" s="1551">
        <v>75</v>
      </c>
      <c r="AI135" s="1551">
        <v>4</v>
      </c>
      <c r="AJ135" s="1551">
        <v>645</v>
      </c>
      <c r="AK135" s="1551">
        <v>43</v>
      </c>
      <c r="AL135" s="1551">
        <v>395</v>
      </c>
      <c r="AM135" s="1551">
        <v>467</v>
      </c>
      <c r="AN135" s="1551">
        <v>345</v>
      </c>
      <c r="AO135" s="1551">
        <v>70</v>
      </c>
      <c r="AP135" s="1537" t="s">
        <v>2227</v>
      </c>
      <c r="AQ135" s="1552" t="s">
        <v>2228</v>
      </c>
      <c r="AR135" s="1537" t="s">
        <v>2009</v>
      </c>
      <c r="AS135" s="1552" t="s">
        <v>2229</v>
      </c>
    </row>
    <row r="136" spans="1:45" hidden="1" x14ac:dyDescent="0.35">
      <c r="B136" s="1537">
        <f t="shared" ref="B136:B199" si="3">+B135+1</f>
        <v>131</v>
      </c>
      <c r="C136" s="1537" t="s">
        <v>1629</v>
      </c>
      <c r="D136" s="1530" t="s">
        <v>1998</v>
      </c>
      <c r="F136" s="1537">
        <v>1</v>
      </c>
      <c r="G136" s="1537" t="s">
        <v>1989</v>
      </c>
      <c r="H136" s="1537" t="s">
        <v>2000</v>
      </c>
      <c r="K136" s="1545"/>
      <c r="L136" s="1545"/>
      <c r="M136" s="1545"/>
      <c r="N136" s="1545"/>
      <c r="O136" s="1545"/>
      <c r="P136" s="1545"/>
      <c r="Q136" s="1545"/>
      <c r="R136" s="1545"/>
      <c r="S136" s="1545"/>
      <c r="T136" s="1545"/>
      <c r="U136" s="1545"/>
      <c r="V136" s="1545"/>
      <c r="W136" s="1545"/>
      <c r="X136" s="1545"/>
      <c r="Y136" s="1545"/>
      <c r="Z136" s="1545"/>
      <c r="AA136" s="1545"/>
      <c r="AB136" s="1545"/>
      <c r="AC136" s="1545"/>
      <c r="AD136" s="1545"/>
      <c r="AE136" s="1545"/>
      <c r="AF136" s="1545"/>
      <c r="AG136" s="1545"/>
      <c r="AH136" s="1545"/>
      <c r="AI136" s="1545"/>
      <c r="AJ136" s="1545"/>
      <c r="AK136" s="1545"/>
      <c r="AL136" s="1545"/>
      <c r="AM136" s="1545"/>
      <c r="AN136" s="1545"/>
      <c r="AO136" s="1545"/>
    </row>
    <row r="137" spans="1:45" hidden="1" x14ac:dyDescent="0.35">
      <c r="B137" s="1537">
        <f t="shared" si="3"/>
        <v>132</v>
      </c>
      <c r="C137" s="1537" t="s">
        <v>1629</v>
      </c>
      <c r="D137" s="1530" t="s">
        <v>2001</v>
      </c>
      <c r="F137" s="1537">
        <v>1</v>
      </c>
      <c r="G137" s="1537" t="s">
        <v>1989</v>
      </c>
      <c r="H137" s="1537" t="s">
        <v>2000</v>
      </c>
      <c r="K137" s="1545"/>
      <c r="L137" s="1545"/>
      <c r="M137" s="1545"/>
      <c r="N137" s="1545"/>
      <c r="O137" s="1545"/>
      <c r="P137" s="1545"/>
      <c r="Q137" s="1545"/>
      <c r="R137" s="1545"/>
      <c r="S137" s="1545"/>
      <c r="T137" s="1545"/>
      <c r="U137" s="1545"/>
      <c r="V137" s="1545"/>
      <c r="W137" s="1545"/>
      <c r="X137" s="1545"/>
      <c r="Y137" s="1545"/>
      <c r="Z137" s="1545"/>
      <c r="AA137" s="1545"/>
      <c r="AB137" s="1545"/>
      <c r="AC137" s="1545"/>
      <c r="AD137" s="1545"/>
      <c r="AE137" s="1545"/>
      <c r="AF137" s="1545"/>
      <c r="AG137" s="1545"/>
      <c r="AH137" s="1545"/>
      <c r="AI137" s="1545"/>
      <c r="AJ137" s="1545"/>
      <c r="AK137" s="1545"/>
      <c r="AL137" s="1545"/>
      <c r="AM137" s="1545"/>
      <c r="AN137" s="1545"/>
      <c r="AO137" s="1545"/>
    </row>
    <row r="138" spans="1:45" hidden="1" x14ac:dyDescent="0.35">
      <c r="B138" s="1537">
        <f t="shared" si="3"/>
        <v>133</v>
      </c>
      <c r="C138" s="1537" t="s">
        <v>1629</v>
      </c>
      <c r="D138" s="1530" t="s">
        <v>2002</v>
      </c>
      <c r="F138" s="1537">
        <v>1</v>
      </c>
      <c r="G138" s="1537" t="s">
        <v>1989</v>
      </c>
      <c r="H138" s="1537" t="s">
        <v>2000</v>
      </c>
      <c r="K138" s="1545"/>
      <c r="L138" s="1545"/>
      <c r="M138" s="1545"/>
      <c r="N138" s="1545"/>
      <c r="O138" s="1545"/>
      <c r="P138" s="1545"/>
      <c r="Q138" s="1545"/>
      <c r="R138" s="1545"/>
      <c r="S138" s="1545"/>
      <c r="T138" s="1545"/>
      <c r="U138" s="1545"/>
      <c r="V138" s="1545"/>
      <c r="W138" s="1545"/>
      <c r="X138" s="1545"/>
      <c r="Y138" s="1545"/>
      <c r="Z138" s="1545"/>
      <c r="AA138" s="1545"/>
      <c r="AB138" s="1545"/>
      <c r="AC138" s="1545"/>
      <c r="AD138" s="1545"/>
      <c r="AE138" s="1545"/>
      <c r="AF138" s="1545"/>
      <c r="AG138" s="1545"/>
      <c r="AH138" s="1545"/>
      <c r="AI138" s="1545"/>
      <c r="AJ138" s="1545"/>
      <c r="AK138" s="1545"/>
      <c r="AL138" s="1545"/>
      <c r="AM138" s="1545"/>
      <c r="AN138" s="1545"/>
      <c r="AO138" s="1545"/>
    </row>
    <row r="139" spans="1:45" hidden="1" x14ac:dyDescent="0.35">
      <c r="B139" s="1537">
        <f t="shared" si="3"/>
        <v>134</v>
      </c>
      <c r="C139" s="1537" t="s">
        <v>1629</v>
      </c>
      <c r="D139" s="1530" t="s">
        <v>2003</v>
      </c>
      <c r="F139" s="1537">
        <v>1</v>
      </c>
      <c r="G139" s="1553" t="s">
        <v>2004</v>
      </c>
      <c r="H139" s="1537" t="s">
        <v>2000</v>
      </c>
      <c r="K139" s="1545"/>
      <c r="L139" s="1545"/>
      <c r="M139" s="1545"/>
      <c r="N139" s="1545"/>
      <c r="O139" s="1545"/>
      <c r="P139" s="1545"/>
      <c r="Q139" s="1545"/>
      <c r="R139" s="1545"/>
      <c r="S139" s="1545"/>
      <c r="T139" s="1545"/>
      <c r="U139" s="1545"/>
      <c r="V139" s="1545"/>
      <c r="W139" s="1545"/>
      <c r="X139" s="1545"/>
      <c r="Y139" s="1545"/>
      <c r="Z139" s="1545"/>
      <c r="AA139" s="1545"/>
      <c r="AB139" s="1545"/>
      <c r="AC139" s="1545"/>
      <c r="AD139" s="1545"/>
      <c r="AE139" s="1545"/>
      <c r="AF139" s="1545"/>
      <c r="AG139" s="1545"/>
      <c r="AH139" s="1545"/>
      <c r="AI139" s="1545"/>
      <c r="AJ139" s="1545"/>
      <c r="AK139" s="1545"/>
      <c r="AL139" s="1545"/>
      <c r="AM139" s="1545"/>
      <c r="AN139" s="1545"/>
      <c r="AO139" s="1545"/>
    </row>
    <row r="140" spans="1:45" hidden="1" x14ac:dyDescent="0.35">
      <c r="B140" s="1537">
        <f t="shared" si="3"/>
        <v>135</v>
      </c>
      <c r="C140" s="1537" t="s">
        <v>1629</v>
      </c>
      <c r="D140" s="1530" t="s">
        <v>2005</v>
      </c>
      <c r="F140" s="1537">
        <v>1</v>
      </c>
      <c r="G140" s="1537" t="s">
        <v>1999</v>
      </c>
      <c r="H140" s="1537" t="s">
        <v>2000</v>
      </c>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row>
    <row r="141" spans="1:45" x14ac:dyDescent="0.35">
      <c r="B141" s="1537">
        <f t="shared" si="3"/>
        <v>136</v>
      </c>
      <c r="C141" s="1537" t="s">
        <v>1630</v>
      </c>
      <c r="D141" s="1537" t="s">
        <v>2230</v>
      </c>
      <c r="E141" s="1537" t="s">
        <v>2231</v>
      </c>
      <c r="F141" s="1537">
        <v>1</v>
      </c>
      <c r="G141" s="1539" t="s">
        <v>2209</v>
      </c>
      <c r="H141" s="1555" t="s">
        <v>1990</v>
      </c>
      <c r="I141" s="1537" t="s">
        <v>1991</v>
      </c>
      <c r="K141" s="1545">
        <v>5556</v>
      </c>
      <c r="L141" s="1545">
        <v>19.3</v>
      </c>
      <c r="M141" s="1551">
        <v>0</v>
      </c>
      <c r="N141" s="1551">
        <v>67</v>
      </c>
      <c r="O141" s="1551">
        <v>74</v>
      </c>
      <c r="P141" s="1551">
        <v>68</v>
      </c>
      <c r="Q141" s="1551">
        <v>73</v>
      </c>
      <c r="R141" s="1551">
        <v>76</v>
      </c>
      <c r="S141" s="1551">
        <v>87</v>
      </c>
      <c r="T141" s="1551">
        <v>111</v>
      </c>
      <c r="U141" s="1551">
        <v>0</v>
      </c>
      <c r="V141" s="1551">
        <v>0</v>
      </c>
      <c r="W141" s="1551">
        <v>0</v>
      </c>
      <c r="X141" s="1551">
        <v>0</v>
      </c>
      <c r="Y141" s="1551">
        <v>0</v>
      </c>
      <c r="Z141" s="1551">
        <v>0</v>
      </c>
      <c r="AA141" s="1551"/>
      <c r="AB141" s="1551"/>
      <c r="AC141" s="1551"/>
      <c r="AD141" s="1551"/>
      <c r="AE141" s="1551">
        <v>3</v>
      </c>
      <c r="AF141" s="1551">
        <v>4</v>
      </c>
      <c r="AG141" s="1551">
        <v>69</v>
      </c>
      <c r="AH141" s="1551">
        <v>112</v>
      </c>
      <c r="AI141" s="1551">
        <v>1</v>
      </c>
      <c r="AJ141" s="1551">
        <v>283</v>
      </c>
      <c r="AK141" s="1551">
        <v>84</v>
      </c>
      <c r="AL141" s="1551">
        <v>256</v>
      </c>
      <c r="AM141" s="1551">
        <v>300</v>
      </c>
      <c r="AN141" s="1551" t="s">
        <v>890</v>
      </c>
      <c r="AO141" s="1551" t="s">
        <v>890</v>
      </c>
      <c r="AP141" s="1537" t="s">
        <v>2232</v>
      </c>
      <c r="AQ141" s="1552" t="s">
        <v>2233</v>
      </c>
      <c r="AR141" s="1552"/>
      <c r="AS141" s="1552" t="s">
        <v>2234</v>
      </c>
    </row>
    <row r="142" spans="1:45" x14ac:dyDescent="0.35">
      <c r="B142" s="1537">
        <f t="shared" si="3"/>
        <v>137</v>
      </c>
      <c r="C142" s="1537" t="s">
        <v>1630</v>
      </c>
      <c r="D142" s="1555" t="s">
        <v>2235</v>
      </c>
      <c r="E142" s="1537" t="s">
        <v>2235</v>
      </c>
      <c r="F142" s="1537">
        <v>1</v>
      </c>
      <c r="G142" s="1550" t="s">
        <v>2013</v>
      </c>
      <c r="H142" s="1555" t="s">
        <v>1990</v>
      </c>
      <c r="I142" s="1537" t="s">
        <v>1991</v>
      </c>
      <c r="K142" s="1545">
        <v>1035</v>
      </c>
      <c r="L142" s="1545">
        <v>35.700000000000003</v>
      </c>
      <c r="M142" s="1551">
        <v>0</v>
      </c>
      <c r="N142" s="1551">
        <v>0</v>
      </c>
      <c r="O142" s="1551">
        <v>0</v>
      </c>
      <c r="P142" s="1551">
        <v>0</v>
      </c>
      <c r="Q142" s="1551">
        <v>0</v>
      </c>
      <c r="R142" s="1551">
        <v>0</v>
      </c>
      <c r="S142" s="1551">
        <v>0</v>
      </c>
      <c r="T142" s="1551">
        <v>0</v>
      </c>
      <c r="U142" s="1551">
        <v>126</v>
      </c>
      <c r="V142" s="1551">
        <v>196</v>
      </c>
      <c r="W142" s="1551">
        <v>149</v>
      </c>
      <c r="X142" s="1551">
        <v>196</v>
      </c>
      <c r="Y142" s="1551">
        <v>186</v>
      </c>
      <c r="Z142" s="1551">
        <v>143</v>
      </c>
      <c r="AA142" s="1551"/>
      <c r="AB142" s="1551"/>
      <c r="AC142" s="1551"/>
      <c r="AD142" s="1551"/>
      <c r="AE142" s="1551">
        <v>7</v>
      </c>
      <c r="AF142" s="1551">
        <v>8</v>
      </c>
      <c r="AG142" s="1551">
        <v>100</v>
      </c>
      <c r="AH142" s="1551">
        <v>175</v>
      </c>
      <c r="AI142" s="1551">
        <v>2</v>
      </c>
      <c r="AJ142" s="1551">
        <v>654</v>
      </c>
      <c r="AK142" s="1551">
        <v>89</v>
      </c>
      <c r="AL142" s="1551">
        <v>438</v>
      </c>
      <c r="AM142" s="1551">
        <v>597</v>
      </c>
      <c r="AN142" s="1551" t="s">
        <v>890</v>
      </c>
      <c r="AO142" s="1551" t="s">
        <v>890</v>
      </c>
      <c r="AP142" s="1537" t="s">
        <v>2232</v>
      </c>
      <c r="AQ142" s="1552" t="s">
        <v>2233</v>
      </c>
      <c r="AR142" s="1552"/>
      <c r="AS142" s="1552" t="s">
        <v>2236</v>
      </c>
    </row>
    <row r="143" spans="1:45" x14ac:dyDescent="0.35">
      <c r="A143" s="1537" t="s">
        <v>2020</v>
      </c>
      <c r="B143" s="1537">
        <f t="shared" si="3"/>
        <v>138</v>
      </c>
      <c r="C143" s="1537" t="s">
        <v>1630</v>
      </c>
      <c r="D143" s="1530" t="s">
        <v>2237</v>
      </c>
      <c r="G143" s="1539" t="s">
        <v>2238</v>
      </c>
      <c r="H143" s="1555" t="s">
        <v>1990</v>
      </c>
      <c r="K143" s="1545"/>
      <c r="L143" s="1545"/>
      <c r="M143" s="1551"/>
      <c r="N143" s="1551"/>
      <c r="O143" s="1551"/>
      <c r="P143" s="1551"/>
      <c r="Q143" s="1551"/>
      <c r="R143" s="1551"/>
      <c r="S143" s="1551"/>
      <c r="T143" s="1551"/>
      <c r="U143" s="1551"/>
      <c r="V143" s="1551"/>
      <c r="W143" s="1551"/>
      <c r="X143" s="1551"/>
      <c r="Y143" s="1551"/>
      <c r="Z143" s="1551"/>
      <c r="AA143" s="1551"/>
      <c r="AB143" s="1551"/>
      <c r="AC143" s="1551"/>
      <c r="AD143" s="1551"/>
      <c r="AE143" s="1551"/>
      <c r="AF143" s="1551"/>
      <c r="AG143" s="1551"/>
      <c r="AH143" s="1551"/>
      <c r="AI143" s="1551"/>
      <c r="AJ143" s="1551"/>
      <c r="AK143" s="1551"/>
      <c r="AL143" s="1551"/>
      <c r="AM143" s="1551"/>
      <c r="AN143" s="1551"/>
      <c r="AO143" s="1551"/>
    </row>
    <row r="144" spans="1:45" hidden="1" x14ac:dyDescent="0.35">
      <c r="B144" s="1537">
        <f t="shared" si="3"/>
        <v>139</v>
      </c>
      <c r="C144" s="1537" t="s">
        <v>1630</v>
      </c>
      <c r="D144" s="1530" t="s">
        <v>1998</v>
      </c>
      <c r="F144" s="1537">
        <v>1</v>
      </c>
      <c r="G144" s="1537" t="s">
        <v>1999</v>
      </c>
      <c r="H144" s="1555" t="s">
        <v>2000</v>
      </c>
      <c r="K144" s="1545"/>
      <c r="L144" s="1545"/>
      <c r="M144" s="1545"/>
      <c r="N144" s="1545"/>
      <c r="O144" s="1545"/>
      <c r="P144" s="1545"/>
      <c r="Q144" s="1545"/>
      <c r="R144" s="1545"/>
      <c r="S144" s="1545"/>
      <c r="T144" s="1545"/>
      <c r="U144" s="1545"/>
      <c r="V144" s="1545"/>
      <c r="W144" s="1545"/>
      <c r="X144" s="1545"/>
      <c r="Y144" s="1545"/>
      <c r="Z144" s="1545"/>
      <c r="AA144" s="1545"/>
      <c r="AB144" s="1545"/>
      <c r="AC144" s="1545"/>
      <c r="AD144" s="1545"/>
      <c r="AE144" s="1545"/>
      <c r="AF144" s="1545"/>
      <c r="AG144" s="1545"/>
      <c r="AH144" s="1545"/>
      <c r="AI144" s="1545"/>
      <c r="AJ144" s="1545"/>
      <c r="AK144" s="1545"/>
      <c r="AL144" s="1545"/>
      <c r="AM144" s="1545"/>
      <c r="AN144" s="1545"/>
      <c r="AO144" s="1545"/>
    </row>
    <row r="145" spans="1:45" hidden="1" x14ac:dyDescent="0.35">
      <c r="B145" s="1537">
        <f t="shared" si="3"/>
        <v>140</v>
      </c>
      <c r="C145" s="1537" t="s">
        <v>1630</v>
      </c>
      <c r="D145" s="1530" t="s">
        <v>2001</v>
      </c>
      <c r="F145" s="1537">
        <v>1</v>
      </c>
      <c r="G145" s="1537" t="s">
        <v>1989</v>
      </c>
      <c r="H145" s="1537" t="s">
        <v>2000</v>
      </c>
      <c r="K145" s="1545"/>
      <c r="L145" s="1545"/>
      <c r="M145" s="1545"/>
      <c r="N145" s="1545"/>
      <c r="O145" s="1545"/>
      <c r="P145" s="1545"/>
      <c r="Q145" s="1545"/>
      <c r="R145" s="1545"/>
      <c r="S145" s="1545"/>
      <c r="T145" s="1545"/>
      <c r="U145" s="1545"/>
      <c r="V145" s="1545"/>
      <c r="W145" s="1545"/>
      <c r="X145" s="1545"/>
      <c r="Y145" s="1545"/>
      <c r="Z145" s="1545"/>
      <c r="AA145" s="1545"/>
      <c r="AB145" s="1545"/>
      <c r="AC145" s="1545"/>
      <c r="AD145" s="1545"/>
      <c r="AE145" s="1545"/>
      <c r="AF145" s="1545"/>
      <c r="AG145" s="1545"/>
      <c r="AH145" s="1545"/>
      <c r="AI145" s="1545"/>
      <c r="AJ145" s="1545"/>
      <c r="AK145" s="1545"/>
      <c r="AL145" s="1545"/>
      <c r="AM145" s="1545"/>
      <c r="AN145" s="1545"/>
      <c r="AO145" s="1545"/>
    </row>
    <row r="146" spans="1:45" hidden="1" x14ac:dyDescent="0.35">
      <c r="B146" s="1537">
        <f t="shared" si="3"/>
        <v>141</v>
      </c>
      <c r="C146" s="1537" t="s">
        <v>1630</v>
      </c>
      <c r="D146" s="1530" t="s">
        <v>2002</v>
      </c>
      <c r="F146" s="1537">
        <v>1</v>
      </c>
      <c r="G146" s="1537" t="s">
        <v>1989</v>
      </c>
      <c r="H146" s="1537" t="s">
        <v>2000</v>
      </c>
      <c r="K146" s="1545"/>
      <c r="L146" s="1545"/>
      <c r="M146" s="1545"/>
      <c r="N146" s="1545"/>
      <c r="O146" s="1545"/>
      <c r="P146" s="1545"/>
      <c r="Q146" s="1545"/>
      <c r="R146" s="1545"/>
      <c r="S146" s="1545"/>
      <c r="T146" s="1545"/>
      <c r="U146" s="1545"/>
      <c r="V146" s="1545"/>
      <c r="W146" s="1545"/>
      <c r="X146" s="1545"/>
      <c r="Y146" s="1545"/>
      <c r="Z146" s="1545"/>
      <c r="AA146" s="1545"/>
      <c r="AB146" s="1545"/>
      <c r="AC146" s="1545"/>
      <c r="AD146" s="1545"/>
      <c r="AE146" s="1545"/>
      <c r="AF146" s="1545"/>
      <c r="AG146" s="1545"/>
      <c r="AH146" s="1545"/>
      <c r="AI146" s="1545"/>
      <c r="AJ146" s="1545"/>
      <c r="AK146" s="1545"/>
      <c r="AL146" s="1545"/>
      <c r="AM146" s="1545"/>
      <c r="AN146" s="1545"/>
      <c r="AO146" s="1545"/>
    </row>
    <row r="147" spans="1:45" hidden="1" x14ac:dyDescent="0.35">
      <c r="B147" s="1537">
        <f t="shared" si="3"/>
        <v>142</v>
      </c>
      <c r="C147" s="1537" t="s">
        <v>1630</v>
      </c>
      <c r="D147" s="1530" t="s">
        <v>2003</v>
      </c>
      <c r="F147" s="1537">
        <v>1</v>
      </c>
      <c r="G147" s="1553" t="s">
        <v>2004</v>
      </c>
      <c r="H147" s="1555" t="s">
        <v>2000</v>
      </c>
      <c r="K147" s="1545"/>
      <c r="L147" s="1545"/>
      <c r="M147" s="1545"/>
      <c r="N147" s="1545"/>
      <c r="O147" s="1545"/>
      <c r="P147" s="1545"/>
      <c r="Q147" s="1545"/>
      <c r="R147" s="1545"/>
      <c r="S147" s="1545"/>
      <c r="T147" s="1545"/>
      <c r="U147" s="1545"/>
      <c r="V147" s="1545"/>
      <c r="W147" s="1545"/>
      <c r="X147" s="1545"/>
      <c r="Y147" s="1545"/>
      <c r="Z147" s="1545"/>
      <c r="AA147" s="1545"/>
      <c r="AB147" s="1545"/>
      <c r="AC147" s="1545"/>
      <c r="AD147" s="1545"/>
      <c r="AE147" s="1545"/>
      <c r="AF147" s="1545"/>
      <c r="AG147" s="1545"/>
      <c r="AH147" s="1545"/>
      <c r="AI147" s="1545"/>
      <c r="AJ147" s="1545"/>
      <c r="AK147" s="1545"/>
      <c r="AL147" s="1545"/>
      <c r="AM147" s="1545"/>
      <c r="AN147" s="1545"/>
      <c r="AO147" s="1545"/>
    </row>
    <row r="148" spans="1:45" hidden="1" x14ac:dyDescent="0.35">
      <c r="B148" s="1537">
        <f t="shared" si="3"/>
        <v>143</v>
      </c>
      <c r="C148" s="1537" t="s">
        <v>1630</v>
      </c>
      <c r="D148" s="1530" t="s">
        <v>2005</v>
      </c>
      <c r="F148" s="1537">
        <v>1</v>
      </c>
      <c r="G148" s="1537" t="s">
        <v>1999</v>
      </c>
      <c r="H148" s="1555" t="s">
        <v>2000</v>
      </c>
      <c r="K148" s="1545"/>
      <c r="L148" s="1545"/>
      <c r="M148" s="1545"/>
      <c r="N148" s="1545"/>
      <c r="O148" s="1545"/>
      <c r="P148" s="1545"/>
      <c r="Q148" s="1545"/>
      <c r="R148" s="1545"/>
      <c r="S148" s="1545"/>
      <c r="T148" s="1545"/>
      <c r="U148" s="1545"/>
      <c r="V148" s="1545"/>
      <c r="W148" s="1545"/>
      <c r="X148" s="1545"/>
      <c r="Y148" s="1545"/>
      <c r="Z148" s="1545"/>
      <c r="AA148" s="1545"/>
      <c r="AB148" s="1545"/>
      <c r="AC148" s="1545"/>
      <c r="AD148" s="1545"/>
      <c r="AE148" s="1545"/>
      <c r="AF148" s="1545"/>
      <c r="AG148" s="1545"/>
      <c r="AH148" s="1545"/>
      <c r="AI148" s="1545"/>
      <c r="AJ148" s="1545"/>
      <c r="AK148" s="1545"/>
      <c r="AL148" s="1545"/>
      <c r="AM148" s="1545"/>
      <c r="AN148" s="1545"/>
      <c r="AO148" s="1545"/>
    </row>
    <row r="149" spans="1:45" hidden="1" x14ac:dyDescent="0.35">
      <c r="B149" s="1537">
        <f t="shared" si="3"/>
        <v>144</v>
      </c>
      <c r="C149" s="1537" t="s">
        <v>2239</v>
      </c>
      <c r="D149" s="1537" t="s">
        <v>2240</v>
      </c>
      <c r="E149" s="1537" t="s">
        <v>2240</v>
      </c>
      <c r="F149" s="1537">
        <v>1</v>
      </c>
      <c r="G149" s="1537" t="s">
        <v>1989</v>
      </c>
      <c r="H149" s="1537" t="s">
        <v>2000</v>
      </c>
      <c r="I149" s="1537" t="s">
        <v>1991</v>
      </c>
      <c r="K149" s="1545" t="s">
        <v>890</v>
      </c>
      <c r="L149" s="1545" t="s">
        <v>890</v>
      </c>
      <c r="M149" s="1545" t="s">
        <v>1549</v>
      </c>
      <c r="N149" s="1545" t="s">
        <v>1549</v>
      </c>
      <c r="O149" s="1545" t="s">
        <v>1549</v>
      </c>
      <c r="P149" s="1545" t="s">
        <v>1549</v>
      </c>
      <c r="Q149" s="1545" t="s">
        <v>1549</v>
      </c>
      <c r="R149" s="1545" t="s">
        <v>1549</v>
      </c>
      <c r="S149" s="1545" t="s">
        <v>1549</v>
      </c>
      <c r="T149" s="1545" t="s">
        <v>1549</v>
      </c>
      <c r="U149" s="1545" t="s">
        <v>1549</v>
      </c>
      <c r="V149" s="1545" t="s">
        <v>1549</v>
      </c>
      <c r="W149" s="1545" t="s">
        <v>1549</v>
      </c>
      <c r="X149" s="1545" t="s">
        <v>1549</v>
      </c>
      <c r="Y149" s="1545" t="s">
        <v>1549</v>
      </c>
      <c r="Z149" s="1545" t="s">
        <v>1549</v>
      </c>
      <c r="AA149" s="1545"/>
      <c r="AB149" s="1545"/>
      <c r="AC149" s="1545"/>
      <c r="AD149" s="1545"/>
      <c r="AE149" s="1545" t="s">
        <v>1549</v>
      </c>
      <c r="AF149" s="1545" t="s">
        <v>1549</v>
      </c>
      <c r="AG149" s="1545" t="s">
        <v>1549</v>
      </c>
      <c r="AH149" s="1545" t="s">
        <v>1549</v>
      </c>
      <c r="AI149" s="1545" t="s">
        <v>1549</v>
      </c>
      <c r="AJ149" s="1545" t="s">
        <v>1549</v>
      </c>
      <c r="AK149" s="1545" t="s">
        <v>1549</v>
      </c>
      <c r="AL149" s="1545" t="s">
        <v>890</v>
      </c>
      <c r="AM149" s="1545" t="s">
        <v>890</v>
      </c>
      <c r="AN149" s="1545" t="s">
        <v>1549</v>
      </c>
      <c r="AO149" s="1545" t="s">
        <v>1549</v>
      </c>
      <c r="AP149" s="1537" t="s">
        <v>2241</v>
      </c>
      <c r="AQ149" s="1537" t="s">
        <v>890</v>
      </c>
      <c r="AS149" s="1552" t="s">
        <v>2242</v>
      </c>
    </row>
    <row r="150" spans="1:45" hidden="1" x14ac:dyDescent="0.35">
      <c r="B150" s="1537">
        <f t="shared" si="3"/>
        <v>145</v>
      </c>
      <c r="C150" s="1537" t="s">
        <v>2239</v>
      </c>
      <c r="D150" s="1530" t="s">
        <v>1998</v>
      </c>
      <c r="F150" s="1537">
        <v>1</v>
      </c>
      <c r="G150" s="1537" t="s">
        <v>1989</v>
      </c>
      <c r="H150" s="1537" t="s">
        <v>2000</v>
      </c>
      <c r="K150" s="1545"/>
      <c r="L150" s="1545"/>
      <c r="M150" s="1545"/>
      <c r="N150" s="1545"/>
      <c r="O150" s="1545"/>
      <c r="P150" s="1545"/>
      <c r="Q150" s="1545"/>
      <c r="R150" s="1545"/>
      <c r="S150" s="1545"/>
      <c r="T150" s="1545"/>
      <c r="U150" s="1545"/>
      <c r="V150" s="1545"/>
      <c r="W150" s="1545"/>
      <c r="X150" s="1545"/>
      <c r="Y150" s="1545"/>
      <c r="Z150" s="1545"/>
      <c r="AA150" s="1545"/>
      <c r="AB150" s="1545"/>
      <c r="AC150" s="1545"/>
      <c r="AD150" s="1545"/>
      <c r="AE150" s="1545"/>
      <c r="AF150" s="1545"/>
      <c r="AG150" s="1545"/>
      <c r="AH150" s="1545"/>
      <c r="AI150" s="1545"/>
      <c r="AJ150" s="1545"/>
      <c r="AK150" s="1545"/>
      <c r="AL150" s="1545"/>
      <c r="AM150" s="1545"/>
      <c r="AN150" s="1545"/>
      <c r="AO150" s="1545"/>
    </row>
    <row r="151" spans="1:45" hidden="1" x14ac:dyDescent="0.35">
      <c r="B151" s="1537">
        <f t="shared" si="3"/>
        <v>146</v>
      </c>
      <c r="C151" s="1537" t="s">
        <v>2239</v>
      </c>
      <c r="D151" s="1530" t="s">
        <v>2001</v>
      </c>
      <c r="F151" s="1537">
        <v>1</v>
      </c>
      <c r="G151" s="1537" t="s">
        <v>1989</v>
      </c>
      <c r="H151" s="1537" t="s">
        <v>2000</v>
      </c>
      <c r="K151" s="1545"/>
      <c r="L151" s="1545"/>
      <c r="M151" s="1545"/>
      <c r="N151" s="1545"/>
      <c r="O151" s="1545"/>
      <c r="P151" s="1545"/>
      <c r="Q151" s="1545"/>
      <c r="R151" s="1545"/>
      <c r="S151" s="1545"/>
      <c r="T151" s="1545"/>
      <c r="U151" s="1545"/>
      <c r="V151" s="1545"/>
      <c r="W151" s="1545"/>
      <c r="X151" s="1545"/>
      <c r="Y151" s="1545"/>
      <c r="Z151" s="1545"/>
      <c r="AA151" s="1545"/>
      <c r="AB151" s="1545"/>
      <c r="AC151" s="1545"/>
      <c r="AD151" s="1545"/>
      <c r="AE151" s="1545"/>
      <c r="AF151" s="1545"/>
      <c r="AG151" s="1545"/>
      <c r="AH151" s="1545"/>
      <c r="AI151" s="1545"/>
      <c r="AJ151" s="1545"/>
      <c r="AK151" s="1545"/>
      <c r="AL151" s="1545"/>
      <c r="AM151" s="1545"/>
      <c r="AN151" s="1545"/>
      <c r="AO151" s="1545"/>
    </row>
    <row r="152" spans="1:45" hidden="1" x14ac:dyDescent="0.35">
      <c r="B152" s="1537">
        <f t="shared" si="3"/>
        <v>147</v>
      </c>
      <c r="C152" s="1537" t="s">
        <v>2239</v>
      </c>
      <c r="D152" s="1530" t="s">
        <v>2002</v>
      </c>
      <c r="F152" s="1537">
        <v>1</v>
      </c>
      <c r="G152" s="1537" t="s">
        <v>1989</v>
      </c>
      <c r="H152" s="1537" t="s">
        <v>2000</v>
      </c>
      <c r="K152" s="1545"/>
      <c r="L152" s="1545"/>
      <c r="M152" s="1545"/>
      <c r="N152" s="1545"/>
      <c r="O152" s="1545"/>
      <c r="P152" s="1545"/>
      <c r="Q152" s="1545"/>
      <c r="R152" s="1545"/>
      <c r="S152" s="1545"/>
      <c r="T152" s="1545"/>
      <c r="U152" s="1545"/>
      <c r="V152" s="1545"/>
      <c r="W152" s="1545"/>
      <c r="X152" s="1545"/>
      <c r="Y152" s="1545"/>
      <c r="Z152" s="1545"/>
      <c r="AA152" s="1545"/>
      <c r="AB152" s="1545"/>
      <c r="AC152" s="1545"/>
      <c r="AD152" s="1545"/>
      <c r="AE152" s="1545"/>
      <c r="AF152" s="1545"/>
      <c r="AG152" s="1545"/>
      <c r="AH152" s="1545"/>
      <c r="AI152" s="1545"/>
      <c r="AJ152" s="1545"/>
      <c r="AK152" s="1545"/>
      <c r="AL152" s="1545"/>
      <c r="AM152" s="1545"/>
      <c r="AN152" s="1545"/>
      <c r="AO152" s="1545"/>
    </row>
    <row r="153" spans="1:45" hidden="1" x14ac:dyDescent="0.35">
      <c r="B153" s="1537">
        <f t="shared" si="3"/>
        <v>148</v>
      </c>
      <c r="C153" s="1537" t="s">
        <v>2239</v>
      </c>
      <c r="D153" s="1530" t="s">
        <v>2003</v>
      </c>
      <c r="F153" s="1537">
        <v>1</v>
      </c>
      <c r="G153" s="1553" t="s">
        <v>2004</v>
      </c>
      <c r="H153" s="1537" t="s">
        <v>2000</v>
      </c>
      <c r="K153" s="1545"/>
      <c r="L153" s="1545"/>
      <c r="M153" s="1545"/>
      <c r="N153" s="1545"/>
      <c r="O153" s="1545"/>
      <c r="P153" s="1545"/>
      <c r="Q153" s="1545"/>
      <c r="R153" s="1545"/>
      <c r="S153" s="1545"/>
      <c r="T153" s="1545"/>
      <c r="U153" s="1545"/>
      <c r="V153" s="1545"/>
      <c r="W153" s="1545"/>
      <c r="X153" s="1545"/>
      <c r="Y153" s="1545"/>
      <c r="Z153" s="1545"/>
      <c r="AA153" s="1545"/>
      <c r="AB153" s="1545"/>
      <c r="AC153" s="1545"/>
      <c r="AD153" s="1545"/>
      <c r="AE153" s="1545"/>
      <c r="AF153" s="1545"/>
      <c r="AG153" s="1545"/>
      <c r="AH153" s="1545"/>
      <c r="AI153" s="1545"/>
      <c r="AJ153" s="1545"/>
      <c r="AK153" s="1545"/>
      <c r="AL153" s="1545"/>
      <c r="AM153" s="1545"/>
      <c r="AN153" s="1545"/>
      <c r="AO153" s="1545"/>
    </row>
    <row r="154" spans="1:45" hidden="1" x14ac:dyDescent="0.35">
      <c r="B154" s="1537">
        <f t="shared" si="3"/>
        <v>149</v>
      </c>
      <c r="C154" s="1537" t="s">
        <v>2239</v>
      </c>
      <c r="D154" s="1530" t="s">
        <v>2005</v>
      </c>
      <c r="F154" s="1537">
        <v>1</v>
      </c>
      <c r="G154" s="1537" t="s">
        <v>1999</v>
      </c>
      <c r="H154" s="1555" t="s">
        <v>2000</v>
      </c>
      <c r="K154" s="1545"/>
      <c r="L154" s="1545"/>
      <c r="M154" s="1545"/>
      <c r="N154" s="1545"/>
      <c r="O154" s="1545"/>
      <c r="P154" s="1545"/>
      <c r="Q154" s="1545"/>
      <c r="R154" s="1545"/>
      <c r="S154" s="1545"/>
      <c r="T154" s="1545"/>
      <c r="U154" s="1545"/>
      <c r="V154" s="1545"/>
      <c r="W154" s="1545"/>
      <c r="X154" s="1545"/>
      <c r="Y154" s="1545"/>
      <c r="Z154" s="1545"/>
      <c r="AA154" s="1545"/>
      <c r="AB154" s="1545"/>
      <c r="AC154" s="1545"/>
      <c r="AD154" s="1545"/>
      <c r="AE154" s="1545"/>
      <c r="AF154" s="1545"/>
      <c r="AG154" s="1545"/>
      <c r="AH154" s="1545"/>
      <c r="AI154" s="1545"/>
      <c r="AJ154" s="1545"/>
      <c r="AK154" s="1545"/>
      <c r="AL154" s="1545"/>
      <c r="AM154" s="1545"/>
      <c r="AN154" s="1545"/>
      <c r="AO154" s="1545"/>
    </row>
    <row r="155" spans="1:45" x14ac:dyDescent="0.35">
      <c r="A155" s="1537" t="s">
        <v>2020</v>
      </c>
      <c r="B155" s="1537">
        <f t="shared" si="3"/>
        <v>150</v>
      </c>
      <c r="C155" s="1537" t="s">
        <v>1631</v>
      </c>
      <c r="D155" s="1530" t="s">
        <v>2243</v>
      </c>
      <c r="G155" s="1550" t="s">
        <v>2039</v>
      </c>
      <c r="H155" s="1537" t="s">
        <v>1990</v>
      </c>
      <c r="K155" s="1545"/>
      <c r="L155" s="1545"/>
      <c r="M155" s="1551"/>
      <c r="N155" s="1551"/>
      <c r="O155" s="1551"/>
      <c r="P155" s="1551"/>
      <c r="Q155" s="1551"/>
      <c r="R155" s="1551"/>
      <c r="S155" s="1551"/>
      <c r="T155" s="1551"/>
      <c r="U155" s="1551"/>
      <c r="V155" s="1551"/>
      <c r="W155" s="1551"/>
      <c r="X155" s="1551"/>
      <c r="Y155" s="1551"/>
      <c r="Z155" s="1551"/>
      <c r="AA155" s="1551"/>
      <c r="AB155" s="1551"/>
      <c r="AC155" s="1551"/>
      <c r="AD155" s="1551"/>
      <c r="AE155" s="1551"/>
      <c r="AF155" s="1551"/>
      <c r="AG155" s="1551"/>
      <c r="AH155" s="1551"/>
      <c r="AI155" s="1551"/>
      <c r="AJ155" s="1551"/>
      <c r="AK155" s="1551"/>
      <c r="AL155" s="1551"/>
      <c r="AM155" s="1551"/>
      <c r="AN155" s="1551"/>
      <c r="AO155" s="1551"/>
    </row>
    <row r="156" spans="1:45" x14ac:dyDescent="0.35">
      <c r="B156" s="1537">
        <f t="shared" si="3"/>
        <v>151</v>
      </c>
      <c r="C156" s="1537" t="s">
        <v>1631</v>
      </c>
      <c r="D156" s="1537" t="s">
        <v>2244</v>
      </c>
      <c r="E156" s="1537" t="s">
        <v>2244</v>
      </c>
      <c r="F156" s="1537">
        <v>1</v>
      </c>
      <c r="G156" s="1539" t="s">
        <v>1989</v>
      </c>
      <c r="H156" s="1537" t="s">
        <v>1990</v>
      </c>
      <c r="I156" s="1537" t="s">
        <v>1991</v>
      </c>
      <c r="K156" s="1545">
        <v>2235</v>
      </c>
      <c r="L156" s="1545">
        <v>79.459999999999994</v>
      </c>
      <c r="M156" s="1551">
        <v>0</v>
      </c>
      <c r="N156" s="1551">
        <v>121</v>
      </c>
      <c r="O156" s="1551">
        <v>120</v>
      </c>
      <c r="P156" s="1551">
        <v>117</v>
      </c>
      <c r="Q156" s="1551">
        <v>115</v>
      </c>
      <c r="R156" s="1551">
        <v>114</v>
      </c>
      <c r="S156" s="1551">
        <v>150</v>
      </c>
      <c r="T156" s="1551">
        <v>224</v>
      </c>
      <c r="U156" s="1551">
        <v>257</v>
      </c>
      <c r="V156" s="1551">
        <v>259</v>
      </c>
      <c r="W156" s="1551">
        <v>243</v>
      </c>
      <c r="X156" s="1551">
        <v>245</v>
      </c>
      <c r="Y156" s="1551">
        <v>150</v>
      </c>
      <c r="Z156" s="1551">
        <v>120</v>
      </c>
      <c r="AA156" s="1551"/>
      <c r="AB156" s="1551"/>
      <c r="AC156" s="1551"/>
      <c r="AD156" s="1551"/>
      <c r="AE156" s="1551">
        <v>31</v>
      </c>
      <c r="AF156" s="1551">
        <v>36</v>
      </c>
      <c r="AG156" s="1551">
        <v>875</v>
      </c>
      <c r="AH156" s="1551">
        <v>89</v>
      </c>
      <c r="AI156" s="1551">
        <v>5</v>
      </c>
      <c r="AJ156" s="1551">
        <v>1110</v>
      </c>
      <c r="AK156" s="1551">
        <v>89</v>
      </c>
      <c r="AL156" s="1551">
        <v>1065</v>
      </c>
      <c r="AM156" s="1551">
        <v>1170</v>
      </c>
      <c r="AN156" s="1551">
        <v>1516</v>
      </c>
      <c r="AO156" s="1551">
        <v>271</v>
      </c>
      <c r="AP156" s="1537" t="s">
        <v>2245</v>
      </c>
      <c r="AQ156" s="1537" t="s">
        <v>890</v>
      </c>
      <c r="AS156" s="1552" t="s">
        <v>2246</v>
      </c>
    </row>
    <row r="157" spans="1:45" hidden="1" x14ac:dyDescent="0.35">
      <c r="B157" s="1537">
        <f t="shared" si="3"/>
        <v>152</v>
      </c>
      <c r="C157" s="1537" t="s">
        <v>1631</v>
      </c>
      <c r="D157" s="1530" t="s">
        <v>1998</v>
      </c>
      <c r="F157" s="1537">
        <v>1</v>
      </c>
      <c r="G157" s="1537" t="s">
        <v>1999</v>
      </c>
      <c r="H157" s="1537" t="s">
        <v>2000</v>
      </c>
      <c r="K157" s="1545"/>
      <c r="L157" s="1545"/>
      <c r="M157" s="1545"/>
      <c r="N157" s="1545"/>
      <c r="O157" s="1545"/>
      <c r="P157" s="1545"/>
      <c r="Q157" s="1545"/>
      <c r="R157" s="1545"/>
      <c r="S157" s="1545"/>
      <c r="T157" s="1545"/>
      <c r="U157" s="1545"/>
      <c r="V157" s="1545"/>
      <c r="W157" s="1545"/>
      <c r="X157" s="1545"/>
      <c r="Y157" s="1545"/>
      <c r="Z157" s="1545"/>
      <c r="AA157" s="1545"/>
      <c r="AB157" s="1545"/>
      <c r="AC157" s="1545"/>
      <c r="AD157" s="1545"/>
      <c r="AE157" s="1545"/>
      <c r="AF157" s="1545"/>
      <c r="AG157" s="1545"/>
      <c r="AH157" s="1545"/>
      <c r="AI157" s="1545"/>
      <c r="AJ157" s="1545"/>
      <c r="AK157" s="1545"/>
      <c r="AL157" s="1545"/>
      <c r="AM157" s="1545"/>
      <c r="AN157" s="1545"/>
      <c r="AO157" s="1545"/>
    </row>
    <row r="158" spans="1:45" hidden="1" x14ac:dyDescent="0.35">
      <c r="B158" s="1537">
        <f t="shared" si="3"/>
        <v>153</v>
      </c>
      <c r="C158" s="1537" t="s">
        <v>1631</v>
      </c>
      <c r="D158" s="1530" t="s">
        <v>2001</v>
      </c>
      <c r="F158" s="1537">
        <v>1</v>
      </c>
      <c r="G158" s="1537" t="s">
        <v>1989</v>
      </c>
      <c r="H158" s="1537" t="s">
        <v>2000</v>
      </c>
      <c r="K158" s="1545"/>
      <c r="L158" s="1545"/>
      <c r="M158" s="1545"/>
      <c r="N158" s="1545"/>
      <c r="O158" s="1545"/>
      <c r="P158" s="1545"/>
      <c r="Q158" s="1545"/>
      <c r="R158" s="1545"/>
      <c r="S158" s="1545"/>
      <c r="T158" s="1545"/>
      <c r="U158" s="1545"/>
      <c r="V158" s="1545"/>
      <c r="W158" s="1545"/>
      <c r="X158" s="1545"/>
      <c r="Y158" s="1545"/>
      <c r="Z158" s="1545"/>
      <c r="AA158" s="1545"/>
      <c r="AB158" s="1545"/>
      <c r="AC158" s="1545"/>
      <c r="AD158" s="1545"/>
      <c r="AE158" s="1545"/>
      <c r="AF158" s="1545"/>
      <c r="AG158" s="1545"/>
      <c r="AH158" s="1545"/>
      <c r="AI158" s="1545"/>
      <c r="AJ158" s="1545"/>
      <c r="AK158" s="1545"/>
      <c r="AL158" s="1545"/>
      <c r="AM158" s="1545"/>
      <c r="AN158" s="1545"/>
      <c r="AO158" s="1545"/>
    </row>
    <row r="159" spans="1:45" hidden="1" x14ac:dyDescent="0.35">
      <c r="B159" s="1537">
        <f t="shared" si="3"/>
        <v>154</v>
      </c>
      <c r="C159" s="1537" t="s">
        <v>1631</v>
      </c>
      <c r="D159" s="1530" t="s">
        <v>2002</v>
      </c>
      <c r="F159" s="1537">
        <v>1</v>
      </c>
      <c r="G159" s="1537" t="s">
        <v>1989</v>
      </c>
      <c r="H159" s="1537" t="s">
        <v>2000</v>
      </c>
      <c r="K159" s="1545"/>
      <c r="L159" s="1545"/>
      <c r="M159" s="1545"/>
      <c r="N159" s="1545"/>
      <c r="O159" s="1545"/>
      <c r="P159" s="1545"/>
      <c r="Q159" s="1545"/>
      <c r="R159" s="1545"/>
      <c r="S159" s="1545"/>
      <c r="T159" s="1545"/>
      <c r="U159" s="1545"/>
      <c r="V159" s="1545"/>
      <c r="W159" s="1545"/>
      <c r="X159" s="1545"/>
      <c r="Y159" s="1545"/>
      <c r="Z159" s="1545"/>
      <c r="AA159" s="1545"/>
      <c r="AB159" s="1545"/>
      <c r="AC159" s="1545"/>
      <c r="AD159" s="1545"/>
      <c r="AE159" s="1545"/>
      <c r="AF159" s="1545"/>
      <c r="AG159" s="1545"/>
      <c r="AH159" s="1545"/>
      <c r="AI159" s="1545"/>
      <c r="AJ159" s="1545"/>
      <c r="AK159" s="1545"/>
      <c r="AL159" s="1545"/>
      <c r="AM159" s="1545"/>
      <c r="AN159" s="1545"/>
      <c r="AO159" s="1545"/>
    </row>
    <row r="160" spans="1:45" hidden="1" x14ac:dyDescent="0.35">
      <c r="B160" s="1537">
        <f t="shared" si="3"/>
        <v>155</v>
      </c>
      <c r="C160" s="1537" t="s">
        <v>1631</v>
      </c>
      <c r="D160" s="1530" t="s">
        <v>2003</v>
      </c>
      <c r="F160" s="1537">
        <v>1</v>
      </c>
      <c r="G160" s="1553" t="s">
        <v>2004</v>
      </c>
      <c r="H160" s="1537" t="s">
        <v>2000</v>
      </c>
      <c r="K160" s="1545"/>
      <c r="L160" s="1545"/>
      <c r="M160" s="1545"/>
      <c r="N160" s="1545"/>
      <c r="O160" s="1545"/>
      <c r="P160" s="1545"/>
      <c r="Q160" s="1545"/>
      <c r="R160" s="1545"/>
      <c r="S160" s="1545"/>
      <c r="T160" s="1545"/>
      <c r="U160" s="1545"/>
      <c r="V160" s="1545"/>
      <c r="W160" s="1545"/>
      <c r="X160" s="1545"/>
      <c r="Y160" s="1545"/>
      <c r="Z160" s="1545"/>
      <c r="AA160" s="1545"/>
      <c r="AB160" s="1545"/>
      <c r="AC160" s="1545"/>
      <c r="AD160" s="1545"/>
      <c r="AE160" s="1545"/>
      <c r="AF160" s="1545"/>
      <c r="AG160" s="1545"/>
      <c r="AH160" s="1545"/>
      <c r="AI160" s="1545"/>
      <c r="AJ160" s="1545"/>
      <c r="AK160" s="1545"/>
      <c r="AL160" s="1545"/>
      <c r="AM160" s="1545"/>
      <c r="AN160" s="1545"/>
      <c r="AO160" s="1545"/>
    </row>
    <row r="161" spans="1:45" hidden="1" x14ac:dyDescent="0.35">
      <c r="B161" s="1537">
        <f t="shared" si="3"/>
        <v>156</v>
      </c>
      <c r="C161" s="1537" t="s">
        <v>1631</v>
      </c>
      <c r="D161" s="1530" t="s">
        <v>2005</v>
      </c>
      <c r="F161" s="1537">
        <v>1</v>
      </c>
      <c r="G161" s="1537" t="s">
        <v>1999</v>
      </c>
      <c r="H161" s="1537" t="s">
        <v>2000</v>
      </c>
      <c r="K161" s="1545"/>
      <c r="L161" s="1545"/>
      <c r="M161" s="1545"/>
      <c r="N161" s="1545"/>
      <c r="O161" s="1545"/>
      <c r="P161" s="1545"/>
      <c r="Q161" s="1545"/>
      <c r="R161" s="1545"/>
      <c r="S161" s="1545"/>
      <c r="T161" s="1545"/>
      <c r="U161" s="1545"/>
      <c r="V161" s="1545"/>
      <c r="W161" s="1545"/>
      <c r="X161" s="1545"/>
      <c r="Y161" s="1545"/>
      <c r="Z161" s="1545"/>
      <c r="AA161" s="1545"/>
      <c r="AB161" s="1545"/>
      <c r="AC161" s="1545"/>
      <c r="AD161" s="1545"/>
      <c r="AE161" s="1545"/>
      <c r="AF161" s="1545"/>
      <c r="AG161" s="1545"/>
      <c r="AH161" s="1545"/>
      <c r="AI161" s="1545"/>
      <c r="AJ161" s="1545"/>
      <c r="AK161" s="1545"/>
      <c r="AL161" s="1545"/>
      <c r="AM161" s="1545"/>
      <c r="AN161" s="1545"/>
      <c r="AO161" s="1545"/>
    </row>
    <row r="162" spans="1:45" x14ac:dyDescent="0.35">
      <c r="B162" s="1537">
        <f t="shared" si="3"/>
        <v>157</v>
      </c>
      <c r="C162" s="1537" t="s">
        <v>1631</v>
      </c>
      <c r="D162" s="1537" t="s">
        <v>2247</v>
      </c>
      <c r="E162" s="1537" t="s">
        <v>2247</v>
      </c>
      <c r="F162" s="1537">
        <v>1</v>
      </c>
      <c r="G162" s="1539" t="s">
        <v>1989</v>
      </c>
      <c r="H162" s="1537" t="s">
        <v>1990</v>
      </c>
      <c r="I162" s="1537" t="s">
        <v>1991</v>
      </c>
      <c r="K162" s="1545">
        <v>395</v>
      </c>
      <c r="L162" s="1545" t="s">
        <v>890</v>
      </c>
      <c r="M162" s="1551">
        <v>0</v>
      </c>
      <c r="N162" s="1551">
        <v>23</v>
      </c>
      <c r="O162" s="1551">
        <v>29</v>
      </c>
      <c r="P162" s="1551">
        <v>29</v>
      </c>
      <c r="Q162" s="1551">
        <v>29</v>
      </c>
      <c r="R162" s="1551">
        <v>33</v>
      </c>
      <c r="S162" s="1551">
        <v>37</v>
      </c>
      <c r="T162" s="1551">
        <v>27</v>
      </c>
      <c r="U162" s="1551">
        <v>39</v>
      </c>
      <c r="V162" s="1551">
        <v>32</v>
      </c>
      <c r="W162" s="1551">
        <v>31</v>
      </c>
      <c r="X162" s="1551">
        <v>28</v>
      </c>
      <c r="Y162" s="1551">
        <v>34</v>
      </c>
      <c r="Z162" s="1551">
        <v>24</v>
      </c>
      <c r="AA162" s="1551"/>
      <c r="AB162" s="1551"/>
      <c r="AC162" s="1551"/>
      <c r="AD162" s="1551"/>
      <c r="AE162" s="1551">
        <v>4</v>
      </c>
      <c r="AF162" s="1551">
        <v>9</v>
      </c>
      <c r="AG162" s="1551">
        <v>173</v>
      </c>
      <c r="AH162" s="1551">
        <v>17</v>
      </c>
      <c r="AI162" s="1551">
        <v>0</v>
      </c>
      <c r="AJ162" s="1551">
        <v>169</v>
      </c>
      <c r="AK162" s="1551">
        <v>23</v>
      </c>
      <c r="AL162" s="1551">
        <v>165</v>
      </c>
      <c r="AM162" s="1551">
        <v>230</v>
      </c>
      <c r="AN162" s="1551">
        <v>256</v>
      </c>
      <c r="AO162" s="1551">
        <v>15</v>
      </c>
      <c r="AP162" s="1537" t="s">
        <v>2248</v>
      </c>
      <c r="AQ162" s="1537" t="s">
        <v>890</v>
      </c>
      <c r="AS162" s="1552" t="s">
        <v>2249</v>
      </c>
    </row>
    <row r="163" spans="1:45" x14ac:dyDescent="0.35">
      <c r="B163" s="1537">
        <f t="shared" si="3"/>
        <v>158</v>
      </c>
      <c r="C163" s="1537" t="s">
        <v>1632</v>
      </c>
      <c r="D163" s="1537" t="s">
        <v>2250</v>
      </c>
      <c r="E163" s="1537" t="s">
        <v>2250</v>
      </c>
      <c r="F163" s="1537">
        <v>1</v>
      </c>
      <c r="G163" s="1550" t="s">
        <v>2013</v>
      </c>
      <c r="H163" s="1537" t="s">
        <v>1990</v>
      </c>
      <c r="I163" s="1537" t="s">
        <v>1991</v>
      </c>
      <c r="K163" s="1545">
        <v>438</v>
      </c>
      <c r="L163" s="1545">
        <v>33.5</v>
      </c>
      <c r="M163" s="1551">
        <v>0</v>
      </c>
      <c r="N163" s="1551">
        <v>0</v>
      </c>
      <c r="O163" s="1551">
        <v>0</v>
      </c>
      <c r="P163" s="1551">
        <v>0</v>
      </c>
      <c r="Q163" s="1551">
        <v>0</v>
      </c>
      <c r="R163" s="1551">
        <v>0</v>
      </c>
      <c r="S163" s="1551">
        <v>0</v>
      </c>
      <c r="T163" s="1551">
        <v>0</v>
      </c>
      <c r="U163" s="1551">
        <v>31</v>
      </c>
      <c r="V163" s="1551">
        <v>56</v>
      </c>
      <c r="W163" s="1551">
        <v>55</v>
      </c>
      <c r="X163" s="1551">
        <v>85</v>
      </c>
      <c r="Y163" s="1551">
        <v>113</v>
      </c>
      <c r="Z163" s="1551">
        <v>98</v>
      </c>
      <c r="AA163" s="1551"/>
      <c r="AB163" s="1551"/>
      <c r="AC163" s="1551"/>
      <c r="AD163" s="1551"/>
      <c r="AE163" s="1551">
        <v>6</v>
      </c>
      <c r="AF163" s="1551">
        <v>2</v>
      </c>
      <c r="AG163" s="1551">
        <v>0</v>
      </c>
      <c r="AH163" s="1551">
        <v>32</v>
      </c>
      <c r="AI163" s="1551">
        <v>0</v>
      </c>
      <c r="AJ163" s="1551">
        <v>376</v>
      </c>
      <c r="AK163" s="1551">
        <v>22</v>
      </c>
      <c r="AL163" s="1551">
        <v>201</v>
      </c>
      <c r="AM163" s="1551">
        <v>237</v>
      </c>
      <c r="AN163" s="1551">
        <v>166</v>
      </c>
      <c r="AO163" s="1551">
        <v>63</v>
      </c>
      <c r="AP163" s="1537" t="s">
        <v>2251</v>
      </c>
      <c r="AQ163" s="1552" t="s">
        <v>2252</v>
      </c>
      <c r="AR163" s="1552"/>
      <c r="AS163" s="1552" t="s">
        <v>2253</v>
      </c>
    </row>
    <row r="164" spans="1:45" hidden="1" x14ac:dyDescent="0.35">
      <c r="B164" s="1537">
        <f t="shared" si="3"/>
        <v>159</v>
      </c>
      <c r="C164" s="1537" t="s">
        <v>1632</v>
      </c>
      <c r="D164" s="1530" t="s">
        <v>1998</v>
      </c>
      <c r="F164" s="1537">
        <v>1</v>
      </c>
      <c r="G164" s="1537" t="s">
        <v>1999</v>
      </c>
      <c r="H164" s="1537" t="s">
        <v>2000</v>
      </c>
      <c r="K164" s="1545"/>
      <c r="L164" s="1545"/>
      <c r="M164" s="1545"/>
      <c r="N164" s="1545"/>
      <c r="O164" s="1545"/>
      <c r="P164" s="1545"/>
      <c r="Q164" s="1545"/>
      <c r="R164" s="1545"/>
      <c r="S164" s="1545"/>
      <c r="T164" s="1545"/>
      <c r="U164" s="1545"/>
      <c r="V164" s="1545"/>
      <c r="W164" s="1545"/>
      <c r="X164" s="1545"/>
      <c r="Y164" s="1545"/>
      <c r="Z164" s="1545"/>
      <c r="AA164" s="1545"/>
      <c r="AB164" s="1545"/>
      <c r="AC164" s="1545"/>
      <c r="AD164" s="1545"/>
      <c r="AE164" s="1545"/>
      <c r="AF164" s="1545"/>
      <c r="AG164" s="1545"/>
      <c r="AH164" s="1545"/>
      <c r="AI164" s="1545"/>
      <c r="AJ164" s="1545"/>
      <c r="AK164" s="1545"/>
      <c r="AL164" s="1545"/>
      <c r="AM164" s="1545"/>
      <c r="AN164" s="1545"/>
      <c r="AO164" s="1545"/>
    </row>
    <row r="165" spans="1:45" hidden="1" x14ac:dyDescent="0.35">
      <c r="B165" s="1537">
        <f t="shared" si="3"/>
        <v>160</v>
      </c>
      <c r="C165" s="1537" t="s">
        <v>1632</v>
      </c>
      <c r="D165" s="1530" t="s">
        <v>2001</v>
      </c>
      <c r="F165" s="1537">
        <v>1</v>
      </c>
      <c r="G165" s="1537" t="s">
        <v>1989</v>
      </c>
      <c r="H165" s="1537" t="s">
        <v>2000</v>
      </c>
      <c r="K165" s="1545"/>
      <c r="L165" s="1545"/>
      <c r="M165" s="1545"/>
      <c r="N165" s="1545"/>
      <c r="O165" s="1545"/>
      <c r="P165" s="1545"/>
      <c r="Q165" s="1545"/>
      <c r="R165" s="1545"/>
      <c r="S165" s="1545"/>
      <c r="T165" s="1545"/>
      <c r="U165" s="1545"/>
      <c r="V165" s="1545"/>
      <c r="W165" s="1545"/>
      <c r="X165" s="1545"/>
      <c r="Y165" s="1545"/>
      <c r="Z165" s="1545"/>
      <c r="AA165" s="1545"/>
      <c r="AB165" s="1545"/>
      <c r="AC165" s="1545"/>
      <c r="AD165" s="1545"/>
      <c r="AE165" s="1545"/>
      <c r="AF165" s="1545"/>
      <c r="AG165" s="1545"/>
      <c r="AH165" s="1545"/>
      <c r="AI165" s="1545"/>
      <c r="AJ165" s="1545"/>
      <c r="AK165" s="1545"/>
      <c r="AL165" s="1545"/>
      <c r="AM165" s="1545"/>
      <c r="AN165" s="1545"/>
      <c r="AO165" s="1545"/>
    </row>
    <row r="166" spans="1:45" hidden="1" x14ac:dyDescent="0.35">
      <c r="B166" s="1537">
        <f t="shared" si="3"/>
        <v>161</v>
      </c>
      <c r="C166" s="1537" t="s">
        <v>1632</v>
      </c>
      <c r="D166" s="1530" t="s">
        <v>2002</v>
      </c>
      <c r="F166" s="1537">
        <v>1</v>
      </c>
      <c r="G166" s="1537" t="s">
        <v>1989</v>
      </c>
      <c r="H166" s="1537" t="s">
        <v>2000</v>
      </c>
      <c r="K166" s="1545"/>
      <c r="L166" s="1545"/>
      <c r="M166" s="1545"/>
      <c r="N166" s="1545"/>
      <c r="O166" s="1545"/>
      <c r="P166" s="1545"/>
      <c r="Q166" s="1545"/>
      <c r="R166" s="1545"/>
      <c r="S166" s="1545"/>
      <c r="T166" s="1545"/>
      <c r="U166" s="1545"/>
      <c r="V166" s="1545"/>
      <c r="W166" s="1545"/>
      <c r="X166" s="1545"/>
      <c r="Y166" s="1545"/>
      <c r="Z166" s="1545"/>
      <c r="AA166" s="1545"/>
      <c r="AB166" s="1545"/>
      <c r="AC166" s="1545"/>
      <c r="AD166" s="1545"/>
      <c r="AE166" s="1545"/>
      <c r="AF166" s="1545"/>
      <c r="AG166" s="1545"/>
      <c r="AH166" s="1545"/>
      <c r="AI166" s="1545"/>
      <c r="AJ166" s="1545"/>
      <c r="AK166" s="1545"/>
      <c r="AL166" s="1545"/>
      <c r="AM166" s="1545"/>
      <c r="AN166" s="1545"/>
      <c r="AO166" s="1545"/>
    </row>
    <row r="167" spans="1:45" hidden="1" x14ac:dyDescent="0.35">
      <c r="B167" s="1537">
        <f t="shared" si="3"/>
        <v>162</v>
      </c>
      <c r="C167" s="1537" t="s">
        <v>1632</v>
      </c>
      <c r="D167" s="1530" t="s">
        <v>2003</v>
      </c>
      <c r="F167" s="1537">
        <v>1</v>
      </c>
      <c r="G167" s="1553" t="s">
        <v>2004</v>
      </c>
      <c r="H167" s="1537" t="s">
        <v>2000</v>
      </c>
      <c r="K167" s="1545"/>
      <c r="L167" s="1545"/>
      <c r="M167" s="1545"/>
      <c r="N167" s="1545"/>
      <c r="O167" s="1545"/>
      <c r="P167" s="1545"/>
      <c r="Q167" s="1545"/>
      <c r="R167" s="1545"/>
      <c r="S167" s="1545"/>
      <c r="T167" s="1545"/>
      <c r="U167" s="1545"/>
      <c r="V167" s="1545"/>
      <c r="W167" s="1545"/>
      <c r="X167" s="1545"/>
      <c r="Y167" s="1545"/>
      <c r="Z167" s="1545"/>
      <c r="AA167" s="1545"/>
      <c r="AB167" s="1545"/>
      <c r="AC167" s="1545"/>
      <c r="AD167" s="1545"/>
      <c r="AE167" s="1545"/>
      <c r="AF167" s="1545"/>
      <c r="AG167" s="1545"/>
      <c r="AH167" s="1545"/>
      <c r="AI167" s="1545"/>
      <c r="AJ167" s="1545"/>
      <c r="AK167" s="1545"/>
      <c r="AL167" s="1545"/>
      <c r="AM167" s="1545"/>
      <c r="AN167" s="1545"/>
      <c r="AO167" s="1545"/>
    </row>
    <row r="168" spans="1:45" hidden="1" x14ac:dyDescent="0.35">
      <c r="B168" s="1537">
        <f t="shared" si="3"/>
        <v>163</v>
      </c>
      <c r="C168" s="1537" t="s">
        <v>1632</v>
      </c>
      <c r="D168" s="1530" t="s">
        <v>2005</v>
      </c>
      <c r="F168" s="1537">
        <v>1</v>
      </c>
      <c r="G168" s="1537" t="s">
        <v>1999</v>
      </c>
      <c r="H168" s="1537" t="s">
        <v>2000</v>
      </c>
      <c r="K168" s="1545"/>
      <c r="L168" s="1545"/>
      <c r="M168" s="1545"/>
      <c r="N168" s="1545"/>
      <c r="O168" s="1545"/>
      <c r="P168" s="1545"/>
      <c r="Q168" s="1545"/>
      <c r="R168" s="1545"/>
      <c r="S168" s="1545"/>
      <c r="T168" s="1545"/>
      <c r="U168" s="1545"/>
      <c r="V168" s="1545"/>
      <c r="W168" s="1545"/>
      <c r="X168" s="1545"/>
      <c r="Y168" s="1545"/>
      <c r="Z168" s="1545"/>
      <c r="AA168" s="1545"/>
      <c r="AB168" s="1545"/>
      <c r="AC168" s="1545"/>
      <c r="AD168" s="1545"/>
      <c r="AE168" s="1545"/>
      <c r="AF168" s="1545"/>
      <c r="AG168" s="1545"/>
      <c r="AH168" s="1545"/>
      <c r="AI168" s="1545"/>
      <c r="AJ168" s="1545"/>
      <c r="AK168" s="1545"/>
      <c r="AL168" s="1545"/>
      <c r="AM168" s="1545"/>
      <c r="AN168" s="1545"/>
      <c r="AO168" s="1545"/>
    </row>
    <row r="169" spans="1:45" x14ac:dyDescent="0.35">
      <c r="A169" s="1537" t="s">
        <v>2020</v>
      </c>
      <c r="B169" s="1537">
        <f t="shared" si="3"/>
        <v>164</v>
      </c>
      <c r="C169" s="1537" t="s">
        <v>1633</v>
      </c>
      <c r="D169" s="1530" t="s">
        <v>2254</v>
      </c>
      <c r="G169" s="1550" t="s">
        <v>2255</v>
      </c>
      <c r="H169" s="1537" t="s">
        <v>1990</v>
      </c>
      <c r="K169" s="1545"/>
      <c r="L169" s="1545"/>
      <c r="M169" s="1551"/>
      <c r="N169" s="1551"/>
      <c r="O169" s="1551"/>
      <c r="P169" s="1551"/>
      <c r="Q169" s="1551"/>
      <c r="R169" s="1551"/>
      <c r="S169" s="1551"/>
      <c r="T169" s="1551"/>
      <c r="U169" s="1551"/>
      <c r="V169" s="1551"/>
      <c r="W169" s="1551"/>
      <c r="X169" s="1551"/>
      <c r="Y169" s="1551"/>
      <c r="Z169" s="1551"/>
      <c r="AA169" s="1551"/>
      <c r="AB169" s="1551"/>
      <c r="AC169" s="1551"/>
      <c r="AD169" s="1551"/>
      <c r="AE169" s="1551"/>
      <c r="AF169" s="1551"/>
      <c r="AG169" s="1551"/>
      <c r="AH169" s="1551"/>
      <c r="AI169" s="1551"/>
      <c r="AJ169" s="1551"/>
      <c r="AK169" s="1551"/>
      <c r="AL169" s="1551"/>
      <c r="AM169" s="1551"/>
      <c r="AN169" s="1551"/>
      <c r="AO169" s="1551"/>
    </row>
    <row r="170" spans="1:45" hidden="1" x14ac:dyDescent="0.35">
      <c r="B170" s="1537">
        <f t="shared" si="3"/>
        <v>165</v>
      </c>
      <c r="C170" s="1537" t="s">
        <v>1633</v>
      </c>
      <c r="D170" s="1530" t="s">
        <v>1998</v>
      </c>
      <c r="F170" s="1537">
        <v>1</v>
      </c>
      <c r="G170" s="1537" t="s">
        <v>1999</v>
      </c>
      <c r="H170" s="1537" t="s">
        <v>2000</v>
      </c>
      <c r="K170" s="1545"/>
      <c r="L170" s="1545"/>
      <c r="M170" s="1545"/>
      <c r="N170" s="1545"/>
      <c r="O170" s="1545"/>
      <c r="P170" s="1545"/>
      <c r="Q170" s="1545"/>
      <c r="R170" s="1545"/>
      <c r="S170" s="1545"/>
      <c r="T170" s="1545"/>
      <c r="U170" s="1545"/>
      <c r="V170" s="1545"/>
      <c r="W170" s="1545"/>
      <c r="X170" s="1545"/>
      <c r="Y170" s="1545"/>
      <c r="Z170" s="1545"/>
      <c r="AA170" s="1545"/>
      <c r="AB170" s="1545"/>
      <c r="AC170" s="1545"/>
      <c r="AD170" s="1545"/>
      <c r="AE170" s="1545"/>
      <c r="AF170" s="1545"/>
      <c r="AG170" s="1545"/>
      <c r="AH170" s="1545"/>
      <c r="AI170" s="1545"/>
      <c r="AJ170" s="1545"/>
      <c r="AK170" s="1545"/>
      <c r="AL170" s="1545"/>
      <c r="AM170" s="1545"/>
      <c r="AN170" s="1545"/>
      <c r="AO170" s="1545"/>
    </row>
    <row r="171" spans="1:45" hidden="1" x14ac:dyDescent="0.35">
      <c r="B171" s="1537">
        <f t="shared" si="3"/>
        <v>166</v>
      </c>
      <c r="C171" s="1537" t="s">
        <v>1633</v>
      </c>
      <c r="D171" s="1530" t="s">
        <v>2001</v>
      </c>
      <c r="F171" s="1537">
        <v>1</v>
      </c>
      <c r="G171" s="1537" t="s">
        <v>1989</v>
      </c>
      <c r="H171" s="1537" t="s">
        <v>2000</v>
      </c>
      <c r="K171" s="1545"/>
      <c r="L171" s="1545"/>
      <c r="M171" s="1545"/>
      <c r="N171" s="1545"/>
      <c r="O171" s="1545"/>
      <c r="P171" s="1545"/>
      <c r="Q171" s="1545"/>
      <c r="R171" s="1545"/>
      <c r="S171" s="1545"/>
      <c r="T171" s="1545"/>
      <c r="U171" s="1545"/>
      <c r="V171" s="1545"/>
      <c r="W171" s="1545"/>
      <c r="X171" s="1545"/>
      <c r="Y171" s="1545"/>
      <c r="Z171" s="1545"/>
      <c r="AA171" s="1545"/>
      <c r="AB171" s="1545"/>
      <c r="AC171" s="1545"/>
      <c r="AD171" s="1545"/>
      <c r="AE171" s="1545"/>
      <c r="AF171" s="1545"/>
      <c r="AG171" s="1545"/>
      <c r="AH171" s="1545"/>
      <c r="AI171" s="1545"/>
      <c r="AJ171" s="1545"/>
      <c r="AK171" s="1545"/>
      <c r="AL171" s="1545"/>
      <c r="AM171" s="1545"/>
      <c r="AN171" s="1545"/>
      <c r="AO171" s="1545"/>
    </row>
    <row r="172" spans="1:45" hidden="1" x14ac:dyDescent="0.35">
      <c r="B172" s="1537">
        <f t="shared" si="3"/>
        <v>167</v>
      </c>
      <c r="C172" s="1537" t="s">
        <v>1633</v>
      </c>
      <c r="D172" s="1530" t="s">
        <v>2002</v>
      </c>
      <c r="F172" s="1537">
        <v>1</v>
      </c>
      <c r="G172" s="1537" t="s">
        <v>1989</v>
      </c>
      <c r="H172" s="1537" t="s">
        <v>2000</v>
      </c>
      <c r="K172" s="1545"/>
      <c r="L172" s="1545"/>
      <c r="M172" s="1545"/>
      <c r="N172" s="1545"/>
      <c r="O172" s="1545"/>
      <c r="P172" s="1545"/>
      <c r="Q172" s="1545"/>
      <c r="R172" s="1545"/>
      <c r="S172" s="1545"/>
      <c r="T172" s="1545"/>
      <c r="U172" s="1545"/>
      <c r="V172" s="1545"/>
      <c r="W172" s="1545"/>
      <c r="X172" s="1545"/>
      <c r="Y172" s="1545"/>
      <c r="Z172" s="1545"/>
      <c r="AA172" s="1545"/>
      <c r="AB172" s="1545"/>
      <c r="AC172" s="1545"/>
      <c r="AD172" s="1545"/>
      <c r="AE172" s="1545"/>
      <c r="AF172" s="1545"/>
      <c r="AG172" s="1545"/>
      <c r="AH172" s="1545"/>
      <c r="AI172" s="1545"/>
      <c r="AJ172" s="1545"/>
      <c r="AK172" s="1545"/>
      <c r="AL172" s="1545"/>
      <c r="AM172" s="1545"/>
      <c r="AN172" s="1545"/>
      <c r="AO172" s="1545"/>
    </row>
    <row r="173" spans="1:45" hidden="1" x14ac:dyDescent="0.35">
      <c r="B173" s="1537">
        <f t="shared" si="3"/>
        <v>168</v>
      </c>
      <c r="C173" s="1537" t="s">
        <v>1633</v>
      </c>
      <c r="D173" s="1530" t="s">
        <v>2003</v>
      </c>
      <c r="F173" s="1537">
        <v>1</v>
      </c>
      <c r="G173" s="1553" t="s">
        <v>2004</v>
      </c>
      <c r="H173" s="1537" t="s">
        <v>2000</v>
      </c>
      <c r="K173" s="1545"/>
      <c r="L173" s="1545"/>
      <c r="M173" s="1545"/>
      <c r="N173" s="1545"/>
      <c r="O173" s="1545"/>
      <c r="P173" s="1545"/>
      <c r="Q173" s="1545"/>
      <c r="R173" s="1545"/>
      <c r="S173" s="1545"/>
      <c r="T173" s="1545"/>
      <c r="U173" s="1545"/>
      <c r="V173" s="1545"/>
      <c r="W173" s="1545"/>
      <c r="X173" s="1545"/>
      <c r="Y173" s="1545"/>
      <c r="Z173" s="1545"/>
      <c r="AA173" s="1545"/>
      <c r="AB173" s="1545"/>
      <c r="AC173" s="1545"/>
      <c r="AD173" s="1545"/>
      <c r="AE173" s="1545"/>
      <c r="AF173" s="1545"/>
      <c r="AG173" s="1545"/>
      <c r="AH173" s="1545"/>
      <c r="AI173" s="1545"/>
      <c r="AJ173" s="1545"/>
      <c r="AK173" s="1545"/>
      <c r="AL173" s="1545"/>
      <c r="AM173" s="1545"/>
      <c r="AN173" s="1545"/>
      <c r="AO173" s="1545"/>
    </row>
    <row r="174" spans="1:45" hidden="1" x14ac:dyDescent="0.35">
      <c r="B174" s="1537">
        <f t="shared" si="3"/>
        <v>169</v>
      </c>
      <c r="C174" s="1537" t="s">
        <v>1633</v>
      </c>
      <c r="D174" s="1530" t="s">
        <v>2005</v>
      </c>
      <c r="F174" s="1537">
        <v>1</v>
      </c>
      <c r="G174" s="1537" t="s">
        <v>1999</v>
      </c>
      <c r="H174" s="1537" t="s">
        <v>2000</v>
      </c>
      <c r="K174" s="1545"/>
      <c r="L174" s="1545"/>
      <c r="M174" s="1545"/>
      <c r="N174" s="1545"/>
      <c r="O174" s="1545"/>
      <c r="P174" s="1545"/>
      <c r="Q174" s="1545"/>
      <c r="R174" s="1545"/>
      <c r="S174" s="1545"/>
      <c r="T174" s="1545"/>
      <c r="U174" s="1545"/>
      <c r="V174" s="1545"/>
      <c r="W174" s="1545"/>
      <c r="X174" s="1545"/>
      <c r="Y174" s="1545"/>
      <c r="Z174" s="1545"/>
      <c r="AA174" s="1545"/>
      <c r="AB174" s="1545"/>
      <c r="AC174" s="1545"/>
      <c r="AD174" s="1545"/>
      <c r="AE174" s="1545"/>
      <c r="AF174" s="1545"/>
      <c r="AG174" s="1545"/>
      <c r="AH174" s="1545"/>
      <c r="AI174" s="1545"/>
      <c r="AJ174" s="1545"/>
      <c r="AK174" s="1545"/>
      <c r="AL174" s="1545"/>
      <c r="AM174" s="1545"/>
      <c r="AN174" s="1545"/>
      <c r="AO174" s="1545"/>
    </row>
    <row r="175" spans="1:45" hidden="1" x14ac:dyDescent="0.35">
      <c r="B175" s="1537">
        <f t="shared" si="3"/>
        <v>170</v>
      </c>
      <c r="C175" s="1537" t="s">
        <v>2256</v>
      </c>
      <c r="D175" s="1530" t="s">
        <v>1998</v>
      </c>
      <c r="F175" s="1537">
        <v>1</v>
      </c>
      <c r="G175" s="1537" t="s">
        <v>1999</v>
      </c>
      <c r="H175" s="1537" t="s">
        <v>2000</v>
      </c>
      <c r="K175" s="1545"/>
      <c r="L175" s="1545"/>
      <c r="M175" s="1545"/>
      <c r="N175" s="1545"/>
      <c r="O175" s="1545"/>
      <c r="P175" s="1545"/>
      <c r="Q175" s="1545"/>
      <c r="R175" s="1545"/>
      <c r="S175" s="1545"/>
      <c r="T175" s="1545"/>
      <c r="U175" s="1545"/>
      <c r="V175" s="1545"/>
      <c r="W175" s="1545"/>
      <c r="X175" s="1545"/>
      <c r="Y175" s="1545"/>
      <c r="Z175" s="1545"/>
      <c r="AA175" s="1545"/>
      <c r="AB175" s="1545"/>
      <c r="AC175" s="1545"/>
      <c r="AD175" s="1545"/>
      <c r="AE175" s="1545"/>
      <c r="AF175" s="1545"/>
      <c r="AG175" s="1545"/>
      <c r="AH175" s="1545"/>
      <c r="AI175" s="1545"/>
      <c r="AJ175" s="1545"/>
      <c r="AK175" s="1545"/>
      <c r="AL175" s="1545"/>
      <c r="AM175" s="1545"/>
      <c r="AN175" s="1545"/>
      <c r="AO175" s="1545"/>
    </row>
    <row r="176" spans="1:45" hidden="1" x14ac:dyDescent="0.35">
      <c r="B176" s="1537">
        <f t="shared" si="3"/>
        <v>171</v>
      </c>
      <c r="C176" s="1537" t="s">
        <v>2256</v>
      </c>
      <c r="D176" s="1530" t="s">
        <v>2001</v>
      </c>
      <c r="F176" s="1537">
        <v>1</v>
      </c>
      <c r="G176" s="1537" t="s">
        <v>1989</v>
      </c>
      <c r="H176" s="1537" t="s">
        <v>2000</v>
      </c>
      <c r="K176" s="1545"/>
      <c r="L176" s="1545"/>
      <c r="M176" s="1545"/>
      <c r="N176" s="1545"/>
      <c r="O176" s="1545"/>
      <c r="P176" s="1545"/>
      <c r="Q176" s="1545"/>
      <c r="R176" s="1545"/>
      <c r="S176" s="1545"/>
      <c r="T176" s="1545"/>
      <c r="U176" s="1545"/>
      <c r="V176" s="1545"/>
      <c r="W176" s="1545"/>
      <c r="X176" s="1545"/>
      <c r="Y176" s="1545"/>
      <c r="Z176" s="1545"/>
      <c r="AA176" s="1545"/>
      <c r="AB176" s="1545"/>
      <c r="AC176" s="1545"/>
      <c r="AD176" s="1545"/>
      <c r="AE176" s="1545"/>
      <c r="AF176" s="1545"/>
      <c r="AG176" s="1545"/>
      <c r="AH176" s="1545"/>
      <c r="AI176" s="1545"/>
      <c r="AJ176" s="1545"/>
      <c r="AK176" s="1545"/>
      <c r="AL176" s="1545"/>
      <c r="AM176" s="1545"/>
      <c r="AN176" s="1545"/>
      <c r="AO176" s="1545"/>
    </row>
    <row r="177" spans="1:45" hidden="1" x14ac:dyDescent="0.35">
      <c r="B177" s="1537">
        <f t="shared" si="3"/>
        <v>172</v>
      </c>
      <c r="C177" s="1537" t="s">
        <v>2256</v>
      </c>
      <c r="D177" s="1530" t="s">
        <v>2002</v>
      </c>
      <c r="F177" s="1537">
        <v>1</v>
      </c>
      <c r="G177" s="1537" t="s">
        <v>1989</v>
      </c>
      <c r="H177" s="1537" t="s">
        <v>2000</v>
      </c>
      <c r="K177" s="1545"/>
      <c r="L177" s="1545"/>
      <c r="M177" s="1545"/>
      <c r="N177" s="1545"/>
      <c r="O177" s="1545"/>
      <c r="P177" s="1545"/>
      <c r="Q177" s="1545"/>
      <c r="R177" s="1545"/>
      <c r="S177" s="1545"/>
      <c r="T177" s="1545"/>
      <c r="U177" s="1545"/>
      <c r="V177" s="1545"/>
      <c r="W177" s="1545"/>
      <c r="X177" s="1545"/>
      <c r="Y177" s="1545"/>
      <c r="Z177" s="1545"/>
      <c r="AA177" s="1545"/>
      <c r="AB177" s="1545"/>
      <c r="AC177" s="1545"/>
      <c r="AD177" s="1545"/>
      <c r="AE177" s="1545"/>
      <c r="AF177" s="1545"/>
      <c r="AG177" s="1545"/>
      <c r="AH177" s="1545"/>
      <c r="AI177" s="1545"/>
      <c r="AJ177" s="1545"/>
      <c r="AK177" s="1545"/>
      <c r="AL177" s="1545"/>
      <c r="AM177" s="1545"/>
      <c r="AN177" s="1545"/>
      <c r="AO177" s="1545"/>
    </row>
    <row r="178" spans="1:45" hidden="1" x14ac:dyDescent="0.35">
      <c r="B178" s="1537">
        <f t="shared" si="3"/>
        <v>173</v>
      </c>
      <c r="C178" s="1537" t="s">
        <v>2256</v>
      </c>
      <c r="D178" s="1530" t="s">
        <v>2003</v>
      </c>
      <c r="F178" s="1537">
        <v>1</v>
      </c>
      <c r="G178" s="1553" t="s">
        <v>2004</v>
      </c>
      <c r="H178" s="1537" t="s">
        <v>2000</v>
      </c>
      <c r="K178" s="1545"/>
      <c r="L178" s="1545"/>
      <c r="M178" s="1545"/>
      <c r="N178" s="1545"/>
      <c r="O178" s="1545"/>
      <c r="P178" s="1545"/>
      <c r="Q178" s="1545"/>
      <c r="R178" s="1545"/>
      <c r="S178" s="1545"/>
      <c r="T178" s="1545"/>
      <c r="U178" s="1545"/>
      <c r="V178" s="1545"/>
      <c r="W178" s="1545"/>
      <c r="X178" s="1545"/>
      <c r="Y178" s="1545"/>
      <c r="Z178" s="1545"/>
      <c r="AA178" s="1545"/>
      <c r="AB178" s="1545"/>
      <c r="AC178" s="1545"/>
      <c r="AD178" s="1545"/>
      <c r="AE178" s="1545"/>
      <c r="AF178" s="1545"/>
      <c r="AG178" s="1545"/>
      <c r="AH178" s="1545"/>
      <c r="AI178" s="1545"/>
      <c r="AJ178" s="1545"/>
      <c r="AK178" s="1545"/>
      <c r="AL178" s="1545"/>
      <c r="AM178" s="1545"/>
      <c r="AN178" s="1545"/>
      <c r="AO178" s="1545"/>
    </row>
    <row r="179" spans="1:45" hidden="1" x14ac:dyDescent="0.35">
      <c r="B179" s="1537">
        <f t="shared" si="3"/>
        <v>174</v>
      </c>
      <c r="C179" s="1537" t="s">
        <v>2256</v>
      </c>
      <c r="D179" s="1530" t="s">
        <v>2005</v>
      </c>
      <c r="F179" s="1537">
        <v>1</v>
      </c>
      <c r="G179" s="1537" t="s">
        <v>1999</v>
      </c>
      <c r="H179" s="1537" t="s">
        <v>2000</v>
      </c>
      <c r="K179" s="1545"/>
      <c r="L179" s="1545"/>
      <c r="M179" s="1545"/>
      <c r="N179" s="1545"/>
      <c r="O179" s="1545"/>
      <c r="P179" s="1545"/>
      <c r="Q179" s="1545"/>
      <c r="R179" s="1545"/>
      <c r="S179" s="1545"/>
      <c r="T179" s="1545"/>
      <c r="U179" s="1545"/>
      <c r="V179" s="1545"/>
      <c r="W179" s="1545"/>
      <c r="X179" s="1545"/>
      <c r="Y179" s="1545"/>
      <c r="Z179" s="1545"/>
      <c r="AA179" s="1545"/>
      <c r="AB179" s="1545"/>
      <c r="AC179" s="1545"/>
      <c r="AD179" s="1545"/>
      <c r="AE179" s="1545"/>
      <c r="AF179" s="1545"/>
      <c r="AG179" s="1545"/>
      <c r="AH179" s="1545"/>
      <c r="AI179" s="1545"/>
      <c r="AJ179" s="1545"/>
      <c r="AK179" s="1545"/>
      <c r="AL179" s="1545"/>
      <c r="AM179" s="1545"/>
      <c r="AN179" s="1545"/>
      <c r="AO179" s="1545"/>
    </row>
    <row r="180" spans="1:45" x14ac:dyDescent="0.35">
      <c r="B180" s="1537">
        <f t="shared" si="3"/>
        <v>175</v>
      </c>
      <c r="C180" s="1537" t="s">
        <v>1824</v>
      </c>
      <c r="D180" s="1537" t="s">
        <v>2257</v>
      </c>
      <c r="E180" s="1537" t="s">
        <v>2257</v>
      </c>
      <c r="F180" s="1537">
        <v>1</v>
      </c>
      <c r="G180" s="1539" t="s">
        <v>2258</v>
      </c>
      <c r="H180" s="1537" t="s">
        <v>1990</v>
      </c>
      <c r="I180" s="1537" t="s">
        <v>1991</v>
      </c>
      <c r="K180" s="1545">
        <v>3398</v>
      </c>
      <c r="L180" s="1545">
        <v>187.77</v>
      </c>
      <c r="M180" s="1551">
        <v>0</v>
      </c>
      <c r="N180" s="1551">
        <v>145</v>
      </c>
      <c r="O180" s="1551">
        <v>179</v>
      </c>
      <c r="P180" s="1551">
        <v>166</v>
      </c>
      <c r="Q180" s="1551">
        <v>165</v>
      </c>
      <c r="R180" s="1551">
        <v>182</v>
      </c>
      <c r="S180" s="1551">
        <v>177</v>
      </c>
      <c r="T180" s="1551">
        <v>236</v>
      </c>
      <c r="U180" s="1551">
        <v>295</v>
      </c>
      <c r="V180" s="1551">
        <v>351</v>
      </c>
      <c r="W180" s="1551">
        <v>370</v>
      </c>
      <c r="X180" s="1551">
        <v>371</v>
      </c>
      <c r="Y180" s="1551">
        <v>363</v>
      </c>
      <c r="Z180" s="1551">
        <v>389</v>
      </c>
      <c r="AA180" s="1551"/>
      <c r="AB180" s="1551"/>
      <c r="AC180" s="1551"/>
      <c r="AD180" s="1551"/>
      <c r="AE180" s="1551">
        <v>14</v>
      </c>
      <c r="AF180" s="1551">
        <v>45</v>
      </c>
      <c r="AG180" s="1551">
        <v>839</v>
      </c>
      <c r="AH180" s="1551">
        <v>323</v>
      </c>
      <c r="AI180" s="1551">
        <v>2</v>
      </c>
      <c r="AJ180" s="1551">
        <v>1874</v>
      </c>
      <c r="AK180" s="1551">
        <v>292</v>
      </c>
      <c r="AL180" s="1551">
        <v>1654</v>
      </c>
      <c r="AM180" s="1551">
        <v>1735</v>
      </c>
      <c r="AN180" s="1551">
        <v>2462</v>
      </c>
      <c r="AO180" s="1551">
        <v>207</v>
      </c>
      <c r="AP180" s="1537" t="s">
        <v>2259</v>
      </c>
      <c r="AQ180" s="1537" t="s">
        <v>890</v>
      </c>
      <c r="AS180" s="1552" t="s">
        <v>2260</v>
      </c>
    </row>
    <row r="181" spans="1:45" x14ac:dyDescent="0.35">
      <c r="B181" s="1537">
        <f t="shared" si="3"/>
        <v>176</v>
      </c>
      <c r="C181" s="1537" t="s">
        <v>1824</v>
      </c>
      <c r="D181" s="1537" t="s">
        <v>2261</v>
      </c>
      <c r="E181" s="1537" t="s">
        <v>2261</v>
      </c>
      <c r="F181" s="1537">
        <v>1</v>
      </c>
      <c r="G181" s="1550" t="s">
        <v>2039</v>
      </c>
      <c r="H181" s="1537" t="s">
        <v>1990</v>
      </c>
      <c r="I181" s="1537" t="s">
        <v>2059</v>
      </c>
      <c r="K181" s="1545">
        <v>652</v>
      </c>
      <c r="L181" s="1545">
        <v>38.25</v>
      </c>
      <c r="M181" s="1551">
        <v>0</v>
      </c>
      <c r="N181" s="1551">
        <v>0</v>
      </c>
      <c r="O181" s="1551">
        <v>0</v>
      </c>
      <c r="P181" s="1551">
        <v>0</v>
      </c>
      <c r="Q181" s="1551">
        <v>0</v>
      </c>
      <c r="R181" s="1551">
        <v>0</v>
      </c>
      <c r="S181" s="1551">
        <v>0</v>
      </c>
      <c r="T181" s="1551">
        <v>0</v>
      </c>
      <c r="U181" s="1551">
        <v>0</v>
      </c>
      <c r="V181" s="1551">
        <v>0</v>
      </c>
      <c r="W181" s="1551">
        <v>123</v>
      </c>
      <c r="X181" s="1551">
        <v>202</v>
      </c>
      <c r="Y181" s="1551">
        <v>155</v>
      </c>
      <c r="Z181" s="1551">
        <v>172</v>
      </c>
      <c r="AA181" s="1551"/>
      <c r="AB181" s="1551"/>
      <c r="AC181" s="1551"/>
      <c r="AD181" s="1551"/>
      <c r="AE181" s="1551">
        <v>4</v>
      </c>
      <c r="AF181" s="1551">
        <v>4</v>
      </c>
      <c r="AG181" s="1551">
        <v>151</v>
      </c>
      <c r="AH181" s="1551">
        <v>53</v>
      </c>
      <c r="AI181" s="1551">
        <v>0</v>
      </c>
      <c r="AJ181" s="1551">
        <v>395</v>
      </c>
      <c r="AK181" s="1551">
        <v>45</v>
      </c>
      <c r="AL181" s="1551">
        <v>317</v>
      </c>
      <c r="AM181" s="1551">
        <v>335</v>
      </c>
      <c r="AN181" s="1551">
        <v>468</v>
      </c>
      <c r="AO181" s="1551">
        <v>35</v>
      </c>
      <c r="AP181" s="1537" t="s">
        <v>2262</v>
      </c>
      <c r="AQ181" s="1552" t="s">
        <v>2263</v>
      </c>
      <c r="AR181" s="1552"/>
      <c r="AS181" s="1552" t="s">
        <v>2264</v>
      </c>
    </row>
    <row r="182" spans="1:45" x14ac:dyDescent="0.35">
      <c r="B182" s="1537">
        <f t="shared" si="3"/>
        <v>177</v>
      </c>
      <c r="C182" s="1537" t="s">
        <v>1824</v>
      </c>
      <c r="D182" s="1537" t="s">
        <v>2265</v>
      </c>
      <c r="E182" s="1537" t="s">
        <v>2265</v>
      </c>
      <c r="F182" s="1537">
        <v>1</v>
      </c>
      <c r="G182" s="1539" t="s">
        <v>2258</v>
      </c>
      <c r="H182" s="1537" t="s">
        <v>1990</v>
      </c>
      <c r="I182" s="1537" t="s">
        <v>1991</v>
      </c>
      <c r="K182" s="1545">
        <v>2308</v>
      </c>
      <c r="L182" s="1545">
        <v>124.3</v>
      </c>
      <c r="M182" s="1551">
        <v>0</v>
      </c>
      <c r="N182" s="1551">
        <v>139</v>
      </c>
      <c r="O182" s="1551">
        <v>176</v>
      </c>
      <c r="P182" s="1551">
        <v>138</v>
      </c>
      <c r="Q182" s="1551">
        <v>166</v>
      </c>
      <c r="R182" s="1551">
        <v>187</v>
      </c>
      <c r="S182" s="1551">
        <v>175</v>
      </c>
      <c r="T182" s="1551">
        <v>194</v>
      </c>
      <c r="U182" s="1551">
        <v>181</v>
      </c>
      <c r="V182" s="1551">
        <v>208</v>
      </c>
      <c r="W182" s="1551">
        <v>264</v>
      </c>
      <c r="X182" s="1551">
        <v>210</v>
      </c>
      <c r="Y182" s="1551">
        <v>136</v>
      </c>
      <c r="Z182" s="1551">
        <v>134</v>
      </c>
      <c r="AA182" s="1551"/>
      <c r="AB182" s="1551"/>
      <c r="AC182" s="1551"/>
      <c r="AD182" s="1551"/>
      <c r="AE182" s="1551">
        <v>14</v>
      </c>
      <c r="AF182" s="1551">
        <v>23</v>
      </c>
      <c r="AG182" s="1551">
        <v>700</v>
      </c>
      <c r="AH182" s="1551">
        <v>200</v>
      </c>
      <c r="AI182" s="1551">
        <v>0</v>
      </c>
      <c r="AJ182" s="1551">
        <v>1152</v>
      </c>
      <c r="AK182" s="1551">
        <v>219</v>
      </c>
      <c r="AL182" s="1551">
        <v>1131</v>
      </c>
      <c r="AM182" s="1551">
        <v>1177</v>
      </c>
      <c r="AN182" s="1551">
        <v>1755</v>
      </c>
      <c r="AO182" s="1551">
        <v>126</v>
      </c>
      <c r="AP182" s="1537" t="s">
        <v>2266</v>
      </c>
      <c r="AQ182" s="1537" t="s">
        <v>890</v>
      </c>
      <c r="AS182" s="1552" t="s">
        <v>2267</v>
      </c>
    </row>
    <row r="183" spans="1:45" x14ac:dyDescent="0.35">
      <c r="B183" s="1537">
        <f t="shared" si="3"/>
        <v>178</v>
      </c>
      <c r="C183" s="1537" t="s">
        <v>1824</v>
      </c>
      <c r="D183" s="1537" t="s">
        <v>2268</v>
      </c>
      <c r="E183" s="1537" t="s">
        <v>2268</v>
      </c>
      <c r="F183" s="1537">
        <v>1</v>
      </c>
      <c r="G183" s="1539" t="s">
        <v>1989</v>
      </c>
      <c r="H183" s="1537" t="s">
        <v>1990</v>
      </c>
      <c r="I183" s="1537" t="s">
        <v>1991</v>
      </c>
      <c r="K183" s="1545">
        <v>2895</v>
      </c>
      <c r="L183" s="1545">
        <v>160.29</v>
      </c>
      <c r="M183" s="1551">
        <v>0</v>
      </c>
      <c r="N183" s="1551">
        <v>125</v>
      </c>
      <c r="O183" s="1551">
        <v>102</v>
      </c>
      <c r="P183" s="1551">
        <v>140</v>
      </c>
      <c r="Q183" s="1551">
        <v>141</v>
      </c>
      <c r="R183" s="1551">
        <v>148</v>
      </c>
      <c r="S183" s="1551">
        <v>176</v>
      </c>
      <c r="T183" s="1551">
        <v>210</v>
      </c>
      <c r="U183" s="1551">
        <v>278</v>
      </c>
      <c r="V183" s="1551">
        <v>307</v>
      </c>
      <c r="W183" s="1551">
        <v>392</v>
      </c>
      <c r="X183" s="1551">
        <v>316</v>
      </c>
      <c r="Y183" s="1551">
        <v>271</v>
      </c>
      <c r="Z183" s="1551">
        <v>289</v>
      </c>
      <c r="AA183" s="1551"/>
      <c r="AB183" s="1551"/>
      <c r="AC183" s="1551"/>
      <c r="AD183" s="1551"/>
      <c r="AE183" s="1551">
        <v>19</v>
      </c>
      <c r="AF183" s="1551">
        <v>46</v>
      </c>
      <c r="AG183" s="1551">
        <v>798</v>
      </c>
      <c r="AH183" s="1551">
        <v>271</v>
      </c>
      <c r="AI183" s="1551">
        <v>1</v>
      </c>
      <c r="AJ183" s="1551">
        <v>1508</v>
      </c>
      <c r="AK183" s="1551">
        <v>252</v>
      </c>
      <c r="AL183" s="1551">
        <v>1388</v>
      </c>
      <c r="AM183" s="1551">
        <v>1507</v>
      </c>
      <c r="AN183" s="1551">
        <v>2097</v>
      </c>
      <c r="AO183" s="1551">
        <v>159</v>
      </c>
      <c r="AP183" s="1537" t="s">
        <v>2269</v>
      </c>
      <c r="AQ183" s="1552" t="s">
        <v>2270</v>
      </c>
      <c r="AR183" s="1537" t="s">
        <v>2009</v>
      </c>
      <c r="AS183" s="1552" t="s">
        <v>2271</v>
      </c>
    </row>
    <row r="184" spans="1:45" hidden="1" x14ac:dyDescent="0.35">
      <c r="B184" s="1537">
        <f t="shared" si="3"/>
        <v>179</v>
      </c>
      <c r="C184" s="1537" t="s">
        <v>1824</v>
      </c>
      <c r="D184" s="1530" t="s">
        <v>1998</v>
      </c>
      <c r="F184" s="1537">
        <v>1</v>
      </c>
      <c r="G184" s="1537" t="s">
        <v>1999</v>
      </c>
      <c r="H184" s="1537" t="s">
        <v>2000</v>
      </c>
      <c r="K184" s="1545"/>
      <c r="L184" s="1545"/>
      <c r="M184" s="1545"/>
      <c r="N184" s="1545"/>
      <c r="O184" s="1545"/>
      <c r="P184" s="1545"/>
      <c r="Q184" s="1545"/>
      <c r="R184" s="1545"/>
      <c r="S184" s="1545"/>
      <c r="T184" s="1545"/>
      <c r="U184" s="1545"/>
      <c r="V184" s="1545"/>
      <c r="W184" s="1545"/>
      <c r="X184" s="1545"/>
      <c r="Y184" s="1545"/>
      <c r="Z184" s="1545"/>
      <c r="AA184" s="1545"/>
      <c r="AB184" s="1545"/>
      <c r="AC184" s="1545"/>
      <c r="AD184" s="1545"/>
      <c r="AE184" s="1545"/>
      <c r="AF184" s="1545"/>
      <c r="AG184" s="1545"/>
      <c r="AH184" s="1545"/>
      <c r="AI184" s="1545"/>
      <c r="AJ184" s="1545"/>
      <c r="AK184" s="1545"/>
      <c r="AL184" s="1545"/>
      <c r="AM184" s="1545"/>
      <c r="AN184" s="1545"/>
      <c r="AO184" s="1545"/>
    </row>
    <row r="185" spans="1:45" hidden="1" x14ac:dyDescent="0.35">
      <c r="B185" s="1537">
        <f t="shared" si="3"/>
        <v>180</v>
      </c>
      <c r="C185" s="1537" t="s">
        <v>1824</v>
      </c>
      <c r="D185" s="1530" t="s">
        <v>2001</v>
      </c>
      <c r="F185" s="1537">
        <v>1</v>
      </c>
      <c r="G185" s="1537" t="s">
        <v>1989</v>
      </c>
      <c r="H185" s="1537" t="s">
        <v>2000</v>
      </c>
      <c r="K185" s="1545"/>
      <c r="L185" s="1545"/>
      <c r="M185" s="1545"/>
      <c r="N185" s="1545"/>
      <c r="O185" s="1545"/>
      <c r="P185" s="1545"/>
      <c r="Q185" s="1545"/>
      <c r="R185" s="1545"/>
      <c r="S185" s="1545"/>
      <c r="T185" s="1545"/>
      <c r="U185" s="1545"/>
      <c r="V185" s="1545"/>
      <c r="W185" s="1545"/>
      <c r="X185" s="1545"/>
      <c r="Y185" s="1545"/>
      <c r="Z185" s="1545"/>
      <c r="AA185" s="1545"/>
      <c r="AB185" s="1545"/>
      <c r="AC185" s="1545"/>
      <c r="AD185" s="1545"/>
      <c r="AE185" s="1545"/>
      <c r="AF185" s="1545"/>
      <c r="AG185" s="1545"/>
      <c r="AH185" s="1545"/>
      <c r="AI185" s="1545"/>
      <c r="AJ185" s="1545"/>
      <c r="AK185" s="1545"/>
      <c r="AL185" s="1545"/>
      <c r="AM185" s="1545"/>
      <c r="AN185" s="1545"/>
      <c r="AO185" s="1545"/>
    </row>
    <row r="186" spans="1:45" hidden="1" x14ac:dyDescent="0.35">
      <c r="B186" s="1537">
        <f t="shared" si="3"/>
        <v>181</v>
      </c>
      <c r="C186" s="1537" t="s">
        <v>1824</v>
      </c>
      <c r="D186" s="1530" t="s">
        <v>2002</v>
      </c>
      <c r="F186" s="1537">
        <v>1</v>
      </c>
      <c r="G186" s="1537" t="s">
        <v>1989</v>
      </c>
      <c r="H186" s="1537" t="s">
        <v>2000</v>
      </c>
      <c r="K186" s="1545"/>
      <c r="L186" s="1545"/>
      <c r="M186" s="1545"/>
      <c r="N186" s="1545"/>
      <c r="O186" s="1545"/>
      <c r="P186" s="1545"/>
      <c r="Q186" s="1545"/>
      <c r="R186" s="1545"/>
      <c r="S186" s="1545"/>
      <c r="T186" s="1545"/>
      <c r="U186" s="1545"/>
      <c r="V186" s="1545"/>
      <c r="W186" s="1545"/>
      <c r="X186" s="1545"/>
      <c r="Y186" s="1545"/>
      <c r="Z186" s="1545"/>
      <c r="AA186" s="1545"/>
      <c r="AB186" s="1545"/>
      <c r="AC186" s="1545"/>
      <c r="AD186" s="1545"/>
      <c r="AE186" s="1545"/>
      <c r="AF186" s="1545"/>
      <c r="AG186" s="1545"/>
      <c r="AH186" s="1545"/>
      <c r="AI186" s="1545"/>
      <c r="AJ186" s="1545"/>
      <c r="AK186" s="1545"/>
      <c r="AL186" s="1545"/>
      <c r="AM186" s="1545"/>
      <c r="AN186" s="1545"/>
      <c r="AO186" s="1545"/>
    </row>
    <row r="187" spans="1:45" hidden="1" x14ac:dyDescent="0.35">
      <c r="B187" s="1537">
        <f t="shared" si="3"/>
        <v>182</v>
      </c>
      <c r="C187" s="1537" t="s">
        <v>1824</v>
      </c>
      <c r="D187" s="1530" t="s">
        <v>2003</v>
      </c>
      <c r="F187" s="1537">
        <v>1</v>
      </c>
      <c r="G187" s="1553" t="s">
        <v>2004</v>
      </c>
      <c r="H187" s="1537" t="s">
        <v>2000</v>
      </c>
      <c r="K187" s="1545"/>
      <c r="L187" s="1545"/>
      <c r="M187" s="1545"/>
      <c r="N187" s="1545"/>
      <c r="O187" s="1545"/>
      <c r="P187" s="1545"/>
      <c r="Q187" s="1545"/>
      <c r="R187" s="1545"/>
      <c r="S187" s="1545"/>
      <c r="T187" s="1545"/>
      <c r="U187" s="1545"/>
      <c r="V187" s="1545"/>
      <c r="W187" s="1545"/>
      <c r="X187" s="1545"/>
      <c r="Y187" s="1545"/>
      <c r="Z187" s="1545"/>
      <c r="AA187" s="1545"/>
      <c r="AB187" s="1545"/>
      <c r="AC187" s="1545"/>
      <c r="AD187" s="1545"/>
      <c r="AE187" s="1545"/>
      <c r="AF187" s="1545"/>
      <c r="AG187" s="1545"/>
      <c r="AH187" s="1545"/>
      <c r="AI187" s="1545"/>
      <c r="AJ187" s="1545"/>
      <c r="AK187" s="1545"/>
      <c r="AL187" s="1545"/>
      <c r="AM187" s="1545"/>
      <c r="AN187" s="1545"/>
      <c r="AO187" s="1545"/>
    </row>
    <row r="188" spans="1:45" hidden="1" x14ac:dyDescent="0.35">
      <c r="B188" s="1537">
        <f t="shared" si="3"/>
        <v>183</v>
      </c>
      <c r="C188" s="1537" t="s">
        <v>1824</v>
      </c>
      <c r="D188" s="1530" t="s">
        <v>2005</v>
      </c>
      <c r="F188" s="1537">
        <v>1</v>
      </c>
      <c r="G188" s="1537" t="s">
        <v>1999</v>
      </c>
      <c r="H188" s="1537" t="s">
        <v>2000</v>
      </c>
      <c r="K188" s="1545"/>
      <c r="L188" s="1545"/>
      <c r="M188" s="1545"/>
      <c r="N188" s="1545"/>
      <c r="O188" s="1545"/>
      <c r="P188" s="1545"/>
      <c r="Q188" s="1545"/>
      <c r="R188" s="1545"/>
      <c r="S188" s="1545"/>
      <c r="T188" s="1545"/>
      <c r="U188" s="1545"/>
      <c r="V188" s="1545"/>
      <c r="W188" s="1545"/>
      <c r="X188" s="1545"/>
      <c r="Y188" s="1545"/>
      <c r="Z188" s="1545"/>
      <c r="AA188" s="1545"/>
      <c r="AB188" s="1545"/>
      <c r="AC188" s="1545"/>
      <c r="AD188" s="1545"/>
      <c r="AE188" s="1545"/>
      <c r="AF188" s="1545"/>
      <c r="AG188" s="1545"/>
      <c r="AH188" s="1545"/>
      <c r="AI188" s="1545"/>
      <c r="AJ188" s="1545"/>
      <c r="AK188" s="1545"/>
      <c r="AL188" s="1545"/>
      <c r="AM188" s="1545"/>
      <c r="AN188" s="1545"/>
      <c r="AO188" s="1545"/>
    </row>
    <row r="189" spans="1:45" x14ac:dyDescent="0.35">
      <c r="A189" s="1537" t="s">
        <v>2032</v>
      </c>
      <c r="B189" s="1537">
        <f t="shared" si="3"/>
        <v>184</v>
      </c>
      <c r="C189" s="1537" t="s">
        <v>1634</v>
      </c>
      <c r="D189" s="1537" t="s">
        <v>2272</v>
      </c>
      <c r="E189" s="1537" t="s">
        <v>2273</v>
      </c>
      <c r="F189" s="1537">
        <v>1</v>
      </c>
      <c r="G189" s="1539" t="s">
        <v>2067</v>
      </c>
      <c r="H189" s="1537" t="s">
        <v>1990</v>
      </c>
      <c r="I189" s="1537" t="s">
        <v>1991</v>
      </c>
      <c r="K189" s="1545">
        <v>544</v>
      </c>
      <c r="L189" s="1545">
        <v>39.659999999999997</v>
      </c>
      <c r="M189" s="1551">
        <v>0</v>
      </c>
      <c r="N189" s="1551">
        <v>45</v>
      </c>
      <c r="O189" s="1551">
        <v>57</v>
      </c>
      <c r="P189" s="1551">
        <v>65</v>
      </c>
      <c r="Q189" s="1551">
        <v>64</v>
      </c>
      <c r="R189" s="1551">
        <v>71</v>
      </c>
      <c r="S189" s="1551">
        <v>70</v>
      </c>
      <c r="T189" s="1551">
        <v>72</v>
      </c>
      <c r="U189" s="1551">
        <v>55</v>
      </c>
      <c r="V189" s="1551">
        <v>45</v>
      </c>
      <c r="W189" s="1551">
        <v>0</v>
      </c>
      <c r="X189" s="1551">
        <v>0</v>
      </c>
      <c r="Y189" s="1551">
        <v>0</v>
      </c>
      <c r="Z189" s="1551">
        <v>0</v>
      </c>
      <c r="AA189" s="1551"/>
      <c r="AB189" s="1551"/>
      <c r="AC189" s="1551"/>
      <c r="AD189" s="1551"/>
      <c r="AE189" s="1551">
        <v>0</v>
      </c>
      <c r="AF189" s="1551">
        <v>5</v>
      </c>
      <c r="AG189" s="1551">
        <v>434</v>
      </c>
      <c r="AH189" s="1551">
        <v>20</v>
      </c>
      <c r="AI189" s="1551">
        <v>1</v>
      </c>
      <c r="AJ189" s="1551">
        <v>69</v>
      </c>
      <c r="AK189" s="1551">
        <v>15</v>
      </c>
      <c r="AL189" s="1551">
        <v>279</v>
      </c>
      <c r="AM189" s="1551">
        <v>265</v>
      </c>
      <c r="AN189" s="1551">
        <v>432</v>
      </c>
      <c r="AO189" s="1551">
        <v>28</v>
      </c>
      <c r="AP189" s="1537" t="s">
        <v>2274</v>
      </c>
      <c r="AQ189" s="1552" t="s">
        <v>890</v>
      </c>
      <c r="AR189" s="1552"/>
      <c r="AS189" s="1552" t="s">
        <v>2275</v>
      </c>
    </row>
    <row r="190" spans="1:45" x14ac:dyDescent="0.35">
      <c r="B190" s="1537">
        <f t="shared" si="3"/>
        <v>185</v>
      </c>
      <c r="C190" s="1537" t="s">
        <v>1634</v>
      </c>
      <c r="D190" s="1537" t="s">
        <v>2276</v>
      </c>
      <c r="E190" s="1537" t="s">
        <v>2277</v>
      </c>
      <c r="F190" s="1537">
        <v>1</v>
      </c>
      <c r="G190" s="1550" t="s">
        <v>2106</v>
      </c>
      <c r="H190" s="1537" t="s">
        <v>1990</v>
      </c>
      <c r="I190" s="1537" t="s">
        <v>1991</v>
      </c>
      <c r="K190" s="1545">
        <v>366</v>
      </c>
      <c r="L190" s="1545">
        <v>22.41</v>
      </c>
      <c r="M190" s="1551">
        <v>0</v>
      </c>
      <c r="N190" s="1551">
        <v>0</v>
      </c>
      <c r="O190" s="1551">
        <v>0</v>
      </c>
      <c r="P190" s="1551">
        <v>0</v>
      </c>
      <c r="Q190" s="1551">
        <v>0</v>
      </c>
      <c r="R190" s="1551">
        <v>0</v>
      </c>
      <c r="S190" s="1551">
        <v>0</v>
      </c>
      <c r="T190" s="1551">
        <v>5</v>
      </c>
      <c r="U190" s="1551">
        <v>29</v>
      </c>
      <c r="V190" s="1551">
        <v>34</v>
      </c>
      <c r="W190" s="1551">
        <v>34</v>
      </c>
      <c r="X190" s="1551">
        <v>55</v>
      </c>
      <c r="Y190" s="1551">
        <v>82</v>
      </c>
      <c r="Z190" s="1551">
        <v>127</v>
      </c>
      <c r="AA190" s="1551"/>
      <c r="AB190" s="1551"/>
      <c r="AC190" s="1551"/>
      <c r="AD190" s="1551"/>
      <c r="AE190" s="1551">
        <v>3</v>
      </c>
      <c r="AF190" s="1551">
        <v>7</v>
      </c>
      <c r="AG190" s="1551">
        <v>54</v>
      </c>
      <c r="AH190" s="1551">
        <v>40</v>
      </c>
      <c r="AI190" s="1551">
        <v>0</v>
      </c>
      <c r="AJ190" s="1551">
        <v>238</v>
      </c>
      <c r="AK190" s="1551">
        <v>24</v>
      </c>
      <c r="AL190" s="1551">
        <v>161</v>
      </c>
      <c r="AM190" s="1551">
        <v>205</v>
      </c>
      <c r="AN190" s="1551">
        <v>205</v>
      </c>
      <c r="AO190" s="1551">
        <v>33</v>
      </c>
      <c r="AP190" s="1537" t="s">
        <v>2278</v>
      </c>
      <c r="AQ190" s="1552" t="s">
        <v>2279</v>
      </c>
      <c r="AR190" s="1552"/>
      <c r="AS190" s="1552" t="s">
        <v>2280</v>
      </c>
    </row>
    <row r="191" spans="1:45" hidden="1" x14ac:dyDescent="0.35">
      <c r="B191" s="1537">
        <f t="shared" si="3"/>
        <v>186</v>
      </c>
      <c r="C191" s="1537" t="s">
        <v>1634</v>
      </c>
      <c r="D191" s="1530" t="s">
        <v>1998</v>
      </c>
      <c r="F191" s="1537">
        <v>1</v>
      </c>
      <c r="G191" s="1537" t="s">
        <v>1999</v>
      </c>
      <c r="H191" s="1537" t="s">
        <v>2000</v>
      </c>
      <c r="K191" s="1545"/>
      <c r="L191" s="1545"/>
      <c r="M191" s="1545"/>
      <c r="N191" s="1545"/>
      <c r="O191" s="1545"/>
      <c r="P191" s="1545"/>
      <c r="Q191" s="1545"/>
      <c r="R191" s="1545"/>
      <c r="S191" s="1545"/>
      <c r="T191" s="1545"/>
      <c r="U191" s="1545"/>
      <c r="V191" s="1545"/>
      <c r="W191" s="1545"/>
      <c r="X191" s="1545"/>
      <c r="Y191" s="1545"/>
      <c r="Z191" s="1545"/>
      <c r="AA191" s="1545"/>
      <c r="AB191" s="1545"/>
      <c r="AC191" s="1545"/>
      <c r="AD191" s="1545"/>
      <c r="AE191" s="1545"/>
      <c r="AF191" s="1545"/>
      <c r="AG191" s="1545"/>
      <c r="AH191" s="1545"/>
      <c r="AI191" s="1545"/>
      <c r="AJ191" s="1545"/>
      <c r="AK191" s="1545"/>
      <c r="AL191" s="1545"/>
      <c r="AM191" s="1545"/>
      <c r="AN191" s="1545"/>
      <c r="AO191" s="1545"/>
    </row>
    <row r="192" spans="1:45" hidden="1" x14ac:dyDescent="0.35">
      <c r="B192" s="1537">
        <f t="shared" si="3"/>
        <v>187</v>
      </c>
      <c r="C192" s="1537" t="s">
        <v>1634</v>
      </c>
      <c r="D192" s="1530" t="s">
        <v>2001</v>
      </c>
      <c r="F192" s="1537">
        <v>1</v>
      </c>
      <c r="G192" s="1537" t="s">
        <v>1989</v>
      </c>
      <c r="H192" s="1537" t="s">
        <v>2000</v>
      </c>
      <c r="K192" s="1545"/>
      <c r="L192" s="1545"/>
      <c r="M192" s="1545"/>
      <c r="N192" s="1545"/>
      <c r="O192" s="1545"/>
      <c r="P192" s="1545"/>
      <c r="Q192" s="1545"/>
      <c r="R192" s="1545"/>
      <c r="S192" s="1545"/>
      <c r="T192" s="1545"/>
      <c r="U192" s="1545"/>
      <c r="V192" s="1545"/>
      <c r="W192" s="1545"/>
      <c r="X192" s="1545"/>
      <c r="Y192" s="1545"/>
      <c r="Z192" s="1545"/>
      <c r="AA192" s="1545"/>
      <c r="AB192" s="1545"/>
      <c r="AC192" s="1545"/>
      <c r="AD192" s="1545"/>
      <c r="AE192" s="1545"/>
      <c r="AF192" s="1545"/>
      <c r="AG192" s="1545"/>
      <c r="AH192" s="1545"/>
      <c r="AI192" s="1545"/>
      <c r="AJ192" s="1545"/>
      <c r="AK192" s="1545"/>
      <c r="AL192" s="1545"/>
      <c r="AM192" s="1545"/>
      <c r="AN192" s="1545"/>
      <c r="AO192" s="1545"/>
    </row>
    <row r="193" spans="1:45" hidden="1" x14ac:dyDescent="0.35">
      <c r="B193" s="1537">
        <f t="shared" si="3"/>
        <v>188</v>
      </c>
      <c r="C193" s="1537" t="s">
        <v>1634</v>
      </c>
      <c r="D193" s="1530" t="s">
        <v>2002</v>
      </c>
      <c r="F193" s="1537">
        <v>1</v>
      </c>
      <c r="G193" s="1537" t="s">
        <v>1989</v>
      </c>
      <c r="H193" s="1537" t="s">
        <v>2000</v>
      </c>
      <c r="K193" s="1545"/>
      <c r="L193" s="1545"/>
      <c r="M193" s="1545"/>
      <c r="N193" s="1545"/>
      <c r="O193" s="1545"/>
      <c r="P193" s="1545"/>
      <c r="Q193" s="1545"/>
      <c r="R193" s="1545"/>
      <c r="S193" s="1545"/>
      <c r="T193" s="1545"/>
      <c r="U193" s="1545"/>
      <c r="V193" s="1545"/>
      <c r="W193" s="1545"/>
      <c r="X193" s="1545"/>
      <c r="Y193" s="1545"/>
      <c r="Z193" s="1545"/>
      <c r="AA193" s="1545"/>
      <c r="AB193" s="1545"/>
      <c r="AC193" s="1545"/>
      <c r="AD193" s="1545"/>
      <c r="AE193" s="1545"/>
      <c r="AF193" s="1545"/>
      <c r="AG193" s="1545"/>
      <c r="AH193" s="1545"/>
      <c r="AI193" s="1545"/>
      <c r="AJ193" s="1545"/>
      <c r="AK193" s="1545"/>
      <c r="AL193" s="1545"/>
      <c r="AM193" s="1545"/>
      <c r="AN193" s="1545"/>
      <c r="AO193" s="1545"/>
    </row>
    <row r="194" spans="1:45" hidden="1" x14ac:dyDescent="0.35">
      <c r="B194" s="1537">
        <f t="shared" si="3"/>
        <v>189</v>
      </c>
      <c r="C194" s="1537" t="s">
        <v>1634</v>
      </c>
      <c r="D194" s="1530" t="s">
        <v>2003</v>
      </c>
      <c r="F194" s="1537">
        <v>1</v>
      </c>
      <c r="G194" s="1553" t="s">
        <v>2004</v>
      </c>
      <c r="H194" s="1537" t="s">
        <v>2000</v>
      </c>
      <c r="K194" s="1545"/>
      <c r="L194" s="1545"/>
      <c r="M194" s="1545"/>
      <c r="N194" s="1545"/>
      <c r="O194" s="1545"/>
      <c r="P194" s="1545"/>
      <c r="Q194" s="1545"/>
      <c r="R194" s="1545"/>
      <c r="S194" s="1545"/>
      <c r="T194" s="1545"/>
      <c r="U194" s="1545"/>
      <c r="V194" s="1545"/>
      <c r="W194" s="1545"/>
      <c r="X194" s="1545"/>
      <c r="Y194" s="1545"/>
      <c r="Z194" s="1545"/>
      <c r="AA194" s="1545"/>
      <c r="AB194" s="1545"/>
      <c r="AC194" s="1545"/>
      <c r="AD194" s="1545"/>
      <c r="AE194" s="1545"/>
      <c r="AF194" s="1545"/>
      <c r="AG194" s="1545"/>
      <c r="AH194" s="1545"/>
      <c r="AI194" s="1545"/>
      <c r="AJ194" s="1545"/>
      <c r="AK194" s="1545"/>
      <c r="AL194" s="1545"/>
      <c r="AM194" s="1545"/>
      <c r="AN194" s="1545"/>
      <c r="AO194" s="1545"/>
    </row>
    <row r="195" spans="1:45" hidden="1" x14ac:dyDescent="0.35">
      <c r="B195" s="1537">
        <f t="shared" si="3"/>
        <v>190</v>
      </c>
      <c r="C195" s="1537" t="s">
        <v>1634</v>
      </c>
      <c r="D195" s="1530" t="s">
        <v>2005</v>
      </c>
      <c r="F195" s="1537">
        <v>1</v>
      </c>
      <c r="G195" s="1537" t="s">
        <v>1999</v>
      </c>
      <c r="H195" s="1537" t="s">
        <v>2000</v>
      </c>
      <c r="K195" s="1545"/>
      <c r="L195" s="1545"/>
      <c r="M195" s="1545"/>
      <c r="N195" s="1545"/>
      <c r="O195" s="1545"/>
      <c r="P195" s="1545"/>
      <c r="Q195" s="1545"/>
      <c r="R195" s="1545"/>
      <c r="S195" s="1545"/>
      <c r="T195" s="1545"/>
      <c r="U195" s="1545"/>
      <c r="V195" s="1545"/>
      <c r="W195" s="1545"/>
      <c r="X195" s="1545"/>
      <c r="Y195" s="1545"/>
      <c r="Z195" s="1545"/>
      <c r="AA195" s="1545"/>
      <c r="AB195" s="1545"/>
      <c r="AC195" s="1545"/>
      <c r="AD195" s="1545"/>
      <c r="AE195" s="1545"/>
      <c r="AF195" s="1545"/>
      <c r="AG195" s="1545"/>
      <c r="AH195" s="1545"/>
      <c r="AI195" s="1545"/>
      <c r="AJ195" s="1545"/>
      <c r="AK195" s="1545"/>
      <c r="AL195" s="1545"/>
      <c r="AM195" s="1545"/>
      <c r="AN195" s="1545"/>
      <c r="AO195" s="1545"/>
    </row>
    <row r="196" spans="1:45" x14ac:dyDescent="0.35">
      <c r="A196" s="1537" t="s">
        <v>2020</v>
      </c>
      <c r="B196" s="1537">
        <f t="shared" si="3"/>
        <v>191</v>
      </c>
      <c r="C196" s="1537" t="s">
        <v>1634</v>
      </c>
      <c r="D196" s="1530" t="s">
        <v>2281</v>
      </c>
      <c r="G196" s="1539" t="s">
        <v>1989</v>
      </c>
      <c r="H196" s="1537" t="s">
        <v>1990</v>
      </c>
      <c r="K196" s="1545"/>
      <c r="L196" s="1545"/>
      <c r="M196" s="1551"/>
      <c r="N196" s="1551"/>
      <c r="O196" s="1551"/>
      <c r="P196" s="1551"/>
      <c r="Q196" s="1551"/>
      <c r="R196" s="1551"/>
      <c r="S196" s="1551"/>
      <c r="T196" s="1551"/>
      <c r="U196" s="1551"/>
      <c r="V196" s="1551"/>
      <c r="W196" s="1551"/>
      <c r="X196" s="1551"/>
      <c r="Y196" s="1551"/>
      <c r="Z196" s="1551"/>
      <c r="AA196" s="1551"/>
      <c r="AB196" s="1551"/>
      <c r="AC196" s="1551"/>
      <c r="AD196" s="1551"/>
      <c r="AE196" s="1551"/>
      <c r="AF196" s="1551"/>
      <c r="AG196" s="1551"/>
      <c r="AH196" s="1551"/>
      <c r="AI196" s="1551"/>
      <c r="AJ196" s="1551"/>
      <c r="AK196" s="1551"/>
      <c r="AL196" s="1551"/>
      <c r="AM196" s="1551"/>
      <c r="AN196" s="1551"/>
      <c r="AO196" s="1551"/>
    </row>
    <row r="197" spans="1:45" hidden="1" x14ac:dyDescent="0.35">
      <c r="B197" s="1537">
        <f t="shared" si="3"/>
        <v>192</v>
      </c>
      <c r="C197" s="1537" t="s">
        <v>2282</v>
      </c>
      <c r="D197" s="1530" t="s">
        <v>1998</v>
      </c>
      <c r="F197" s="1537">
        <v>1</v>
      </c>
      <c r="G197" s="1537" t="s">
        <v>1999</v>
      </c>
      <c r="H197" s="1537" t="s">
        <v>2000</v>
      </c>
      <c r="K197" s="1545"/>
      <c r="L197" s="1545"/>
      <c r="M197" s="1545"/>
      <c r="N197" s="1545"/>
      <c r="O197" s="1545"/>
      <c r="P197" s="1545"/>
      <c r="Q197" s="1545"/>
      <c r="R197" s="1545"/>
      <c r="S197" s="1545"/>
      <c r="T197" s="1545"/>
      <c r="U197" s="1545"/>
      <c r="V197" s="1545"/>
      <c r="W197" s="1545"/>
      <c r="X197" s="1545"/>
      <c r="Y197" s="1545"/>
      <c r="Z197" s="1545"/>
      <c r="AA197" s="1545"/>
      <c r="AB197" s="1545"/>
      <c r="AC197" s="1545"/>
      <c r="AD197" s="1545"/>
      <c r="AE197" s="1545"/>
      <c r="AF197" s="1545"/>
      <c r="AG197" s="1545"/>
      <c r="AH197" s="1545"/>
      <c r="AI197" s="1545"/>
      <c r="AJ197" s="1545"/>
      <c r="AK197" s="1545"/>
      <c r="AL197" s="1545"/>
      <c r="AM197" s="1545"/>
      <c r="AN197" s="1545"/>
      <c r="AO197" s="1545"/>
    </row>
    <row r="198" spans="1:45" hidden="1" x14ac:dyDescent="0.35">
      <c r="B198" s="1537">
        <f t="shared" si="3"/>
        <v>193</v>
      </c>
      <c r="C198" s="1537" t="s">
        <v>2282</v>
      </c>
      <c r="D198" s="1530" t="s">
        <v>2001</v>
      </c>
      <c r="F198" s="1537">
        <v>1</v>
      </c>
      <c r="G198" s="1537" t="s">
        <v>1989</v>
      </c>
      <c r="H198" s="1537" t="s">
        <v>2000</v>
      </c>
      <c r="K198" s="1545"/>
      <c r="L198" s="1545"/>
      <c r="M198" s="1545"/>
      <c r="N198" s="1545"/>
      <c r="O198" s="1545"/>
      <c r="P198" s="1545"/>
      <c r="Q198" s="1545"/>
      <c r="R198" s="1545"/>
      <c r="S198" s="1545"/>
      <c r="T198" s="1545"/>
      <c r="U198" s="1545"/>
      <c r="V198" s="1545"/>
      <c r="W198" s="1545"/>
      <c r="X198" s="1545"/>
      <c r="Y198" s="1545"/>
      <c r="Z198" s="1545"/>
      <c r="AA198" s="1545"/>
      <c r="AB198" s="1545"/>
      <c r="AC198" s="1545"/>
      <c r="AD198" s="1545"/>
      <c r="AE198" s="1545"/>
      <c r="AF198" s="1545"/>
      <c r="AG198" s="1545"/>
      <c r="AH198" s="1545"/>
      <c r="AI198" s="1545"/>
      <c r="AJ198" s="1545"/>
      <c r="AK198" s="1545"/>
      <c r="AL198" s="1545"/>
      <c r="AM198" s="1545"/>
      <c r="AN198" s="1545"/>
      <c r="AO198" s="1545"/>
    </row>
    <row r="199" spans="1:45" hidden="1" x14ac:dyDescent="0.35">
      <c r="B199" s="1537">
        <f t="shared" si="3"/>
        <v>194</v>
      </c>
      <c r="C199" s="1537" t="s">
        <v>2282</v>
      </c>
      <c r="D199" s="1530" t="s">
        <v>2002</v>
      </c>
      <c r="F199" s="1537">
        <v>1</v>
      </c>
      <c r="G199" s="1537" t="s">
        <v>1989</v>
      </c>
      <c r="H199" s="1537" t="s">
        <v>2000</v>
      </c>
      <c r="K199" s="1545"/>
      <c r="L199" s="1545"/>
      <c r="M199" s="1545"/>
      <c r="N199" s="1545"/>
      <c r="O199" s="1545"/>
      <c r="P199" s="1545"/>
      <c r="Q199" s="1545"/>
      <c r="R199" s="1545"/>
      <c r="S199" s="1545"/>
      <c r="T199" s="1545"/>
      <c r="U199" s="1545"/>
      <c r="V199" s="1545"/>
      <c r="W199" s="1545"/>
      <c r="X199" s="1545"/>
      <c r="Y199" s="1545"/>
      <c r="Z199" s="1545"/>
      <c r="AA199" s="1545"/>
      <c r="AB199" s="1545"/>
      <c r="AC199" s="1545"/>
      <c r="AD199" s="1545"/>
      <c r="AE199" s="1545"/>
      <c r="AF199" s="1545"/>
      <c r="AG199" s="1545"/>
      <c r="AH199" s="1545"/>
      <c r="AI199" s="1545"/>
      <c r="AJ199" s="1545"/>
      <c r="AK199" s="1545"/>
      <c r="AL199" s="1545"/>
      <c r="AM199" s="1545"/>
      <c r="AN199" s="1545"/>
      <c r="AO199" s="1545"/>
    </row>
    <row r="200" spans="1:45" hidden="1" x14ac:dyDescent="0.35">
      <c r="B200" s="1537">
        <f t="shared" ref="B200:B263" si="4">+B199+1</f>
        <v>195</v>
      </c>
      <c r="C200" s="1537" t="s">
        <v>2282</v>
      </c>
      <c r="D200" s="1530" t="s">
        <v>2003</v>
      </c>
      <c r="F200" s="1537">
        <v>1</v>
      </c>
      <c r="G200" s="1553" t="s">
        <v>2004</v>
      </c>
      <c r="H200" s="1537" t="s">
        <v>2000</v>
      </c>
      <c r="K200" s="1545"/>
      <c r="L200" s="1545"/>
      <c r="M200" s="1545"/>
      <c r="N200" s="1545"/>
      <c r="O200" s="1545"/>
      <c r="P200" s="1545"/>
      <c r="Q200" s="1545"/>
      <c r="R200" s="1545"/>
      <c r="S200" s="1545"/>
      <c r="T200" s="1545"/>
      <c r="U200" s="1545"/>
      <c r="V200" s="1545"/>
      <c r="W200" s="1545"/>
      <c r="X200" s="1545"/>
      <c r="Y200" s="1545"/>
      <c r="Z200" s="1545"/>
      <c r="AA200" s="1545"/>
      <c r="AB200" s="1545"/>
      <c r="AC200" s="1545"/>
      <c r="AD200" s="1545"/>
      <c r="AE200" s="1545"/>
      <c r="AF200" s="1545"/>
      <c r="AG200" s="1545"/>
      <c r="AH200" s="1545"/>
      <c r="AI200" s="1545"/>
      <c r="AJ200" s="1545"/>
      <c r="AK200" s="1545"/>
      <c r="AL200" s="1545"/>
      <c r="AM200" s="1545"/>
      <c r="AN200" s="1545"/>
      <c r="AO200" s="1545"/>
    </row>
    <row r="201" spans="1:45" hidden="1" x14ac:dyDescent="0.35">
      <c r="B201" s="1537">
        <f t="shared" si="4"/>
        <v>196</v>
      </c>
      <c r="C201" s="1537" t="s">
        <v>2282</v>
      </c>
      <c r="D201" s="1530" t="s">
        <v>2005</v>
      </c>
      <c r="F201" s="1537">
        <v>1</v>
      </c>
      <c r="G201" s="1537" t="s">
        <v>1999</v>
      </c>
      <c r="H201" s="1537" t="s">
        <v>2000</v>
      </c>
      <c r="K201" s="1545"/>
      <c r="L201" s="1545"/>
      <c r="M201" s="1545"/>
      <c r="N201" s="1545"/>
      <c r="O201" s="1545"/>
      <c r="P201" s="1545"/>
      <c r="Q201" s="1545"/>
      <c r="R201" s="1545"/>
      <c r="S201" s="1545"/>
      <c r="T201" s="1545"/>
      <c r="U201" s="1545"/>
      <c r="V201" s="1545"/>
      <c r="W201" s="1545"/>
      <c r="X201" s="1545"/>
      <c r="Y201" s="1545"/>
      <c r="Z201" s="1545"/>
      <c r="AA201" s="1545"/>
      <c r="AB201" s="1545"/>
      <c r="AC201" s="1545"/>
      <c r="AD201" s="1545"/>
      <c r="AE201" s="1545"/>
      <c r="AF201" s="1545"/>
      <c r="AG201" s="1545"/>
      <c r="AH201" s="1545"/>
      <c r="AI201" s="1545"/>
      <c r="AJ201" s="1545"/>
      <c r="AK201" s="1545"/>
      <c r="AL201" s="1545"/>
      <c r="AM201" s="1545"/>
      <c r="AN201" s="1545"/>
      <c r="AO201" s="1545"/>
    </row>
    <row r="202" spans="1:45" x14ac:dyDescent="0.35">
      <c r="B202" s="1537">
        <f t="shared" si="4"/>
        <v>197</v>
      </c>
      <c r="C202" s="1537" t="s">
        <v>1635</v>
      </c>
      <c r="D202" s="1537" t="s">
        <v>2283</v>
      </c>
      <c r="E202" s="1537" t="s">
        <v>2283</v>
      </c>
      <c r="F202" s="1537">
        <v>1</v>
      </c>
      <c r="G202" s="1539" t="s">
        <v>1989</v>
      </c>
      <c r="H202" s="1537" t="s">
        <v>1990</v>
      </c>
      <c r="I202" s="1537" t="s">
        <v>1991</v>
      </c>
      <c r="K202" s="1545">
        <v>173</v>
      </c>
      <c r="L202" s="1545" t="s">
        <v>890</v>
      </c>
      <c r="M202" s="1551">
        <v>0</v>
      </c>
      <c r="N202" s="1551">
        <v>23</v>
      </c>
      <c r="O202" s="1551">
        <v>10</v>
      </c>
      <c r="P202" s="1551">
        <v>13</v>
      </c>
      <c r="Q202" s="1551">
        <v>8</v>
      </c>
      <c r="R202" s="1551">
        <v>13</v>
      </c>
      <c r="S202" s="1551">
        <v>16</v>
      </c>
      <c r="T202" s="1551">
        <v>22</v>
      </c>
      <c r="U202" s="1551">
        <v>20</v>
      </c>
      <c r="V202" s="1551">
        <v>25</v>
      </c>
      <c r="W202" s="1551">
        <v>23</v>
      </c>
      <c r="X202" s="1551">
        <v>0</v>
      </c>
      <c r="Y202" s="1551">
        <v>0</v>
      </c>
      <c r="Z202" s="1551">
        <v>0</v>
      </c>
      <c r="AA202" s="1551"/>
      <c r="AB202" s="1551"/>
      <c r="AC202" s="1551"/>
      <c r="AD202" s="1551"/>
      <c r="AE202" s="1551">
        <v>6</v>
      </c>
      <c r="AF202" s="1551">
        <v>1</v>
      </c>
      <c r="AG202" s="1551">
        <v>66</v>
      </c>
      <c r="AH202" s="1551">
        <v>9</v>
      </c>
      <c r="AI202" s="1551">
        <v>1</v>
      </c>
      <c r="AJ202" s="1551">
        <v>90</v>
      </c>
      <c r="AK202" s="1551">
        <v>0</v>
      </c>
      <c r="AL202" s="1551">
        <v>99</v>
      </c>
      <c r="AM202" s="1551">
        <v>74</v>
      </c>
      <c r="AN202" s="1551">
        <v>68</v>
      </c>
      <c r="AO202" s="1551">
        <v>23</v>
      </c>
      <c r="AP202" s="1537" t="s">
        <v>2284</v>
      </c>
      <c r="AQ202" s="1537" t="s">
        <v>890</v>
      </c>
      <c r="AS202" s="1552" t="s">
        <v>2285</v>
      </c>
    </row>
    <row r="203" spans="1:45" x14ac:dyDescent="0.35">
      <c r="B203" s="1537">
        <f t="shared" si="4"/>
        <v>198</v>
      </c>
      <c r="C203" s="1537" t="s">
        <v>1635</v>
      </c>
      <c r="D203" s="1537" t="s">
        <v>2286</v>
      </c>
      <c r="E203" s="1537" t="s">
        <v>2286</v>
      </c>
      <c r="F203" s="1537">
        <v>1</v>
      </c>
      <c r="G203" s="1539" t="s">
        <v>1989</v>
      </c>
      <c r="H203" s="1537" t="s">
        <v>1990</v>
      </c>
      <c r="I203" s="1537" t="s">
        <v>1991</v>
      </c>
      <c r="K203" s="1545">
        <v>1738</v>
      </c>
      <c r="L203" s="1545" t="s">
        <v>890</v>
      </c>
      <c r="M203" s="1551">
        <v>0</v>
      </c>
      <c r="N203" s="1551">
        <v>82</v>
      </c>
      <c r="O203" s="1551">
        <v>73</v>
      </c>
      <c r="P203" s="1551">
        <v>72</v>
      </c>
      <c r="Q203" s="1551">
        <v>82</v>
      </c>
      <c r="R203" s="1551">
        <v>91</v>
      </c>
      <c r="S203" s="1551">
        <v>109</v>
      </c>
      <c r="T203" s="1551">
        <v>124</v>
      </c>
      <c r="U203" s="1551">
        <v>165</v>
      </c>
      <c r="V203" s="1551">
        <v>199</v>
      </c>
      <c r="W203" s="1551">
        <v>195</v>
      </c>
      <c r="X203" s="1551">
        <v>240</v>
      </c>
      <c r="Y203" s="1551">
        <v>207</v>
      </c>
      <c r="Z203" s="1551">
        <v>99</v>
      </c>
      <c r="AA203" s="1551"/>
      <c r="AB203" s="1551"/>
      <c r="AC203" s="1551"/>
      <c r="AD203" s="1551"/>
      <c r="AE203" s="1551">
        <v>20</v>
      </c>
      <c r="AF203" s="1551">
        <v>25</v>
      </c>
      <c r="AG203" s="1551">
        <v>558</v>
      </c>
      <c r="AH203" s="1551">
        <v>82</v>
      </c>
      <c r="AI203" s="1551">
        <v>7</v>
      </c>
      <c r="AJ203" s="1551">
        <v>1045</v>
      </c>
      <c r="AK203" s="1551">
        <v>1</v>
      </c>
      <c r="AL203" s="1551">
        <v>807</v>
      </c>
      <c r="AM203" s="1551">
        <v>931</v>
      </c>
      <c r="AN203" s="1551">
        <v>706</v>
      </c>
      <c r="AO203" s="1551">
        <v>231</v>
      </c>
      <c r="AP203" s="1537" t="s">
        <v>2287</v>
      </c>
      <c r="AQ203" s="1537" t="s">
        <v>890</v>
      </c>
      <c r="AS203" s="1552" t="s">
        <v>2288</v>
      </c>
    </row>
    <row r="204" spans="1:45" hidden="1" x14ac:dyDescent="0.35">
      <c r="B204" s="1537">
        <f t="shared" si="4"/>
        <v>199</v>
      </c>
      <c r="C204" s="1537" t="s">
        <v>1635</v>
      </c>
      <c r="D204" s="1530" t="s">
        <v>1998</v>
      </c>
      <c r="F204" s="1537">
        <v>1</v>
      </c>
      <c r="G204" s="1537" t="s">
        <v>1999</v>
      </c>
      <c r="H204" s="1537" t="s">
        <v>2000</v>
      </c>
      <c r="K204" s="1545"/>
      <c r="L204" s="1545"/>
      <c r="M204" s="1545"/>
      <c r="N204" s="1545"/>
      <c r="O204" s="1545"/>
      <c r="P204" s="1545"/>
      <c r="Q204" s="1545"/>
      <c r="R204" s="1545"/>
      <c r="S204" s="1545"/>
      <c r="T204" s="1545"/>
      <c r="U204" s="1545"/>
      <c r="V204" s="1545"/>
      <c r="W204" s="1545"/>
      <c r="X204" s="1545"/>
      <c r="Y204" s="1545"/>
      <c r="Z204" s="1545"/>
      <c r="AA204" s="1545"/>
      <c r="AB204" s="1545"/>
      <c r="AC204" s="1545"/>
      <c r="AD204" s="1545"/>
      <c r="AE204" s="1545"/>
      <c r="AF204" s="1545"/>
      <c r="AG204" s="1545"/>
      <c r="AH204" s="1545"/>
      <c r="AI204" s="1545"/>
      <c r="AJ204" s="1545"/>
      <c r="AK204" s="1545"/>
      <c r="AL204" s="1545"/>
      <c r="AM204" s="1545"/>
      <c r="AN204" s="1545"/>
      <c r="AO204" s="1545"/>
    </row>
    <row r="205" spans="1:45" hidden="1" x14ac:dyDescent="0.35">
      <c r="B205" s="1537">
        <f t="shared" si="4"/>
        <v>200</v>
      </c>
      <c r="C205" s="1537" t="s">
        <v>1635</v>
      </c>
      <c r="D205" s="1530" t="s">
        <v>2001</v>
      </c>
      <c r="F205" s="1537">
        <v>1</v>
      </c>
      <c r="G205" s="1537" t="s">
        <v>1989</v>
      </c>
      <c r="H205" s="1537" t="s">
        <v>2000</v>
      </c>
      <c r="K205" s="1545"/>
      <c r="L205" s="1545"/>
      <c r="M205" s="1545"/>
      <c r="N205" s="1545"/>
      <c r="O205" s="1545"/>
      <c r="P205" s="1545"/>
      <c r="Q205" s="1545"/>
      <c r="R205" s="1545"/>
      <c r="S205" s="1545"/>
      <c r="T205" s="1545"/>
      <c r="U205" s="1545"/>
      <c r="V205" s="1545"/>
      <c r="W205" s="1545"/>
      <c r="X205" s="1545"/>
      <c r="Y205" s="1545"/>
      <c r="Z205" s="1545"/>
      <c r="AA205" s="1545"/>
      <c r="AB205" s="1545"/>
      <c r="AC205" s="1545"/>
      <c r="AD205" s="1545"/>
      <c r="AE205" s="1545"/>
      <c r="AF205" s="1545"/>
      <c r="AG205" s="1545"/>
      <c r="AH205" s="1545"/>
      <c r="AI205" s="1545"/>
      <c r="AJ205" s="1545"/>
      <c r="AK205" s="1545"/>
      <c r="AL205" s="1545"/>
      <c r="AM205" s="1545"/>
      <c r="AN205" s="1545"/>
      <c r="AO205" s="1545"/>
    </row>
    <row r="206" spans="1:45" hidden="1" x14ac:dyDescent="0.35">
      <c r="B206" s="1537">
        <f t="shared" si="4"/>
        <v>201</v>
      </c>
      <c r="C206" s="1537" t="s">
        <v>1635</v>
      </c>
      <c r="D206" s="1530" t="s">
        <v>2002</v>
      </c>
      <c r="F206" s="1537">
        <v>1</v>
      </c>
      <c r="G206" s="1537" t="s">
        <v>1989</v>
      </c>
      <c r="H206" s="1537" t="s">
        <v>2000</v>
      </c>
      <c r="K206" s="1545"/>
      <c r="L206" s="1545"/>
      <c r="M206" s="1545"/>
      <c r="N206" s="1545"/>
      <c r="O206" s="1545"/>
      <c r="P206" s="1545"/>
      <c r="Q206" s="1545"/>
      <c r="R206" s="1545"/>
      <c r="S206" s="1545"/>
      <c r="T206" s="1545"/>
      <c r="U206" s="1545"/>
      <c r="V206" s="1545"/>
      <c r="W206" s="1545"/>
      <c r="X206" s="1545"/>
      <c r="Y206" s="1545"/>
      <c r="Z206" s="1545"/>
      <c r="AA206" s="1545"/>
      <c r="AB206" s="1545"/>
      <c r="AC206" s="1545"/>
      <c r="AD206" s="1545"/>
      <c r="AE206" s="1545"/>
      <c r="AF206" s="1545"/>
      <c r="AG206" s="1545"/>
      <c r="AH206" s="1545"/>
      <c r="AI206" s="1545"/>
      <c r="AJ206" s="1545"/>
      <c r="AK206" s="1545"/>
      <c r="AL206" s="1545"/>
      <c r="AM206" s="1545"/>
      <c r="AN206" s="1545"/>
      <c r="AO206" s="1545"/>
    </row>
    <row r="207" spans="1:45" hidden="1" x14ac:dyDescent="0.35">
      <c r="B207" s="1537">
        <f t="shared" si="4"/>
        <v>202</v>
      </c>
      <c r="C207" s="1537" t="s">
        <v>1635</v>
      </c>
      <c r="D207" s="1530" t="s">
        <v>2003</v>
      </c>
      <c r="F207" s="1537">
        <v>1</v>
      </c>
      <c r="G207" s="1553" t="s">
        <v>2004</v>
      </c>
      <c r="H207" s="1537" t="s">
        <v>2000</v>
      </c>
      <c r="K207" s="1545"/>
      <c r="L207" s="1545"/>
      <c r="M207" s="1545"/>
      <c r="N207" s="1545"/>
      <c r="O207" s="1545"/>
      <c r="P207" s="1545"/>
      <c r="Q207" s="1545"/>
      <c r="R207" s="1545"/>
      <c r="S207" s="1545"/>
      <c r="T207" s="1545"/>
      <c r="U207" s="1545"/>
      <c r="V207" s="1545"/>
      <c r="W207" s="1545"/>
      <c r="X207" s="1545"/>
      <c r="Y207" s="1545"/>
      <c r="Z207" s="1545"/>
      <c r="AA207" s="1545"/>
      <c r="AB207" s="1545"/>
      <c r="AC207" s="1545"/>
      <c r="AD207" s="1545"/>
      <c r="AE207" s="1545"/>
      <c r="AF207" s="1545"/>
      <c r="AG207" s="1545"/>
      <c r="AH207" s="1545"/>
      <c r="AI207" s="1545"/>
      <c r="AJ207" s="1545"/>
      <c r="AK207" s="1545"/>
      <c r="AL207" s="1545"/>
      <c r="AM207" s="1545"/>
      <c r="AN207" s="1545"/>
      <c r="AO207" s="1545"/>
    </row>
    <row r="208" spans="1:45" hidden="1" x14ac:dyDescent="0.35">
      <c r="B208" s="1537">
        <f t="shared" si="4"/>
        <v>203</v>
      </c>
      <c r="C208" s="1537" t="s">
        <v>1635</v>
      </c>
      <c r="D208" s="1530" t="s">
        <v>2005</v>
      </c>
      <c r="F208" s="1537">
        <v>1</v>
      </c>
      <c r="G208" s="1537" t="s">
        <v>1999</v>
      </c>
      <c r="H208" s="1537" t="s">
        <v>2000</v>
      </c>
      <c r="K208" s="1545"/>
      <c r="L208" s="1545"/>
      <c r="M208" s="1545"/>
      <c r="N208" s="1545"/>
      <c r="O208" s="1545"/>
      <c r="P208" s="1545"/>
      <c r="Q208" s="1545"/>
      <c r="R208" s="1545"/>
      <c r="S208" s="1545"/>
      <c r="T208" s="1545"/>
      <c r="U208" s="1545"/>
      <c r="V208" s="1545"/>
      <c r="W208" s="1545"/>
      <c r="X208" s="1545"/>
      <c r="Y208" s="1545"/>
      <c r="Z208" s="1545"/>
      <c r="AA208" s="1545"/>
      <c r="AB208" s="1545"/>
      <c r="AC208" s="1545"/>
      <c r="AD208" s="1545"/>
      <c r="AE208" s="1545"/>
      <c r="AF208" s="1545"/>
      <c r="AG208" s="1545"/>
      <c r="AH208" s="1545"/>
      <c r="AI208" s="1545"/>
      <c r="AJ208" s="1545"/>
      <c r="AK208" s="1545"/>
      <c r="AL208" s="1545"/>
      <c r="AM208" s="1545"/>
      <c r="AN208" s="1545"/>
      <c r="AO208" s="1545"/>
    </row>
    <row r="209" spans="2:41" hidden="1" x14ac:dyDescent="0.35">
      <c r="B209" s="1537">
        <f t="shared" si="4"/>
        <v>204</v>
      </c>
      <c r="C209" s="1537" t="s">
        <v>2289</v>
      </c>
      <c r="D209" s="1530" t="s">
        <v>1998</v>
      </c>
      <c r="F209" s="1537">
        <v>1</v>
      </c>
      <c r="G209" s="1537" t="s">
        <v>1999</v>
      </c>
      <c r="H209" s="1537" t="s">
        <v>2000</v>
      </c>
      <c r="K209" s="1545"/>
      <c r="L209" s="1545"/>
      <c r="M209" s="1545"/>
      <c r="N209" s="1545"/>
      <c r="O209" s="1545"/>
      <c r="P209" s="1545"/>
      <c r="Q209" s="1545"/>
      <c r="R209" s="1545"/>
      <c r="S209" s="1545"/>
      <c r="T209" s="1545"/>
      <c r="U209" s="1545"/>
      <c r="V209" s="1545"/>
      <c r="W209" s="1545"/>
      <c r="X209" s="1545"/>
      <c r="Y209" s="1545"/>
      <c r="Z209" s="1545"/>
      <c r="AA209" s="1545"/>
      <c r="AB209" s="1545"/>
      <c r="AC209" s="1545"/>
      <c r="AD209" s="1545"/>
      <c r="AE209" s="1545"/>
      <c r="AF209" s="1545"/>
      <c r="AG209" s="1545"/>
      <c r="AH209" s="1545"/>
      <c r="AI209" s="1545"/>
      <c r="AJ209" s="1545"/>
      <c r="AK209" s="1545"/>
      <c r="AL209" s="1545"/>
      <c r="AM209" s="1545"/>
      <c r="AN209" s="1545"/>
      <c r="AO209" s="1545"/>
    </row>
    <row r="210" spans="2:41" hidden="1" x14ac:dyDescent="0.35">
      <c r="B210" s="1537">
        <f t="shared" si="4"/>
        <v>205</v>
      </c>
      <c r="C210" s="1537" t="s">
        <v>2289</v>
      </c>
      <c r="D210" s="1530" t="s">
        <v>2001</v>
      </c>
      <c r="F210" s="1537">
        <v>1</v>
      </c>
      <c r="G210" s="1537" t="s">
        <v>1989</v>
      </c>
      <c r="H210" s="1537" t="s">
        <v>2000</v>
      </c>
      <c r="K210" s="1545"/>
      <c r="L210" s="1545"/>
      <c r="M210" s="1545"/>
      <c r="N210" s="1545"/>
      <c r="O210" s="1545"/>
      <c r="P210" s="1545"/>
      <c r="Q210" s="1545"/>
      <c r="R210" s="1545"/>
      <c r="S210" s="1545"/>
      <c r="T210" s="1545"/>
      <c r="U210" s="1545"/>
      <c r="V210" s="1545"/>
      <c r="W210" s="1545"/>
      <c r="X210" s="1545"/>
      <c r="Y210" s="1545"/>
      <c r="Z210" s="1545"/>
      <c r="AA210" s="1545"/>
      <c r="AB210" s="1545"/>
      <c r="AC210" s="1545"/>
      <c r="AD210" s="1545"/>
      <c r="AE210" s="1545"/>
      <c r="AF210" s="1545"/>
      <c r="AG210" s="1545"/>
      <c r="AH210" s="1545"/>
      <c r="AI210" s="1545"/>
      <c r="AJ210" s="1545"/>
      <c r="AK210" s="1545"/>
      <c r="AL210" s="1545"/>
      <c r="AM210" s="1545"/>
      <c r="AN210" s="1545"/>
      <c r="AO210" s="1545"/>
    </row>
    <row r="211" spans="2:41" hidden="1" x14ac:dyDescent="0.35">
      <c r="B211" s="1537">
        <f t="shared" si="4"/>
        <v>206</v>
      </c>
      <c r="C211" s="1537" t="s">
        <v>2289</v>
      </c>
      <c r="D211" s="1530" t="s">
        <v>2002</v>
      </c>
      <c r="F211" s="1537">
        <v>1</v>
      </c>
      <c r="G211" s="1537" t="s">
        <v>1989</v>
      </c>
      <c r="H211" s="1537" t="s">
        <v>2000</v>
      </c>
      <c r="K211" s="1545"/>
      <c r="L211" s="1545"/>
      <c r="M211" s="1545"/>
      <c r="N211" s="1545"/>
      <c r="O211" s="1545"/>
      <c r="P211" s="1545"/>
      <c r="Q211" s="1545"/>
      <c r="R211" s="1545"/>
      <c r="S211" s="1545"/>
      <c r="T211" s="1545"/>
      <c r="U211" s="1545"/>
      <c r="V211" s="1545"/>
      <c r="W211" s="1545"/>
      <c r="X211" s="1545"/>
      <c r="Y211" s="1545"/>
      <c r="Z211" s="1545"/>
      <c r="AA211" s="1545"/>
      <c r="AB211" s="1545"/>
      <c r="AC211" s="1545"/>
      <c r="AD211" s="1545"/>
      <c r="AE211" s="1545"/>
      <c r="AF211" s="1545"/>
      <c r="AG211" s="1545"/>
      <c r="AH211" s="1545"/>
      <c r="AI211" s="1545"/>
      <c r="AJ211" s="1545"/>
      <c r="AK211" s="1545"/>
      <c r="AL211" s="1545"/>
      <c r="AM211" s="1545"/>
      <c r="AN211" s="1545"/>
      <c r="AO211" s="1545"/>
    </row>
    <row r="212" spans="2:41" hidden="1" x14ac:dyDescent="0.35">
      <c r="B212" s="1537">
        <f t="shared" si="4"/>
        <v>207</v>
      </c>
      <c r="C212" s="1537" t="s">
        <v>2289</v>
      </c>
      <c r="D212" s="1530" t="s">
        <v>2003</v>
      </c>
      <c r="F212" s="1537">
        <v>1</v>
      </c>
      <c r="G212" s="1553" t="s">
        <v>2004</v>
      </c>
      <c r="H212" s="1537" t="s">
        <v>2000</v>
      </c>
      <c r="K212" s="1545"/>
      <c r="L212" s="1545"/>
      <c r="M212" s="1545"/>
      <c r="N212" s="1545"/>
      <c r="O212" s="1545"/>
      <c r="P212" s="1545"/>
      <c r="Q212" s="1545"/>
      <c r="R212" s="1545"/>
      <c r="S212" s="1545"/>
      <c r="T212" s="1545"/>
      <c r="U212" s="1545"/>
      <c r="V212" s="1545"/>
      <c r="W212" s="1545"/>
      <c r="X212" s="1545"/>
      <c r="Y212" s="1545"/>
      <c r="Z212" s="1545"/>
      <c r="AA212" s="1545"/>
      <c r="AB212" s="1545"/>
      <c r="AC212" s="1545"/>
      <c r="AD212" s="1545"/>
      <c r="AE212" s="1545"/>
      <c r="AF212" s="1545"/>
      <c r="AG212" s="1545"/>
      <c r="AH212" s="1545"/>
      <c r="AI212" s="1545"/>
      <c r="AJ212" s="1545"/>
      <c r="AK212" s="1545"/>
      <c r="AL212" s="1545"/>
      <c r="AM212" s="1545"/>
      <c r="AN212" s="1545"/>
      <c r="AO212" s="1545"/>
    </row>
    <row r="213" spans="2:41" hidden="1" x14ac:dyDescent="0.35">
      <c r="B213" s="1537">
        <f t="shared" si="4"/>
        <v>208</v>
      </c>
      <c r="C213" s="1537" t="s">
        <v>2289</v>
      </c>
      <c r="D213" s="1530" t="s">
        <v>2005</v>
      </c>
      <c r="F213" s="1537">
        <v>1</v>
      </c>
      <c r="G213" s="1537" t="s">
        <v>1999</v>
      </c>
      <c r="H213" s="1537" t="s">
        <v>2000</v>
      </c>
      <c r="K213" s="1545"/>
      <c r="L213" s="1545"/>
      <c r="M213" s="1545"/>
      <c r="N213" s="1545"/>
      <c r="O213" s="1545"/>
      <c r="P213" s="1545"/>
      <c r="Q213" s="1545"/>
      <c r="R213" s="1545"/>
      <c r="S213" s="1545"/>
      <c r="T213" s="1545"/>
      <c r="U213" s="1545"/>
      <c r="V213" s="1545"/>
      <c r="W213" s="1545"/>
      <c r="X213" s="1545"/>
      <c r="Y213" s="1545"/>
      <c r="Z213" s="1545"/>
      <c r="AA213" s="1545"/>
      <c r="AB213" s="1545"/>
      <c r="AC213" s="1545"/>
      <c r="AD213" s="1545"/>
      <c r="AE213" s="1545"/>
      <c r="AF213" s="1545"/>
      <c r="AG213" s="1545"/>
      <c r="AH213" s="1545"/>
      <c r="AI213" s="1545"/>
      <c r="AJ213" s="1545"/>
      <c r="AK213" s="1545"/>
      <c r="AL213" s="1545"/>
      <c r="AM213" s="1545"/>
      <c r="AN213" s="1545"/>
      <c r="AO213" s="1545"/>
    </row>
    <row r="214" spans="2:41" hidden="1" x14ac:dyDescent="0.35">
      <c r="B214" s="1537">
        <f t="shared" si="4"/>
        <v>209</v>
      </c>
      <c r="C214" s="1537" t="s">
        <v>2290</v>
      </c>
      <c r="D214" s="1530" t="s">
        <v>1998</v>
      </c>
      <c r="F214" s="1537">
        <v>1</v>
      </c>
      <c r="G214" s="1537" t="s">
        <v>1999</v>
      </c>
      <c r="H214" s="1555" t="s">
        <v>2000</v>
      </c>
      <c r="K214" s="1545"/>
      <c r="L214" s="1545"/>
      <c r="M214" s="1545"/>
      <c r="N214" s="1545"/>
      <c r="O214" s="1545"/>
      <c r="P214" s="1545"/>
      <c r="Q214" s="1545"/>
      <c r="R214" s="1545"/>
      <c r="S214" s="1545"/>
      <c r="T214" s="1545"/>
      <c r="U214" s="1545"/>
      <c r="V214" s="1545"/>
      <c r="W214" s="1545"/>
      <c r="X214" s="1545"/>
      <c r="Y214" s="1545"/>
      <c r="Z214" s="1545"/>
      <c r="AA214" s="1545"/>
      <c r="AB214" s="1545"/>
      <c r="AC214" s="1545"/>
      <c r="AD214" s="1545"/>
      <c r="AE214" s="1545"/>
      <c r="AF214" s="1545"/>
      <c r="AG214" s="1545"/>
      <c r="AH214" s="1545"/>
      <c r="AI214" s="1545"/>
      <c r="AJ214" s="1545"/>
      <c r="AK214" s="1545"/>
      <c r="AL214" s="1545"/>
      <c r="AM214" s="1545"/>
      <c r="AN214" s="1545"/>
      <c r="AO214" s="1545"/>
    </row>
    <row r="215" spans="2:41" hidden="1" x14ac:dyDescent="0.35">
      <c r="B215" s="1537">
        <f t="shared" si="4"/>
        <v>210</v>
      </c>
      <c r="C215" s="1537" t="s">
        <v>2290</v>
      </c>
      <c r="D215" s="1530" t="s">
        <v>2001</v>
      </c>
      <c r="F215" s="1537">
        <v>1</v>
      </c>
      <c r="G215" s="1537" t="s">
        <v>1989</v>
      </c>
      <c r="H215" s="1537" t="s">
        <v>2000</v>
      </c>
      <c r="K215" s="1545"/>
      <c r="L215" s="1545"/>
      <c r="M215" s="1545"/>
      <c r="N215" s="1545"/>
      <c r="O215" s="1545"/>
      <c r="P215" s="1545"/>
      <c r="Q215" s="1545"/>
      <c r="R215" s="1545"/>
      <c r="S215" s="1545"/>
      <c r="T215" s="1545"/>
      <c r="U215" s="1545"/>
      <c r="V215" s="1545"/>
      <c r="W215" s="1545"/>
      <c r="X215" s="1545"/>
      <c r="Y215" s="1545"/>
      <c r="Z215" s="1545"/>
      <c r="AA215" s="1545"/>
      <c r="AB215" s="1545"/>
      <c r="AC215" s="1545"/>
      <c r="AD215" s="1545"/>
      <c r="AE215" s="1545"/>
      <c r="AF215" s="1545"/>
      <c r="AG215" s="1545"/>
      <c r="AH215" s="1545"/>
      <c r="AI215" s="1545"/>
      <c r="AJ215" s="1545"/>
      <c r="AK215" s="1545"/>
      <c r="AL215" s="1545"/>
      <c r="AM215" s="1545"/>
      <c r="AN215" s="1545"/>
      <c r="AO215" s="1545"/>
    </row>
    <row r="216" spans="2:41" hidden="1" x14ac:dyDescent="0.35">
      <c r="B216" s="1537">
        <f t="shared" si="4"/>
        <v>211</v>
      </c>
      <c r="C216" s="1537" t="s">
        <v>2290</v>
      </c>
      <c r="D216" s="1530" t="s">
        <v>2002</v>
      </c>
      <c r="F216" s="1537">
        <v>1</v>
      </c>
      <c r="G216" s="1537" t="s">
        <v>1989</v>
      </c>
      <c r="H216" s="1537" t="s">
        <v>2000</v>
      </c>
      <c r="K216" s="1545"/>
      <c r="L216" s="1545"/>
      <c r="M216" s="1545"/>
      <c r="N216" s="1545"/>
      <c r="O216" s="1545"/>
      <c r="P216" s="1545"/>
      <c r="Q216" s="1545"/>
      <c r="R216" s="1545"/>
      <c r="S216" s="1545"/>
      <c r="T216" s="1545"/>
      <c r="U216" s="1545"/>
      <c r="V216" s="1545"/>
      <c r="W216" s="1545"/>
      <c r="X216" s="1545"/>
      <c r="Y216" s="1545"/>
      <c r="Z216" s="1545"/>
      <c r="AA216" s="1545"/>
      <c r="AB216" s="1545"/>
      <c r="AC216" s="1545"/>
      <c r="AD216" s="1545"/>
      <c r="AE216" s="1545"/>
      <c r="AF216" s="1545"/>
      <c r="AG216" s="1545"/>
      <c r="AH216" s="1545"/>
      <c r="AI216" s="1545"/>
      <c r="AJ216" s="1545"/>
      <c r="AK216" s="1545"/>
      <c r="AL216" s="1545"/>
      <c r="AM216" s="1545"/>
      <c r="AN216" s="1545"/>
      <c r="AO216" s="1545"/>
    </row>
    <row r="217" spans="2:41" hidden="1" x14ac:dyDescent="0.35">
      <c r="B217" s="1537">
        <f t="shared" si="4"/>
        <v>212</v>
      </c>
      <c r="C217" s="1537" t="s">
        <v>2290</v>
      </c>
      <c r="D217" s="1530" t="s">
        <v>2003</v>
      </c>
      <c r="F217" s="1537">
        <v>1</v>
      </c>
      <c r="G217" s="1553" t="s">
        <v>2004</v>
      </c>
      <c r="H217" s="1537" t="s">
        <v>2000</v>
      </c>
      <c r="K217" s="1545"/>
      <c r="L217" s="1545"/>
      <c r="M217" s="1545"/>
      <c r="N217" s="1545"/>
      <c r="O217" s="1545"/>
      <c r="P217" s="1545"/>
      <c r="Q217" s="1545"/>
      <c r="R217" s="1545"/>
      <c r="S217" s="1545"/>
      <c r="T217" s="1545"/>
      <c r="U217" s="1545"/>
      <c r="V217" s="1545"/>
      <c r="W217" s="1545"/>
      <c r="X217" s="1545"/>
      <c r="Y217" s="1545"/>
      <c r="Z217" s="1545"/>
      <c r="AA217" s="1545"/>
      <c r="AB217" s="1545"/>
      <c r="AC217" s="1545"/>
      <c r="AD217" s="1545"/>
      <c r="AE217" s="1545"/>
      <c r="AF217" s="1545"/>
      <c r="AG217" s="1545"/>
      <c r="AH217" s="1545"/>
      <c r="AI217" s="1545"/>
      <c r="AJ217" s="1545"/>
      <c r="AK217" s="1545"/>
      <c r="AL217" s="1545"/>
      <c r="AM217" s="1545"/>
      <c r="AN217" s="1545"/>
      <c r="AO217" s="1545"/>
    </row>
    <row r="218" spans="2:41" hidden="1" x14ac:dyDescent="0.35">
      <c r="B218" s="1537">
        <f t="shared" si="4"/>
        <v>213</v>
      </c>
      <c r="C218" s="1537" t="s">
        <v>2290</v>
      </c>
      <c r="D218" s="1554" t="s">
        <v>2005</v>
      </c>
      <c r="F218" s="1537">
        <v>1</v>
      </c>
      <c r="G218" s="1537" t="s">
        <v>1999</v>
      </c>
      <c r="H218" s="1555" t="s">
        <v>2000</v>
      </c>
      <c r="K218" s="1545"/>
      <c r="L218" s="1545"/>
      <c r="M218" s="1545"/>
      <c r="N218" s="1545"/>
      <c r="O218" s="1545"/>
      <c r="P218" s="1545"/>
      <c r="Q218" s="1545"/>
      <c r="R218" s="1545"/>
      <c r="S218" s="1545"/>
      <c r="T218" s="1545"/>
      <c r="U218" s="1545"/>
      <c r="V218" s="1545"/>
      <c r="W218" s="1545"/>
      <c r="X218" s="1545"/>
      <c r="Y218" s="1545"/>
      <c r="Z218" s="1545"/>
      <c r="AA218" s="1545"/>
      <c r="AB218" s="1545"/>
      <c r="AC218" s="1545"/>
      <c r="AD218" s="1545"/>
      <c r="AE218" s="1545"/>
      <c r="AF218" s="1545"/>
      <c r="AG218" s="1545"/>
      <c r="AH218" s="1545"/>
      <c r="AI218" s="1545"/>
      <c r="AJ218" s="1545"/>
      <c r="AK218" s="1545"/>
      <c r="AL218" s="1545"/>
      <c r="AM218" s="1545"/>
      <c r="AN218" s="1545"/>
      <c r="AO218" s="1545"/>
    </row>
    <row r="219" spans="2:41" hidden="1" x14ac:dyDescent="0.35">
      <c r="B219" s="1537">
        <f t="shared" si="4"/>
        <v>214</v>
      </c>
      <c r="C219" s="1537" t="s">
        <v>1820</v>
      </c>
      <c r="D219" s="1530" t="s">
        <v>1998</v>
      </c>
      <c r="F219" s="1537">
        <v>1</v>
      </c>
      <c r="G219" s="1537" t="s">
        <v>1999</v>
      </c>
      <c r="H219" s="1555" t="s">
        <v>2000</v>
      </c>
      <c r="K219" s="1545"/>
      <c r="L219" s="1545"/>
      <c r="M219" s="1545"/>
      <c r="N219" s="1545"/>
      <c r="O219" s="1545"/>
      <c r="P219" s="1545"/>
      <c r="Q219" s="1545"/>
      <c r="R219" s="1545"/>
      <c r="S219" s="1545"/>
      <c r="T219" s="1545"/>
      <c r="U219" s="1545"/>
      <c r="V219" s="1545"/>
      <c r="W219" s="1545"/>
      <c r="X219" s="1545"/>
      <c r="Y219" s="1545"/>
      <c r="Z219" s="1545"/>
      <c r="AA219" s="1545"/>
      <c r="AB219" s="1545"/>
      <c r="AC219" s="1545"/>
      <c r="AD219" s="1545"/>
      <c r="AE219" s="1545"/>
      <c r="AF219" s="1545"/>
      <c r="AG219" s="1545"/>
      <c r="AH219" s="1545"/>
      <c r="AI219" s="1545"/>
      <c r="AJ219" s="1545"/>
      <c r="AK219" s="1545"/>
      <c r="AL219" s="1545"/>
      <c r="AM219" s="1545"/>
      <c r="AN219" s="1545"/>
      <c r="AO219" s="1545"/>
    </row>
    <row r="220" spans="2:41" hidden="1" x14ac:dyDescent="0.35">
      <c r="B220" s="1537">
        <f t="shared" si="4"/>
        <v>215</v>
      </c>
      <c r="C220" s="1537" t="s">
        <v>1820</v>
      </c>
      <c r="D220" s="1530" t="s">
        <v>2001</v>
      </c>
      <c r="F220" s="1537">
        <v>1</v>
      </c>
      <c r="G220" s="1537" t="s">
        <v>1989</v>
      </c>
      <c r="H220" s="1537" t="s">
        <v>2000</v>
      </c>
      <c r="K220" s="1545"/>
      <c r="L220" s="1545"/>
      <c r="M220" s="1545"/>
      <c r="N220" s="1545"/>
      <c r="O220" s="1545"/>
      <c r="P220" s="1545"/>
      <c r="Q220" s="1545"/>
      <c r="R220" s="1545"/>
      <c r="S220" s="1545"/>
      <c r="T220" s="1545"/>
      <c r="U220" s="1545"/>
      <c r="V220" s="1545"/>
      <c r="W220" s="1545"/>
      <c r="X220" s="1545"/>
      <c r="Y220" s="1545"/>
      <c r="Z220" s="1545"/>
      <c r="AA220" s="1545"/>
      <c r="AB220" s="1545"/>
      <c r="AC220" s="1545"/>
      <c r="AD220" s="1545"/>
      <c r="AE220" s="1545"/>
      <c r="AF220" s="1545"/>
      <c r="AG220" s="1545"/>
      <c r="AH220" s="1545"/>
      <c r="AI220" s="1545"/>
      <c r="AJ220" s="1545"/>
      <c r="AK220" s="1545"/>
      <c r="AL220" s="1545"/>
      <c r="AM220" s="1545"/>
      <c r="AN220" s="1545"/>
      <c r="AO220" s="1545"/>
    </row>
    <row r="221" spans="2:41" hidden="1" x14ac:dyDescent="0.35">
      <c r="B221" s="1537">
        <f t="shared" si="4"/>
        <v>216</v>
      </c>
      <c r="C221" s="1537" t="s">
        <v>1820</v>
      </c>
      <c r="D221" s="1530" t="s">
        <v>2002</v>
      </c>
      <c r="F221" s="1537">
        <v>1</v>
      </c>
      <c r="G221" s="1537" t="s">
        <v>1989</v>
      </c>
      <c r="H221" s="1537" t="s">
        <v>2000</v>
      </c>
      <c r="K221" s="1545"/>
      <c r="L221" s="1545"/>
      <c r="M221" s="1545"/>
      <c r="N221" s="1545"/>
      <c r="O221" s="1545"/>
      <c r="P221" s="1545"/>
      <c r="Q221" s="1545"/>
      <c r="R221" s="1545"/>
      <c r="S221" s="1545"/>
      <c r="T221" s="1545"/>
      <c r="U221" s="1545"/>
      <c r="V221" s="1545"/>
      <c r="W221" s="1545"/>
      <c r="X221" s="1545"/>
      <c r="Y221" s="1545"/>
      <c r="Z221" s="1545"/>
      <c r="AA221" s="1545"/>
      <c r="AB221" s="1545"/>
      <c r="AC221" s="1545"/>
      <c r="AD221" s="1545"/>
      <c r="AE221" s="1545"/>
      <c r="AF221" s="1545"/>
      <c r="AG221" s="1545"/>
      <c r="AH221" s="1545"/>
      <c r="AI221" s="1545"/>
      <c r="AJ221" s="1545"/>
      <c r="AK221" s="1545"/>
      <c r="AL221" s="1545"/>
      <c r="AM221" s="1545"/>
      <c r="AN221" s="1545"/>
      <c r="AO221" s="1545"/>
    </row>
    <row r="222" spans="2:41" hidden="1" x14ac:dyDescent="0.35">
      <c r="B222" s="1537">
        <f t="shared" si="4"/>
        <v>217</v>
      </c>
      <c r="C222" s="1537" t="s">
        <v>1820</v>
      </c>
      <c r="D222" s="1530" t="s">
        <v>2003</v>
      </c>
      <c r="F222" s="1537">
        <v>1</v>
      </c>
      <c r="G222" s="1553" t="s">
        <v>2004</v>
      </c>
      <c r="H222" s="1537" t="s">
        <v>2000</v>
      </c>
      <c r="K222" s="1545"/>
      <c r="L222" s="1545"/>
      <c r="M222" s="1545"/>
      <c r="N222" s="1545"/>
      <c r="O222" s="1545"/>
      <c r="P222" s="1545"/>
      <c r="Q222" s="1545"/>
      <c r="R222" s="1545"/>
      <c r="S222" s="1545"/>
      <c r="T222" s="1545"/>
      <c r="U222" s="1545"/>
      <c r="V222" s="1545"/>
      <c r="W222" s="1545"/>
      <c r="X222" s="1545"/>
      <c r="Y222" s="1545"/>
      <c r="Z222" s="1545"/>
      <c r="AA222" s="1545"/>
      <c r="AB222" s="1545"/>
      <c r="AC222" s="1545"/>
      <c r="AD222" s="1545"/>
      <c r="AE222" s="1545"/>
      <c r="AF222" s="1545"/>
      <c r="AG222" s="1545"/>
      <c r="AH222" s="1545"/>
      <c r="AI222" s="1545"/>
      <c r="AJ222" s="1545"/>
      <c r="AK222" s="1545"/>
      <c r="AL222" s="1545"/>
      <c r="AM222" s="1545"/>
      <c r="AN222" s="1545"/>
      <c r="AO222" s="1545"/>
    </row>
    <row r="223" spans="2:41" hidden="1" x14ac:dyDescent="0.35">
      <c r="B223" s="1537">
        <f t="shared" si="4"/>
        <v>218</v>
      </c>
      <c r="C223" s="1537" t="s">
        <v>1820</v>
      </c>
      <c r="D223" s="1530" t="s">
        <v>2005</v>
      </c>
      <c r="F223" s="1537">
        <v>1</v>
      </c>
      <c r="G223" s="1537" t="s">
        <v>1999</v>
      </c>
      <c r="H223" s="1555" t="s">
        <v>2000</v>
      </c>
      <c r="K223" s="1545"/>
      <c r="L223" s="1545"/>
      <c r="M223" s="1545"/>
      <c r="N223" s="1545"/>
      <c r="O223" s="1545"/>
      <c r="P223" s="1545"/>
      <c r="Q223" s="1545"/>
      <c r="R223" s="1545"/>
      <c r="S223" s="1545"/>
      <c r="T223" s="1545"/>
      <c r="U223" s="1545"/>
      <c r="V223" s="1545"/>
      <c r="W223" s="1545"/>
      <c r="X223" s="1545"/>
      <c r="Y223" s="1545"/>
      <c r="Z223" s="1545"/>
      <c r="AA223" s="1545"/>
      <c r="AB223" s="1545"/>
      <c r="AC223" s="1545"/>
      <c r="AD223" s="1545"/>
      <c r="AE223" s="1545"/>
      <c r="AF223" s="1545"/>
      <c r="AG223" s="1545"/>
      <c r="AH223" s="1545"/>
      <c r="AI223" s="1545"/>
      <c r="AJ223" s="1545"/>
      <c r="AK223" s="1545"/>
      <c r="AL223" s="1545"/>
      <c r="AM223" s="1545"/>
      <c r="AN223" s="1545"/>
      <c r="AO223" s="1545"/>
    </row>
    <row r="224" spans="2:41" hidden="1" x14ac:dyDescent="0.35">
      <c r="B224" s="1537">
        <f t="shared" si="4"/>
        <v>219</v>
      </c>
      <c r="C224" s="1537" t="s">
        <v>2291</v>
      </c>
      <c r="D224" s="1530" t="s">
        <v>1998</v>
      </c>
      <c r="F224" s="1537">
        <v>1</v>
      </c>
      <c r="G224" s="1537" t="s">
        <v>1999</v>
      </c>
      <c r="H224" s="1555" t="s">
        <v>2000</v>
      </c>
      <c r="K224" s="1545"/>
      <c r="L224" s="1545"/>
      <c r="M224" s="1545"/>
      <c r="N224" s="1545"/>
      <c r="O224" s="1545"/>
      <c r="P224" s="1545"/>
      <c r="Q224" s="1545"/>
      <c r="R224" s="1545"/>
      <c r="S224" s="1545"/>
      <c r="T224" s="1545"/>
      <c r="U224" s="1545"/>
      <c r="V224" s="1545"/>
      <c r="W224" s="1545"/>
      <c r="X224" s="1545"/>
      <c r="Y224" s="1545"/>
      <c r="Z224" s="1545"/>
      <c r="AA224" s="1545"/>
      <c r="AB224" s="1545"/>
      <c r="AC224" s="1545"/>
      <c r="AD224" s="1545"/>
      <c r="AE224" s="1545"/>
      <c r="AF224" s="1545"/>
      <c r="AG224" s="1545"/>
      <c r="AH224" s="1545"/>
      <c r="AI224" s="1545"/>
      <c r="AJ224" s="1545"/>
      <c r="AK224" s="1545"/>
      <c r="AL224" s="1545"/>
      <c r="AM224" s="1545"/>
      <c r="AN224" s="1545"/>
      <c r="AO224" s="1545"/>
    </row>
    <row r="225" spans="1:41" hidden="1" x14ac:dyDescent="0.35">
      <c r="B225" s="1537">
        <f t="shared" si="4"/>
        <v>220</v>
      </c>
      <c r="C225" s="1537" t="s">
        <v>2291</v>
      </c>
      <c r="D225" s="1530" t="s">
        <v>2001</v>
      </c>
      <c r="F225" s="1537">
        <v>1</v>
      </c>
      <c r="G225" s="1537" t="s">
        <v>1989</v>
      </c>
      <c r="H225" s="1537" t="s">
        <v>2000</v>
      </c>
      <c r="K225" s="1545"/>
      <c r="L225" s="1545"/>
      <c r="M225" s="1545"/>
      <c r="N225" s="1545"/>
      <c r="O225" s="1545"/>
      <c r="P225" s="1545"/>
      <c r="Q225" s="1545"/>
      <c r="R225" s="1545"/>
      <c r="S225" s="1545"/>
      <c r="T225" s="1545"/>
      <c r="U225" s="1545"/>
      <c r="V225" s="1545"/>
      <c r="W225" s="1545"/>
      <c r="X225" s="1545"/>
      <c r="Y225" s="1545"/>
      <c r="Z225" s="1545"/>
      <c r="AA225" s="1545"/>
      <c r="AB225" s="1545"/>
      <c r="AC225" s="1545"/>
      <c r="AD225" s="1545"/>
      <c r="AE225" s="1545"/>
      <c r="AF225" s="1545"/>
      <c r="AG225" s="1545"/>
      <c r="AH225" s="1545"/>
      <c r="AI225" s="1545"/>
      <c r="AJ225" s="1545"/>
      <c r="AK225" s="1545"/>
      <c r="AL225" s="1545"/>
      <c r="AM225" s="1545"/>
      <c r="AN225" s="1545"/>
      <c r="AO225" s="1545"/>
    </row>
    <row r="226" spans="1:41" hidden="1" x14ac:dyDescent="0.35">
      <c r="B226" s="1537">
        <f t="shared" si="4"/>
        <v>221</v>
      </c>
      <c r="C226" s="1537" t="s">
        <v>2291</v>
      </c>
      <c r="D226" s="1530" t="s">
        <v>2002</v>
      </c>
      <c r="F226" s="1537">
        <v>1</v>
      </c>
      <c r="G226" s="1537" t="s">
        <v>1989</v>
      </c>
      <c r="H226" s="1537" t="s">
        <v>2000</v>
      </c>
      <c r="K226" s="1545"/>
      <c r="L226" s="1545"/>
      <c r="M226" s="1545"/>
      <c r="N226" s="1545"/>
      <c r="O226" s="1545"/>
      <c r="P226" s="1545"/>
      <c r="Q226" s="1545"/>
      <c r="R226" s="1545"/>
      <c r="S226" s="1545"/>
      <c r="T226" s="1545"/>
      <c r="U226" s="1545"/>
      <c r="V226" s="1545"/>
      <c r="W226" s="1545"/>
      <c r="X226" s="1545"/>
      <c r="Y226" s="1545"/>
      <c r="Z226" s="1545"/>
      <c r="AA226" s="1545"/>
      <c r="AB226" s="1545"/>
      <c r="AC226" s="1545"/>
      <c r="AD226" s="1545"/>
      <c r="AE226" s="1545"/>
      <c r="AF226" s="1545"/>
      <c r="AG226" s="1545"/>
      <c r="AH226" s="1545"/>
      <c r="AI226" s="1545"/>
      <c r="AJ226" s="1545"/>
      <c r="AK226" s="1545"/>
      <c r="AL226" s="1545"/>
      <c r="AM226" s="1545"/>
      <c r="AN226" s="1545"/>
      <c r="AO226" s="1545"/>
    </row>
    <row r="227" spans="1:41" hidden="1" x14ac:dyDescent="0.35">
      <c r="B227" s="1537">
        <f t="shared" si="4"/>
        <v>222</v>
      </c>
      <c r="C227" s="1537" t="s">
        <v>2291</v>
      </c>
      <c r="D227" s="1530" t="s">
        <v>2003</v>
      </c>
      <c r="F227" s="1537">
        <v>1</v>
      </c>
      <c r="G227" s="1553" t="s">
        <v>2004</v>
      </c>
      <c r="H227" s="1537" t="s">
        <v>2000</v>
      </c>
      <c r="K227" s="1545"/>
      <c r="L227" s="1545"/>
      <c r="M227" s="1545"/>
      <c r="N227" s="1545"/>
      <c r="O227" s="1545"/>
      <c r="P227" s="1545"/>
      <c r="Q227" s="1545"/>
      <c r="R227" s="1545"/>
      <c r="S227" s="1545"/>
      <c r="T227" s="1545"/>
      <c r="U227" s="1545"/>
      <c r="V227" s="1545"/>
      <c r="W227" s="1545"/>
      <c r="X227" s="1545"/>
      <c r="Y227" s="1545"/>
      <c r="Z227" s="1545"/>
      <c r="AA227" s="1545"/>
      <c r="AB227" s="1545"/>
      <c r="AC227" s="1545"/>
      <c r="AD227" s="1545"/>
      <c r="AE227" s="1545"/>
      <c r="AF227" s="1545"/>
      <c r="AG227" s="1545"/>
      <c r="AH227" s="1545"/>
      <c r="AI227" s="1545"/>
      <c r="AJ227" s="1545"/>
      <c r="AK227" s="1545"/>
      <c r="AL227" s="1545"/>
      <c r="AM227" s="1545"/>
      <c r="AN227" s="1545"/>
      <c r="AO227" s="1545"/>
    </row>
    <row r="228" spans="1:41" hidden="1" x14ac:dyDescent="0.35">
      <c r="B228" s="1537">
        <f t="shared" si="4"/>
        <v>223</v>
      </c>
      <c r="C228" s="1537" t="s">
        <v>2291</v>
      </c>
      <c r="D228" s="1530" t="s">
        <v>2005</v>
      </c>
      <c r="F228" s="1537">
        <v>1</v>
      </c>
      <c r="G228" s="1537" t="s">
        <v>1999</v>
      </c>
      <c r="H228" s="1555" t="s">
        <v>2000</v>
      </c>
      <c r="K228" s="1545"/>
      <c r="L228" s="1545"/>
      <c r="M228" s="1545"/>
      <c r="N228" s="1545"/>
      <c r="O228" s="1545"/>
      <c r="P228" s="1545"/>
      <c r="Q228" s="1545"/>
      <c r="R228" s="1545"/>
      <c r="S228" s="1545"/>
      <c r="T228" s="1545"/>
      <c r="U228" s="1545"/>
      <c r="V228" s="1545"/>
      <c r="W228" s="1545"/>
      <c r="X228" s="1545"/>
      <c r="Y228" s="1545"/>
      <c r="Z228" s="1545"/>
      <c r="AA228" s="1545"/>
      <c r="AB228" s="1545"/>
      <c r="AC228" s="1545"/>
      <c r="AD228" s="1545"/>
      <c r="AE228" s="1545"/>
      <c r="AF228" s="1545"/>
      <c r="AG228" s="1545"/>
      <c r="AH228" s="1545"/>
      <c r="AI228" s="1545"/>
      <c r="AJ228" s="1545"/>
      <c r="AK228" s="1545"/>
      <c r="AL228" s="1545"/>
      <c r="AM228" s="1545"/>
      <c r="AN228" s="1545"/>
      <c r="AO228" s="1545"/>
    </row>
    <row r="229" spans="1:41" hidden="1" x14ac:dyDescent="0.35">
      <c r="B229" s="1537">
        <f t="shared" si="4"/>
        <v>224</v>
      </c>
      <c r="C229" s="1537" t="s">
        <v>2292</v>
      </c>
      <c r="D229" s="1530" t="s">
        <v>1998</v>
      </c>
      <c r="F229" s="1537">
        <v>1</v>
      </c>
      <c r="G229" s="1537" t="s">
        <v>1999</v>
      </c>
      <c r="H229" s="1555" t="s">
        <v>2000</v>
      </c>
      <c r="K229" s="1545"/>
      <c r="L229" s="1545"/>
      <c r="M229" s="1545"/>
      <c r="N229" s="1545"/>
      <c r="O229" s="1545"/>
      <c r="P229" s="1545"/>
      <c r="Q229" s="1545"/>
      <c r="R229" s="1545"/>
      <c r="S229" s="1545"/>
      <c r="T229" s="1545"/>
      <c r="U229" s="1545"/>
      <c r="V229" s="1545"/>
      <c r="W229" s="1545"/>
      <c r="X229" s="1545"/>
      <c r="Y229" s="1545"/>
      <c r="Z229" s="1545"/>
      <c r="AA229" s="1545"/>
      <c r="AB229" s="1545"/>
      <c r="AC229" s="1545"/>
      <c r="AD229" s="1545"/>
      <c r="AE229" s="1545"/>
      <c r="AF229" s="1545"/>
      <c r="AG229" s="1545"/>
      <c r="AH229" s="1545"/>
      <c r="AI229" s="1545"/>
      <c r="AJ229" s="1545"/>
      <c r="AK229" s="1545"/>
      <c r="AL229" s="1545"/>
      <c r="AM229" s="1545"/>
      <c r="AN229" s="1545"/>
      <c r="AO229" s="1545"/>
    </row>
    <row r="230" spans="1:41" hidden="1" x14ac:dyDescent="0.35">
      <c r="B230" s="1537">
        <f t="shared" si="4"/>
        <v>225</v>
      </c>
      <c r="C230" s="1537" t="s">
        <v>2292</v>
      </c>
      <c r="D230" s="1530" t="s">
        <v>2001</v>
      </c>
      <c r="F230" s="1537">
        <v>1</v>
      </c>
      <c r="G230" s="1537" t="s">
        <v>1989</v>
      </c>
      <c r="H230" s="1537" t="s">
        <v>2000</v>
      </c>
      <c r="K230" s="1545"/>
      <c r="L230" s="1545"/>
      <c r="M230" s="1545"/>
      <c r="N230" s="1545"/>
      <c r="O230" s="1545"/>
      <c r="P230" s="1545"/>
      <c r="Q230" s="1545"/>
      <c r="R230" s="1545"/>
      <c r="S230" s="1545"/>
      <c r="T230" s="1545"/>
      <c r="U230" s="1545"/>
      <c r="V230" s="1545"/>
      <c r="W230" s="1545"/>
      <c r="X230" s="1545"/>
      <c r="Y230" s="1545"/>
      <c r="Z230" s="1545"/>
      <c r="AA230" s="1545"/>
      <c r="AB230" s="1545"/>
      <c r="AC230" s="1545"/>
      <c r="AD230" s="1545"/>
      <c r="AE230" s="1545"/>
      <c r="AF230" s="1545"/>
      <c r="AG230" s="1545"/>
      <c r="AH230" s="1545"/>
      <c r="AI230" s="1545"/>
      <c r="AJ230" s="1545"/>
      <c r="AK230" s="1545"/>
      <c r="AL230" s="1545"/>
      <c r="AM230" s="1545"/>
      <c r="AN230" s="1545"/>
      <c r="AO230" s="1545"/>
    </row>
    <row r="231" spans="1:41" hidden="1" x14ac:dyDescent="0.35">
      <c r="B231" s="1537">
        <f t="shared" si="4"/>
        <v>226</v>
      </c>
      <c r="C231" s="1537" t="s">
        <v>2292</v>
      </c>
      <c r="D231" s="1530" t="s">
        <v>2002</v>
      </c>
      <c r="F231" s="1537">
        <v>1</v>
      </c>
      <c r="G231" s="1537" t="s">
        <v>1989</v>
      </c>
      <c r="H231" s="1537" t="s">
        <v>2000</v>
      </c>
      <c r="K231" s="1545"/>
      <c r="L231" s="1545"/>
      <c r="M231" s="1545"/>
      <c r="N231" s="1545"/>
      <c r="O231" s="1545"/>
      <c r="P231" s="1545"/>
      <c r="Q231" s="1545"/>
      <c r="R231" s="1545"/>
      <c r="S231" s="1545"/>
      <c r="T231" s="1545"/>
      <c r="U231" s="1545"/>
      <c r="V231" s="1545"/>
      <c r="W231" s="1545"/>
      <c r="X231" s="1545"/>
      <c r="Y231" s="1545"/>
      <c r="Z231" s="1545"/>
      <c r="AA231" s="1545"/>
      <c r="AB231" s="1545"/>
      <c r="AC231" s="1545"/>
      <c r="AD231" s="1545"/>
      <c r="AE231" s="1545"/>
      <c r="AF231" s="1545"/>
      <c r="AG231" s="1545"/>
      <c r="AH231" s="1545"/>
      <c r="AI231" s="1545"/>
      <c r="AJ231" s="1545"/>
      <c r="AK231" s="1545"/>
      <c r="AL231" s="1545"/>
      <c r="AM231" s="1545"/>
      <c r="AN231" s="1545"/>
      <c r="AO231" s="1545"/>
    </row>
    <row r="232" spans="1:41" hidden="1" x14ac:dyDescent="0.35">
      <c r="B232" s="1537">
        <f t="shared" si="4"/>
        <v>227</v>
      </c>
      <c r="C232" s="1537" t="s">
        <v>2292</v>
      </c>
      <c r="D232" s="1530" t="s">
        <v>2003</v>
      </c>
      <c r="F232" s="1537">
        <v>1</v>
      </c>
      <c r="G232" s="1553" t="s">
        <v>2004</v>
      </c>
      <c r="H232" s="1537" t="s">
        <v>2000</v>
      </c>
      <c r="K232" s="1545"/>
      <c r="L232" s="1545"/>
      <c r="M232" s="1545"/>
      <c r="N232" s="1545"/>
      <c r="O232" s="1545"/>
      <c r="P232" s="1545"/>
      <c r="Q232" s="1545"/>
      <c r="R232" s="1545"/>
      <c r="S232" s="1545"/>
      <c r="T232" s="1545"/>
      <c r="U232" s="1545"/>
      <c r="V232" s="1545"/>
      <c r="W232" s="1545"/>
      <c r="X232" s="1545"/>
      <c r="Y232" s="1545"/>
      <c r="Z232" s="1545"/>
      <c r="AA232" s="1545"/>
      <c r="AB232" s="1545"/>
      <c r="AC232" s="1545"/>
      <c r="AD232" s="1545"/>
      <c r="AE232" s="1545"/>
      <c r="AF232" s="1545"/>
      <c r="AG232" s="1545"/>
      <c r="AH232" s="1545"/>
      <c r="AI232" s="1545"/>
      <c r="AJ232" s="1545"/>
      <c r="AK232" s="1545"/>
      <c r="AL232" s="1545"/>
      <c r="AM232" s="1545"/>
      <c r="AN232" s="1545"/>
      <c r="AO232" s="1545"/>
    </row>
    <row r="233" spans="1:41" hidden="1" x14ac:dyDescent="0.35">
      <c r="B233" s="1537">
        <f t="shared" si="4"/>
        <v>228</v>
      </c>
      <c r="C233" s="1537" t="s">
        <v>2292</v>
      </c>
      <c r="D233" s="1530" t="s">
        <v>2293</v>
      </c>
      <c r="F233" s="1537">
        <v>1</v>
      </c>
      <c r="G233" s="1537" t="s">
        <v>1999</v>
      </c>
      <c r="H233" s="1555" t="s">
        <v>2000</v>
      </c>
      <c r="K233" s="1545"/>
      <c r="L233" s="1545"/>
      <c r="M233" s="1545"/>
      <c r="N233" s="1545"/>
      <c r="O233" s="1545"/>
      <c r="P233" s="1545"/>
      <c r="Q233" s="1545"/>
      <c r="R233" s="1545"/>
      <c r="S233" s="1545"/>
      <c r="T233" s="1545"/>
      <c r="U233" s="1545"/>
      <c r="V233" s="1545"/>
      <c r="W233" s="1545"/>
      <c r="X233" s="1545"/>
      <c r="Y233" s="1545"/>
      <c r="Z233" s="1545"/>
      <c r="AA233" s="1545"/>
      <c r="AB233" s="1545"/>
      <c r="AC233" s="1545"/>
      <c r="AD233" s="1545"/>
      <c r="AE233" s="1545"/>
      <c r="AF233" s="1545"/>
      <c r="AG233" s="1545"/>
      <c r="AH233" s="1545"/>
      <c r="AI233" s="1545"/>
      <c r="AJ233" s="1545"/>
      <c r="AK233" s="1545"/>
      <c r="AL233" s="1545"/>
      <c r="AM233" s="1545"/>
      <c r="AN233" s="1545"/>
      <c r="AO233" s="1545"/>
    </row>
    <row r="234" spans="1:41" x14ac:dyDescent="0.35">
      <c r="A234" s="1537" t="s">
        <v>2020</v>
      </c>
      <c r="B234" s="1537">
        <f t="shared" si="4"/>
        <v>229</v>
      </c>
      <c r="C234" s="1537" t="s">
        <v>1636</v>
      </c>
      <c r="D234" s="1530" t="s">
        <v>2294</v>
      </c>
      <c r="G234" s="1539" t="s">
        <v>1989</v>
      </c>
      <c r="H234" s="1537" t="s">
        <v>1990</v>
      </c>
      <c r="K234" s="1545"/>
      <c r="L234" s="1545"/>
      <c r="M234" s="1551"/>
      <c r="N234" s="1551"/>
      <c r="O234" s="1551"/>
      <c r="P234" s="1551"/>
      <c r="Q234" s="1551"/>
      <c r="R234" s="1551"/>
      <c r="S234" s="1551"/>
      <c r="T234" s="1551"/>
      <c r="U234" s="1551"/>
      <c r="V234" s="1551"/>
      <c r="W234" s="1551"/>
      <c r="X234" s="1551"/>
      <c r="Y234" s="1551"/>
      <c r="Z234" s="1551"/>
      <c r="AA234" s="1551"/>
      <c r="AB234" s="1551"/>
      <c r="AC234" s="1551"/>
      <c r="AD234" s="1551"/>
      <c r="AE234" s="1551"/>
      <c r="AF234" s="1551"/>
      <c r="AG234" s="1551"/>
      <c r="AH234" s="1551"/>
      <c r="AI234" s="1551"/>
      <c r="AJ234" s="1551"/>
      <c r="AK234" s="1551"/>
      <c r="AL234" s="1551"/>
      <c r="AM234" s="1551"/>
      <c r="AN234" s="1551"/>
      <c r="AO234" s="1551"/>
    </row>
    <row r="235" spans="1:41" hidden="1" x14ac:dyDescent="0.35">
      <c r="B235" s="1537">
        <f t="shared" si="4"/>
        <v>230</v>
      </c>
      <c r="C235" s="1537" t="s">
        <v>1636</v>
      </c>
      <c r="D235" s="1530" t="s">
        <v>1998</v>
      </c>
      <c r="F235" s="1537">
        <v>1</v>
      </c>
      <c r="G235" s="1537" t="s">
        <v>1999</v>
      </c>
      <c r="H235" s="1555" t="s">
        <v>2000</v>
      </c>
      <c r="K235" s="1545"/>
      <c r="L235" s="1545"/>
      <c r="M235" s="1545"/>
      <c r="N235" s="1545"/>
      <c r="O235" s="1545"/>
      <c r="P235" s="1545"/>
      <c r="Q235" s="1545"/>
      <c r="R235" s="1545"/>
      <c r="S235" s="1545"/>
      <c r="T235" s="1545"/>
      <c r="U235" s="1545"/>
      <c r="V235" s="1545"/>
      <c r="W235" s="1545"/>
      <c r="X235" s="1545"/>
      <c r="Y235" s="1545"/>
      <c r="Z235" s="1545"/>
      <c r="AA235" s="1545"/>
      <c r="AB235" s="1545"/>
      <c r="AC235" s="1545"/>
      <c r="AD235" s="1545"/>
      <c r="AE235" s="1545"/>
      <c r="AF235" s="1545"/>
      <c r="AG235" s="1545"/>
      <c r="AH235" s="1545"/>
      <c r="AI235" s="1545"/>
      <c r="AJ235" s="1545"/>
      <c r="AK235" s="1545"/>
      <c r="AL235" s="1545"/>
      <c r="AM235" s="1545"/>
      <c r="AN235" s="1545"/>
      <c r="AO235" s="1545"/>
    </row>
    <row r="236" spans="1:41" hidden="1" x14ac:dyDescent="0.35">
      <c r="B236" s="1537">
        <f t="shared" si="4"/>
        <v>231</v>
      </c>
      <c r="C236" s="1537" t="s">
        <v>1636</v>
      </c>
      <c r="D236" s="1530" t="s">
        <v>2001</v>
      </c>
      <c r="F236" s="1537">
        <v>1</v>
      </c>
      <c r="G236" s="1537" t="s">
        <v>1989</v>
      </c>
      <c r="H236" s="1537" t="s">
        <v>2000</v>
      </c>
      <c r="K236" s="1545"/>
      <c r="L236" s="1545"/>
      <c r="M236" s="1545"/>
      <c r="N236" s="1545"/>
      <c r="O236" s="1545"/>
      <c r="P236" s="1545"/>
      <c r="Q236" s="1545"/>
      <c r="R236" s="1545"/>
      <c r="S236" s="1545"/>
      <c r="T236" s="1545"/>
      <c r="U236" s="1545"/>
      <c r="V236" s="1545"/>
      <c r="W236" s="1545"/>
      <c r="X236" s="1545"/>
      <c r="Y236" s="1545"/>
      <c r="Z236" s="1545"/>
      <c r="AA236" s="1545"/>
      <c r="AB236" s="1545"/>
      <c r="AC236" s="1545"/>
      <c r="AD236" s="1545"/>
      <c r="AE236" s="1545"/>
      <c r="AF236" s="1545"/>
      <c r="AG236" s="1545"/>
      <c r="AH236" s="1545"/>
      <c r="AI236" s="1545"/>
      <c r="AJ236" s="1545"/>
      <c r="AK236" s="1545"/>
      <c r="AL236" s="1545"/>
      <c r="AM236" s="1545"/>
      <c r="AN236" s="1545"/>
      <c r="AO236" s="1545"/>
    </row>
    <row r="237" spans="1:41" hidden="1" x14ac:dyDescent="0.35">
      <c r="B237" s="1537">
        <f t="shared" si="4"/>
        <v>232</v>
      </c>
      <c r="C237" s="1537" t="s">
        <v>1636</v>
      </c>
      <c r="D237" s="1530" t="s">
        <v>2002</v>
      </c>
      <c r="F237" s="1537">
        <v>1</v>
      </c>
      <c r="G237" s="1537" t="s">
        <v>1989</v>
      </c>
      <c r="H237" s="1537" t="s">
        <v>2000</v>
      </c>
      <c r="K237" s="1545"/>
      <c r="L237" s="1545"/>
      <c r="M237" s="1545"/>
      <c r="N237" s="1545"/>
      <c r="O237" s="1545"/>
      <c r="P237" s="1545"/>
      <c r="Q237" s="1545"/>
      <c r="R237" s="1545"/>
      <c r="S237" s="1545"/>
      <c r="T237" s="1545"/>
      <c r="U237" s="1545"/>
      <c r="V237" s="1545"/>
      <c r="W237" s="1545"/>
      <c r="X237" s="1545"/>
      <c r="Y237" s="1545"/>
      <c r="Z237" s="1545"/>
      <c r="AA237" s="1545"/>
      <c r="AB237" s="1545"/>
      <c r="AC237" s="1545"/>
      <c r="AD237" s="1545"/>
      <c r="AE237" s="1545"/>
      <c r="AF237" s="1545"/>
      <c r="AG237" s="1545"/>
      <c r="AH237" s="1545"/>
      <c r="AI237" s="1545"/>
      <c r="AJ237" s="1545"/>
      <c r="AK237" s="1545"/>
      <c r="AL237" s="1545"/>
      <c r="AM237" s="1545"/>
      <c r="AN237" s="1545"/>
      <c r="AO237" s="1545"/>
    </row>
    <row r="238" spans="1:41" hidden="1" x14ac:dyDescent="0.35">
      <c r="B238" s="1537">
        <f t="shared" si="4"/>
        <v>233</v>
      </c>
      <c r="C238" s="1537" t="s">
        <v>1636</v>
      </c>
      <c r="D238" s="1530" t="s">
        <v>2003</v>
      </c>
      <c r="F238" s="1537">
        <v>1</v>
      </c>
      <c r="G238" s="1553" t="s">
        <v>2004</v>
      </c>
      <c r="H238" s="1537" t="s">
        <v>2000</v>
      </c>
      <c r="K238" s="1545"/>
      <c r="L238" s="1545"/>
      <c r="M238" s="1545"/>
      <c r="N238" s="1545"/>
      <c r="O238" s="1545"/>
      <c r="P238" s="1545"/>
      <c r="Q238" s="1545"/>
      <c r="R238" s="1545"/>
      <c r="S238" s="1545"/>
      <c r="T238" s="1545"/>
      <c r="U238" s="1545"/>
      <c r="V238" s="1545"/>
      <c r="W238" s="1545"/>
      <c r="X238" s="1545"/>
      <c r="Y238" s="1545"/>
      <c r="Z238" s="1545"/>
      <c r="AA238" s="1545"/>
      <c r="AB238" s="1545"/>
      <c r="AC238" s="1545"/>
      <c r="AD238" s="1545"/>
      <c r="AE238" s="1545"/>
      <c r="AF238" s="1545"/>
      <c r="AG238" s="1545"/>
      <c r="AH238" s="1545"/>
      <c r="AI238" s="1545"/>
      <c r="AJ238" s="1545"/>
      <c r="AK238" s="1545"/>
      <c r="AL238" s="1545"/>
      <c r="AM238" s="1545"/>
      <c r="AN238" s="1545"/>
      <c r="AO238" s="1545"/>
    </row>
    <row r="239" spans="1:41" hidden="1" x14ac:dyDescent="0.35">
      <c r="B239" s="1537">
        <f t="shared" si="4"/>
        <v>234</v>
      </c>
      <c r="C239" s="1537" t="s">
        <v>1636</v>
      </c>
      <c r="D239" s="1530" t="s">
        <v>2005</v>
      </c>
      <c r="F239" s="1537">
        <v>1</v>
      </c>
      <c r="G239" s="1537" t="s">
        <v>1999</v>
      </c>
      <c r="H239" s="1555" t="s">
        <v>2000</v>
      </c>
      <c r="K239" s="1545"/>
      <c r="L239" s="1545"/>
      <c r="M239" s="1545"/>
      <c r="N239" s="1545"/>
      <c r="O239" s="1545"/>
      <c r="P239" s="1545"/>
      <c r="Q239" s="1545"/>
      <c r="R239" s="1545"/>
      <c r="S239" s="1545"/>
      <c r="T239" s="1545"/>
      <c r="U239" s="1545"/>
      <c r="V239" s="1545"/>
      <c r="W239" s="1545"/>
      <c r="X239" s="1545"/>
      <c r="Y239" s="1545"/>
      <c r="Z239" s="1545"/>
      <c r="AA239" s="1545"/>
      <c r="AB239" s="1545"/>
      <c r="AC239" s="1545"/>
      <c r="AD239" s="1545"/>
      <c r="AE239" s="1545"/>
      <c r="AF239" s="1545"/>
      <c r="AG239" s="1545"/>
      <c r="AH239" s="1545"/>
      <c r="AI239" s="1545"/>
      <c r="AJ239" s="1545"/>
      <c r="AK239" s="1545"/>
      <c r="AL239" s="1545"/>
      <c r="AM239" s="1545"/>
      <c r="AN239" s="1545"/>
      <c r="AO239" s="1545"/>
    </row>
    <row r="240" spans="1:41" hidden="1" x14ac:dyDescent="0.35">
      <c r="B240" s="1537">
        <f t="shared" si="4"/>
        <v>235</v>
      </c>
      <c r="C240" s="1537" t="s">
        <v>2295</v>
      </c>
      <c r="D240" s="1530" t="s">
        <v>1998</v>
      </c>
      <c r="F240" s="1537">
        <v>1</v>
      </c>
      <c r="G240" s="1537" t="s">
        <v>1999</v>
      </c>
      <c r="H240" s="1555" t="s">
        <v>2000</v>
      </c>
      <c r="K240" s="1545"/>
      <c r="L240" s="1545"/>
      <c r="M240" s="1545"/>
      <c r="N240" s="1545"/>
      <c r="O240" s="1545"/>
      <c r="P240" s="1545"/>
      <c r="Q240" s="1545"/>
      <c r="R240" s="1545"/>
      <c r="S240" s="1545"/>
      <c r="T240" s="1545"/>
      <c r="U240" s="1545"/>
      <c r="V240" s="1545"/>
      <c r="W240" s="1545"/>
      <c r="X240" s="1545"/>
      <c r="Y240" s="1545"/>
      <c r="Z240" s="1545"/>
      <c r="AA240" s="1545"/>
      <c r="AB240" s="1545"/>
      <c r="AC240" s="1545"/>
      <c r="AD240" s="1545"/>
      <c r="AE240" s="1545"/>
      <c r="AF240" s="1545"/>
      <c r="AG240" s="1545"/>
      <c r="AH240" s="1545"/>
      <c r="AI240" s="1545"/>
      <c r="AJ240" s="1545"/>
      <c r="AK240" s="1545"/>
      <c r="AL240" s="1545"/>
      <c r="AM240" s="1545"/>
      <c r="AN240" s="1545"/>
      <c r="AO240" s="1545"/>
    </row>
    <row r="241" spans="2:45" hidden="1" x14ac:dyDescent="0.35">
      <c r="B241" s="1537">
        <f t="shared" si="4"/>
        <v>236</v>
      </c>
      <c r="C241" s="1537" t="s">
        <v>2295</v>
      </c>
      <c r="D241" s="1530" t="s">
        <v>2001</v>
      </c>
      <c r="F241" s="1537">
        <v>1</v>
      </c>
      <c r="G241" s="1537" t="s">
        <v>1989</v>
      </c>
      <c r="H241" s="1537" t="s">
        <v>2000</v>
      </c>
      <c r="K241" s="1545"/>
      <c r="L241" s="1545"/>
      <c r="M241" s="1545"/>
      <c r="N241" s="1545"/>
      <c r="O241" s="1545"/>
      <c r="P241" s="1545"/>
      <c r="Q241" s="1545"/>
      <c r="R241" s="1545"/>
      <c r="S241" s="1545"/>
      <c r="T241" s="1545"/>
      <c r="U241" s="1545"/>
      <c r="V241" s="1545"/>
      <c r="W241" s="1545"/>
      <c r="X241" s="1545"/>
      <c r="Y241" s="1545"/>
      <c r="Z241" s="1545"/>
      <c r="AA241" s="1545"/>
      <c r="AB241" s="1545"/>
      <c r="AC241" s="1545"/>
      <c r="AD241" s="1545"/>
      <c r="AE241" s="1545"/>
      <c r="AF241" s="1545"/>
      <c r="AG241" s="1545"/>
      <c r="AH241" s="1545"/>
      <c r="AI241" s="1545"/>
      <c r="AJ241" s="1545"/>
      <c r="AK241" s="1545"/>
      <c r="AL241" s="1545"/>
      <c r="AM241" s="1545"/>
      <c r="AN241" s="1545"/>
      <c r="AO241" s="1545"/>
    </row>
    <row r="242" spans="2:45" hidden="1" x14ac:dyDescent="0.35">
      <c r="B242" s="1537">
        <f t="shared" si="4"/>
        <v>237</v>
      </c>
      <c r="C242" s="1537" t="s">
        <v>2295</v>
      </c>
      <c r="D242" s="1554" t="s">
        <v>2002</v>
      </c>
      <c r="F242" s="1537">
        <v>1</v>
      </c>
      <c r="G242" s="1537" t="s">
        <v>1989</v>
      </c>
      <c r="H242" s="1537" t="s">
        <v>2000</v>
      </c>
      <c r="K242" s="1545"/>
      <c r="L242" s="1545"/>
      <c r="M242" s="1545"/>
      <c r="N242" s="1545"/>
      <c r="O242" s="1545"/>
      <c r="P242" s="1545"/>
      <c r="Q242" s="1545"/>
      <c r="R242" s="1545"/>
      <c r="S242" s="1545"/>
      <c r="T242" s="1545"/>
      <c r="U242" s="1545"/>
      <c r="V242" s="1545"/>
      <c r="W242" s="1545"/>
      <c r="X242" s="1545"/>
      <c r="Y242" s="1545"/>
      <c r="Z242" s="1545"/>
      <c r="AA242" s="1545"/>
      <c r="AB242" s="1545"/>
      <c r="AC242" s="1545"/>
      <c r="AD242" s="1545"/>
      <c r="AE242" s="1545"/>
      <c r="AF242" s="1545"/>
      <c r="AG242" s="1545"/>
      <c r="AH242" s="1545"/>
      <c r="AI242" s="1545"/>
      <c r="AJ242" s="1545"/>
      <c r="AK242" s="1545"/>
      <c r="AL242" s="1545"/>
      <c r="AM242" s="1545"/>
      <c r="AN242" s="1545"/>
      <c r="AO242" s="1545"/>
    </row>
    <row r="243" spans="2:45" hidden="1" x14ac:dyDescent="0.35">
      <c r="B243" s="1537">
        <f t="shared" si="4"/>
        <v>238</v>
      </c>
      <c r="C243" s="1537" t="s">
        <v>2295</v>
      </c>
      <c r="D243" s="1530" t="s">
        <v>2003</v>
      </c>
      <c r="F243" s="1537">
        <v>1</v>
      </c>
      <c r="G243" s="1553" t="s">
        <v>2004</v>
      </c>
      <c r="H243" s="1537" t="s">
        <v>2000</v>
      </c>
      <c r="K243" s="1545"/>
      <c r="L243" s="1545"/>
      <c r="M243" s="1545"/>
      <c r="N243" s="1545"/>
      <c r="O243" s="1545"/>
      <c r="P243" s="1545"/>
      <c r="Q243" s="1545"/>
      <c r="R243" s="1545"/>
      <c r="S243" s="1545"/>
      <c r="T243" s="1545"/>
      <c r="U243" s="1545"/>
      <c r="V243" s="1545"/>
      <c r="W243" s="1545"/>
      <c r="X243" s="1545"/>
      <c r="Y243" s="1545"/>
      <c r="Z243" s="1545"/>
      <c r="AA243" s="1545"/>
      <c r="AB243" s="1545"/>
      <c r="AC243" s="1545"/>
      <c r="AD243" s="1545"/>
      <c r="AE243" s="1545"/>
      <c r="AF243" s="1545"/>
      <c r="AG243" s="1545"/>
      <c r="AH243" s="1545"/>
      <c r="AI243" s="1545"/>
      <c r="AJ243" s="1545"/>
      <c r="AK243" s="1545"/>
      <c r="AL243" s="1545"/>
      <c r="AM243" s="1545"/>
      <c r="AN243" s="1545"/>
      <c r="AO243" s="1545"/>
    </row>
    <row r="244" spans="2:45" hidden="1" x14ac:dyDescent="0.35">
      <c r="B244" s="1537">
        <f t="shared" si="4"/>
        <v>239</v>
      </c>
      <c r="C244" s="1537" t="s">
        <v>2295</v>
      </c>
      <c r="D244" s="1530" t="s">
        <v>2005</v>
      </c>
      <c r="F244" s="1537">
        <v>1</v>
      </c>
      <c r="G244" s="1537" t="s">
        <v>1999</v>
      </c>
      <c r="H244" s="1555" t="s">
        <v>2000</v>
      </c>
      <c r="K244" s="1545"/>
      <c r="L244" s="1545"/>
      <c r="M244" s="1545"/>
      <c r="N244" s="1545"/>
      <c r="O244" s="1545"/>
      <c r="P244" s="1545"/>
      <c r="Q244" s="1545"/>
      <c r="R244" s="1545"/>
      <c r="S244" s="1545"/>
      <c r="T244" s="1545"/>
      <c r="U244" s="1545"/>
      <c r="V244" s="1545"/>
      <c r="W244" s="1545"/>
      <c r="X244" s="1545"/>
      <c r="Y244" s="1545"/>
      <c r="Z244" s="1545"/>
      <c r="AA244" s="1545"/>
      <c r="AB244" s="1545"/>
      <c r="AC244" s="1545"/>
      <c r="AD244" s="1545"/>
      <c r="AE244" s="1545"/>
      <c r="AF244" s="1545"/>
      <c r="AG244" s="1545"/>
      <c r="AH244" s="1545"/>
      <c r="AI244" s="1545"/>
      <c r="AJ244" s="1545"/>
      <c r="AK244" s="1545"/>
      <c r="AL244" s="1545"/>
      <c r="AM244" s="1545"/>
      <c r="AN244" s="1545"/>
      <c r="AO244" s="1545"/>
    </row>
    <row r="245" spans="2:45" x14ac:dyDescent="0.35">
      <c r="B245" s="1537">
        <f t="shared" si="4"/>
        <v>240</v>
      </c>
      <c r="C245" s="1537" t="s">
        <v>1637</v>
      </c>
      <c r="D245" s="1537" t="s">
        <v>2296</v>
      </c>
      <c r="E245" s="1537" t="s">
        <v>2297</v>
      </c>
      <c r="F245" s="1537">
        <v>1</v>
      </c>
      <c r="G245" s="1539" t="s">
        <v>1989</v>
      </c>
      <c r="H245" s="1537" t="s">
        <v>1990</v>
      </c>
      <c r="I245" s="1537" t="s">
        <v>1991</v>
      </c>
      <c r="K245" s="1545">
        <v>3047</v>
      </c>
      <c r="L245" s="1545">
        <v>141.33000000000001</v>
      </c>
      <c r="M245" s="1551">
        <v>0</v>
      </c>
      <c r="N245" s="1551">
        <v>201</v>
      </c>
      <c r="O245" s="1551">
        <v>212</v>
      </c>
      <c r="P245" s="1551">
        <v>239</v>
      </c>
      <c r="Q245" s="1551">
        <v>224</v>
      </c>
      <c r="R245" s="1551">
        <v>234</v>
      </c>
      <c r="S245" s="1551">
        <v>242</v>
      </c>
      <c r="T245" s="1551">
        <v>302</v>
      </c>
      <c r="U245" s="1551">
        <v>275</v>
      </c>
      <c r="V245" s="1551">
        <v>283</v>
      </c>
      <c r="W245" s="1551">
        <v>275</v>
      </c>
      <c r="X245" s="1551">
        <v>206</v>
      </c>
      <c r="Y245" s="1551">
        <v>212</v>
      </c>
      <c r="Z245" s="1551">
        <v>142</v>
      </c>
      <c r="AA245" s="1551"/>
      <c r="AB245" s="1551"/>
      <c r="AC245" s="1551"/>
      <c r="AD245" s="1551"/>
      <c r="AE245" s="1551">
        <v>49</v>
      </c>
      <c r="AF245" s="1551">
        <v>45</v>
      </c>
      <c r="AG245" s="1551">
        <v>912</v>
      </c>
      <c r="AH245" s="1551">
        <v>394</v>
      </c>
      <c r="AI245" s="1551">
        <v>12</v>
      </c>
      <c r="AJ245" s="1551">
        <v>1297</v>
      </c>
      <c r="AK245" s="1551">
        <v>338</v>
      </c>
      <c r="AL245" s="1551">
        <v>1485</v>
      </c>
      <c r="AM245" s="1551">
        <v>1562</v>
      </c>
      <c r="AN245" s="1551" t="s">
        <v>890</v>
      </c>
      <c r="AO245" s="1551" t="s">
        <v>890</v>
      </c>
      <c r="AP245" s="1537" t="s">
        <v>2298</v>
      </c>
      <c r="AQ245" s="1537" t="s">
        <v>890</v>
      </c>
      <c r="AS245" s="1552" t="s">
        <v>2299</v>
      </c>
    </row>
    <row r="246" spans="2:45" x14ac:dyDescent="0.35">
      <c r="B246" s="1537">
        <f t="shared" si="4"/>
        <v>241</v>
      </c>
      <c r="C246" s="1537" t="s">
        <v>1637</v>
      </c>
      <c r="D246" s="1537" t="s">
        <v>2300</v>
      </c>
      <c r="E246" s="1537" t="s">
        <v>2301</v>
      </c>
      <c r="F246" s="1537">
        <v>1</v>
      </c>
      <c r="G246" s="1539" t="s">
        <v>2067</v>
      </c>
      <c r="H246" s="1537" t="s">
        <v>1990</v>
      </c>
      <c r="I246" s="1537" t="s">
        <v>1991</v>
      </c>
      <c r="K246" s="1545">
        <v>1243</v>
      </c>
      <c r="L246" s="1545">
        <v>71.72</v>
      </c>
      <c r="M246" s="1551">
        <v>0</v>
      </c>
      <c r="N246" s="1551">
        <v>124</v>
      </c>
      <c r="O246" s="1551">
        <v>125</v>
      </c>
      <c r="P246" s="1551">
        <v>126</v>
      </c>
      <c r="Q246" s="1551">
        <v>126</v>
      </c>
      <c r="R246" s="1551">
        <v>125</v>
      </c>
      <c r="S246" s="1551">
        <v>125</v>
      </c>
      <c r="T246" s="1551">
        <v>183</v>
      </c>
      <c r="U246" s="1551">
        <v>168</v>
      </c>
      <c r="V246" s="1551">
        <v>141</v>
      </c>
      <c r="W246" s="1551">
        <v>0</v>
      </c>
      <c r="X246" s="1551">
        <v>0</v>
      </c>
      <c r="Y246" s="1551">
        <v>0</v>
      </c>
      <c r="Z246" s="1551">
        <v>0</v>
      </c>
      <c r="AA246" s="1551"/>
      <c r="AB246" s="1551"/>
      <c r="AC246" s="1551"/>
      <c r="AD246" s="1551"/>
      <c r="AE246" s="1551">
        <v>0</v>
      </c>
      <c r="AF246" s="1551">
        <v>102</v>
      </c>
      <c r="AG246" s="1551">
        <v>70</v>
      </c>
      <c r="AH246" s="1551">
        <v>82</v>
      </c>
      <c r="AI246" s="1551">
        <v>1</v>
      </c>
      <c r="AJ246" s="1551">
        <v>891</v>
      </c>
      <c r="AK246" s="1551">
        <v>97</v>
      </c>
      <c r="AL246" s="1551">
        <v>609</v>
      </c>
      <c r="AM246" s="1551">
        <v>634</v>
      </c>
      <c r="AN246" s="1551" t="s">
        <v>890</v>
      </c>
      <c r="AO246" s="1551" t="s">
        <v>890</v>
      </c>
      <c r="AP246" s="1537" t="s">
        <v>2302</v>
      </c>
      <c r="AQ246" s="1537" t="s">
        <v>2303</v>
      </c>
      <c r="AS246" s="1552" t="s">
        <v>2304</v>
      </c>
    </row>
    <row r="247" spans="2:45" hidden="1" x14ac:dyDescent="0.35">
      <c r="B247" s="1537">
        <f t="shared" si="4"/>
        <v>242</v>
      </c>
      <c r="C247" s="1537" t="s">
        <v>1637</v>
      </c>
      <c r="D247" s="1530" t="s">
        <v>2305</v>
      </c>
      <c r="F247" s="1537">
        <v>1</v>
      </c>
      <c r="G247" s="1537" t="s">
        <v>1989</v>
      </c>
      <c r="H247" s="1537" t="s">
        <v>2000</v>
      </c>
      <c r="K247" s="1545"/>
      <c r="L247" s="1545"/>
      <c r="M247" s="1545"/>
      <c r="N247" s="1545"/>
      <c r="O247" s="1545"/>
      <c r="P247" s="1545"/>
      <c r="Q247" s="1545"/>
      <c r="R247" s="1545"/>
      <c r="S247" s="1545"/>
      <c r="T247" s="1545"/>
      <c r="U247" s="1545"/>
      <c r="V247" s="1545"/>
      <c r="W247" s="1545"/>
      <c r="X247" s="1545"/>
      <c r="Y247" s="1545"/>
      <c r="Z247" s="1545"/>
      <c r="AA247" s="1545"/>
      <c r="AB247" s="1545"/>
      <c r="AC247" s="1545"/>
      <c r="AD247" s="1545"/>
      <c r="AE247" s="1545"/>
      <c r="AF247" s="1545"/>
      <c r="AG247" s="1545"/>
      <c r="AH247" s="1545"/>
      <c r="AI247" s="1545"/>
      <c r="AJ247" s="1545"/>
      <c r="AK247" s="1545"/>
      <c r="AL247" s="1545"/>
      <c r="AM247" s="1545"/>
      <c r="AN247" s="1545"/>
      <c r="AO247" s="1545"/>
    </row>
    <row r="248" spans="2:45" hidden="1" x14ac:dyDescent="0.35">
      <c r="B248" s="1537">
        <f t="shared" si="4"/>
        <v>243</v>
      </c>
      <c r="C248" s="1537" t="s">
        <v>1637</v>
      </c>
      <c r="D248" s="1530" t="s">
        <v>1998</v>
      </c>
      <c r="F248" s="1537">
        <v>1</v>
      </c>
      <c r="G248" s="1537" t="s">
        <v>1999</v>
      </c>
      <c r="H248" s="1555" t="s">
        <v>2000</v>
      </c>
      <c r="K248" s="1545"/>
      <c r="L248" s="1545"/>
      <c r="M248" s="1545"/>
      <c r="N248" s="1545"/>
      <c r="O248" s="1545"/>
      <c r="P248" s="1545"/>
      <c r="Q248" s="1545"/>
      <c r="R248" s="1545"/>
      <c r="S248" s="1545"/>
      <c r="T248" s="1545"/>
      <c r="U248" s="1545"/>
      <c r="V248" s="1545"/>
      <c r="W248" s="1545"/>
      <c r="X248" s="1545"/>
      <c r="Y248" s="1545"/>
      <c r="Z248" s="1545"/>
      <c r="AA248" s="1545"/>
      <c r="AB248" s="1545"/>
      <c r="AC248" s="1545"/>
      <c r="AD248" s="1545"/>
      <c r="AE248" s="1545"/>
      <c r="AF248" s="1545"/>
      <c r="AG248" s="1545"/>
      <c r="AH248" s="1545"/>
      <c r="AI248" s="1545"/>
      <c r="AJ248" s="1545"/>
      <c r="AK248" s="1545"/>
      <c r="AL248" s="1545"/>
      <c r="AM248" s="1545"/>
      <c r="AN248" s="1545"/>
      <c r="AO248" s="1545"/>
    </row>
    <row r="249" spans="2:45" hidden="1" x14ac:dyDescent="0.35">
      <c r="B249" s="1537">
        <f t="shared" si="4"/>
        <v>244</v>
      </c>
      <c r="C249" s="1537" t="s">
        <v>1637</v>
      </c>
      <c r="D249" s="1530" t="s">
        <v>2001</v>
      </c>
      <c r="F249" s="1537">
        <v>1</v>
      </c>
      <c r="G249" s="1537" t="s">
        <v>1989</v>
      </c>
      <c r="H249" s="1537" t="s">
        <v>2000</v>
      </c>
      <c r="K249" s="1545"/>
      <c r="L249" s="1545"/>
      <c r="M249" s="1545"/>
      <c r="N249" s="1545"/>
      <c r="O249" s="1545"/>
      <c r="P249" s="1545"/>
      <c r="Q249" s="1545"/>
      <c r="R249" s="1545"/>
      <c r="S249" s="1545"/>
      <c r="T249" s="1545"/>
      <c r="U249" s="1545"/>
      <c r="V249" s="1545"/>
      <c r="W249" s="1545"/>
      <c r="X249" s="1545"/>
      <c r="Y249" s="1545"/>
      <c r="Z249" s="1545"/>
      <c r="AA249" s="1545"/>
      <c r="AB249" s="1545"/>
      <c r="AC249" s="1545"/>
      <c r="AD249" s="1545"/>
      <c r="AE249" s="1545"/>
      <c r="AF249" s="1545"/>
      <c r="AG249" s="1545"/>
      <c r="AH249" s="1545"/>
      <c r="AI249" s="1545"/>
      <c r="AJ249" s="1545"/>
      <c r="AK249" s="1545"/>
      <c r="AL249" s="1545"/>
      <c r="AM249" s="1545"/>
      <c r="AN249" s="1545"/>
      <c r="AO249" s="1545"/>
    </row>
    <row r="250" spans="2:45" hidden="1" x14ac:dyDescent="0.35">
      <c r="B250" s="1537">
        <f t="shared" si="4"/>
        <v>245</v>
      </c>
      <c r="C250" s="1537" t="s">
        <v>1637</v>
      </c>
      <c r="D250" s="1530" t="s">
        <v>2002</v>
      </c>
      <c r="F250" s="1537">
        <v>1</v>
      </c>
      <c r="G250" s="1537" t="s">
        <v>1989</v>
      </c>
      <c r="H250" s="1537" t="s">
        <v>2000</v>
      </c>
      <c r="K250" s="1545"/>
      <c r="L250" s="1545"/>
      <c r="M250" s="1545"/>
      <c r="N250" s="1545"/>
      <c r="O250" s="1545"/>
      <c r="P250" s="1545"/>
      <c r="Q250" s="1545"/>
      <c r="R250" s="1545"/>
      <c r="S250" s="1545"/>
      <c r="T250" s="1545"/>
      <c r="U250" s="1545"/>
      <c r="V250" s="1545"/>
      <c r="W250" s="1545"/>
      <c r="X250" s="1545"/>
      <c r="Y250" s="1545"/>
      <c r="Z250" s="1545"/>
      <c r="AA250" s="1545"/>
      <c r="AB250" s="1545"/>
      <c r="AC250" s="1545"/>
      <c r="AD250" s="1545"/>
      <c r="AE250" s="1545"/>
      <c r="AF250" s="1545"/>
      <c r="AG250" s="1545"/>
      <c r="AH250" s="1545"/>
      <c r="AI250" s="1545"/>
      <c r="AJ250" s="1545"/>
      <c r="AK250" s="1545"/>
      <c r="AL250" s="1545"/>
      <c r="AM250" s="1545"/>
      <c r="AN250" s="1545"/>
      <c r="AO250" s="1545"/>
    </row>
    <row r="251" spans="2:45" hidden="1" x14ac:dyDescent="0.35">
      <c r="B251" s="1537">
        <f t="shared" si="4"/>
        <v>246</v>
      </c>
      <c r="C251" s="1537" t="s">
        <v>1637</v>
      </c>
      <c r="D251" s="1530" t="s">
        <v>2003</v>
      </c>
      <c r="F251" s="1537">
        <v>1</v>
      </c>
      <c r="G251" s="1553" t="s">
        <v>2004</v>
      </c>
      <c r="H251" s="1537" t="s">
        <v>2000</v>
      </c>
      <c r="K251" s="1545"/>
      <c r="L251" s="1545"/>
      <c r="M251" s="1545"/>
      <c r="N251" s="1545"/>
      <c r="O251" s="1545"/>
      <c r="P251" s="1545"/>
      <c r="Q251" s="1545"/>
      <c r="R251" s="1545"/>
      <c r="S251" s="1545"/>
      <c r="T251" s="1545"/>
      <c r="U251" s="1545"/>
      <c r="V251" s="1545"/>
      <c r="W251" s="1545"/>
      <c r="X251" s="1545"/>
      <c r="Y251" s="1545"/>
      <c r="Z251" s="1545"/>
      <c r="AA251" s="1545"/>
      <c r="AB251" s="1545"/>
      <c r="AC251" s="1545"/>
      <c r="AD251" s="1545"/>
      <c r="AE251" s="1545"/>
      <c r="AF251" s="1545"/>
      <c r="AG251" s="1545"/>
      <c r="AH251" s="1545"/>
      <c r="AI251" s="1545"/>
      <c r="AJ251" s="1545"/>
      <c r="AK251" s="1545"/>
      <c r="AL251" s="1545"/>
      <c r="AM251" s="1545"/>
      <c r="AN251" s="1545"/>
      <c r="AO251" s="1545"/>
    </row>
    <row r="252" spans="2:45" hidden="1" x14ac:dyDescent="0.35">
      <c r="B252" s="1537">
        <f t="shared" si="4"/>
        <v>247</v>
      </c>
      <c r="C252" s="1537" t="s">
        <v>1637</v>
      </c>
      <c r="D252" s="1530" t="s">
        <v>2005</v>
      </c>
      <c r="F252" s="1537">
        <v>1</v>
      </c>
      <c r="G252" s="1537" t="s">
        <v>1999</v>
      </c>
      <c r="H252" s="1555" t="s">
        <v>2000</v>
      </c>
      <c r="K252" s="1545"/>
      <c r="L252" s="1545"/>
      <c r="M252" s="1545"/>
      <c r="N252" s="1545"/>
      <c r="O252" s="1545"/>
      <c r="P252" s="1545"/>
      <c r="Q252" s="1545"/>
      <c r="R252" s="1545"/>
      <c r="S252" s="1545"/>
      <c r="T252" s="1545"/>
      <c r="U252" s="1545"/>
      <c r="V252" s="1545"/>
      <c r="W252" s="1545"/>
      <c r="X252" s="1545"/>
      <c r="Y252" s="1545"/>
      <c r="Z252" s="1545"/>
      <c r="AA252" s="1545"/>
      <c r="AB252" s="1545"/>
      <c r="AC252" s="1545"/>
      <c r="AD252" s="1545"/>
      <c r="AE252" s="1545"/>
      <c r="AF252" s="1545"/>
      <c r="AG252" s="1545"/>
      <c r="AH252" s="1545"/>
      <c r="AI252" s="1545"/>
      <c r="AJ252" s="1545"/>
      <c r="AK252" s="1545"/>
      <c r="AL252" s="1545"/>
      <c r="AM252" s="1545"/>
      <c r="AN252" s="1545"/>
      <c r="AO252" s="1545"/>
    </row>
    <row r="253" spans="2:45" hidden="1" x14ac:dyDescent="0.35">
      <c r="B253" s="1537">
        <f t="shared" si="4"/>
        <v>248</v>
      </c>
      <c r="C253" s="1537" t="s">
        <v>2306</v>
      </c>
      <c r="D253" s="1530" t="s">
        <v>1998</v>
      </c>
      <c r="F253" s="1537">
        <v>1</v>
      </c>
      <c r="G253" s="1537" t="s">
        <v>1999</v>
      </c>
      <c r="H253" s="1555" t="s">
        <v>2000</v>
      </c>
      <c r="K253" s="1545"/>
      <c r="L253" s="1545"/>
      <c r="M253" s="1545"/>
      <c r="N253" s="1545"/>
      <c r="O253" s="1545"/>
      <c r="P253" s="1545"/>
      <c r="Q253" s="1545"/>
      <c r="R253" s="1545"/>
      <c r="S253" s="1545"/>
      <c r="T253" s="1545"/>
      <c r="U253" s="1545"/>
      <c r="V253" s="1545"/>
      <c r="W253" s="1545"/>
      <c r="X253" s="1545"/>
      <c r="Y253" s="1545"/>
      <c r="Z253" s="1545"/>
      <c r="AA253" s="1545"/>
      <c r="AB253" s="1545"/>
      <c r="AC253" s="1545"/>
      <c r="AD253" s="1545"/>
      <c r="AE253" s="1545"/>
      <c r="AF253" s="1545"/>
      <c r="AG253" s="1545"/>
      <c r="AH253" s="1545"/>
      <c r="AI253" s="1545"/>
      <c r="AJ253" s="1545"/>
      <c r="AK253" s="1545"/>
      <c r="AL253" s="1545"/>
      <c r="AM253" s="1545"/>
      <c r="AN253" s="1545"/>
      <c r="AO253" s="1545"/>
    </row>
    <row r="254" spans="2:45" hidden="1" x14ac:dyDescent="0.35">
      <c r="B254" s="1537">
        <f t="shared" si="4"/>
        <v>249</v>
      </c>
      <c r="C254" s="1537" t="s">
        <v>2306</v>
      </c>
      <c r="D254" s="1530" t="s">
        <v>2001</v>
      </c>
      <c r="F254" s="1537">
        <v>1</v>
      </c>
      <c r="G254" s="1537" t="s">
        <v>1989</v>
      </c>
      <c r="H254" s="1537" t="s">
        <v>2000</v>
      </c>
      <c r="K254" s="1545"/>
      <c r="L254" s="1545"/>
      <c r="M254" s="1545"/>
      <c r="N254" s="1545"/>
      <c r="O254" s="1545"/>
      <c r="P254" s="1545"/>
      <c r="Q254" s="1545"/>
      <c r="R254" s="1545"/>
      <c r="S254" s="1545"/>
      <c r="T254" s="1545"/>
      <c r="U254" s="1545"/>
      <c r="V254" s="1545"/>
      <c r="W254" s="1545"/>
      <c r="X254" s="1545"/>
      <c r="Y254" s="1545"/>
      <c r="Z254" s="1545"/>
      <c r="AA254" s="1545"/>
      <c r="AB254" s="1545"/>
      <c r="AC254" s="1545"/>
      <c r="AD254" s="1545"/>
      <c r="AE254" s="1545"/>
      <c r="AF254" s="1545"/>
      <c r="AG254" s="1545"/>
      <c r="AH254" s="1545"/>
      <c r="AI254" s="1545"/>
      <c r="AJ254" s="1545"/>
      <c r="AK254" s="1545"/>
      <c r="AL254" s="1545"/>
      <c r="AM254" s="1545"/>
      <c r="AN254" s="1545"/>
      <c r="AO254" s="1545"/>
    </row>
    <row r="255" spans="2:45" hidden="1" x14ac:dyDescent="0.35">
      <c r="B255" s="1537">
        <f t="shared" si="4"/>
        <v>250</v>
      </c>
      <c r="C255" s="1537" t="s">
        <v>2306</v>
      </c>
      <c r="D255" s="1530" t="s">
        <v>2002</v>
      </c>
      <c r="F255" s="1537">
        <v>1</v>
      </c>
      <c r="G255" s="1537" t="s">
        <v>1989</v>
      </c>
      <c r="H255" s="1537" t="s">
        <v>2000</v>
      </c>
      <c r="K255" s="1545"/>
      <c r="L255" s="1545"/>
      <c r="M255" s="1545"/>
      <c r="N255" s="1545"/>
      <c r="O255" s="1545"/>
      <c r="P255" s="1545"/>
      <c r="Q255" s="1545"/>
      <c r="R255" s="1545"/>
      <c r="S255" s="1545"/>
      <c r="T255" s="1545"/>
      <c r="U255" s="1545"/>
      <c r="V255" s="1545"/>
      <c r="W255" s="1545"/>
      <c r="X255" s="1545"/>
      <c r="Y255" s="1545"/>
      <c r="Z255" s="1545"/>
      <c r="AA255" s="1545"/>
      <c r="AB255" s="1545"/>
      <c r="AC255" s="1545"/>
      <c r="AD255" s="1545"/>
      <c r="AE255" s="1545"/>
      <c r="AF255" s="1545"/>
      <c r="AG255" s="1545"/>
      <c r="AH255" s="1545"/>
      <c r="AI255" s="1545"/>
      <c r="AJ255" s="1545"/>
      <c r="AK255" s="1545"/>
      <c r="AL255" s="1545"/>
      <c r="AM255" s="1545"/>
      <c r="AN255" s="1545"/>
      <c r="AO255" s="1545"/>
    </row>
    <row r="256" spans="2:45" hidden="1" x14ac:dyDescent="0.35">
      <c r="B256" s="1537">
        <f t="shared" si="4"/>
        <v>251</v>
      </c>
      <c r="C256" s="1537" t="s">
        <v>2306</v>
      </c>
      <c r="D256" s="1530" t="s">
        <v>2003</v>
      </c>
      <c r="F256" s="1537">
        <v>1</v>
      </c>
      <c r="G256" s="1553" t="s">
        <v>2004</v>
      </c>
      <c r="H256" s="1537" t="s">
        <v>2000</v>
      </c>
      <c r="K256" s="1545"/>
      <c r="L256" s="1545"/>
      <c r="M256" s="1545"/>
      <c r="N256" s="1545"/>
      <c r="O256" s="1545"/>
      <c r="P256" s="1545"/>
      <c r="Q256" s="1545"/>
      <c r="R256" s="1545"/>
      <c r="S256" s="1545"/>
      <c r="T256" s="1545"/>
      <c r="U256" s="1545"/>
      <c r="V256" s="1545"/>
      <c r="W256" s="1545"/>
      <c r="X256" s="1545"/>
      <c r="Y256" s="1545"/>
      <c r="Z256" s="1545"/>
      <c r="AA256" s="1545"/>
      <c r="AB256" s="1545"/>
      <c r="AC256" s="1545"/>
      <c r="AD256" s="1545"/>
      <c r="AE256" s="1545"/>
      <c r="AF256" s="1545"/>
      <c r="AG256" s="1545"/>
      <c r="AH256" s="1545"/>
      <c r="AI256" s="1545"/>
      <c r="AJ256" s="1545"/>
      <c r="AK256" s="1545"/>
      <c r="AL256" s="1545"/>
      <c r="AM256" s="1545"/>
      <c r="AN256" s="1545"/>
      <c r="AO256" s="1545"/>
    </row>
    <row r="257" spans="2:45" hidden="1" x14ac:dyDescent="0.35">
      <c r="B257" s="1537">
        <f t="shared" si="4"/>
        <v>252</v>
      </c>
      <c r="C257" s="1537" t="s">
        <v>2306</v>
      </c>
      <c r="D257" s="1530" t="s">
        <v>2005</v>
      </c>
      <c r="F257" s="1537">
        <v>1</v>
      </c>
      <c r="G257" s="1537" t="s">
        <v>1999</v>
      </c>
      <c r="H257" s="1555" t="s">
        <v>2000</v>
      </c>
      <c r="K257" s="1545"/>
      <c r="L257" s="1545"/>
      <c r="M257" s="1545"/>
      <c r="N257" s="1545"/>
      <c r="O257" s="1545"/>
      <c r="P257" s="1545"/>
      <c r="Q257" s="1545"/>
      <c r="R257" s="1545"/>
      <c r="S257" s="1545"/>
      <c r="T257" s="1545"/>
      <c r="U257" s="1545"/>
      <c r="V257" s="1545"/>
      <c r="W257" s="1545"/>
      <c r="X257" s="1545"/>
      <c r="Y257" s="1545"/>
      <c r="Z257" s="1545"/>
      <c r="AA257" s="1545"/>
      <c r="AB257" s="1545"/>
      <c r="AC257" s="1545"/>
      <c r="AD257" s="1545"/>
      <c r="AE257" s="1545"/>
      <c r="AF257" s="1545"/>
      <c r="AG257" s="1545"/>
      <c r="AH257" s="1545"/>
      <c r="AI257" s="1545"/>
      <c r="AJ257" s="1545"/>
      <c r="AK257" s="1545"/>
      <c r="AL257" s="1545"/>
      <c r="AM257" s="1545"/>
      <c r="AN257" s="1545"/>
      <c r="AO257" s="1545"/>
    </row>
    <row r="258" spans="2:45" x14ac:dyDescent="0.35">
      <c r="B258" s="1537">
        <f t="shared" si="4"/>
        <v>253</v>
      </c>
      <c r="C258" s="1537" t="s">
        <v>1638</v>
      </c>
      <c r="D258" s="1537" t="s">
        <v>1948</v>
      </c>
      <c r="E258" s="1537" t="s">
        <v>1948</v>
      </c>
      <c r="F258" s="1537">
        <v>1</v>
      </c>
      <c r="G258" s="1539" t="s">
        <v>1989</v>
      </c>
      <c r="H258" s="1555" t="s">
        <v>1990</v>
      </c>
      <c r="I258" s="1537" t="s">
        <v>1991</v>
      </c>
      <c r="K258" s="1545">
        <v>14334</v>
      </c>
      <c r="L258" s="1545">
        <v>413</v>
      </c>
      <c r="M258" s="1551">
        <v>0</v>
      </c>
      <c r="N258" s="1551">
        <v>895</v>
      </c>
      <c r="O258" s="1551">
        <v>829</v>
      </c>
      <c r="P258" s="1551">
        <v>745</v>
      </c>
      <c r="Q258" s="1551">
        <v>699</v>
      </c>
      <c r="R258" s="1551">
        <v>785</v>
      </c>
      <c r="S258" s="1551">
        <v>854</v>
      </c>
      <c r="T258" s="1551">
        <v>1049</v>
      </c>
      <c r="U258" s="1551">
        <v>1204</v>
      </c>
      <c r="V258" s="1551">
        <v>1512</v>
      </c>
      <c r="W258" s="1551">
        <v>1418</v>
      </c>
      <c r="X258" s="1551">
        <v>1572</v>
      </c>
      <c r="Y258" s="1551">
        <v>1456</v>
      </c>
      <c r="Z258" s="1551">
        <v>1316</v>
      </c>
      <c r="AA258" s="1551"/>
      <c r="AB258" s="1551"/>
      <c r="AC258" s="1551"/>
      <c r="AD258" s="1551"/>
      <c r="AE258" s="1551">
        <v>52</v>
      </c>
      <c r="AF258" s="1551">
        <v>153</v>
      </c>
      <c r="AG258" s="1551">
        <v>2573</v>
      </c>
      <c r="AH258" s="1551">
        <v>1136</v>
      </c>
      <c r="AI258" s="1551">
        <v>9</v>
      </c>
      <c r="AJ258" s="1551">
        <v>9353</v>
      </c>
      <c r="AK258" s="1551">
        <v>1058</v>
      </c>
      <c r="AL258" s="1551">
        <v>6933</v>
      </c>
      <c r="AM258" s="1551">
        <v>7401</v>
      </c>
      <c r="AN258" s="1551" t="s">
        <v>890</v>
      </c>
      <c r="AO258" s="1551" t="s">
        <v>890</v>
      </c>
      <c r="AP258" s="1537" t="s">
        <v>2307</v>
      </c>
      <c r="AQ258" s="1552" t="s">
        <v>2308</v>
      </c>
      <c r="AR258" s="1537" t="s">
        <v>2009</v>
      </c>
      <c r="AS258" s="1556" t="s">
        <v>2309</v>
      </c>
    </row>
    <row r="259" spans="2:45" x14ac:dyDescent="0.35">
      <c r="B259" s="1537">
        <f t="shared" si="4"/>
        <v>254</v>
      </c>
      <c r="C259" s="1537" t="s">
        <v>1638</v>
      </c>
      <c r="D259" s="1537" t="s">
        <v>1949</v>
      </c>
      <c r="E259" s="1537" t="s">
        <v>1949</v>
      </c>
      <c r="F259" s="1537">
        <v>1</v>
      </c>
      <c r="G259" s="1550" t="s">
        <v>2039</v>
      </c>
      <c r="H259" s="1555" t="s">
        <v>1990</v>
      </c>
      <c r="I259" s="1537" t="s">
        <v>1991</v>
      </c>
      <c r="K259" s="1545">
        <v>939</v>
      </c>
      <c r="L259" s="1545">
        <v>25</v>
      </c>
      <c r="M259" s="1551">
        <v>0</v>
      </c>
      <c r="N259" s="1551">
        <v>0</v>
      </c>
      <c r="O259" s="1551">
        <v>0</v>
      </c>
      <c r="P259" s="1551">
        <v>0</v>
      </c>
      <c r="Q259" s="1551">
        <v>0</v>
      </c>
      <c r="R259" s="1551">
        <v>0</v>
      </c>
      <c r="S259" s="1551">
        <v>0</v>
      </c>
      <c r="T259" s="1551">
        <v>0</v>
      </c>
      <c r="U259" s="1551">
        <v>0</v>
      </c>
      <c r="V259" s="1551">
        <v>0</v>
      </c>
      <c r="W259" s="1551">
        <v>8</v>
      </c>
      <c r="X259" s="1551">
        <v>72</v>
      </c>
      <c r="Y259" s="1551">
        <v>297</v>
      </c>
      <c r="Z259" s="1551">
        <v>562</v>
      </c>
      <c r="AA259" s="1551"/>
      <c r="AB259" s="1551"/>
      <c r="AC259" s="1551"/>
      <c r="AD259" s="1551"/>
      <c r="AE259" s="1551">
        <v>6</v>
      </c>
      <c r="AF259" s="1551">
        <v>4</v>
      </c>
      <c r="AG259" s="1551">
        <v>178</v>
      </c>
      <c r="AH259" s="1551">
        <v>96</v>
      </c>
      <c r="AI259" s="1551">
        <v>2</v>
      </c>
      <c r="AJ259" s="1551">
        <v>652</v>
      </c>
      <c r="AK259" s="1551">
        <v>1</v>
      </c>
      <c r="AL259" s="1551">
        <v>398</v>
      </c>
      <c r="AM259" s="1551">
        <v>541</v>
      </c>
      <c r="AN259" s="1551" t="s">
        <v>890</v>
      </c>
      <c r="AO259" s="1551" t="s">
        <v>890</v>
      </c>
      <c r="AP259" s="1537" t="s">
        <v>2310</v>
      </c>
      <c r="AQ259" s="1552" t="s">
        <v>2311</v>
      </c>
      <c r="AR259" s="1537" t="s">
        <v>2009</v>
      </c>
      <c r="AS259" s="1556" t="s">
        <v>2312</v>
      </c>
    </row>
    <row r="260" spans="2:45" hidden="1" x14ac:dyDescent="0.35">
      <c r="B260" s="1537">
        <f t="shared" si="4"/>
        <v>255</v>
      </c>
      <c r="C260" s="1537" t="s">
        <v>1638</v>
      </c>
      <c r="D260" s="1530" t="s">
        <v>1998</v>
      </c>
      <c r="F260" s="1537">
        <v>1</v>
      </c>
      <c r="G260" s="1537" t="s">
        <v>1999</v>
      </c>
      <c r="H260" s="1555" t="s">
        <v>2000</v>
      </c>
      <c r="K260" s="1545"/>
      <c r="L260" s="1545"/>
      <c r="M260" s="1545"/>
      <c r="N260" s="1545"/>
      <c r="O260" s="1545"/>
      <c r="P260" s="1545"/>
      <c r="Q260" s="1545"/>
      <c r="R260" s="1545"/>
      <c r="S260" s="1545"/>
      <c r="T260" s="1545"/>
      <c r="U260" s="1545"/>
      <c r="V260" s="1545"/>
      <c r="W260" s="1545"/>
      <c r="X260" s="1545"/>
      <c r="Y260" s="1545"/>
      <c r="Z260" s="1545"/>
      <c r="AA260" s="1545"/>
      <c r="AB260" s="1545"/>
      <c r="AC260" s="1545"/>
      <c r="AD260" s="1545"/>
      <c r="AE260" s="1545"/>
      <c r="AF260" s="1545"/>
      <c r="AG260" s="1545"/>
      <c r="AH260" s="1545"/>
      <c r="AI260" s="1545"/>
      <c r="AJ260" s="1545"/>
      <c r="AK260" s="1545"/>
      <c r="AL260" s="1545"/>
      <c r="AM260" s="1545"/>
      <c r="AN260" s="1545"/>
      <c r="AO260" s="1545"/>
    </row>
    <row r="261" spans="2:45" hidden="1" x14ac:dyDescent="0.35">
      <c r="B261" s="1537">
        <f t="shared" si="4"/>
        <v>256</v>
      </c>
      <c r="C261" s="1537" t="s">
        <v>1638</v>
      </c>
      <c r="D261" s="1530" t="s">
        <v>2001</v>
      </c>
      <c r="F261" s="1537">
        <v>1</v>
      </c>
      <c r="G261" s="1537" t="s">
        <v>1989</v>
      </c>
      <c r="H261" s="1555" t="s">
        <v>2000</v>
      </c>
      <c r="K261" s="1545"/>
      <c r="L261" s="1545"/>
      <c r="M261" s="1545"/>
      <c r="N261" s="1545"/>
      <c r="O261" s="1545"/>
      <c r="P261" s="1545"/>
      <c r="Q261" s="1545"/>
      <c r="R261" s="1545"/>
      <c r="S261" s="1545"/>
      <c r="T261" s="1545"/>
      <c r="U261" s="1545"/>
      <c r="V261" s="1545"/>
      <c r="W261" s="1545"/>
      <c r="X261" s="1545"/>
      <c r="Y261" s="1545"/>
      <c r="Z261" s="1545"/>
      <c r="AA261" s="1545"/>
      <c r="AB261" s="1545"/>
      <c r="AC261" s="1545"/>
      <c r="AD261" s="1545"/>
      <c r="AE261" s="1545"/>
      <c r="AF261" s="1545"/>
      <c r="AG261" s="1545"/>
      <c r="AH261" s="1545"/>
      <c r="AI261" s="1545"/>
      <c r="AJ261" s="1545"/>
      <c r="AK261" s="1545"/>
      <c r="AL261" s="1545"/>
      <c r="AM261" s="1545"/>
      <c r="AN261" s="1545"/>
      <c r="AO261" s="1545"/>
    </row>
    <row r="262" spans="2:45" hidden="1" x14ac:dyDescent="0.35">
      <c r="B262" s="1537">
        <f t="shared" si="4"/>
        <v>257</v>
      </c>
      <c r="C262" s="1537" t="s">
        <v>1638</v>
      </c>
      <c r="D262" s="1530" t="s">
        <v>2002</v>
      </c>
      <c r="F262" s="1537">
        <v>1</v>
      </c>
      <c r="G262" s="1537" t="s">
        <v>1989</v>
      </c>
      <c r="H262" s="1555" t="s">
        <v>2000</v>
      </c>
      <c r="K262" s="1545"/>
      <c r="L262" s="1545"/>
      <c r="M262" s="1545"/>
      <c r="N262" s="1545"/>
      <c r="O262" s="1545"/>
      <c r="P262" s="1545"/>
      <c r="Q262" s="1545"/>
      <c r="R262" s="1545"/>
      <c r="S262" s="1545"/>
      <c r="T262" s="1545"/>
      <c r="U262" s="1545"/>
      <c r="V262" s="1545"/>
      <c r="W262" s="1545"/>
      <c r="X262" s="1545"/>
      <c r="Y262" s="1545"/>
      <c r="Z262" s="1545"/>
      <c r="AA262" s="1545"/>
      <c r="AB262" s="1545"/>
      <c r="AC262" s="1545"/>
      <c r="AD262" s="1545"/>
      <c r="AE262" s="1545"/>
      <c r="AF262" s="1545"/>
      <c r="AG262" s="1545"/>
      <c r="AH262" s="1545"/>
      <c r="AI262" s="1545"/>
      <c r="AJ262" s="1545"/>
      <c r="AK262" s="1545"/>
      <c r="AL262" s="1545"/>
      <c r="AM262" s="1545"/>
      <c r="AN262" s="1545"/>
      <c r="AO262" s="1545"/>
    </row>
    <row r="263" spans="2:45" hidden="1" x14ac:dyDescent="0.35">
      <c r="B263" s="1537">
        <f t="shared" si="4"/>
        <v>258</v>
      </c>
      <c r="C263" s="1537" t="s">
        <v>1638</v>
      </c>
      <c r="D263" s="1530" t="s">
        <v>2003</v>
      </c>
      <c r="F263" s="1537">
        <v>1</v>
      </c>
      <c r="G263" s="1553" t="s">
        <v>2004</v>
      </c>
      <c r="H263" s="1555" t="s">
        <v>2000</v>
      </c>
      <c r="K263" s="1545"/>
      <c r="L263" s="1545"/>
      <c r="M263" s="1545"/>
      <c r="N263" s="1545"/>
      <c r="O263" s="1545"/>
      <c r="P263" s="1545"/>
      <c r="Q263" s="1545"/>
      <c r="R263" s="1545"/>
      <c r="S263" s="1545"/>
      <c r="T263" s="1545"/>
      <c r="U263" s="1545"/>
      <c r="V263" s="1545"/>
      <c r="W263" s="1545"/>
      <c r="X263" s="1545"/>
      <c r="Y263" s="1545"/>
      <c r="Z263" s="1545"/>
      <c r="AA263" s="1545"/>
      <c r="AB263" s="1545"/>
      <c r="AC263" s="1545"/>
      <c r="AD263" s="1545"/>
      <c r="AE263" s="1545"/>
      <c r="AF263" s="1545"/>
      <c r="AG263" s="1545"/>
      <c r="AH263" s="1545"/>
      <c r="AI263" s="1545"/>
      <c r="AJ263" s="1545"/>
      <c r="AK263" s="1545"/>
      <c r="AL263" s="1545"/>
      <c r="AM263" s="1545"/>
      <c r="AN263" s="1545"/>
      <c r="AO263" s="1545"/>
    </row>
    <row r="264" spans="2:45" hidden="1" x14ac:dyDescent="0.35">
      <c r="B264" s="1537">
        <f t="shared" ref="B264:B327" si="5">+B263+1</f>
        <v>259</v>
      </c>
      <c r="C264" s="1537" t="s">
        <v>1638</v>
      </c>
      <c r="D264" s="1530" t="s">
        <v>2005</v>
      </c>
      <c r="F264" s="1537">
        <v>1</v>
      </c>
      <c r="G264" s="1537" t="s">
        <v>1999</v>
      </c>
      <c r="H264" s="1555" t="s">
        <v>2000</v>
      </c>
      <c r="K264" s="1545"/>
      <c r="L264" s="1545"/>
      <c r="M264" s="1545"/>
      <c r="N264" s="1545"/>
      <c r="O264" s="1545"/>
      <c r="P264" s="1545"/>
      <c r="Q264" s="1545"/>
      <c r="R264" s="1545"/>
      <c r="S264" s="1545"/>
      <c r="T264" s="1545"/>
      <c r="U264" s="1545"/>
      <c r="V264" s="1545"/>
      <c r="W264" s="1545"/>
      <c r="X264" s="1545"/>
      <c r="Y264" s="1545"/>
      <c r="Z264" s="1545"/>
      <c r="AA264" s="1545"/>
      <c r="AB264" s="1545"/>
      <c r="AC264" s="1545"/>
      <c r="AD264" s="1545"/>
      <c r="AE264" s="1545"/>
      <c r="AF264" s="1545"/>
      <c r="AG264" s="1545"/>
      <c r="AH264" s="1545"/>
      <c r="AI264" s="1545"/>
      <c r="AJ264" s="1545"/>
      <c r="AK264" s="1545"/>
      <c r="AL264" s="1545"/>
      <c r="AM264" s="1545"/>
      <c r="AN264" s="1545"/>
      <c r="AO264" s="1545"/>
    </row>
    <row r="265" spans="2:45" x14ac:dyDescent="0.35">
      <c r="B265" s="1537">
        <f t="shared" si="5"/>
        <v>260</v>
      </c>
      <c r="C265" s="1537" t="s">
        <v>1639</v>
      </c>
      <c r="D265" s="1537" t="s">
        <v>2313</v>
      </c>
      <c r="E265" s="1537" t="s">
        <v>2314</v>
      </c>
      <c r="F265" s="1537">
        <v>1</v>
      </c>
      <c r="G265" s="1550" t="s">
        <v>2047</v>
      </c>
      <c r="H265" s="1555" t="s">
        <v>1990</v>
      </c>
      <c r="I265" s="1537" t="s">
        <v>1991</v>
      </c>
      <c r="K265" s="1545">
        <v>1316</v>
      </c>
      <c r="L265" s="1545">
        <v>43.5</v>
      </c>
      <c r="M265" s="1551">
        <v>0</v>
      </c>
      <c r="N265" s="1551">
        <v>205</v>
      </c>
      <c r="O265" s="1551">
        <v>199</v>
      </c>
      <c r="P265" s="1551">
        <v>212</v>
      </c>
      <c r="Q265" s="1551">
        <v>215</v>
      </c>
      <c r="R265" s="1551">
        <v>245</v>
      </c>
      <c r="S265" s="1551">
        <v>240</v>
      </c>
      <c r="T265" s="1551">
        <v>0</v>
      </c>
      <c r="U265" s="1551">
        <v>0</v>
      </c>
      <c r="V265" s="1551">
        <v>0</v>
      </c>
      <c r="W265" s="1551">
        <v>0</v>
      </c>
      <c r="X265" s="1551">
        <v>0</v>
      </c>
      <c r="Y265" s="1551">
        <v>0</v>
      </c>
      <c r="Z265" s="1551">
        <v>0</v>
      </c>
      <c r="AA265" s="1551"/>
      <c r="AB265" s="1551"/>
      <c r="AC265" s="1551"/>
      <c r="AD265" s="1551"/>
      <c r="AE265" s="1551">
        <v>90</v>
      </c>
      <c r="AF265" s="1551">
        <v>14</v>
      </c>
      <c r="AG265" s="1551">
        <v>186</v>
      </c>
      <c r="AH265" s="1551">
        <v>235</v>
      </c>
      <c r="AI265" s="1551">
        <v>3</v>
      </c>
      <c r="AJ265" s="1551">
        <v>552</v>
      </c>
      <c r="AK265" s="1551">
        <v>236</v>
      </c>
      <c r="AL265" s="1551">
        <v>647</v>
      </c>
      <c r="AM265" s="1551">
        <v>669</v>
      </c>
      <c r="AN265" s="1551">
        <v>555</v>
      </c>
      <c r="AO265" s="1551">
        <f>999-AN265</f>
        <v>444</v>
      </c>
      <c r="AP265" s="1537" t="s">
        <v>2315</v>
      </c>
      <c r="AQ265" s="1552" t="s">
        <v>2316</v>
      </c>
      <c r="AR265" s="1552"/>
      <c r="AS265" s="1556" t="s">
        <v>2317</v>
      </c>
    </row>
    <row r="266" spans="2:45" x14ac:dyDescent="0.35">
      <c r="B266" s="1537">
        <f t="shared" si="5"/>
        <v>261</v>
      </c>
      <c r="C266" s="1537" t="s">
        <v>1639</v>
      </c>
      <c r="D266" s="1537" t="s">
        <v>2318</v>
      </c>
      <c r="E266" s="1537" t="s">
        <v>2319</v>
      </c>
      <c r="G266" s="1550" t="s">
        <v>2052</v>
      </c>
      <c r="H266" s="1555" t="s">
        <v>1990</v>
      </c>
      <c r="I266" s="1537" t="s">
        <v>1991</v>
      </c>
      <c r="K266" s="1545">
        <v>904</v>
      </c>
      <c r="L266" s="1545">
        <v>34</v>
      </c>
      <c r="M266" s="1551">
        <v>0</v>
      </c>
      <c r="N266" s="1551">
        <v>0</v>
      </c>
      <c r="O266" s="1551">
        <v>0</v>
      </c>
      <c r="P266" s="1551">
        <v>0</v>
      </c>
      <c r="Q266" s="1551">
        <v>0</v>
      </c>
      <c r="R266" s="1551">
        <v>0</v>
      </c>
      <c r="S266" s="1551">
        <v>0</v>
      </c>
      <c r="T266" s="1551">
        <v>286</v>
      </c>
      <c r="U266" s="1551">
        <v>301</v>
      </c>
      <c r="V266" s="1551">
        <v>317</v>
      </c>
      <c r="W266" s="1551">
        <v>0</v>
      </c>
      <c r="X266" s="1551">
        <v>0</v>
      </c>
      <c r="Y266" s="1551">
        <v>0</v>
      </c>
      <c r="Z266" s="1551">
        <v>0</v>
      </c>
      <c r="AA266" s="1551"/>
      <c r="AB266" s="1551"/>
      <c r="AC266" s="1551"/>
      <c r="AD266" s="1551"/>
      <c r="AE266" s="1551">
        <v>64</v>
      </c>
      <c r="AF266" s="1551">
        <v>13</v>
      </c>
      <c r="AG266" s="1551">
        <v>119</v>
      </c>
      <c r="AH266" s="1551">
        <v>159</v>
      </c>
      <c r="AI266" s="1551">
        <v>2</v>
      </c>
      <c r="AJ266" s="1551">
        <v>406</v>
      </c>
      <c r="AK266" s="1551">
        <v>141</v>
      </c>
      <c r="AL266" s="1551">
        <v>409</v>
      </c>
      <c r="AM266" s="1551">
        <v>495</v>
      </c>
      <c r="AN266" s="1551">
        <v>398</v>
      </c>
      <c r="AO266" s="1551">
        <f>605-AN266</f>
        <v>207</v>
      </c>
      <c r="AP266" s="1537" t="s">
        <v>2315</v>
      </c>
      <c r="AQ266" s="1552" t="s">
        <v>2316</v>
      </c>
      <c r="AR266" s="1552"/>
      <c r="AS266" s="1556" t="s">
        <v>2320</v>
      </c>
    </row>
    <row r="267" spans="2:45" x14ac:dyDescent="0.35">
      <c r="B267" s="1537">
        <f t="shared" si="5"/>
        <v>262</v>
      </c>
      <c r="C267" s="1537" t="s">
        <v>1639</v>
      </c>
      <c r="D267" s="1537" t="s">
        <v>2321</v>
      </c>
      <c r="E267" s="1537" t="s">
        <v>2322</v>
      </c>
      <c r="G267" s="1550" t="s">
        <v>2039</v>
      </c>
      <c r="H267" s="1555" t="s">
        <v>1990</v>
      </c>
      <c r="I267" s="1537" t="s">
        <v>1991</v>
      </c>
      <c r="K267" s="1545">
        <v>1039</v>
      </c>
      <c r="L267" s="1545">
        <v>38.5</v>
      </c>
      <c r="M267" s="1551">
        <v>0</v>
      </c>
      <c r="N267" s="1551">
        <v>0</v>
      </c>
      <c r="O267" s="1551">
        <v>0</v>
      </c>
      <c r="P267" s="1551">
        <v>0</v>
      </c>
      <c r="Q267" s="1551">
        <v>0</v>
      </c>
      <c r="R267" s="1551">
        <v>0</v>
      </c>
      <c r="S267" s="1551">
        <v>0</v>
      </c>
      <c r="T267" s="1551">
        <v>0</v>
      </c>
      <c r="U267" s="1551">
        <v>0</v>
      </c>
      <c r="V267" s="1551">
        <v>0</v>
      </c>
      <c r="W267" s="1551">
        <v>344</v>
      </c>
      <c r="X267" s="1551">
        <v>284</v>
      </c>
      <c r="Y267" s="1551">
        <v>241</v>
      </c>
      <c r="Z267" s="1551">
        <v>170</v>
      </c>
      <c r="AA267" s="1551"/>
      <c r="AB267" s="1551"/>
      <c r="AC267" s="1551"/>
      <c r="AD267" s="1551"/>
      <c r="AE267" s="1551">
        <v>53</v>
      </c>
      <c r="AF267" s="1551">
        <v>10</v>
      </c>
      <c r="AG267" s="1551">
        <v>96</v>
      </c>
      <c r="AH267" s="1551">
        <v>152</v>
      </c>
      <c r="AI267" s="1551">
        <v>2</v>
      </c>
      <c r="AJ267" s="1551">
        <v>560</v>
      </c>
      <c r="AK267" s="1551">
        <v>166</v>
      </c>
      <c r="AL267" s="1551">
        <v>449</v>
      </c>
      <c r="AM267" s="1551">
        <v>590</v>
      </c>
      <c r="AN267" s="1551">
        <v>359</v>
      </c>
      <c r="AO267" s="1551">
        <f>659-AN267</f>
        <v>300</v>
      </c>
      <c r="AP267" s="1537" t="s">
        <v>2315</v>
      </c>
      <c r="AQ267" s="1552" t="s">
        <v>2316</v>
      </c>
      <c r="AR267" s="1552"/>
      <c r="AS267" s="1556"/>
    </row>
    <row r="268" spans="2:45" x14ac:dyDescent="0.35">
      <c r="B268" s="1537">
        <f t="shared" si="5"/>
        <v>263</v>
      </c>
      <c r="C268" s="1537" t="s">
        <v>1639</v>
      </c>
      <c r="D268" s="1537" t="s">
        <v>2323</v>
      </c>
      <c r="E268" s="1537" t="s">
        <v>2324</v>
      </c>
      <c r="F268" s="1537">
        <v>1</v>
      </c>
      <c r="G268" s="1550" t="s">
        <v>2106</v>
      </c>
      <c r="H268" s="1555" t="s">
        <v>1990</v>
      </c>
      <c r="I268" s="1537" t="s">
        <v>1991</v>
      </c>
      <c r="K268" s="1545">
        <v>783</v>
      </c>
      <c r="L268" s="1545">
        <v>22.5</v>
      </c>
      <c r="M268" s="1551">
        <v>0</v>
      </c>
      <c r="N268" s="1551">
        <v>0</v>
      </c>
      <c r="O268" s="1551">
        <v>0</v>
      </c>
      <c r="P268" s="1551">
        <v>0</v>
      </c>
      <c r="Q268" s="1551">
        <v>0</v>
      </c>
      <c r="R268" s="1551">
        <v>0</v>
      </c>
      <c r="S268" s="1551">
        <v>0</v>
      </c>
      <c r="T268" s="1551">
        <v>0</v>
      </c>
      <c r="U268" s="1551">
        <v>0</v>
      </c>
      <c r="V268" s="1551">
        <v>0</v>
      </c>
      <c r="W268" s="1551">
        <v>181</v>
      </c>
      <c r="X268" s="1551">
        <v>215</v>
      </c>
      <c r="Y268" s="1551">
        <v>233</v>
      </c>
      <c r="Z268" s="1551">
        <v>154</v>
      </c>
      <c r="AA268" s="1551"/>
      <c r="AB268" s="1551"/>
      <c r="AC268" s="1551"/>
      <c r="AD268" s="1551"/>
      <c r="AE268" s="1551">
        <v>52</v>
      </c>
      <c r="AF268" s="1551">
        <v>0</v>
      </c>
      <c r="AG268" s="1551">
        <v>68</v>
      </c>
      <c r="AH268" s="1551">
        <v>121</v>
      </c>
      <c r="AI268" s="1551">
        <v>2</v>
      </c>
      <c r="AJ268" s="1551">
        <v>423</v>
      </c>
      <c r="AK268" s="1551">
        <v>117</v>
      </c>
      <c r="AL268" s="1551">
        <v>364</v>
      </c>
      <c r="AM268" s="1551">
        <v>419</v>
      </c>
      <c r="AN268" s="1551" t="s">
        <v>890</v>
      </c>
      <c r="AO268" s="1551" t="s">
        <v>890</v>
      </c>
      <c r="AP268" s="1537" t="s">
        <v>2325</v>
      </c>
      <c r="AQ268" s="1552" t="s">
        <v>2326</v>
      </c>
      <c r="AR268" s="1552"/>
      <c r="AS268" s="1556" t="s">
        <v>2327</v>
      </c>
    </row>
    <row r="269" spans="2:45" hidden="1" x14ac:dyDescent="0.35">
      <c r="B269" s="1537">
        <f t="shared" si="5"/>
        <v>264</v>
      </c>
      <c r="C269" s="1537" t="s">
        <v>1639</v>
      </c>
      <c r="D269" s="1530" t="s">
        <v>1998</v>
      </c>
      <c r="F269" s="1537">
        <v>1</v>
      </c>
      <c r="G269" s="1537" t="s">
        <v>1999</v>
      </c>
      <c r="H269" s="1555" t="s">
        <v>2000</v>
      </c>
      <c r="K269" s="1545"/>
      <c r="L269" s="1545"/>
      <c r="M269" s="1545"/>
      <c r="N269" s="1545"/>
      <c r="O269" s="1545"/>
      <c r="P269" s="1545"/>
      <c r="Q269" s="1545"/>
      <c r="R269" s="1545"/>
      <c r="S269" s="1545"/>
      <c r="T269" s="1545"/>
      <c r="U269" s="1545"/>
      <c r="V269" s="1545"/>
      <c r="W269" s="1545"/>
      <c r="X269" s="1545"/>
      <c r="Y269" s="1545"/>
      <c r="Z269" s="1545"/>
      <c r="AA269" s="1545"/>
      <c r="AB269" s="1545"/>
      <c r="AC269" s="1545"/>
      <c r="AD269" s="1545"/>
      <c r="AE269" s="1545"/>
      <c r="AF269" s="1545"/>
      <c r="AG269" s="1545"/>
      <c r="AH269" s="1545"/>
      <c r="AI269" s="1545"/>
      <c r="AJ269" s="1545"/>
      <c r="AK269" s="1545"/>
      <c r="AL269" s="1545"/>
      <c r="AM269" s="1545"/>
      <c r="AN269" s="1545"/>
      <c r="AO269" s="1545"/>
    </row>
    <row r="270" spans="2:45" hidden="1" x14ac:dyDescent="0.35">
      <c r="B270" s="1537">
        <f t="shared" si="5"/>
        <v>265</v>
      </c>
      <c r="C270" s="1537" t="s">
        <v>1639</v>
      </c>
      <c r="D270" s="1530" t="s">
        <v>2001</v>
      </c>
      <c r="F270" s="1537">
        <v>1</v>
      </c>
      <c r="G270" s="1537" t="s">
        <v>1989</v>
      </c>
      <c r="H270" s="1555" t="s">
        <v>2000</v>
      </c>
      <c r="K270" s="1545"/>
      <c r="L270" s="1545"/>
      <c r="M270" s="1545"/>
      <c r="N270" s="1545"/>
      <c r="O270" s="1545"/>
      <c r="P270" s="1545"/>
      <c r="Q270" s="1545"/>
      <c r="R270" s="1545"/>
      <c r="S270" s="1545"/>
      <c r="T270" s="1545"/>
      <c r="U270" s="1545"/>
      <c r="V270" s="1545"/>
      <c r="W270" s="1545"/>
      <c r="X270" s="1545"/>
      <c r="Y270" s="1545"/>
      <c r="Z270" s="1545"/>
      <c r="AA270" s="1545"/>
      <c r="AB270" s="1545"/>
      <c r="AC270" s="1545"/>
      <c r="AD270" s="1545"/>
      <c r="AE270" s="1545"/>
      <c r="AF270" s="1545"/>
      <c r="AG270" s="1545"/>
      <c r="AH270" s="1545"/>
      <c r="AI270" s="1545"/>
      <c r="AJ270" s="1545"/>
      <c r="AK270" s="1545"/>
      <c r="AL270" s="1545"/>
      <c r="AM270" s="1545"/>
      <c r="AN270" s="1545"/>
      <c r="AO270" s="1545"/>
    </row>
    <row r="271" spans="2:45" hidden="1" x14ac:dyDescent="0.35">
      <c r="B271" s="1537">
        <f t="shared" si="5"/>
        <v>266</v>
      </c>
      <c r="C271" s="1537" t="s">
        <v>1639</v>
      </c>
      <c r="D271" s="1530" t="s">
        <v>2002</v>
      </c>
      <c r="F271" s="1537">
        <v>1</v>
      </c>
      <c r="G271" s="1537" t="s">
        <v>1989</v>
      </c>
      <c r="H271" s="1555" t="s">
        <v>2000</v>
      </c>
      <c r="K271" s="1545"/>
      <c r="L271" s="1545"/>
      <c r="M271" s="1545"/>
      <c r="N271" s="1545"/>
      <c r="O271" s="1545"/>
      <c r="P271" s="1545"/>
      <c r="Q271" s="1545"/>
      <c r="R271" s="1545"/>
      <c r="S271" s="1545"/>
      <c r="T271" s="1545"/>
      <c r="U271" s="1545"/>
      <c r="V271" s="1545"/>
      <c r="W271" s="1545"/>
      <c r="X271" s="1545"/>
      <c r="Y271" s="1545"/>
      <c r="Z271" s="1545"/>
      <c r="AA271" s="1545"/>
      <c r="AB271" s="1545"/>
      <c r="AC271" s="1545"/>
      <c r="AD271" s="1545"/>
      <c r="AE271" s="1545"/>
      <c r="AF271" s="1545"/>
      <c r="AG271" s="1545"/>
      <c r="AH271" s="1545"/>
      <c r="AI271" s="1545"/>
      <c r="AJ271" s="1545"/>
      <c r="AK271" s="1545"/>
      <c r="AL271" s="1545"/>
      <c r="AM271" s="1545"/>
      <c r="AN271" s="1545"/>
      <c r="AO271" s="1545"/>
    </row>
    <row r="272" spans="2:45" hidden="1" x14ac:dyDescent="0.35">
      <c r="B272" s="1537">
        <f t="shared" si="5"/>
        <v>267</v>
      </c>
      <c r="C272" s="1537" t="s">
        <v>1639</v>
      </c>
      <c r="D272" s="1530" t="s">
        <v>2003</v>
      </c>
      <c r="F272" s="1537">
        <v>1</v>
      </c>
      <c r="G272" s="1553" t="s">
        <v>2004</v>
      </c>
      <c r="H272" s="1555" t="s">
        <v>2000</v>
      </c>
      <c r="K272" s="1545"/>
      <c r="L272" s="1545"/>
      <c r="M272" s="1545"/>
      <c r="N272" s="1545"/>
      <c r="O272" s="1545"/>
      <c r="P272" s="1545"/>
      <c r="Q272" s="1545"/>
      <c r="R272" s="1545"/>
      <c r="S272" s="1545"/>
      <c r="T272" s="1545"/>
      <c r="U272" s="1545"/>
      <c r="V272" s="1545"/>
      <c r="W272" s="1545"/>
      <c r="X272" s="1545"/>
      <c r="Y272" s="1545"/>
      <c r="Z272" s="1545"/>
      <c r="AA272" s="1545"/>
      <c r="AB272" s="1545"/>
      <c r="AC272" s="1545"/>
      <c r="AD272" s="1545"/>
      <c r="AE272" s="1545"/>
      <c r="AF272" s="1545"/>
      <c r="AG272" s="1545"/>
      <c r="AH272" s="1545"/>
      <c r="AI272" s="1545"/>
      <c r="AJ272" s="1545"/>
      <c r="AK272" s="1545"/>
      <c r="AL272" s="1545"/>
      <c r="AM272" s="1545"/>
      <c r="AN272" s="1545"/>
      <c r="AO272" s="1545"/>
    </row>
    <row r="273" spans="1:45" hidden="1" x14ac:dyDescent="0.35">
      <c r="B273" s="1537">
        <f t="shared" si="5"/>
        <v>268</v>
      </c>
      <c r="C273" s="1537" t="s">
        <v>1639</v>
      </c>
      <c r="D273" s="1530" t="s">
        <v>2005</v>
      </c>
      <c r="F273" s="1537">
        <v>1</v>
      </c>
      <c r="G273" s="1537" t="s">
        <v>1999</v>
      </c>
      <c r="H273" s="1555" t="s">
        <v>2000</v>
      </c>
      <c r="K273" s="1545"/>
      <c r="L273" s="1545"/>
      <c r="M273" s="1545"/>
      <c r="N273" s="1545"/>
      <c r="O273" s="1545"/>
      <c r="P273" s="1545"/>
      <c r="Q273" s="1545"/>
      <c r="R273" s="1545"/>
      <c r="S273" s="1545"/>
      <c r="T273" s="1545"/>
      <c r="U273" s="1545"/>
      <c r="V273" s="1545"/>
      <c r="W273" s="1545"/>
      <c r="X273" s="1545"/>
      <c r="Y273" s="1545"/>
      <c r="Z273" s="1545"/>
      <c r="AA273" s="1545"/>
      <c r="AB273" s="1545"/>
      <c r="AC273" s="1545"/>
      <c r="AD273" s="1545"/>
      <c r="AE273" s="1545"/>
      <c r="AF273" s="1545"/>
      <c r="AG273" s="1545"/>
      <c r="AH273" s="1545"/>
      <c r="AI273" s="1545"/>
      <c r="AJ273" s="1545"/>
      <c r="AK273" s="1545"/>
      <c r="AL273" s="1545"/>
      <c r="AM273" s="1545"/>
      <c r="AN273" s="1545"/>
      <c r="AO273" s="1545"/>
    </row>
    <row r="274" spans="1:45" x14ac:dyDescent="0.35">
      <c r="B274" s="1537">
        <f t="shared" si="5"/>
        <v>269</v>
      </c>
      <c r="C274" s="1537" t="s">
        <v>1640</v>
      </c>
      <c r="D274" s="1537" t="s">
        <v>2328</v>
      </c>
      <c r="E274" s="1537" t="s">
        <v>2329</v>
      </c>
      <c r="F274" s="1537">
        <v>1</v>
      </c>
      <c r="G274" s="1550" t="s">
        <v>1989</v>
      </c>
      <c r="H274" s="1555" t="s">
        <v>1990</v>
      </c>
      <c r="I274" s="1537" t="s">
        <v>1991</v>
      </c>
      <c r="K274" s="1545">
        <v>731</v>
      </c>
      <c r="L274" s="1545">
        <v>30.21</v>
      </c>
      <c r="M274" s="1551">
        <v>0</v>
      </c>
      <c r="N274" s="1551">
        <v>38</v>
      </c>
      <c r="O274" s="1551">
        <v>67</v>
      </c>
      <c r="P274" s="1551">
        <v>64</v>
      </c>
      <c r="Q274" s="1551">
        <v>69</v>
      </c>
      <c r="R274" s="1551">
        <v>50</v>
      </c>
      <c r="S274" s="1551">
        <v>63</v>
      </c>
      <c r="T274" s="1551">
        <v>55</v>
      </c>
      <c r="U274" s="1551">
        <v>71</v>
      </c>
      <c r="V274" s="1551">
        <v>72</v>
      </c>
      <c r="W274" s="1551">
        <v>49</v>
      </c>
      <c r="X274" s="1551">
        <v>60</v>
      </c>
      <c r="Y274" s="1551">
        <v>45</v>
      </c>
      <c r="Z274" s="1551">
        <v>28</v>
      </c>
      <c r="AA274" s="1551"/>
      <c r="AB274" s="1551"/>
      <c r="AC274" s="1551"/>
      <c r="AD274" s="1551"/>
      <c r="AE274" s="1551">
        <v>10</v>
      </c>
      <c r="AF274" s="1551">
        <v>16</v>
      </c>
      <c r="AG274" s="1551">
        <v>45</v>
      </c>
      <c r="AH274" s="1551">
        <v>172</v>
      </c>
      <c r="AI274" s="1551">
        <v>7</v>
      </c>
      <c r="AJ274" s="1551">
        <v>403</v>
      </c>
      <c r="AK274" s="1551">
        <v>77</v>
      </c>
      <c r="AL274" s="1551">
        <v>360</v>
      </c>
      <c r="AM274" s="1551">
        <v>370</v>
      </c>
      <c r="AN274" s="1551" t="s">
        <v>890</v>
      </c>
      <c r="AO274" s="1551" t="s">
        <v>890</v>
      </c>
      <c r="AP274" s="1537" t="s">
        <v>2330</v>
      </c>
      <c r="AQ274" s="1552" t="s">
        <v>2331</v>
      </c>
      <c r="AR274" s="1537" t="s">
        <v>2009</v>
      </c>
      <c r="AS274" s="1556"/>
    </row>
    <row r="275" spans="1:45" x14ac:dyDescent="0.35">
      <c r="B275" s="1537">
        <f t="shared" si="5"/>
        <v>270</v>
      </c>
      <c r="C275" s="1537" t="s">
        <v>1640</v>
      </c>
      <c r="D275" s="1537" t="s">
        <v>2332</v>
      </c>
      <c r="E275" s="1537" t="s">
        <v>2333</v>
      </c>
      <c r="F275" s="1537">
        <v>1</v>
      </c>
      <c r="G275" s="1550" t="s">
        <v>2013</v>
      </c>
      <c r="H275" s="1555" t="s">
        <v>1990</v>
      </c>
      <c r="I275" s="1537" t="s">
        <v>1991</v>
      </c>
      <c r="K275" s="1545">
        <v>170</v>
      </c>
      <c r="L275" s="1545">
        <v>11.24</v>
      </c>
      <c r="M275" s="1551">
        <v>0</v>
      </c>
      <c r="N275" s="1551">
        <v>0</v>
      </c>
      <c r="O275" s="1551">
        <v>0</v>
      </c>
      <c r="P275" s="1551">
        <v>0</v>
      </c>
      <c r="Q275" s="1551">
        <v>0</v>
      </c>
      <c r="R275" s="1551">
        <v>0</v>
      </c>
      <c r="S275" s="1551">
        <v>0</v>
      </c>
      <c r="T275" s="1551">
        <v>0</v>
      </c>
      <c r="U275" s="1551">
        <v>4</v>
      </c>
      <c r="V275" s="1551">
        <v>20</v>
      </c>
      <c r="W275" s="1551">
        <v>12</v>
      </c>
      <c r="X275" s="1551">
        <v>25</v>
      </c>
      <c r="Y275" s="1551">
        <v>38</v>
      </c>
      <c r="Z275" s="1551">
        <v>71</v>
      </c>
      <c r="AA275" s="1551"/>
      <c r="AB275" s="1551"/>
      <c r="AC275" s="1551"/>
      <c r="AD275" s="1551"/>
      <c r="AE275" s="1551">
        <v>2</v>
      </c>
      <c r="AF275" s="1551">
        <v>1</v>
      </c>
      <c r="AG275" s="1551">
        <v>8</v>
      </c>
      <c r="AH275" s="1551">
        <v>24</v>
      </c>
      <c r="AI275" s="1551">
        <v>0</v>
      </c>
      <c r="AJ275" s="1551">
        <v>121</v>
      </c>
      <c r="AK275" s="1551">
        <v>13</v>
      </c>
      <c r="AL275" s="1551">
        <v>69</v>
      </c>
      <c r="AM275" s="1551">
        <v>100</v>
      </c>
      <c r="AN275" s="1551" t="s">
        <v>890</v>
      </c>
      <c r="AO275" s="1551" t="s">
        <v>890</v>
      </c>
      <c r="AP275" s="1537" t="s">
        <v>2330</v>
      </c>
      <c r="AQ275" s="1552" t="s">
        <v>2334</v>
      </c>
      <c r="AR275" s="1552"/>
      <c r="AS275" s="1556" t="s">
        <v>2335</v>
      </c>
    </row>
    <row r="276" spans="1:45" x14ac:dyDescent="0.35">
      <c r="B276" s="1537">
        <f t="shared" si="5"/>
        <v>271</v>
      </c>
      <c r="C276" s="1537" t="s">
        <v>1640</v>
      </c>
      <c r="D276" s="1537" t="s">
        <v>2336</v>
      </c>
      <c r="E276" s="1537" t="s">
        <v>2336</v>
      </c>
      <c r="F276" s="1537">
        <v>1</v>
      </c>
      <c r="G276" s="1550" t="s">
        <v>2039</v>
      </c>
      <c r="H276" s="1555" t="s">
        <v>1990</v>
      </c>
      <c r="I276" s="1537" t="s">
        <v>1991</v>
      </c>
      <c r="K276" s="1545">
        <v>89</v>
      </c>
      <c r="L276" s="1545">
        <v>5.26</v>
      </c>
      <c r="M276" s="1551">
        <v>0</v>
      </c>
      <c r="N276" s="1551">
        <v>0</v>
      </c>
      <c r="O276" s="1551">
        <v>0</v>
      </c>
      <c r="P276" s="1551">
        <v>0</v>
      </c>
      <c r="Q276" s="1551">
        <v>0</v>
      </c>
      <c r="R276" s="1551">
        <v>0</v>
      </c>
      <c r="S276" s="1551">
        <v>0</v>
      </c>
      <c r="T276" s="1551">
        <v>0</v>
      </c>
      <c r="U276" s="1551">
        <v>0</v>
      </c>
      <c r="V276" s="1551">
        <v>0</v>
      </c>
      <c r="W276" s="1551">
        <v>15</v>
      </c>
      <c r="X276" s="1551">
        <v>12</v>
      </c>
      <c r="Y276" s="1551">
        <v>30</v>
      </c>
      <c r="Z276" s="1551">
        <v>32</v>
      </c>
      <c r="AA276" s="1551"/>
      <c r="AB276" s="1551"/>
      <c r="AC276" s="1551"/>
      <c r="AD276" s="1551"/>
      <c r="AE276" s="1551">
        <v>0</v>
      </c>
      <c r="AF276" s="1551">
        <v>2</v>
      </c>
      <c r="AG276" s="1551">
        <v>3</v>
      </c>
      <c r="AH276" s="1551">
        <v>14</v>
      </c>
      <c r="AI276" s="1551">
        <v>0</v>
      </c>
      <c r="AJ276" s="1551">
        <v>63</v>
      </c>
      <c r="AK276" s="1551">
        <v>7</v>
      </c>
      <c r="AL276" s="1551">
        <v>38</v>
      </c>
      <c r="AM276" s="1551">
        <v>51</v>
      </c>
      <c r="AN276" s="1551" t="s">
        <v>890</v>
      </c>
      <c r="AO276" s="1551" t="s">
        <v>890</v>
      </c>
      <c r="AP276" s="1537" t="s">
        <v>2330</v>
      </c>
      <c r="AQ276" s="1552" t="s">
        <v>2337</v>
      </c>
      <c r="AR276" s="1537" t="s">
        <v>2009</v>
      </c>
      <c r="AS276" s="1556" t="s">
        <v>2338</v>
      </c>
    </row>
    <row r="277" spans="1:45" hidden="1" x14ac:dyDescent="0.35">
      <c r="B277" s="1537">
        <f t="shared" si="5"/>
        <v>272</v>
      </c>
      <c r="C277" s="1537" t="s">
        <v>1640</v>
      </c>
      <c r="D277" s="1530" t="s">
        <v>1998</v>
      </c>
      <c r="F277" s="1537">
        <v>1</v>
      </c>
      <c r="G277" s="1537" t="s">
        <v>1999</v>
      </c>
      <c r="H277" s="1555" t="s">
        <v>2000</v>
      </c>
      <c r="K277" s="1545"/>
      <c r="L277" s="1545"/>
      <c r="M277" s="1545"/>
      <c r="N277" s="1545"/>
      <c r="O277" s="1545"/>
      <c r="P277" s="1545"/>
      <c r="Q277" s="1545"/>
      <c r="R277" s="1545"/>
      <c r="S277" s="1545"/>
      <c r="T277" s="1545"/>
      <c r="U277" s="1545"/>
      <c r="V277" s="1545"/>
      <c r="W277" s="1545"/>
      <c r="X277" s="1545"/>
      <c r="Y277" s="1545"/>
      <c r="Z277" s="1545"/>
      <c r="AA277" s="1545"/>
      <c r="AB277" s="1545"/>
      <c r="AC277" s="1545"/>
      <c r="AD277" s="1545"/>
      <c r="AE277" s="1545"/>
      <c r="AF277" s="1545"/>
      <c r="AG277" s="1545"/>
      <c r="AH277" s="1545"/>
      <c r="AI277" s="1545"/>
      <c r="AJ277" s="1545"/>
      <c r="AK277" s="1545"/>
      <c r="AL277" s="1545"/>
      <c r="AM277" s="1545"/>
      <c r="AN277" s="1545"/>
      <c r="AO277" s="1545"/>
    </row>
    <row r="278" spans="1:45" hidden="1" x14ac:dyDescent="0.35">
      <c r="B278" s="1537">
        <f t="shared" si="5"/>
        <v>273</v>
      </c>
      <c r="C278" s="1537" t="s">
        <v>1640</v>
      </c>
      <c r="D278" s="1530" t="s">
        <v>2001</v>
      </c>
      <c r="F278" s="1537">
        <v>1</v>
      </c>
      <c r="G278" s="1537" t="s">
        <v>1989</v>
      </c>
      <c r="H278" s="1555" t="s">
        <v>2000</v>
      </c>
      <c r="K278" s="1545"/>
      <c r="L278" s="1545"/>
      <c r="M278" s="1545"/>
      <c r="N278" s="1545"/>
      <c r="O278" s="1545"/>
      <c r="P278" s="1545"/>
      <c r="Q278" s="1545"/>
      <c r="R278" s="1545"/>
      <c r="S278" s="1545"/>
      <c r="T278" s="1545"/>
      <c r="U278" s="1545"/>
      <c r="V278" s="1545"/>
      <c r="W278" s="1545"/>
      <c r="X278" s="1545"/>
      <c r="Y278" s="1545"/>
      <c r="Z278" s="1545"/>
      <c r="AA278" s="1545"/>
      <c r="AB278" s="1545"/>
      <c r="AC278" s="1545"/>
      <c r="AD278" s="1545"/>
      <c r="AE278" s="1545"/>
      <c r="AF278" s="1545"/>
      <c r="AG278" s="1545"/>
      <c r="AH278" s="1545"/>
      <c r="AI278" s="1545"/>
      <c r="AJ278" s="1545"/>
      <c r="AK278" s="1545"/>
      <c r="AL278" s="1545"/>
      <c r="AM278" s="1545"/>
      <c r="AN278" s="1545"/>
      <c r="AO278" s="1545"/>
    </row>
    <row r="279" spans="1:45" hidden="1" x14ac:dyDescent="0.35">
      <c r="B279" s="1537">
        <f t="shared" si="5"/>
        <v>274</v>
      </c>
      <c r="C279" s="1537" t="s">
        <v>1640</v>
      </c>
      <c r="D279" s="1530" t="s">
        <v>2002</v>
      </c>
      <c r="F279" s="1537">
        <v>1</v>
      </c>
      <c r="G279" s="1537" t="s">
        <v>1989</v>
      </c>
      <c r="H279" s="1555" t="s">
        <v>2000</v>
      </c>
      <c r="K279" s="1545"/>
      <c r="L279" s="1545"/>
      <c r="M279" s="1545"/>
      <c r="N279" s="1545"/>
      <c r="O279" s="1545"/>
      <c r="P279" s="1545"/>
      <c r="Q279" s="1545"/>
      <c r="R279" s="1545"/>
      <c r="S279" s="1545"/>
      <c r="T279" s="1545"/>
      <c r="U279" s="1545"/>
      <c r="V279" s="1545"/>
      <c r="W279" s="1545"/>
      <c r="X279" s="1545"/>
      <c r="Y279" s="1545"/>
      <c r="Z279" s="1545"/>
      <c r="AA279" s="1545"/>
      <c r="AB279" s="1545"/>
      <c r="AC279" s="1545"/>
      <c r="AD279" s="1545"/>
      <c r="AE279" s="1545"/>
      <c r="AF279" s="1545"/>
      <c r="AG279" s="1545"/>
      <c r="AH279" s="1545"/>
      <c r="AI279" s="1545"/>
      <c r="AJ279" s="1545"/>
      <c r="AK279" s="1545"/>
      <c r="AL279" s="1545"/>
      <c r="AM279" s="1545"/>
      <c r="AN279" s="1545"/>
      <c r="AO279" s="1545"/>
    </row>
    <row r="280" spans="1:45" hidden="1" x14ac:dyDescent="0.35">
      <c r="B280" s="1537">
        <f t="shared" si="5"/>
        <v>275</v>
      </c>
      <c r="C280" s="1537" t="s">
        <v>1640</v>
      </c>
      <c r="D280" s="1530" t="s">
        <v>2003</v>
      </c>
      <c r="F280" s="1537">
        <v>1</v>
      </c>
      <c r="G280" s="1553" t="s">
        <v>2004</v>
      </c>
      <c r="H280" s="1555" t="s">
        <v>2000</v>
      </c>
      <c r="K280" s="1545"/>
      <c r="L280" s="1545"/>
      <c r="M280" s="1545"/>
      <c r="N280" s="1545"/>
      <c r="O280" s="1545"/>
      <c r="P280" s="1545"/>
      <c r="Q280" s="1545"/>
      <c r="R280" s="1545"/>
      <c r="S280" s="1545"/>
      <c r="T280" s="1545"/>
      <c r="U280" s="1545"/>
      <c r="V280" s="1545"/>
      <c r="W280" s="1545"/>
      <c r="X280" s="1545"/>
      <c r="Y280" s="1545"/>
      <c r="Z280" s="1545"/>
      <c r="AA280" s="1545"/>
      <c r="AB280" s="1545"/>
      <c r="AC280" s="1545"/>
      <c r="AD280" s="1545"/>
      <c r="AE280" s="1545"/>
      <c r="AF280" s="1545"/>
      <c r="AG280" s="1545"/>
      <c r="AH280" s="1545"/>
      <c r="AI280" s="1545"/>
      <c r="AJ280" s="1545"/>
      <c r="AK280" s="1545"/>
      <c r="AL280" s="1545"/>
      <c r="AM280" s="1545"/>
      <c r="AN280" s="1545"/>
      <c r="AO280" s="1545"/>
    </row>
    <row r="281" spans="1:45" hidden="1" x14ac:dyDescent="0.35">
      <c r="B281" s="1537">
        <f t="shared" si="5"/>
        <v>276</v>
      </c>
      <c r="C281" s="1537" t="s">
        <v>1640</v>
      </c>
      <c r="D281" s="1530" t="s">
        <v>2005</v>
      </c>
      <c r="F281" s="1537">
        <v>1</v>
      </c>
      <c r="G281" s="1537" t="s">
        <v>1999</v>
      </c>
      <c r="H281" s="1555" t="s">
        <v>2000</v>
      </c>
      <c r="K281" s="1545"/>
      <c r="L281" s="1545"/>
      <c r="M281" s="1545"/>
      <c r="N281" s="1545"/>
      <c r="O281" s="1545"/>
      <c r="P281" s="1545"/>
      <c r="Q281" s="1545"/>
      <c r="R281" s="1545"/>
      <c r="S281" s="1545"/>
      <c r="T281" s="1545"/>
      <c r="U281" s="1545"/>
      <c r="V281" s="1545"/>
      <c r="W281" s="1545"/>
      <c r="X281" s="1545"/>
      <c r="Y281" s="1545"/>
      <c r="Z281" s="1545"/>
      <c r="AA281" s="1545"/>
      <c r="AB281" s="1545"/>
      <c r="AC281" s="1545"/>
      <c r="AD281" s="1545"/>
      <c r="AE281" s="1545"/>
      <c r="AF281" s="1545"/>
      <c r="AG281" s="1545"/>
      <c r="AH281" s="1545"/>
      <c r="AI281" s="1545"/>
      <c r="AJ281" s="1545"/>
      <c r="AK281" s="1545"/>
      <c r="AL281" s="1545"/>
      <c r="AM281" s="1545"/>
      <c r="AN281" s="1545"/>
      <c r="AO281" s="1545"/>
    </row>
    <row r="282" spans="1:45" x14ac:dyDescent="0.35">
      <c r="A282" s="1537" t="s">
        <v>2020</v>
      </c>
      <c r="B282" s="1537">
        <f t="shared" si="5"/>
        <v>277</v>
      </c>
      <c r="C282" s="1537" t="s">
        <v>1640</v>
      </c>
      <c r="D282" s="1530" t="s">
        <v>2339</v>
      </c>
      <c r="G282" s="1539" t="s">
        <v>1989</v>
      </c>
      <c r="H282" s="1555" t="s">
        <v>1990</v>
      </c>
      <c r="K282" s="1545"/>
      <c r="L282" s="1545"/>
      <c r="M282" s="1551"/>
      <c r="N282" s="1551"/>
      <c r="O282" s="1551"/>
      <c r="P282" s="1551"/>
      <c r="Q282" s="1551"/>
      <c r="R282" s="1551"/>
      <c r="S282" s="1551"/>
      <c r="T282" s="1551"/>
      <c r="U282" s="1551"/>
      <c r="V282" s="1551"/>
      <c r="W282" s="1551"/>
      <c r="X282" s="1551"/>
      <c r="Y282" s="1551"/>
      <c r="Z282" s="1551"/>
      <c r="AA282" s="1551"/>
      <c r="AB282" s="1551"/>
      <c r="AC282" s="1551"/>
      <c r="AD282" s="1551"/>
      <c r="AE282" s="1551"/>
      <c r="AF282" s="1551"/>
      <c r="AG282" s="1551"/>
      <c r="AH282" s="1551"/>
      <c r="AI282" s="1551"/>
      <c r="AJ282" s="1551"/>
      <c r="AK282" s="1551"/>
      <c r="AL282" s="1551"/>
      <c r="AM282" s="1551"/>
      <c r="AN282" s="1551"/>
      <c r="AO282" s="1551"/>
    </row>
    <row r="283" spans="1:45" hidden="1" x14ac:dyDescent="0.35">
      <c r="B283" s="1537">
        <f t="shared" si="5"/>
        <v>278</v>
      </c>
      <c r="C283" s="1537" t="s">
        <v>2340</v>
      </c>
      <c r="D283" s="1530" t="s">
        <v>1998</v>
      </c>
      <c r="F283" s="1537">
        <v>1</v>
      </c>
      <c r="G283" s="1537" t="s">
        <v>1999</v>
      </c>
      <c r="H283" s="1555" t="s">
        <v>2000</v>
      </c>
      <c r="K283" s="1545"/>
      <c r="L283" s="1545"/>
      <c r="M283" s="1545"/>
      <c r="N283" s="1545"/>
      <c r="O283" s="1545"/>
      <c r="P283" s="1545"/>
      <c r="Q283" s="1545"/>
      <c r="R283" s="1545"/>
      <c r="S283" s="1545"/>
      <c r="T283" s="1545"/>
      <c r="U283" s="1545"/>
      <c r="V283" s="1545"/>
      <c r="W283" s="1545"/>
      <c r="X283" s="1545"/>
      <c r="Y283" s="1545"/>
      <c r="Z283" s="1545"/>
      <c r="AA283" s="1545"/>
      <c r="AB283" s="1545"/>
      <c r="AC283" s="1545"/>
      <c r="AD283" s="1545"/>
      <c r="AE283" s="1545"/>
      <c r="AF283" s="1545"/>
      <c r="AG283" s="1545"/>
      <c r="AH283" s="1545"/>
      <c r="AI283" s="1545"/>
      <c r="AJ283" s="1545"/>
      <c r="AK283" s="1545"/>
      <c r="AL283" s="1545"/>
      <c r="AM283" s="1545"/>
      <c r="AN283" s="1545"/>
      <c r="AO283" s="1545"/>
    </row>
    <row r="284" spans="1:45" hidden="1" x14ac:dyDescent="0.35">
      <c r="B284" s="1537">
        <f t="shared" si="5"/>
        <v>279</v>
      </c>
      <c r="C284" s="1537" t="s">
        <v>2340</v>
      </c>
      <c r="D284" s="1530" t="s">
        <v>2002</v>
      </c>
      <c r="F284" s="1537">
        <v>1</v>
      </c>
      <c r="G284" s="1537" t="s">
        <v>1989</v>
      </c>
      <c r="H284" s="1555" t="s">
        <v>2000</v>
      </c>
      <c r="K284" s="1545"/>
      <c r="L284" s="1545"/>
      <c r="M284" s="1545"/>
      <c r="N284" s="1545"/>
      <c r="O284" s="1545"/>
      <c r="P284" s="1545"/>
      <c r="Q284" s="1545"/>
      <c r="R284" s="1545"/>
      <c r="S284" s="1545"/>
      <c r="T284" s="1545"/>
      <c r="U284" s="1545"/>
      <c r="V284" s="1545"/>
      <c r="W284" s="1545"/>
      <c r="X284" s="1545"/>
      <c r="Y284" s="1545"/>
      <c r="Z284" s="1545"/>
      <c r="AA284" s="1545"/>
      <c r="AB284" s="1545"/>
      <c r="AC284" s="1545"/>
      <c r="AD284" s="1545"/>
      <c r="AE284" s="1545"/>
      <c r="AF284" s="1545"/>
      <c r="AG284" s="1545"/>
      <c r="AH284" s="1545"/>
      <c r="AI284" s="1545"/>
      <c r="AJ284" s="1545"/>
      <c r="AK284" s="1545"/>
      <c r="AL284" s="1545"/>
      <c r="AM284" s="1545"/>
      <c r="AN284" s="1545"/>
      <c r="AO284" s="1545"/>
    </row>
    <row r="285" spans="1:45" hidden="1" x14ac:dyDescent="0.35">
      <c r="B285" s="1537">
        <f t="shared" si="5"/>
        <v>280</v>
      </c>
      <c r="C285" s="1537" t="s">
        <v>2340</v>
      </c>
      <c r="D285" s="1530" t="s">
        <v>2003</v>
      </c>
      <c r="F285" s="1537">
        <v>1</v>
      </c>
      <c r="G285" s="1553" t="s">
        <v>2004</v>
      </c>
      <c r="H285" s="1555" t="s">
        <v>2000</v>
      </c>
      <c r="K285" s="1545"/>
      <c r="L285" s="1545"/>
      <c r="M285" s="1545"/>
      <c r="N285" s="1545"/>
      <c r="O285" s="1545"/>
      <c r="P285" s="1545"/>
      <c r="Q285" s="1545"/>
      <c r="R285" s="1545"/>
      <c r="S285" s="1545"/>
      <c r="T285" s="1545"/>
      <c r="U285" s="1545"/>
      <c r="V285" s="1545"/>
      <c r="W285" s="1545"/>
      <c r="X285" s="1545"/>
      <c r="Y285" s="1545"/>
      <c r="Z285" s="1545"/>
      <c r="AA285" s="1545"/>
      <c r="AB285" s="1545"/>
      <c r="AC285" s="1545"/>
      <c r="AD285" s="1545"/>
      <c r="AE285" s="1545"/>
      <c r="AF285" s="1545"/>
      <c r="AG285" s="1545"/>
      <c r="AH285" s="1545"/>
      <c r="AI285" s="1545"/>
      <c r="AJ285" s="1545"/>
      <c r="AK285" s="1545"/>
      <c r="AL285" s="1545"/>
      <c r="AM285" s="1545"/>
      <c r="AN285" s="1545"/>
      <c r="AO285" s="1545"/>
    </row>
    <row r="286" spans="1:45" hidden="1" x14ac:dyDescent="0.35">
      <c r="B286" s="1537">
        <f t="shared" si="5"/>
        <v>281</v>
      </c>
      <c r="C286" s="1537" t="s">
        <v>2340</v>
      </c>
      <c r="D286" s="1530" t="s">
        <v>2005</v>
      </c>
      <c r="F286" s="1537">
        <v>1</v>
      </c>
      <c r="G286" s="1537" t="s">
        <v>1999</v>
      </c>
      <c r="H286" s="1555" t="s">
        <v>2000</v>
      </c>
      <c r="K286" s="1545"/>
      <c r="L286" s="1545"/>
      <c r="M286" s="1545"/>
      <c r="N286" s="1545"/>
      <c r="O286" s="1545"/>
      <c r="P286" s="1545"/>
      <c r="Q286" s="1545"/>
      <c r="R286" s="1545"/>
      <c r="S286" s="1545"/>
      <c r="T286" s="1545"/>
      <c r="U286" s="1545"/>
      <c r="V286" s="1545"/>
      <c r="W286" s="1545"/>
      <c r="X286" s="1545"/>
      <c r="Y286" s="1545"/>
      <c r="Z286" s="1545"/>
      <c r="AA286" s="1545"/>
      <c r="AB286" s="1545"/>
      <c r="AC286" s="1545"/>
      <c r="AD286" s="1545"/>
      <c r="AE286" s="1545"/>
      <c r="AF286" s="1545"/>
      <c r="AG286" s="1545"/>
      <c r="AH286" s="1545"/>
      <c r="AI286" s="1545"/>
      <c r="AJ286" s="1545"/>
      <c r="AK286" s="1545"/>
      <c r="AL286" s="1545"/>
      <c r="AM286" s="1545"/>
      <c r="AN286" s="1545"/>
      <c r="AO286" s="1545"/>
    </row>
    <row r="287" spans="1:45" x14ac:dyDescent="0.35">
      <c r="B287" s="1537">
        <f t="shared" si="5"/>
        <v>282</v>
      </c>
      <c r="C287" s="1537" t="s">
        <v>1619</v>
      </c>
      <c r="D287" s="1537" t="s">
        <v>2341</v>
      </c>
      <c r="E287" s="1537" t="s">
        <v>2342</v>
      </c>
      <c r="F287" s="1537">
        <v>1</v>
      </c>
      <c r="G287" s="1539" t="s">
        <v>1989</v>
      </c>
      <c r="H287" s="1537" t="s">
        <v>1990</v>
      </c>
      <c r="I287" s="1537" t="s">
        <v>1991</v>
      </c>
      <c r="K287" s="1545">
        <v>4957</v>
      </c>
      <c r="L287" s="1545">
        <v>410.92</v>
      </c>
      <c r="M287" s="1551">
        <v>0</v>
      </c>
      <c r="N287" s="1551">
        <v>186</v>
      </c>
      <c r="O287" s="1551">
        <v>197</v>
      </c>
      <c r="P287" s="1551">
        <v>207</v>
      </c>
      <c r="Q287" s="1551">
        <v>235</v>
      </c>
      <c r="R287" s="1551">
        <v>245</v>
      </c>
      <c r="S287" s="1551">
        <v>303</v>
      </c>
      <c r="T287" s="1551">
        <v>326</v>
      </c>
      <c r="U287" s="1551">
        <v>409</v>
      </c>
      <c r="V287" s="1551">
        <v>475</v>
      </c>
      <c r="W287" s="1551">
        <v>794</v>
      </c>
      <c r="X287" s="1551">
        <v>587</v>
      </c>
      <c r="Y287" s="1551">
        <v>541</v>
      </c>
      <c r="Z287" s="1551">
        <v>452</v>
      </c>
      <c r="AA287" s="1551"/>
      <c r="AB287" s="1551"/>
      <c r="AC287" s="1551"/>
      <c r="AD287" s="1551"/>
      <c r="AE287" s="1551">
        <v>22</v>
      </c>
      <c r="AF287" s="1551">
        <v>67</v>
      </c>
      <c r="AG287" s="1551">
        <v>1603</v>
      </c>
      <c r="AH287" s="1551">
        <v>794</v>
      </c>
      <c r="AI287" s="1551">
        <v>13</v>
      </c>
      <c r="AJ287" s="1551">
        <v>2230</v>
      </c>
      <c r="AK287" s="1551">
        <v>228</v>
      </c>
      <c r="AL287" s="1551">
        <v>2467</v>
      </c>
      <c r="AM287" s="1551">
        <v>2490</v>
      </c>
      <c r="AN287" s="1551" t="s">
        <v>890</v>
      </c>
      <c r="AO287" s="1551" t="s">
        <v>890</v>
      </c>
      <c r="AP287" s="1537" t="s">
        <v>2343</v>
      </c>
      <c r="AQ287" s="1537" t="s">
        <v>2344</v>
      </c>
      <c r="AS287" s="1552" t="s">
        <v>2345</v>
      </c>
    </row>
    <row r="288" spans="1:45" x14ac:dyDescent="0.35">
      <c r="B288" s="1537">
        <f t="shared" si="5"/>
        <v>283</v>
      </c>
      <c r="C288" s="1537" t="s">
        <v>1619</v>
      </c>
      <c r="D288" s="1537" t="s">
        <v>2346</v>
      </c>
      <c r="E288" s="1537" t="s">
        <v>2347</v>
      </c>
      <c r="F288" s="1537">
        <v>1</v>
      </c>
      <c r="G288" s="1539" t="s">
        <v>1989</v>
      </c>
      <c r="H288" s="1537" t="s">
        <v>1990</v>
      </c>
      <c r="I288" s="1537" t="s">
        <v>1991</v>
      </c>
      <c r="K288" s="1545">
        <v>3638</v>
      </c>
      <c r="L288" s="1545">
        <v>274</v>
      </c>
      <c r="M288" s="1551">
        <v>0</v>
      </c>
      <c r="N288" s="1551">
        <v>153</v>
      </c>
      <c r="O288" s="1551">
        <v>231</v>
      </c>
      <c r="P288" s="1551">
        <v>252</v>
      </c>
      <c r="Q288" s="1551">
        <v>219</v>
      </c>
      <c r="R288" s="1551">
        <v>223</v>
      </c>
      <c r="S288" s="1551">
        <v>184</v>
      </c>
      <c r="T288" s="1551">
        <v>277</v>
      </c>
      <c r="U288" s="1551">
        <v>270</v>
      </c>
      <c r="V288" s="1551">
        <v>323</v>
      </c>
      <c r="W288" s="1551">
        <v>457</v>
      </c>
      <c r="X288" s="1551">
        <v>433</v>
      </c>
      <c r="Y288" s="1551">
        <v>313</v>
      </c>
      <c r="Z288" s="1551">
        <v>303</v>
      </c>
      <c r="AA288" s="1551"/>
      <c r="AB288" s="1551"/>
      <c r="AC288" s="1551"/>
      <c r="AD288" s="1551"/>
      <c r="AE288" s="1551">
        <v>0</v>
      </c>
      <c r="AF288" s="1551">
        <v>34</v>
      </c>
      <c r="AG288" s="1551">
        <v>1139</v>
      </c>
      <c r="AH288" s="1551">
        <v>811</v>
      </c>
      <c r="AI288" s="1551">
        <v>4</v>
      </c>
      <c r="AJ288" s="1551">
        <v>1341</v>
      </c>
      <c r="AK288" s="1551">
        <v>309</v>
      </c>
      <c r="AL288" s="1551">
        <v>1815</v>
      </c>
      <c r="AM288" s="1551">
        <v>1823</v>
      </c>
      <c r="AN288" s="1551" t="s">
        <v>890</v>
      </c>
      <c r="AO288" s="1551" t="s">
        <v>890</v>
      </c>
      <c r="AP288" s="1537" t="s">
        <v>2348</v>
      </c>
      <c r="AQ288" s="1537" t="s">
        <v>2349</v>
      </c>
      <c r="AR288" s="1537" t="s">
        <v>2009</v>
      </c>
      <c r="AS288" s="1552" t="s">
        <v>2350</v>
      </c>
    </row>
    <row r="289" spans="2:45" hidden="1" x14ac:dyDescent="0.35">
      <c r="B289" s="1537">
        <f t="shared" si="5"/>
        <v>284</v>
      </c>
      <c r="C289" s="1537" t="s">
        <v>1619</v>
      </c>
      <c r="D289" s="1530" t="s">
        <v>1998</v>
      </c>
      <c r="F289" s="1537">
        <v>1</v>
      </c>
      <c r="G289" s="1537" t="s">
        <v>1999</v>
      </c>
      <c r="H289" s="1555" t="s">
        <v>2000</v>
      </c>
      <c r="K289" s="1545"/>
      <c r="L289" s="1545"/>
      <c r="M289" s="1545"/>
      <c r="N289" s="1545"/>
      <c r="O289" s="1545"/>
      <c r="P289" s="1545"/>
      <c r="Q289" s="1545"/>
      <c r="R289" s="1545"/>
      <c r="S289" s="1545"/>
      <c r="T289" s="1545"/>
      <c r="U289" s="1545"/>
      <c r="V289" s="1545"/>
      <c r="W289" s="1545"/>
      <c r="X289" s="1545"/>
      <c r="Y289" s="1545"/>
      <c r="Z289" s="1545"/>
      <c r="AA289" s="1545"/>
      <c r="AB289" s="1545"/>
      <c r="AC289" s="1545"/>
      <c r="AD289" s="1545"/>
      <c r="AE289" s="1545"/>
      <c r="AF289" s="1545"/>
      <c r="AG289" s="1545"/>
      <c r="AH289" s="1545"/>
      <c r="AI289" s="1545"/>
      <c r="AJ289" s="1545"/>
      <c r="AK289" s="1545"/>
      <c r="AL289" s="1545"/>
      <c r="AM289" s="1545"/>
      <c r="AN289" s="1545"/>
      <c r="AO289" s="1545"/>
    </row>
    <row r="290" spans="2:45" hidden="1" x14ac:dyDescent="0.35">
      <c r="B290" s="1537">
        <f t="shared" si="5"/>
        <v>285</v>
      </c>
      <c r="C290" s="1537" t="s">
        <v>1619</v>
      </c>
      <c r="D290" s="1530" t="s">
        <v>2001</v>
      </c>
      <c r="F290" s="1537">
        <v>1</v>
      </c>
      <c r="G290" s="1537" t="s">
        <v>1989</v>
      </c>
      <c r="H290" s="1537" t="s">
        <v>2000</v>
      </c>
      <c r="K290" s="1545"/>
      <c r="L290" s="1545"/>
      <c r="M290" s="1545"/>
      <c r="N290" s="1545"/>
      <c r="O290" s="1545"/>
      <c r="P290" s="1545"/>
      <c r="Q290" s="1545"/>
      <c r="R290" s="1545"/>
      <c r="S290" s="1545"/>
      <c r="T290" s="1545"/>
      <c r="U290" s="1545"/>
      <c r="V290" s="1545"/>
      <c r="W290" s="1545"/>
      <c r="X290" s="1545"/>
      <c r="Y290" s="1545"/>
      <c r="Z290" s="1545"/>
      <c r="AA290" s="1545"/>
      <c r="AB290" s="1545"/>
      <c r="AC290" s="1545"/>
      <c r="AD290" s="1545"/>
      <c r="AE290" s="1545"/>
      <c r="AF290" s="1545"/>
      <c r="AG290" s="1545"/>
      <c r="AH290" s="1545"/>
      <c r="AI290" s="1545"/>
      <c r="AJ290" s="1545"/>
      <c r="AK290" s="1545"/>
      <c r="AL290" s="1545"/>
      <c r="AM290" s="1545"/>
      <c r="AN290" s="1545"/>
      <c r="AO290" s="1545"/>
    </row>
    <row r="291" spans="2:45" hidden="1" x14ac:dyDescent="0.35">
      <c r="B291" s="1537">
        <f t="shared" si="5"/>
        <v>286</v>
      </c>
      <c r="C291" s="1537" t="s">
        <v>1619</v>
      </c>
      <c r="D291" s="1530" t="s">
        <v>2002</v>
      </c>
      <c r="F291" s="1537">
        <v>1</v>
      </c>
      <c r="G291" s="1537" t="s">
        <v>1989</v>
      </c>
      <c r="H291" s="1537" t="s">
        <v>2000</v>
      </c>
      <c r="K291" s="1545"/>
      <c r="L291" s="1545"/>
      <c r="M291" s="1545"/>
      <c r="N291" s="1545"/>
      <c r="O291" s="1545"/>
      <c r="P291" s="1545"/>
      <c r="Q291" s="1545"/>
      <c r="R291" s="1545"/>
      <c r="S291" s="1545"/>
      <c r="T291" s="1545"/>
      <c r="U291" s="1545"/>
      <c r="V291" s="1545"/>
      <c r="W291" s="1545"/>
      <c r="X291" s="1545"/>
      <c r="Y291" s="1545"/>
      <c r="Z291" s="1545"/>
      <c r="AA291" s="1545"/>
      <c r="AB291" s="1545"/>
      <c r="AC291" s="1545"/>
      <c r="AD291" s="1545"/>
      <c r="AE291" s="1545"/>
      <c r="AF291" s="1545"/>
      <c r="AG291" s="1545"/>
      <c r="AH291" s="1545"/>
      <c r="AI291" s="1545"/>
      <c r="AJ291" s="1545"/>
      <c r="AK291" s="1545"/>
      <c r="AL291" s="1545"/>
      <c r="AM291" s="1545"/>
      <c r="AN291" s="1545"/>
      <c r="AO291" s="1545"/>
    </row>
    <row r="292" spans="2:45" hidden="1" x14ac:dyDescent="0.35">
      <c r="B292" s="1537">
        <f t="shared" si="5"/>
        <v>287</v>
      </c>
      <c r="C292" s="1537" t="s">
        <v>1619</v>
      </c>
      <c r="D292" s="1530" t="s">
        <v>2003</v>
      </c>
      <c r="F292" s="1537">
        <v>1</v>
      </c>
      <c r="G292" s="1553" t="s">
        <v>2004</v>
      </c>
      <c r="H292" s="1537" t="s">
        <v>2000</v>
      </c>
      <c r="K292" s="1545"/>
      <c r="L292" s="1545"/>
      <c r="M292" s="1545"/>
      <c r="N292" s="1545"/>
      <c r="O292" s="1545"/>
      <c r="P292" s="1545"/>
      <c r="Q292" s="1545"/>
      <c r="R292" s="1545"/>
      <c r="S292" s="1545"/>
      <c r="T292" s="1545"/>
      <c r="U292" s="1545"/>
      <c r="V292" s="1545"/>
      <c r="W292" s="1545"/>
      <c r="X292" s="1545"/>
      <c r="Y292" s="1545"/>
      <c r="Z292" s="1545"/>
      <c r="AA292" s="1545"/>
      <c r="AB292" s="1545"/>
      <c r="AC292" s="1545"/>
      <c r="AD292" s="1545"/>
      <c r="AE292" s="1545"/>
      <c r="AF292" s="1545"/>
      <c r="AG292" s="1545"/>
      <c r="AH292" s="1545"/>
      <c r="AI292" s="1545"/>
      <c r="AJ292" s="1545"/>
      <c r="AK292" s="1545"/>
      <c r="AL292" s="1545"/>
      <c r="AM292" s="1545"/>
      <c r="AN292" s="1545"/>
      <c r="AO292" s="1545"/>
    </row>
    <row r="293" spans="2:45" hidden="1" x14ac:dyDescent="0.35">
      <c r="B293" s="1537">
        <f t="shared" si="5"/>
        <v>288</v>
      </c>
      <c r="C293" s="1537" t="s">
        <v>1619</v>
      </c>
      <c r="D293" s="1530" t="s">
        <v>2005</v>
      </c>
      <c r="F293" s="1537">
        <v>1</v>
      </c>
      <c r="G293" s="1537" t="s">
        <v>1999</v>
      </c>
      <c r="H293" s="1555" t="s">
        <v>2000</v>
      </c>
      <c r="K293" s="1545"/>
      <c r="L293" s="1545"/>
      <c r="M293" s="1545"/>
      <c r="N293" s="1545"/>
      <c r="O293" s="1545"/>
      <c r="P293" s="1545"/>
      <c r="Q293" s="1545"/>
      <c r="R293" s="1545"/>
      <c r="S293" s="1545"/>
      <c r="T293" s="1545"/>
      <c r="U293" s="1545"/>
      <c r="V293" s="1545"/>
      <c r="W293" s="1545"/>
      <c r="X293" s="1545"/>
      <c r="Y293" s="1545"/>
      <c r="Z293" s="1545"/>
      <c r="AA293" s="1545"/>
      <c r="AB293" s="1545"/>
      <c r="AC293" s="1545"/>
      <c r="AD293" s="1545"/>
      <c r="AE293" s="1545"/>
      <c r="AF293" s="1545"/>
      <c r="AG293" s="1545"/>
      <c r="AH293" s="1545"/>
      <c r="AI293" s="1545"/>
      <c r="AJ293" s="1545"/>
      <c r="AK293" s="1545"/>
      <c r="AL293" s="1545"/>
      <c r="AM293" s="1545"/>
      <c r="AN293" s="1545"/>
      <c r="AO293" s="1545"/>
    </row>
    <row r="294" spans="2:45" hidden="1" x14ac:dyDescent="0.35">
      <c r="B294" s="1537">
        <f t="shared" si="5"/>
        <v>289</v>
      </c>
      <c r="C294" s="1537" t="s">
        <v>2351</v>
      </c>
      <c r="D294" s="1530" t="s">
        <v>2002</v>
      </c>
      <c r="F294" s="1537">
        <v>1</v>
      </c>
      <c r="G294" s="1537" t="s">
        <v>1989</v>
      </c>
      <c r="H294" s="1537" t="s">
        <v>2000</v>
      </c>
      <c r="K294" s="1545"/>
      <c r="L294" s="1545"/>
      <c r="M294" s="1545"/>
      <c r="N294" s="1545"/>
      <c r="O294" s="1545"/>
      <c r="P294" s="1545"/>
      <c r="Q294" s="1545"/>
      <c r="R294" s="1545"/>
      <c r="S294" s="1545"/>
      <c r="T294" s="1545"/>
      <c r="U294" s="1545"/>
      <c r="V294" s="1545"/>
      <c r="W294" s="1545"/>
      <c r="X294" s="1545"/>
      <c r="Y294" s="1545"/>
      <c r="Z294" s="1545"/>
      <c r="AA294" s="1545"/>
      <c r="AB294" s="1545"/>
      <c r="AC294" s="1545"/>
      <c r="AD294" s="1545"/>
      <c r="AE294" s="1545"/>
      <c r="AF294" s="1545"/>
      <c r="AG294" s="1545"/>
      <c r="AH294" s="1545"/>
      <c r="AI294" s="1545"/>
      <c r="AJ294" s="1545"/>
      <c r="AK294" s="1545"/>
      <c r="AL294" s="1545"/>
      <c r="AM294" s="1545"/>
      <c r="AN294" s="1545"/>
      <c r="AO294" s="1545"/>
    </row>
    <row r="295" spans="2:45" hidden="1" x14ac:dyDescent="0.35">
      <c r="B295" s="1537">
        <f t="shared" si="5"/>
        <v>290</v>
      </c>
      <c r="C295" s="1537" t="s">
        <v>2351</v>
      </c>
      <c r="D295" s="1530" t="s">
        <v>2003</v>
      </c>
      <c r="F295" s="1537">
        <v>1</v>
      </c>
      <c r="G295" s="1553" t="s">
        <v>2004</v>
      </c>
      <c r="H295" s="1537" t="s">
        <v>2000</v>
      </c>
      <c r="K295" s="1545"/>
      <c r="L295" s="1545"/>
      <c r="M295" s="1545"/>
      <c r="N295" s="1545"/>
      <c r="O295" s="1545"/>
      <c r="P295" s="1545"/>
      <c r="Q295" s="1545"/>
      <c r="R295" s="1545"/>
      <c r="S295" s="1545"/>
      <c r="T295" s="1545"/>
      <c r="U295" s="1545"/>
      <c r="V295" s="1545"/>
      <c r="W295" s="1545"/>
      <c r="X295" s="1545"/>
      <c r="Y295" s="1545"/>
      <c r="Z295" s="1545"/>
      <c r="AA295" s="1545"/>
      <c r="AB295" s="1545"/>
      <c r="AC295" s="1545"/>
      <c r="AD295" s="1545"/>
      <c r="AE295" s="1545"/>
      <c r="AF295" s="1545"/>
      <c r="AG295" s="1545"/>
      <c r="AH295" s="1545"/>
      <c r="AI295" s="1545"/>
      <c r="AJ295" s="1545"/>
      <c r="AK295" s="1545"/>
      <c r="AL295" s="1545"/>
      <c r="AM295" s="1545"/>
      <c r="AN295" s="1545"/>
      <c r="AO295" s="1545"/>
    </row>
    <row r="296" spans="2:45" hidden="1" x14ac:dyDescent="0.35">
      <c r="B296" s="1537">
        <f t="shared" si="5"/>
        <v>291</v>
      </c>
      <c r="C296" s="1537" t="s">
        <v>2352</v>
      </c>
      <c r="D296" s="1530" t="s">
        <v>1998</v>
      </c>
      <c r="F296" s="1537">
        <v>1</v>
      </c>
      <c r="G296" s="1537" t="s">
        <v>1999</v>
      </c>
      <c r="H296" s="1537" t="s">
        <v>2000</v>
      </c>
      <c r="K296" s="1545"/>
      <c r="L296" s="1545"/>
      <c r="M296" s="1545"/>
      <c r="N296" s="1545"/>
      <c r="O296" s="1545"/>
      <c r="P296" s="1545"/>
      <c r="Q296" s="1545"/>
      <c r="R296" s="1545"/>
      <c r="S296" s="1545"/>
      <c r="T296" s="1545"/>
      <c r="U296" s="1545"/>
      <c r="V296" s="1545"/>
      <c r="W296" s="1545"/>
      <c r="X296" s="1545"/>
      <c r="Y296" s="1545"/>
      <c r="Z296" s="1545"/>
      <c r="AA296" s="1545"/>
      <c r="AB296" s="1545"/>
      <c r="AC296" s="1545"/>
      <c r="AD296" s="1545"/>
      <c r="AE296" s="1545"/>
      <c r="AF296" s="1545"/>
      <c r="AG296" s="1545"/>
      <c r="AH296" s="1545"/>
      <c r="AI296" s="1545"/>
      <c r="AJ296" s="1545"/>
      <c r="AK296" s="1545"/>
      <c r="AL296" s="1545"/>
      <c r="AM296" s="1545"/>
      <c r="AN296" s="1545"/>
      <c r="AO296" s="1545"/>
    </row>
    <row r="297" spans="2:45" hidden="1" x14ac:dyDescent="0.35">
      <c r="B297" s="1537">
        <f t="shared" si="5"/>
        <v>292</v>
      </c>
      <c r="C297" s="1537" t="s">
        <v>2352</v>
      </c>
      <c r="D297" s="1530" t="s">
        <v>2001</v>
      </c>
      <c r="F297" s="1537">
        <v>1</v>
      </c>
      <c r="G297" s="1537" t="s">
        <v>1989</v>
      </c>
      <c r="H297" s="1537" t="s">
        <v>2000</v>
      </c>
      <c r="K297" s="1545"/>
      <c r="L297" s="1545"/>
      <c r="M297" s="1545"/>
      <c r="N297" s="1545"/>
      <c r="O297" s="1545"/>
      <c r="P297" s="1545"/>
      <c r="Q297" s="1545"/>
      <c r="R297" s="1545"/>
      <c r="S297" s="1545"/>
      <c r="T297" s="1545"/>
      <c r="U297" s="1545"/>
      <c r="V297" s="1545"/>
      <c r="W297" s="1545"/>
      <c r="X297" s="1545"/>
      <c r="Y297" s="1545"/>
      <c r="Z297" s="1545"/>
      <c r="AA297" s="1545"/>
      <c r="AB297" s="1545"/>
      <c r="AC297" s="1545"/>
      <c r="AD297" s="1545"/>
      <c r="AE297" s="1545"/>
      <c r="AF297" s="1545"/>
      <c r="AG297" s="1545"/>
      <c r="AH297" s="1545"/>
      <c r="AI297" s="1545"/>
      <c r="AJ297" s="1545"/>
      <c r="AK297" s="1545"/>
      <c r="AL297" s="1545"/>
      <c r="AM297" s="1545"/>
      <c r="AN297" s="1545"/>
      <c r="AO297" s="1545"/>
    </row>
    <row r="298" spans="2:45" hidden="1" x14ac:dyDescent="0.35">
      <c r="B298" s="1537">
        <f t="shared" si="5"/>
        <v>293</v>
      </c>
      <c r="C298" s="1537" t="s">
        <v>2352</v>
      </c>
      <c r="D298" s="1530" t="s">
        <v>2002</v>
      </c>
      <c r="F298" s="1537">
        <v>1</v>
      </c>
      <c r="G298" s="1537" t="s">
        <v>1989</v>
      </c>
      <c r="H298" s="1537" t="s">
        <v>2000</v>
      </c>
      <c r="K298" s="1545"/>
      <c r="L298" s="1545"/>
      <c r="M298" s="1545"/>
      <c r="N298" s="1545"/>
      <c r="O298" s="1545"/>
      <c r="P298" s="1545"/>
      <c r="Q298" s="1545"/>
      <c r="R298" s="1545"/>
      <c r="S298" s="1545"/>
      <c r="T298" s="1545"/>
      <c r="U298" s="1545"/>
      <c r="V298" s="1545"/>
      <c r="W298" s="1545"/>
      <c r="X298" s="1545"/>
      <c r="Y298" s="1545"/>
      <c r="Z298" s="1545"/>
      <c r="AA298" s="1545"/>
      <c r="AB298" s="1545"/>
      <c r="AC298" s="1545"/>
      <c r="AD298" s="1545"/>
      <c r="AE298" s="1545"/>
      <c r="AF298" s="1545"/>
      <c r="AG298" s="1545"/>
      <c r="AH298" s="1545"/>
      <c r="AI298" s="1545"/>
      <c r="AJ298" s="1545"/>
      <c r="AK298" s="1545"/>
      <c r="AL298" s="1545"/>
      <c r="AM298" s="1545"/>
      <c r="AN298" s="1545"/>
      <c r="AO298" s="1545"/>
    </row>
    <row r="299" spans="2:45" hidden="1" x14ac:dyDescent="0.35">
      <c r="B299" s="1537">
        <f t="shared" si="5"/>
        <v>294</v>
      </c>
      <c r="C299" s="1537" t="s">
        <v>2352</v>
      </c>
      <c r="D299" s="1530" t="s">
        <v>2003</v>
      </c>
      <c r="F299" s="1537">
        <v>1</v>
      </c>
      <c r="G299" s="1553" t="s">
        <v>2004</v>
      </c>
      <c r="H299" s="1537" t="s">
        <v>2000</v>
      </c>
      <c r="K299" s="1545"/>
      <c r="L299" s="1545"/>
      <c r="M299" s="1545"/>
      <c r="N299" s="1545"/>
      <c r="O299" s="1545"/>
      <c r="P299" s="1545"/>
      <c r="Q299" s="1545"/>
      <c r="R299" s="1545"/>
      <c r="S299" s="1545"/>
      <c r="T299" s="1545"/>
      <c r="U299" s="1545"/>
      <c r="V299" s="1545"/>
      <c r="W299" s="1545"/>
      <c r="X299" s="1545"/>
      <c r="Y299" s="1545"/>
      <c r="Z299" s="1545"/>
      <c r="AA299" s="1545"/>
      <c r="AB299" s="1545"/>
      <c r="AC299" s="1545"/>
      <c r="AD299" s="1545"/>
      <c r="AE299" s="1545"/>
      <c r="AF299" s="1545"/>
      <c r="AG299" s="1545"/>
      <c r="AH299" s="1545"/>
      <c r="AI299" s="1545"/>
      <c r="AJ299" s="1545"/>
      <c r="AK299" s="1545"/>
      <c r="AL299" s="1545"/>
      <c r="AM299" s="1545"/>
      <c r="AN299" s="1545"/>
      <c r="AO299" s="1545"/>
    </row>
    <row r="300" spans="2:45" hidden="1" x14ac:dyDescent="0.35">
      <c r="B300" s="1537">
        <f t="shared" si="5"/>
        <v>295</v>
      </c>
      <c r="C300" s="1537" t="s">
        <v>2352</v>
      </c>
      <c r="D300" s="1530" t="s">
        <v>2005</v>
      </c>
      <c r="F300" s="1537">
        <v>1</v>
      </c>
      <c r="G300" s="1537" t="s">
        <v>1999</v>
      </c>
      <c r="H300" s="1537" t="s">
        <v>2000</v>
      </c>
      <c r="K300" s="1545"/>
      <c r="L300" s="1545"/>
      <c r="M300" s="1545"/>
      <c r="N300" s="1545"/>
      <c r="O300" s="1545"/>
      <c r="P300" s="1545"/>
      <c r="Q300" s="1545"/>
      <c r="R300" s="1545"/>
      <c r="S300" s="1545"/>
      <c r="T300" s="1545"/>
      <c r="U300" s="1545"/>
      <c r="V300" s="1545"/>
      <c r="W300" s="1545"/>
      <c r="X300" s="1545"/>
      <c r="Y300" s="1545"/>
      <c r="Z300" s="1545"/>
      <c r="AA300" s="1545"/>
      <c r="AB300" s="1545"/>
      <c r="AC300" s="1545"/>
      <c r="AD300" s="1545"/>
      <c r="AE300" s="1545"/>
      <c r="AF300" s="1545"/>
      <c r="AG300" s="1545"/>
      <c r="AH300" s="1545"/>
      <c r="AI300" s="1545"/>
      <c r="AJ300" s="1545"/>
      <c r="AK300" s="1545"/>
      <c r="AL300" s="1545"/>
      <c r="AM300" s="1545"/>
      <c r="AN300" s="1545"/>
      <c r="AO300" s="1545"/>
    </row>
    <row r="301" spans="2:45" x14ac:dyDescent="0.35">
      <c r="B301" s="1537">
        <f t="shared" si="5"/>
        <v>296</v>
      </c>
      <c r="C301" s="1537" t="s">
        <v>1641</v>
      </c>
      <c r="D301" s="1537" t="s">
        <v>2353</v>
      </c>
      <c r="E301" s="1537" t="s">
        <v>2353</v>
      </c>
      <c r="F301" s="1537">
        <v>1</v>
      </c>
      <c r="G301" s="1539" t="s">
        <v>1989</v>
      </c>
      <c r="H301" s="1537" t="s">
        <v>1990</v>
      </c>
      <c r="I301" s="1537" t="s">
        <v>1991</v>
      </c>
      <c r="K301" s="1545">
        <v>3985</v>
      </c>
      <c r="L301" s="1545">
        <v>170</v>
      </c>
      <c r="M301" s="1551">
        <v>0</v>
      </c>
      <c r="N301" s="1551">
        <v>227</v>
      </c>
      <c r="O301" s="1551">
        <v>217</v>
      </c>
      <c r="P301" s="1551">
        <v>219</v>
      </c>
      <c r="Q301" s="1551">
        <v>205</v>
      </c>
      <c r="R301" s="1551">
        <v>218</v>
      </c>
      <c r="S301" s="1551">
        <v>289</v>
      </c>
      <c r="T301" s="1551">
        <v>326</v>
      </c>
      <c r="U301" s="1551">
        <v>358</v>
      </c>
      <c r="V301" s="1551">
        <v>432</v>
      </c>
      <c r="W301" s="1551">
        <v>384</v>
      </c>
      <c r="X301" s="1551">
        <v>420</v>
      </c>
      <c r="Y301" s="1551">
        <v>345</v>
      </c>
      <c r="Z301" s="1551">
        <v>345</v>
      </c>
      <c r="AA301" s="1551"/>
      <c r="AB301" s="1551"/>
      <c r="AC301" s="1551"/>
      <c r="AD301" s="1551"/>
      <c r="AE301" s="1551">
        <v>23</v>
      </c>
      <c r="AF301" s="1551">
        <v>12</v>
      </c>
      <c r="AG301" s="1551">
        <v>1269</v>
      </c>
      <c r="AH301" s="1551">
        <v>325</v>
      </c>
      <c r="AI301" s="1551">
        <v>3</v>
      </c>
      <c r="AJ301" s="1551">
        <v>2039</v>
      </c>
      <c r="AK301" s="1551">
        <v>314</v>
      </c>
      <c r="AL301" s="1551">
        <v>1867</v>
      </c>
      <c r="AM301" s="1551">
        <v>2118</v>
      </c>
      <c r="AN301" s="1551">
        <v>2731</v>
      </c>
      <c r="AO301" s="1551">
        <v>608</v>
      </c>
      <c r="AP301" s="1537" t="s">
        <v>2354</v>
      </c>
      <c r="AQ301" s="1537" t="s">
        <v>890</v>
      </c>
      <c r="AS301" s="1552" t="s">
        <v>2355</v>
      </c>
    </row>
    <row r="302" spans="2:45" x14ac:dyDescent="0.35">
      <c r="B302" s="1537">
        <f t="shared" si="5"/>
        <v>297</v>
      </c>
      <c r="C302" s="1537" t="s">
        <v>1641</v>
      </c>
      <c r="D302" s="1537" t="s">
        <v>2356</v>
      </c>
      <c r="E302" s="1537" t="s">
        <v>2357</v>
      </c>
      <c r="F302" s="1537">
        <v>1</v>
      </c>
      <c r="G302" s="1539" t="s">
        <v>1989</v>
      </c>
      <c r="H302" s="1537" t="s">
        <v>1990</v>
      </c>
      <c r="I302" s="1537" t="s">
        <v>1991</v>
      </c>
      <c r="K302" s="1545">
        <v>2912</v>
      </c>
      <c r="L302" s="1545">
        <v>138.94</v>
      </c>
      <c r="M302" s="1551">
        <v>0</v>
      </c>
      <c r="N302" s="1551">
        <v>75</v>
      </c>
      <c r="O302" s="1551">
        <v>196</v>
      </c>
      <c r="P302" s="1551">
        <v>149</v>
      </c>
      <c r="Q302" s="1551">
        <v>172</v>
      </c>
      <c r="R302" s="1551">
        <v>173</v>
      </c>
      <c r="S302" s="1551">
        <v>203</v>
      </c>
      <c r="T302" s="1551">
        <v>234</v>
      </c>
      <c r="U302" s="1551">
        <v>228</v>
      </c>
      <c r="V302" s="1551">
        <v>311</v>
      </c>
      <c r="W302" s="1551">
        <v>262</v>
      </c>
      <c r="X302" s="1551">
        <v>331</v>
      </c>
      <c r="Y302" s="1551">
        <v>306</v>
      </c>
      <c r="Z302" s="1551">
        <v>272</v>
      </c>
      <c r="AA302" s="1551"/>
      <c r="AB302" s="1551"/>
      <c r="AC302" s="1551"/>
      <c r="AD302" s="1551"/>
      <c r="AE302" s="1551">
        <v>18</v>
      </c>
      <c r="AF302" s="1551">
        <v>26</v>
      </c>
      <c r="AG302" s="1551">
        <v>946</v>
      </c>
      <c r="AH302" s="1551">
        <v>231</v>
      </c>
      <c r="AI302" s="1551">
        <v>13</v>
      </c>
      <c r="AJ302" s="1551">
        <v>1578</v>
      </c>
      <c r="AK302" s="1551">
        <v>100</v>
      </c>
      <c r="AL302" s="1551">
        <v>1377</v>
      </c>
      <c r="AM302" s="1551">
        <v>1535</v>
      </c>
      <c r="AN302" s="1551">
        <v>1378</v>
      </c>
      <c r="AO302" s="1551">
        <v>507</v>
      </c>
      <c r="AP302" s="1537" t="s">
        <v>2358</v>
      </c>
      <c r="AQ302" s="1537" t="s">
        <v>890</v>
      </c>
      <c r="AS302" s="1552" t="s">
        <v>2359</v>
      </c>
    </row>
    <row r="303" spans="2:45" x14ac:dyDescent="0.35">
      <c r="B303" s="1537">
        <f t="shared" si="5"/>
        <v>298</v>
      </c>
      <c r="C303" s="1537" t="s">
        <v>1641</v>
      </c>
      <c r="D303" s="1537" t="s">
        <v>2360</v>
      </c>
      <c r="E303" s="1537" t="s">
        <v>2360</v>
      </c>
      <c r="G303" s="1550" t="s">
        <v>2004</v>
      </c>
      <c r="H303" s="1537" t="s">
        <v>1990</v>
      </c>
      <c r="I303" s="1537" t="s">
        <v>1991</v>
      </c>
      <c r="K303" s="1545" t="s">
        <v>890</v>
      </c>
      <c r="L303" s="1545" t="s">
        <v>890</v>
      </c>
      <c r="M303" s="1551">
        <v>0</v>
      </c>
      <c r="N303" s="1551">
        <v>0</v>
      </c>
      <c r="O303" s="1551">
        <v>0</v>
      </c>
      <c r="P303" s="1551">
        <v>0</v>
      </c>
      <c r="Q303" s="1551">
        <v>0</v>
      </c>
      <c r="R303" s="1551">
        <v>0</v>
      </c>
      <c r="S303" s="1551">
        <v>0</v>
      </c>
      <c r="T303" s="1551">
        <v>0</v>
      </c>
      <c r="U303" s="1551">
        <v>0</v>
      </c>
      <c r="V303" s="1551">
        <v>0</v>
      </c>
      <c r="W303" s="1551">
        <v>0</v>
      </c>
      <c r="X303" s="1551">
        <v>0</v>
      </c>
      <c r="Y303" s="1551">
        <v>0</v>
      </c>
      <c r="Z303" s="1551">
        <v>0</v>
      </c>
      <c r="AA303" s="1551"/>
      <c r="AB303" s="1551"/>
      <c r="AC303" s="1551"/>
      <c r="AD303" s="1551"/>
      <c r="AE303" s="1551">
        <v>0</v>
      </c>
      <c r="AF303" s="1551">
        <v>0</v>
      </c>
      <c r="AG303" s="1551">
        <v>0</v>
      </c>
      <c r="AH303" s="1551">
        <v>0</v>
      </c>
      <c r="AI303" s="1551">
        <v>0</v>
      </c>
      <c r="AJ303" s="1551">
        <v>0</v>
      </c>
      <c r="AK303" s="1551">
        <v>0</v>
      </c>
      <c r="AL303" s="1551">
        <v>0</v>
      </c>
      <c r="AM303" s="1551">
        <v>0</v>
      </c>
      <c r="AN303" s="1551">
        <v>0</v>
      </c>
      <c r="AO303" s="1551">
        <v>0</v>
      </c>
      <c r="AP303" s="1537" t="s">
        <v>2361</v>
      </c>
      <c r="AQ303" s="1537" t="s">
        <v>890</v>
      </c>
      <c r="AS303" s="1552" t="s">
        <v>2362</v>
      </c>
    </row>
    <row r="304" spans="2:45" hidden="1" x14ac:dyDescent="0.35">
      <c r="B304" s="1537">
        <f t="shared" si="5"/>
        <v>299</v>
      </c>
      <c r="C304" s="1537" t="s">
        <v>1641</v>
      </c>
      <c r="D304" s="1530" t="s">
        <v>1998</v>
      </c>
      <c r="F304" s="1537">
        <v>1</v>
      </c>
      <c r="G304" s="1537" t="s">
        <v>1999</v>
      </c>
      <c r="H304" s="1537" t="s">
        <v>2000</v>
      </c>
      <c r="K304" s="1545"/>
      <c r="L304" s="1545"/>
      <c r="M304" s="1545"/>
      <c r="N304" s="1545"/>
      <c r="O304" s="1545"/>
      <c r="P304" s="1545"/>
      <c r="Q304" s="1545"/>
      <c r="R304" s="1545"/>
      <c r="S304" s="1545"/>
      <c r="T304" s="1545"/>
      <c r="U304" s="1545"/>
      <c r="V304" s="1545"/>
      <c r="W304" s="1545"/>
      <c r="X304" s="1545"/>
      <c r="Y304" s="1545"/>
      <c r="Z304" s="1545"/>
      <c r="AA304" s="1545"/>
      <c r="AB304" s="1545"/>
      <c r="AC304" s="1545"/>
      <c r="AD304" s="1545"/>
      <c r="AE304" s="1545"/>
      <c r="AF304" s="1545"/>
      <c r="AG304" s="1545"/>
      <c r="AH304" s="1545"/>
      <c r="AI304" s="1545"/>
      <c r="AJ304" s="1545"/>
      <c r="AK304" s="1545"/>
      <c r="AL304" s="1545"/>
      <c r="AM304" s="1545"/>
      <c r="AN304" s="1545"/>
      <c r="AO304" s="1545"/>
    </row>
    <row r="305" spans="2:45" hidden="1" x14ac:dyDescent="0.35">
      <c r="B305" s="1537">
        <f t="shared" si="5"/>
        <v>300</v>
      </c>
      <c r="C305" s="1537" t="s">
        <v>1641</v>
      </c>
      <c r="D305" s="1530" t="s">
        <v>2001</v>
      </c>
      <c r="F305" s="1537">
        <v>1</v>
      </c>
      <c r="G305" s="1537" t="s">
        <v>1989</v>
      </c>
      <c r="H305" s="1537" t="s">
        <v>2000</v>
      </c>
      <c r="K305" s="1545"/>
      <c r="L305" s="1545"/>
      <c r="M305" s="1545"/>
      <c r="N305" s="1545"/>
      <c r="O305" s="1545"/>
      <c r="P305" s="1545"/>
      <c r="Q305" s="1545"/>
      <c r="R305" s="1545"/>
      <c r="S305" s="1545"/>
      <c r="T305" s="1545"/>
      <c r="U305" s="1545"/>
      <c r="V305" s="1545"/>
      <c r="W305" s="1545"/>
      <c r="X305" s="1545"/>
      <c r="Y305" s="1545"/>
      <c r="Z305" s="1545"/>
      <c r="AA305" s="1545"/>
      <c r="AB305" s="1545"/>
      <c r="AC305" s="1545"/>
      <c r="AD305" s="1545"/>
      <c r="AE305" s="1545"/>
      <c r="AF305" s="1545"/>
      <c r="AG305" s="1545"/>
      <c r="AH305" s="1545"/>
      <c r="AI305" s="1545"/>
      <c r="AJ305" s="1545"/>
      <c r="AK305" s="1545"/>
      <c r="AL305" s="1545"/>
      <c r="AM305" s="1545"/>
      <c r="AN305" s="1545"/>
      <c r="AO305" s="1545"/>
    </row>
    <row r="306" spans="2:45" hidden="1" x14ac:dyDescent="0.35">
      <c r="B306" s="1537">
        <f t="shared" si="5"/>
        <v>301</v>
      </c>
      <c r="C306" s="1537" t="s">
        <v>1641</v>
      </c>
      <c r="D306" s="1530" t="s">
        <v>2002</v>
      </c>
      <c r="F306" s="1537">
        <v>1</v>
      </c>
      <c r="G306" s="1537" t="s">
        <v>1989</v>
      </c>
      <c r="H306" s="1537" t="s">
        <v>2000</v>
      </c>
      <c r="K306" s="1545"/>
      <c r="L306" s="1545"/>
      <c r="M306" s="1545"/>
      <c r="N306" s="1545"/>
      <c r="O306" s="1545"/>
      <c r="P306" s="1545"/>
      <c r="Q306" s="1545"/>
      <c r="R306" s="1545"/>
      <c r="S306" s="1545"/>
      <c r="T306" s="1545"/>
      <c r="U306" s="1545"/>
      <c r="V306" s="1545"/>
      <c r="W306" s="1545"/>
      <c r="X306" s="1545"/>
      <c r="Y306" s="1545"/>
      <c r="Z306" s="1545"/>
      <c r="AA306" s="1545"/>
      <c r="AB306" s="1545"/>
      <c r="AC306" s="1545"/>
      <c r="AD306" s="1545"/>
      <c r="AE306" s="1545"/>
      <c r="AF306" s="1545"/>
      <c r="AG306" s="1545"/>
      <c r="AH306" s="1545"/>
      <c r="AI306" s="1545"/>
      <c r="AJ306" s="1545"/>
      <c r="AK306" s="1545"/>
      <c r="AL306" s="1545"/>
      <c r="AM306" s="1545"/>
      <c r="AN306" s="1545"/>
      <c r="AO306" s="1545"/>
    </row>
    <row r="307" spans="2:45" hidden="1" x14ac:dyDescent="0.35">
      <c r="B307" s="1537">
        <f t="shared" si="5"/>
        <v>302</v>
      </c>
      <c r="C307" s="1537" t="s">
        <v>1641</v>
      </c>
      <c r="D307" s="1530" t="s">
        <v>2003</v>
      </c>
      <c r="F307" s="1537">
        <v>1</v>
      </c>
      <c r="G307" s="1553" t="s">
        <v>2004</v>
      </c>
      <c r="H307" s="1537" t="s">
        <v>2000</v>
      </c>
      <c r="K307" s="1545"/>
      <c r="L307" s="1545"/>
      <c r="M307" s="1545"/>
      <c r="N307" s="1545"/>
      <c r="O307" s="1545"/>
      <c r="P307" s="1545"/>
      <c r="Q307" s="1545"/>
      <c r="R307" s="1545"/>
      <c r="S307" s="1545"/>
      <c r="T307" s="1545"/>
      <c r="U307" s="1545"/>
      <c r="V307" s="1545"/>
      <c r="W307" s="1545"/>
      <c r="X307" s="1545"/>
      <c r="Y307" s="1545"/>
      <c r="Z307" s="1545"/>
      <c r="AA307" s="1545"/>
      <c r="AB307" s="1545"/>
      <c r="AC307" s="1545"/>
      <c r="AD307" s="1545"/>
      <c r="AE307" s="1545"/>
      <c r="AF307" s="1545"/>
      <c r="AG307" s="1545"/>
      <c r="AH307" s="1545"/>
      <c r="AI307" s="1545"/>
      <c r="AJ307" s="1545"/>
      <c r="AK307" s="1545"/>
      <c r="AL307" s="1545"/>
      <c r="AM307" s="1545"/>
      <c r="AN307" s="1545"/>
      <c r="AO307" s="1545"/>
    </row>
    <row r="308" spans="2:45" hidden="1" x14ac:dyDescent="0.35">
      <c r="B308" s="1537">
        <f t="shared" si="5"/>
        <v>303</v>
      </c>
      <c r="C308" s="1537" t="s">
        <v>1641</v>
      </c>
      <c r="D308" s="1530" t="s">
        <v>2005</v>
      </c>
      <c r="F308" s="1537">
        <v>1</v>
      </c>
      <c r="G308" s="1537" t="s">
        <v>1999</v>
      </c>
      <c r="H308" s="1537" t="s">
        <v>2000</v>
      </c>
      <c r="K308" s="1545"/>
      <c r="L308" s="1545"/>
      <c r="M308" s="1545"/>
      <c r="N308" s="1545"/>
      <c r="O308" s="1545"/>
      <c r="P308" s="1545"/>
      <c r="Q308" s="1545"/>
      <c r="R308" s="1545"/>
      <c r="S308" s="1545"/>
      <c r="T308" s="1545"/>
      <c r="U308" s="1545"/>
      <c r="V308" s="1545"/>
      <c r="W308" s="1545"/>
      <c r="X308" s="1545"/>
      <c r="Y308" s="1545"/>
      <c r="Z308" s="1545"/>
      <c r="AA308" s="1545"/>
      <c r="AB308" s="1545"/>
      <c r="AC308" s="1545"/>
      <c r="AD308" s="1545"/>
      <c r="AE308" s="1545"/>
      <c r="AF308" s="1545"/>
      <c r="AG308" s="1545"/>
      <c r="AH308" s="1545"/>
      <c r="AI308" s="1545"/>
      <c r="AJ308" s="1545"/>
      <c r="AK308" s="1545"/>
      <c r="AL308" s="1545"/>
      <c r="AM308" s="1545"/>
      <c r="AN308" s="1545"/>
      <c r="AO308" s="1545"/>
    </row>
    <row r="309" spans="2:45" hidden="1" x14ac:dyDescent="0.35">
      <c r="B309" s="1537">
        <f t="shared" si="5"/>
        <v>304</v>
      </c>
      <c r="C309" s="1537" t="s">
        <v>2363</v>
      </c>
      <c r="D309" s="1530" t="s">
        <v>1998</v>
      </c>
      <c r="F309" s="1537">
        <v>1</v>
      </c>
      <c r="G309" s="1537" t="s">
        <v>1999</v>
      </c>
      <c r="H309" s="1537" t="s">
        <v>2000</v>
      </c>
      <c r="K309" s="1545"/>
      <c r="L309" s="1545"/>
      <c r="M309" s="1545"/>
      <c r="N309" s="1545"/>
      <c r="O309" s="1545"/>
      <c r="P309" s="1545"/>
      <c r="Q309" s="1545"/>
      <c r="R309" s="1545"/>
      <c r="S309" s="1545"/>
      <c r="T309" s="1545"/>
      <c r="U309" s="1545"/>
      <c r="V309" s="1545"/>
      <c r="W309" s="1545"/>
      <c r="X309" s="1545"/>
      <c r="Y309" s="1545"/>
      <c r="Z309" s="1545"/>
      <c r="AA309" s="1545"/>
      <c r="AB309" s="1545"/>
      <c r="AC309" s="1545"/>
      <c r="AD309" s="1545"/>
      <c r="AE309" s="1545"/>
      <c r="AF309" s="1545"/>
      <c r="AG309" s="1545"/>
      <c r="AH309" s="1545"/>
      <c r="AI309" s="1545"/>
      <c r="AJ309" s="1545"/>
      <c r="AK309" s="1545"/>
      <c r="AL309" s="1545"/>
      <c r="AM309" s="1545"/>
      <c r="AN309" s="1545"/>
      <c r="AO309" s="1545"/>
    </row>
    <row r="310" spans="2:45" hidden="1" x14ac:dyDescent="0.35">
      <c r="B310" s="1537">
        <f t="shared" si="5"/>
        <v>305</v>
      </c>
      <c r="C310" s="1537" t="s">
        <v>2363</v>
      </c>
      <c r="D310" s="1530" t="s">
        <v>2001</v>
      </c>
      <c r="F310" s="1537">
        <v>1</v>
      </c>
      <c r="G310" s="1537" t="s">
        <v>1989</v>
      </c>
      <c r="H310" s="1537" t="s">
        <v>2000</v>
      </c>
      <c r="K310" s="1545"/>
      <c r="L310" s="1545"/>
      <c r="M310" s="1545"/>
      <c r="N310" s="1545"/>
      <c r="O310" s="1545"/>
      <c r="P310" s="1545"/>
      <c r="Q310" s="1545"/>
      <c r="R310" s="1545"/>
      <c r="S310" s="1545"/>
      <c r="T310" s="1545"/>
      <c r="U310" s="1545"/>
      <c r="V310" s="1545"/>
      <c r="W310" s="1545"/>
      <c r="X310" s="1545"/>
      <c r="Y310" s="1545"/>
      <c r="Z310" s="1545"/>
      <c r="AA310" s="1545"/>
      <c r="AB310" s="1545"/>
      <c r="AC310" s="1545"/>
      <c r="AD310" s="1545"/>
      <c r="AE310" s="1545"/>
      <c r="AF310" s="1545"/>
      <c r="AG310" s="1545"/>
      <c r="AH310" s="1545"/>
      <c r="AI310" s="1545"/>
      <c r="AJ310" s="1545"/>
      <c r="AK310" s="1545"/>
      <c r="AL310" s="1545"/>
      <c r="AM310" s="1545"/>
      <c r="AN310" s="1545"/>
      <c r="AO310" s="1545"/>
    </row>
    <row r="311" spans="2:45" hidden="1" x14ac:dyDescent="0.35">
      <c r="B311" s="1537">
        <f t="shared" si="5"/>
        <v>306</v>
      </c>
      <c r="C311" s="1537" t="s">
        <v>2363</v>
      </c>
      <c r="D311" s="1530" t="s">
        <v>2002</v>
      </c>
      <c r="F311" s="1537">
        <v>1</v>
      </c>
      <c r="G311" s="1537" t="s">
        <v>1989</v>
      </c>
      <c r="H311" s="1537" t="s">
        <v>2000</v>
      </c>
      <c r="K311" s="1545"/>
      <c r="L311" s="1545"/>
      <c r="M311" s="1545"/>
      <c r="N311" s="1545"/>
      <c r="O311" s="1545"/>
      <c r="P311" s="1545"/>
      <c r="Q311" s="1545"/>
      <c r="R311" s="1545"/>
      <c r="S311" s="1545"/>
      <c r="T311" s="1545"/>
      <c r="U311" s="1545"/>
      <c r="V311" s="1545"/>
      <c r="W311" s="1545"/>
      <c r="X311" s="1545"/>
      <c r="Y311" s="1545"/>
      <c r="Z311" s="1545"/>
      <c r="AA311" s="1545"/>
      <c r="AB311" s="1545"/>
      <c r="AC311" s="1545"/>
      <c r="AD311" s="1545"/>
      <c r="AE311" s="1545"/>
      <c r="AF311" s="1545"/>
      <c r="AG311" s="1545"/>
      <c r="AH311" s="1545"/>
      <c r="AI311" s="1545"/>
      <c r="AJ311" s="1545"/>
      <c r="AK311" s="1545"/>
      <c r="AL311" s="1545"/>
      <c r="AM311" s="1545"/>
      <c r="AN311" s="1545"/>
      <c r="AO311" s="1545"/>
    </row>
    <row r="312" spans="2:45" hidden="1" x14ac:dyDescent="0.35">
      <c r="B312" s="1537">
        <f t="shared" si="5"/>
        <v>307</v>
      </c>
      <c r="C312" s="1537" t="s">
        <v>2363</v>
      </c>
      <c r="D312" s="1530" t="s">
        <v>2003</v>
      </c>
      <c r="F312" s="1537">
        <v>1</v>
      </c>
      <c r="G312" s="1553" t="s">
        <v>2004</v>
      </c>
      <c r="H312" s="1537" t="s">
        <v>2000</v>
      </c>
      <c r="K312" s="1545"/>
      <c r="L312" s="1545"/>
      <c r="M312" s="1545"/>
      <c r="N312" s="1545"/>
      <c r="O312" s="1545"/>
      <c r="P312" s="1545"/>
      <c r="Q312" s="1545"/>
      <c r="R312" s="1545"/>
      <c r="S312" s="1545"/>
      <c r="T312" s="1545"/>
      <c r="U312" s="1545"/>
      <c r="V312" s="1545"/>
      <c r="W312" s="1545"/>
      <c r="X312" s="1545"/>
      <c r="Y312" s="1545"/>
      <c r="Z312" s="1545"/>
      <c r="AA312" s="1545"/>
      <c r="AB312" s="1545"/>
      <c r="AC312" s="1545"/>
      <c r="AD312" s="1545"/>
      <c r="AE312" s="1545"/>
      <c r="AF312" s="1545"/>
      <c r="AG312" s="1545"/>
      <c r="AH312" s="1545"/>
      <c r="AI312" s="1545"/>
      <c r="AJ312" s="1545"/>
      <c r="AK312" s="1545"/>
      <c r="AL312" s="1545"/>
      <c r="AM312" s="1545"/>
      <c r="AN312" s="1545"/>
      <c r="AO312" s="1545"/>
    </row>
    <row r="313" spans="2:45" x14ac:dyDescent="0.35">
      <c r="B313" s="1537">
        <f t="shared" si="5"/>
        <v>308</v>
      </c>
      <c r="C313" s="1537" t="s">
        <v>1642</v>
      </c>
      <c r="D313" s="1537" t="s">
        <v>2364</v>
      </c>
      <c r="G313" s="1550" t="s">
        <v>2047</v>
      </c>
      <c r="H313" s="1537" t="s">
        <v>1990</v>
      </c>
      <c r="I313" s="1537" t="s">
        <v>1991</v>
      </c>
      <c r="K313" s="1545">
        <v>0</v>
      </c>
      <c r="L313" s="1545">
        <v>0</v>
      </c>
      <c r="M313" s="1551">
        <v>0</v>
      </c>
      <c r="N313" s="1551">
        <v>0</v>
      </c>
      <c r="O313" s="1551">
        <v>0</v>
      </c>
      <c r="P313" s="1551">
        <v>0</v>
      </c>
      <c r="Q313" s="1551">
        <v>0</v>
      </c>
      <c r="R313" s="1551">
        <v>0</v>
      </c>
      <c r="S313" s="1551">
        <v>0</v>
      </c>
      <c r="T313" s="1551">
        <v>0</v>
      </c>
      <c r="U313" s="1551">
        <v>0</v>
      </c>
      <c r="V313" s="1551">
        <v>0</v>
      </c>
      <c r="W313" s="1551">
        <v>0</v>
      </c>
      <c r="X313" s="1551">
        <v>0</v>
      </c>
      <c r="Y313" s="1551">
        <v>0</v>
      </c>
      <c r="Z313" s="1551">
        <v>0</v>
      </c>
      <c r="AA313" s="1551"/>
      <c r="AB313" s="1551"/>
      <c r="AC313" s="1551"/>
      <c r="AD313" s="1551"/>
      <c r="AE313" s="1551">
        <v>0</v>
      </c>
      <c r="AF313" s="1551">
        <v>0</v>
      </c>
      <c r="AG313" s="1551">
        <v>0</v>
      </c>
      <c r="AH313" s="1551">
        <v>0</v>
      </c>
      <c r="AI313" s="1551">
        <v>0</v>
      </c>
      <c r="AJ313" s="1551">
        <v>0</v>
      </c>
      <c r="AK313" s="1551">
        <v>0</v>
      </c>
      <c r="AL313" s="1551">
        <v>0</v>
      </c>
      <c r="AM313" s="1551">
        <v>0</v>
      </c>
      <c r="AN313" s="1551">
        <v>0</v>
      </c>
      <c r="AO313" s="1551">
        <v>0</v>
      </c>
      <c r="AP313" s="1537" t="s">
        <v>2365</v>
      </c>
      <c r="AQ313" s="1537" t="s">
        <v>2366</v>
      </c>
      <c r="AR313" s="1537" t="s">
        <v>2009</v>
      </c>
      <c r="AS313" s="1552" t="s">
        <v>2367</v>
      </c>
    </row>
    <row r="314" spans="2:45" x14ac:dyDescent="0.35">
      <c r="B314" s="1537">
        <f t="shared" si="5"/>
        <v>309</v>
      </c>
      <c r="C314" s="1537" t="s">
        <v>1642</v>
      </c>
      <c r="D314" s="1537" t="s">
        <v>2368</v>
      </c>
      <c r="G314" s="1550" t="s">
        <v>2052</v>
      </c>
      <c r="H314" s="1537" t="s">
        <v>1990</v>
      </c>
      <c r="I314" s="1537" t="s">
        <v>1991</v>
      </c>
      <c r="K314" s="1545">
        <v>0</v>
      </c>
      <c r="L314" s="1545">
        <v>0</v>
      </c>
      <c r="M314" s="1551">
        <v>0</v>
      </c>
      <c r="N314" s="1551">
        <v>0</v>
      </c>
      <c r="O314" s="1551">
        <v>0</v>
      </c>
      <c r="P314" s="1551">
        <v>0</v>
      </c>
      <c r="Q314" s="1551">
        <v>0</v>
      </c>
      <c r="R314" s="1551">
        <v>0</v>
      </c>
      <c r="S314" s="1551">
        <v>0</v>
      </c>
      <c r="T314" s="1551">
        <v>0</v>
      </c>
      <c r="U314" s="1551">
        <v>0</v>
      </c>
      <c r="V314" s="1551">
        <v>0</v>
      </c>
      <c r="W314" s="1551">
        <v>0</v>
      </c>
      <c r="X314" s="1551">
        <v>0</v>
      </c>
      <c r="Y314" s="1551">
        <v>0</v>
      </c>
      <c r="Z314" s="1551">
        <v>0</v>
      </c>
      <c r="AA314" s="1551"/>
      <c r="AB314" s="1551"/>
      <c r="AC314" s="1551"/>
      <c r="AD314" s="1551"/>
      <c r="AE314" s="1551">
        <v>0</v>
      </c>
      <c r="AF314" s="1551">
        <v>0</v>
      </c>
      <c r="AG314" s="1551">
        <v>0</v>
      </c>
      <c r="AH314" s="1551">
        <v>0</v>
      </c>
      <c r="AI314" s="1551">
        <v>0</v>
      </c>
      <c r="AJ314" s="1551">
        <v>0</v>
      </c>
      <c r="AK314" s="1551">
        <v>0</v>
      </c>
      <c r="AL314" s="1551">
        <v>0</v>
      </c>
      <c r="AM314" s="1551">
        <v>0</v>
      </c>
      <c r="AN314" s="1551">
        <v>0</v>
      </c>
      <c r="AO314" s="1551">
        <v>0</v>
      </c>
      <c r="AP314" s="1537" t="s">
        <v>2365</v>
      </c>
      <c r="AQ314" s="1537" t="s">
        <v>2366</v>
      </c>
      <c r="AR314" s="1537" t="s">
        <v>2009</v>
      </c>
      <c r="AS314" s="1552" t="s">
        <v>2369</v>
      </c>
    </row>
    <row r="315" spans="2:45" x14ac:dyDescent="0.35">
      <c r="B315" s="1537">
        <f t="shared" si="5"/>
        <v>310</v>
      </c>
      <c r="C315" s="1537" t="s">
        <v>1642</v>
      </c>
      <c r="D315" s="1537" t="s">
        <v>2370</v>
      </c>
      <c r="G315" s="1550" t="s">
        <v>2039</v>
      </c>
      <c r="H315" s="1537" t="s">
        <v>1990</v>
      </c>
      <c r="I315" s="1537" t="s">
        <v>1991</v>
      </c>
      <c r="K315" s="1545">
        <v>0</v>
      </c>
      <c r="L315" s="1545">
        <v>0</v>
      </c>
      <c r="M315" s="1551">
        <v>0</v>
      </c>
      <c r="N315" s="1551">
        <v>0</v>
      </c>
      <c r="O315" s="1551">
        <v>0</v>
      </c>
      <c r="P315" s="1551">
        <v>0</v>
      </c>
      <c r="Q315" s="1551">
        <v>0</v>
      </c>
      <c r="R315" s="1551">
        <v>0</v>
      </c>
      <c r="S315" s="1551">
        <v>0</v>
      </c>
      <c r="T315" s="1551">
        <v>0</v>
      </c>
      <c r="U315" s="1551">
        <v>0</v>
      </c>
      <c r="V315" s="1551">
        <v>0</v>
      </c>
      <c r="W315" s="1551">
        <v>0</v>
      </c>
      <c r="X315" s="1551">
        <v>0</v>
      </c>
      <c r="Y315" s="1551">
        <v>0</v>
      </c>
      <c r="Z315" s="1551">
        <v>0</v>
      </c>
      <c r="AA315" s="1551"/>
      <c r="AB315" s="1551"/>
      <c r="AC315" s="1551"/>
      <c r="AD315" s="1551"/>
      <c r="AE315" s="1551">
        <v>0</v>
      </c>
      <c r="AF315" s="1551">
        <v>0</v>
      </c>
      <c r="AG315" s="1551">
        <v>0</v>
      </c>
      <c r="AH315" s="1551">
        <v>0</v>
      </c>
      <c r="AI315" s="1551">
        <v>0</v>
      </c>
      <c r="AJ315" s="1551">
        <v>0</v>
      </c>
      <c r="AK315" s="1551">
        <v>0</v>
      </c>
      <c r="AL315" s="1551">
        <v>0</v>
      </c>
      <c r="AM315" s="1551">
        <v>0</v>
      </c>
      <c r="AN315" s="1551">
        <v>0</v>
      </c>
      <c r="AO315" s="1551">
        <v>0</v>
      </c>
      <c r="AP315" s="1537" t="s">
        <v>2365</v>
      </c>
      <c r="AQ315" s="1537" t="s">
        <v>2366</v>
      </c>
      <c r="AR315" s="1537" t="s">
        <v>2009</v>
      </c>
      <c r="AS315" s="1552" t="s">
        <v>2371</v>
      </c>
    </row>
    <row r="316" spans="2:45" hidden="1" x14ac:dyDescent="0.35">
      <c r="B316" s="1537">
        <f t="shared" si="5"/>
        <v>311</v>
      </c>
      <c r="C316" s="1537" t="s">
        <v>1642</v>
      </c>
      <c r="D316" s="1530" t="s">
        <v>1998</v>
      </c>
      <c r="F316" s="1537">
        <v>1</v>
      </c>
      <c r="G316" s="1537" t="s">
        <v>1989</v>
      </c>
      <c r="H316" s="1537" t="s">
        <v>2000</v>
      </c>
      <c r="K316" s="1545"/>
      <c r="L316" s="1545"/>
      <c r="M316" s="1545"/>
      <c r="N316" s="1545"/>
      <c r="O316" s="1545"/>
      <c r="P316" s="1545"/>
      <c r="Q316" s="1545"/>
      <c r="R316" s="1545"/>
      <c r="S316" s="1545"/>
      <c r="T316" s="1545"/>
      <c r="U316" s="1545"/>
      <c r="V316" s="1545"/>
      <c r="W316" s="1545"/>
      <c r="X316" s="1545"/>
      <c r="Y316" s="1545"/>
      <c r="Z316" s="1545"/>
      <c r="AA316" s="1545"/>
      <c r="AB316" s="1545"/>
      <c r="AC316" s="1545"/>
      <c r="AD316" s="1545"/>
      <c r="AE316" s="1545"/>
      <c r="AF316" s="1545"/>
      <c r="AG316" s="1545"/>
      <c r="AH316" s="1545"/>
      <c r="AI316" s="1545"/>
      <c r="AJ316" s="1545"/>
      <c r="AK316" s="1545"/>
      <c r="AL316" s="1545"/>
      <c r="AM316" s="1545"/>
      <c r="AN316" s="1545"/>
      <c r="AO316" s="1545"/>
    </row>
    <row r="317" spans="2:45" hidden="1" x14ac:dyDescent="0.35">
      <c r="B317" s="1537">
        <f t="shared" si="5"/>
        <v>312</v>
      </c>
      <c r="C317" s="1537" t="s">
        <v>1642</v>
      </c>
      <c r="D317" s="1530" t="s">
        <v>2001</v>
      </c>
      <c r="F317" s="1537">
        <v>1</v>
      </c>
      <c r="G317" s="1537" t="s">
        <v>1989</v>
      </c>
      <c r="H317" s="1537" t="s">
        <v>2000</v>
      </c>
      <c r="K317" s="1545"/>
      <c r="L317" s="1545"/>
      <c r="M317" s="1545"/>
      <c r="N317" s="1545"/>
      <c r="O317" s="1545"/>
      <c r="P317" s="1545"/>
      <c r="Q317" s="1545"/>
      <c r="R317" s="1545"/>
      <c r="S317" s="1545"/>
      <c r="T317" s="1545"/>
      <c r="U317" s="1545"/>
      <c r="V317" s="1545"/>
      <c r="W317" s="1545"/>
      <c r="X317" s="1545"/>
      <c r="Y317" s="1545"/>
      <c r="Z317" s="1545"/>
      <c r="AA317" s="1545"/>
      <c r="AB317" s="1545"/>
      <c r="AC317" s="1545"/>
      <c r="AD317" s="1545"/>
      <c r="AE317" s="1545"/>
      <c r="AF317" s="1545"/>
      <c r="AG317" s="1545"/>
      <c r="AH317" s="1545"/>
      <c r="AI317" s="1545"/>
      <c r="AJ317" s="1545"/>
      <c r="AK317" s="1545"/>
      <c r="AL317" s="1545"/>
      <c r="AM317" s="1545"/>
      <c r="AN317" s="1545"/>
      <c r="AO317" s="1545"/>
    </row>
    <row r="318" spans="2:45" hidden="1" x14ac:dyDescent="0.35">
      <c r="B318" s="1537">
        <f t="shared" si="5"/>
        <v>313</v>
      </c>
      <c r="C318" s="1537" t="s">
        <v>1642</v>
      </c>
      <c r="D318" s="1530" t="s">
        <v>2002</v>
      </c>
      <c r="F318" s="1537">
        <v>1</v>
      </c>
      <c r="G318" s="1537" t="s">
        <v>1989</v>
      </c>
      <c r="H318" s="1537" t="s">
        <v>2000</v>
      </c>
      <c r="K318" s="1545"/>
      <c r="L318" s="1545"/>
      <c r="M318" s="1545"/>
      <c r="N318" s="1545"/>
      <c r="O318" s="1545"/>
      <c r="P318" s="1545"/>
      <c r="Q318" s="1545"/>
      <c r="R318" s="1545"/>
      <c r="S318" s="1545"/>
      <c r="T318" s="1545"/>
      <c r="U318" s="1545"/>
      <c r="V318" s="1545"/>
      <c r="W318" s="1545"/>
      <c r="X318" s="1545"/>
      <c r="Y318" s="1545"/>
      <c r="Z318" s="1545"/>
      <c r="AA318" s="1545"/>
      <c r="AB318" s="1545"/>
      <c r="AC318" s="1545"/>
      <c r="AD318" s="1545"/>
      <c r="AE318" s="1545"/>
      <c r="AF318" s="1545"/>
      <c r="AG318" s="1545"/>
      <c r="AH318" s="1545"/>
      <c r="AI318" s="1545"/>
      <c r="AJ318" s="1545"/>
      <c r="AK318" s="1545"/>
      <c r="AL318" s="1545"/>
      <c r="AM318" s="1545"/>
      <c r="AN318" s="1545"/>
      <c r="AO318" s="1545"/>
    </row>
    <row r="319" spans="2:45" hidden="1" x14ac:dyDescent="0.35">
      <c r="B319" s="1537">
        <f t="shared" si="5"/>
        <v>314</v>
      </c>
      <c r="C319" s="1537" t="s">
        <v>1642</v>
      </c>
      <c r="D319" s="1530" t="s">
        <v>2003</v>
      </c>
      <c r="F319" s="1537">
        <v>1</v>
      </c>
      <c r="G319" s="1553" t="s">
        <v>2004</v>
      </c>
      <c r="H319" s="1537" t="s">
        <v>2000</v>
      </c>
      <c r="K319" s="1545"/>
      <c r="L319" s="1545"/>
      <c r="M319" s="1545"/>
      <c r="N319" s="1545"/>
      <c r="O319" s="1545"/>
      <c r="P319" s="1545"/>
      <c r="Q319" s="1545"/>
      <c r="R319" s="1545"/>
      <c r="S319" s="1545"/>
      <c r="T319" s="1545"/>
      <c r="U319" s="1545"/>
      <c r="V319" s="1545"/>
      <c r="W319" s="1545"/>
      <c r="X319" s="1545"/>
      <c r="Y319" s="1545"/>
      <c r="Z319" s="1545"/>
      <c r="AA319" s="1545"/>
      <c r="AB319" s="1545"/>
      <c r="AC319" s="1545"/>
      <c r="AD319" s="1545"/>
      <c r="AE319" s="1545"/>
      <c r="AF319" s="1545"/>
      <c r="AG319" s="1545"/>
      <c r="AH319" s="1545"/>
      <c r="AI319" s="1545"/>
      <c r="AJ319" s="1545"/>
      <c r="AK319" s="1545"/>
      <c r="AL319" s="1545"/>
      <c r="AM319" s="1545"/>
      <c r="AN319" s="1545"/>
      <c r="AO319" s="1545"/>
    </row>
    <row r="320" spans="2:45" hidden="1" x14ac:dyDescent="0.35">
      <c r="B320" s="1537">
        <f t="shared" si="5"/>
        <v>315</v>
      </c>
      <c r="C320" s="1537" t="s">
        <v>1642</v>
      </c>
      <c r="D320" s="1530" t="s">
        <v>2005</v>
      </c>
      <c r="F320" s="1537">
        <v>1</v>
      </c>
      <c r="G320" s="1537" t="s">
        <v>1989</v>
      </c>
      <c r="H320" s="1537" t="s">
        <v>2000</v>
      </c>
      <c r="K320" s="1545"/>
      <c r="L320" s="1545"/>
      <c r="M320" s="1545"/>
      <c r="N320" s="1545"/>
      <c r="O320" s="1545"/>
      <c r="P320" s="1545"/>
      <c r="Q320" s="1545"/>
      <c r="R320" s="1545"/>
      <c r="S320" s="1545"/>
      <c r="T320" s="1545"/>
      <c r="U320" s="1545"/>
      <c r="V320" s="1545"/>
      <c r="W320" s="1545"/>
      <c r="X320" s="1545"/>
      <c r="Y320" s="1545"/>
      <c r="Z320" s="1545"/>
      <c r="AA320" s="1545"/>
      <c r="AB320" s="1545"/>
      <c r="AC320" s="1545"/>
      <c r="AD320" s="1545"/>
      <c r="AE320" s="1545"/>
      <c r="AF320" s="1545"/>
      <c r="AG320" s="1545"/>
      <c r="AH320" s="1545"/>
      <c r="AI320" s="1545"/>
      <c r="AJ320" s="1545"/>
      <c r="AK320" s="1545"/>
      <c r="AL320" s="1545"/>
      <c r="AM320" s="1545"/>
      <c r="AN320" s="1545"/>
      <c r="AO320" s="1545"/>
    </row>
    <row r="321" spans="1:45" x14ac:dyDescent="0.35">
      <c r="B321" s="1537">
        <f t="shared" si="5"/>
        <v>316</v>
      </c>
      <c r="C321" s="1537" t="s">
        <v>1642</v>
      </c>
      <c r="D321" s="1537" t="s">
        <v>2372</v>
      </c>
      <c r="E321" s="1537" t="s">
        <v>2373</v>
      </c>
      <c r="F321" s="1537">
        <v>1</v>
      </c>
      <c r="G321" s="1550" t="s">
        <v>2209</v>
      </c>
      <c r="H321" s="1537" t="s">
        <v>1990</v>
      </c>
      <c r="I321" s="1537" t="s">
        <v>1991</v>
      </c>
      <c r="K321" s="1545">
        <v>2168</v>
      </c>
      <c r="L321" s="1545">
        <v>132.46</v>
      </c>
      <c r="M321" s="1551">
        <v>0</v>
      </c>
      <c r="N321" s="1551">
        <v>280</v>
      </c>
      <c r="O321" s="1551">
        <v>272</v>
      </c>
      <c r="P321" s="1551">
        <v>304</v>
      </c>
      <c r="Q321" s="1551">
        <v>306</v>
      </c>
      <c r="R321" s="1551">
        <v>292</v>
      </c>
      <c r="S321" s="1551">
        <v>348</v>
      </c>
      <c r="T321" s="1551">
        <v>366</v>
      </c>
      <c r="U321" s="1551">
        <v>0</v>
      </c>
      <c r="V321" s="1551">
        <v>0</v>
      </c>
      <c r="W321" s="1551">
        <v>0</v>
      </c>
      <c r="X321" s="1551">
        <v>0</v>
      </c>
      <c r="Y321" s="1551">
        <v>0</v>
      </c>
      <c r="Z321" s="1551">
        <v>0</v>
      </c>
      <c r="AA321" s="1551"/>
      <c r="AB321" s="1551"/>
      <c r="AC321" s="1551"/>
      <c r="AD321" s="1551"/>
      <c r="AE321" s="1551">
        <v>10</v>
      </c>
      <c r="AF321" s="1551">
        <v>18</v>
      </c>
      <c r="AG321" s="1551">
        <v>709</v>
      </c>
      <c r="AH321" s="1551">
        <v>152</v>
      </c>
      <c r="AI321" s="1551">
        <v>1</v>
      </c>
      <c r="AJ321" s="1551">
        <v>1090</v>
      </c>
      <c r="AK321" s="1551">
        <v>188</v>
      </c>
      <c r="AL321" s="1551">
        <v>1102</v>
      </c>
      <c r="AM321" s="1551">
        <v>1066</v>
      </c>
      <c r="AN321" s="1551">
        <v>973</v>
      </c>
      <c r="AO321" s="1551">
        <v>0</v>
      </c>
      <c r="AP321" s="1537" t="s">
        <v>2374</v>
      </c>
      <c r="AQ321" s="1537" t="s">
        <v>2375</v>
      </c>
      <c r="AR321" s="1537" t="s">
        <v>2009</v>
      </c>
      <c r="AS321" s="1552" t="s">
        <v>2376</v>
      </c>
    </row>
    <row r="322" spans="1:45" x14ac:dyDescent="0.35">
      <c r="B322" s="1537">
        <f t="shared" si="5"/>
        <v>317</v>
      </c>
      <c r="C322" s="1537" t="s">
        <v>1642</v>
      </c>
      <c r="D322" s="1537" t="s">
        <v>2377</v>
      </c>
      <c r="E322" s="1537" t="s">
        <v>2378</v>
      </c>
      <c r="G322" s="1550" t="s">
        <v>2379</v>
      </c>
      <c r="H322" s="1537" t="s">
        <v>1990</v>
      </c>
      <c r="I322" s="1537" t="s">
        <v>1991</v>
      </c>
      <c r="K322" s="1545">
        <v>934</v>
      </c>
      <c r="L322" s="1545">
        <v>35.200000000000003</v>
      </c>
      <c r="M322" s="1551">
        <v>0</v>
      </c>
      <c r="N322" s="1551">
        <v>0</v>
      </c>
      <c r="O322" s="1551">
        <v>0</v>
      </c>
      <c r="P322" s="1551">
        <v>0</v>
      </c>
      <c r="Q322" s="1551">
        <v>0</v>
      </c>
      <c r="R322" s="1551">
        <v>0</v>
      </c>
      <c r="S322" s="1551">
        <v>0</v>
      </c>
      <c r="T322" s="1551">
        <v>0</v>
      </c>
      <c r="U322" s="1551">
        <v>420</v>
      </c>
      <c r="V322" s="1551">
        <v>440</v>
      </c>
      <c r="W322" s="1551">
        <v>74</v>
      </c>
      <c r="X322" s="1551">
        <v>0</v>
      </c>
      <c r="Y322" s="1551">
        <v>0</v>
      </c>
      <c r="Z322" s="1551">
        <v>0</v>
      </c>
      <c r="AA322" s="1551"/>
      <c r="AB322" s="1551"/>
      <c r="AC322" s="1551"/>
      <c r="AD322" s="1551"/>
      <c r="AE322" s="1551">
        <v>5</v>
      </c>
      <c r="AF322" s="1551">
        <v>7</v>
      </c>
      <c r="AG322" s="1551">
        <v>266</v>
      </c>
      <c r="AH322" s="1551">
        <v>68</v>
      </c>
      <c r="AI322" s="1551">
        <v>1</v>
      </c>
      <c r="AJ322" s="1551">
        <v>510</v>
      </c>
      <c r="AK322" s="1551">
        <v>77</v>
      </c>
      <c r="AL322" s="1551">
        <v>419</v>
      </c>
      <c r="AM322" s="1551">
        <v>515</v>
      </c>
      <c r="AN322" s="1551">
        <v>363</v>
      </c>
      <c r="AO322" s="1551">
        <v>0</v>
      </c>
      <c r="AP322" s="1537" t="s">
        <v>2374</v>
      </c>
      <c r="AQ322" s="1537" t="s">
        <v>2375</v>
      </c>
      <c r="AR322" s="1537" t="s">
        <v>2009</v>
      </c>
      <c r="AS322" s="1552" t="s">
        <v>2380</v>
      </c>
    </row>
    <row r="323" spans="1:45" x14ac:dyDescent="0.35">
      <c r="A323" s="1537" t="s">
        <v>2032</v>
      </c>
      <c r="B323" s="1537">
        <f t="shared" si="5"/>
        <v>318</v>
      </c>
      <c r="C323" s="1537" t="s">
        <v>1642</v>
      </c>
      <c r="D323" s="1537" t="s">
        <v>2381</v>
      </c>
      <c r="E323" s="1537" t="s">
        <v>2382</v>
      </c>
      <c r="F323" s="1537">
        <v>1</v>
      </c>
      <c r="G323" s="1550" t="s">
        <v>1989</v>
      </c>
      <c r="H323" s="1537" t="s">
        <v>1990</v>
      </c>
      <c r="I323" s="1537" t="s">
        <v>1991</v>
      </c>
      <c r="K323" s="1545">
        <v>735</v>
      </c>
      <c r="L323" s="1545">
        <v>36.909999999999997</v>
      </c>
      <c r="M323" s="1551">
        <v>0</v>
      </c>
      <c r="N323" s="1551">
        <v>30</v>
      </c>
      <c r="O323" s="1551">
        <v>33</v>
      </c>
      <c r="P323" s="1551">
        <v>49</v>
      </c>
      <c r="Q323" s="1551">
        <v>40</v>
      </c>
      <c r="R323" s="1551">
        <v>34</v>
      </c>
      <c r="S323" s="1551">
        <v>25</v>
      </c>
      <c r="T323" s="1551">
        <v>38</v>
      </c>
      <c r="U323" s="1551">
        <v>61</v>
      </c>
      <c r="V323" s="1551">
        <v>72</v>
      </c>
      <c r="W323" s="1551">
        <v>73</v>
      </c>
      <c r="X323" s="1551">
        <v>84</v>
      </c>
      <c r="Y323" s="1551">
        <v>104</v>
      </c>
      <c r="Z323" s="1551">
        <v>92</v>
      </c>
      <c r="AA323" s="1551"/>
      <c r="AB323" s="1551"/>
      <c r="AC323" s="1551"/>
      <c r="AD323" s="1551"/>
      <c r="AE323" s="1551">
        <v>2</v>
      </c>
      <c r="AF323" s="1551">
        <v>33</v>
      </c>
      <c r="AG323" s="1551">
        <v>56</v>
      </c>
      <c r="AH323" s="1551">
        <v>177</v>
      </c>
      <c r="AI323" s="1551">
        <v>2</v>
      </c>
      <c r="AJ323" s="1551">
        <v>440</v>
      </c>
      <c r="AK323" s="1551">
        <v>25</v>
      </c>
      <c r="AL323" s="1551">
        <v>354</v>
      </c>
      <c r="AM323" s="1551">
        <v>381</v>
      </c>
      <c r="AN323" s="1551" t="s">
        <v>890</v>
      </c>
      <c r="AO323" s="1551" t="s">
        <v>890</v>
      </c>
      <c r="AP323" s="1537" t="s">
        <v>2383</v>
      </c>
      <c r="AQ323" s="1537" t="s">
        <v>2384</v>
      </c>
      <c r="AR323" s="1537" t="s">
        <v>2009</v>
      </c>
      <c r="AS323" s="1552" t="s">
        <v>2385</v>
      </c>
    </row>
    <row r="324" spans="1:45" x14ac:dyDescent="0.35">
      <c r="B324" s="1537">
        <f t="shared" si="5"/>
        <v>319</v>
      </c>
      <c r="C324" s="1537" t="s">
        <v>1561</v>
      </c>
      <c r="D324" s="1537" t="s">
        <v>1854</v>
      </c>
      <c r="E324" s="1537" t="s">
        <v>2386</v>
      </c>
      <c r="F324" s="1537">
        <v>1</v>
      </c>
      <c r="G324" s="1550" t="s">
        <v>2067</v>
      </c>
      <c r="H324" s="1537" t="s">
        <v>1990</v>
      </c>
      <c r="I324" s="1537" t="s">
        <v>1991</v>
      </c>
      <c r="J324" s="1557" t="s">
        <v>2387</v>
      </c>
      <c r="K324" s="1545">
        <v>5581</v>
      </c>
      <c r="L324" s="1545" t="s">
        <v>890</v>
      </c>
      <c r="M324" s="1551">
        <v>0</v>
      </c>
      <c r="N324" s="1551">
        <v>1205</v>
      </c>
      <c r="O324" s="1551">
        <v>1115</v>
      </c>
      <c r="P324" s="1551">
        <v>1067</v>
      </c>
      <c r="Q324" s="1551">
        <v>818</v>
      </c>
      <c r="R324" s="1551">
        <v>396</v>
      </c>
      <c r="S324" s="1551">
        <v>347</v>
      </c>
      <c r="T324" s="1551">
        <v>326</v>
      </c>
      <c r="U324" s="1551">
        <v>307</v>
      </c>
      <c r="V324" s="1551">
        <v>0</v>
      </c>
      <c r="W324" s="1551">
        <v>0</v>
      </c>
      <c r="X324" s="1551">
        <v>0</v>
      </c>
      <c r="Y324" s="1551">
        <v>0</v>
      </c>
      <c r="Z324" s="1551">
        <v>0</v>
      </c>
      <c r="AA324" s="1551" t="s">
        <v>2388</v>
      </c>
      <c r="AB324" s="1551" t="s">
        <v>2389</v>
      </c>
      <c r="AC324" s="1551"/>
      <c r="AD324" s="1551"/>
      <c r="AE324" s="1551">
        <v>44</v>
      </c>
      <c r="AF324" s="1551">
        <v>235</v>
      </c>
      <c r="AG324" s="1551">
        <v>1355</v>
      </c>
      <c r="AH324" s="1551">
        <v>2483</v>
      </c>
      <c r="AI324" s="1551">
        <v>11</v>
      </c>
      <c r="AJ324" s="1551">
        <v>1232</v>
      </c>
      <c r="AK324" s="1551">
        <v>221</v>
      </c>
      <c r="AL324" s="1551">
        <v>2770</v>
      </c>
      <c r="AM324" s="1551">
        <v>2811</v>
      </c>
      <c r="AN324" s="1551" t="s">
        <v>890</v>
      </c>
      <c r="AO324" s="1551" t="s">
        <v>890</v>
      </c>
      <c r="AP324" s="1537" t="s">
        <v>2390</v>
      </c>
      <c r="AQ324" s="1552" t="s">
        <v>890</v>
      </c>
      <c r="AR324" s="1552"/>
      <c r="AS324" s="1552" t="s">
        <v>2391</v>
      </c>
    </row>
    <row r="325" spans="1:45" x14ac:dyDescent="0.35">
      <c r="B325" s="1537">
        <f t="shared" si="5"/>
        <v>320</v>
      </c>
      <c r="C325" s="1537" t="s">
        <v>1561</v>
      </c>
      <c r="D325" s="1537" t="s">
        <v>1841</v>
      </c>
      <c r="E325" s="1537" t="s">
        <v>2392</v>
      </c>
      <c r="F325" s="1537">
        <v>1</v>
      </c>
      <c r="G325" s="1550" t="s">
        <v>2393</v>
      </c>
      <c r="H325" s="1537" t="s">
        <v>1990</v>
      </c>
      <c r="I325" s="1537" t="s">
        <v>1991</v>
      </c>
      <c r="J325" s="1537">
        <v>2031</v>
      </c>
      <c r="K325" s="1545">
        <v>14830</v>
      </c>
      <c r="L325" s="1545" t="s">
        <v>890</v>
      </c>
      <c r="M325" s="1551">
        <v>0</v>
      </c>
      <c r="N325" s="1551">
        <v>0</v>
      </c>
      <c r="O325" s="1551">
        <v>0</v>
      </c>
      <c r="P325" s="1551">
        <v>0</v>
      </c>
      <c r="Q325" s="1551">
        <v>193</v>
      </c>
      <c r="R325" s="1551">
        <v>453</v>
      </c>
      <c r="S325" s="1551">
        <v>664</v>
      </c>
      <c r="T325" s="1551">
        <v>983</v>
      </c>
      <c r="U325" s="1551">
        <v>1677</v>
      </c>
      <c r="V325" s="1551">
        <v>2184</v>
      </c>
      <c r="W325" s="1551">
        <v>2864</v>
      </c>
      <c r="X325" s="1551">
        <v>2239</v>
      </c>
      <c r="Y325" s="1551">
        <v>1993</v>
      </c>
      <c r="Z325" s="1551">
        <v>1580</v>
      </c>
      <c r="AA325" s="1551"/>
      <c r="AB325" s="1551"/>
      <c r="AC325" s="1551"/>
      <c r="AD325" s="1551"/>
      <c r="AE325" s="1551">
        <v>83</v>
      </c>
      <c r="AF325" s="1551">
        <v>241</v>
      </c>
      <c r="AG325" s="1551">
        <v>2726</v>
      </c>
      <c r="AH325" s="1551">
        <v>6894</v>
      </c>
      <c r="AI325" s="1551">
        <v>25</v>
      </c>
      <c r="AJ325" s="1551">
        <v>4280</v>
      </c>
      <c r="AK325" s="1551">
        <v>581</v>
      </c>
      <c r="AL325" s="1551">
        <v>6516</v>
      </c>
      <c r="AM325" s="1551">
        <v>8314</v>
      </c>
      <c r="AN325" s="1551" t="s">
        <v>890</v>
      </c>
      <c r="AO325" s="1551" t="s">
        <v>890</v>
      </c>
      <c r="AP325" s="1537" t="s">
        <v>2394</v>
      </c>
      <c r="AQ325" s="1552" t="s">
        <v>2395</v>
      </c>
      <c r="AR325" s="1552"/>
      <c r="AS325" s="1552" t="s">
        <v>2396</v>
      </c>
    </row>
    <row r="326" spans="1:45" x14ac:dyDescent="0.35">
      <c r="B326" s="1537">
        <f t="shared" si="5"/>
        <v>321</v>
      </c>
      <c r="C326" s="1537" t="s">
        <v>1561</v>
      </c>
      <c r="D326" s="1537" t="s">
        <v>1856</v>
      </c>
      <c r="E326" s="1537" t="s">
        <v>2397</v>
      </c>
      <c r="F326" s="1537">
        <v>1</v>
      </c>
      <c r="G326" s="1550" t="s">
        <v>2393</v>
      </c>
      <c r="H326" s="1537" t="s">
        <v>1990</v>
      </c>
      <c r="I326" s="1537" t="s">
        <v>1991</v>
      </c>
      <c r="K326" s="1545">
        <v>1334</v>
      </c>
      <c r="L326" s="1545" t="s">
        <v>890</v>
      </c>
      <c r="M326" s="1551">
        <v>0</v>
      </c>
      <c r="N326" s="1551">
        <v>0</v>
      </c>
      <c r="O326" s="1551">
        <v>0</v>
      </c>
      <c r="P326" s="1551">
        <v>0</v>
      </c>
      <c r="Q326" s="1551">
        <v>82</v>
      </c>
      <c r="R326" s="1551">
        <v>647</v>
      </c>
      <c r="S326" s="1551">
        <v>605</v>
      </c>
      <c r="T326" s="1551">
        <v>0</v>
      </c>
      <c r="U326" s="1551">
        <v>0</v>
      </c>
      <c r="V326" s="1551">
        <v>0</v>
      </c>
      <c r="W326" s="1551">
        <v>0</v>
      </c>
      <c r="X326" s="1551">
        <v>0</v>
      </c>
      <c r="Y326" s="1551">
        <v>0</v>
      </c>
      <c r="Z326" s="1551">
        <v>0</v>
      </c>
      <c r="AA326" s="1551"/>
      <c r="AB326" s="1551"/>
      <c r="AC326" s="1551"/>
      <c r="AD326" s="1551"/>
      <c r="AE326" s="1551">
        <v>12</v>
      </c>
      <c r="AF326" s="1551">
        <v>74</v>
      </c>
      <c r="AG326" s="1551">
        <v>251</v>
      </c>
      <c r="AH326" s="1551">
        <v>655</v>
      </c>
      <c r="AI326" s="1551">
        <v>2</v>
      </c>
      <c r="AJ326" s="1551">
        <v>308</v>
      </c>
      <c r="AK326" s="1551">
        <v>32</v>
      </c>
      <c r="AL326" s="1551">
        <v>664</v>
      </c>
      <c r="AM326" s="1551">
        <v>670</v>
      </c>
      <c r="AN326" s="1551">
        <v>815</v>
      </c>
      <c r="AO326" s="1551">
        <v>27</v>
      </c>
      <c r="AP326" s="1537" t="s">
        <v>2398</v>
      </c>
      <c r="AQ326" s="1537" t="s">
        <v>890</v>
      </c>
      <c r="AS326" s="1552" t="s">
        <v>2399</v>
      </c>
    </row>
    <row r="327" spans="1:45" x14ac:dyDescent="0.35">
      <c r="B327" s="1537">
        <f t="shared" si="5"/>
        <v>322</v>
      </c>
      <c r="C327" s="1537" t="s">
        <v>1561</v>
      </c>
      <c r="D327" s="1537" t="s">
        <v>1857</v>
      </c>
      <c r="E327" s="1537" t="s">
        <v>2400</v>
      </c>
      <c r="F327" s="1537">
        <v>1</v>
      </c>
      <c r="G327" s="1550" t="s">
        <v>2401</v>
      </c>
      <c r="H327" s="1537" t="s">
        <v>1990</v>
      </c>
      <c r="I327" s="1537" t="s">
        <v>890</v>
      </c>
      <c r="K327" s="1545">
        <v>227</v>
      </c>
      <c r="L327" s="1545"/>
      <c r="M327" s="1551">
        <v>0</v>
      </c>
      <c r="N327" s="1551">
        <v>0</v>
      </c>
      <c r="O327" s="1551">
        <v>0</v>
      </c>
      <c r="P327" s="1551">
        <v>0</v>
      </c>
      <c r="Q327" s="1551">
        <v>0</v>
      </c>
      <c r="R327" s="1551">
        <v>0</v>
      </c>
      <c r="S327" s="1551">
        <v>18</v>
      </c>
      <c r="T327" s="1551">
        <v>9</v>
      </c>
      <c r="U327" s="1551">
        <v>20</v>
      </c>
      <c r="V327" s="1551">
        <v>44</v>
      </c>
      <c r="W327" s="1551">
        <v>25</v>
      </c>
      <c r="X327" s="1551">
        <v>36</v>
      </c>
      <c r="Y327" s="1551">
        <v>42</v>
      </c>
      <c r="Z327" s="1551">
        <v>33</v>
      </c>
      <c r="AA327" s="1551"/>
      <c r="AB327" s="1551"/>
      <c r="AC327" s="1551"/>
      <c r="AD327" s="1551"/>
      <c r="AE327" s="1551">
        <v>0</v>
      </c>
      <c r="AF327" s="1551">
        <v>2</v>
      </c>
      <c r="AG327" s="1551">
        <v>30</v>
      </c>
      <c r="AH327" s="1551">
        <v>82</v>
      </c>
      <c r="AI327" s="1551">
        <v>1</v>
      </c>
      <c r="AJ327" s="1551">
        <v>103</v>
      </c>
      <c r="AK327" s="1551">
        <v>9</v>
      </c>
      <c r="AL327" s="1551">
        <v>83</v>
      </c>
      <c r="AM327" s="1551">
        <v>144</v>
      </c>
      <c r="AN327" s="1551">
        <v>123</v>
      </c>
      <c r="AO327" s="1551">
        <v>8</v>
      </c>
      <c r="AP327" s="1537" t="s">
        <v>2402</v>
      </c>
      <c r="AQ327" s="1537" t="s">
        <v>890</v>
      </c>
      <c r="AS327" s="1552" t="s">
        <v>2403</v>
      </c>
    </row>
    <row r="328" spans="1:45" hidden="1" x14ac:dyDescent="0.35">
      <c r="B328" s="1537">
        <f t="shared" ref="B328:B383" si="6">+B327+1</f>
        <v>323</v>
      </c>
      <c r="C328" s="1537" t="s">
        <v>1561</v>
      </c>
      <c r="D328" s="1530" t="s">
        <v>1998</v>
      </c>
      <c r="F328" s="1537">
        <v>1</v>
      </c>
      <c r="G328" s="1537" t="s">
        <v>1999</v>
      </c>
      <c r="H328" s="1537" t="s">
        <v>2000</v>
      </c>
      <c r="K328" s="1545"/>
      <c r="L328" s="1545"/>
      <c r="M328" s="1545"/>
      <c r="N328" s="1545"/>
      <c r="O328" s="1545"/>
      <c r="P328" s="1545"/>
      <c r="Q328" s="1545"/>
      <c r="R328" s="1545"/>
      <c r="S328" s="1545"/>
      <c r="T328" s="1545"/>
      <c r="U328" s="1545"/>
      <c r="V328" s="1545"/>
      <c r="W328" s="1545"/>
      <c r="X328" s="1545"/>
      <c r="Y328" s="1545"/>
      <c r="Z328" s="1545"/>
      <c r="AA328" s="1545"/>
      <c r="AB328" s="1545"/>
      <c r="AC328" s="1545"/>
      <c r="AD328" s="1545"/>
      <c r="AE328" s="1545"/>
      <c r="AF328" s="1545"/>
      <c r="AG328" s="1545"/>
      <c r="AH328" s="1545"/>
      <c r="AI328" s="1545"/>
      <c r="AJ328" s="1545"/>
      <c r="AK328" s="1545"/>
      <c r="AL328" s="1545"/>
      <c r="AM328" s="1545"/>
      <c r="AN328" s="1545"/>
      <c r="AO328" s="1545"/>
    </row>
    <row r="329" spans="1:45" hidden="1" x14ac:dyDescent="0.35">
      <c r="B329" s="1537">
        <f t="shared" si="6"/>
        <v>324</v>
      </c>
      <c r="C329" s="1537" t="s">
        <v>1561</v>
      </c>
      <c r="D329" s="1530" t="s">
        <v>2001</v>
      </c>
      <c r="F329" s="1537">
        <v>1</v>
      </c>
      <c r="G329" s="1537" t="s">
        <v>1989</v>
      </c>
      <c r="H329" s="1537" t="s">
        <v>2000</v>
      </c>
      <c r="K329" s="1545"/>
      <c r="L329" s="1545"/>
      <c r="M329" s="1545"/>
      <c r="N329" s="1545"/>
      <c r="O329" s="1545"/>
      <c r="P329" s="1545"/>
      <c r="Q329" s="1545"/>
      <c r="R329" s="1545"/>
      <c r="S329" s="1545"/>
      <c r="T329" s="1545"/>
      <c r="U329" s="1545"/>
      <c r="V329" s="1545"/>
      <c r="W329" s="1545"/>
      <c r="X329" s="1545"/>
      <c r="Y329" s="1545"/>
      <c r="Z329" s="1545"/>
      <c r="AA329" s="1545"/>
      <c r="AB329" s="1545"/>
      <c r="AC329" s="1545"/>
      <c r="AD329" s="1545"/>
      <c r="AE329" s="1545"/>
      <c r="AF329" s="1545"/>
      <c r="AG329" s="1545"/>
      <c r="AH329" s="1545"/>
      <c r="AI329" s="1545"/>
      <c r="AJ329" s="1545"/>
      <c r="AK329" s="1545"/>
      <c r="AL329" s="1545"/>
      <c r="AM329" s="1545"/>
      <c r="AN329" s="1545"/>
      <c r="AO329" s="1545"/>
    </row>
    <row r="330" spans="1:45" hidden="1" x14ac:dyDescent="0.35">
      <c r="B330" s="1537">
        <f t="shared" si="6"/>
        <v>325</v>
      </c>
      <c r="C330" s="1537" t="s">
        <v>1561</v>
      </c>
      <c r="D330" s="1558" t="s">
        <v>2002</v>
      </c>
      <c r="E330" s="1537" t="s">
        <v>2404</v>
      </c>
      <c r="F330" s="1537">
        <v>1</v>
      </c>
      <c r="G330" s="1537" t="s">
        <v>1989</v>
      </c>
      <c r="H330" s="1537" t="s">
        <v>2000</v>
      </c>
      <c r="I330" s="1537" t="s">
        <v>1991</v>
      </c>
      <c r="K330" s="1545">
        <v>508</v>
      </c>
      <c r="L330" s="1545">
        <v>52</v>
      </c>
      <c r="M330" s="1545">
        <v>65</v>
      </c>
      <c r="N330" s="1545">
        <v>34</v>
      </c>
      <c r="O330" s="1545">
        <v>36</v>
      </c>
      <c r="P330" s="1545">
        <v>34</v>
      </c>
      <c r="Q330" s="1545">
        <v>34</v>
      </c>
      <c r="R330" s="1545">
        <v>38</v>
      </c>
      <c r="S330" s="1545">
        <v>33</v>
      </c>
      <c r="T330" s="1545">
        <v>29</v>
      </c>
      <c r="U330" s="1545">
        <v>38</v>
      </c>
      <c r="V330" s="1545">
        <v>40</v>
      </c>
      <c r="W330" s="1545">
        <v>26</v>
      </c>
      <c r="X330" s="1545">
        <v>35</v>
      </c>
      <c r="Y330" s="1545">
        <v>34</v>
      </c>
      <c r="Z330" s="1545">
        <v>32</v>
      </c>
      <c r="AA330" s="1545"/>
      <c r="AB330" s="1545"/>
      <c r="AC330" s="1545"/>
      <c r="AD330" s="1545"/>
      <c r="AE330" s="1545">
        <v>0</v>
      </c>
      <c r="AF330" s="1545">
        <v>87</v>
      </c>
      <c r="AG330" s="1545">
        <v>13</v>
      </c>
      <c r="AH330" s="1545">
        <v>109</v>
      </c>
      <c r="AI330" s="1545">
        <v>165</v>
      </c>
      <c r="AJ330" s="1545">
        <v>3</v>
      </c>
      <c r="AK330" s="1545">
        <v>66</v>
      </c>
      <c r="AL330" s="1545" t="s">
        <v>890</v>
      </c>
      <c r="AM330" s="1545" t="s">
        <v>890</v>
      </c>
      <c r="AN330" s="1545" t="s">
        <v>890</v>
      </c>
      <c r="AO330" s="1545" t="s">
        <v>890</v>
      </c>
      <c r="AP330" s="1537" t="s">
        <v>2405</v>
      </c>
      <c r="AQ330" s="1537" t="s">
        <v>890</v>
      </c>
      <c r="AS330" s="1552" t="s">
        <v>2406</v>
      </c>
    </row>
    <row r="331" spans="1:45" hidden="1" x14ac:dyDescent="0.35">
      <c r="B331" s="1537">
        <f t="shared" si="6"/>
        <v>326</v>
      </c>
      <c r="C331" s="1537" t="s">
        <v>1561</v>
      </c>
      <c r="D331" s="1530" t="s">
        <v>2003</v>
      </c>
      <c r="F331" s="1537">
        <v>1</v>
      </c>
      <c r="G331" s="1553" t="s">
        <v>2004</v>
      </c>
      <c r="H331" s="1537" t="s">
        <v>2000</v>
      </c>
      <c r="K331" s="1545"/>
      <c r="L331" s="1545"/>
      <c r="M331" s="1545"/>
      <c r="N331" s="1545"/>
      <c r="O331" s="1545"/>
      <c r="P331" s="1545"/>
      <c r="Q331" s="1545"/>
      <c r="R331" s="1545"/>
      <c r="S331" s="1545"/>
      <c r="T331" s="1545"/>
      <c r="U331" s="1545"/>
      <c r="V331" s="1545"/>
      <c r="W331" s="1545"/>
      <c r="X331" s="1545"/>
      <c r="Y331" s="1545"/>
      <c r="Z331" s="1545"/>
      <c r="AA331" s="1545"/>
      <c r="AB331" s="1545"/>
      <c r="AC331" s="1545"/>
      <c r="AD331" s="1545"/>
      <c r="AE331" s="1545"/>
      <c r="AF331" s="1545"/>
      <c r="AG331" s="1545"/>
      <c r="AH331" s="1545"/>
      <c r="AI331" s="1545"/>
      <c r="AJ331" s="1545"/>
      <c r="AK331" s="1545"/>
      <c r="AL331" s="1545"/>
      <c r="AM331" s="1545"/>
      <c r="AN331" s="1545"/>
      <c r="AO331" s="1545"/>
    </row>
    <row r="332" spans="1:45" hidden="1" x14ac:dyDescent="0.35">
      <c r="B332" s="1537">
        <f t="shared" si="6"/>
        <v>327</v>
      </c>
      <c r="C332" s="1537" t="s">
        <v>1561</v>
      </c>
      <c r="D332" s="1530" t="s">
        <v>2005</v>
      </c>
      <c r="F332" s="1537">
        <v>1</v>
      </c>
      <c r="G332" s="1537" t="s">
        <v>1999</v>
      </c>
      <c r="H332" s="1537" t="s">
        <v>2000</v>
      </c>
      <c r="K332" s="1545"/>
      <c r="L332" s="1545"/>
      <c r="M332" s="1545"/>
      <c r="N332" s="1545"/>
      <c r="O332" s="1545"/>
      <c r="P332" s="1545"/>
      <c r="Q332" s="1545"/>
      <c r="R332" s="1545"/>
      <c r="S332" s="1545"/>
      <c r="T332" s="1545"/>
      <c r="U332" s="1545"/>
      <c r="V332" s="1545"/>
      <c r="W332" s="1545"/>
      <c r="X332" s="1545"/>
      <c r="Y332" s="1545"/>
      <c r="Z332" s="1545"/>
      <c r="AA332" s="1545"/>
      <c r="AB332" s="1545"/>
      <c r="AC332" s="1545"/>
      <c r="AD332" s="1545"/>
      <c r="AE332" s="1545"/>
      <c r="AF332" s="1545"/>
      <c r="AG332" s="1545"/>
      <c r="AH332" s="1545"/>
      <c r="AI332" s="1545"/>
      <c r="AJ332" s="1545"/>
      <c r="AK332" s="1545"/>
      <c r="AL332" s="1545"/>
      <c r="AM332" s="1545"/>
      <c r="AN332" s="1545"/>
      <c r="AO332" s="1545"/>
    </row>
    <row r="333" spans="1:45" hidden="1" x14ac:dyDescent="0.35">
      <c r="B333" s="1537">
        <f t="shared" si="6"/>
        <v>328</v>
      </c>
      <c r="C333" s="1537" t="s">
        <v>2407</v>
      </c>
      <c r="D333" s="1530" t="s">
        <v>2002</v>
      </c>
      <c r="F333" s="1537">
        <v>1</v>
      </c>
      <c r="G333" s="1537" t="s">
        <v>1989</v>
      </c>
      <c r="H333" s="1537" t="s">
        <v>2000</v>
      </c>
      <c r="K333" s="1545"/>
      <c r="L333" s="1545"/>
      <c r="M333" s="1545"/>
      <c r="N333" s="1545"/>
      <c r="O333" s="1545"/>
      <c r="P333" s="1545"/>
      <c r="Q333" s="1545"/>
      <c r="R333" s="1545"/>
      <c r="S333" s="1545"/>
      <c r="T333" s="1545"/>
      <c r="U333" s="1545"/>
      <c r="V333" s="1545"/>
      <c r="W333" s="1545"/>
      <c r="X333" s="1545"/>
      <c r="Y333" s="1545"/>
      <c r="Z333" s="1545"/>
      <c r="AA333" s="1545"/>
      <c r="AB333" s="1545"/>
      <c r="AC333" s="1545"/>
      <c r="AD333" s="1545"/>
      <c r="AE333" s="1545"/>
      <c r="AF333" s="1545"/>
      <c r="AG333" s="1545"/>
      <c r="AH333" s="1545"/>
      <c r="AI333" s="1545"/>
      <c r="AJ333" s="1545"/>
      <c r="AK333" s="1545"/>
      <c r="AL333" s="1545"/>
      <c r="AM333" s="1545"/>
      <c r="AN333" s="1545"/>
      <c r="AO333" s="1545"/>
    </row>
    <row r="334" spans="1:45" hidden="1" x14ac:dyDescent="0.35">
      <c r="B334" s="1537">
        <f t="shared" si="6"/>
        <v>329</v>
      </c>
      <c r="C334" s="1537" t="s">
        <v>2407</v>
      </c>
      <c r="D334" s="1530" t="s">
        <v>2003</v>
      </c>
      <c r="F334" s="1537">
        <v>1</v>
      </c>
      <c r="G334" s="1553" t="s">
        <v>2004</v>
      </c>
      <c r="H334" s="1537" t="s">
        <v>2000</v>
      </c>
      <c r="K334" s="1545"/>
      <c r="L334" s="1545"/>
      <c r="M334" s="1545"/>
      <c r="N334" s="1545"/>
      <c r="O334" s="1545"/>
      <c r="P334" s="1545"/>
      <c r="Q334" s="1545"/>
      <c r="R334" s="1545"/>
      <c r="S334" s="1545"/>
      <c r="T334" s="1545"/>
      <c r="U334" s="1545"/>
      <c r="V334" s="1545"/>
      <c r="W334" s="1545"/>
      <c r="X334" s="1545"/>
      <c r="Y334" s="1545"/>
      <c r="Z334" s="1545"/>
      <c r="AA334" s="1545"/>
      <c r="AB334" s="1545"/>
      <c r="AC334" s="1545"/>
      <c r="AD334" s="1545"/>
      <c r="AE334" s="1545"/>
      <c r="AF334" s="1545"/>
      <c r="AG334" s="1545"/>
      <c r="AH334" s="1545"/>
      <c r="AI334" s="1545"/>
      <c r="AJ334" s="1545"/>
      <c r="AK334" s="1545"/>
      <c r="AL334" s="1545"/>
      <c r="AM334" s="1545"/>
      <c r="AN334" s="1545"/>
      <c r="AO334" s="1545"/>
    </row>
    <row r="335" spans="1:45" x14ac:dyDescent="0.35">
      <c r="B335" s="1537">
        <f t="shared" si="6"/>
        <v>330</v>
      </c>
      <c r="C335" s="1537" t="s">
        <v>1643</v>
      </c>
      <c r="D335" s="1537" t="s">
        <v>2408</v>
      </c>
      <c r="E335" s="1537" t="s">
        <v>2408</v>
      </c>
      <c r="F335" s="1537">
        <v>1</v>
      </c>
      <c r="G335" s="1539" t="s">
        <v>1989</v>
      </c>
      <c r="H335" s="1537" t="s">
        <v>1990</v>
      </c>
      <c r="I335" s="1537" t="s">
        <v>1991</v>
      </c>
      <c r="K335" s="1545">
        <v>1772</v>
      </c>
      <c r="L335" s="1545">
        <v>93.02</v>
      </c>
      <c r="M335" s="1551">
        <v>0</v>
      </c>
      <c r="N335" s="1551">
        <v>58</v>
      </c>
      <c r="O335" s="1551">
        <v>83</v>
      </c>
      <c r="P335" s="1551">
        <v>73</v>
      </c>
      <c r="Q335" s="1551">
        <v>77</v>
      </c>
      <c r="R335" s="1551">
        <v>89</v>
      </c>
      <c r="S335" s="1551">
        <v>104</v>
      </c>
      <c r="T335" s="1551">
        <v>116</v>
      </c>
      <c r="U335" s="1551">
        <v>133</v>
      </c>
      <c r="V335" s="1551">
        <v>181</v>
      </c>
      <c r="W335" s="1551">
        <v>203</v>
      </c>
      <c r="X335" s="1551">
        <v>210</v>
      </c>
      <c r="Y335" s="1551">
        <v>242</v>
      </c>
      <c r="Z335" s="1551">
        <v>203</v>
      </c>
      <c r="AA335" s="1551"/>
      <c r="AB335" s="1551"/>
      <c r="AC335" s="1551"/>
      <c r="AD335" s="1551"/>
      <c r="AE335" s="1551">
        <v>24</v>
      </c>
      <c r="AF335" s="1551">
        <v>8</v>
      </c>
      <c r="AG335" s="1551">
        <v>37</v>
      </c>
      <c r="AH335" s="1551">
        <v>86</v>
      </c>
      <c r="AI335" s="1551">
        <v>29</v>
      </c>
      <c r="AJ335" s="1551">
        <v>1477</v>
      </c>
      <c r="AK335" s="1551">
        <v>111</v>
      </c>
      <c r="AL335" s="1551">
        <v>865</v>
      </c>
      <c r="AM335" s="1551">
        <v>907</v>
      </c>
      <c r="AN335" s="1551">
        <v>785</v>
      </c>
      <c r="AO335" s="1551">
        <v>0</v>
      </c>
      <c r="AP335" s="1537" t="s">
        <v>2409</v>
      </c>
      <c r="AQ335" s="1537" t="s">
        <v>2410</v>
      </c>
      <c r="AR335" s="1537" t="s">
        <v>2009</v>
      </c>
      <c r="AS335" s="1552" t="s">
        <v>2411</v>
      </c>
    </row>
    <row r="336" spans="1:45" x14ac:dyDescent="0.35">
      <c r="A336" s="1537" t="s">
        <v>2020</v>
      </c>
      <c r="B336" s="1537">
        <f t="shared" si="6"/>
        <v>331</v>
      </c>
      <c r="C336" s="1537" t="s">
        <v>1643</v>
      </c>
      <c r="D336" s="1530" t="s">
        <v>2412</v>
      </c>
      <c r="F336" s="1537">
        <v>1</v>
      </c>
      <c r="G336" s="1550" t="s">
        <v>2013</v>
      </c>
      <c r="H336" s="1537" t="s">
        <v>1990</v>
      </c>
      <c r="K336" s="1545"/>
      <c r="L336" s="1545"/>
      <c r="M336" s="1551"/>
      <c r="N336" s="1551"/>
      <c r="O336" s="1551"/>
      <c r="P336" s="1551"/>
      <c r="Q336" s="1551"/>
      <c r="R336" s="1551"/>
      <c r="S336" s="1551"/>
      <c r="T336" s="1551"/>
      <c r="U336" s="1551"/>
      <c r="V336" s="1551"/>
      <c r="W336" s="1551"/>
      <c r="X336" s="1551"/>
      <c r="Y336" s="1551"/>
      <c r="Z336" s="1551"/>
      <c r="AA336" s="1551"/>
      <c r="AB336" s="1551"/>
      <c r="AC336" s="1551"/>
      <c r="AD336" s="1551"/>
      <c r="AE336" s="1551"/>
      <c r="AF336" s="1551"/>
      <c r="AG336" s="1551"/>
      <c r="AH336" s="1551"/>
      <c r="AI336" s="1551"/>
      <c r="AJ336" s="1551"/>
      <c r="AK336" s="1551"/>
      <c r="AL336" s="1551"/>
      <c r="AM336" s="1551"/>
      <c r="AN336" s="1551"/>
      <c r="AO336" s="1551"/>
      <c r="AS336" s="1537" t="s">
        <v>1241</v>
      </c>
    </row>
    <row r="337" spans="2:45" hidden="1" x14ac:dyDescent="0.35">
      <c r="B337" s="1537">
        <f t="shared" si="6"/>
        <v>332</v>
      </c>
      <c r="C337" s="1537" t="s">
        <v>1643</v>
      </c>
      <c r="D337" s="1530" t="s">
        <v>1998</v>
      </c>
      <c r="F337" s="1537">
        <v>1</v>
      </c>
      <c r="G337" s="1553" t="s">
        <v>1999</v>
      </c>
      <c r="H337" s="1537" t="s">
        <v>2000</v>
      </c>
      <c r="K337" s="1545"/>
      <c r="L337" s="1545"/>
      <c r="M337" s="1545"/>
      <c r="N337" s="1545"/>
      <c r="O337" s="1545"/>
      <c r="P337" s="1545"/>
      <c r="Q337" s="1545"/>
      <c r="R337" s="1545"/>
      <c r="S337" s="1545"/>
      <c r="T337" s="1545"/>
      <c r="U337" s="1545"/>
      <c r="V337" s="1545"/>
      <c r="W337" s="1545"/>
      <c r="X337" s="1545"/>
      <c r="Y337" s="1545"/>
      <c r="Z337" s="1545"/>
      <c r="AA337" s="1545"/>
      <c r="AB337" s="1545"/>
      <c r="AC337" s="1545"/>
      <c r="AD337" s="1545"/>
      <c r="AE337" s="1545"/>
      <c r="AF337" s="1545"/>
      <c r="AG337" s="1545"/>
      <c r="AH337" s="1545"/>
      <c r="AI337" s="1545"/>
      <c r="AJ337" s="1545"/>
      <c r="AK337" s="1545"/>
      <c r="AL337" s="1545"/>
      <c r="AM337" s="1545"/>
      <c r="AN337" s="1545"/>
      <c r="AO337" s="1545"/>
    </row>
    <row r="338" spans="2:45" hidden="1" x14ac:dyDescent="0.35">
      <c r="B338" s="1537">
        <f t="shared" si="6"/>
        <v>333</v>
      </c>
      <c r="C338" s="1537" t="s">
        <v>1643</v>
      </c>
      <c r="D338" s="1530" t="s">
        <v>2001</v>
      </c>
      <c r="F338" s="1537">
        <v>1</v>
      </c>
      <c r="G338" s="1553" t="s">
        <v>1989</v>
      </c>
      <c r="H338" s="1537" t="s">
        <v>2000</v>
      </c>
      <c r="K338" s="1545"/>
      <c r="L338" s="1545"/>
      <c r="M338" s="1545"/>
      <c r="N338" s="1545"/>
      <c r="O338" s="1545"/>
      <c r="P338" s="1545"/>
      <c r="Q338" s="1545"/>
      <c r="R338" s="1545"/>
      <c r="S338" s="1545"/>
      <c r="T338" s="1545"/>
      <c r="U338" s="1545"/>
      <c r="V338" s="1545"/>
      <c r="W338" s="1545"/>
      <c r="X338" s="1545"/>
      <c r="Y338" s="1545"/>
      <c r="Z338" s="1545"/>
      <c r="AA338" s="1545"/>
      <c r="AB338" s="1545"/>
      <c r="AC338" s="1545"/>
      <c r="AD338" s="1545"/>
      <c r="AE338" s="1545"/>
      <c r="AF338" s="1545"/>
      <c r="AG338" s="1545"/>
      <c r="AH338" s="1545"/>
      <c r="AI338" s="1545"/>
      <c r="AJ338" s="1545"/>
      <c r="AK338" s="1545"/>
      <c r="AL338" s="1545"/>
      <c r="AM338" s="1545"/>
      <c r="AN338" s="1545"/>
      <c r="AO338" s="1545"/>
    </row>
    <row r="339" spans="2:45" hidden="1" x14ac:dyDescent="0.35">
      <c r="B339" s="1537">
        <f t="shared" si="6"/>
        <v>334</v>
      </c>
      <c r="C339" s="1537" t="s">
        <v>1643</v>
      </c>
      <c r="D339" s="1530" t="s">
        <v>2002</v>
      </c>
      <c r="F339" s="1537">
        <v>1</v>
      </c>
      <c r="G339" s="1553" t="s">
        <v>1989</v>
      </c>
      <c r="H339" s="1537" t="s">
        <v>2000</v>
      </c>
      <c r="K339" s="1545"/>
      <c r="L339" s="1545"/>
      <c r="M339" s="1545"/>
      <c r="N339" s="1545"/>
      <c r="O339" s="1545"/>
      <c r="P339" s="1545"/>
      <c r="Q339" s="1545"/>
      <c r="R339" s="1545"/>
      <c r="S339" s="1545"/>
      <c r="T339" s="1545"/>
      <c r="U339" s="1545"/>
      <c r="V339" s="1545"/>
      <c r="W339" s="1545"/>
      <c r="X339" s="1545"/>
      <c r="Y339" s="1545"/>
      <c r="Z339" s="1545"/>
      <c r="AA339" s="1545"/>
      <c r="AB339" s="1545"/>
      <c r="AC339" s="1545"/>
      <c r="AD339" s="1545"/>
      <c r="AE339" s="1545"/>
      <c r="AF339" s="1545"/>
      <c r="AG339" s="1545"/>
      <c r="AH339" s="1545"/>
      <c r="AI339" s="1545"/>
      <c r="AJ339" s="1545"/>
      <c r="AK339" s="1545"/>
      <c r="AL339" s="1545"/>
      <c r="AM339" s="1545"/>
      <c r="AN339" s="1545"/>
      <c r="AO339" s="1545"/>
    </row>
    <row r="340" spans="2:45" hidden="1" x14ac:dyDescent="0.35">
      <c r="B340" s="1537">
        <f t="shared" si="6"/>
        <v>335</v>
      </c>
      <c r="C340" s="1537" t="s">
        <v>1643</v>
      </c>
      <c r="D340" s="1530" t="s">
        <v>2003</v>
      </c>
      <c r="F340" s="1537">
        <v>1</v>
      </c>
      <c r="G340" s="1553" t="s">
        <v>2004</v>
      </c>
      <c r="H340" s="1537" t="s">
        <v>2000</v>
      </c>
      <c r="K340" s="1545"/>
      <c r="L340" s="1545"/>
      <c r="M340" s="1545"/>
      <c r="N340" s="1545"/>
      <c r="O340" s="1545"/>
      <c r="P340" s="1545"/>
      <c r="Q340" s="1545"/>
      <c r="R340" s="1545"/>
      <c r="S340" s="1545"/>
      <c r="T340" s="1545"/>
      <c r="U340" s="1545"/>
      <c r="V340" s="1545"/>
      <c r="W340" s="1545"/>
      <c r="X340" s="1545"/>
      <c r="Y340" s="1545"/>
      <c r="Z340" s="1545"/>
      <c r="AA340" s="1545"/>
      <c r="AB340" s="1545"/>
      <c r="AC340" s="1545"/>
      <c r="AD340" s="1545"/>
      <c r="AE340" s="1545"/>
      <c r="AF340" s="1545"/>
      <c r="AG340" s="1545"/>
      <c r="AH340" s="1545"/>
      <c r="AI340" s="1545"/>
      <c r="AJ340" s="1545"/>
      <c r="AK340" s="1545"/>
      <c r="AL340" s="1545"/>
      <c r="AM340" s="1545"/>
      <c r="AN340" s="1545"/>
      <c r="AO340" s="1545"/>
    </row>
    <row r="341" spans="2:45" hidden="1" x14ac:dyDescent="0.35">
      <c r="B341" s="1537">
        <f t="shared" si="6"/>
        <v>336</v>
      </c>
      <c r="C341" s="1537" t="s">
        <v>1643</v>
      </c>
      <c r="D341" s="1530" t="s">
        <v>2005</v>
      </c>
      <c r="F341" s="1537">
        <v>1</v>
      </c>
      <c r="G341" s="1553" t="s">
        <v>1999</v>
      </c>
      <c r="H341" s="1537" t="s">
        <v>2000</v>
      </c>
      <c r="K341" s="1545"/>
      <c r="L341" s="1545"/>
      <c r="M341" s="1545"/>
      <c r="N341" s="1545"/>
      <c r="O341" s="1545"/>
      <c r="P341" s="1545"/>
      <c r="Q341" s="1545"/>
      <c r="R341" s="1545"/>
      <c r="S341" s="1545"/>
      <c r="T341" s="1545"/>
      <c r="U341" s="1545"/>
      <c r="V341" s="1545"/>
      <c r="W341" s="1545"/>
      <c r="X341" s="1545"/>
      <c r="Y341" s="1545"/>
      <c r="Z341" s="1545"/>
      <c r="AA341" s="1545"/>
      <c r="AB341" s="1545"/>
      <c r="AC341" s="1545"/>
      <c r="AD341" s="1545"/>
      <c r="AE341" s="1545"/>
      <c r="AF341" s="1545"/>
      <c r="AG341" s="1545"/>
      <c r="AH341" s="1545"/>
      <c r="AI341" s="1545"/>
      <c r="AJ341" s="1545"/>
      <c r="AK341" s="1545"/>
      <c r="AL341" s="1545"/>
      <c r="AM341" s="1545"/>
      <c r="AN341" s="1545"/>
      <c r="AO341" s="1545"/>
    </row>
    <row r="342" spans="2:45" hidden="1" x14ac:dyDescent="0.35">
      <c r="B342" s="1537">
        <f t="shared" si="6"/>
        <v>337</v>
      </c>
      <c r="C342" s="1537" t="s">
        <v>2413</v>
      </c>
      <c r="D342" s="1530" t="s">
        <v>1998</v>
      </c>
      <c r="F342" s="1537">
        <v>1</v>
      </c>
      <c r="G342" s="1553" t="s">
        <v>1999</v>
      </c>
      <c r="H342" s="1537" t="s">
        <v>2000</v>
      </c>
      <c r="K342" s="1545"/>
      <c r="L342" s="1545"/>
      <c r="M342" s="1545"/>
      <c r="N342" s="1545"/>
      <c r="O342" s="1545"/>
      <c r="P342" s="1545"/>
      <c r="Q342" s="1545"/>
      <c r="R342" s="1545"/>
      <c r="S342" s="1545"/>
      <c r="T342" s="1545"/>
      <c r="U342" s="1545"/>
      <c r="V342" s="1545"/>
      <c r="W342" s="1545"/>
      <c r="X342" s="1545"/>
      <c r="Y342" s="1545"/>
      <c r="Z342" s="1545"/>
      <c r="AA342" s="1545"/>
      <c r="AB342" s="1545"/>
      <c r="AC342" s="1545"/>
      <c r="AD342" s="1545"/>
      <c r="AE342" s="1545"/>
      <c r="AF342" s="1545"/>
      <c r="AG342" s="1545"/>
      <c r="AH342" s="1545"/>
      <c r="AI342" s="1545"/>
      <c r="AJ342" s="1545"/>
      <c r="AK342" s="1545"/>
      <c r="AL342" s="1545"/>
      <c r="AM342" s="1545"/>
      <c r="AN342" s="1545"/>
      <c r="AO342" s="1545"/>
    </row>
    <row r="343" spans="2:45" hidden="1" x14ac:dyDescent="0.35">
      <c r="B343" s="1537">
        <f t="shared" si="6"/>
        <v>338</v>
      </c>
      <c r="C343" s="1537" t="s">
        <v>2413</v>
      </c>
      <c r="D343" s="1530" t="s">
        <v>2001</v>
      </c>
      <c r="F343" s="1537">
        <v>1</v>
      </c>
      <c r="G343" s="1553" t="s">
        <v>1989</v>
      </c>
      <c r="H343" s="1537" t="s">
        <v>2000</v>
      </c>
      <c r="K343" s="1545"/>
      <c r="L343" s="1545"/>
      <c r="M343" s="1545"/>
      <c r="N343" s="1545"/>
      <c r="O343" s="1545"/>
      <c r="P343" s="1545"/>
      <c r="Q343" s="1545"/>
      <c r="R343" s="1545"/>
      <c r="S343" s="1545"/>
      <c r="T343" s="1545"/>
      <c r="U343" s="1545"/>
      <c r="V343" s="1545"/>
      <c r="W343" s="1545"/>
      <c r="X343" s="1545"/>
      <c r="Y343" s="1545"/>
      <c r="Z343" s="1545"/>
      <c r="AA343" s="1545"/>
      <c r="AB343" s="1545"/>
      <c r="AC343" s="1545"/>
      <c r="AD343" s="1545"/>
      <c r="AE343" s="1545"/>
      <c r="AF343" s="1545"/>
      <c r="AG343" s="1545"/>
      <c r="AH343" s="1545"/>
      <c r="AI343" s="1545"/>
      <c r="AJ343" s="1545"/>
      <c r="AK343" s="1545"/>
      <c r="AL343" s="1545"/>
      <c r="AM343" s="1545"/>
      <c r="AN343" s="1545"/>
      <c r="AO343" s="1545"/>
    </row>
    <row r="344" spans="2:45" hidden="1" x14ac:dyDescent="0.35">
      <c r="B344" s="1537">
        <f t="shared" si="6"/>
        <v>339</v>
      </c>
      <c r="C344" s="1537" t="s">
        <v>2413</v>
      </c>
      <c r="D344" s="1530" t="s">
        <v>2002</v>
      </c>
      <c r="F344" s="1537">
        <v>1</v>
      </c>
      <c r="G344" s="1553" t="s">
        <v>1989</v>
      </c>
      <c r="H344" s="1537" t="s">
        <v>2000</v>
      </c>
      <c r="K344" s="1545"/>
      <c r="L344" s="1545"/>
      <c r="M344" s="1545"/>
      <c r="N344" s="1545"/>
      <c r="O344" s="1545"/>
      <c r="P344" s="1545"/>
      <c r="Q344" s="1545"/>
      <c r="R344" s="1545"/>
      <c r="S344" s="1545"/>
      <c r="T344" s="1545"/>
      <c r="U344" s="1545"/>
      <c r="V344" s="1545"/>
      <c r="W344" s="1545"/>
      <c r="X344" s="1545"/>
      <c r="Y344" s="1545"/>
      <c r="Z344" s="1545"/>
      <c r="AA344" s="1545"/>
      <c r="AB344" s="1545"/>
      <c r="AC344" s="1545"/>
      <c r="AD344" s="1545"/>
      <c r="AE344" s="1545"/>
      <c r="AF344" s="1545"/>
      <c r="AG344" s="1545"/>
      <c r="AH344" s="1545"/>
      <c r="AI344" s="1545"/>
      <c r="AJ344" s="1545"/>
      <c r="AK344" s="1545"/>
      <c r="AL344" s="1545"/>
      <c r="AM344" s="1545"/>
      <c r="AN344" s="1545"/>
      <c r="AO344" s="1545"/>
    </row>
    <row r="345" spans="2:45" hidden="1" x14ac:dyDescent="0.35">
      <c r="B345" s="1537">
        <f t="shared" si="6"/>
        <v>340</v>
      </c>
      <c r="C345" s="1537" t="s">
        <v>2413</v>
      </c>
      <c r="D345" s="1530" t="s">
        <v>2003</v>
      </c>
      <c r="F345" s="1537">
        <v>1</v>
      </c>
      <c r="G345" s="1553" t="s">
        <v>2004</v>
      </c>
      <c r="H345" s="1537" t="s">
        <v>2000</v>
      </c>
      <c r="K345" s="1545"/>
      <c r="L345" s="1545"/>
      <c r="M345" s="1545"/>
      <c r="N345" s="1545"/>
      <c r="O345" s="1545"/>
      <c r="P345" s="1545"/>
      <c r="Q345" s="1545"/>
      <c r="R345" s="1545"/>
      <c r="S345" s="1545"/>
      <c r="T345" s="1545"/>
      <c r="U345" s="1545"/>
      <c r="V345" s="1545"/>
      <c r="W345" s="1545"/>
      <c r="X345" s="1545"/>
      <c r="Y345" s="1545"/>
      <c r="Z345" s="1545"/>
      <c r="AA345" s="1545"/>
      <c r="AB345" s="1545"/>
      <c r="AC345" s="1545"/>
      <c r="AD345" s="1545"/>
      <c r="AE345" s="1545"/>
      <c r="AF345" s="1545"/>
      <c r="AG345" s="1545"/>
      <c r="AH345" s="1545"/>
      <c r="AI345" s="1545"/>
      <c r="AJ345" s="1545"/>
      <c r="AK345" s="1545"/>
      <c r="AL345" s="1545"/>
      <c r="AM345" s="1545"/>
      <c r="AN345" s="1545"/>
      <c r="AO345" s="1545"/>
    </row>
    <row r="346" spans="2:45" hidden="1" x14ac:dyDescent="0.35">
      <c r="B346" s="1537">
        <f t="shared" si="6"/>
        <v>341</v>
      </c>
      <c r="C346" s="1537" t="s">
        <v>2413</v>
      </c>
      <c r="D346" s="1530" t="s">
        <v>2005</v>
      </c>
      <c r="F346" s="1537">
        <v>1</v>
      </c>
      <c r="G346" s="1553" t="s">
        <v>1999</v>
      </c>
      <c r="H346" s="1537" t="s">
        <v>2000</v>
      </c>
      <c r="K346" s="1545"/>
      <c r="L346" s="1545"/>
      <c r="M346" s="1545"/>
      <c r="N346" s="1545"/>
      <c r="O346" s="1545"/>
      <c r="P346" s="1545"/>
      <c r="Q346" s="1545"/>
      <c r="R346" s="1545"/>
      <c r="S346" s="1545"/>
      <c r="T346" s="1545"/>
      <c r="U346" s="1545"/>
      <c r="V346" s="1545"/>
      <c r="W346" s="1545"/>
      <c r="X346" s="1545"/>
      <c r="Y346" s="1545"/>
      <c r="Z346" s="1545"/>
      <c r="AA346" s="1545"/>
      <c r="AB346" s="1545"/>
      <c r="AC346" s="1545"/>
      <c r="AD346" s="1545"/>
      <c r="AE346" s="1545"/>
      <c r="AF346" s="1545"/>
      <c r="AG346" s="1545"/>
      <c r="AH346" s="1545"/>
      <c r="AI346" s="1545"/>
      <c r="AJ346" s="1545"/>
      <c r="AK346" s="1545"/>
      <c r="AL346" s="1545"/>
      <c r="AM346" s="1545"/>
      <c r="AN346" s="1545"/>
      <c r="AO346" s="1545"/>
    </row>
    <row r="347" spans="2:45" x14ac:dyDescent="0.35">
      <c r="B347" s="1537">
        <f t="shared" si="6"/>
        <v>342</v>
      </c>
      <c r="C347" s="1537" t="s">
        <v>1644</v>
      </c>
      <c r="D347" s="1537" t="s">
        <v>2414</v>
      </c>
      <c r="E347" s="1537" t="s">
        <v>2415</v>
      </c>
      <c r="G347" s="1550" t="s">
        <v>1989</v>
      </c>
      <c r="H347" s="1537" t="s">
        <v>1990</v>
      </c>
      <c r="I347" s="1537" t="s">
        <v>1991</v>
      </c>
      <c r="K347" s="1545">
        <v>0</v>
      </c>
      <c r="L347" s="1545">
        <v>0</v>
      </c>
      <c r="M347" s="1551">
        <v>0</v>
      </c>
      <c r="N347" s="1551">
        <v>0</v>
      </c>
      <c r="O347" s="1551">
        <v>0</v>
      </c>
      <c r="P347" s="1551">
        <v>0</v>
      </c>
      <c r="Q347" s="1551">
        <v>0</v>
      </c>
      <c r="R347" s="1551">
        <v>0</v>
      </c>
      <c r="S347" s="1551">
        <v>0</v>
      </c>
      <c r="T347" s="1551">
        <v>0</v>
      </c>
      <c r="U347" s="1551">
        <v>0</v>
      </c>
      <c r="V347" s="1551">
        <v>0</v>
      </c>
      <c r="W347" s="1551">
        <v>0</v>
      </c>
      <c r="X347" s="1551">
        <v>0</v>
      </c>
      <c r="Y347" s="1551">
        <v>0</v>
      </c>
      <c r="Z347" s="1551">
        <v>0</v>
      </c>
      <c r="AA347" s="1551"/>
      <c r="AB347" s="1551"/>
      <c r="AC347" s="1551"/>
      <c r="AD347" s="1551"/>
      <c r="AE347" s="1551">
        <v>0</v>
      </c>
      <c r="AF347" s="1551">
        <v>0</v>
      </c>
      <c r="AG347" s="1551">
        <v>0</v>
      </c>
      <c r="AH347" s="1551">
        <v>0</v>
      </c>
      <c r="AI347" s="1551">
        <v>0</v>
      </c>
      <c r="AJ347" s="1551">
        <v>0</v>
      </c>
      <c r="AK347" s="1551">
        <v>0</v>
      </c>
      <c r="AL347" s="1551">
        <v>0</v>
      </c>
      <c r="AM347" s="1551">
        <v>0</v>
      </c>
      <c r="AN347" s="1551">
        <v>0</v>
      </c>
      <c r="AO347" s="1551">
        <v>0</v>
      </c>
      <c r="AP347" s="1537" t="s">
        <v>2416</v>
      </c>
      <c r="AQ347" s="1537" t="s">
        <v>2417</v>
      </c>
      <c r="AR347" s="1537" t="s">
        <v>2009</v>
      </c>
      <c r="AS347" s="1552" t="s">
        <v>2418</v>
      </c>
    </row>
    <row r="348" spans="2:45" hidden="1" x14ac:dyDescent="0.35">
      <c r="B348" s="1537">
        <f t="shared" si="6"/>
        <v>343</v>
      </c>
      <c r="C348" s="1537" t="s">
        <v>1644</v>
      </c>
      <c r="D348" s="1530" t="s">
        <v>1998</v>
      </c>
      <c r="F348" s="1537">
        <v>1</v>
      </c>
      <c r="G348" s="1553" t="s">
        <v>1999</v>
      </c>
      <c r="H348" s="1537" t="s">
        <v>2000</v>
      </c>
      <c r="K348" s="1545"/>
      <c r="L348" s="1545"/>
      <c r="M348" s="1545"/>
      <c r="N348" s="1545"/>
      <c r="O348" s="1545"/>
      <c r="P348" s="1545"/>
      <c r="Q348" s="1545"/>
      <c r="R348" s="1545"/>
      <c r="S348" s="1545"/>
      <c r="T348" s="1545"/>
      <c r="U348" s="1545"/>
      <c r="V348" s="1545"/>
      <c r="W348" s="1545"/>
      <c r="X348" s="1545"/>
      <c r="Y348" s="1545"/>
      <c r="Z348" s="1545"/>
      <c r="AA348" s="1545"/>
      <c r="AB348" s="1545"/>
      <c r="AC348" s="1545"/>
      <c r="AD348" s="1545"/>
      <c r="AE348" s="1545"/>
      <c r="AF348" s="1545"/>
      <c r="AG348" s="1545"/>
      <c r="AH348" s="1545"/>
      <c r="AI348" s="1545"/>
      <c r="AJ348" s="1545"/>
      <c r="AK348" s="1545"/>
      <c r="AL348" s="1545"/>
      <c r="AM348" s="1545"/>
      <c r="AN348" s="1545"/>
      <c r="AO348" s="1545"/>
    </row>
    <row r="349" spans="2:45" hidden="1" x14ac:dyDescent="0.35">
      <c r="B349" s="1537">
        <f t="shared" si="6"/>
        <v>344</v>
      </c>
      <c r="C349" s="1537" t="s">
        <v>1644</v>
      </c>
      <c r="D349" s="1530" t="s">
        <v>2001</v>
      </c>
      <c r="F349" s="1537">
        <v>1</v>
      </c>
      <c r="G349" s="1553" t="s">
        <v>1989</v>
      </c>
      <c r="H349" s="1537" t="s">
        <v>2000</v>
      </c>
      <c r="K349" s="1545"/>
      <c r="L349" s="1545"/>
      <c r="M349" s="1545"/>
      <c r="N349" s="1545"/>
      <c r="O349" s="1545"/>
      <c r="P349" s="1545"/>
      <c r="Q349" s="1545"/>
      <c r="R349" s="1545"/>
      <c r="S349" s="1545"/>
      <c r="T349" s="1545"/>
      <c r="U349" s="1545"/>
      <c r="V349" s="1545"/>
      <c r="W349" s="1545"/>
      <c r="X349" s="1545"/>
      <c r="Y349" s="1545"/>
      <c r="Z349" s="1545"/>
      <c r="AA349" s="1545"/>
      <c r="AB349" s="1545"/>
      <c r="AC349" s="1545"/>
      <c r="AD349" s="1545"/>
      <c r="AE349" s="1545"/>
      <c r="AF349" s="1545"/>
      <c r="AG349" s="1545"/>
      <c r="AH349" s="1545"/>
      <c r="AI349" s="1545"/>
      <c r="AJ349" s="1545"/>
      <c r="AK349" s="1545"/>
      <c r="AL349" s="1545"/>
      <c r="AM349" s="1545"/>
      <c r="AN349" s="1545"/>
      <c r="AO349" s="1545"/>
    </row>
    <row r="350" spans="2:45" hidden="1" x14ac:dyDescent="0.35">
      <c r="B350" s="1537">
        <f t="shared" si="6"/>
        <v>345</v>
      </c>
      <c r="C350" s="1537" t="s">
        <v>1644</v>
      </c>
      <c r="D350" s="1530" t="s">
        <v>2002</v>
      </c>
      <c r="F350" s="1537">
        <v>1</v>
      </c>
      <c r="G350" s="1553" t="s">
        <v>1989</v>
      </c>
      <c r="H350" s="1537" t="s">
        <v>2000</v>
      </c>
      <c r="K350" s="1545"/>
      <c r="L350" s="1545"/>
      <c r="M350" s="1545"/>
      <c r="N350" s="1545"/>
      <c r="O350" s="1545"/>
      <c r="P350" s="1545"/>
      <c r="Q350" s="1545"/>
      <c r="R350" s="1545"/>
      <c r="S350" s="1545"/>
      <c r="T350" s="1545"/>
      <c r="U350" s="1545"/>
      <c r="V350" s="1545"/>
      <c r="W350" s="1545"/>
      <c r="X350" s="1545"/>
      <c r="Y350" s="1545"/>
      <c r="Z350" s="1545"/>
      <c r="AA350" s="1545"/>
      <c r="AB350" s="1545"/>
      <c r="AC350" s="1545"/>
      <c r="AD350" s="1545"/>
      <c r="AE350" s="1545"/>
      <c r="AF350" s="1545"/>
      <c r="AG350" s="1545"/>
      <c r="AH350" s="1545"/>
      <c r="AI350" s="1545"/>
      <c r="AJ350" s="1545"/>
      <c r="AK350" s="1545"/>
      <c r="AL350" s="1545"/>
      <c r="AM350" s="1545"/>
      <c r="AN350" s="1545"/>
      <c r="AO350" s="1545"/>
    </row>
    <row r="351" spans="2:45" hidden="1" x14ac:dyDescent="0.35">
      <c r="B351" s="1537">
        <f t="shared" si="6"/>
        <v>346</v>
      </c>
      <c r="C351" s="1537" t="s">
        <v>1644</v>
      </c>
      <c r="D351" s="1530" t="s">
        <v>2003</v>
      </c>
      <c r="F351" s="1537">
        <v>1</v>
      </c>
      <c r="G351" s="1553" t="s">
        <v>2004</v>
      </c>
      <c r="H351" s="1537" t="s">
        <v>2000</v>
      </c>
      <c r="K351" s="1545"/>
      <c r="L351" s="1545"/>
      <c r="M351" s="1545"/>
      <c r="N351" s="1545"/>
      <c r="O351" s="1545"/>
      <c r="P351" s="1545"/>
      <c r="Q351" s="1545"/>
      <c r="R351" s="1545"/>
      <c r="S351" s="1545"/>
      <c r="T351" s="1545"/>
      <c r="U351" s="1545"/>
      <c r="V351" s="1545"/>
      <c r="W351" s="1545"/>
      <c r="X351" s="1545"/>
      <c r="Y351" s="1545"/>
      <c r="Z351" s="1545"/>
      <c r="AA351" s="1545"/>
      <c r="AB351" s="1545"/>
      <c r="AC351" s="1545"/>
      <c r="AD351" s="1545"/>
      <c r="AE351" s="1545"/>
      <c r="AF351" s="1545"/>
      <c r="AG351" s="1545"/>
      <c r="AH351" s="1545"/>
      <c r="AI351" s="1545"/>
      <c r="AJ351" s="1545"/>
      <c r="AK351" s="1545"/>
      <c r="AL351" s="1545"/>
      <c r="AM351" s="1545"/>
      <c r="AN351" s="1545"/>
      <c r="AO351" s="1545"/>
    </row>
    <row r="352" spans="2:45" hidden="1" x14ac:dyDescent="0.35">
      <c r="B352" s="1537">
        <f t="shared" si="6"/>
        <v>347</v>
      </c>
      <c r="C352" s="1537" t="s">
        <v>1644</v>
      </c>
      <c r="D352" s="1530" t="s">
        <v>2005</v>
      </c>
      <c r="F352" s="1537">
        <v>1</v>
      </c>
      <c r="G352" s="1553" t="s">
        <v>1999</v>
      </c>
      <c r="H352" s="1537" t="s">
        <v>2000</v>
      </c>
      <c r="K352" s="1545"/>
      <c r="L352" s="1545"/>
      <c r="M352" s="1545"/>
      <c r="N352" s="1545"/>
      <c r="O352" s="1545"/>
      <c r="P352" s="1545"/>
      <c r="Q352" s="1545"/>
      <c r="R352" s="1545"/>
      <c r="S352" s="1545"/>
      <c r="T352" s="1545"/>
      <c r="U352" s="1545"/>
      <c r="V352" s="1545"/>
      <c r="W352" s="1545"/>
      <c r="X352" s="1545"/>
      <c r="Y352" s="1545"/>
      <c r="Z352" s="1545"/>
      <c r="AA352" s="1545"/>
      <c r="AB352" s="1545"/>
      <c r="AC352" s="1545"/>
      <c r="AD352" s="1545"/>
      <c r="AE352" s="1545"/>
      <c r="AF352" s="1545"/>
      <c r="AG352" s="1545"/>
      <c r="AH352" s="1545"/>
      <c r="AI352" s="1545"/>
      <c r="AJ352" s="1545"/>
      <c r="AK352" s="1545"/>
      <c r="AL352" s="1545"/>
      <c r="AM352" s="1545"/>
      <c r="AN352" s="1545"/>
      <c r="AO352" s="1545"/>
    </row>
    <row r="353" spans="1:45" x14ac:dyDescent="0.35">
      <c r="B353" s="1537">
        <f t="shared" si="6"/>
        <v>348</v>
      </c>
      <c r="C353" s="1537" t="s">
        <v>1645</v>
      </c>
      <c r="D353" s="1537" t="s">
        <v>2419</v>
      </c>
      <c r="E353" s="1537" t="s">
        <v>2419</v>
      </c>
      <c r="F353" s="1537">
        <v>1</v>
      </c>
      <c r="G353" s="1550" t="s">
        <v>1989</v>
      </c>
      <c r="H353" s="1537" t="s">
        <v>1990</v>
      </c>
      <c r="I353" s="1537" t="s">
        <v>1991</v>
      </c>
      <c r="K353" s="1545">
        <v>1556</v>
      </c>
      <c r="L353" s="1545">
        <v>105</v>
      </c>
      <c r="M353" s="1551">
        <v>0</v>
      </c>
      <c r="N353" s="1551">
        <v>0</v>
      </c>
      <c r="O353" s="1551">
        <v>48</v>
      </c>
      <c r="P353" s="1551">
        <v>37</v>
      </c>
      <c r="Q353" s="1551">
        <v>0</v>
      </c>
      <c r="R353" s="1551">
        <v>0</v>
      </c>
      <c r="S353" s="1551">
        <v>0</v>
      </c>
      <c r="T353" s="1551">
        <v>0</v>
      </c>
      <c r="U353" s="1551">
        <v>0</v>
      </c>
      <c r="V353" s="1551">
        <v>0</v>
      </c>
      <c r="W353" s="1551">
        <v>169</v>
      </c>
      <c r="X353" s="1551">
        <v>314</v>
      </c>
      <c r="Y353" s="1551">
        <v>362</v>
      </c>
      <c r="Z353" s="1551">
        <v>626</v>
      </c>
      <c r="AA353" s="1551"/>
      <c r="AB353" s="1551"/>
      <c r="AC353" s="1551"/>
      <c r="AD353" s="1551"/>
      <c r="AE353" s="1551">
        <v>19</v>
      </c>
      <c r="AF353" s="1551">
        <v>31</v>
      </c>
      <c r="AG353" s="1551">
        <v>86</v>
      </c>
      <c r="AH353" s="1551">
        <v>301</v>
      </c>
      <c r="AI353" s="1551">
        <v>14</v>
      </c>
      <c r="AJ353" s="1551">
        <v>908</v>
      </c>
      <c r="AK353" s="1551">
        <v>197</v>
      </c>
      <c r="AL353" s="1551">
        <v>706</v>
      </c>
      <c r="AM353" s="1551">
        <v>850</v>
      </c>
      <c r="AN353" s="1551">
        <v>872</v>
      </c>
      <c r="AO353" s="1551">
        <v>128</v>
      </c>
      <c r="AP353" s="1537" t="s">
        <v>2420</v>
      </c>
      <c r="AQ353" s="1537" t="s">
        <v>890</v>
      </c>
      <c r="AS353" s="1552" t="s">
        <v>2421</v>
      </c>
    </row>
    <row r="354" spans="1:45" x14ac:dyDescent="0.35">
      <c r="A354" s="1537" t="s">
        <v>2032</v>
      </c>
      <c r="B354" s="1537">
        <f t="shared" si="6"/>
        <v>349</v>
      </c>
      <c r="C354" s="1537" t="s">
        <v>1645</v>
      </c>
      <c r="D354" s="1537" t="s">
        <v>2422</v>
      </c>
      <c r="E354" s="1537" t="s">
        <v>2423</v>
      </c>
      <c r="F354" s="1537">
        <v>1</v>
      </c>
      <c r="G354" s="1550" t="s">
        <v>2039</v>
      </c>
      <c r="H354" s="1537" t="s">
        <v>1990</v>
      </c>
      <c r="I354" s="1537" t="s">
        <v>1991</v>
      </c>
      <c r="K354" s="1545">
        <v>1511</v>
      </c>
      <c r="L354" s="1545">
        <v>59</v>
      </c>
      <c r="M354" s="1551">
        <v>0</v>
      </c>
      <c r="N354" s="1551">
        <v>0</v>
      </c>
      <c r="O354" s="1551">
        <v>0</v>
      </c>
      <c r="P354" s="1551">
        <v>0</v>
      </c>
      <c r="Q354" s="1551">
        <v>0</v>
      </c>
      <c r="R354" s="1551">
        <v>0</v>
      </c>
      <c r="S354" s="1551">
        <v>0</v>
      </c>
      <c r="T354" s="1551">
        <v>0</v>
      </c>
      <c r="U354" s="1551">
        <v>0</v>
      </c>
      <c r="V354" s="1551">
        <v>0</v>
      </c>
      <c r="W354" s="1551">
        <v>381</v>
      </c>
      <c r="X354" s="1551">
        <v>397</v>
      </c>
      <c r="Y354" s="1551">
        <v>406</v>
      </c>
      <c r="Z354" s="1551">
        <v>327</v>
      </c>
      <c r="AA354" s="1551"/>
      <c r="AB354" s="1551"/>
      <c r="AC354" s="1551"/>
      <c r="AD354" s="1551"/>
      <c r="AE354" s="1551">
        <v>16</v>
      </c>
      <c r="AF354" s="1551">
        <v>76</v>
      </c>
      <c r="AG354" s="1551">
        <v>97</v>
      </c>
      <c r="AH354" s="1551">
        <v>205</v>
      </c>
      <c r="AI354" s="1551">
        <v>10</v>
      </c>
      <c r="AJ354" s="1551">
        <v>971</v>
      </c>
      <c r="AK354" s="1551">
        <v>132</v>
      </c>
      <c r="AL354" s="1551">
        <v>762</v>
      </c>
      <c r="AM354" s="1551">
        <v>745</v>
      </c>
      <c r="AN354" s="1551">
        <v>673</v>
      </c>
      <c r="AO354" s="1551">
        <v>140</v>
      </c>
      <c r="AP354" s="1537" t="s">
        <v>2424</v>
      </c>
      <c r="AQ354" s="1537" t="s">
        <v>890</v>
      </c>
      <c r="AS354" s="1552" t="s">
        <v>2425</v>
      </c>
    </row>
    <row r="355" spans="1:45" hidden="1" x14ac:dyDescent="0.35">
      <c r="B355" s="1537">
        <f t="shared" si="6"/>
        <v>350</v>
      </c>
      <c r="C355" s="1537" t="s">
        <v>1645</v>
      </c>
      <c r="D355" s="1530" t="s">
        <v>1998</v>
      </c>
      <c r="F355" s="1537">
        <v>1</v>
      </c>
      <c r="G355" s="1553" t="s">
        <v>1999</v>
      </c>
      <c r="H355" s="1537" t="s">
        <v>2000</v>
      </c>
      <c r="K355" s="1545"/>
      <c r="L355" s="1545"/>
      <c r="M355" s="1545"/>
      <c r="N355" s="1545"/>
      <c r="O355" s="1545"/>
      <c r="P355" s="1545"/>
      <c r="Q355" s="1545"/>
      <c r="R355" s="1545"/>
      <c r="S355" s="1545"/>
      <c r="T355" s="1545"/>
      <c r="U355" s="1545"/>
      <c r="V355" s="1545"/>
      <c r="W355" s="1545"/>
      <c r="X355" s="1545"/>
      <c r="Y355" s="1545"/>
      <c r="Z355" s="1545"/>
      <c r="AA355" s="1545"/>
      <c r="AB355" s="1545"/>
      <c r="AC355" s="1545"/>
      <c r="AD355" s="1545"/>
      <c r="AE355" s="1545"/>
      <c r="AF355" s="1545"/>
      <c r="AG355" s="1545"/>
      <c r="AH355" s="1545"/>
      <c r="AI355" s="1545"/>
      <c r="AJ355" s="1545"/>
      <c r="AK355" s="1545"/>
      <c r="AL355" s="1545"/>
      <c r="AM355" s="1545"/>
      <c r="AN355" s="1545"/>
      <c r="AO355" s="1545"/>
    </row>
    <row r="356" spans="1:45" hidden="1" x14ac:dyDescent="0.35">
      <c r="B356" s="1537">
        <f t="shared" si="6"/>
        <v>351</v>
      </c>
      <c r="C356" s="1537" t="s">
        <v>1645</v>
      </c>
      <c r="D356" s="1530" t="s">
        <v>2001</v>
      </c>
      <c r="F356" s="1537">
        <v>1</v>
      </c>
      <c r="G356" s="1553" t="s">
        <v>1989</v>
      </c>
      <c r="H356" s="1537" t="s">
        <v>2000</v>
      </c>
      <c r="K356" s="1545"/>
      <c r="L356" s="1545"/>
      <c r="M356" s="1545"/>
      <c r="N356" s="1545"/>
      <c r="O356" s="1545"/>
      <c r="P356" s="1545"/>
      <c r="Q356" s="1545"/>
      <c r="R356" s="1545"/>
      <c r="S356" s="1545"/>
      <c r="T356" s="1545"/>
      <c r="U356" s="1545"/>
      <c r="V356" s="1545"/>
      <c r="W356" s="1545"/>
      <c r="X356" s="1545"/>
      <c r="Y356" s="1545"/>
      <c r="Z356" s="1545"/>
      <c r="AA356" s="1545"/>
      <c r="AB356" s="1545"/>
      <c r="AC356" s="1545"/>
      <c r="AD356" s="1545"/>
      <c r="AE356" s="1545"/>
      <c r="AF356" s="1545"/>
      <c r="AG356" s="1545"/>
      <c r="AH356" s="1545"/>
      <c r="AI356" s="1545"/>
      <c r="AJ356" s="1545"/>
      <c r="AK356" s="1545"/>
      <c r="AL356" s="1545"/>
      <c r="AM356" s="1545"/>
      <c r="AN356" s="1545"/>
      <c r="AO356" s="1545"/>
    </row>
    <row r="357" spans="1:45" hidden="1" x14ac:dyDescent="0.35">
      <c r="B357" s="1537">
        <f t="shared" si="6"/>
        <v>352</v>
      </c>
      <c r="C357" s="1537" t="s">
        <v>1645</v>
      </c>
      <c r="D357" s="1530" t="s">
        <v>2002</v>
      </c>
      <c r="F357" s="1537">
        <v>1</v>
      </c>
      <c r="G357" s="1553" t="s">
        <v>1989</v>
      </c>
      <c r="H357" s="1537" t="s">
        <v>2000</v>
      </c>
      <c r="K357" s="1545"/>
      <c r="L357" s="1545"/>
      <c r="M357" s="1545"/>
      <c r="N357" s="1545"/>
      <c r="O357" s="1545"/>
      <c r="P357" s="1545"/>
      <c r="Q357" s="1545"/>
      <c r="R357" s="1545"/>
      <c r="S357" s="1545"/>
      <c r="T357" s="1545"/>
      <c r="U357" s="1545"/>
      <c r="V357" s="1545"/>
      <c r="W357" s="1545"/>
      <c r="X357" s="1545"/>
      <c r="Y357" s="1545"/>
      <c r="Z357" s="1545"/>
      <c r="AA357" s="1545"/>
      <c r="AB357" s="1545"/>
      <c r="AC357" s="1545"/>
      <c r="AD357" s="1545"/>
      <c r="AE357" s="1545"/>
      <c r="AF357" s="1545"/>
      <c r="AG357" s="1545"/>
      <c r="AH357" s="1545"/>
      <c r="AI357" s="1545"/>
      <c r="AJ357" s="1545"/>
      <c r="AK357" s="1545"/>
      <c r="AL357" s="1545"/>
      <c r="AM357" s="1545"/>
      <c r="AN357" s="1545"/>
      <c r="AO357" s="1545"/>
    </row>
    <row r="358" spans="1:45" hidden="1" x14ac:dyDescent="0.35">
      <c r="B358" s="1537">
        <f t="shared" si="6"/>
        <v>353</v>
      </c>
      <c r="C358" s="1537" t="s">
        <v>1645</v>
      </c>
      <c r="D358" s="1530" t="s">
        <v>2003</v>
      </c>
      <c r="F358" s="1537">
        <v>1</v>
      </c>
      <c r="G358" s="1553" t="s">
        <v>2004</v>
      </c>
      <c r="H358" s="1537" t="s">
        <v>2000</v>
      </c>
      <c r="K358" s="1545"/>
      <c r="L358" s="1545"/>
      <c r="M358" s="1545"/>
      <c r="N358" s="1545"/>
      <c r="O358" s="1545"/>
      <c r="P358" s="1545"/>
      <c r="Q358" s="1545"/>
      <c r="R358" s="1545"/>
      <c r="S358" s="1545"/>
      <c r="T358" s="1545"/>
      <c r="U358" s="1545"/>
      <c r="V358" s="1545"/>
      <c r="W358" s="1545"/>
      <c r="X358" s="1545"/>
      <c r="Y358" s="1545"/>
      <c r="Z358" s="1545"/>
      <c r="AA358" s="1545"/>
      <c r="AB358" s="1545"/>
      <c r="AC358" s="1545"/>
      <c r="AD358" s="1545"/>
      <c r="AE358" s="1545"/>
      <c r="AF358" s="1545"/>
      <c r="AG358" s="1545"/>
      <c r="AH358" s="1545"/>
      <c r="AI358" s="1545"/>
      <c r="AJ358" s="1545"/>
      <c r="AK358" s="1545"/>
      <c r="AL358" s="1545"/>
      <c r="AM358" s="1545"/>
      <c r="AN358" s="1545"/>
      <c r="AO358" s="1545"/>
    </row>
    <row r="359" spans="1:45" hidden="1" x14ac:dyDescent="0.35">
      <c r="B359" s="1537">
        <f t="shared" si="6"/>
        <v>354</v>
      </c>
      <c r="C359" s="1537" t="s">
        <v>1645</v>
      </c>
      <c r="D359" s="1530" t="s">
        <v>2005</v>
      </c>
      <c r="F359" s="1537">
        <v>1</v>
      </c>
      <c r="G359" s="1553" t="s">
        <v>1999</v>
      </c>
      <c r="H359" s="1537" t="s">
        <v>2000</v>
      </c>
      <c r="K359" s="1545"/>
      <c r="L359" s="1545"/>
      <c r="M359" s="1545"/>
      <c r="N359" s="1545"/>
      <c r="O359" s="1545"/>
      <c r="P359" s="1545"/>
      <c r="Q359" s="1545"/>
      <c r="R359" s="1545"/>
      <c r="S359" s="1545"/>
      <c r="T359" s="1545"/>
      <c r="U359" s="1545"/>
      <c r="V359" s="1545"/>
      <c r="W359" s="1545"/>
      <c r="X359" s="1545"/>
      <c r="Y359" s="1545"/>
      <c r="Z359" s="1545"/>
      <c r="AA359" s="1545"/>
      <c r="AB359" s="1545"/>
      <c r="AC359" s="1545"/>
      <c r="AD359" s="1545"/>
      <c r="AE359" s="1545"/>
      <c r="AF359" s="1545"/>
      <c r="AG359" s="1545"/>
      <c r="AH359" s="1545"/>
      <c r="AI359" s="1545"/>
      <c r="AJ359" s="1545"/>
      <c r="AK359" s="1545"/>
      <c r="AL359" s="1545"/>
      <c r="AM359" s="1545"/>
      <c r="AN359" s="1545"/>
      <c r="AO359" s="1545"/>
    </row>
    <row r="360" spans="1:45" x14ac:dyDescent="0.35">
      <c r="B360" s="1537">
        <f t="shared" si="6"/>
        <v>355</v>
      </c>
      <c r="C360" s="1537" t="s">
        <v>1646</v>
      </c>
      <c r="D360" s="1537" t="s">
        <v>2426</v>
      </c>
      <c r="E360" s="1537" t="s">
        <v>2426</v>
      </c>
      <c r="F360" s="1537">
        <v>1</v>
      </c>
      <c r="G360" s="1550" t="s">
        <v>1989</v>
      </c>
      <c r="H360" s="1537" t="s">
        <v>1990</v>
      </c>
      <c r="I360" s="1537" t="s">
        <v>1991</v>
      </c>
      <c r="K360" s="1545">
        <v>398</v>
      </c>
      <c r="L360" s="1545" t="s">
        <v>890</v>
      </c>
      <c r="M360" s="1551">
        <v>0</v>
      </c>
      <c r="N360" s="1551">
        <v>43</v>
      </c>
      <c r="O360" s="1551">
        <v>22</v>
      </c>
      <c r="P360" s="1551">
        <v>16</v>
      </c>
      <c r="Q360" s="1551">
        <v>25</v>
      </c>
      <c r="R360" s="1551">
        <v>27</v>
      </c>
      <c r="S360" s="1551">
        <v>25</v>
      </c>
      <c r="T360" s="1551">
        <v>36</v>
      </c>
      <c r="U360" s="1551">
        <v>44</v>
      </c>
      <c r="V360" s="1551">
        <v>54</v>
      </c>
      <c r="W360" s="1551">
        <v>52</v>
      </c>
      <c r="X360" s="1551">
        <v>54</v>
      </c>
      <c r="Y360" s="1551">
        <v>0</v>
      </c>
      <c r="Z360" s="1551">
        <v>0</v>
      </c>
      <c r="AA360" s="1551"/>
      <c r="AB360" s="1551"/>
      <c r="AC360" s="1551"/>
      <c r="AD360" s="1551"/>
      <c r="AE360" s="1551">
        <v>0</v>
      </c>
      <c r="AF360" s="1551">
        <v>2</v>
      </c>
      <c r="AG360" s="1551">
        <v>18</v>
      </c>
      <c r="AH360" s="1551">
        <v>16</v>
      </c>
      <c r="AI360" s="1551">
        <v>0</v>
      </c>
      <c r="AJ360" s="1551">
        <v>342</v>
      </c>
      <c r="AK360" s="1551">
        <v>20</v>
      </c>
      <c r="AL360" s="1551">
        <v>184</v>
      </c>
      <c r="AM360" s="1551">
        <v>214</v>
      </c>
      <c r="AN360" s="1551" t="s">
        <v>890</v>
      </c>
      <c r="AO360" s="1551" t="s">
        <v>890</v>
      </c>
      <c r="AP360" s="1537" t="s">
        <v>2427</v>
      </c>
      <c r="AQ360" s="1537" t="s">
        <v>890</v>
      </c>
      <c r="AS360" s="1552" t="s">
        <v>2428</v>
      </c>
    </row>
    <row r="361" spans="1:45" hidden="1" x14ac:dyDescent="0.35">
      <c r="B361" s="1537">
        <f t="shared" si="6"/>
        <v>356</v>
      </c>
      <c r="C361" s="1537" t="s">
        <v>1646</v>
      </c>
      <c r="D361" s="1530" t="s">
        <v>1998</v>
      </c>
      <c r="F361" s="1537">
        <v>1</v>
      </c>
      <c r="G361" s="1553" t="s">
        <v>1999</v>
      </c>
      <c r="H361" s="1537" t="s">
        <v>2000</v>
      </c>
      <c r="K361" s="1545"/>
      <c r="L361" s="1545"/>
      <c r="M361" s="1545"/>
      <c r="N361" s="1545"/>
      <c r="O361" s="1545"/>
      <c r="P361" s="1545"/>
      <c r="Q361" s="1545"/>
      <c r="R361" s="1545"/>
      <c r="S361" s="1545"/>
      <c r="T361" s="1545"/>
      <c r="U361" s="1545"/>
      <c r="V361" s="1545"/>
      <c r="W361" s="1545"/>
      <c r="X361" s="1545"/>
      <c r="Y361" s="1545"/>
      <c r="Z361" s="1545"/>
      <c r="AA361" s="1545"/>
      <c r="AB361" s="1545"/>
      <c r="AC361" s="1545"/>
      <c r="AD361" s="1545"/>
      <c r="AE361" s="1545"/>
      <c r="AF361" s="1545"/>
      <c r="AG361" s="1545"/>
      <c r="AH361" s="1545"/>
      <c r="AI361" s="1545"/>
      <c r="AJ361" s="1545"/>
      <c r="AK361" s="1545"/>
      <c r="AL361" s="1545"/>
      <c r="AM361" s="1545"/>
      <c r="AN361" s="1545"/>
      <c r="AO361" s="1545"/>
    </row>
    <row r="362" spans="1:45" hidden="1" x14ac:dyDescent="0.35">
      <c r="B362" s="1537">
        <f t="shared" si="6"/>
        <v>357</v>
      </c>
      <c r="C362" s="1537" t="s">
        <v>1646</v>
      </c>
      <c r="D362" s="1530" t="s">
        <v>2001</v>
      </c>
      <c r="F362" s="1537">
        <v>1</v>
      </c>
      <c r="G362" s="1553" t="s">
        <v>1989</v>
      </c>
      <c r="H362" s="1537" t="s">
        <v>2000</v>
      </c>
      <c r="K362" s="1545"/>
      <c r="L362" s="1545"/>
      <c r="M362" s="1545"/>
      <c r="N362" s="1545"/>
      <c r="O362" s="1545"/>
      <c r="P362" s="1545"/>
      <c r="Q362" s="1545"/>
      <c r="R362" s="1545"/>
      <c r="S362" s="1545"/>
      <c r="T362" s="1545"/>
      <c r="U362" s="1545"/>
      <c r="V362" s="1545"/>
      <c r="W362" s="1545"/>
      <c r="X362" s="1545"/>
      <c r="Y362" s="1545"/>
      <c r="Z362" s="1545"/>
      <c r="AA362" s="1545"/>
      <c r="AB362" s="1545"/>
      <c r="AC362" s="1545"/>
      <c r="AD362" s="1545"/>
      <c r="AE362" s="1545"/>
      <c r="AF362" s="1545"/>
      <c r="AG362" s="1545"/>
      <c r="AH362" s="1545"/>
      <c r="AI362" s="1545"/>
      <c r="AJ362" s="1545"/>
      <c r="AK362" s="1545"/>
      <c r="AL362" s="1545"/>
      <c r="AM362" s="1545"/>
      <c r="AN362" s="1545"/>
      <c r="AO362" s="1545"/>
    </row>
    <row r="363" spans="1:45" hidden="1" x14ac:dyDescent="0.35">
      <c r="B363" s="1537">
        <f t="shared" si="6"/>
        <v>358</v>
      </c>
      <c r="C363" s="1537" t="s">
        <v>1646</v>
      </c>
      <c r="D363" s="1530" t="s">
        <v>2002</v>
      </c>
      <c r="F363" s="1537">
        <v>1</v>
      </c>
      <c r="G363" s="1553" t="s">
        <v>1989</v>
      </c>
      <c r="H363" s="1537" t="s">
        <v>2000</v>
      </c>
      <c r="K363" s="1545"/>
      <c r="L363" s="1545"/>
      <c r="M363" s="1545"/>
      <c r="N363" s="1545"/>
      <c r="O363" s="1545"/>
      <c r="P363" s="1545"/>
      <c r="Q363" s="1545"/>
      <c r="R363" s="1545"/>
      <c r="S363" s="1545"/>
      <c r="T363" s="1545"/>
      <c r="U363" s="1545"/>
      <c r="V363" s="1545"/>
      <c r="W363" s="1545"/>
      <c r="X363" s="1545"/>
      <c r="Y363" s="1545"/>
      <c r="Z363" s="1545"/>
      <c r="AA363" s="1545"/>
      <c r="AB363" s="1545"/>
      <c r="AC363" s="1545"/>
      <c r="AD363" s="1545"/>
      <c r="AE363" s="1545"/>
      <c r="AF363" s="1545"/>
      <c r="AG363" s="1545"/>
      <c r="AH363" s="1545"/>
      <c r="AI363" s="1545"/>
      <c r="AJ363" s="1545"/>
      <c r="AK363" s="1545"/>
      <c r="AL363" s="1545"/>
      <c r="AM363" s="1545"/>
      <c r="AN363" s="1545"/>
      <c r="AO363" s="1545"/>
    </row>
    <row r="364" spans="1:45" hidden="1" x14ac:dyDescent="0.35">
      <c r="B364" s="1537">
        <f t="shared" si="6"/>
        <v>359</v>
      </c>
      <c r="C364" s="1537" t="s">
        <v>1646</v>
      </c>
      <c r="D364" s="1530" t="s">
        <v>2003</v>
      </c>
      <c r="F364" s="1537">
        <v>1</v>
      </c>
      <c r="G364" s="1553" t="s">
        <v>2004</v>
      </c>
      <c r="H364" s="1537" t="s">
        <v>2000</v>
      </c>
      <c r="K364" s="1545"/>
      <c r="L364" s="1545"/>
      <c r="M364" s="1545"/>
      <c r="N364" s="1545"/>
      <c r="O364" s="1545"/>
      <c r="P364" s="1545"/>
      <c r="Q364" s="1545"/>
      <c r="R364" s="1545"/>
      <c r="S364" s="1545"/>
      <c r="T364" s="1545"/>
      <c r="U364" s="1545"/>
      <c r="V364" s="1545"/>
      <c r="W364" s="1545"/>
      <c r="X364" s="1545"/>
      <c r="Y364" s="1545"/>
      <c r="Z364" s="1545"/>
      <c r="AA364" s="1545"/>
      <c r="AB364" s="1545"/>
      <c r="AC364" s="1545"/>
      <c r="AD364" s="1545"/>
      <c r="AE364" s="1545"/>
      <c r="AF364" s="1545"/>
      <c r="AG364" s="1545"/>
      <c r="AH364" s="1545"/>
      <c r="AI364" s="1545"/>
      <c r="AJ364" s="1545"/>
      <c r="AK364" s="1545"/>
      <c r="AL364" s="1545"/>
      <c r="AM364" s="1545"/>
      <c r="AN364" s="1545"/>
      <c r="AO364" s="1545"/>
    </row>
    <row r="365" spans="1:45" hidden="1" x14ac:dyDescent="0.35">
      <c r="B365" s="1537">
        <f t="shared" si="6"/>
        <v>360</v>
      </c>
      <c r="C365" s="1537" t="s">
        <v>1646</v>
      </c>
      <c r="D365" s="1530" t="s">
        <v>2005</v>
      </c>
      <c r="F365" s="1537">
        <v>1</v>
      </c>
      <c r="G365" s="1553" t="s">
        <v>1999</v>
      </c>
      <c r="H365" s="1537" t="s">
        <v>2000</v>
      </c>
      <c r="K365" s="1545"/>
      <c r="L365" s="1545"/>
      <c r="M365" s="1545"/>
      <c r="N365" s="1545"/>
      <c r="O365" s="1545"/>
      <c r="P365" s="1545"/>
      <c r="Q365" s="1545"/>
      <c r="R365" s="1545"/>
      <c r="S365" s="1545"/>
      <c r="T365" s="1545"/>
      <c r="U365" s="1545"/>
      <c r="V365" s="1545"/>
      <c r="W365" s="1545"/>
      <c r="X365" s="1545"/>
      <c r="Y365" s="1545"/>
      <c r="Z365" s="1545"/>
      <c r="AA365" s="1545"/>
      <c r="AB365" s="1545"/>
      <c r="AC365" s="1545"/>
      <c r="AD365" s="1545"/>
      <c r="AE365" s="1545"/>
      <c r="AF365" s="1545"/>
      <c r="AG365" s="1545"/>
      <c r="AH365" s="1545"/>
      <c r="AI365" s="1545"/>
      <c r="AJ365" s="1545"/>
      <c r="AK365" s="1545"/>
      <c r="AL365" s="1545"/>
      <c r="AM365" s="1545"/>
      <c r="AN365" s="1545"/>
      <c r="AO365" s="1545"/>
    </row>
    <row r="366" spans="1:45" x14ac:dyDescent="0.35">
      <c r="A366" s="1537" t="s">
        <v>2020</v>
      </c>
      <c r="B366" s="1537">
        <f t="shared" si="6"/>
        <v>361</v>
      </c>
      <c r="C366" s="1537" t="s">
        <v>1646</v>
      </c>
      <c r="D366" s="1530" t="s">
        <v>2429</v>
      </c>
      <c r="F366" s="1537">
        <v>1</v>
      </c>
      <c r="G366" s="1550" t="s">
        <v>1989</v>
      </c>
      <c r="H366" s="1537" t="s">
        <v>1990</v>
      </c>
      <c r="K366" s="1545"/>
      <c r="L366" s="1545"/>
      <c r="M366" s="1551"/>
      <c r="N366" s="1551"/>
      <c r="O366" s="1551"/>
      <c r="P366" s="1551"/>
      <c r="Q366" s="1551"/>
      <c r="R366" s="1551"/>
      <c r="S366" s="1551"/>
      <c r="T366" s="1551"/>
      <c r="U366" s="1551"/>
      <c r="V366" s="1551"/>
      <c r="W366" s="1551"/>
      <c r="X366" s="1551"/>
      <c r="Y366" s="1551"/>
      <c r="Z366" s="1551"/>
      <c r="AA366" s="1551"/>
      <c r="AB366" s="1551"/>
      <c r="AC366" s="1551"/>
      <c r="AD366" s="1551"/>
      <c r="AE366" s="1551"/>
      <c r="AF366" s="1551"/>
      <c r="AG366" s="1551"/>
      <c r="AH366" s="1551"/>
      <c r="AI366" s="1551"/>
      <c r="AJ366" s="1551"/>
      <c r="AK366" s="1551"/>
      <c r="AL366" s="1551"/>
      <c r="AM366" s="1551"/>
      <c r="AN366" s="1551"/>
      <c r="AO366" s="1551"/>
    </row>
    <row r="367" spans="1:45" x14ac:dyDescent="0.35">
      <c r="B367" s="1537">
        <f t="shared" si="6"/>
        <v>362</v>
      </c>
      <c r="C367" s="1537" t="s">
        <v>1647</v>
      </c>
      <c r="D367" s="1537" t="s">
        <v>2430</v>
      </c>
      <c r="E367" s="1537" t="s">
        <v>2431</v>
      </c>
      <c r="F367" s="1537">
        <v>1</v>
      </c>
      <c r="G367" s="1550" t="s">
        <v>2039</v>
      </c>
      <c r="H367" s="1537" t="s">
        <v>1990</v>
      </c>
      <c r="I367" s="1537" t="s">
        <v>2432</v>
      </c>
      <c r="K367" s="1545">
        <v>232</v>
      </c>
      <c r="L367" s="1545">
        <v>5</v>
      </c>
      <c r="M367" s="1551">
        <v>0</v>
      </c>
      <c r="N367" s="1551">
        <v>0</v>
      </c>
      <c r="O367" s="1551">
        <v>0</v>
      </c>
      <c r="P367" s="1551">
        <v>0</v>
      </c>
      <c r="Q367" s="1551">
        <v>0</v>
      </c>
      <c r="R367" s="1551">
        <v>0</v>
      </c>
      <c r="S367" s="1551">
        <v>0</v>
      </c>
      <c r="T367" s="1551">
        <v>0</v>
      </c>
      <c r="U367" s="1551">
        <v>0</v>
      </c>
      <c r="V367" s="1551">
        <v>0</v>
      </c>
      <c r="W367" s="1551">
        <v>38</v>
      </c>
      <c r="X367" s="1551">
        <v>64</v>
      </c>
      <c r="Y367" s="1551">
        <v>56</v>
      </c>
      <c r="Z367" s="1551">
        <v>74</v>
      </c>
      <c r="AA367" s="1551"/>
      <c r="AB367" s="1551"/>
      <c r="AC367" s="1551"/>
      <c r="AD367" s="1551"/>
      <c r="AE367" s="1551">
        <v>2</v>
      </c>
      <c r="AF367" s="1551">
        <v>4</v>
      </c>
      <c r="AG367" s="1551">
        <v>30</v>
      </c>
      <c r="AH367" s="1551">
        <v>27</v>
      </c>
      <c r="AI367" s="1551">
        <v>0</v>
      </c>
      <c r="AJ367" s="1551">
        <v>150</v>
      </c>
      <c r="AK367" s="1551">
        <v>19</v>
      </c>
      <c r="AL367" s="1551">
        <v>123</v>
      </c>
      <c r="AM367" s="1551">
        <v>109</v>
      </c>
      <c r="AN367" s="1551">
        <v>104</v>
      </c>
      <c r="AO367" s="1551">
        <v>18</v>
      </c>
      <c r="AP367" s="1537" t="s">
        <v>2433</v>
      </c>
      <c r="AQ367" s="1552" t="s">
        <v>2434</v>
      </c>
      <c r="AR367" s="1537" t="s">
        <v>2009</v>
      </c>
      <c r="AS367" s="1552" t="s">
        <v>2435</v>
      </c>
    </row>
    <row r="368" spans="1:45" x14ac:dyDescent="0.35">
      <c r="B368" s="1537">
        <f t="shared" si="6"/>
        <v>363</v>
      </c>
      <c r="C368" s="1537" t="s">
        <v>1647</v>
      </c>
      <c r="D368" s="1537" t="s">
        <v>2436</v>
      </c>
      <c r="E368" s="1537" t="s">
        <v>2437</v>
      </c>
      <c r="F368" s="1537">
        <v>1</v>
      </c>
      <c r="G368" s="1550" t="s">
        <v>2067</v>
      </c>
      <c r="H368" s="1537" t="s">
        <v>1990</v>
      </c>
      <c r="I368" s="1537" t="s">
        <v>1991</v>
      </c>
      <c r="K368" s="1545">
        <v>1365</v>
      </c>
      <c r="L368" s="1545">
        <v>59.7</v>
      </c>
      <c r="M368" s="1551">
        <v>0</v>
      </c>
      <c r="N368" s="1551">
        <v>63</v>
      </c>
      <c r="O368" s="1551">
        <v>118</v>
      </c>
      <c r="P368" s="1551">
        <v>106</v>
      </c>
      <c r="Q368" s="1551">
        <v>126</v>
      </c>
      <c r="R368" s="1551">
        <v>113</v>
      </c>
      <c r="S368" s="1551">
        <v>149</v>
      </c>
      <c r="T368" s="1551">
        <v>179</v>
      </c>
      <c r="U368" s="1551">
        <v>238</v>
      </c>
      <c r="V368" s="1551">
        <v>273</v>
      </c>
      <c r="W368" s="1551">
        <v>0</v>
      </c>
      <c r="X368" s="1551">
        <v>0</v>
      </c>
      <c r="Y368" s="1551">
        <v>0</v>
      </c>
      <c r="Z368" s="1551">
        <v>0</v>
      </c>
      <c r="AA368" s="1551"/>
      <c r="AB368" s="1551"/>
      <c r="AC368" s="1551"/>
      <c r="AD368" s="1551"/>
      <c r="AE368" s="1551">
        <v>27</v>
      </c>
      <c r="AF368" s="1551">
        <v>24</v>
      </c>
      <c r="AG368" s="1551">
        <v>231</v>
      </c>
      <c r="AH368" s="1551">
        <v>240</v>
      </c>
      <c r="AI368" s="1551">
        <v>0</v>
      </c>
      <c r="AJ368" s="1551">
        <v>707</v>
      </c>
      <c r="AK368" s="1551">
        <v>136</v>
      </c>
      <c r="AL368" s="1551">
        <v>730</v>
      </c>
      <c r="AM368" s="1551">
        <v>635</v>
      </c>
      <c r="AN368" s="1551">
        <v>849</v>
      </c>
      <c r="AO368" s="1551">
        <v>56</v>
      </c>
      <c r="AP368" s="1537" t="s">
        <v>2433</v>
      </c>
      <c r="AQ368" s="1552" t="s">
        <v>2438</v>
      </c>
      <c r="AR368" s="1537" t="s">
        <v>2009</v>
      </c>
      <c r="AS368" s="1552" t="s">
        <v>2439</v>
      </c>
    </row>
    <row r="369" spans="1:45" x14ac:dyDescent="0.35">
      <c r="B369" s="1537">
        <f t="shared" si="6"/>
        <v>364</v>
      </c>
      <c r="C369" s="1537" t="s">
        <v>1647</v>
      </c>
      <c r="D369" s="1537" t="s">
        <v>2440</v>
      </c>
      <c r="F369" s="1537">
        <v>1</v>
      </c>
      <c r="G369" s="1550" t="s">
        <v>2039</v>
      </c>
      <c r="H369" s="1537" t="s">
        <v>1990</v>
      </c>
      <c r="I369" s="1537" t="s">
        <v>1991</v>
      </c>
      <c r="K369" s="1545">
        <v>1270</v>
      </c>
      <c r="L369" s="1545">
        <v>59.95</v>
      </c>
      <c r="M369" s="1551">
        <v>0</v>
      </c>
      <c r="N369" s="1551">
        <v>0</v>
      </c>
      <c r="O369" s="1551">
        <v>0</v>
      </c>
      <c r="P369" s="1551">
        <v>0</v>
      </c>
      <c r="Q369" s="1551">
        <v>0</v>
      </c>
      <c r="R369" s="1551">
        <v>0</v>
      </c>
      <c r="S369" s="1551">
        <v>0</v>
      </c>
      <c r="T369" s="1551">
        <v>0</v>
      </c>
      <c r="U369" s="1551">
        <v>0</v>
      </c>
      <c r="V369" s="1551">
        <v>0</v>
      </c>
      <c r="W369" s="1551">
        <v>220</v>
      </c>
      <c r="X369" s="1551">
        <v>300</v>
      </c>
      <c r="Y369" s="1551">
        <v>361</v>
      </c>
      <c r="Z369" s="1551">
        <v>389</v>
      </c>
      <c r="AA369" s="1551"/>
      <c r="AB369" s="1551"/>
      <c r="AC369" s="1551"/>
      <c r="AD369" s="1551"/>
      <c r="AE369" s="1551">
        <v>11</v>
      </c>
      <c r="AF369" s="1551">
        <v>22</v>
      </c>
      <c r="AG369" s="1551">
        <v>157</v>
      </c>
      <c r="AH369" s="1551">
        <v>211</v>
      </c>
      <c r="AI369" s="1551">
        <v>0</v>
      </c>
      <c r="AJ369" s="1551">
        <v>768</v>
      </c>
      <c r="AK369" s="1551">
        <v>98</v>
      </c>
      <c r="AL369" s="1551">
        <v>545</v>
      </c>
      <c r="AM369" s="1551">
        <v>722</v>
      </c>
      <c r="AN369" s="1551">
        <v>662</v>
      </c>
      <c r="AO369" s="1551">
        <v>55</v>
      </c>
      <c r="AP369" s="1537" t="s">
        <v>2433</v>
      </c>
      <c r="AQ369" s="1552" t="s">
        <v>2441</v>
      </c>
      <c r="AR369" s="1537" t="s">
        <v>2009</v>
      </c>
      <c r="AS369" s="1552" t="s">
        <v>2442</v>
      </c>
    </row>
    <row r="370" spans="1:45" x14ac:dyDescent="0.35">
      <c r="B370" s="1537">
        <f t="shared" si="6"/>
        <v>365</v>
      </c>
      <c r="C370" s="1537" t="s">
        <v>1647</v>
      </c>
      <c r="D370" s="1537" t="s">
        <v>2443</v>
      </c>
      <c r="E370" s="1537" t="s">
        <v>2444</v>
      </c>
      <c r="F370" s="1537">
        <v>1</v>
      </c>
      <c r="G370" s="1550" t="s">
        <v>2039</v>
      </c>
      <c r="H370" s="1537" t="s">
        <v>1990</v>
      </c>
      <c r="I370" s="1537" t="s">
        <v>2059</v>
      </c>
      <c r="K370" s="1545">
        <v>173</v>
      </c>
      <c r="L370" s="1545">
        <v>8.3699999999999992</v>
      </c>
      <c r="M370" s="1551">
        <v>0</v>
      </c>
      <c r="N370" s="1551">
        <v>0</v>
      </c>
      <c r="O370" s="1551">
        <v>0</v>
      </c>
      <c r="P370" s="1551">
        <v>0</v>
      </c>
      <c r="Q370" s="1551">
        <v>0</v>
      </c>
      <c r="R370" s="1551">
        <v>0</v>
      </c>
      <c r="S370" s="1551">
        <v>0</v>
      </c>
      <c r="T370" s="1551">
        <v>0</v>
      </c>
      <c r="U370" s="1551">
        <v>0</v>
      </c>
      <c r="V370" s="1551">
        <v>0</v>
      </c>
      <c r="W370" s="1551">
        <v>0</v>
      </c>
      <c r="X370" s="1551">
        <v>4</v>
      </c>
      <c r="Y370" s="1551">
        <v>43</v>
      </c>
      <c r="Z370" s="1551">
        <v>126</v>
      </c>
      <c r="AA370" s="1551"/>
      <c r="AB370" s="1551"/>
      <c r="AC370" s="1551"/>
      <c r="AD370" s="1551"/>
      <c r="AE370" s="1551">
        <v>2</v>
      </c>
      <c r="AF370" s="1551">
        <v>0</v>
      </c>
      <c r="AG370" s="1551">
        <v>27</v>
      </c>
      <c r="AH370" s="1551">
        <v>32</v>
      </c>
      <c r="AI370" s="1551">
        <v>0</v>
      </c>
      <c r="AJ370" s="1551">
        <v>92</v>
      </c>
      <c r="AK370" s="1551">
        <v>20</v>
      </c>
      <c r="AL370" s="1551">
        <v>70</v>
      </c>
      <c r="AM370" s="1551">
        <v>103</v>
      </c>
      <c r="AN370" s="1551">
        <v>105</v>
      </c>
      <c r="AO370" s="1551">
        <v>6</v>
      </c>
      <c r="AP370" s="1537" t="s">
        <v>2433</v>
      </c>
      <c r="AQ370" s="1552" t="s">
        <v>2445</v>
      </c>
      <c r="AR370" s="1537" t="s">
        <v>2009</v>
      </c>
      <c r="AS370" s="1552" t="s">
        <v>2446</v>
      </c>
    </row>
    <row r="371" spans="1:45" hidden="1" x14ac:dyDescent="0.35">
      <c r="B371" s="1537">
        <f t="shared" si="6"/>
        <v>366</v>
      </c>
      <c r="C371" s="1537" t="s">
        <v>1647</v>
      </c>
      <c r="D371" s="1530" t="s">
        <v>1998</v>
      </c>
      <c r="F371" s="1537">
        <v>1</v>
      </c>
      <c r="G371" s="1537" t="s">
        <v>1999</v>
      </c>
      <c r="H371" s="1537" t="s">
        <v>2000</v>
      </c>
    </row>
    <row r="372" spans="1:45" hidden="1" x14ac:dyDescent="0.35">
      <c r="B372" s="1537">
        <f t="shared" si="6"/>
        <v>367</v>
      </c>
      <c r="C372" s="1537" t="s">
        <v>1647</v>
      </c>
      <c r="D372" s="1530" t="s">
        <v>2001</v>
      </c>
      <c r="F372" s="1537">
        <v>1</v>
      </c>
      <c r="G372" s="1537" t="s">
        <v>1989</v>
      </c>
      <c r="H372" s="1537" t="s">
        <v>2000</v>
      </c>
    </row>
    <row r="373" spans="1:45" hidden="1" x14ac:dyDescent="0.35">
      <c r="B373" s="1537">
        <f t="shared" si="6"/>
        <v>368</v>
      </c>
      <c r="C373" s="1537" t="s">
        <v>1647</v>
      </c>
      <c r="D373" s="1530" t="s">
        <v>2002</v>
      </c>
      <c r="F373" s="1537">
        <v>1</v>
      </c>
      <c r="G373" s="1537" t="s">
        <v>1989</v>
      </c>
      <c r="H373" s="1537" t="s">
        <v>2000</v>
      </c>
    </row>
    <row r="374" spans="1:45" hidden="1" x14ac:dyDescent="0.35">
      <c r="B374" s="1537">
        <f t="shared" si="6"/>
        <v>369</v>
      </c>
      <c r="C374" s="1537" t="s">
        <v>1647</v>
      </c>
      <c r="D374" s="1530" t="s">
        <v>2003</v>
      </c>
      <c r="F374" s="1537">
        <v>1</v>
      </c>
      <c r="G374" s="1553" t="s">
        <v>2004</v>
      </c>
      <c r="H374" s="1537" t="s">
        <v>2000</v>
      </c>
    </row>
    <row r="375" spans="1:45" hidden="1" x14ac:dyDescent="0.35">
      <c r="B375" s="1537">
        <f t="shared" si="6"/>
        <v>370</v>
      </c>
      <c r="C375" s="1537" t="s">
        <v>1647</v>
      </c>
      <c r="D375" s="1530" t="s">
        <v>2005</v>
      </c>
      <c r="F375" s="1537">
        <v>1</v>
      </c>
      <c r="G375" s="1537" t="s">
        <v>1999</v>
      </c>
      <c r="H375" s="1537" t="s">
        <v>2000</v>
      </c>
    </row>
    <row r="376" spans="1:45" s="1559" customFormat="1" x14ac:dyDescent="0.35">
      <c r="A376" s="1559" t="s">
        <v>2020</v>
      </c>
      <c r="B376" s="1559">
        <f t="shared" si="6"/>
        <v>371</v>
      </c>
      <c r="C376" s="1559" t="s">
        <v>1648</v>
      </c>
      <c r="D376" s="1560" t="s">
        <v>2447</v>
      </c>
      <c r="G376" s="1561" t="s">
        <v>1989</v>
      </c>
      <c r="H376" s="1559" t="s">
        <v>1990</v>
      </c>
      <c r="M376" s="1562"/>
      <c r="N376" s="1562"/>
      <c r="O376" s="1562"/>
      <c r="P376" s="1562"/>
      <c r="Q376" s="1562"/>
      <c r="R376" s="1562"/>
      <c r="S376" s="1562"/>
      <c r="T376" s="1562"/>
      <c r="U376" s="1562"/>
      <c r="V376" s="1562"/>
      <c r="W376" s="1562"/>
      <c r="X376" s="1562"/>
      <c r="Y376" s="1562"/>
      <c r="Z376" s="1562"/>
      <c r="AA376" s="1562"/>
      <c r="AB376" s="1562"/>
      <c r="AC376" s="1562"/>
      <c r="AD376" s="1562"/>
      <c r="AE376" s="1562"/>
      <c r="AF376" s="1562"/>
      <c r="AG376" s="1562"/>
      <c r="AH376" s="1562"/>
      <c r="AI376" s="1562"/>
      <c r="AJ376" s="1562"/>
      <c r="AK376" s="1562"/>
      <c r="AL376" s="1562"/>
      <c r="AM376" s="1562"/>
      <c r="AN376" s="1562"/>
      <c r="AO376" s="1562"/>
      <c r="AQ376" s="1559" t="s">
        <v>2448</v>
      </c>
      <c r="AR376" s="1537" t="s">
        <v>2009</v>
      </c>
    </row>
    <row r="377" spans="1:45" hidden="1" x14ac:dyDescent="0.35">
      <c r="B377" s="1537">
        <f t="shared" si="6"/>
        <v>372</v>
      </c>
      <c r="C377" s="1537" t="s">
        <v>1648</v>
      </c>
      <c r="D377" s="1554" t="s">
        <v>1998</v>
      </c>
      <c r="G377" s="1537" t="s">
        <v>1989</v>
      </c>
      <c r="H377" s="1537" t="s">
        <v>2000</v>
      </c>
    </row>
    <row r="378" spans="1:45" hidden="1" x14ac:dyDescent="0.35">
      <c r="B378" s="1537">
        <f t="shared" si="6"/>
        <v>373</v>
      </c>
      <c r="C378" s="1537" t="s">
        <v>1648</v>
      </c>
      <c r="D378" s="1530" t="s">
        <v>2001</v>
      </c>
      <c r="G378" s="1537" t="s">
        <v>1989</v>
      </c>
      <c r="H378" s="1537" t="s">
        <v>2000</v>
      </c>
    </row>
    <row r="379" spans="1:45" hidden="1" x14ac:dyDescent="0.35">
      <c r="B379" s="1537">
        <f t="shared" si="6"/>
        <v>374</v>
      </c>
      <c r="C379" s="1537" t="s">
        <v>1648</v>
      </c>
      <c r="D379" s="1530" t="s">
        <v>2002</v>
      </c>
      <c r="G379" s="1537" t="s">
        <v>1989</v>
      </c>
      <c r="H379" s="1537" t="s">
        <v>2000</v>
      </c>
    </row>
    <row r="380" spans="1:45" hidden="1" x14ac:dyDescent="0.35">
      <c r="B380" s="1537">
        <f t="shared" si="6"/>
        <v>375</v>
      </c>
      <c r="C380" s="1537" t="s">
        <v>1648</v>
      </c>
      <c r="D380" s="1530" t="s">
        <v>2003</v>
      </c>
      <c r="G380" s="1553" t="s">
        <v>2004</v>
      </c>
      <c r="H380" s="1537" t="s">
        <v>2000</v>
      </c>
    </row>
    <row r="381" spans="1:45" hidden="1" x14ac:dyDescent="0.35">
      <c r="B381" s="1537">
        <f t="shared" si="6"/>
        <v>376</v>
      </c>
      <c r="C381" s="1537" t="s">
        <v>1648</v>
      </c>
      <c r="D381" s="1530" t="s">
        <v>2005</v>
      </c>
      <c r="G381" s="1537" t="s">
        <v>1999</v>
      </c>
      <c r="H381" s="1537" t="s">
        <v>2000</v>
      </c>
    </row>
    <row r="382" spans="1:45" hidden="1" x14ac:dyDescent="0.35">
      <c r="B382" s="1537">
        <f t="shared" si="6"/>
        <v>377</v>
      </c>
      <c r="G382" s="1537"/>
    </row>
    <row r="383" spans="1:45" hidden="1" x14ac:dyDescent="0.35">
      <c r="B383" s="1537">
        <f t="shared" si="6"/>
        <v>378</v>
      </c>
      <c r="G383" s="1537"/>
      <c r="K383" s="1540">
        <f>+SUM(K6:K381)</f>
        <v>139694</v>
      </c>
    </row>
    <row r="384" spans="1:45" s="1538" customFormat="1" x14ac:dyDescent="0.35">
      <c r="C384" s="1538" t="s">
        <v>2449</v>
      </c>
      <c r="D384" s="1538">
        <v>109</v>
      </c>
      <c r="E384" s="1538">
        <v>96</v>
      </c>
      <c r="F384" s="1538">
        <f>SUBTOTAL(9,F6:F376)</f>
        <v>84</v>
      </c>
      <c r="G384" s="1563"/>
      <c r="I384" s="1538" t="s">
        <v>2450</v>
      </c>
      <c r="K384" s="1564">
        <f>+SUM(K6:K376)</f>
        <v>139694</v>
      </c>
      <c r="M384" s="1564"/>
      <c r="N384" s="1564"/>
      <c r="O384" s="1564"/>
      <c r="P384" s="1564"/>
      <c r="Q384" s="1564"/>
      <c r="R384" s="1564"/>
      <c r="S384" s="1564"/>
      <c r="T384" s="1564"/>
      <c r="U384" s="1564"/>
      <c r="V384" s="1564"/>
      <c r="W384" s="1564"/>
      <c r="X384" s="1564"/>
      <c r="Y384" s="1564"/>
      <c r="Z384" s="1565"/>
      <c r="AA384" s="1565"/>
      <c r="AB384" s="1565"/>
      <c r="AC384" s="1565"/>
      <c r="AD384" s="1565"/>
      <c r="AE384" s="1565"/>
      <c r="AF384" s="1565"/>
      <c r="AG384" s="1565"/>
      <c r="AH384" s="1565"/>
      <c r="AI384" s="1565"/>
      <c r="AJ384" s="1565"/>
      <c r="AK384" s="1565"/>
      <c r="AL384" s="1565"/>
      <c r="AM384" s="1565"/>
      <c r="AN384" s="1565"/>
      <c r="AO384" s="1565"/>
    </row>
    <row r="385" spans="13:41" x14ac:dyDescent="0.35">
      <c r="M385" s="1542"/>
      <c r="N385" s="1542"/>
      <c r="O385" s="1542"/>
      <c r="P385" s="1542"/>
      <c r="Q385" s="1542"/>
      <c r="R385" s="1542"/>
      <c r="S385" s="1542"/>
      <c r="T385" s="1542"/>
      <c r="U385" s="1542"/>
      <c r="V385" s="1542"/>
      <c r="W385" s="1542"/>
      <c r="X385" s="1542"/>
      <c r="Y385" s="1542"/>
      <c r="Z385" s="1542"/>
      <c r="AA385" s="1542"/>
      <c r="AB385" s="1542"/>
      <c r="AC385" s="1542"/>
      <c r="AD385" s="1542"/>
      <c r="AE385" s="1542"/>
      <c r="AF385" s="1542"/>
      <c r="AG385" s="1542"/>
      <c r="AH385" s="1542"/>
      <c r="AI385" s="1542"/>
      <c r="AJ385" s="1542"/>
      <c r="AK385" s="1542"/>
      <c r="AL385" s="1542"/>
      <c r="AM385" s="1542"/>
      <c r="AN385" s="1542"/>
      <c r="AO385" s="1542"/>
    </row>
    <row r="386" spans="13:41" x14ac:dyDescent="0.35">
      <c r="M386" s="1542"/>
      <c r="N386" s="1542"/>
      <c r="O386" s="1542"/>
      <c r="P386" s="1542"/>
      <c r="Q386" s="1542"/>
      <c r="R386" s="1542"/>
      <c r="S386" s="1542"/>
      <c r="T386" s="1542"/>
      <c r="U386" s="1542"/>
      <c r="V386" s="1542"/>
      <c r="W386" s="1542"/>
      <c r="X386" s="1542"/>
      <c r="Y386" s="1542"/>
      <c r="Z386" s="1542"/>
      <c r="AA386" s="1542"/>
      <c r="AB386" s="1542"/>
      <c r="AC386" s="1542"/>
      <c r="AD386" s="1542"/>
      <c r="AE386" s="1542"/>
      <c r="AF386" s="1542"/>
      <c r="AG386" s="1542"/>
      <c r="AH386" s="1542"/>
      <c r="AI386" s="1542"/>
      <c r="AJ386" s="1542"/>
      <c r="AK386" s="1542"/>
      <c r="AL386" s="1542"/>
      <c r="AM386" s="1542"/>
      <c r="AN386" s="1542"/>
      <c r="AO386" s="1542"/>
    </row>
    <row r="387" spans="13:41" x14ac:dyDescent="0.35">
      <c r="M387" s="1542"/>
      <c r="N387" s="1542"/>
      <c r="O387" s="1542"/>
      <c r="P387" s="1542"/>
      <c r="Q387" s="1542"/>
      <c r="R387" s="1542"/>
      <c r="S387" s="1542"/>
      <c r="T387" s="1542"/>
      <c r="U387" s="1542"/>
      <c r="V387" s="1542"/>
      <c r="W387" s="1542"/>
      <c r="X387" s="1542"/>
      <c r="Y387" s="1542"/>
      <c r="Z387" s="1542"/>
      <c r="AA387" s="1542"/>
      <c r="AB387" s="1542"/>
      <c r="AC387" s="1542"/>
      <c r="AD387" s="1542"/>
      <c r="AE387" s="1542"/>
      <c r="AF387" s="1542"/>
      <c r="AG387" s="1542"/>
      <c r="AH387" s="1542"/>
      <c r="AI387" s="1542"/>
      <c r="AJ387" s="1542"/>
      <c r="AK387" s="1542"/>
      <c r="AL387" s="1542"/>
      <c r="AM387" s="1542"/>
      <c r="AN387" s="1542"/>
      <c r="AO387" s="1542"/>
    </row>
    <row r="388" spans="13:41" x14ac:dyDescent="0.35">
      <c r="M388" s="1542"/>
      <c r="N388" s="1542"/>
      <c r="O388" s="1542"/>
      <c r="P388" s="1542"/>
      <c r="Q388" s="1542"/>
      <c r="R388" s="1542"/>
      <c r="S388" s="1542"/>
      <c r="T388" s="1542"/>
      <c r="U388" s="1542"/>
      <c r="V388" s="1542"/>
      <c r="W388" s="1542"/>
      <c r="X388" s="1542"/>
      <c r="Y388" s="1542"/>
      <c r="Z388" s="1542"/>
      <c r="AA388" s="1542"/>
      <c r="AB388" s="1542"/>
      <c r="AC388" s="1542"/>
      <c r="AD388" s="1542"/>
      <c r="AE388" s="1542"/>
      <c r="AF388" s="1542"/>
      <c r="AG388" s="1542"/>
      <c r="AH388" s="1542"/>
      <c r="AI388" s="1542"/>
      <c r="AJ388" s="1542"/>
      <c r="AK388" s="1542"/>
      <c r="AL388" s="1542"/>
      <c r="AM388" s="1542"/>
      <c r="AN388" s="1542"/>
      <c r="AO388" s="1542"/>
    </row>
    <row r="389" spans="13:41" x14ac:dyDescent="0.35">
      <c r="M389" s="1542"/>
      <c r="N389" s="1542"/>
      <c r="O389" s="1542"/>
      <c r="P389" s="1542"/>
      <c r="Q389" s="1542"/>
      <c r="R389" s="1542"/>
      <c r="S389" s="1542"/>
      <c r="T389" s="1542"/>
      <c r="U389" s="1542"/>
      <c r="V389" s="1542"/>
      <c r="W389" s="1542"/>
      <c r="X389" s="1542"/>
      <c r="Y389" s="1542"/>
      <c r="Z389" s="1542"/>
      <c r="AA389" s="1542"/>
      <c r="AB389" s="1542"/>
      <c r="AC389" s="1542"/>
      <c r="AD389" s="1542"/>
      <c r="AE389" s="1542"/>
      <c r="AF389" s="1542"/>
      <c r="AG389" s="1542"/>
      <c r="AH389" s="1542"/>
      <c r="AI389" s="1542"/>
      <c r="AJ389" s="1542"/>
      <c r="AK389" s="1542"/>
      <c r="AL389" s="1542"/>
      <c r="AM389" s="1542"/>
      <c r="AN389" s="1542"/>
      <c r="AO389" s="1542"/>
    </row>
    <row r="390" spans="13:41" x14ac:dyDescent="0.35">
      <c r="M390" s="1542"/>
      <c r="N390" s="1542"/>
      <c r="O390" s="1542"/>
      <c r="P390" s="1542"/>
      <c r="Q390" s="1542"/>
      <c r="R390" s="1542"/>
      <c r="S390" s="1542"/>
      <c r="T390" s="1542"/>
      <c r="U390" s="1542"/>
      <c r="V390" s="1542"/>
      <c r="W390" s="1542"/>
      <c r="X390" s="1542"/>
      <c r="Y390" s="1542"/>
      <c r="Z390" s="1542"/>
      <c r="AA390" s="1542"/>
      <c r="AB390" s="1542"/>
      <c r="AC390" s="1542"/>
      <c r="AD390" s="1542"/>
      <c r="AE390" s="1542"/>
      <c r="AF390" s="1542"/>
      <c r="AG390" s="1542"/>
      <c r="AH390" s="1542"/>
      <c r="AI390" s="1542"/>
      <c r="AJ390" s="1542"/>
      <c r="AK390" s="1542"/>
      <c r="AL390" s="1542"/>
      <c r="AM390" s="1542"/>
      <c r="AN390" s="1542"/>
      <c r="AO390" s="1542"/>
    </row>
    <row r="391" spans="13:41" x14ac:dyDescent="0.35">
      <c r="M391" s="1542"/>
      <c r="N391" s="1542"/>
      <c r="O391" s="1542"/>
      <c r="P391" s="1542"/>
      <c r="Q391" s="1542"/>
      <c r="R391" s="1542"/>
      <c r="S391" s="1542"/>
      <c r="T391" s="1542"/>
      <c r="U391" s="1542"/>
      <c r="V391" s="1542"/>
      <c r="W391" s="1542"/>
      <c r="X391" s="1542"/>
      <c r="Y391" s="1542"/>
      <c r="Z391" s="1542"/>
      <c r="AA391" s="1542"/>
      <c r="AB391" s="1542"/>
      <c r="AC391" s="1542"/>
      <c r="AD391" s="1542"/>
      <c r="AE391" s="1542"/>
      <c r="AF391" s="1542"/>
      <c r="AG391" s="1542"/>
      <c r="AH391" s="1542"/>
      <c r="AI391" s="1542"/>
      <c r="AJ391" s="1542"/>
      <c r="AK391" s="1542"/>
      <c r="AL391" s="1542"/>
      <c r="AM391" s="1542"/>
      <c r="AN391" s="1542"/>
      <c r="AO391" s="1542"/>
    </row>
    <row r="392" spans="13:41" x14ac:dyDescent="0.35">
      <c r="M392" s="1542"/>
      <c r="N392" s="1542"/>
      <c r="O392" s="1542"/>
      <c r="P392" s="1542"/>
      <c r="Q392" s="1542"/>
      <c r="R392" s="1542"/>
      <c r="S392" s="1542"/>
      <c r="T392" s="1542"/>
      <c r="U392" s="1542"/>
      <c r="V392" s="1542"/>
      <c r="W392" s="1542"/>
      <c r="X392" s="1542"/>
      <c r="Y392" s="1542"/>
      <c r="Z392" s="1542"/>
      <c r="AA392" s="1542"/>
      <c r="AB392" s="1542"/>
      <c r="AC392" s="1542"/>
      <c r="AD392" s="1542"/>
      <c r="AE392" s="1542"/>
      <c r="AF392" s="1542"/>
      <c r="AG392" s="1542"/>
      <c r="AH392" s="1542"/>
      <c r="AI392" s="1542"/>
      <c r="AJ392" s="1542"/>
      <c r="AK392" s="1542"/>
      <c r="AL392" s="1542"/>
      <c r="AM392" s="1542"/>
      <c r="AN392" s="1542"/>
      <c r="AO392" s="1542"/>
    </row>
    <row r="393" spans="13:41" x14ac:dyDescent="0.35">
      <c r="M393" s="1542"/>
      <c r="N393" s="1542"/>
      <c r="O393" s="1542"/>
      <c r="P393" s="1542"/>
      <c r="Q393" s="1542"/>
      <c r="R393" s="1542"/>
      <c r="S393" s="1542"/>
      <c r="T393" s="1542"/>
      <c r="U393" s="1542"/>
      <c r="V393" s="1542"/>
      <c r="W393" s="1542"/>
      <c r="X393" s="1542"/>
      <c r="Y393" s="1542"/>
      <c r="Z393" s="1542"/>
      <c r="AA393" s="1542"/>
      <c r="AB393" s="1542"/>
      <c r="AC393" s="1542"/>
      <c r="AD393" s="1542"/>
      <c r="AE393" s="1542"/>
      <c r="AF393" s="1542"/>
      <c r="AG393" s="1542"/>
      <c r="AH393" s="1542"/>
      <c r="AI393" s="1542"/>
      <c r="AJ393" s="1542"/>
      <c r="AK393" s="1542"/>
      <c r="AL393" s="1542"/>
      <c r="AM393" s="1542"/>
      <c r="AN393" s="1542"/>
      <c r="AO393" s="1542"/>
    </row>
    <row r="394" spans="13:41" x14ac:dyDescent="0.35">
      <c r="M394" s="1542"/>
      <c r="N394" s="1542"/>
      <c r="O394" s="1542"/>
      <c r="P394" s="1542"/>
      <c r="Q394" s="1542"/>
      <c r="R394" s="1542"/>
      <c r="S394" s="1542"/>
      <c r="T394" s="1542"/>
      <c r="U394" s="1542"/>
      <c r="V394" s="1542"/>
      <c r="W394" s="1542"/>
      <c r="X394" s="1542"/>
      <c r="Y394" s="1542"/>
      <c r="Z394" s="1542"/>
      <c r="AA394" s="1542"/>
      <c r="AB394" s="1542"/>
      <c r="AC394" s="1542"/>
      <c r="AD394" s="1542"/>
      <c r="AE394" s="1542"/>
      <c r="AF394" s="1542"/>
      <c r="AG394" s="1542"/>
      <c r="AH394" s="1542"/>
      <c r="AI394" s="1542"/>
      <c r="AJ394" s="1542"/>
      <c r="AK394" s="1542"/>
      <c r="AL394" s="1542"/>
      <c r="AM394" s="1542"/>
      <c r="AN394" s="1542"/>
      <c r="AO394" s="1542"/>
    </row>
    <row r="395" spans="13:41" x14ac:dyDescent="0.35">
      <c r="M395" s="1542"/>
      <c r="N395" s="1542"/>
      <c r="O395" s="1542"/>
      <c r="P395" s="1542"/>
      <c r="Q395" s="1542"/>
      <c r="R395" s="1542"/>
      <c r="S395" s="1542"/>
      <c r="T395" s="1542"/>
      <c r="U395" s="1542"/>
      <c r="V395" s="1542"/>
      <c r="W395" s="1542"/>
      <c r="X395" s="1542"/>
      <c r="Y395" s="1542"/>
      <c r="Z395" s="1542"/>
      <c r="AA395" s="1542"/>
      <c r="AB395" s="1542"/>
      <c r="AC395" s="1542"/>
      <c r="AD395" s="1542"/>
      <c r="AE395" s="1542"/>
      <c r="AF395" s="1542"/>
      <c r="AG395" s="1542"/>
      <c r="AH395" s="1542"/>
      <c r="AI395" s="1542"/>
      <c r="AJ395" s="1542"/>
      <c r="AK395" s="1542"/>
      <c r="AL395" s="1542"/>
      <c r="AM395" s="1542"/>
      <c r="AN395" s="1542"/>
      <c r="AO395" s="1542"/>
    </row>
    <row r="396" spans="13:41" x14ac:dyDescent="0.35">
      <c r="M396" s="1542"/>
      <c r="N396" s="1542"/>
      <c r="O396" s="1542"/>
      <c r="P396" s="1542"/>
      <c r="Q396" s="1542"/>
      <c r="R396" s="1542"/>
      <c r="S396" s="1542"/>
      <c r="T396" s="1542"/>
      <c r="U396" s="1542"/>
      <c r="V396" s="1542"/>
      <c r="W396" s="1542"/>
      <c r="X396" s="1542"/>
      <c r="Y396" s="1542"/>
      <c r="Z396" s="1542"/>
      <c r="AA396" s="1542"/>
      <c r="AB396" s="1542"/>
      <c r="AC396" s="1542"/>
      <c r="AD396" s="1542"/>
      <c r="AE396" s="1542"/>
      <c r="AF396" s="1542"/>
      <c r="AG396" s="1542"/>
      <c r="AH396" s="1542"/>
      <c r="AI396" s="1542"/>
      <c r="AJ396" s="1542"/>
      <c r="AK396" s="1542"/>
      <c r="AL396" s="1542"/>
      <c r="AM396" s="1542"/>
      <c r="AN396" s="1542"/>
      <c r="AO396" s="1542"/>
    </row>
    <row r="397" spans="13:41" x14ac:dyDescent="0.35">
      <c r="M397" s="1542"/>
      <c r="N397" s="1542"/>
      <c r="O397" s="1542"/>
      <c r="P397" s="1542"/>
      <c r="Q397" s="1542"/>
      <c r="R397" s="1542"/>
      <c r="S397" s="1542"/>
      <c r="T397" s="1542"/>
      <c r="U397" s="1542"/>
      <c r="V397" s="1542"/>
      <c r="W397" s="1542"/>
      <c r="X397" s="1542"/>
      <c r="Y397" s="1542"/>
      <c r="Z397" s="1542"/>
      <c r="AA397" s="1542"/>
      <c r="AB397" s="1542"/>
      <c r="AC397" s="1542"/>
      <c r="AD397" s="1542"/>
      <c r="AE397" s="1542"/>
      <c r="AF397" s="1542"/>
      <c r="AG397" s="1542"/>
      <c r="AH397" s="1542"/>
      <c r="AI397" s="1542"/>
      <c r="AJ397" s="1542"/>
      <c r="AK397" s="1542"/>
      <c r="AL397" s="1542"/>
      <c r="AM397" s="1542"/>
      <c r="AN397" s="1542"/>
      <c r="AO397" s="1542"/>
    </row>
    <row r="398" spans="13:41" x14ac:dyDescent="0.35">
      <c r="M398" s="1542"/>
      <c r="N398" s="1542"/>
      <c r="O398" s="1542"/>
      <c r="P398" s="1542"/>
      <c r="Q398" s="1542"/>
      <c r="R398" s="1542"/>
      <c r="S398" s="1542"/>
      <c r="T398" s="1542"/>
      <c r="U398" s="1542"/>
      <c r="V398" s="1542"/>
      <c r="W398" s="1542"/>
      <c r="X398" s="1542"/>
      <c r="Y398" s="1542"/>
      <c r="Z398" s="1542"/>
      <c r="AA398" s="1542"/>
      <c r="AB398" s="1542"/>
      <c r="AC398" s="1542"/>
      <c r="AD398" s="1542"/>
      <c r="AE398" s="1542"/>
      <c r="AF398" s="1542"/>
      <c r="AG398" s="1542"/>
      <c r="AH398" s="1542"/>
      <c r="AI398" s="1542"/>
      <c r="AJ398" s="1542"/>
      <c r="AK398" s="1542"/>
      <c r="AL398" s="1542"/>
      <c r="AM398" s="1542"/>
      <c r="AN398" s="1542"/>
      <c r="AO398" s="1542"/>
    </row>
    <row r="399" spans="13:41" x14ac:dyDescent="0.35">
      <c r="M399" s="1542"/>
      <c r="N399" s="1542"/>
      <c r="O399" s="1542"/>
      <c r="P399" s="1542"/>
      <c r="Q399" s="1542"/>
      <c r="R399" s="1542"/>
      <c r="S399" s="1542"/>
      <c r="T399" s="1542"/>
      <c r="U399" s="1542"/>
      <c r="V399" s="1542"/>
      <c r="W399" s="1542"/>
      <c r="X399" s="1542"/>
      <c r="Y399" s="1542"/>
      <c r="Z399" s="1542"/>
      <c r="AA399" s="1542"/>
      <c r="AB399" s="1542"/>
      <c r="AC399" s="1542"/>
      <c r="AD399" s="1542"/>
      <c r="AE399" s="1542"/>
      <c r="AF399" s="1542"/>
      <c r="AG399" s="1542"/>
      <c r="AH399" s="1542"/>
      <c r="AI399" s="1542"/>
      <c r="AJ399" s="1542"/>
      <c r="AK399" s="1542"/>
      <c r="AL399" s="1542"/>
      <c r="AM399" s="1542"/>
      <c r="AN399" s="1542"/>
      <c r="AO399" s="1542"/>
    </row>
    <row r="400" spans="13:41" x14ac:dyDescent="0.35">
      <c r="M400" s="1542"/>
      <c r="N400" s="1542"/>
      <c r="O400" s="1542"/>
      <c r="P400" s="1542"/>
      <c r="Q400" s="1542"/>
      <c r="R400" s="1542"/>
      <c r="S400" s="1542"/>
      <c r="T400" s="1542"/>
      <c r="U400" s="1542"/>
      <c r="V400" s="1542"/>
      <c r="W400" s="1542"/>
      <c r="X400" s="1542"/>
      <c r="Y400" s="1542"/>
      <c r="Z400" s="1542"/>
      <c r="AA400" s="1542"/>
      <c r="AB400" s="1542"/>
      <c r="AC400" s="1542"/>
      <c r="AD400" s="1542"/>
      <c r="AE400" s="1542"/>
      <c r="AF400" s="1542"/>
      <c r="AG400" s="1542"/>
      <c r="AH400" s="1542"/>
      <c r="AI400" s="1542"/>
      <c r="AJ400" s="1542"/>
      <c r="AK400" s="1542"/>
      <c r="AL400" s="1542"/>
      <c r="AM400" s="1542"/>
      <c r="AN400" s="1542"/>
      <c r="AO400" s="1542"/>
    </row>
    <row r="401" spans="13:41" x14ac:dyDescent="0.35">
      <c r="M401" s="1542"/>
      <c r="N401" s="1542"/>
      <c r="O401" s="1542"/>
      <c r="P401" s="1542"/>
      <c r="Q401" s="1542"/>
      <c r="R401" s="1542"/>
      <c r="S401" s="1542"/>
      <c r="T401" s="1542"/>
      <c r="U401" s="1542"/>
      <c r="V401" s="1542"/>
      <c r="W401" s="1542"/>
      <c r="X401" s="1542"/>
      <c r="Y401" s="1542"/>
      <c r="Z401" s="1542"/>
      <c r="AA401" s="1542"/>
      <c r="AB401" s="1542"/>
      <c r="AC401" s="1542"/>
      <c r="AD401" s="1542"/>
      <c r="AE401" s="1542"/>
      <c r="AF401" s="1542"/>
      <c r="AG401" s="1542"/>
      <c r="AH401" s="1542"/>
      <c r="AI401" s="1542"/>
      <c r="AJ401" s="1542"/>
      <c r="AK401" s="1542"/>
      <c r="AL401" s="1542"/>
      <c r="AM401" s="1542"/>
      <c r="AN401" s="1542"/>
      <c r="AO401" s="1542"/>
    </row>
    <row r="402" spans="13:41" x14ac:dyDescent="0.35">
      <c r="M402" s="1542"/>
      <c r="N402" s="1542"/>
      <c r="O402" s="1542"/>
      <c r="P402" s="1542"/>
      <c r="Q402" s="1542"/>
      <c r="R402" s="1542"/>
      <c r="S402" s="1542"/>
      <c r="T402" s="1542"/>
      <c r="U402" s="1542"/>
      <c r="V402" s="1542"/>
      <c r="W402" s="1542"/>
      <c r="X402" s="1542"/>
      <c r="Y402" s="1542"/>
      <c r="Z402" s="1542"/>
      <c r="AA402" s="1542"/>
      <c r="AB402" s="1542"/>
      <c r="AC402" s="1542"/>
      <c r="AD402" s="1542"/>
      <c r="AE402" s="1542"/>
      <c r="AF402" s="1542"/>
      <c r="AG402" s="1542"/>
      <c r="AH402" s="1542"/>
      <c r="AI402" s="1542"/>
      <c r="AJ402" s="1542"/>
      <c r="AK402" s="1542"/>
      <c r="AL402" s="1542"/>
      <c r="AM402" s="1542"/>
      <c r="AN402" s="1542"/>
      <c r="AO402" s="1542"/>
    </row>
    <row r="403" spans="13:41" x14ac:dyDescent="0.35">
      <c r="M403" s="1542"/>
      <c r="N403" s="1542"/>
      <c r="O403" s="1542"/>
      <c r="P403" s="1542"/>
      <c r="Q403" s="1542"/>
      <c r="R403" s="1542"/>
      <c r="S403" s="1542"/>
      <c r="T403" s="1542"/>
      <c r="U403" s="1542"/>
      <c r="V403" s="1542"/>
      <c r="W403" s="1542"/>
      <c r="X403" s="1542"/>
      <c r="Y403" s="1542"/>
      <c r="Z403" s="1542"/>
      <c r="AA403" s="1542"/>
      <c r="AB403" s="1542"/>
      <c r="AC403" s="1542"/>
      <c r="AD403" s="1542"/>
      <c r="AE403" s="1542"/>
      <c r="AF403" s="1542"/>
      <c r="AG403" s="1542"/>
      <c r="AH403" s="1542"/>
      <c r="AI403" s="1542"/>
      <c r="AJ403" s="1542"/>
      <c r="AK403" s="1542"/>
      <c r="AL403" s="1542"/>
      <c r="AM403" s="1542"/>
      <c r="AN403" s="1542"/>
      <c r="AO403" s="1542"/>
    </row>
    <row r="404" spans="13:41" x14ac:dyDescent="0.35">
      <c r="M404" s="1542"/>
      <c r="N404" s="1542"/>
      <c r="O404" s="1542"/>
      <c r="P404" s="1542"/>
      <c r="Q404" s="1542"/>
      <c r="R404" s="1542"/>
      <c r="S404" s="1542"/>
      <c r="T404" s="1542"/>
      <c r="U404" s="1542"/>
      <c r="V404" s="1542"/>
      <c r="W404" s="1542"/>
      <c r="X404" s="1542"/>
      <c r="Y404" s="1542"/>
      <c r="Z404" s="1542"/>
      <c r="AA404" s="1542"/>
      <c r="AB404" s="1542"/>
      <c r="AC404" s="1542"/>
      <c r="AD404" s="1542"/>
      <c r="AE404" s="1542"/>
      <c r="AF404" s="1542"/>
      <c r="AG404" s="1542"/>
      <c r="AH404" s="1542"/>
      <c r="AI404" s="1542"/>
      <c r="AJ404" s="1542"/>
      <c r="AK404" s="1542"/>
      <c r="AL404" s="1542"/>
      <c r="AM404" s="1542"/>
      <c r="AN404" s="1542"/>
      <c r="AO404" s="1542"/>
    </row>
    <row r="405" spans="13:41" x14ac:dyDescent="0.35">
      <c r="M405" s="1542"/>
      <c r="N405" s="1542"/>
      <c r="O405" s="1542"/>
      <c r="P405" s="1542"/>
      <c r="Q405" s="1542"/>
      <c r="R405" s="1542"/>
      <c r="S405" s="1542"/>
      <c r="T405" s="1542"/>
      <c r="U405" s="1542"/>
      <c r="V405" s="1542"/>
      <c r="W405" s="1542"/>
      <c r="X405" s="1542"/>
      <c r="Y405" s="1542"/>
      <c r="Z405" s="1542"/>
      <c r="AA405" s="1542"/>
      <c r="AB405" s="1542"/>
      <c r="AC405" s="1542"/>
      <c r="AD405" s="1542"/>
      <c r="AE405" s="1542"/>
      <c r="AF405" s="1542"/>
      <c r="AG405" s="1542"/>
      <c r="AH405" s="1542"/>
      <c r="AI405" s="1542"/>
      <c r="AJ405" s="1542"/>
      <c r="AK405" s="1542"/>
      <c r="AL405" s="1542"/>
      <c r="AM405" s="1542"/>
      <c r="AN405" s="1542"/>
      <c r="AO405" s="1542"/>
    </row>
    <row r="406" spans="13:41" x14ac:dyDescent="0.35">
      <c r="M406" s="1542"/>
      <c r="N406" s="1542"/>
      <c r="O406" s="1542"/>
      <c r="P406" s="1542"/>
      <c r="Q406" s="1542"/>
      <c r="R406" s="1542"/>
      <c r="S406" s="1542"/>
      <c r="T406" s="1542"/>
      <c r="U406" s="1542"/>
      <c r="V406" s="1542"/>
      <c r="W406" s="1542"/>
      <c r="X406" s="1542"/>
      <c r="Y406" s="1542"/>
      <c r="Z406" s="1542"/>
      <c r="AA406" s="1542"/>
      <c r="AB406" s="1542"/>
      <c r="AC406" s="1542"/>
      <c r="AD406" s="1542"/>
      <c r="AE406" s="1542"/>
      <c r="AF406" s="1542"/>
      <c r="AG406" s="1542"/>
      <c r="AH406" s="1542"/>
      <c r="AI406" s="1542"/>
      <c r="AJ406" s="1542"/>
      <c r="AK406" s="1542"/>
      <c r="AL406" s="1542"/>
      <c r="AM406" s="1542"/>
      <c r="AN406" s="1542"/>
      <c r="AO406" s="1542"/>
    </row>
    <row r="407" spans="13:41" x14ac:dyDescent="0.35">
      <c r="M407" s="1542"/>
      <c r="N407" s="1542"/>
      <c r="O407" s="1542"/>
      <c r="P407" s="1542"/>
      <c r="Q407" s="1542"/>
      <c r="R407" s="1542"/>
      <c r="S407" s="1542"/>
      <c r="T407" s="1542"/>
      <c r="U407" s="1542"/>
      <c r="V407" s="1542"/>
      <c r="W407" s="1542"/>
      <c r="X407" s="1542"/>
      <c r="Y407" s="1542"/>
      <c r="Z407" s="1542"/>
      <c r="AA407" s="1542"/>
      <c r="AB407" s="1542"/>
      <c r="AC407" s="1542"/>
      <c r="AD407" s="1542"/>
      <c r="AE407" s="1542"/>
      <c r="AF407" s="1542"/>
      <c r="AG407" s="1542"/>
      <c r="AH407" s="1542"/>
      <c r="AI407" s="1542"/>
      <c r="AJ407" s="1542"/>
      <c r="AK407" s="1542"/>
      <c r="AL407" s="1542"/>
      <c r="AM407" s="1542"/>
      <c r="AN407" s="1542"/>
      <c r="AO407" s="1542"/>
    </row>
    <row r="408" spans="13:41" x14ac:dyDescent="0.35">
      <c r="M408" s="1542"/>
      <c r="N408" s="1542"/>
      <c r="O408" s="1542"/>
      <c r="P408" s="1542"/>
      <c r="Q408" s="1542"/>
      <c r="R408" s="1542"/>
      <c r="S408" s="1542"/>
      <c r="T408" s="1542"/>
      <c r="U408" s="1542"/>
      <c r="V408" s="1542"/>
      <c r="W408" s="1542"/>
      <c r="X408" s="1542"/>
      <c r="Y408" s="1542"/>
      <c r="Z408" s="1542"/>
      <c r="AA408" s="1542"/>
      <c r="AB408" s="1542"/>
      <c r="AC408" s="1542"/>
      <c r="AD408" s="1542"/>
      <c r="AE408" s="1542"/>
      <c r="AF408" s="1542"/>
      <c r="AG408" s="1542"/>
      <c r="AH408" s="1542"/>
      <c r="AI408" s="1542"/>
      <c r="AJ408" s="1542"/>
      <c r="AK408" s="1542"/>
      <c r="AL408" s="1542"/>
      <c r="AM408" s="1542"/>
      <c r="AN408" s="1542"/>
      <c r="AO408" s="1542"/>
    </row>
    <row r="409" spans="13:41" x14ac:dyDescent="0.35">
      <c r="M409" s="1542"/>
      <c r="N409" s="1542"/>
      <c r="O409" s="1542"/>
      <c r="P409" s="1542"/>
      <c r="Q409" s="1542"/>
      <c r="R409" s="1542"/>
      <c r="S409" s="1542"/>
      <c r="T409" s="1542"/>
      <c r="U409" s="1542"/>
      <c r="V409" s="1542"/>
      <c r="W409" s="1542"/>
      <c r="X409" s="1542"/>
      <c r="Y409" s="1542"/>
      <c r="Z409" s="1542"/>
      <c r="AA409" s="1542"/>
      <c r="AB409" s="1542"/>
      <c r="AC409" s="1542"/>
      <c r="AD409" s="1542"/>
      <c r="AE409" s="1542"/>
      <c r="AF409" s="1542"/>
      <c r="AG409" s="1542"/>
      <c r="AH409" s="1542"/>
      <c r="AI409" s="1542"/>
      <c r="AJ409" s="1542"/>
      <c r="AK409" s="1542"/>
      <c r="AL409" s="1542"/>
      <c r="AM409" s="1542"/>
      <c r="AN409" s="1542"/>
      <c r="AO409" s="1542"/>
    </row>
    <row r="410" spans="13:41" x14ac:dyDescent="0.35">
      <c r="M410" s="1542"/>
      <c r="N410" s="1542"/>
      <c r="O410" s="1542"/>
      <c r="P410" s="1542"/>
      <c r="Q410" s="1542"/>
      <c r="R410" s="1542"/>
      <c r="S410" s="1542"/>
      <c r="T410" s="1542"/>
      <c r="U410" s="1542"/>
      <c r="V410" s="1542"/>
      <c r="W410" s="1542"/>
      <c r="X410" s="1542"/>
      <c r="Y410" s="1542"/>
      <c r="Z410" s="1542"/>
      <c r="AA410" s="1542"/>
      <c r="AB410" s="1542"/>
      <c r="AC410" s="1542"/>
      <c r="AD410" s="1542"/>
      <c r="AE410" s="1542"/>
      <c r="AF410" s="1542"/>
      <c r="AG410" s="1542"/>
      <c r="AH410" s="1542"/>
      <c r="AI410" s="1542"/>
      <c r="AJ410" s="1542"/>
      <c r="AK410" s="1542"/>
      <c r="AL410" s="1542"/>
      <c r="AM410" s="1542"/>
      <c r="AN410" s="1542"/>
      <c r="AO410" s="1542"/>
    </row>
    <row r="411" spans="13:41" x14ac:dyDescent="0.35">
      <c r="M411" s="1542"/>
      <c r="N411" s="1542"/>
      <c r="O411" s="1542"/>
      <c r="P411" s="1542"/>
      <c r="Q411" s="1542"/>
      <c r="R411" s="1542"/>
      <c r="S411" s="1542"/>
      <c r="T411" s="1542"/>
      <c r="U411" s="1542"/>
      <c r="V411" s="1542"/>
      <c r="W411" s="1542"/>
      <c r="X411" s="1542"/>
      <c r="Y411" s="1542"/>
      <c r="Z411" s="1542"/>
      <c r="AA411" s="1542"/>
      <c r="AB411" s="1542"/>
      <c r="AC411" s="1542"/>
      <c r="AD411" s="1542"/>
      <c r="AE411" s="1542"/>
      <c r="AF411" s="1542"/>
      <c r="AG411" s="1542"/>
      <c r="AH411" s="1542"/>
      <c r="AI411" s="1542"/>
      <c r="AJ411" s="1542"/>
      <c r="AK411" s="1542"/>
      <c r="AL411" s="1542"/>
      <c r="AM411" s="1542"/>
      <c r="AN411" s="1542"/>
      <c r="AO411" s="1542"/>
    </row>
    <row r="412" spans="13:41" x14ac:dyDescent="0.35">
      <c r="M412" s="1542"/>
      <c r="N412" s="1542"/>
      <c r="O412" s="1542"/>
      <c r="P412" s="1542"/>
      <c r="Q412" s="1542"/>
      <c r="R412" s="1542"/>
      <c r="S412" s="1542"/>
      <c r="T412" s="1542"/>
      <c r="U412" s="1542"/>
      <c r="V412" s="1542"/>
      <c r="W412" s="1542"/>
      <c r="X412" s="1542"/>
      <c r="Y412" s="1542"/>
      <c r="Z412" s="1542"/>
      <c r="AA412" s="1542"/>
      <c r="AB412" s="1542"/>
      <c r="AC412" s="1542"/>
      <c r="AD412" s="1542"/>
      <c r="AE412" s="1542"/>
      <c r="AF412" s="1542"/>
      <c r="AG412" s="1542"/>
      <c r="AH412" s="1542"/>
      <c r="AI412" s="1542"/>
      <c r="AJ412" s="1542"/>
      <c r="AK412" s="1542"/>
      <c r="AL412" s="1542"/>
      <c r="AM412" s="1542"/>
      <c r="AN412" s="1542"/>
      <c r="AO412" s="1542"/>
    </row>
    <row r="413" spans="13:41" x14ac:dyDescent="0.35">
      <c r="M413" s="1542"/>
      <c r="N413" s="1542"/>
      <c r="O413" s="1542"/>
      <c r="P413" s="1542"/>
      <c r="Q413" s="1542"/>
      <c r="R413" s="1542"/>
      <c r="S413" s="1542"/>
      <c r="T413" s="1542"/>
      <c r="U413" s="1542"/>
      <c r="V413" s="1542"/>
      <c r="W413" s="1542"/>
      <c r="X413" s="1542"/>
      <c r="Y413" s="1542"/>
      <c r="Z413" s="1542"/>
      <c r="AA413" s="1542"/>
      <c r="AB413" s="1542"/>
      <c r="AC413" s="1542"/>
      <c r="AD413" s="1542"/>
      <c r="AE413" s="1542"/>
      <c r="AF413" s="1542"/>
      <c r="AG413" s="1542"/>
      <c r="AH413" s="1542"/>
      <c r="AI413" s="1542"/>
      <c r="AJ413" s="1542"/>
      <c r="AK413" s="1542"/>
      <c r="AL413" s="1542"/>
      <c r="AM413" s="1542"/>
      <c r="AN413" s="1542"/>
      <c r="AO413" s="1542"/>
    </row>
    <row r="414" spans="13:41" x14ac:dyDescent="0.35">
      <c r="M414" s="1542"/>
      <c r="N414" s="1542"/>
      <c r="O414" s="1542"/>
      <c r="P414" s="1542"/>
      <c r="Q414" s="1542"/>
      <c r="R414" s="1542"/>
      <c r="S414" s="1542"/>
      <c r="T414" s="1542"/>
      <c r="U414" s="1542"/>
      <c r="V414" s="1542"/>
      <c r="W414" s="1542"/>
      <c r="X414" s="1542"/>
      <c r="Y414" s="1542"/>
      <c r="Z414" s="1542"/>
      <c r="AA414" s="1542"/>
      <c r="AB414" s="1542"/>
      <c r="AC414" s="1542"/>
      <c r="AD414" s="1542"/>
      <c r="AE414" s="1542"/>
      <c r="AF414" s="1542"/>
      <c r="AG414" s="1542"/>
      <c r="AH414" s="1542"/>
      <c r="AI414" s="1542"/>
      <c r="AJ414" s="1542"/>
      <c r="AK414" s="1542"/>
      <c r="AL414" s="1542"/>
      <c r="AM414" s="1542"/>
      <c r="AN414" s="1542"/>
      <c r="AO414" s="1542"/>
    </row>
    <row r="415" spans="13:41" x14ac:dyDescent="0.35">
      <c r="M415" s="1542"/>
      <c r="N415" s="1542"/>
      <c r="O415" s="1542"/>
      <c r="P415" s="1542"/>
      <c r="Q415" s="1542"/>
      <c r="R415" s="1542"/>
      <c r="S415" s="1542"/>
      <c r="T415" s="1542"/>
      <c r="U415" s="1542"/>
      <c r="V415" s="1542"/>
      <c r="W415" s="1542"/>
      <c r="X415" s="1542"/>
      <c r="Y415" s="1542"/>
      <c r="Z415" s="1542"/>
      <c r="AA415" s="1542"/>
      <c r="AB415" s="1542"/>
      <c r="AC415" s="1542"/>
      <c r="AD415" s="1542"/>
      <c r="AE415" s="1542"/>
      <c r="AF415" s="1542"/>
      <c r="AG415" s="1542"/>
      <c r="AH415" s="1542"/>
      <c r="AI415" s="1542"/>
      <c r="AJ415" s="1542"/>
      <c r="AK415" s="1542"/>
      <c r="AL415" s="1542"/>
      <c r="AM415" s="1542"/>
      <c r="AN415" s="1542"/>
      <c r="AO415" s="1542"/>
    </row>
    <row r="416" spans="13:41" x14ac:dyDescent="0.35">
      <c r="M416" s="1542"/>
      <c r="N416" s="1542"/>
      <c r="O416" s="1542"/>
      <c r="P416" s="1542"/>
      <c r="Q416" s="1542"/>
      <c r="R416" s="1542"/>
      <c r="S416" s="1542"/>
      <c r="T416" s="1542"/>
      <c r="U416" s="1542"/>
      <c r="V416" s="1542"/>
      <c r="W416" s="1542"/>
      <c r="X416" s="1542"/>
      <c r="Y416" s="1542"/>
      <c r="Z416" s="1542"/>
      <c r="AA416" s="1542"/>
      <c r="AB416" s="1542"/>
      <c r="AC416" s="1542"/>
      <c r="AD416" s="1542"/>
      <c r="AE416" s="1542"/>
      <c r="AF416" s="1542"/>
      <c r="AG416" s="1542"/>
      <c r="AH416" s="1542"/>
      <c r="AI416" s="1542"/>
      <c r="AJ416" s="1542"/>
      <c r="AK416" s="1542"/>
      <c r="AL416" s="1542"/>
      <c r="AM416" s="1542"/>
      <c r="AN416" s="1542"/>
      <c r="AO416" s="1542"/>
    </row>
    <row r="417" spans="13:41" x14ac:dyDescent="0.35">
      <c r="M417" s="1542"/>
      <c r="N417" s="1542"/>
      <c r="O417" s="1542"/>
      <c r="P417" s="1542"/>
      <c r="Q417" s="1542"/>
      <c r="R417" s="1542"/>
      <c r="S417" s="1542"/>
      <c r="T417" s="1542"/>
      <c r="U417" s="1542"/>
      <c r="V417" s="1542"/>
      <c r="W417" s="1542"/>
      <c r="X417" s="1542"/>
      <c r="Y417" s="1542"/>
      <c r="Z417" s="1542"/>
      <c r="AA417" s="1542"/>
      <c r="AB417" s="1542"/>
      <c r="AC417" s="1542"/>
      <c r="AD417" s="1542"/>
      <c r="AE417" s="1542"/>
      <c r="AF417" s="1542"/>
      <c r="AG417" s="1542"/>
      <c r="AH417" s="1542"/>
      <c r="AI417" s="1542"/>
      <c r="AJ417" s="1542"/>
      <c r="AK417" s="1542"/>
      <c r="AL417" s="1542"/>
      <c r="AM417" s="1542"/>
      <c r="AN417" s="1542"/>
      <c r="AO417" s="1542"/>
    </row>
    <row r="418" spans="13:41" x14ac:dyDescent="0.35">
      <c r="M418" s="1542"/>
      <c r="N418" s="1542"/>
      <c r="O418" s="1542"/>
      <c r="P418" s="1542"/>
      <c r="Q418" s="1542"/>
      <c r="R418" s="1542"/>
      <c r="S418" s="1542"/>
      <c r="T418" s="1542"/>
      <c r="U418" s="1542"/>
      <c r="V418" s="1542"/>
      <c r="W418" s="1542"/>
      <c r="X418" s="1542"/>
      <c r="Y418" s="1542"/>
      <c r="Z418" s="1542"/>
      <c r="AA418" s="1542"/>
      <c r="AB418" s="1542"/>
      <c r="AC418" s="1542"/>
      <c r="AD418" s="1542"/>
      <c r="AE418" s="1542"/>
      <c r="AF418" s="1542"/>
      <c r="AG418" s="1542"/>
      <c r="AH418" s="1542"/>
      <c r="AI418" s="1542"/>
      <c r="AJ418" s="1542"/>
      <c r="AK418" s="1542"/>
      <c r="AL418" s="1542"/>
      <c r="AM418" s="1542"/>
      <c r="AN418" s="1542"/>
      <c r="AO418" s="1542"/>
    </row>
    <row r="419" spans="13:41" x14ac:dyDescent="0.35">
      <c r="M419" s="1542"/>
      <c r="N419" s="1542"/>
      <c r="O419" s="1542"/>
      <c r="P419" s="1542"/>
      <c r="Q419" s="1542"/>
      <c r="R419" s="1542"/>
      <c r="S419" s="1542"/>
      <c r="T419" s="1542"/>
      <c r="U419" s="1542"/>
      <c r="V419" s="1542"/>
      <c r="W419" s="1542"/>
      <c r="X419" s="1542"/>
      <c r="Y419" s="1542"/>
      <c r="Z419" s="1542"/>
      <c r="AA419" s="1542"/>
      <c r="AB419" s="1542"/>
      <c r="AC419" s="1542"/>
      <c r="AD419" s="1542"/>
      <c r="AE419" s="1542"/>
      <c r="AF419" s="1542"/>
      <c r="AG419" s="1542"/>
      <c r="AH419" s="1542"/>
      <c r="AI419" s="1542"/>
      <c r="AJ419" s="1542"/>
      <c r="AK419" s="1542"/>
      <c r="AL419" s="1542"/>
      <c r="AM419" s="1542"/>
      <c r="AN419" s="1542"/>
      <c r="AO419" s="1542"/>
    </row>
    <row r="420" spans="13:41" x14ac:dyDescent="0.35">
      <c r="M420" s="1542"/>
      <c r="N420" s="1542"/>
      <c r="O420" s="1542"/>
      <c r="P420" s="1542"/>
      <c r="Q420" s="1542"/>
      <c r="R420" s="1542"/>
      <c r="S420" s="1542"/>
      <c r="T420" s="1542"/>
      <c r="U420" s="1542"/>
      <c r="V420" s="1542"/>
      <c r="W420" s="1542"/>
      <c r="X420" s="1542"/>
      <c r="Y420" s="1542"/>
      <c r="Z420" s="1542"/>
      <c r="AA420" s="1542"/>
      <c r="AB420" s="1542"/>
      <c r="AC420" s="1542"/>
      <c r="AD420" s="1542"/>
      <c r="AE420" s="1542"/>
      <c r="AF420" s="1542"/>
      <c r="AG420" s="1542"/>
      <c r="AH420" s="1542"/>
      <c r="AI420" s="1542"/>
      <c r="AJ420" s="1542"/>
      <c r="AK420" s="1542"/>
      <c r="AL420" s="1542"/>
      <c r="AM420" s="1542"/>
      <c r="AN420" s="1542"/>
      <c r="AO420" s="1542"/>
    </row>
    <row r="421" spans="13:41" x14ac:dyDescent="0.35">
      <c r="M421" s="1542"/>
      <c r="N421" s="1542"/>
      <c r="O421" s="1542"/>
      <c r="P421" s="1542"/>
      <c r="Q421" s="1542"/>
      <c r="R421" s="1542"/>
      <c r="S421" s="1542"/>
      <c r="T421" s="1542"/>
      <c r="U421" s="1542"/>
      <c r="V421" s="1542"/>
      <c r="W421" s="1542"/>
      <c r="X421" s="1542"/>
      <c r="Y421" s="1542"/>
      <c r="Z421" s="1542"/>
      <c r="AA421" s="1542"/>
      <c r="AB421" s="1542"/>
      <c r="AC421" s="1542"/>
      <c r="AD421" s="1542"/>
      <c r="AE421" s="1542"/>
      <c r="AF421" s="1542"/>
      <c r="AG421" s="1542"/>
      <c r="AH421" s="1542"/>
      <c r="AI421" s="1542"/>
      <c r="AJ421" s="1542"/>
      <c r="AK421" s="1542"/>
      <c r="AL421" s="1542"/>
      <c r="AM421" s="1542"/>
      <c r="AN421" s="1542"/>
      <c r="AO421" s="1542"/>
    </row>
    <row r="422" spans="13:41" x14ac:dyDescent="0.35">
      <c r="M422" s="1542"/>
      <c r="N422" s="1542"/>
      <c r="O422" s="1542"/>
      <c r="P422" s="1542"/>
      <c r="Q422" s="1542"/>
      <c r="R422" s="1542"/>
      <c r="S422" s="1542"/>
      <c r="T422" s="1542"/>
      <c r="U422" s="1542"/>
      <c r="V422" s="1542"/>
      <c r="W422" s="1542"/>
      <c r="X422" s="1542"/>
      <c r="Y422" s="1542"/>
      <c r="Z422" s="1542"/>
      <c r="AA422" s="1542"/>
      <c r="AB422" s="1542"/>
      <c r="AC422" s="1542"/>
      <c r="AD422" s="1542"/>
      <c r="AE422" s="1542"/>
      <c r="AF422" s="1542"/>
      <c r="AG422" s="1542"/>
      <c r="AH422" s="1542"/>
      <c r="AI422" s="1542"/>
      <c r="AJ422" s="1542"/>
      <c r="AK422" s="1542"/>
      <c r="AL422" s="1542"/>
      <c r="AM422" s="1542"/>
      <c r="AN422" s="1542"/>
      <c r="AO422" s="1542"/>
    </row>
    <row r="423" spans="13:41" x14ac:dyDescent="0.35">
      <c r="M423" s="1542"/>
      <c r="N423" s="1542"/>
      <c r="O423" s="1542"/>
      <c r="P423" s="1542"/>
      <c r="Q423" s="1542"/>
      <c r="R423" s="1542"/>
      <c r="S423" s="1542"/>
      <c r="T423" s="1542"/>
      <c r="U423" s="1542"/>
      <c r="V423" s="1542"/>
      <c r="W423" s="1542"/>
      <c r="X423" s="1542"/>
      <c r="Y423" s="1542"/>
      <c r="Z423" s="1542"/>
      <c r="AA423" s="1542"/>
      <c r="AB423" s="1542"/>
      <c r="AC423" s="1542"/>
      <c r="AD423" s="1542"/>
      <c r="AE423" s="1542"/>
      <c r="AF423" s="1542"/>
      <c r="AG423" s="1542"/>
      <c r="AH423" s="1542"/>
      <c r="AI423" s="1542"/>
      <c r="AJ423" s="1542"/>
      <c r="AK423" s="1542"/>
      <c r="AL423" s="1542"/>
      <c r="AM423" s="1542"/>
      <c r="AN423" s="1542"/>
      <c r="AO423" s="1542"/>
    </row>
    <row r="424" spans="13:41" x14ac:dyDescent="0.35">
      <c r="M424" s="1542"/>
      <c r="N424" s="1542"/>
      <c r="O424" s="1542"/>
      <c r="P424" s="1542"/>
      <c r="Q424" s="1542"/>
      <c r="R424" s="1542"/>
      <c r="S424" s="1542"/>
      <c r="T424" s="1542"/>
      <c r="U424" s="1542"/>
      <c r="V424" s="1542"/>
      <c r="W424" s="1542"/>
      <c r="X424" s="1542"/>
      <c r="Y424" s="1542"/>
      <c r="Z424" s="1542"/>
      <c r="AA424" s="1542"/>
      <c r="AB424" s="1542"/>
      <c r="AC424" s="1542"/>
      <c r="AD424" s="1542"/>
      <c r="AE424" s="1542"/>
      <c r="AF424" s="1542"/>
      <c r="AG424" s="1542"/>
      <c r="AH424" s="1542"/>
      <c r="AI424" s="1542"/>
      <c r="AJ424" s="1542"/>
      <c r="AK424" s="1542"/>
      <c r="AL424" s="1542"/>
      <c r="AM424" s="1542"/>
      <c r="AN424" s="1542"/>
      <c r="AO424" s="1542"/>
    </row>
    <row r="425" spans="13:41" x14ac:dyDescent="0.35">
      <c r="M425" s="1542"/>
      <c r="N425" s="1542"/>
      <c r="O425" s="1542"/>
      <c r="P425" s="1542"/>
      <c r="Q425" s="1542"/>
      <c r="R425" s="1542"/>
      <c r="S425" s="1542"/>
      <c r="T425" s="1542"/>
      <c r="U425" s="1542"/>
      <c r="V425" s="1542"/>
      <c r="W425" s="1542"/>
      <c r="X425" s="1542"/>
      <c r="Y425" s="1542"/>
      <c r="Z425" s="1542"/>
      <c r="AA425" s="1542"/>
      <c r="AB425" s="1542"/>
      <c r="AC425" s="1542"/>
      <c r="AD425" s="1542"/>
      <c r="AE425" s="1542"/>
      <c r="AF425" s="1542"/>
      <c r="AG425" s="1542"/>
      <c r="AH425" s="1542"/>
      <c r="AI425" s="1542"/>
      <c r="AJ425" s="1542"/>
      <c r="AK425" s="1542"/>
      <c r="AL425" s="1542"/>
      <c r="AM425" s="1542"/>
      <c r="AN425" s="1542"/>
      <c r="AO425" s="1542"/>
    </row>
    <row r="426" spans="13:41" x14ac:dyDescent="0.35">
      <c r="M426" s="1542"/>
      <c r="N426" s="1542"/>
      <c r="O426" s="1542"/>
      <c r="P426" s="1542"/>
      <c r="Q426" s="1542"/>
      <c r="R426" s="1542"/>
      <c r="S426" s="1542"/>
      <c r="T426" s="1542"/>
      <c r="U426" s="1542"/>
      <c r="V426" s="1542"/>
      <c r="W426" s="1542"/>
      <c r="X426" s="1542"/>
      <c r="Y426" s="1542"/>
      <c r="Z426" s="1542"/>
      <c r="AA426" s="1542"/>
      <c r="AB426" s="1542"/>
      <c r="AC426" s="1542"/>
      <c r="AD426" s="1542"/>
      <c r="AE426" s="1542"/>
      <c r="AF426" s="1542"/>
      <c r="AG426" s="1542"/>
      <c r="AH426" s="1542"/>
      <c r="AI426" s="1542"/>
      <c r="AJ426" s="1542"/>
      <c r="AK426" s="1542"/>
      <c r="AL426" s="1542"/>
      <c r="AM426" s="1542"/>
      <c r="AN426" s="1542"/>
      <c r="AO426" s="1542"/>
    </row>
    <row r="427" spans="13:41" x14ac:dyDescent="0.35">
      <c r="M427" s="1542"/>
      <c r="N427" s="1542"/>
      <c r="O427" s="1542"/>
      <c r="P427" s="1542"/>
      <c r="Q427" s="1542"/>
      <c r="R427" s="1542"/>
      <c r="S427" s="1542"/>
      <c r="T427" s="1542"/>
      <c r="U427" s="1542"/>
      <c r="V427" s="1542"/>
      <c r="W427" s="1542"/>
      <c r="X427" s="1542"/>
      <c r="Y427" s="1542"/>
      <c r="Z427" s="1542"/>
      <c r="AA427" s="1542"/>
      <c r="AB427" s="1542"/>
      <c r="AC427" s="1542"/>
      <c r="AD427" s="1542"/>
      <c r="AE427" s="1542"/>
      <c r="AF427" s="1542"/>
      <c r="AG427" s="1542"/>
      <c r="AH427" s="1542"/>
      <c r="AI427" s="1542"/>
      <c r="AJ427" s="1542"/>
      <c r="AK427" s="1542"/>
      <c r="AL427" s="1542"/>
      <c r="AM427" s="1542"/>
      <c r="AN427" s="1542"/>
      <c r="AO427" s="1542"/>
    </row>
    <row r="428" spans="13:41" x14ac:dyDescent="0.35">
      <c r="M428" s="1542"/>
      <c r="N428" s="1542"/>
      <c r="O428" s="1542"/>
      <c r="P428" s="1542"/>
      <c r="Q428" s="1542"/>
      <c r="R428" s="1542"/>
      <c r="S428" s="1542"/>
      <c r="T428" s="1542"/>
      <c r="U428" s="1542"/>
      <c r="V428" s="1542"/>
      <c r="W428" s="1542"/>
      <c r="X428" s="1542"/>
      <c r="Y428" s="1542"/>
      <c r="Z428" s="1542"/>
      <c r="AA428" s="1542"/>
      <c r="AB428" s="1542"/>
      <c r="AC428" s="1542"/>
      <c r="AD428" s="1542"/>
      <c r="AE428" s="1542"/>
      <c r="AF428" s="1542"/>
      <c r="AG428" s="1542"/>
      <c r="AH428" s="1542"/>
      <c r="AI428" s="1542"/>
      <c r="AJ428" s="1542"/>
      <c r="AK428" s="1542"/>
      <c r="AL428" s="1542"/>
      <c r="AM428" s="1542"/>
      <c r="AN428" s="1542"/>
      <c r="AO428" s="1542"/>
    </row>
    <row r="429" spans="13:41" x14ac:dyDescent="0.35">
      <c r="M429" s="1542"/>
      <c r="N429" s="1542"/>
      <c r="O429" s="1542"/>
      <c r="P429" s="1542"/>
      <c r="Q429" s="1542"/>
      <c r="R429" s="1542"/>
      <c r="S429" s="1542"/>
      <c r="T429" s="1542"/>
      <c r="U429" s="1542"/>
      <c r="V429" s="1542"/>
      <c r="W429" s="1542"/>
      <c r="X429" s="1542"/>
      <c r="Y429" s="1542"/>
      <c r="Z429" s="1542"/>
      <c r="AA429" s="1542"/>
      <c r="AB429" s="1542"/>
      <c r="AC429" s="1542"/>
      <c r="AD429" s="1542"/>
      <c r="AE429" s="1542"/>
      <c r="AF429" s="1542"/>
      <c r="AG429" s="1542"/>
      <c r="AH429" s="1542"/>
      <c r="AI429" s="1542"/>
      <c r="AJ429" s="1542"/>
      <c r="AK429" s="1542"/>
      <c r="AL429" s="1542"/>
      <c r="AM429" s="1542"/>
      <c r="AN429" s="1542"/>
      <c r="AO429" s="1542"/>
    </row>
    <row r="430" spans="13:41" x14ac:dyDescent="0.35">
      <c r="M430" s="1542"/>
      <c r="N430" s="1542"/>
      <c r="O430" s="1542"/>
      <c r="P430" s="1542"/>
      <c r="Q430" s="1542"/>
      <c r="R430" s="1542"/>
      <c r="S430" s="1542"/>
      <c r="T430" s="1542"/>
      <c r="U430" s="1542"/>
      <c r="V430" s="1542"/>
      <c r="W430" s="1542"/>
      <c r="X430" s="1542"/>
      <c r="Y430" s="1542"/>
      <c r="Z430" s="1542"/>
      <c r="AA430" s="1542"/>
      <c r="AB430" s="1542"/>
      <c r="AC430" s="1542"/>
      <c r="AD430" s="1542"/>
      <c r="AE430" s="1542"/>
      <c r="AF430" s="1542"/>
      <c r="AG430" s="1542"/>
      <c r="AH430" s="1542"/>
      <c r="AI430" s="1542"/>
      <c r="AJ430" s="1542"/>
      <c r="AK430" s="1542"/>
      <c r="AL430" s="1542"/>
      <c r="AM430" s="1542"/>
      <c r="AN430" s="1542"/>
      <c r="AO430" s="1542"/>
    </row>
    <row r="431" spans="13:41" x14ac:dyDescent="0.35">
      <c r="M431" s="1542"/>
      <c r="N431" s="1542"/>
      <c r="O431" s="1542"/>
      <c r="P431" s="1542"/>
      <c r="Q431" s="1542"/>
      <c r="R431" s="1542"/>
      <c r="S431" s="1542"/>
      <c r="T431" s="1542"/>
      <c r="U431" s="1542"/>
      <c r="V431" s="1542"/>
      <c r="W431" s="1542"/>
      <c r="X431" s="1542"/>
      <c r="Y431" s="1542"/>
      <c r="Z431" s="1542"/>
      <c r="AA431" s="1542"/>
      <c r="AB431" s="1542"/>
      <c r="AC431" s="1542"/>
      <c r="AD431" s="1542"/>
      <c r="AE431" s="1542"/>
      <c r="AF431" s="1542"/>
      <c r="AG431" s="1542"/>
      <c r="AH431" s="1542"/>
      <c r="AI431" s="1542"/>
      <c r="AJ431" s="1542"/>
      <c r="AK431" s="1542"/>
      <c r="AL431" s="1542"/>
      <c r="AM431" s="1542"/>
      <c r="AN431" s="1542"/>
      <c r="AO431" s="1542"/>
    </row>
    <row r="432" spans="13:41" x14ac:dyDescent="0.35">
      <c r="M432" s="1542"/>
      <c r="N432" s="1542"/>
      <c r="O432" s="1542"/>
      <c r="P432" s="1542"/>
      <c r="Q432" s="1542"/>
      <c r="R432" s="1542"/>
      <c r="S432" s="1542"/>
      <c r="T432" s="1542"/>
      <c r="U432" s="1542"/>
      <c r="V432" s="1542"/>
      <c r="W432" s="1542"/>
      <c r="X432" s="1542"/>
      <c r="Y432" s="1542"/>
      <c r="Z432" s="1542"/>
      <c r="AA432" s="1542"/>
      <c r="AB432" s="1542"/>
      <c r="AC432" s="1542"/>
      <c r="AD432" s="1542"/>
      <c r="AE432" s="1542"/>
      <c r="AF432" s="1542"/>
      <c r="AG432" s="1542"/>
      <c r="AH432" s="1542"/>
      <c r="AI432" s="1542"/>
      <c r="AJ432" s="1542"/>
      <c r="AK432" s="1542"/>
      <c r="AL432" s="1542"/>
      <c r="AM432" s="1542"/>
      <c r="AN432" s="1542"/>
      <c r="AO432" s="1542"/>
    </row>
    <row r="433" spans="13:41" x14ac:dyDescent="0.35">
      <c r="M433" s="1542"/>
      <c r="N433" s="1542"/>
      <c r="O433" s="1542"/>
      <c r="P433" s="1542"/>
      <c r="Q433" s="1542"/>
      <c r="R433" s="1542"/>
      <c r="S433" s="1542"/>
      <c r="T433" s="1542"/>
      <c r="U433" s="1542"/>
      <c r="V433" s="1542"/>
      <c r="W433" s="1542"/>
      <c r="X433" s="1542"/>
      <c r="Y433" s="1542"/>
      <c r="Z433" s="1542"/>
      <c r="AA433" s="1542"/>
      <c r="AB433" s="1542"/>
      <c r="AC433" s="1542"/>
      <c r="AD433" s="1542"/>
      <c r="AE433" s="1542"/>
      <c r="AF433" s="1542"/>
      <c r="AG433" s="1542"/>
      <c r="AH433" s="1542"/>
      <c r="AI433" s="1542"/>
      <c r="AJ433" s="1542"/>
      <c r="AK433" s="1542"/>
      <c r="AL433" s="1542"/>
      <c r="AM433" s="1542"/>
      <c r="AN433" s="1542"/>
      <c r="AO433" s="1542"/>
    </row>
    <row r="434" spans="13:41" x14ac:dyDescent="0.35">
      <c r="M434" s="1542"/>
      <c r="N434" s="1542"/>
      <c r="O434" s="1542"/>
      <c r="P434" s="1542"/>
      <c r="Q434" s="1542"/>
      <c r="R434" s="1542"/>
      <c r="S434" s="1542"/>
      <c r="T434" s="1542"/>
      <c r="U434" s="1542"/>
      <c r="V434" s="1542"/>
      <c r="W434" s="1542"/>
      <c r="X434" s="1542"/>
      <c r="Y434" s="1542"/>
      <c r="Z434" s="1542"/>
      <c r="AA434" s="1542"/>
      <c r="AB434" s="1542"/>
      <c r="AC434" s="1542"/>
      <c r="AD434" s="1542"/>
      <c r="AE434" s="1542"/>
      <c r="AF434" s="1542"/>
      <c r="AG434" s="1542"/>
      <c r="AH434" s="1542"/>
      <c r="AI434" s="1542"/>
      <c r="AJ434" s="1542"/>
      <c r="AK434" s="1542"/>
      <c r="AL434" s="1542"/>
      <c r="AM434" s="1542"/>
      <c r="AN434" s="1542"/>
      <c r="AO434" s="1542"/>
    </row>
    <row r="435" spans="13:41" x14ac:dyDescent="0.35">
      <c r="M435" s="1542"/>
      <c r="N435" s="1542"/>
      <c r="O435" s="1542"/>
      <c r="P435" s="1542"/>
      <c r="Q435" s="1542"/>
      <c r="R435" s="1542"/>
      <c r="S435" s="1542"/>
      <c r="T435" s="1542"/>
      <c r="U435" s="1542"/>
      <c r="V435" s="1542"/>
      <c r="W435" s="1542"/>
      <c r="X435" s="1542"/>
      <c r="Y435" s="1542"/>
      <c r="Z435" s="1542"/>
      <c r="AA435" s="1542"/>
      <c r="AB435" s="1542"/>
      <c r="AC435" s="1542"/>
      <c r="AD435" s="1542"/>
      <c r="AE435" s="1542"/>
      <c r="AF435" s="1542"/>
      <c r="AG435" s="1542"/>
      <c r="AH435" s="1542"/>
      <c r="AI435" s="1542"/>
      <c r="AJ435" s="1542"/>
      <c r="AK435" s="1542"/>
      <c r="AL435" s="1542"/>
      <c r="AM435" s="1542"/>
      <c r="AN435" s="1542"/>
      <c r="AO435" s="1542"/>
    </row>
    <row r="436" spans="13:41" x14ac:dyDescent="0.35">
      <c r="M436" s="1542"/>
      <c r="N436" s="1542"/>
      <c r="O436" s="1542"/>
      <c r="P436" s="1542"/>
      <c r="Q436" s="1542"/>
      <c r="R436" s="1542"/>
      <c r="S436" s="1542"/>
      <c r="T436" s="1542"/>
      <c r="U436" s="1542"/>
      <c r="V436" s="1542"/>
      <c r="W436" s="1542"/>
      <c r="X436" s="1542"/>
      <c r="Y436" s="1542"/>
      <c r="Z436" s="1542"/>
      <c r="AA436" s="1542"/>
      <c r="AB436" s="1542"/>
      <c r="AC436" s="1542"/>
      <c r="AD436" s="1542"/>
      <c r="AE436" s="1542"/>
      <c r="AF436" s="1542"/>
      <c r="AG436" s="1542"/>
      <c r="AH436" s="1542"/>
      <c r="AI436" s="1542"/>
      <c r="AJ436" s="1542"/>
      <c r="AK436" s="1542"/>
      <c r="AL436" s="1542"/>
      <c r="AM436" s="1542"/>
      <c r="AN436" s="1542"/>
      <c r="AO436" s="1542"/>
    </row>
    <row r="437" spans="13:41" x14ac:dyDescent="0.35">
      <c r="M437" s="1542"/>
      <c r="N437" s="1542"/>
      <c r="O437" s="1542"/>
      <c r="P437" s="1542"/>
      <c r="Q437" s="1542"/>
      <c r="R437" s="1542"/>
      <c r="S437" s="1542"/>
      <c r="T437" s="1542"/>
      <c r="U437" s="1542"/>
      <c r="V437" s="1542"/>
      <c r="W437" s="1542"/>
      <c r="X437" s="1542"/>
      <c r="Y437" s="1542"/>
      <c r="Z437" s="1542"/>
      <c r="AA437" s="1542"/>
      <c r="AB437" s="1542"/>
      <c r="AC437" s="1542"/>
      <c r="AD437" s="1542"/>
      <c r="AE437" s="1542"/>
      <c r="AF437" s="1542"/>
      <c r="AG437" s="1542"/>
      <c r="AH437" s="1542"/>
      <c r="AI437" s="1542"/>
      <c r="AJ437" s="1542"/>
      <c r="AK437" s="1542"/>
      <c r="AL437" s="1542"/>
      <c r="AM437" s="1542"/>
      <c r="AN437" s="1542"/>
      <c r="AO437" s="1542"/>
    </row>
    <row r="438" spans="13:41" x14ac:dyDescent="0.35">
      <c r="M438" s="1542"/>
      <c r="N438" s="1542"/>
      <c r="O438" s="1542"/>
      <c r="P438" s="1542"/>
      <c r="Q438" s="1542"/>
      <c r="R438" s="1542"/>
      <c r="S438" s="1542"/>
      <c r="T438" s="1542"/>
      <c r="U438" s="1542"/>
      <c r="V438" s="1542"/>
      <c r="W438" s="1542"/>
      <c r="X438" s="1542"/>
      <c r="Y438" s="1542"/>
      <c r="Z438" s="1542"/>
      <c r="AA438" s="1542"/>
      <c r="AB438" s="1542"/>
      <c r="AC438" s="1542"/>
      <c r="AD438" s="1542"/>
      <c r="AE438" s="1542"/>
      <c r="AF438" s="1542"/>
      <c r="AG438" s="1542"/>
      <c r="AH438" s="1542"/>
      <c r="AI438" s="1542"/>
      <c r="AJ438" s="1542"/>
      <c r="AK438" s="1542"/>
      <c r="AL438" s="1542"/>
      <c r="AM438" s="1542"/>
      <c r="AN438" s="1542"/>
      <c r="AO438" s="1542"/>
    </row>
    <row r="439" spans="13:41" x14ac:dyDescent="0.35">
      <c r="M439" s="1542"/>
      <c r="N439" s="1542"/>
      <c r="O439" s="1542"/>
      <c r="P439" s="1542"/>
      <c r="Q439" s="1542"/>
      <c r="R439" s="1542"/>
      <c r="S439" s="1542"/>
      <c r="T439" s="1542"/>
      <c r="U439" s="1542"/>
      <c r="V439" s="1542"/>
      <c r="W439" s="1542"/>
      <c r="X439" s="1542"/>
      <c r="Y439" s="1542"/>
      <c r="Z439" s="1542"/>
      <c r="AA439" s="1542"/>
      <c r="AB439" s="1542"/>
      <c r="AC439" s="1542"/>
      <c r="AD439" s="1542"/>
      <c r="AE439" s="1542"/>
      <c r="AF439" s="1542"/>
      <c r="AG439" s="1542"/>
      <c r="AH439" s="1542"/>
      <c r="AI439" s="1542"/>
      <c r="AJ439" s="1542"/>
      <c r="AK439" s="1542"/>
      <c r="AL439" s="1542"/>
      <c r="AM439" s="1542"/>
      <c r="AN439" s="1542"/>
      <c r="AO439" s="1542"/>
    </row>
    <row r="440" spans="13:41" x14ac:dyDescent="0.35">
      <c r="M440" s="1542"/>
      <c r="N440" s="1542"/>
      <c r="O440" s="1542"/>
      <c r="P440" s="1542"/>
      <c r="Q440" s="1542"/>
      <c r="R440" s="1542"/>
      <c r="S440" s="1542"/>
      <c r="T440" s="1542"/>
      <c r="U440" s="1542"/>
      <c r="V440" s="1542"/>
      <c r="W440" s="1542"/>
      <c r="X440" s="1542"/>
      <c r="Y440" s="1542"/>
      <c r="Z440" s="1542"/>
      <c r="AA440" s="1542"/>
      <c r="AB440" s="1542"/>
      <c r="AC440" s="1542"/>
      <c r="AD440" s="1542"/>
      <c r="AE440" s="1542"/>
      <c r="AF440" s="1542"/>
      <c r="AG440" s="1542"/>
      <c r="AH440" s="1542"/>
      <c r="AI440" s="1542"/>
      <c r="AJ440" s="1542"/>
      <c r="AK440" s="1542"/>
      <c r="AL440" s="1542"/>
      <c r="AM440" s="1542"/>
      <c r="AN440" s="1542"/>
      <c r="AO440" s="1542"/>
    </row>
    <row r="441" spans="13:41" x14ac:dyDescent="0.35">
      <c r="M441" s="1542"/>
      <c r="N441" s="1542"/>
      <c r="O441" s="1542"/>
      <c r="P441" s="1542"/>
      <c r="Q441" s="1542"/>
      <c r="R441" s="1542"/>
      <c r="S441" s="1542"/>
      <c r="T441" s="1542"/>
      <c r="U441" s="1542"/>
      <c r="V441" s="1542"/>
      <c r="W441" s="1542"/>
      <c r="X441" s="1542"/>
      <c r="Y441" s="1542"/>
      <c r="Z441" s="1542"/>
      <c r="AA441" s="1542"/>
      <c r="AB441" s="1542"/>
      <c r="AC441" s="1542"/>
      <c r="AD441" s="1542"/>
      <c r="AE441" s="1542"/>
      <c r="AF441" s="1542"/>
      <c r="AG441" s="1542"/>
      <c r="AH441" s="1542"/>
      <c r="AI441" s="1542"/>
      <c r="AJ441" s="1542"/>
      <c r="AK441" s="1542"/>
      <c r="AL441" s="1542"/>
      <c r="AM441" s="1542"/>
      <c r="AN441" s="1542"/>
      <c r="AO441" s="1542"/>
    </row>
    <row r="442" spans="13:41" x14ac:dyDescent="0.35">
      <c r="M442" s="1542"/>
      <c r="N442" s="1542"/>
      <c r="O442" s="1542"/>
      <c r="P442" s="1542"/>
      <c r="Q442" s="1542"/>
      <c r="R442" s="1542"/>
      <c r="S442" s="1542"/>
      <c r="T442" s="1542"/>
      <c r="U442" s="1542"/>
      <c r="V442" s="1542"/>
      <c r="W442" s="1542"/>
      <c r="X442" s="1542"/>
      <c r="Y442" s="1542"/>
      <c r="Z442" s="1542"/>
      <c r="AA442" s="1542"/>
      <c r="AB442" s="1542"/>
      <c r="AC442" s="1542"/>
      <c r="AD442" s="1542"/>
      <c r="AE442" s="1542"/>
      <c r="AF442" s="1542"/>
      <c r="AG442" s="1542"/>
      <c r="AH442" s="1542"/>
      <c r="AI442" s="1542"/>
      <c r="AJ442" s="1542"/>
      <c r="AK442" s="1542"/>
      <c r="AL442" s="1542"/>
      <c r="AM442" s="1542"/>
      <c r="AN442" s="1542"/>
      <c r="AO442" s="1542"/>
    </row>
    <row r="443" spans="13:41" x14ac:dyDescent="0.35">
      <c r="M443" s="1542"/>
      <c r="N443" s="1542"/>
      <c r="O443" s="1542"/>
      <c r="P443" s="1542"/>
      <c r="Q443" s="1542"/>
      <c r="R443" s="1542"/>
      <c r="S443" s="1542"/>
      <c r="T443" s="1542"/>
      <c r="U443" s="1542"/>
      <c r="V443" s="1542"/>
      <c r="W443" s="1542"/>
      <c r="X443" s="1542"/>
      <c r="Y443" s="1542"/>
      <c r="Z443" s="1542"/>
      <c r="AA443" s="1542"/>
      <c r="AB443" s="1542"/>
      <c r="AC443" s="1542"/>
      <c r="AD443" s="1542"/>
      <c r="AE443" s="1542"/>
      <c r="AF443" s="1542"/>
      <c r="AG443" s="1542"/>
      <c r="AH443" s="1542"/>
      <c r="AI443" s="1542"/>
      <c r="AJ443" s="1542"/>
      <c r="AK443" s="1542"/>
      <c r="AL443" s="1542"/>
      <c r="AM443" s="1542"/>
      <c r="AN443" s="1542"/>
      <c r="AO443" s="1542"/>
    </row>
    <row r="444" spans="13:41" x14ac:dyDescent="0.35">
      <c r="M444" s="1542"/>
      <c r="N444" s="1542"/>
      <c r="O444" s="1542"/>
      <c r="P444" s="1542"/>
      <c r="Q444" s="1542"/>
      <c r="R444" s="1542"/>
      <c r="S444" s="1542"/>
      <c r="T444" s="1542"/>
      <c r="U444" s="1542"/>
      <c r="V444" s="1542"/>
      <c r="W444" s="1542"/>
      <c r="X444" s="1542"/>
      <c r="Y444" s="1542"/>
      <c r="Z444" s="1542"/>
      <c r="AA444" s="1542"/>
      <c r="AB444" s="1542"/>
      <c r="AC444" s="1542"/>
      <c r="AD444" s="1542"/>
      <c r="AE444" s="1542"/>
      <c r="AF444" s="1542"/>
      <c r="AG444" s="1542"/>
      <c r="AH444" s="1542"/>
      <c r="AI444" s="1542"/>
      <c r="AJ444" s="1542"/>
      <c r="AK444" s="1542"/>
      <c r="AL444" s="1542"/>
      <c r="AM444" s="1542"/>
      <c r="AN444" s="1542"/>
      <c r="AO444" s="1542"/>
    </row>
    <row r="445" spans="13:41" x14ac:dyDescent="0.35">
      <c r="M445" s="1542"/>
      <c r="N445" s="1542"/>
      <c r="O445" s="1542"/>
      <c r="P445" s="1542"/>
      <c r="Q445" s="1542"/>
      <c r="R445" s="1542"/>
      <c r="S445" s="1542"/>
      <c r="T445" s="1542"/>
      <c r="U445" s="1542"/>
      <c r="V445" s="1542"/>
      <c r="W445" s="1542"/>
      <c r="X445" s="1542"/>
      <c r="Y445" s="1542"/>
      <c r="Z445" s="1542"/>
      <c r="AA445" s="1542"/>
      <c r="AB445" s="1542"/>
      <c r="AC445" s="1542"/>
      <c r="AD445" s="1542"/>
      <c r="AE445" s="1542"/>
      <c r="AF445" s="1542"/>
      <c r="AG445" s="1542"/>
      <c r="AH445" s="1542"/>
      <c r="AI445" s="1542"/>
      <c r="AJ445" s="1542"/>
      <c r="AK445" s="1542"/>
      <c r="AL445" s="1542"/>
      <c r="AM445" s="1542"/>
      <c r="AN445" s="1542"/>
      <c r="AO445" s="1542"/>
    </row>
    <row r="446" spans="13:41" x14ac:dyDescent="0.35">
      <c r="M446" s="1542"/>
      <c r="N446" s="1542"/>
      <c r="O446" s="1542"/>
      <c r="P446" s="1542"/>
      <c r="Q446" s="1542"/>
      <c r="R446" s="1542"/>
      <c r="S446" s="1542"/>
      <c r="T446" s="1542"/>
      <c r="U446" s="1542"/>
      <c r="V446" s="1542"/>
      <c r="W446" s="1542"/>
      <c r="X446" s="1542"/>
      <c r="Y446" s="1542"/>
      <c r="Z446" s="1542"/>
      <c r="AA446" s="1542"/>
      <c r="AB446" s="1542"/>
      <c r="AC446" s="1542"/>
      <c r="AD446" s="1542"/>
      <c r="AE446" s="1542"/>
      <c r="AF446" s="1542"/>
      <c r="AG446" s="1542"/>
      <c r="AH446" s="1542"/>
      <c r="AI446" s="1542"/>
      <c r="AJ446" s="1542"/>
      <c r="AK446" s="1542"/>
      <c r="AL446" s="1542"/>
      <c r="AM446" s="1542"/>
      <c r="AN446" s="1542"/>
      <c r="AO446" s="1542"/>
    </row>
    <row r="447" spans="13:41" x14ac:dyDescent="0.35">
      <c r="M447" s="1542"/>
      <c r="N447" s="1542"/>
      <c r="O447" s="1542"/>
      <c r="P447" s="1542"/>
      <c r="Q447" s="1542"/>
      <c r="R447" s="1542"/>
      <c r="S447" s="1542"/>
      <c r="T447" s="1542"/>
      <c r="U447" s="1542"/>
      <c r="V447" s="1542"/>
      <c r="W447" s="1542"/>
      <c r="X447" s="1542"/>
      <c r="Y447" s="1542"/>
      <c r="Z447" s="1542"/>
      <c r="AA447" s="1542"/>
      <c r="AB447" s="1542"/>
      <c r="AC447" s="1542"/>
      <c r="AD447" s="1542"/>
      <c r="AE447" s="1542"/>
      <c r="AF447" s="1542"/>
      <c r="AG447" s="1542"/>
      <c r="AH447" s="1542"/>
      <c r="AI447" s="1542"/>
      <c r="AJ447" s="1542"/>
      <c r="AK447" s="1542"/>
      <c r="AL447" s="1542"/>
      <c r="AM447" s="1542"/>
      <c r="AN447" s="1542"/>
      <c r="AO447" s="1542"/>
    </row>
    <row r="448" spans="13:41" x14ac:dyDescent="0.35">
      <c r="M448" s="1542"/>
      <c r="N448" s="1542"/>
      <c r="O448" s="1542"/>
      <c r="P448" s="1542"/>
      <c r="Q448" s="1542"/>
      <c r="R448" s="1542"/>
      <c r="S448" s="1542"/>
      <c r="T448" s="1542"/>
      <c r="U448" s="1542"/>
      <c r="V448" s="1542"/>
      <c r="W448" s="1542"/>
      <c r="X448" s="1542"/>
      <c r="Y448" s="1542"/>
      <c r="Z448" s="1542"/>
      <c r="AA448" s="1542"/>
      <c r="AB448" s="1542"/>
      <c r="AC448" s="1542"/>
      <c r="AD448" s="1542"/>
      <c r="AE448" s="1542"/>
      <c r="AF448" s="1542"/>
      <c r="AG448" s="1542"/>
      <c r="AH448" s="1542"/>
      <c r="AI448" s="1542"/>
      <c r="AJ448" s="1542"/>
      <c r="AK448" s="1542"/>
      <c r="AL448" s="1542"/>
      <c r="AM448" s="1542"/>
      <c r="AN448" s="1542"/>
      <c r="AO448" s="1542"/>
    </row>
    <row r="449" spans="13:41" x14ac:dyDescent="0.35">
      <c r="M449" s="1542"/>
      <c r="N449" s="1542"/>
      <c r="O449" s="1542"/>
      <c r="P449" s="1542"/>
      <c r="Q449" s="1542"/>
      <c r="R449" s="1542"/>
      <c r="S449" s="1542"/>
      <c r="T449" s="1542"/>
      <c r="U449" s="1542"/>
      <c r="V449" s="1542"/>
      <c r="W449" s="1542"/>
      <c r="X449" s="1542"/>
      <c r="Y449" s="1542"/>
      <c r="Z449" s="1542"/>
      <c r="AA449" s="1542"/>
      <c r="AB449" s="1542"/>
      <c r="AC449" s="1542"/>
      <c r="AD449" s="1542"/>
      <c r="AE449" s="1542"/>
      <c r="AF449" s="1542"/>
      <c r="AG449" s="1542"/>
      <c r="AH449" s="1542"/>
      <c r="AI449" s="1542"/>
      <c r="AJ449" s="1542"/>
      <c r="AK449" s="1542"/>
      <c r="AL449" s="1542"/>
      <c r="AM449" s="1542"/>
      <c r="AN449" s="1542"/>
      <c r="AO449" s="1542"/>
    </row>
    <row r="450" spans="13:41" x14ac:dyDescent="0.35">
      <c r="M450" s="1542"/>
      <c r="N450" s="1542"/>
      <c r="O450" s="1542"/>
      <c r="P450" s="1542"/>
      <c r="Q450" s="1542"/>
      <c r="R450" s="1542"/>
      <c r="S450" s="1542"/>
      <c r="T450" s="1542"/>
      <c r="U450" s="1542"/>
      <c r="V450" s="1542"/>
      <c r="W450" s="1542"/>
      <c r="X450" s="1542"/>
      <c r="Y450" s="1542"/>
      <c r="Z450" s="1542"/>
      <c r="AA450" s="1542"/>
      <c r="AB450" s="1542"/>
      <c r="AC450" s="1542"/>
      <c r="AD450" s="1542"/>
      <c r="AE450" s="1542"/>
      <c r="AF450" s="1542"/>
      <c r="AG450" s="1542"/>
      <c r="AH450" s="1542"/>
      <c r="AI450" s="1542"/>
      <c r="AJ450" s="1542"/>
      <c r="AK450" s="1542"/>
      <c r="AL450" s="1542"/>
      <c r="AM450" s="1542"/>
      <c r="AN450" s="1542"/>
      <c r="AO450" s="1542"/>
    </row>
    <row r="451" spans="13:41" x14ac:dyDescent="0.35">
      <c r="M451" s="1542"/>
      <c r="N451" s="1542"/>
      <c r="O451" s="1542"/>
      <c r="P451" s="1542"/>
      <c r="Q451" s="1542"/>
      <c r="R451" s="1542"/>
      <c r="S451" s="1542"/>
      <c r="T451" s="1542"/>
      <c r="U451" s="1542"/>
      <c r="V451" s="1542"/>
      <c r="W451" s="1542"/>
      <c r="X451" s="1542"/>
      <c r="Y451" s="1542"/>
      <c r="Z451" s="1542"/>
      <c r="AA451" s="1542"/>
      <c r="AB451" s="1542"/>
      <c r="AC451" s="1542"/>
      <c r="AD451" s="1542"/>
      <c r="AE451" s="1542"/>
      <c r="AF451" s="1542"/>
      <c r="AG451" s="1542"/>
      <c r="AH451" s="1542"/>
      <c r="AI451" s="1542"/>
      <c r="AJ451" s="1542"/>
      <c r="AK451" s="1542"/>
      <c r="AL451" s="1542"/>
      <c r="AM451" s="1542"/>
      <c r="AN451" s="1542"/>
      <c r="AO451" s="1542"/>
    </row>
    <row r="452" spans="13:41" x14ac:dyDescent="0.35">
      <c r="M452" s="1542"/>
      <c r="N452" s="1542"/>
      <c r="O452" s="1542"/>
      <c r="P452" s="1542"/>
      <c r="Q452" s="1542"/>
      <c r="R452" s="1542"/>
      <c r="S452" s="1542"/>
      <c r="T452" s="1542"/>
      <c r="U452" s="1542"/>
      <c r="V452" s="1542"/>
      <c r="W452" s="1542"/>
      <c r="X452" s="1542"/>
      <c r="Y452" s="1542"/>
      <c r="Z452" s="1542"/>
      <c r="AA452" s="1542"/>
      <c r="AB452" s="1542"/>
      <c r="AC452" s="1542"/>
      <c r="AD452" s="1542"/>
      <c r="AE452" s="1542"/>
      <c r="AF452" s="1542"/>
      <c r="AG452" s="1542"/>
      <c r="AH452" s="1542"/>
      <c r="AI452" s="1542"/>
      <c r="AJ452" s="1542"/>
      <c r="AK452" s="1542"/>
      <c r="AL452" s="1542"/>
      <c r="AM452" s="1542"/>
      <c r="AN452" s="1542"/>
      <c r="AO452" s="1542"/>
    </row>
    <row r="453" spans="13:41" x14ac:dyDescent="0.35">
      <c r="M453" s="1542"/>
      <c r="N453" s="1542"/>
      <c r="O453" s="1542"/>
      <c r="P453" s="1542"/>
      <c r="Q453" s="1542"/>
      <c r="R453" s="1542"/>
      <c r="S453" s="1542"/>
      <c r="T453" s="1542"/>
      <c r="U453" s="1542"/>
      <c r="V453" s="1542"/>
      <c r="W453" s="1542"/>
      <c r="X453" s="1542"/>
      <c r="Y453" s="1542"/>
      <c r="Z453" s="1542"/>
      <c r="AA453" s="1542"/>
      <c r="AB453" s="1542"/>
      <c r="AC453" s="1542"/>
      <c r="AD453" s="1542"/>
      <c r="AE453" s="1542"/>
      <c r="AF453" s="1542"/>
      <c r="AG453" s="1542"/>
      <c r="AH453" s="1542"/>
      <c r="AI453" s="1542"/>
      <c r="AJ453" s="1542"/>
      <c r="AK453" s="1542"/>
      <c r="AL453" s="1542"/>
      <c r="AM453" s="1542"/>
      <c r="AN453" s="1542"/>
      <c r="AO453" s="1542"/>
    </row>
    <row r="454" spans="13:41" x14ac:dyDescent="0.35">
      <c r="M454" s="1542"/>
      <c r="N454" s="1542"/>
      <c r="O454" s="1542"/>
      <c r="P454" s="1542"/>
      <c r="Q454" s="1542"/>
      <c r="R454" s="1542"/>
      <c r="S454" s="1542"/>
      <c r="T454" s="1542"/>
      <c r="U454" s="1542"/>
      <c r="V454" s="1542"/>
      <c r="W454" s="1542"/>
      <c r="X454" s="1542"/>
      <c r="Y454" s="1542"/>
      <c r="Z454" s="1542"/>
      <c r="AA454" s="1542"/>
      <c r="AB454" s="1542"/>
      <c r="AC454" s="1542"/>
      <c r="AD454" s="1542"/>
      <c r="AE454" s="1542"/>
      <c r="AF454" s="1542"/>
      <c r="AG454" s="1542"/>
      <c r="AH454" s="1542"/>
      <c r="AI454" s="1542"/>
      <c r="AJ454" s="1542"/>
      <c r="AK454" s="1542"/>
      <c r="AL454" s="1542"/>
      <c r="AM454" s="1542"/>
      <c r="AN454" s="1542"/>
      <c r="AO454" s="1542"/>
    </row>
    <row r="455" spans="13:41" x14ac:dyDescent="0.35">
      <c r="M455" s="1542"/>
      <c r="N455" s="1542"/>
      <c r="O455" s="1542"/>
      <c r="P455" s="1542"/>
      <c r="Q455" s="1542"/>
      <c r="R455" s="1542"/>
      <c r="S455" s="1542"/>
      <c r="T455" s="1542"/>
      <c r="U455" s="1542"/>
      <c r="V455" s="1542"/>
      <c r="W455" s="1542"/>
      <c r="X455" s="1542"/>
      <c r="Y455" s="1542"/>
      <c r="Z455" s="1542"/>
      <c r="AA455" s="1542"/>
      <c r="AB455" s="1542"/>
      <c r="AC455" s="1542"/>
      <c r="AD455" s="1542"/>
      <c r="AE455" s="1542"/>
      <c r="AF455" s="1542"/>
      <c r="AG455" s="1542"/>
      <c r="AH455" s="1542"/>
      <c r="AI455" s="1542"/>
      <c r="AJ455" s="1542"/>
      <c r="AK455" s="1542"/>
      <c r="AL455" s="1542"/>
      <c r="AM455" s="1542"/>
      <c r="AN455" s="1542"/>
      <c r="AO455" s="1542"/>
    </row>
    <row r="456" spans="13:41" x14ac:dyDescent="0.35">
      <c r="M456" s="1542"/>
      <c r="N456" s="1542"/>
      <c r="O456" s="1542"/>
      <c r="P456" s="1542"/>
      <c r="Q456" s="1542"/>
      <c r="R456" s="1542"/>
      <c r="S456" s="1542"/>
      <c r="T456" s="1542"/>
      <c r="U456" s="1542"/>
      <c r="V456" s="1542"/>
      <c r="W456" s="1542"/>
      <c r="X456" s="1542"/>
      <c r="Y456" s="1542"/>
      <c r="Z456" s="1542"/>
      <c r="AA456" s="1542"/>
      <c r="AB456" s="1542"/>
      <c r="AC456" s="1542"/>
      <c r="AD456" s="1542"/>
      <c r="AE456" s="1542"/>
      <c r="AF456" s="1542"/>
      <c r="AG456" s="1542"/>
      <c r="AH456" s="1542"/>
      <c r="AI456" s="1542"/>
      <c r="AJ456" s="1542"/>
      <c r="AK456" s="1542"/>
      <c r="AL456" s="1542"/>
      <c r="AM456" s="1542"/>
      <c r="AN456" s="1542"/>
      <c r="AO456" s="1542"/>
    </row>
    <row r="457" spans="13:41" x14ac:dyDescent="0.35">
      <c r="M457" s="1542"/>
      <c r="N457" s="1542"/>
      <c r="O457" s="1542"/>
      <c r="P457" s="1542"/>
      <c r="Q457" s="1542"/>
      <c r="R457" s="1542"/>
      <c r="S457" s="1542"/>
      <c r="T457" s="1542"/>
      <c r="U457" s="1542"/>
      <c r="V457" s="1542"/>
      <c r="W457" s="1542"/>
      <c r="X457" s="1542"/>
      <c r="Y457" s="1542"/>
      <c r="Z457" s="1542"/>
      <c r="AA457" s="1542"/>
      <c r="AB457" s="1542"/>
      <c r="AC457" s="1542"/>
      <c r="AD457" s="1542"/>
      <c r="AE457" s="1542"/>
      <c r="AF457" s="1542"/>
      <c r="AG457" s="1542"/>
      <c r="AH457" s="1542"/>
      <c r="AI457" s="1542"/>
      <c r="AJ457" s="1542"/>
      <c r="AK457" s="1542"/>
      <c r="AL457" s="1542"/>
      <c r="AM457" s="1542"/>
      <c r="AN457" s="1542"/>
      <c r="AO457" s="1542"/>
    </row>
    <row r="458" spans="13:41" x14ac:dyDescent="0.35">
      <c r="M458" s="1542"/>
      <c r="N458" s="1542"/>
      <c r="O458" s="1542"/>
      <c r="P458" s="1542"/>
      <c r="Q458" s="1542"/>
      <c r="R458" s="1542"/>
      <c r="S458" s="1542"/>
      <c r="T458" s="1542"/>
      <c r="U458" s="1542"/>
      <c r="V458" s="1542"/>
      <c r="W458" s="1542"/>
      <c r="X458" s="1542"/>
      <c r="Y458" s="1542"/>
      <c r="Z458" s="1542"/>
      <c r="AA458" s="1542"/>
      <c r="AB458" s="1542"/>
      <c r="AC458" s="1542"/>
      <c r="AD458" s="1542"/>
      <c r="AE458" s="1542"/>
      <c r="AF458" s="1542"/>
      <c r="AG458" s="1542"/>
      <c r="AH458" s="1542"/>
      <c r="AI458" s="1542"/>
      <c r="AJ458" s="1542"/>
      <c r="AK458" s="1542"/>
      <c r="AL458" s="1542"/>
      <c r="AM458" s="1542"/>
      <c r="AN458" s="1542"/>
      <c r="AO458" s="1542"/>
    </row>
    <row r="459" spans="13:41" x14ac:dyDescent="0.35">
      <c r="M459" s="1542"/>
      <c r="N459" s="1542"/>
      <c r="O459" s="1542"/>
      <c r="P459" s="1542"/>
      <c r="Q459" s="1542"/>
      <c r="R459" s="1542"/>
      <c r="S459" s="1542"/>
      <c r="T459" s="1542"/>
      <c r="U459" s="1542"/>
      <c r="V459" s="1542"/>
      <c r="W459" s="1542"/>
      <c r="X459" s="1542"/>
      <c r="Y459" s="1542"/>
      <c r="Z459" s="1542"/>
      <c r="AA459" s="1542"/>
      <c r="AB459" s="1542"/>
      <c r="AC459" s="1542"/>
      <c r="AD459" s="1542"/>
      <c r="AE459" s="1542"/>
      <c r="AF459" s="1542"/>
      <c r="AG459" s="1542"/>
      <c r="AH459" s="1542"/>
      <c r="AI459" s="1542"/>
      <c r="AJ459" s="1542"/>
      <c r="AK459" s="1542"/>
      <c r="AL459" s="1542"/>
      <c r="AM459" s="1542"/>
      <c r="AN459" s="1542"/>
      <c r="AO459" s="1542"/>
    </row>
    <row r="460" spans="13:41" x14ac:dyDescent="0.35">
      <c r="M460" s="1542"/>
      <c r="N460" s="1542"/>
      <c r="O460" s="1542"/>
      <c r="P460" s="1542"/>
      <c r="Q460" s="1542"/>
      <c r="R460" s="1542"/>
      <c r="S460" s="1542"/>
      <c r="T460" s="1542"/>
      <c r="U460" s="1542"/>
      <c r="V460" s="1542"/>
      <c r="W460" s="1542"/>
      <c r="X460" s="1542"/>
      <c r="Y460" s="1542"/>
      <c r="Z460" s="1542"/>
      <c r="AA460" s="1542"/>
      <c r="AB460" s="1542"/>
      <c r="AC460" s="1542"/>
      <c r="AD460" s="1542"/>
      <c r="AE460" s="1542"/>
      <c r="AF460" s="1542"/>
      <c r="AG460" s="1542"/>
      <c r="AH460" s="1542"/>
      <c r="AI460" s="1542"/>
      <c r="AJ460" s="1542"/>
      <c r="AK460" s="1542"/>
      <c r="AL460" s="1542"/>
      <c r="AM460" s="1542"/>
      <c r="AN460" s="1542"/>
      <c r="AO460" s="1542"/>
    </row>
    <row r="461" spans="13:41" x14ac:dyDescent="0.35">
      <c r="M461" s="1542"/>
      <c r="N461" s="1542"/>
      <c r="O461" s="1542"/>
      <c r="P461" s="1542"/>
      <c r="Q461" s="1542"/>
      <c r="R461" s="1542"/>
      <c r="S461" s="1542"/>
      <c r="T461" s="1542"/>
      <c r="U461" s="1542"/>
      <c r="V461" s="1542"/>
      <c r="W461" s="1542"/>
      <c r="X461" s="1542"/>
      <c r="Y461" s="1542"/>
      <c r="Z461" s="1542"/>
      <c r="AA461" s="1542"/>
      <c r="AB461" s="1542"/>
      <c r="AC461" s="1542"/>
      <c r="AD461" s="1542"/>
      <c r="AE461" s="1542"/>
      <c r="AF461" s="1542"/>
      <c r="AG461" s="1542"/>
      <c r="AH461" s="1542"/>
      <c r="AI461" s="1542"/>
      <c r="AJ461" s="1542"/>
      <c r="AK461" s="1542"/>
      <c r="AL461" s="1542"/>
      <c r="AM461" s="1542"/>
      <c r="AN461" s="1542"/>
      <c r="AO461" s="1542"/>
    </row>
    <row r="462" spans="13:41" x14ac:dyDescent="0.35">
      <c r="M462" s="1542"/>
      <c r="N462" s="1542"/>
      <c r="O462" s="1542"/>
      <c r="P462" s="1542"/>
      <c r="Q462" s="1542"/>
      <c r="R462" s="1542"/>
      <c r="S462" s="1542"/>
      <c r="T462" s="1542"/>
      <c r="U462" s="1542"/>
      <c r="V462" s="1542"/>
      <c r="W462" s="1542"/>
      <c r="X462" s="1542"/>
      <c r="Y462" s="1542"/>
      <c r="Z462" s="1542"/>
      <c r="AA462" s="1542"/>
      <c r="AB462" s="1542"/>
      <c r="AC462" s="1542"/>
      <c r="AD462" s="1542"/>
      <c r="AE462" s="1542"/>
      <c r="AF462" s="1542"/>
      <c r="AG462" s="1542"/>
      <c r="AH462" s="1542"/>
      <c r="AI462" s="1542"/>
      <c r="AJ462" s="1542"/>
      <c r="AK462" s="1542"/>
      <c r="AL462" s="1542"/>
      <c r="AM462" s="1542"/>
      <c r="AN462" s="1542"/>
      <c r="AO462" s="1542"/>
    </row>
    <row r="463" spans="13:41" x14ac:dyDescent="0.35">
      <c r="M463" s="1542"/>
      <c r="N463" s="1542"/>
      <c r="O463" s="1542"/>
      <c r="P463" s="1542"/>
      <c r="Q463" s="1542"/>
      <c r="R463" s="1542"/>
      <c r="S463" s="1542"/>
      <c r="T463" s="1542"/>
      <c r="U463" s="1542"/>
      <c r="V463" s="1542"/>
      <c r="W463" s="1542"/>
      <c r="X463" s="1542"/>
      <c r="Y463" s="1542"/>
      <c r="Z463" s="1542"/>
      <c r="AA463" s="1542"/>
      <c r="AB463" s="1542"/>
      <c r="AC463" s="1542"/>
      <c r="AD463" s="1542"/>
      <c r="AE463" s="1542"/>
      <c r="AF463" s="1542"/>
      <c r="AG463" s="1542"/>
      <c r="AH463" s="1542"/>
      <c r="AI463" s="1542"/>
      <c r="AJ463" s="1542"/>
      <c r="AK463" s="1542"/>
      <c r="AL463" s="1542"/>
      <c r="AM463" s="1542"/>
      <c r="AN463" s="1542"/>
      <c r="AO463" s="1542"/>
    </row>
    <row r="464" spans="13:41" x14ac:dyDescent="0.35">
      <c r="M464" s="1542"/>
      <c r="N464" s="1542"/>
      <c r="O464" s="1542"/>
      <c r="P464" s="1542"/>
      <c r="Q464" s="1542"/>
      <c r="R464" s="1542"/>
      <c r="S464" s="1542"/>
      <c r="T464" s="1542"/>
      <c r="U464" s="1542"/>
      <c r="V464" s="1542"/>
      <c r="W464" s="1542"/>
      <c r="X464" s="1542"/>
      <c r="Y464" s="1542"/>
      <c r="Z464" s="1542"/>
      <c r="AA464" s="1542"/>
      <c r="AB464" s="1542"/>
      <c r="AC464" s="1542"/>
      <c r="AD464" s="1542"/>
      <c r="AE464" s="1542"/>
      <c r="AF464" s="1542"/>
      <c r="AG464" s="1542"/>
      <c r="AH464" s="1542"/>
      <c r="AI464" s="1542"/>
      <c r="AJ464" s="1542"/>
      <c r="AK464" s="1542"/>
      <c r="AL464" s="1542"/>
      <c r="AM464" s="1542"/>
      <c r="AN464" s="1542"/>
      <c r="AO464" s="1542"/>
    </row>
    <row r="465" spans="13:41" x14ac:dyDescent="0.35">
      <c r="M465" s="1542"/>
      <c r="N465" s="1542"/>
      <c r="O465" s="1542"/>
      <c r="P465" s="1542"/>
      <c r="Q465" s="1542"/>
      <c r="R465" s="1542"/>
      <c r="S465" s="1542"/>
      <c r="T465" s="1542"/>
      <c r="U465" s="1542"/>
      <c r="V465" s="1542"/>
      <c r="W465" s="1542"/>
      <c r="X465" s="1542"/>
      <c r="Y465" s="1542"/>
      <c r="Z465" s="1542"/>
      <c r="AA465" s="1542"/>
      <c r="AB465" s="1542"/>
      <c r="AC465" s="1542"/>
      <c r="AD465" s="1542"/>
      <c r="AE465" s="1542"/>
      <c r="AF465" s="1542"/>
      <c r="AG465" s="1542"/>
      <c r="AH465" s="1542"/>
      <c r="AI465" s="1542"/>
      <c r="AJ465" s="1542"/>
      <c r="AK465" s="1542"/>
      <c r="AL465" s="1542"/>
      <c r="AM465" s="1542"/>
      <c r="AN465" s="1542"/>
      <c r="AO465" s="1542"/>
    </row>
    <row r="466" spans="13:41" x14ac:dyDescent="0.35">
      <c r="M466" s="1542"/>
      <c r="N466" s="1542"/>
      <c r="O466" s="1542"/>
      <c r="P466" s="1542"/>
      <c r="Q466" s="1542"/>
      <c r="R466" s="1542"/>
      <c r="S466" s="1542"/>
      <c r="T466" s="1542"/>
      <c r="U466" s="1542"/>
      <c r="V466" s="1542"/>
      <c r="W466" s="1542"/>
      <c r="X466" s="1542"/>
      <c r="Y466" s="1542"/>
      <c r="Z466" s="1542"/>
      <c r="AA466" s="1542"/>
      <c r="AB466" s="1542"/>
      <c r="AC466" s="1542"/>
      <c r="AD466" s="1542"/>
      <c r="AE466" s="1542"/>
      <c r="AF466" s="1542"/>
      <c r="AG466" s="1542"/>
      <c r="AH466" s="1542"/>
      <c r="AI466" s="1542"/>
      <c r="AJ466" s="1542"/>
      <c r="AK466" s="1542"/>
      <c r="AL466" s="1542"/>
      <c r="AM466" s="1542"/>
      <c r="AN466" s="1542"/>
      <c r="AO466" s="1542"/>
    </row>
    <row r="467" spans="13:41" x14ac:dyDescent="0.35">
      <c r="M467" s="1542"/>
      <c r="N467" s="1542"/>
      <c r="O467" s="1542"/>
      <c r="P467" s="1542"/>
      <c r="Q467" s="1542"/>
      <c r="R467" s="1542"/>
      <c r="S467" s="1542"/>
      <c r="T467" s="1542"/>
      <c r="U467" s="1542"/>
      <c r="V467" s="1542"/>
      <c r="W467" s="1542"/>
      <c r="X467" s="1542"/>
      <c r="Y467" s="1542"/>
      <c r="Z467" s="1542"/>
      <c r="AA467" s="1542"/>
      <c r="AB467" s="1542"/>
      <c r="AC467" s="1542"/>
      <c r="AD467" s="1542"/>
      <c r="AE467" s="1542"/>
      <c r="AF467" s="1542"/>
      <c r="AG467" s="1542"/>
      <c r="AH467" s="1542"/>
      <c r="AI467" s="1542"/>
      <c r="AJ467" s="1542"/>
      <c r="AK467" s="1542"/>
      <c r="AL467" s="1542"/>
      <c r="AM467" s="1542"/>
      <c r="AN467" s="1542"/>
      <c r="AO467" s="1542"/>
    </row>
    <row r="468" spans="13:41" x14ac:dyDescent="0.35">
      <c r="M468" s="1542"/>
      <c r="N468" s="1542"/>
      <c r="O468" s="1542"/>
      <c r="P468" s="1542"/>
      <c r="Q468" s="1542"/>
      <c r="R468" s="1542"/>
      <c r="S468" s="1542"/>
      <c r="T468" s="1542"/>
      <c r="U468" s="1542"/>
      <c r="V468" s="1542"/>
      <c r="W468" s="1542"/>
      <c r="X468" s="1542"/>
      <c r="Y468" s="1542"/>
      <c r="Z468" s="1542"/>
      <c r="AA468" s="1542"/>
      <c r="AB468" s="1542"/>
      <c r="AC468" s="1542"/>
      <c r="AD468" s="1542"/>
      <c r="AE468" s="1542"/>
      <c r="AF468" s="1542"/>
      <c r="AG468" s="1542"/>
      <c r="AH468" s="1542"/>
      <c r="AI468" s="1542"/>
      <c r="AJ468" s="1542"/>
      <c r="AK468" s="1542"/>
      <c r="AL468" s="1542"/>
      <c r="AM468" s="1542"/>
      <c r="AN468" s="1542"/>
      <c r="AO468" s="1542"/>
    </row>
    <row r="469" spans="13:41" x14ac:dyDescent="0.35">
      <c r="M469" s="1542"/>
      <c r="N469" s="1542"/>
      <c r="O469" s="1542"/>
      <c r="P469" s="1542"/>
      <c r="Q469" s="1542"/>
      <c r="R469" s="1542"/>
      <c r="S469" s="1542"/>
      <c r="T469" s="1542"/>
      <c r="U469" s="1542"/>
      <c r="V469" s="1542"/>
      <c r="W469" s="1542"/>
      <c r="X469" s="1542"/>
      <c r="Y469" s="1542"/>
      <c r="Z469" s="1542"/>
      <c r="AA469" s="1542"/>
      <c r="AB469" s="1542"/>
      <c r="AC469" s="1542"/>
      <c r="AD469" s="1542"/>
      <c r="AE469" s="1542"/>
      <c r="AF469" s="1542"/>
      <c r="AG469" s="1542"/>
      <c r="AH469" s="1542"/>
      <c r="AI469" s="1542"/>
      <c r="AJ469" s="1542"/>
      <c r="AK469" s="1542"/>
      <c r="AL469" s="1542"/>
      <c r="AM469" s="1542"/>
      <c r="AN469" s="1542"/>
      <c r="AO469" s="1542"/>
    </row>
    <row r="470" spans="13:41" x14ac:dyDescent="0.35">
      <c r="M470" s="1542"/>
      <c r="N470" s="1542"/>
      <c r="O470" s="1542"/>
      <c r="P470" s="1542"/>
      <c r="Q470" s="1542"/>
      <c r="R470" s="1542"/>
      <c r="S470" s="1542"/>
      <c r="T470" s="1542"/>
      <c r="U470" s="1542"/>
      <c r="V470" s="1542"/>
      <c r="W470" s="1542"/>
      <c r="X470" s="1542"/>
      <c r="Y470" s="1542"/>
      <c r="Z470" s="1542"/>
      <c r="AA470" s="1542"/>
      <c r="AB470" s="1542"/>
      <c r="AC470" s="1542"/>
      <c r="AD470" s="1542"/>
      <c r="AE470" s="1542"/>
      <c r="AF470" s="1542"/>
      <c r="AG470" s="1542"/>
      <c r="AH470" s="1542"/>
      <c r="AI470" s="1542"/>
      <c r="AJ470" s="1542"/>
      <c r="AK470" s="1542"/>
      <c r="AL470" s="1542"/>
      <c r="AM470" s="1542"/>
      <c r="AN470" s="1542"/>
      <c r="AO470" s="1542"/>
    </row>
    <row r="471" spans="13:41" x14ac:dyDescent="0.35">
      <c r="M471" s="1542"/>
      <c r="N471" s="1542"/>
      <c r="O471" s="1542"/>
      <c r="P471" s="1542"/>
      <c r="Q471" s="1542"/>
      <c r="R471" s="1542"/>
      <c r="S471" s="1542"/>
      <c r="T471" s="1542"/>
      <c r="U471" s="1542"/>
      <c r="V471" s="1542"/>
      <c r="W471" s="1542"/>
      <c r="X471" s="1542"/>
      <c r="Y471" s="1542"/>
      <c r="Z471" s="1542"/>
      <c r="AA471" s="1542"/>
      <c r="AB471" s="1542"/>
      <c r="AC471" s="1542"/>
      <c r="AD471" s="1542"/>
      <c r="AE471" s="1542"/>
      <c r="AF471" s="1542"/>
      <c r="AG471" s="1542"/>
      <c r="AH471" s="1542"/>
      <c r="AI471" s="1542"/>
      <c r="AJ471" s="1542"/>
      <c r="AK471" s="1542"/>
      <c r="AL471" s="1542"/>
      <c r="AM471" s="1542"/>
      <c r="AN471" s="1542"/>
      <c r="AO471" s="1542"/>
    </row>
    <row r="472" spans="13:41" x14ac:dyDescent="0.35">
      <c r="M472" s="1542"/>
      <c r="N472" s="1542"/>
      <c r="O472" s="1542"/>
      <c r="P472" s="1542"/>
      <c r="Q472" s="1542"/>
      <c r="R472" s="1542"/>
      <c r="S472" s="1542"/>
      <c r="T472" s="1542"/>
      <c r="U472" s="1542"/>
      <c r="V472" s="1542"/>
      <c r="W472" s="1542"/>
      <c r="X472" s="1542"/>
      <c r="Y472" s="1542"/>
      <c r="Z472" s="1542"/>
      <c r="AA472" s="1542"/>
      <c r="AB472" s="1542"/>
      <c r="AC472" s="1542"/>
      <c r="AD472" s="1542"/>
      <c r="AE472" s="1542"/>
      <c r="AF472" s="1542"/>
      <c r="AG472" s="1542"/>
      <c r="AH472" s="1542"/>
      <c r="AI472" s="1542"/>
      <c r="AJ472" s="1542"/>
      <c r="AK472" s="1542"/>
      <c r="AL472" s="1542"/>
      <c r="AM472" s="1542"/>
      <c r="AN472" s="1542"/>
      <c r="AO472" s="1542"/>
    </row>
    <row r="473" spans="13:41" x14ac:dyDescent="0.35">
      <c r="M473" s="1542"/>
      <c r="N473" s="1542"/>
      <c r="O473" s="1542"/>
      <c r="P473" s="1542"/>
      <c r="Q473" s="1542"/>
      <c r="R473" s="1542"/>
      <c r="S473" s="1542"/>
      <c r="T473" s="1542"/>
      <c r="U473" s="1542"/>
      <c r="V473" s="1542"/>
      <c r="W473" s="1542"/>
      <c r="X473" s="1542"/>
      <c r="Y473" s="1542"/>
      <c r="Z473" s="1542"/>
      <c r="AA473" s="1542"/>
      <c r="AB473" s="1542"/>
      <c r="AC473" s="1542"/>
      <c r="AD473" s="1542"/>
      <c r="AE473" s="1542"/>
      <c r="AF473" s="1542"/>
      <c r="AG473" s="1542"/>
      <c r="AH473" s="1542"/>
      <c r="AI473" s="1542"/>
      <c r="AJ473" s="1542"/>
      <c r="AK473" s="1542"/>
      <c r="AL473" s="1542"/>
      <c r="AM473" s="1542"/>
      <c r="AN473" s="1542"/>
      <c r="AO473" s="1542"/>
    </row>
    <row r="474" spans="13:41" x14ac:dyDescent="0.35">
      <c r="M474" s="1542"/>
      <c r="N474" s="1542"/>
      <c r="O474" s="1542"/>
      <c r="P474" s="1542"/>
      <c r="Q474" s="1542"/>
      <c r="R474" s="1542"/>
      <c r="S474" s="1542"/>
      <c r="T474" s="1542"/>
      <c r="U474" s="1542"/>
      <c r="V474" s="1542"/>
      <c r="W474" s="1542"/>
      <c r="X474" s="1542"/>
      <c r="Y474" s="1542"/>
      <c r="Z474" s="1542"/>
      <c r="AA474" s="1542"/>
      <c r="AB474" s="1542"/>
      <c r="AC474" s="1542"/>
      <c r="AD474" s="1542"/>
      <c r="AE474" s="1542"/>
      <c r="AF474" s="1542"/>
      <c r="AG474" s="1542"/>
      <c r="AH474" s="1542"/>
      <c r="AI474" s="1542"/>
      <c r="AJ474" s="1542"/>
      <c r="AK474" s="1542"/>
      <c r="AL474" s="1542"/>
      <c r="AM474" s="1542"/>
      <c r="AN474" s="1542"/>
      <c r="AO474" s="1542"/>
    </row>
    <row r="475" spans="13:41" x14ac:dyDescent="0.35">
      <c r="M475" s="1542"/>
      <c r="N475" s="1542"/>
      <c r="O475" s="1542"/>
      <c r="P475" s="1542"/>
      <c r="Q475" s="1542"/>
      <c r="R475" s="1542"/>
      <c r="S475" s="1542"/>
      <c r="T475" s="1542"/>
      <c r="U475" s="1542"/>
      <c r="V475" s="1542"/>
      <c r="W475" s="1542"/>
      <c r="X475" s="1542"/>
      <c r="Y475" s="1542"/>
      <c r="Z475" s="1542"/>
      <c r="AA475" s="1542"/>
      <c r="AB475" s="1542"/>
      <c r="AC475" s="1542"/>
      <c r="AD475" s="1542"/>
      <c r="AE475" s="1542"/>
      <c r="AF475" s="1542"/>
      <c r="AG475" s="1542"/>
      <c r="AH475" s="1542"/>
      <c r="AI475" s="1542"/>
      <c r="AJ475" s="1542"/>
      <c r="AK475" s="1542"/>
      <c r="AL475" s="1542"/>
      <c r="AM475" s="1542"/>
      <c r="AN475" s="1542"/>
      <c r="AO475" s="1542"/>
    </row>
    <row r="476" spans="13:41" x14ac:dyDescent="0.35">
      <c r="M476" s="1542"/>
      <c r="N476" s="1542"/>
      <c r="O476" s="1542"/>
      <c r="P476" s="1542"/>
      <c r="Q476" s="1542"/>
      <c r="R476" s="1542"/>
      <c r="S476" s="1542"/>
      <c r="T476" s="1542"/>
      <c r="U476" s="1542"/>
      <c r="V476" s="1542"/>
      <c r="W476" s="1542"/>
      <c r="X476" s="1542"/>
      <c r="Y476" s="1542"/>
      <c r="Z476" s="1542"/>
      <c r="AA476" s="1542"/>
      <c r="AB476" s="1542"/>
      <c r="AC476" s="1542"/>
      <c r="AD476" s="1542"/>
      <c r="AE476" s="1542"/>
      <c r="AF476" s="1542"/>
      <c r="AG476" s="1542"/>
      <c r="AH476" s="1542"/>
      <c r="AI476" s="1542"/>
      <c r="AJ476" s="1542"/>
      <c r="AK476" s="1542"/>
      <c r="AL476" s="1542"/>
      <c r="AM476" s="1542"/>
      <c r="AN476" s="1542"/>
      <c r="AO476" s="1542"/>
    </row>
    <row r="477" spans="13:41" x14ac:dyDescent="0.35">
      <c r="M477" s="1542"/>
      <c r="N477" s="1542"/>
      <c r="O477" s="1542"/>
      <c r="P477" s="1542"/>
      <c r="Q477" s="1542"/>
      <c r="R477" s="1542"/>
      <c r="S477" s="1542"/>
      <c r="T477" s="1542"/>
      <c r="U477" s="1542"/>
      <c r="V477" s="1542"/>
      <c r="W477" s="1542"/>
      <c r="X477" s="1542"/>
      <c r="Y477" s="1542"/>
      <c r="Z477" s="1542"/>
      <c r="AA477" s="1542"/>
      <c r="AB477" s="1542"/>
      <c r="AC477" s="1542"/>
      <c r="AD477" s="1542"/>
      <c r="AE477" s="1542"/>
      <c r="AF477" s="1542"/>
      <c r="AG477" s="1542"/>
      <c r="AH477" s="1542"/>
      <c r="AI477" s="1542"/>
      <c r="AJ477" s="1542"/>
      <c r="AK477" s="1542"/>
      <c r="AL477" s="1542"/>
      <c r="AM477" s="1542"/>
      <c r="AN477" s="1542"/>
      <c r="AO477" s="1542"/>
    </row>
    <row r="478" spans="13:41" x14ac:dyDescent="0.35">
      <c r="M478" s="1542"/>
      <c r="N478" s="1542"/>
      <c r="O478" s="1542"/>
      <c r="P478" s="1542"/>
      <c r="Q478" s="1542"/>
      <c r="R478" s="1542"/>
      <c r="S478" s="1542"/>
      <c r="T478" s="1542"/>
      <c r="U478" s="1542"/>
      <c r="V478" s="1542"/>
      <c r="W478" s="1542"/>
      <c r="X478" s="1542"/>
      <c r="Y478" s="1542"/>
      <c r="Z478" s="1542"/>
      <c r="AA478" s="1542"/>
      <c r="AB478" s="1542"/>
      <c r="AC478" s="1542"/>
      <c r="AD478" s="1542"/>
      <c r="AE478" s="1542"/>
      <c r="AF478" s="1542"/>
      <c r="AG478" s="1542"/>
      <c r="AH478" s="1542"/>
      <c r="AI478" s="1542"/>
      <c r="AJ478" s="1542"/>
      <c r="AK478" s="1542"/>
      <c r="AL478" s="1542"/>
      <c r="AM478" s="1542"/>
      <c r="AN478" s="1542"/>
      <c r="AO478" s="1542"/>
    </row>
    <row r="479" spans="13:41" x14ac:dyDescent="0.35">
      <c r="M479" s="1542"/>
      <c r="N479" s="1542"/>
      <c r="O479" s="1542"/>
      <c r="P479" s="1542"/>
      <c r="Q479" s="1542"/>
      <c r="R479" s="1542"/>
      <c r="S479" s="1542"/>
      <c r="T479" s="1542"/>
      <c r="U479" s="1542"/>
      <c r="V479" s="1542"/>
      <c r="W479" s="1542"/>
      <c r="X479" s="1542"/>
      <c r="Y479" s="1542"/>
      <c r="Z479" s="1542"/>
      <c r="AA479" s="1542"/>
      <c r="AB479" s="1542"/>
      <c r="AC479" s="1542"/>
      <c r="AD479" s="1542"/>
      <c r="AE479" s="1542"/>
      <c r="AF479" s="1542"/>
      <c r="AG479" s="1542"/>
      <c r="AH479" s="1542"/>
      <c r="AI479" s="1542"/>
      <c r="AJ479" s="1542"/>
      <c r="AK479" s="1542"/>
      <c r="AL479" s="1542"/>
      <c r="AM479" s="1542"/>
      <c r="AN479" s="1542"/>
      <c r="AO479" s="1542"/>
    </row>
    <row r="480" spans="13:41" x14ac:dyDescent="0.35">
      <c r="M480" s="1542"/>
      <c r="N480" s="1542"/>
      <c r="O480" s="1542"/>
      <c r="P480" s="1542"/>
      <c r="Q480" s="1542"/>
      <c r="R480" s="1542"/>
      <c r="S480" s="1542"/>
      <c r="T480" s="1542"/>
      <c r="U480" s="1542"/>
      <c r="V480" s="1542"/>
      <c r="W480" s="1542"/>
      <c r="X480" s="1542"/>
      <c r="Y480" s="1542"/>
      <c r="Z480" s="1542"/>
      <c r="AA480" s="1542"/>
      <c r="AB480" s="1542"/>
      <c r="AC480" s="1542"/>
      <c r="AD480" s="1542"/>
      <c r="AE480" s="1542"/>
      <c r="AF480" s="1542"/>
      <c r="AG480" s="1542"/>
      <c r="AH480" s="1542"/>
      <c r="AI480" s="1542"/>
      <c r="AJ480" s="1542"/>
      <c r="AK480" s="1542"/>
      <c r="AL480" s="1542"/>
      <c r="AM480" s="1542"/>
      <c r="AN480" s="1542"/>
      <c r="AO480" s="1542"/>
    </row>
    <row r="481" spans="13:41" x14ac:dyDescent="0.35">
      <c r="M481" s="1542"/>
      <c r="N481" s="1542"/>
      <c r="O481" s="1542"/>
      <c r="P481" s="1542"/>
      <c r="Q481" s="1542"/>
      <c r="R481" s="1542"/>
      <c r="S481" s="1542"/>
      <c r="T481" s="1542"/>
      <c r="U481" s="1542"/>
      <c r="V481" s="1542"/>
      <c r="W481" s="1542"/>
      <c r="X481" s="1542"/>
      <c r="Y481" s="1542"/>
      <c r="Z481" s="1542"/>
      <c r="AA481" s="1542"/>
      <c r="AB481" s="1542"/>
      <c r="AC481" s="1542"/>
      <c r="AD481" s="1542"/>
      <c r="AE481" s="1542"/>
      <c r="AF481" s="1542"/>
      <c r="AG481" s="1542"/>
      <c r="AH481" s="1542"/>
      <c r="AI481" s="1542"/>
      <c r="AJ481" s="1542"/>
      <c r="AK481" s="1542"/>
      <c r="AL481" s="1542"/>
      <c r="AM481" s="1542"/>
      <c r="AN481" s="1542"/>
      <c r="AO481" s="1542"/>
    </row>
    <row r="482" spans="13:41" x14ac:dyDescent="0.35">
      <c r="M482" s="1542"/>
      <c r="N482" s="1542"/>
      <c r="O482" s="1542"/>
      <c r="P482" s="1542"/>
      <c r="Q482" s="1542"/>
      <c r="R482" s="1542"/>
      <c r="S482" s="1542"/>
      <c r="T482" s="1542"/>
      <c r="U482" s="1542"/>
      <c r="V482" s="1542"/>
      <c r="W482" s="1542"/>
      <c r="X482" s="1542"/>
      <c r="Y482" s="1542"/>
      <c r="Z482" s="1542"/>
      <c r="AA482" s="1542"/>
      <c r="AB482" s="1542"/>
      <c r="AC482" s="1542"/>
      <c r="AD482" s="1542"/>
      <c r="AE482" s="1542"/>
      <c r="AF482" s="1542"/>
      <c r="AG482" s="1542"/>
      <c r="AH482" s="1542"/>
      <c r="AI482" s="1542"/>
      <c r="AJ482" s="1542"/>
      <c r="AK482" s="1542"/>
      <c r="AL482" s="1542"/>
      <c r="AM482" s="1542"/>
      <c r="AN482" s="1542"/>
      <c r="AO482" s="1542"/>
    </row>
    <row r="483" spans="13:41" x14ac:dyDescent="0.35">
      <c r="M483" s="1542"/>
      <c r="N483" s="1542"/>
      <c r="O483" s="1542"/>
      <c r="P483" s="1542"/>
      <c r="Q483" s="1542"/>
      <c r="R483" s="1542"/>
      <c r="S483" s="1542"/>
      <c r="T483" s="1542"/>
      <c r="U483" s="1542"/>
      <c r="V483" s="1542"/>
      <c r="W483" s="1542"/>
      <c r="X483" s="1542"/>
      <c r="Y483" s="1542"/>
      <c r="Z483" s="1542"/>
      <c r="AA483" s="1542"/>
      <c r="AB483" s="1542"/>
      <c r="AC483" s="1542"/>
      <c r="AD483" s="1542"/>
      <c r="AE483" s="1542"/>
      <c r="AF483" s="1542"/>
      <c r="AG483" s="1542"/>
      <c r="AH483" s="1542"/>
      <c r="AI483" s="1542"/>
      <c r="AJ483" s="1542"/>
      <c r="AK483" s="1542"/>
      <c r="AL483" s="1542"/>
      <c r="AM483" s="1542"/>
      <c r="AN483" s="1542"/>
      <c r="AO483" s="1542"/>
    </row>
    <row r="484" spans="13:41" x14ac:dyDescent="0.35">
      <c r="M484" s="1542"/>
      <c r="N484" s="1542"/>
      <c r="O484" s="1542"/>
      <c r="P484" s="1542"/>
      <c r="Q484" s="1542"/>
      <c r="R484" s="1542"/>
      <c r="S484" s="1542"/>
      <c r="T484" s="1542"/>
      <c r="U484" s="1542"/>
      <c r="V484" s="1542"/>
      <c r="W484" s="1542"/>
      <c r="X484" s="1542"/>
      <c r="Y484" s="1542"/>
      <c r="Z484" s="1542"/>
      <c r="AA484" s="1542"/>
      <c r="AB484" s="1542"/>
      <c r="AC484" s="1542"/>
      <c r="AD484" s="1542"/>
      <c r="AE484" s="1542"/>
      <c r="AF484" s="1542"/>
      <c r="AG484" s="1542"/>
      <c r="AH484" s="1542"/>
      <c r="AI484" s="1542"/>
      <c r="AJ484" s="1542"/>
      <c r="AK484" s="1542"/>
      <c r="AL484" s="1542"/>
      <c r="AM484" s="1542"/>
      <c r="AN484" s="1542"/>
      <c r="AO484" s="1542"/>
    </row>
    <row r="485" spans="13:41" x14ac:dyDescent="0.35">
      <c r="M485" s="1542"/>
      <c r="N485" s="1542"/>
      <c r="O485" s="1542"/>
      <c r="P485" s="1542"/>
      <c r="Q485" s="1542"/>
      <c r="R485" s="1542"/>
      <c r="S485" s="1542"/>
      <c r="T485" s="1542"/>
      <c r="U485" s="1542"/>
      <c r="V485" s="1542"/>
      <c r="W485" s="1542"/>
      <c r="X485" s="1542"/>
      <c r="Y485" s="1542"/>
      <c r="Z485" s="1542"/>
      <c r="AA485" s="1542"/>
      <c r="AB485" s="1542"/>
      <c r="AC485" s="1542"/>
      <c r="AD485" s="1542"/>
      <c r="AE485" s="1542"/>
      <c r="AF485" s="1542"/>
      <c r="AG485" s="1542"/>
      <c r="AH485" s="1542"/>
      <c r="AI485" s="1542"/>
      <c r="AJ485" s="1542"/>
      <c r="AK485" s="1542"/>
      <c r="AL485" s="1542"/>
      <c r="AM485" s="1542"/>
      <c r="AN485" s="1542"/>
      <c r="AO485" s="1542"/>
    </row>
    <row r="486" spans="13:41" x14ac:dyDescent="0.35">
      <c r="M486" s="1542"/>
      <c r="N486" s="1542"/>
      <c r="O486" s="1542"/>
      <c r="P486" s="1542"/>
      <c r="Q486" s="1542"/>
      <c r="R486" s="1542"/>
      <c r="S486" s="1542"/>
      <c r="T486" s="1542"/>
      <c r="U486" s="1542"/>
      <c r="V486" s="1542"/>
      <c r="W486" s="1542"/>
      <c r="X486" s="1542"/>
      <c r="Y486" s="1542"/>
      <c r="Z486" s="1542"/>
      <c r="AA486" s="1542"/>
      <c r="AB486" s="1542"/>
      <c r="AC486" s="1542"/>
      <c r="AD486" s="1542"/>
      <c r="AE486" s="1542"/>
      <c r="AF486" s="1542"/>
      <c r="AG486" s="1542"/>
      <c r="AH486" s="1542"/>
      <c r="AI486" s="1542"/>
      <c r="AJ486" s="1542"/>
      <c r="AK486" s="1542"/>
      <c r="AL486" s="1542"/>
      <c r="AM486" s="1542"/>
      <c r="AN486" s="1542"/>
      <c r="AO486" s="1542"/>
    </row>
    <row r="487" spans="13:41" x14ac:dyDescent="0.35">
      <c r="M487" s="1542"/>
      <c r="N487" s="1542"/>
      <c r="O487" s="1542"/>
      <c r="P487" s="1542"/>
      <c r="Q487" s="1542"/>
      <c r="R487" s="1542"/>
      <c r="S487" s="1542"/>
      <c r="T487" s="1542"/>
      <c r="U487" s="1542"/>
      <c r="V487" s="1542"/>
      <c r="W487" s="1542"/>
      <c r="X487" s="1542"/>
      <c r="Y487" s="1542"/>
      <c r="Z487" s="1542"/>
      <c r="AA487" s="1542"/>
      <c r="AB487" s="1542"/>
      <c r="AC487" s="1542"/>
      <c r="AD487" s="1542"/>
      <c r="AE487" s="1542"/>
      <c r="AF487" s="1542"/>
      <c r="AG487" s="1542"/>
      <c r="AH487" s="1542"/>
      <c r="AI487" s="1542"/>
      <c r="AJ487" s="1542"/>
      <c r="AK487" s="1542"/>
      <c r="AL487" s="1542"/>
      <c r="AM487" s="1542"/>
      <c r="AN487" s="1542"/>
      <c r="AO487" s="1542"/>
    </row>
    <row r="488" spans="13:41" x14ac:dyDescent="0.35">
      <c r="M488" s="1542"/>
      <c r="N488" s="1542"/>
      <c r="O488" s="1542"/>
      <c r="P488" s="1542"/>
      <c r="Q488" s="1542"/>
      <c r="R488" s="1542"/>
      <c r="S488" s="1542"/>
      <c r="T488" s="1542"/>
      <c r="U488" s="1542"/>
      <c r="V488" s="1542"/>
      <c r="W488" s="1542"/>
      <c r="X488" s="1542"/>
      <c r="Y488" s="1542"/>
      <c r="Z488" s="1542"/>
      <c r="AA488" s="1542"/>
      <c r="AB488" s="1542"/>
      <c r="AC488" s="1542"/>
      <c r="AD488" s="1542"/>
      <c r="AE488" s="1542"/>
      <c r="AF488" s="1542"/>
      <c r="AG488" s="1542"/>
      <c r="AH488" s="1542"/>
      <c r="AI488" s="1542"/>
      <c r="AJ488" s="1542"/>
      <c r="AK488" s="1542"/>
      <c r="AL488" s="1542"/>
      <c r="AM488" s="1542"/>
      <c r="AN488" s="1542"/>
      <c r="AO488" s="1542"/>
    </row>
    <row r="489" spans="13:41" x14ac:dyDescent="0.35">
      <c r="M489" s="1542"/>
      <c r="N489" s="1542"/>
      <c r="O489" s="1542"/>
      <c r="P489" s="1542"/>
      <c r="Q489" s="1542"/>
      <c r="R489" s="1542"/>
      <c r="S489" s="1542"/>
      <c r="T489" s="1542"/>
      <c r="U489" s="1542"/>
      <c r="V489" s="1542"/>
      <c r="W489" s="1542"/>
      <c r="X489" s="1542"/>
      <c r="Y489" s="1542"/>
      <c r="Z489" s="1542"/>
      <c r="AA489" s="1542"/>
      <c r="AB489" s="1542"/>
      <c r="AC489" s="1542"/>
      <c r="AD489" s="1542"/>
      <c r="AE489" s="1542"/>
      <c r="AF489" s="1542"/>
      <c r="AG489" s="1542"/>
      <c r="AH489" s="1542"/>
      <c r="AI489" s="1542"/>
      <c r="AJ489" s="1542"/>
      <c r="AK489" s="1542"/>
      <c r="AL489" s="1542"/>
      <c r="AM489" s="1542"/>
      <c r="AN489" s="1542"/>
      <c r="AO489" s="1542"/>
    </row>
    <row r="490" spans="13:41" x14ac:dyDescent="0.35">
      <c r="M490" s="1542"/>
      <c r="N490" s="1542"/>
      <c r="O490" s="1542"/>
      <c r="P490" s="1542"/>
      <c r="Q490" s="1542"/>
      <c r="R490" s="1542"/>
      <c r="S490" s="1542"/>
      <c r="T490" s="1542"/>
      <c r="U490" s="1542"/>
      <c r="V490" s="1542"/>
      <c r="W490" s="1542"/>
      <c r="X490" s="1542"/>
      <c r="Y490" s="1542"/>
      <c r="Z490" s="1542"/>
      <c r="AA490" s="1542"/>
      <c r="AB490" s="1542"/>
      <c r="AC490" s="1542"/>
      <c r="AD490" s="1542"/>
      <c r="AE490" s="1542"/>
      <c r="AF490" s="1542"/>
      <c r="AG490" s="1542"/>
      <c r="AH490" s="1542"/>
      <c r="AI490" s="1542"/>
      <c r="AJ490" s="1542"/>
      <c r="AK490" s="1542"/>
      <c r="AL490" s="1542"/>
      <c r="AM490" s="1542"/>
      <c r="AN490" s="1542"/>
      <c r="AO490" s="1542"/>
    </row>
    <row r="491" spans="13:41" x14ac:dyDescent="0.35">
      <c r="M491" s="1542"/>
      <c r="N491" s="1542"/>
      <c r="O491" s="1542"/>
      <c r="P491" s="1542"/>
      <c r="Q491" s="1542"/>
      <c r="R491" s="1542"/>
      <c r="S491" s="1542"/>
      <c r="T491" s="1542"/>
      <c r="U491" s="1542"/>
      <c r="V491" s="1542"/>
      <c r="W491" s="1542"/>
      <c r="X491" s="1542"/>
      <c r="Y491" s="1542"/>
      <c r="Z491" s="1542"/>
      <c r="AA491" s="1542"/>
      <c r="AB491" s="1542"/>
      <c r="AC491" s="1542"/>
      <c r="AD491" s="1542"/>
      <c r="AE491" s="1542"/>
      <c r="AF491" s="1542"/>
      <c r="AG491" s="1542"/>
      <c r="AH491" s="1542"/>
      <c r="AI491" s="1542"/>
      <c r="AJ491" s="1542"/>
      <c r="AK491" s="1542"/>
      <c r="AL491" s="1542"/>
      <c r="AM491" s="1542"/>
      <c r="AN491" s="1542"/>
      <c r="AO491" s="1542"/>
    </row>
    <row r="492" spans="13:41" x14ac:dyDescent="0.35">
      <c r="M492" s="1542"/>
      <c r="N492" s="1542"/>
      <c r="O492" s="1542"/>
      <c r="P492" s="1542"/>
      <c r="Q492" s="1542"/>
      <c r="R492" s="1542"/>
      <c r="S492" s="1542"/>
      <c r="T492" s="1542"/>
      <c r="U492" s="1542"/>
      <c r="V492" s="1542"/>
      <c r="W492" s="1542"/>
      <c r="X492" s="1542"/>
      <c r="Y492" s="1542"/>
      <c r="Z492" s="1542"/>
      <c r="AA492" s="1542"/>
      <c r="AB492" s="1542"/>
      <c r="AC492" s="1542"/>
      <c r="AD492" s="1542"/>
      <c r="AE492" s="1542"/>
      <c r="AF492" s="1542"/>
      <c r="AG492" s="1542"/>
      <c r="AH492" s="1542"/>
      <c r="AI492" s="1542"/>
      <c r="AJ492" s="1542"/>
      <c r="AK492" s="1542"/>
      <c r="AL492" s="1542"/>
      <c r="AM492" s="1542"/>
      <c r="AN492" s="1542"/>
      <c r="AO492" s="1542"/>
    </row>
    <row r="493" spans="13:41" x14ac:dyDescent="0.35">
      <c r="M493" s="1542"/>
      <c r="N493" s="1542"/>
      <c r="O493" s="1542"/>
      <c r="P493" s="1542"/>
      <c r="Q493" s="1542"/>
      <c r="R493" s="1542"/>
      <c r="S493" s="1542"/>
      <c r="T493" s="1542"/>
      <c r="U493" s="1542"/>
      <c r="V493" s="1542"/>
      <c r="W493" s="1542"/>
      <c r="X493" s="1542"/>
      <c r="Y493" s="1542"/>
      <c r="Z493" s="1542"/>
      <c r="AA493" s="1542"/>
      <c r="AB493" s="1542"/>
      <c r="AC493" s="1542"/>
      <c r="AD493" s="1542"/>
      <c r="AE493" s="1542"/>
      <c r="AF493" s="1542"/>
      <c r="AG493" s="1542"/>
      <c r="AH493" s="1542"/>
      <c r="AI493" s="1542"/>
      <c r="AJ493" s="1542"/>
      <c r="AK493" s="1542"/>
      <c r="AL493" s="1542"/>
      <c r="AM493" s="1542"/>
      <c r="AN493" s="1542"/>
      <c r="AO493" s="1542"/>
    </row>
    <row r="494" spans="13:41" x14ac:dyDescent="0.35">
      <c r="M494" s="1542"/>
      <c r="N494" s="1542"/>
      <c r="O494" s="1542"/>
      <c r="P494" s="1542"/>
      <c r="Q494" s="1542"/>
      <c r="R494" s="1542"/>
      <c r="S494" s="1542"/>
      <c r="T494" s="1542"/>
      <c r="U494" s="1542"/>
      <c r="V494" s="1542"/>
      <c r="W494" s="1542"/>
      <c r="X494" s="1542"/>
      <c r="Y494" s="1542"/>
      <c r="Z494" s="1542"/>
      <c r="AA494" s="1542"/>
      <c r="AB494" s="1542"/>
      <c r="AC494" s="1542"/>
      <c r="AD494" s="1542"/>
      <c r="AE494" s="1542"/>
      <c r="AF494" s="1542"/>
      <c r="AG494" s="1542"/>
      <c r="AH494" s="1542"/>
      <c r="AI494" s="1542"/>
      <c r="AJ494" s="1542"/>
      <c r="AK494" s="1542"/>
      <c r="AL494" s="1542"/>
      <c r="AM494" s="1542"/>
      <c r="AN494" s="1542"/>
      <c r="AO494" s="1542"/>
    </row>
    <row r="495" spans="13:41" x14ac:dyDescent="0.35">
      <c r="M495" s="1542"/>
      <c r="N495" s="1542"/>
      <c r="O495" s="1542"/>
      <c r="P495" s="1542"/>
      <c r="Q495" s="1542"/>
      <c r="R495" s="1542"/>
      <c r="S495" s="1542"/>
      <c r="T495" s="1542"/>
      <c r="U495" s="1542"/>
      <c r="V495" s="1542"/>
      <c r="W495" s="1542"/>
      <c r="X495" s="1542"/>
      <c r="Y495" s="1542"/>
      <c r="Z495" s="1542"/>
      <c r="AA495" s="1542"/>
      <c r="AB495" s="1542"/>
      <c r="AC495" s="1542"/>
      <c r="AD495" s="1542"/>
      <c r="AE495" s="1542"/>
      <c r="AF495" s="1542"/>
      <c r="AG495" s="1542"/>
      <c r="AH495" s="1542"/>
      <c r="AI495" s="1542"/>
      <c r="AJ495" s="1542"/>
      <c r="AK495" s="1542"/>
      <c r="AL495" s="1542"/>
      <c r="AM495" s="1542"/>
      <c r="AN495" s="1542"/>
      <c r="AO495" s="1542"/>
    </row>
    <row r="496" spans="13:41" x14ac:dyDescent="0.35">
      <c r="M496" s="1542"/>
      <c r="N496" s="1542"/>
      <c r="O496" s="1542"/>
      <c r="P496" s="1542"/>
      <c r="Q496" s="1542"/>
      <c r="R496" s="1542"/>
      <c r="S496" s="1542"/>
      <c r="T496" s="1542"/>
      <c r="U496" s="1542"/>
      <c r="V496" s="1542"/>
      <c r="W496" s="1542"/>
      <c r="X496" s="1542"/>
      <c r="Y496" s="1542"/>
      <c r="Z496" s="1542"/>
      <c r="AA496" s="1542"/>
      <c r="AB496" s="1542"/>
      <c r="AC496" s="1542"/>
      <c r="AD496" s="1542"/>
      <c r="AE496" s="1542"/>
      <c r="AF496" s="1542"/>
      <c r="AG496" s="1542"/>
      <c r="AH496" s="1542"/>
      <c r="AI496" s="1542"/>
      <c r="AJ496" s="1542"/>
      <c r="AK496" s="1542"/>
      <c r="AL496" s="1542"/>
      <c r="AM496" s="1542"/>
      <c r="AN496" s="1542"/>
      <c r="AO496" s="1542"/>
    </row>
  </sheetData>
  <autoFilter ref="A5:AS383" xr:uid="{982A49CE-AC07-4C87-A787-9B05444CE4B0}">
    <filterColumn colId="7">
      <filters>
        <filter val="Tuition-Free"/>
      </filters>
    </filterColumn>
  </autoFilter>
  <hyperlinks>
    <hyperlink ref="AS6" r:id="rId1" display="https://nces.ed.gov/ccd/schoolsearch/school_detail.asp?Search=1&amp;InstName=Alabama+Virtual+Academy&amp;SchoolType=1&amp;SchoolType=2&amp;SchoolType=3&amp;SchoolType=4&amp;SpecificSchlTypes=all&amp;IncGrade=-1&amp;LoGrade=-1&amp;HiGrade=-1&amp;ID=010141002439" xr:uid="{2184C7F9-D204-41FE-B18E-DB383E7202E0}"/>
    <hyperlink ref="AS7" r:id="rId2" display="https://nces.ed.gov/ccd/schoolsearch/school_detail.asp?Search=1&amp;InstName=Alabama+Destinations+Career+Academy&amp;SchoolType=1&amp;SchoolType=2&amp;SchoolType=3&amp;SchoolType=4&amp;SpecificSchlTypes=all&amp;IncGrade=-1&amp;LoGrade=-1&amp;HiGrade=-1&amp;ID=010018802514" xr:uid="{C0DA4B63-3FCA-4C22-995D-13F1875C3D65}"/>
    <hyperlink ref="AQ7" r:id="rId3" xr:uid="{49CC8B0A-8749-4260-A99C-67C4856D0B75}"/>
    <hyperlink ref="AS19" r:id="rId4" xr:uid="{31BBEA9E-B77D-453A-80DC-FBE329284875}"/>
    <hyperlink ref="AS20" r:id="rId5" xr:uid="{F4350C0C-6AFD-418A-B7EC-0B9B24A5B5B7}"/>
    <hyperlink ref="AQ20" r:id="rId6" xr:uid="{7561FD4C-8E68-4BDC-B840-BEBF164CF3FB}"/>
    <hyperlink ref="AQ29" r:id="rId7" xr:uid="{693C408F-C29F-4805-AB98-D9AA80895A60}"/>
    <hyperlink ref="AS29" r:id="rId8" xr:uid="{DD7D6625-6D34-4EAF-8D1B-27356623EDB1}"/>
    <hyperlink ref="AQ35" r:id="rId9" xr:uid="{3C545FD0-17DD-4BAB-9DAA-092000D19B78}"/>
    <hyperlink ref="AS35" r:id="rId10" xr:uid="{8C789C0A-AAEE-4FED-8C08-9D82AD8BFB02}"/>
    <hyperlink ref="AQ37" r:id="rId11" display="https://nces.ed.gov/transfer.asp?location=www.caliva.org" xr:uid="{351743A3-B026-499E-90A9-FA55C52C86FC}"/>
    <hyperlink ref="AS37" r:id="rId12" xr:uid="{BED17B79-45C9-4489-A5B7-81520EDEB7C7}"/>
    <hyperlink ref="AS43" r:id="rId13" display="Search for Public School - Destinations Career Academy of Colorado ((303)128-6266)" xr:uid="{BFC0FD68-CE68-42E3-BA58-2C2EB4EE4322}"/>
    <hyperlink ref="AS258" r:id="rId14" xr:uid="{66D9ED2A-4A75-4D9A-BB13-3F63F0DFCC85}"/>
    <hyperlink ref="AQ258" r:id="rId15" display="https://nces.ed.gov/transfer.asp?location=ohva.k12.com/" xr:uid="{9F152ABF-4223-4840-99E7-F1A76AA6D6C9}"/>
    <hyperlink ref="AQ259" r:id="rId16" display="https://nces.ed.gov/transfer.asp?location=odls.k12.com/" xr:uid="{4D265203-5DA6-49A0-ACB9-65227E34220C}"/>
    <hyperlink ref="AS259" r:id="rId17" xr:uid="{45185BEA-6E2F-47D9-BFF0-0B940FEE85C6}"/>
    <hyperlink ref="AS268" r:id="rId18" xr:uid="{05FF39F2-6E00-4892-8D67-51BAA262EFAA}"/>
    <hyperlink ref="AQ268" r:id="rId19" display="https://nces.ed.gov/transfer.asp?location=ok.insightschools.net" xr:uid="{2FBA5A80-C7C1-4192-ABE5-467EC04A3AFE}"/>
    <hyperlink ref="AQ275" r:id="rId20" display="https://nces.ed.gov/transfer.asp?location=or-ph.insightschools.net" xr:uid="{B3066B42-FD4A-4CA3-BC74-5400608DFA3B}"/>
    <hyperlink ref="AS275" r:id="rId21" xr:uid="{BE464F65-F6F5-48FF-997B-2F98652BC075}"/>
    <hyperlink ref="AS276" r:id="rId22" xr:uid="{2F811BFA-2698-417D-B313-E1CC401A4245}"/>
    <hyperlink ref="AS301" r:id="rId23" xr:uid="{274D15D2-D079-49C1-B4BA-F220BB0EB48A}"/>
    <hyperlink ref="AS303" r:id="rId24" xr:uid="{E0EF5A79-8BA4-46ED-932A-66A3FCCE5F1F}"/>
    <hyperlink ref="AQ325" r:id="rId25" display="https://nces.ed.gov/transfer.asp?location=hisd.com" xr:uid="{AC2C5B28-124E-4B44-AB47-2154964C74BC}"/>
    <hyperlink ref="AS325" r:id="rId26" xr:uid="{0C8747BF-2774-4C07-BB8A-A94AB303732E}"/>
    <hyperlink ref="AS326" r:id="rId27" xr:uid="{083BFECD-EB69-4313-AB2C-FC59ADE31761}"/>
    <hyperlink ref="AS327" r:id="rId28" xr:uid="{BD51AC6C-C789-446F-95B1-6C658E5A4708}"/>
    <hyperlink ref="AS330" r:id="rId29" display="Search for PRIVATE School-KEYSTONE SCHOOL (A1904293)" xr:uid="{38C7CFE2-27D4-4696-A984-4A6893EE2A41}"/>
    <hyperlink ref="AS335" r:id="rId30" xr:uid="{C4AD39F0-8775-4E94-BDA0-82AAD3808080}"/>
    <hyperlink ref="AS353" r:id="rId31" xr:uid="{DF9806C2-D053-4EE2-B2DA-C6080B8E87C1}"/>
    <hyperlink ref="AS360" r:id="rId32" xr:uid="{58216632-29F3-481E-9D3C-7801693A2804}"/>
    <hyperlink ref="AQ367" r:id="rId33" display="https://nces.ed.gov/transfer.asp?location=www.widca.k12.com" xr:uid="{C7F9F7FF-D38D-440D-9ACD-3846E1B57EEB}"/>
    <hyperlink ref="AQ370" r:id="rId34" display="https://nces.ed.gov/transfer.asp?location=www.wiva.k12.com" xr:uid="{FD30312B-4B74-4646-A183-63025CAE1F56}"/>
    <hyperlink ref="AS370" r:id="rId35" xr:uid="{7C727C76-1FE1-41DF-9DB0-FF0706B82047}"/>
    <hyperlink ref="AS202" r:id="rId36" xr:uid="{5506DD9D-F4A6-46FA-86D2-15A2A8E1597D}"/>
    <hyperlink ref="AQ190" r:id="rId37" display="https://nces.ed.gov/transfer.asp?location=mn.insightschools.net/" xr:uid="{234D8BFD-FFB6-4731-9B37-D1857F7D745A}"/>
    <hyperlink ref="AS190" r:id="rId38" xr:uid="{70251238-AE9D-43C4-9DBC-3E27DD5C592C}"/>
    <hyperlink ref="AS180" r:id="rId39" xr:uid="{D5074327-6CE1-467E-B014-426DCD941955}"/>
    <hyperlink ref="AS181" r:id="rId40" xr:uid="{659AAB7D-9597-41A2-8417-51FA6D231D7A}"/>
    <hyperlink ref="AQ181" r:id="rId41" xr:uid="{BF5437C3-8087-4953-BDA4-B1CAD439C577}"/>
    <hyperlink ref="AS182" r:id="rId42" xr:uid="{C5E5F66A-2588-46E2-942A-63CBCAA2DDA9}"/>
    <hyperlink ref="AQ183" r:id="rId43" display="https://nces.ed.gov/transfer.asp?location=mvca.k12.com/" xr:uid="{BA73ECBE-1719-4A29-9294-121AC0865F46}"/>
    <hyperlink ref="AS183" r:id="rId44" xr:uid="{A54193B3-B07E-4092-802B-C20B48BCE517}"/>
    <hyperlink ref="AQ69" r:id="rId45" xr:uid="{38F8D89D-E05D-4042-AA58-702258919FE8}"/>
    <hyperlink ref="AS69" r:id="rId46" xr:uid="{FB2B3236-D419-4779-8781-F4D27FA9540C}"/>
    <hyperlink ref="AQ70" r:id="rId47" display="https://nces.ed.gov/transfer.asp?location=www.flcca.k12.com" xr:uid="{57A67A53-366F-4D10-9C11-EE4AF56A8224}"/>
    <hyperlink ref="AS70" r:id="rId48" xr:uid="{404DF979-996B-4585-88DB-643022DD6F5E}"/>
    <hyperlink ref="AS76" r:id="rId49" xr:uid="{45674CE1-0023-4E05-8E22-9C919BF3B066}"/>
    <hyperlink ref="AS78" r:id="rId50" display="Search for the Public School - BAY VIRTUAL INSTRUCTION PROGRAM  (120009007771)" xr:uid="{70415E6B-2BD9-490D-BBEB-A162C20C48B3}"/>
    <hyperlink ref="AQ91" r:id="rId51" xr:uid="{9C10D965-C2DF-4187-BAC8-2739D269EDB6}"/>
    <hyperlink ref="AS91" r:id="rId52" xr:uid="{B6591AE6-2CCA-48CC-8A5D-BAC30B50D021}"/>
    <hyperlink ref="AS92" r:id="rId53" xr:uid="{14A66EB8-3CD4-4093-93BA-2887681716E3}"/>
    <hyperlink ref="AS93" r:id="rId54" display="Search for Public School - MONROE VIRTUAL INSTRUCTION PROGRAM (120132007723)" xr:uid="{B504E8F4-DDDA-4C7D-896F-E4C4EA2E5564}"/>
    <hyperlink ref="AQ95" r:id="rId55" xr:uid="{6B366BDE-8C88-4A18-AD11-F764866AD393}"/>
    <hyperlink ref="AS95" r:id="rId56" xr:uid="{8774B039-B685-4D80-A9BB-D1C764A7DD02}"/>
    <hyperlink ref="AQ96" r:id="rId57" xr:uid="{B06CF23D-6675-4500-A72B-89BDB68BB478}"/>
    <hyperlink ref="AS96" r:id="rId58" display="Search for Public School - PALM BEACH VIRTUAL INSTRUCTION PROGRAM (120150007579)" xr:uid="{D02E8285-EE25-4732-A33E-838E5E9EB217}"/>
    <hyperlink ref="AS97" r:id="rId59" xr:uid="{14DC331A-EBE1-42A7-B906-4C63C59A969E}"/>
    <hyperlink ref="AS98" r:id="rId60" display="Search for Public School - ST. LUCIE VIRTUAL INSTRUCTION PROGRAM (120177007766)" xr:uid="{35E26082-8928-4A4E-9C16-D2E3B8DBFD4C}"/>
    <hyperlink ref="AQ99" r:id="rId61" xr:uid="{EAA211D8-5FBE-48E2-B564-67212F1F3D95}"/>
    <hyperlink ref="AS99" r:id="rId62" xr:uid="{3E26CBA6-DE06-4095-8044-FA66E176A880}"/>
    <hyperlink ref="AS100" r:id="rId63" xr:uid="{4115ED80-38BB-4EE5-BBDF-E4F77B32290B}"/>
    <hyperlink ref="AS111" r:id="rId64" xr:uid="{750FCCFB-7CCF-492F-8BE8-A2B0BA394D0F}"/>
    <hyperlink ref="AS112" r:id="rId65" xr:uid="{BCAD4419-C7F4-4264-9E6A-B15E77FDE3E9}"/>
    <hyperlink ref="AS126" r:id="rId66" xr:uid="{2269FEB3-40EB-4340-BBCD-B8F3FDAB2ADC}"/>
    <hyperlink ref="AS127" r:id="rId67" xr:uid="{D909D0AD-DA1B-4B99-8766-97EE6569D1BA}"/>
    <hyperlink ref="AS128" r:id="rId68" display="Search for Public School - Indiana Digital Alternative School (181173002660)" xr:uid="{C1512374-7768-476F-A575-7F9763BAF614}"/>
    <hyperlink ref="AS135" r:id="rId69" xr:uid="{DF833EF5-E5C6-4FC6-9305-AE34B4D21552}"/>
    <hyperlink ref="AQ141" r:id="rId70" xr:uid="{2B3BE569-DB8E-4E1F-BE20-827ABD76C6C4}"/>
    <hyperlink ref="AS141" r:id="rId71" display="Search for Public School - Iowa Virtual Academy (191335002206)" xr:uid="{ADD525B1-8B54-4AA4-868E-EBF95521A558}"/>
    <hyperlink ref="AQ142" r:id="rId72" xr:uid="{8597BF3E-5F9B-4FE8-B280-851C71C7370A}"/>
    <hyperlink ref="AS142" r:id="rId73" xr:uid="{149EC58D-8B37-475E-A386-7997C2C812C3}"/>
    <hyperlink ref="AS149" r:id="rId74" xr:uid="{F3265460-51D7-4550-AE44-C3947FEB8398}"/>
    <hyperlink ref="AS156" r:id="rId75" xr:uid="{5C6B0560-46D3-459F-B5DA-1F40400DDB22}"/>
    <hyperlink ref="AQ163" r:id="rId76" display="https://nces.ed.gov/transfer.asp?location=www.mainevirtualacademy.org" xr:uid="{9616369C-A76B-4B02-BC2A-E8D59E6CA070}"/>
    <hyperlink ref="AS163" r:id="rId77" xr:uid="{F07EA6DC-C090-4579-BB1A-DD4D66C132AA}"/>
    <hyperlink ref="AQ276" r:id="rId78" xr:uid="{9F69116A-30F3-49BE-8EC4-94E1860D57E6}"/>
    <hyperlink ref="AQ274" r:id="rId79" xr:uid="{E30D281E-CED8-47BF-BE08-F3EE1C76D9B2}"/>
    <hyperlink ref="AQ13" r:id="rId80" display="https://nces.ed.gov/transfer.asp?location=www.conecuh.k12.al.us/?DivisionID=21021" xr:uid="{EBD13654-D92C-490B-8B47-01EF8B2424FC}"/>
    <hyperlink ref="AQ288" r:id="rId81" xr:uid="{0D09D040-B951-4DE7-B707-A93D290F3DF0}"/>
    <hyperlink ref="AQ287" r:id="rId82" xr:uid="{B2BB8620-1BCD-45B3-9BD9-01D296E2D1F5}"/>
    <hyperlink ref="AQ368" r:id="rId83" display="https://nces.ed.gov/transfer.asp?location=wiva.k12.com" xr:uid="{52BB7AB8-3525-4545-B13D-CCDCF73F6E98}"/>
    <hyperlink ref="AQ369" r:id="rId84" display="https://nces.ed.gov/transfer.asp?location=www.k12.com/wiva" xr:uid="{1039957B-B888-4499-8721-654C9B2AD737}"/>
    <hyperlink ref="AQ324" r:id="rId85" display="https://nces.ed.gov/transfer.asp?location=lonestarvirtual.org/" xr:uid="{0F6FA9CE-035C-492B-8696-895CD9928D5A}"/>
    <hyperlink ref="AQ36" r:id="rId86" display="https://nces.ed.gov/transfer.asp?location=www.caliva.org" xr:uid="{499B39BD-546D-4268-B416-B6D1D22C1E23}"/>
    <hyperlink ref="AQ47" r:id="rId87" display="https://nces.ed.gov/transfer.asp?location=ppos.k12.com/" xr:uid="{5443AD5B-7C77-40EF-AC2B-A09B2F881BA0}"/>
    <hyperlink ref="AS46" r:id="rId88" display="Search for Public School - Ohio Virtual Academy (390018004704)" xr:uid="{743062E8-88FA-43F2-BE95-75B7FFD63135}"/>
    <hyperlink ref="AQ63" r:id="rId89" display="https://nces.ed.gov/transfer.asp?location=www.friendshipschools.org" xr:uid="{7BFA065A-F490-4F87-A519-8BBC7AE0E0BA}"/>
    <hyperlink ref="AQ77" r:id="rId90" display="https://nces.ed.gov/transfer.asp?location=www.bakerk12.org" xr:uid="{7E4BA78C-2DE7-4CB7-85E9-2B93B6B7F04D}"/>
    <hyperlink ref="AS89" r:id="rId91" xr:uid="{986C516A-530E-43F1-B9C2-E6275504AD16}"/>
    <hyperlink ref="AQ89" r:id="rId92" xr:uid="{D0DADF0E-B75E-4FE6-BBE6-2530B2BF1A6C}"/>
    <hyperlink ref="AS88" r:id="rId93" xr:uid="{4AEB9D7D-2F16-4DC1-9F32-4A0A63776480}"/>
    <hyperlink ref="AS87" r:id="rId94" xr:uid="{6B1528DA-EE71-4451-9B46-E351902C5BB3}"/>
    <hyperlink ref="AQ87" r:id="rId95" xr:uid="{AB8259A0-E4F6-49BE-910F-A7C28F925A41}"/>
    <hyperlink ref="AS86" r:id="rId96" xr:uid="{5997BDBC-E17C-4F98-8C78-6C21BBDC8982}"/>
    <hyperlink ref="AQ86" r:id="rId97" xr:uid="{67A2C11E-DACE-47EF-8348-C5BA8F32A43E}"/>
    <hyperlink ref="AS85" r:id="rId98" xr:uid="{29399BC4-2097-43F7-84D9-3FC0992E1400}"/>
    <hyperlink ref="AQ85" r:id="rId99" xr:uid="{967D8801-B02F-44B3-8466-D7D2863B54BF}"/>
    <hyperlink ref="AS84" r:id="rId100" xr:uid="{AE793515-FD8F-483C-A6CC-A83CBEB610FC}"/>
    <hyperlink ref="AQ84" r:id="rId101" xr:uid="{9BF8A63A-C753-484C-ABEE-B62F71EAE304}"/>
    <hyperlink ref="AS83" r:id="rId102" xr:uid="{C543D8EC-5B6E-4E81-84EA-E941F5D6D888}"/>
    <hyperlink ref="AQ83" r:id="rId103" xr:uid="{82A8A666-FC19-4A1E-A8A0-132BC7F3514C}"/>
    <hyperlink ref="AS82" r:id="rId104" xr:uid="{E20D76F8-9A9F-4A8D-B5B0-BF63A66AD8AB}"/>
    <hyperlink ref="AQ82" r:id="rId105" display="https://nces.ed.gov/transfer.asp?location=www.calhounflschools.org" xr:uid="{B474235F-FE9D-48DC-A463-3F3E819943DC}"/>
    <hyperlink ref="AQ79" r:id="rId106" display="https://nces.ed.gov/transfer.asp?location=bradfordschools.org" xr:uid="{CE3CCB08-06D4-4B39-B6FB-147F84364335}"/>
    <hyperlink ref="AQ80" r:id="rId107" display="https://nces.ed.gov/transfer.asp?location=www.bved.net" xr:uid="{1194E470-62A9-4EF6-9CD4-5AB23DEFAEB1}"/>
    <hyperlink ref="AQ81" r:id="rId108" display="https://nces.ed.gov/transfer.asp?location=www.bved.net" xr:uid="{0B07BCE0-70FE-4086-BB88-2536F2AA95B4}"/>
    <hyperlink ref="AQ90" r:id="rId109" display="https://nces.ed.gov/transfer.asp?location=www.jcsb.org" xr:uid="{B117B525-76D6-4195-BF8A-94274065A881}"/>
    <hyperlink ref="AQ94" r:id="rId110" display="https://nces.ed.gov/transfer.asp?location=ocvs.ocps.net/" xr:uid="{D3455345-1031-4137-A81D-942DE970E59F}"/>
    <hyperlink ref="AQ246" r:id="rId111" display="https://nces.ed.gov/transfer.asp?location=www.pinespringsprep.org" xr:uid="{0D82EE00-3E39-4340-ACC1-07F1C29CBFF6}"/>
    <hyperlink ref="AQ321" r:id="rId112" display="https://nces.ed.gov/transfer.asp?location=tnva.k12.com/" xr:uid="{29DF7BF2-0320-4893-BF5C-F4769E549CC3}"/>
    <hyperlink ref="E321" r:id="rId113" display="https://nces.ed.gov/ccd/schoolsearch/school_detail.asp?Search=1&amp;DistrictID=4704290&amp;ID=470429002280" xr:uid="{5CE45458-7219-4085-BD9A-7D4D2D08D9DB}"/>
    <hyperlink ref="AQ322" r:id="rId114" display="https://nces.ed.gov/transfer.asp?location=tnva.k12.com/" xr:uid="{7DC33EC4-7F4D-480F-BEF7-FD1DD69E3AE0}"/>
    <hyperlink ref="AQ323" r:id="rId115" display="https://nces.ed.gov/transfer.asp?location=www.k12.ttu.edu" xr:uid="{065A948B-A97E-4735-B27C-37617A9E77A0}"/>
    <hyperlink ref="AQ347" r:id="rId116" display="https://nces.ed.gov/transfer.asp?location=www.salem.k12.va.us/" xr:uid="{D2DDDE3F-034F-46A2-9D56-985FE5C93607}"/>
  </hyperlinks>
  <pageMargins left="0.3" right="0.3" top="0.3" bottom="0.3" header="0.3" footer="0.3"/>
  <pageSetup scale="33" fitToHeight="0" orientation="portrait" r:id="rId117"/>
  <headerFooter>
    <oddFooter>Page &amp;P</oddFooter>
  </headerFooter>
  <colBreaks count="1" manualBreakCount="1">
    <brk id="30" max="1048575" man="1"/>
  </colBreaks>
  <legacyDrawing r:id="rId118"/>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4F31-750A-49C5-A831-1BCDFB1A9D87}">
  <dimension ref="A1:U285"/>
  <sheetViews>
    <sheetView workbookViewId="0">
      <pane ySplit="5" topLeftCell="A6" activePane="bottomLeft" state="frozen"/>
      <selection activeCell="J20" sqref="J20"/>
      <selection pane="bottomLeft" activeCell="A7" sqref="A7"/>
    </sheetView>
  </sheetViews>
  <sheetFormatPr defaultColWidth="8.81640625" defaultRowHeight="14.5" outlineLevelCol="1" x14ac:dyDescent="0.35"/>
  <cols>
    <col min="1" max="1" width="3.1796875" style="129" customWidth="1"/>
    <col min="2" max="2" width="9.26953125" bestFit="1" customWidth="1"/>
    <col min="3" max="3" width="2.7265625" customWidth="1"/>
    <col min="4" max="4" width="32.26953125" style="130" customWidth="1"/>
    <col min="5" max="5" width="17" style="131" hidden="1" customWidth="1" outlineLevel="1"/>
    <col min="6" max="6" width="14.453125" bestFit="1" customWidth="1" collapsed="1"/>
    <col min="7" max="7" width="14.453125" hidden="1" customWidth="1" outlineLevel="1" collapsed="1"/>
    <col min="8" max="8" width="2.7265625" customWidth="1" collapsed="1"/>
    <col min="9" max="11" width="10.54296875" bestFit="1" customWidth="1"/>
    <col min="12" max="12" width="2.7265625" customWidth="1"/>
    <col min="13" max="13" width="8.7265625" bestFit="1" customWidth="1"/>
    <col min="14" max="14" width="11.81640625" style="130" bestFit="1" customWidth="1"/>
    <col min="15" max="15" width="2.7265625" customWidth="1"/>
    <col min="16" max="16" width="13.54296875" bestFit="1" customWidth="1"/>
    <col min="17" max="17" width="14.453125" style="132" bestFit="1" customWidth="1"/>
    <col min="18" max="18" width="2.7265625" customWidth="1"/>
    <col min="19" max="19" width="10.81640625" style="133" bestFit="1" customWidth="1"/>
    <col min="20" max="20" width="13.26953125" style="134" bestFit="1" customWidth="1"/>
    <col min="21" max="24" width="8.81640625" customWidth="1"/>
  </cols>
  <sheetData>
    <row r="1" spans="1:21" ht="28.5" x14ac:dyDescent="0.65">
      <c r="A1" s="149" t="s">
        <v>379</v>
      </c>
      <c r="B1" s="140" t="str">
        <f>MO.CompanyName</f>
        <v>Stride, Inc.</v>
      </c>
      <c r="C1" s="144"/>
      <c r="D1" s="144"/>
      <c r="E1" s="142"/>
      <c r="F1" s="144"/>
      <c r="G1" s="144"/>
      <c r="H1" s="144"/>
      <c r="I1" s="144"/>
      <c r="J1" s="144"/>
      <c r="K1" s="144"/>
      <c r="L1" s="144"/>
      <c r="M1" s="144"/>
      <c r="N1" s="144"/>
      <c r="O1" s="144"/>
      <c r="P1" s="144"/>
      <c r="Q1" s="114"/>
      <c r="R1" s="144"/>
      <c r="S1" s="143"/>
      <c r="T1" s="144"/>
      <c r="U1" s="144"/>
    </row>
    <row r="2" spans="1:21" x14ac:dyDescent="0.35">
      <c r="A2" s="149"/>
      <c r="B2" s="141" t="s">
        <v>381</v>
      </c>
      <c r="C2" s="144"/>
      <c r="D2" s="144"/>
      <c r="E2" s="142"/>
      <c r="F2" s="144" t="str">
        <f>UL.MRQ</f>
        <v>Q1-2024</v>
      </c>
      <c r="G2" s="144"/>
      <c r="H2" s="144"/>
      <c r="I2" s="144"/>
      <c r="J2" s="144"/>
      <c r="K2" s="144"/>
      <c r="L2" s="144"/>
      <c r="M2" s="144"/>
      <c r="N2" s="144"/>
      <c r="O2" s="144"/>
      <c r="P2" s="144"/>
      <c r="Q2" s="114"/>
      <c r="R2" s="144"/>
      <c r="S2" s="143"/>
      <c r="T2" s="144"/>
      <c r="U2" s="144"/>
    </row>
    <row r="3" spans="1:21" x14ac:dyDescent="0.35">
      <c r="A3" s="149"/>
      <c r="B3" s="144"/>
      <c r="C3" s="144"/>
      <c r="D3" s="144"/>
      <c r="E3" s="142"/>
      <c r="F3" s="144"/>
      <c r="G3" s="144"/>
      <c r="H3" s="144"/>
      <c r="I3" s="144"/>
      <c r="J3" s="144"/>
      <c r="K3" s="144"/>
      <c r="L3" s="144"/>
      <c r="M3" s="144"/>
      <c r="N3" s="144"/>
      <c r="O3" s="144"/>
      <c r="P3" s="144"/>
      <c r="Q3" s="114"/>
      <c r="R3" s="144"/>
      <c r="S3" s="144"/>
      <c r="T3" s="144"/>
      <c r="U3" s="144"/>
    </row>
    <row r="4" spans="1:21" s="127" customFormat="1" x14ac:dyDescent="0.35">
      <c r="A4" s="149"/>
      <c r="B4" s="150"/>
      <c r="C4" s="158"/>
      <c r="D4" s="150"/>
      <c r="E4" s="150"/>
      <c r="F4" s="150"/>
      <c r="G4" s="150"/>
      <c r="H4" s="158"/>
      <c r="I4" s="151" t="s">
        <v>279</v>
      </c>
      <c r="J4" s="151"/>
      <c r="K4" s="151"/>
      <c r="L4" s="158"/>
      <c r="M4" s="151" t="s">
        <v>280</v>
      </c>
      <c r="N4" s="151"/>
      <c r="O4" s="158"/>
      <c r="P4" s="151" t="s">
        <v>281</v>
      </c>
      <c r="Q4" s="151"/>
      <c r="R4" s="158"/>
      <c r="S4" s="151" t="s">
        <v>282</v>
      </c>
      <c r="T4" s="151"/>
      <c r="U4" s="143"/>
    </row>
    <row r="5" spans="1:21" s="128" customFormat="1" x14ac:dyDescent="0.35">
      <c r="A5" s="149"/>
      <c r="B5" s="150" t="s">
        <v>283</v>
      </c>
      <c r="C5" s="159"/>
      <c r="D5" s="150" t="s">
        <v>284</v>
      </c>
      <c r="E5" s="150" t="s">
        <v>285</v>
      </c>
      <c r="F5" s="150" t="s">
        <v>286</v>
      </c>
      <c r="G5" s="150" t="s">
        <v>309</v>
      </c>
      <c r="H5" s="159"/>
      <c r="I5" s="152" t="s">
        <v>255</v>
      </c>
      <c r="J5" s="152" t="s">
        <v>254</v>
      </c>
      <c r="K5" s="152" t="s">
        <v>287</v>
      </c>
      <c r="L5" s="159"/>
      <c r="M5" s="150" t="s">
        <v>283</v>
      </c>
      <c r="N5" s="152" t="s">
        <v>288</v>
      </c>
      <c r="O5" s="159"/>
      <c r="P5" s="152" t="s">
        <v>289</v>
      </c>
      <c r="Q5" s="153" t="s">
        <v>290</v>
      </c>
      <c r="R5" s="159"/>
      <c r="S5" s="152" t="s">
        <v>291</v>
      </c>
      <c r="T5" s="152" t="s">
        <v>292</v>
      </c>
      <c r="U5" s="147"/>
    </row>
    <row r="6" spans="1:21" x14ac:dyDescent="0.35">
      <c r="A6" s="149">
        <v>279</v>
      </c>
      <c r="B6" s="154" t="str">
        <f>IF(INDEX(MO_SNA_IsHistoricalPeriod,,MATCH(F6,MO_Common_ColumnHeader,0)),"Historical","Forward")</f>
        <v>Forward</v>
      </c>
      <c r="C6" s="144"/>
      <c r="D6" s="160" t="str">
        <f ca="1">INDEX(INDIRECT(E6),0,COLUMN(MO_Common_Column_A))</f>
        <v>Net Revenue</v>
      </c>
      <c r="E6" s="155" t="s">
        <v>293</v>
      </c>
      <c r="F6" s="154" t="s">
        <v>486</v>
      </c>
      <c r="G6" s="154"/>
      <c r="H6" s="144"/>
      <c r="I6" s="156">
        <v>1900</v>
      </c>
      <c r="J6" s="156">
        <v>2200</v>
      </c>
      <c r="K6" s="156">
        <f>AVERAGE(I6:J6)</f>
        <v>2050</v>
      </c>
      <c r="L6" s="144"/>
      <c r="M6" s="154" t="str">
        <f>IF(INDEX(MO_SNA_IsHistoricalPeriod,,MATCH(F6,MO_Common_ColumnHeader,0)),"Actual","Estimate")</f>
        <v>Estimate</v>
      </c>
      <c r="N6" s="156" t="str">
        <f ca="1">IFERROR(INDEX(INDIRECT(E6),0,MATCH(F6,MO_Common_ColumnHeader,0)),"N/A")</f>
        <v>N/A</v>
      </c>
      <c r="O6" s="144"/>
      <c r="P6" s="161" t="str">
        <f ca="1">IF(ISNUMBER(N6),N6-K6,"N/A")</f>
        <v>N/A</v>
      </c>
      <c r="Q6" s="162" t="str">
        <f ca="1">IFERROR(IF(ISNUMBER(N6),(N6-K6)/ABS(K6),"N/A"),"N/A")</f>
        <v>N/A</v>
      </c>
      <c r="R6" s="144"/>
      <c r="S6" s="157">
        <v>45223</v>
      </c>
      <c r="T6" s="250" t="s">
        <v>487</v>
      </c>
      <c r="U6" s="144"/>
    </row>
    <row r="7" spans="1:21" x14ac:dyDescent="0.35">
      <c r="A7" s="149">
        <v>278</v>
      </c>
      <c r="B7" s="154" t="str">
        <f>IF(INDEX(MO_SNA_IsHistoricalPeriod,,MATCH(F7,MO_Common_ColumnHeader,0)),"Historical","Forward")</f>
        <v>Forward</v>
      </c>
      <c r="C7" s="144"/>
      <c r="D7" s="160" t="e">
        <f ca="1">INDEX(INDIRECT(E7),0,COLUMN(MO_Common_Column_A))</f>
        <v>#REF!</v>
      </c>
      <c r="E7" s="155" t="s">
        <v>483</v>
      </c>
      <c r="F7" s="154" t="s">
        <v>486</v>
      </c>
      <c r="G7" s="154"/>
      <c r="H7" s="144"/>
      <c r="I7" s="156">
        <v>250</v>
      </c>
      <c r="J7" s="156">
        <v>350</v>
      </c>
      <c r="K7" s="156">
        <f>AVERAGE(I7:J7)</f>
        <v>300</v>
      </c>
      <c r="L7" s="144"/>
      <c r="M7" s="154" t="str">
        <f>IF(INDEX(MO_SNA_IsHistoricalPeriod,,MATCH(F7,MO_Common_ColumnHeader,0)),"Actual","Estimate")</f>
        <v>Estimate</v>
      </c>
      <c r="N7" s="156" t="str">
        <f ca="1">IFERROR(INDEX(INDIRECT(E7),0,MATCH(F7,MO_Common_ColumnHeader,0)),"N/A")</f>
        <v>N/A</v>
      </c>
      <c r="O7" s="144"/>
      <c r="P7" s="161" t="str">
        <f ca="1">IF(ISNUMBER(N7),N7-K7,"N/A")</f>
        <v>N/A</v>
      </c>
      <c r="Q7" s="162" t="str">
        <f ca="1">IFERROR(IF(ISNUMBER(N7),(N7-K7)/ABS(K7),"N/A"),"N/A")</f>
        <v>N/A</v>
      </c>
      <c r="R7" s="144"/>
      <c r="S7" s="157">
        <v>45223</v>
      </c>
      <c r="T7" s="250" t="s">
        <v>487</v>
      </c>
      <c r="U7" s="144"/>
    </row>
    <row r="8" spans="1:21" x14ac:dyDescent="0.35">
      <c r="A8" s="149">
        <v>277</v>
      </c>
      <c r="B8" s="144"/>
      <c r="C8" s="144"/>
      <c r="D8" s="141"/>
      <c r="E8" s="142"/>
      <c r="F8" s="144"/>
      <c r="G8" s="144"/>
      <c r="H8" s="144"/>
      <c r="I8" s="532"/>
      <c r="J8" s="532"/>
      <c r="K8" s="532"/>
      <c r="L8" s="144"/>
      <c r="M8" s="144"/>
      <c r="N8" s="532"/>
      <c r="O8" s="144"/>
      <c r="P8" s="218"/>
      <c r="Q8" s="334"/>
      <c r="R8" s="144"/>
      <c r="S8" s="145"/>
      <c r="T8" s="219"/>
      <c r="U8" s="144"/>
    </row>
    <row r="9" spans="1:21" x14ac:dyDescent="0.35">
      <c r="A9" s="149">
        <v>276</v>
      </c>
      <c r="B9" s="154" t="str">
        <f t="shared" ref="B9:B15" si="0">IF(INDEX(MO_SNA_IsHistoricalPeriod,,MATCH(F9,MO_Common_ColumnHeader,0)),"Historical","Forward")</f>
        <v>Forward</v>
      </c>
      <c r="C9" s="144"/>
      <c r="D9" s="160" t="str">
        <f ca="1">INDEX(INDIRECT(E9),0,COLUMN(MO_Common_Column_A))</f>
        <v>Net Revenue</v>
      </c>
      <c r="E9" s="155" t="s">
        <v>293</v>
      </c>
      <c r="F9" s="154" t="s">
        <v>650</v>
      </c>
      <c r="G9" s="154"/>
      <c r="H9" s="144"/>
      <c r="I9" s="156">
        <v>1960</v>
      </c>
      <c r="J9" s="156">
        <v>2030</v>
      </c>
      <c r="K9" s="156">
        <f t="shared" ref="K9:K15" si="1">AVERAGE(I9:J9)</f>
        <v>1995</v>
      </c>
      <c r="L9" s="144"/>
      <c r="M9" s="154" t="str">
        <f t="shared" ref="M9:M15" si="2">IF(INDEX(MO_SNA_IsHistoricalPeriod,,MATCH(F9,MO_Common_ColumnHeader,0)),"Actual","Estimate")</f>
        <v>Estimate</v>
      </c>
      <c r="N9" s="156">
        <f ca="1">IFERROR(INDEX(INDIRECT(E9),0,MATCH(F9,MO_Common_ColumnHeader,0)),"N/A")</f>
        <v>1997.8995934</v>
      </c>
      <c r="O9" s="144"/>
      <c r="P9" s="161">
        <f t="shared" ref="P9:P15" ca="1" si="3">IF(ISNUMBER(N9),N9-K9,"N/A")</f>
        <v>2.8995933999999579</v>
      </c>
      <c r="Q9" s="162">
        <f t="shared" ref="Q9:Q15" ca="1" si="4">IFERROR(IF(ISNUMBER(N9),(N9-K9)/ABS(K9),"N/A"),"N/A")</f>
        <v>1.4534302756892021E-3</v>
      </c>
      <c r="R9" s="144"/>
      <c r="S9" s="157">
        <v>45223</v>
      </c>
      <c r="T9" s="250" t="s">
        <v>295</v>
      </c>
      <c r="U9" s="144"/>
    </row>
    <row r="10" spans="1:21" x14ac:dyDescent="0.35">
      <c r="A10" s="149">
        <v>275</v>
      </c>
      <c r="B10" s="154" t="str">
        <f t="shared" si="0"/>
        <v>Forward</v>
      </c>
      <c r="C10" s="144"/>
      <c r="D10" s="160" t="str">
        <f ca="1">INDEX(INDIRECT(E10),0,COLUMN(MO_Common_Column_A))</f>
        <v>Capex</v>
      </c>
      <c r="E10" s="155" t="s">
        <v>296</v>
      </c>
      <c r="F10" s="154" t="s">
        <v>650</v>
      </c>
      <c r="G10" s="154"/>
      <c r="H10" s="144"/>
      <c r="I10" s="156">
        <v>-75</v>
      </c>
      <c r="J10" s="156">
        <v>-65</v>
      </c>
      <c r="K10" s="156">
        <f t="shared" si="1"/>
        <v>-70</v>
      </c>
      <c r="L10" s="144"/>
      <c r="M10" s="154" t="str">
        <f t="shared" si="2"/>
        <v>Estimate</v>
      </c>
      <c r="N10" s="156">
        <f ca="1">IFERROR(INDEX(INDIRECT(E10),0,MATCH(F10,MO_Common_ColumnHeader,0)),"N/A")</f>
        <v>-69.949000000000012</v>
      </c>
      <c r="O10" s="144"/>
      <c r="P10" s="161">
        <f t="shared" ca="1" si="3"/>
        <v>5.0999999999987722E-2</v>
      </c>
      <c r="Q10" s="162">
        <f t="shared" ca="1" si="4"/>
        <v>7.2857142857125315E-4</v>
      </c>
      <c r="R10" s="144"/>
      <c r="S10" s="157">
        <v>45223</v>
      </c>
      <c r="T10" s="250" t="s">
        <v>295</v>
      </c>
      <c r="U10" s="144"/>
    </row>
    <row r="11" spans="1:21" x14ac:dyDescent="0.35">
      <c r="A11" s="149">
        <v>274</v>
      </c>
      <c r="B11" s="154" t="str">
        <f t="shared" si="0"/>
        <v>Forward</v>
      </c>
      <c r="C11" s="144"/>
      <c r="D11" s="160" t="s">
        <v>391</v>
      </c>
      <c r="E11" s="155"/>
      <c r="F11" s="154" t="s">
        <v>650</v>
      </c>
      <c r="G11" s="154"/>
      <c r="H11" s="144"/>
      <c r="I11" s="215">
        <v>0.25</v>
      </c>
      <c r="J11" s="215">
        <v>0.27</v>
      </c>
      <c r="K11" s="215">
        <f t="shared" si="1"/>
        <v>0.26</v>
      </c>
      <c r="L11" s="144"/>
      <c r="M11" s="154" t="str">
        <f t="shared" si="2"/>
        <v>Estimate</v>
      </c>
      <c r="N11" s="215">
        <f ca="1">INDEX(MO_RIS_TaxRate_Current,0,MATCH(F11,MO_Common_ColumnHeader,0))+INDEX(MO_RIS_TaxRate_Deferred,0,MATCH(F11,MO_Common_ColumnHeader,0))</f>
        <v>0.25939715838277855</v>
      </c>
      <c r="O11" s="144"/>
      <c r="P11" s="162">
        <f t="shared" ca="1" si="3"/>
        <v>-6.0284161722146123E-4</v>
      </c>
      <c r="Q11" s="162">
        <f t="shared" ca="1" si="4"/>
        <v>-2.3186216046979279E-3</v>
      </c>
      <c r="R11" s="144"/>
      <c r="S11" s="157">
        <v>45223</v>
      </c>
      <c r="T11" s="250" t="s">
        <v>295</v>
      </c>
      <c r="U11" s="144"/>
    </row>
    <row r="12" spans="1:21" x14ac:dyDescent="0.35">
      <c r="A12" s="149">
        <v>273</v>
      </c>
      <c r="B12" s="154" t="str">
        <f t="shared" si="0"/>
        <v>Forward</v>
      </c>
      <c r="C12" s="144"/>
      <c r="D12" s="160" t="str">
        <f ca="1">INDEX(INDIRECT(E12),0,COLUMN(MO_Common_Column_A))</f>
        <v>EBIT</v>
      </c>
      <c r="E12" s="155" t="s">
        <v>298</v>
      </c>
      <c r="F12" s="154" t="s">
        <v>650</v>
      </c>
      <c r="G12" s="154"/>
      <c r="H12" s="144"/>
      <c r="I12" s="156">
        <v>210.5</v>
      </c>
      <c r="J12" s="156">
        <v>228.5</v>
      </c>
      <c r="K12" s="156">
        <f t="shared" si="1"/>
        <v>219.5</v>
      </c>
      <c r="L12" s="144"/>
      <c r="M12" s="154" t="str">
        <f t="shared" si="2"/>
        <v>Estimate</v>
      </c>
      <c r="N12" s="156">
        <f ca="1">IFERROR(INDEX(INDIRECT(E12),0,MATCH(F12,MO_Common_ColumnHeader,0)),"N/A")</f>
        <v>219.53889480679993</v>
      </c>
      <c r="O12" s="144"/>
      <c r="P12" s="161">
        <f t="shared" ca="1" si="3"/>
        <v>3.8894806799930848E-2</v>
      </c>
      <c r="Q12" s="162">
        <f t="shared" ca="1" si="4"/>
        <v>1.7719729749399019E-4</v>
      </c>
      <c r="R12" s="144"/>
      <c r="S12" s="157">
        <v>45223</v>
      </c>
      <c r="T12" s="250" t="s">
        <v>295</v>
      </c>
      <c r="U12" s="144"/>
    </row>
    <row r="13" spans="1:21" x14ac:dyDescent="0.35">
      <c r="A13" s="149">
        <v>272</v>
      </c>
      <c r="B13" s="154" t="str">
        <f t="shared" si="0"/>
        <v>Forward</v>
      </c>
      <c r="C13" s="144"/>
      <c r="D13" s="160" t="str">
        <f ca="1">INDEX(INDIRECT(E13),0,COLUMN(MO_Common_Column_A))</f>
        <v>Add back: SBC</v>
      </c>
      <c r="E13" s="155" t="s">
        <v>415</v>
      </c>
      <c r="F13" s="154" t="s">
        <v>650</v>
      </c>
      <c r="G13" s="154"/>
      <c r="H13" s="144"/>
      <c r="I13" s="156">
        <v>28</v>
      </c>
      <c r="J13" s="156">
        <v>33</v>
      </c>
      <c r="K13" s="156">
        <f t="shared" si="1"/>
        <v>30.5</v>
      </c>
      <c r="L13" s="144"/>
      <c r="M13" s="154" t="str">
        <f t="shared" si="2"/>
        <v>Estimate</v>
      </c>
      <c r="N13" s="156">
        <f ca="1">IFERROR(INDEX(INDIRECT(E13),0,MATCH(F13,MO_Common_ColumnHeader,0)),"N/A")</f>
        <v>30.526</v>
      </c>
      <c r="O13" s="144"/>
      <c r="P13" s="161">
        <f t="shared" ca="1" si="3"/>
        <v>2.5999999999999801E-2</v>
      </c>
      <c r="Q13" s="162">
        <f t="shared" ca="1" si="4"/>
        <v>8.5245901639343605E-4</v>
      </c>
      <c r="R13" s="144"/>
      <c r="S13" s="157">
        <v>45223</v>
      </c>
      <c r="T13" s="250" t="s">
        <v>295</v>
      </c>
      <c r="U13" s="144"/>
    </row>
    <row r="14" spans="1:21" x14ac:dyDescent="0.35">
      <c r="A14" s="149">
        <v>271</v>
      </c>
      <c r="B14" s="154" t="str">
        <f t="shared" si="0"/>
        <v>Forward</v>
      </c>
      <c r="C14" s="144"/>
      <c r="D14" s="160" t="str">
        <f ca="1">INDEX(INDIRECT(E14),0,COLUMN(MO_Common_Column_A))</f>
        <v>Amortization of intangible assets, mm</v>
      </c>
      <c r="E14" s="155" t="s">
        <v>543</v>
      </c>
      <c r="F14" s="154" t="s">
        <v>650</v>
      </c>
      <c r="G14" s="154"/>
      <c r="H14" s="144"/>
      <c r="I14" s="156">
        <v>11.5</v>
      </c>
      <c r="J14" s="156">
        <v>13.5</v>
      </c>
      <c r="K14" s="156">
        <f t="shared" si="1"/>
        <v>12.5</v>
      </c>
      <c r="L14" s="144"/>
      <c r="M14" s="154" t="str">
        <f t="shared" si="2"/>
        <v>Estimate</v>
      </c>
      <c r="N14" s="156">
        <f ca="1">IFERROR(INDEX(INDIRECT(E14),0,MATCH(F14,MO_Common_ColumnHeader,0)),"N/A")</f>
        <v>12.514999999999999</v>
      </c>
      <c r="O14" s="144"/>
      <c r="P14" s="161">
        <f t="shared" ca="1" si="3"/>
        <v>1.4999999999998792E-2</v>
      </c>
      <c r="Q14" s="162">
        <f t="shared" ca="1" si="4"/>
        <v>1.1999999999999034E-3</v>
      </c>
      <c r="R14" s="144"/>
      <c r="S14" s="157">
        <v>45223</v>
      </c>
      <c r="T14" s="250" t="s">
        <v>295</v>
      </c>
      <c r="U14" s="144"/>
    </row>
    <row r="15" spans="1:21" x14ac:dyDescent="0.35">
      <c r="A15" s="149">
        <v>270</v>
      </c>
      <c r="B15" s="154" t="str">
        <f t="shared" si="0"/>
        <v>Forward</v>
      </c>
      <c r="C15" s="144"/>
      <c r="D15" s="160" t="e">
        <f ca="1">INDEX(INDIRECT(E15),0,COLUMN(MO_Common_Column_A))</f>
        <v>#REF!</v>
      </c>
      <c r="E15" s="155" t="s">
        <v>483</v>
      </c>
      <c r="F15" s="154" t="s">
        <v>650</v>
      </c>
      <c r="G15" s="154"/>
      <c r="H15" s="144"/>
      <c r="I15" s="156">
        <v>250</v>
      </c>
      <c r="J15" s="156">
        <v>275</v>
      </c>
      <c r="K15" s="156">
        <f t="shared" si="1"/>
        <v>262.5</v>
      </c>
      <c r="L15" s="144"/>
      <c r="M15" s="154" t="str">
        <f t="shared" si="2"/>
        <v>Estimate</v>
      </c>
      <c r="N15" s="156">
        <f ca="1">IFERROR(INDEX(INDIRECT(E15),0,MATCH(F15,MO_Common_ColumnHeader,0)),"N/A")</f>
        <v>262.57989480679993</v>
      </c>
      <c r="O15" s="144"/>
      <c r="P15" s="161">
        <f t="shared" ca="1" si="3"/>
        <v>7.9894806799927665E-2</v>
      </c>
      <c r="Q15" s="162">
        <f t="shared" ca="1" si="4"/>
        <v>3.0436116876162919E-4</v>
      </c>
      <c r="R15" s="144"/>
      <c r="S15" s="157">
        <v>45223</v>
      </c>
      <c r="T15" s="250" t="s">
        <v>295</v>
      </c>
      <c r="U15" s="144"/>
    </row>
    <row r="16" spans="1:21" x14ac:dyDescent="0.35">
      <c r="A16" s="149">
        <v>269</v>
      </c>
      <c r="B16" s="144"/>
      <c r="C16" s="144"/>
      <c r="D16" s="141"/>
      <c r="E16" s="142"/>
      <c r="F16" s="144"/>
      <c r="G16" s="144"/>
      <c r="H16" s="144"/>
      <c r="I16" s="532"/>
      <c r="J16" s="532"/>
      <c r="K16" s="532"/>
      <c r="L16" s="144"/>
      <c r="M16" s="144"/>
      <c r="N16" s="532"/>
      <c r="O16" s="144"/>
      <c r="P16" s="218"/>
      <c r="Q16" s="334"/>
      <c r="R16" s="144"/>
      <c r="S16" s="145"/>
      <c r="T16" s="219"/>
      <c r="U16" s="144"/>
    </row>
    <row r="17" spans="1:21" x14ac:dyDescent="0.35">
      <c r="A17" s="149">
        <v>268</v>
      </c>
      <c r="B17" s="154" t="str">
        <f t="shared" ref="B17:B22" si="5">IF(INDEX(MO_SNA_IsHistoricalPeriod,,MATCH(F17,MO_Common_ColumnHeader,0)),"Historical","Forward")</f>
        <v>Forward</v>
      </c>
      <c r="C17" s="144"/>
      <c r="D17" s="160" t="str">
        <f t="shared" ref="D17:D22" ca="1" si="6">INDEX(INDIRECT(E17),0,COLUMN(MO_Common_Column_A))</f>
        <v>Net Revenue</v>
      </c>
      <c r="E17" s="155" t="s">
        <v>293</v>
      </c>
      <c r="F17" s="154" t="s">
        <v>649</v>
      </c>
      <c r="G17" s="154"/>
      <c r="H17" s="144"/>
      <c r="I17" s="156">
        <v>490</v>
      </c>
      <c r="J17" s="156">
        <v>510</v>
      </c>
      <c r="K17" s="156">
        <f t="shared" ref="K17:K22" si="7">AVERAGE(I17:J17)</f>
        <v>500</v>
      </c>
      <c r="L17" s="144"/>
      <c r="M17" s="154" t="str">
        <f t="shared" ref="M17:M22" si="8">IF(INDEX(MO_SNA_IsHistoricalPeriod,,MATCH(F17,MO_Common_ColumnHeader,0)),"Actual","Estimate")</f>
        <v>Estimate</v>
      </c>
      <c r="N17" s="156">
        <f t="shared" ref="N17:N22" ca="1" si="9">IFERROR(INDEX(INDIRECT(E17),0,MATCH(F17,MO_Common_ColumnHeader,0)),"N/A")</f>
        <v>499.30127519999996</v>
      </c>
      <c r="O17" s="144"/>
      <c r="P17" s="161">
        <f t="shared" ref="P17:P22" ca="1" si="10">IF(ISNUMBER(N17),N17-K17,"N/A")</f>
        <v>-0.69872480000003634</v>
      </c>
      <c r="Q17" s="162">
        <f t="shared" ref="Q17:Q22" ca="1" si="11">IFERROR(IF(ISNUMBER(N17),(N17-K17)/ABS(K17),"N/A"),"N/A")</f>
        <v>-1.3974496000000727E-3</v>
      </c>
      <c r="R17" s="144"/>
      <c r="S17" s="157">
        <v>45223</v>
      </c>
      <c r="T17" s="250" t="s">
        <v>295</v>
      </c>
      <c r="U17" s="144"/>
    </row>
    <row r="18" spans="1:21" x14ac:dyDescent="0.35">
      <c r="A18" s="149">
        <v>267</v>
      </c>
      <c r="B18" s="154" t="str">
        <f t="shared" si="5"/>
        <v>Forward</v>
      </c>
      <c r="C18" s="144"/>
      <c r="D18" s="160" t="str">
        <f t="shared" ca="1" si="6"/>
        <v>Capex</v>
      </c>
      <c r="E18" s="155" t="s">
        <v>296</v>
      </c>
      <c r="F18" s="154" t="s">
        <v>649</v>
      </c>
      <c r="G18" s="154"/>
      <c r="H18" s="144"/>
      <c r="I18" s="156">
        <v>-18</v>
      </c>
      <c r="J18" s="156">
        <v>-15</v>
      </c>
      <c r="K18" s="156">
        <f t="shared" si="7"/>
        <v>-16.5</v>
      </c>
      <c r="L18" s="144"/>
      <c r="M18" s="154" t="str">
        <f t="shared" si="8"/>
        <v>Estimate</v>
      </c>
      <c r="N18" s="156">
        <f t="shared" ca="1" si="9"/>
        <v>-16.5</v>
      </c>
      <c r="O18" s="144"/>
      <c r="P18" s="161">
        <f t="shared" ca="1" si="10"/>
        <v>0</v>
      </c>
      <c r="Q18" s="162">
        <f t="shared" ca="1" si="11"/>
        <v>0</v>
      </c>
      <c r="R18" s="144"/>
      <c r="S18" s="157">
        <v>45223</v>
      </c>
      <c r="T18" s="250" t="s">
        <v>295</v>
      </c>
      <c r="U18" s="144"/>
    </row>
    <row r="19" spans="1:21" x14ac:dyDescent="0.35">
      <c r="A19" s="149">
        <v>266</v>
      </c>
      <c r="B19" s="154" t="str">
        <f t="shared" si="5"/>
        <v>Forward</v>
      </c>
      <c r="C19" s="144"/>
      <c r="D19" s="160" t="str">
        <f t="shared" ca="1" si="6"/>
        <v>EBIT</v>
      </c>
      <c r="E19" s="155" t="s">
        <v>298</v>
      </c>
      <c r="F19" s="154" t="s">
        <v>649</v>
      </c>
      <c r="G19" s="154"/>
      <c r="H19" s="144"/>
      <c r="I19" s="156">
        <v>70.5</v>
      </c>
      <c r="J19" s="156">
        <v>79</v>
      </c>
      <c r="K19" s="156">
        <f t="shared" si="7"/>
        <v>74.75</v>
      </c>
      <c r="L19" s="144"/>
      <c r="M19" s="154" t="str">
        <f t="shared" si="8"/>
        <v>Estimate</v>
      </c>
      <c r="N19" s="156">
        <f t="shared" ca="1" si="9"/>
        <v>74.895191279999977</v>
      </c>
      <c r="O19" s="144"/>
      <c r="P19" s="161">
        <f t="shared" ca="1" si="10"/>
        <v>0.1451912799999775</v>
      </c>
      <c r="Q19" s="162">
        <f t="shared" ca="1" si="11"/>
        <v>1.9423582608692641E-3</v>
      </c>
      <c r="R19" s="144"/>
      <c r="S19" s="157">
        <v>45223</v>
      </c>
      <c r="T19" s="250" t="s">
        <v>295</v>
      </c>
      <c r="U19" s="144"/>
    </row>
    <row r="20" spans="1:21" x14ac:dyDescent="0.35">
      <c r="A20" s="149">
        <v>265</v>
      </c>
      <c r="B20" s="154" t="str">
        <f t="shared" si="5"/>
        <v>Forward</v>
      </c>
      <c r="C20" s="144"/>
      <c r="D20" s="160" t="str">
        <f t="shared" ca="1" si="6"/>
        <v>Add back: SBC</v>
      </c>
      <c r="E20" s="155" t="s">
        <v>415</v>
      </c>
      <c r="F20" s="154" t="s">
        <v>649</v>
      </c>
      <c r="G20" s="154"/>
      <c r="H20" s="144"/>
      <c r="I20" s="156">
        <v>6.5</v>
      </c>
      <c r="J20" s="156">
        <v>7.5</v>
      </c>
      <c r="K20" s="156">
        <f t="shared" si="7"/>
        <v>7</v>
      </c>
      <c r="L20" s="144"/>
      <c r="M20" s="154" t="str">
        <f t="shared" si="8"/>
        <v>Estimate</v>
      </c>
      <c r="N20" s="156">
        <f t="shared" ca="1" si="9"/>
        <v>7</v>
      </c>
      <c r="O20" s="144"/>
      <c r="P20" s="161">
        <f t="shared" ca="1" si="10"/>
        <v>0</v>
      </c>
      <c r="Q20" s="162">
        <f t="shared" ca="1" si="11"/>
        <v>0</v>
      </c>
      <c r="R20" s="144"/>
      <c r="S20" s="157">
        <v>45223</v>
      </c>
      <c r="T20" s="250" t="s">
        <v>295</v>
      </c>
      <c r="U20" s="144"/>
    </row>
    <row r="21" spans="1:21" x14ac:dyDescent="0.35">
      <c r="A21" s="149">
        <v>264</v>
      </c>
      <c r="B21" s="154" t="str">
        <f t="shared" si="5"/>
        <v>Forward</v>
      </c>
      <c r="C21" s="144"/>
      <c r="D21" s="160" t="str">
        <f t="shared" ca="1" si="6"/>
        <v>Amortization of intangible assets, mm</v>
      </c>
      <c r="E21" s="155" t="s">
        <v>543</v>
      </c>
      <c r="F21" s="154" t="s">
        <v>649</v>
      </c>
      <c r="G21" s="154"/>
      <c r="H21" s="144"/>
      <c r="I21" s="156">
        <v>3</v>
      </c>
      <c r="J21" s="156">
        <v>3.5</v>
      </c>
      <c r="K21" s="156">
        <f t="shared" si="7"/>
        <v>3.25</v>
      </c>
      <c r="L21" s="144"/>
      <c r="M21" s="154" t="str">
        <f t="shared" si="8"/>
        <v>Estimate</v>
      </c>
      <c r="N21" s="156">
        <f t="shared" ca="1" si="9"/>
        <v>3.3</v>
      </c>
      <c r="O21" s="144"/>
      <c r="P21" s="161">
        <f t="shared" ca="1" si="10"/>
        <v>4.9999999999999822E-2</v>
      </c>
      <c r="Q21" s="162">
        <f t="shared" ca="1" si="11"/>
        <v>1.538461538461533E-2</v>
      </c>
      <c r="R21" s="144"/>
      <c r="S21" s="157">
        <v>45223</v>
      </c>
      <c r="T21" s="250" t="s">
        <v>295</v>
      </c>
      <c r="U21" s="144"/>
    </row>
    <row r="22" spans="1:21" x14ac:dyDescent="0.35">
      <c r="A22" s="149">
        <v>263</v>
      </c>
      <c r="B22" s="154" t="str">
        <f t="shared" si="5"/>
        <v>Forward</v>
      </c>
      <c r="C22" s="144"/>
      <c r="D22" s="160" t="e">
        <f t="shared" ca="1" si="6"/>
        <v>#REF!</v>
      </c>
      <c r="E22" s="155" t="s">
        <v>483</v>
      </c>
      <c r="F22" s="154" t="s">
        <v>649</v>
      </c>
      <c r="G22" s="154"/>
      <c r="H22" s="144"/>
      <c r="I22" s="156">
        <v>80</v>
      </c>
      <c r="J22" s="156">
        <v>90</v>
      </c>
      <c r="K22" s="156">
        <f t="shared" si="7"/>
        <v>85</v>
      </c>
      <c r="L22" s="144"/>
      <c r="M22" s="154" t="str">
        <f t="shared" si="8"/>
        <v>Estimate</v>
      </c>
      <c r="N22" s="156">
        <f t="shared" ca="1" si="9"/>
        <v>85.195191279999975</v>
      </c>
      <c r="O22" s="144"/>
      <c r="P22" s="161">
        <f t="shared" ca="1" si="10"/>
        <v>0.19519127999997465</v>
      </c>
      <c r="Q22" s="162">
        <f t="shared" ca="1" si="11"/>
        <v>2.2963679999997016E-3</v>
      </c>
      <c r="R22" s="144"/>
      <c r="S22" s="157">
        <v>45223</v>
      </c>
      <c r="T22" s="250" t="s">
        <v>295</v>
      </c>
      <c r="U22" s="144"/>
    </row>
    <row r="23" spans="1:21" x14ac:dyDescent="0.35">
      <c r="A23" s="149">
        <v>262</v>
      </c>
      <c r="B23" s="144"/>
      <c r="C23" s="144"/>
      <c r="D23" s="141"/>
      <c r="E23" s="142"/>
      <c r="F23" s="144"/>
      <c r="G23" s="144"/>
      <c r="H23" s="144"/>
      <c r="I23" s="532"/>
      <c r="J23" s="532"/>
      <c r="K23" s="532"/>
      <c r="L23" s="144"/>
      <c r="M23" s="144"/>
      <c r="N23" s="532"/>
      <c r="O23" s="144"/>
      <c r="P23" s="218"/>
      <c r="Q23" s="334"/>
      <c r="R23" s="144"/>
      <c r="S23" s="145"/>
      <c r="T23" s="219"/>
      <c r="U23" s="144"/>
    </row>
    <row r="24" spans="1:21" x14ac:dyDescent="0.35">
      <c r="A24" s="149">
        <v>261</v>
      </c>
      <c r="B24" s="154" t="str">
        <f>IF(INDEX(MO_SNA_IsHistoricalPeriod,,MATCH(F24,MO_Common_ColumnHeader,0)),"Historical","Forward")</f>
        <v>Forward</v>
      </c>
      <c r="C24" s="144"/>
      <c r="D24" s="160" t="str">
        <f ca="1">INDEX(INDIRECT(E24),0,COLUMN(MO_Common_Column_A))</f>
        <v>Net Revenue</v>
      </c>
      <c r="E24" s="155" t="s">
        <v>293</v>
      </c>
      <c r="F24" s="154" t="s">
        <v>486</v>
      </c>
      <c r="G24" s="154"/>
      <c r="H24" s="144"/>
      <c r="I24" s="156">
        <v>1900</v>
      </c>
      <c r="J24" s="156">
        <v>2200</v>
      </c>
      <c r="K24" s="156">
        <f>AVERAGE(I24:J24)</f>
        <v>2050</v>
      </c>
      <c r="L24" s="144"/>
      <c r="M24" s="154" t="str">
        <f>IF(INDEX(MO_SNA_IsHistoricalPeriod,,MATCH(F24,MO_Common_ColumnHeader,0)),"Actual","Estimate")</f>
        <v>Estimate</v>
      </c>
      <c r="N24" s="156" t="str">
        <f ca="1">IFERROR(INDEX(INDIRECT(E24),0,MATCH(F24,MO_Common_ColumnHeader,0)),"N/A")</f>
        <v>N/A</v>
      </c>
      <c r="O24" s="144"/>
      <c r="P24" s="161" t="str">
        <f ca="1">IF(ISNUMBER(N24),N24-K24,"N/A")</f>
        <v>N/A</v>
      </c>
      <c r="Q24" s="162" t="str">
        <f ca="1">IFERROR(IF(ISNUMBER(N24),(N24-K24)/ABS(K24),"N/A"),"N/A")</f>
        <v>N/A</v>
      </c>
      <c r="R24" s="144"/>
      <c r="S24" s="157">
        <v>45153</v>
      </c>
      <c r="T24" s="250" t="s">
        <v>487</v>
      </c>
      <c r="U24" s="144"/>
    </row>
    <row r="25" spans="1:21" x14ac:dyDescent="0.35">
      <c r="A25" s="149">
        <v>260</v>
      </c>
      <c r="B25" s="154" t="str">
        <f>IF(INDEX(MO_SNA_IsHistoricalPeriod,,MATCH(F25,MO_Common_ColumnHeader,0)),"Historical","Forward")</f>
        <v>Forward</v>
      </c>
      <c r="C25" s="144"/>
      <c r="D25" s="160" t="str">
        <f ca="1">INDEX(INDIRECT(E25),0,COLUMN(MO_Common_Column_A))</f>
        <v>Gross Margin, %</v>
      </c>
      <c r="E25" s="155" t="s">
        <v>508</v>
      </c>
      <c r="F25" s="154" t="s">
        <v>486</v>
      </c>
      <c r="G25" s="154"/>
      <c r="H25" s="144"/>
      <c r="I25" s="215">
        <v>0.36</v>
      </c>
      <c r="J25" s="215">
        <v>0.39</v>
      </c>
      <c r="K25" s="215">
        <f>AVERAGE(I25:J25)</f>
        <v>0.375</v>
      </c>
      <c r="L25" s="144"/>
      <c r="M25" s="154" t="str">
        <f>IF(INDEX(MO_SNA_IsHistoricalPeriod,,MATCH(F25,MO_Common_ColumnHeader,0)),"Actual","Estimate")</f>
        <v>Estimate</v>
      </c>
      <c r="N25" s="215" t="str">
        <f ca="1">IFERROR(INDEX(INDIRECT(E25),0,MATCH(F25,MO_Common_ColumnHeader,0)),"N/A")</f>
        <v>N/A</v>
      </c>
      <c r="O25" s="144"/>
      <c r="P25" s="162" t="str">
        <f ca="1">IF(ISNUMBER(N25),N25-K25,"N/A")</f>
        <v>N/A</v>
      </c>
      <c r="Q25" s="162" t="str">
        <f ca="1">IFERROR(IF(ISNUMBER(N25),(N25-K25)/ABS(K25),"N/A"),"N/A")</f>
        <v>N/A</v>
      </c>
      <c r="R25" s="144"/>
      <c r="S25" s="157">
        <v>45153</v>
      </c>
      <c r="T25" s="250" t="s">
        <v>487</v>
      </c>
      <c r="U25" s="144"/>
    </row>
    <row r="26" spans="1:21" x14ac:dyDescent="0.35">
      <c r="A26" s="149">
        <v>259</v>
      </c>
      <c r="B26" s="154" t="str">
        <f>IF(INDEX(MO_SNA_IsHistoricalPeriod,,MATCH(F26,MO_Common_ColumnHeader,0)),"Historical","Forward")</f>
        <v>Forward</v>
      </c>
      <c r="C26" s="144"/>
      <c r="D26" s="160" t="e">
        <f ca="1">INDEX(INDIRECT(E26),0,COLUMN(MO_Common_Column_A))</f>
        <v>#REF!</v>
      </c>
      <c r="E26" s="155" t="s">
        <v>483</v>
      </c>
      <c r="F26" s="154" t="s">
        <v>486</v>
      </c>
      <c r="G26" s="154"/>
      <c r="H26" s="144"/>
      <c r="I26" s="156">
        <v>250</v>
      </c>
      <c r="J26" s="156">
        <v>350</v>
      </c>
      <c r="K26" s="156">
        <f>AVERAGE(I26:J26)</f>
        <v>300</v>
      </c>
      <c r="L26" s="144"/>
      <c r="M26" s="154" t="str">
        <f>IF(INDEX(MO_SNA_IsHistoricalPeriod,,MATCH(F26,MO_Common_ColumnHeader,0)),"Actual","Estimate")</f>
        <v>Estimate</v>
      </c>
      <c r="N26" s="156" t="str">
        <f ca="1">IFERROR(INDEX(INDIRECT(E26),0,MATCH(F26,MO_Common_ColumnHeader,0)),"N/A")</f>
        <v>N/A</v>
      </c>
      <c r="O26" s="144"/>
      <c r="P26" s="161" t="str">
        <f ca="1">IF(ISNUMBER(N26),N26-K26,"N/A")</f>
        <v>N/A</v>
      </c>
      <c r="Q26" s="162" t="str">
        <f ca="1">IFERROR(IF(ISNUMBER(N26),(N26-K26)/ABS(K26),"N/A"),"N/A")</f>
        <v>N/A</v>
      </c>
      <c r="R26" s="144"/>
      <c r="S26" s="157">
        <v>45153</v>
      </c>
      <c r="T26" s="250" t="s">
        <v>487</v>
      </c>
      <c r="U26" s="144"/>
    </row>
    <row r="27" spans="1:21" x14ac:dyDescent="0.35">
      <c r="A27" s="149">
        <v>258</v>
      </c>
      <c r="B27" s="144"/>
      <c r="C27" s="144"/>
      <c r="D27" s="141"/>
      <c r="E27" s="142"/>
      <c r="F27" s="144"/>
      <c r="G27" s="144"/>
      <c r="H27" s="144"/>
      <c r="I27" s="532"/>
      <c r="J27" s="532"/>
      <c r="K27" s="532"/>
      <c r="L27" s="144"/>
      <c r="M27" s="144"/>
      <c r="N27" s="532"/>
      <c r="O27" s="144"/>
      <c r="P27" s="218"/>
      <c r="Q27" s="334"/>
      <c r="R27" s="144"/>
      <c r="S27" s="145"/>
      <c r="T27" s="219"/>
      <c r="U27" s="144"/>
    </row>
    <row r="28" spans="1:21" x14ac:dyDescent="0.35">
      <c r="A28" s="149">
        <v>257</v>
      </c>
      <c r="B28" s="154" t="str">
        <f>IF(INDEX(MO_SNA_IsHistoricalPeriod,,MATCH(F28,MO_Common_ColumnHeader,0)),"Historical","Forward")</f>
        <v>Forward</v>
      </c>
      <c r="C28" s="144"/>
      <c r="D28" s="160" t="str">
        <f ca="1">INDEX(INDIRECT(E28),0,COLUMN(MO_Common_Column_A))</f>
        <v>Net Revenue</v>
      </c>
      <c r="E28" s="155" t="s">
        <v>293</v>
      </c>
      <c r="F28" s="154" t="s">
        <v>486</v>
      </c>
      <c r="G28" s="154"/>
      <c r="H28" s="144"/>
      <c r="I28" s="156">
        <v>1900</v>
      </c>
      <c r="J28" s="156">
        <v>2200</v>
      </c>
      <c r="K28" s="156">
        <f>AVERAGE(I28:J28)</f>
        <v>2050</v>
      </c>
      <c r="L28" s="144"/>
      <c r="M28" s="154" t="str">
        <f>IF(INDEX(MO_SNA_IsHistoricalPeriod,,MATCH(F28,MO_Common_ColumnHeader,0)),"Actual","Estimate")</f>
        <v>Estimate</v>
      </c>
      <c r="N28" s="156" t="str">
        <f ca="1">IFERROR(INDEX(INDIRECT(E28),0,MATCH(F28,MO_Common_ColumnHeader,0)),"N/A")</f>
        <v>N/A</v>
      </c>
      <c r="O28" s="144"/>
      <c r="P28" s="161" t="str">
        <f ca="1">IF(ISNUMBER(N28),N28-K28,"N/A")</f>
        <v>N/A</v>
      </c>
      <c r="Q28" s="162" t="str">
        <f ca="1">IFERROR(IF(ISNUMBER(N28),(N28-K28)/ABS(K28),"N/A"),"N/A")</f>
        <v>N/A</v>
      </c>
      <c r="R28" s="144"/>
      <c r="S28" s="157">
        <v>45041</v>
      </c>
      <c r="T28" s="250" t="s">
        <v>487</v>
      </c>
      <c r="U28" s="144"/>
    </row>
    <row r="29" spans="1:21" x14ac:dyDescent="0.35">
      <c r="A29" s="149">
        <v>256</v>
      </c>
      <c r="B29" s="154" t="str">
        <f>IF(INDEX(MO_SNA_IsHistoricalPeriod,,MATCH(F29,MO_Common_ColumnHeader,0)),"Historical","Forward")</f>
        <v>Forward</v>
      </c>
      <c r="C29" s="144"/>
      <c r="D29" s="160" t="e">
        <f ca="1">INDEX(INDIRECT(E29),0,COLUMN(MO_Common_Column_A))</f>
        <v>#REF!</v>
      </c>
      <c r="E29" s="155" t="s">
        <v>483</v>
      </c>
      <c r="F29" s="154" t="s">
        <v>486</v>
      </c>
      <c r="G29" s="154"/>
      <c r="H29" s="144"/>
      <c r="I29" s="156">
        <v>250</v>
      </c>
      <c r="J29" s="156">
        <v>350</v>
      </c>
      <c r="K29" s="156">
        <f>AVERAGE(I29:J29)</f>
        <v>300</v>
      </c>
      <c r="L29" s="144"/>
      <c r="M29" s="154" t="str">
        <f>IF(INDEX(MO_SNA_IsHistoricalPeriod,,MATCH(F29,MO_Common_ColumnHeader,0)),"Actual","Estimate")</f>
        <v>Estimate</v>
      </c>
      <c r="N29" s="156" t="str">
        <f ca="1">IFERROR(INDEX(INDIRECT(E29),0,MATCH(F29,MO_Common_ColumnHeader,0)),"N/A")</f>
        <v>N/A</v>
      </c>
      <c r="O29" s="144"/>
      <c r="P29" s="161" t="str">
        <f ca="1">IF(ISNUMBER(N29),N29-K29,"N/A")</f>
        <v>N/A</v>
      </c>
      <c r="Q29" s="162" t="str">
        <f ca="1">IFERROR(IF(ISNUMBER(N29),(N29-K29)/ABS(K29),"N/A"),"N/A")</f>
        <v>N/A</v>
      </c>
      <c r="R29" s="144"/>
      <c r="S29" s="157">
        <v>45041</v>
      </c>
      <c r="T29" s="250" t="s">
        <v>487</v>
      </c>
      <c r="U29" s="144"/>
    </row>
    <row r="30" spans="1:21" x14ac:dyDescent="0.35">
      <c r="A30" s="149">
        <v>255</v>
      </c>
      <c r="B30" s="144"/>
      <c r="C30" s="144"/>
      <c r="D30" s="141"/>
      <c r="E30" s="142"/>
      <c r="F30" s="144"/>
      <c r="G30" s="144"/>
      <c r="H30" s="144"/>
      <c r="I30" s="532"/>
      <c r="J30" s="532"/>
      <c r="K30" s="532"/>
      <c r="L30" s="144"/>
      <c r="M30" s="144"/>
      <c r="N30" s="532"/>
      <c r="O30" s="144"/>
      <c r="P30" s="218"/>
      <c r="Q30" s="334"/>
      <c r="R30" s="144"/>
      <c r="S30" s="145"/>
      <c r="T30" s="219"/>
      <c r="U30" s="144"/>
    </row>
    <row r="31" spans="1:21" x14ac:dyDescent="0.35">
      <c r="A31" s="149">
        <v>254</v>
      </c>
      <c r="B31" s="154" t="str">
        <f t="shared" ref="B31:B37" si="12">IF(INDEX(MO_SNA_IsHistoricalPeriod,,MATCH(F31,MO_Common_ColumnHeader,0)),"Historical","Forward")</f>
        <v>Historical</v>
      </c>
      <c r="C31" s="144"/>
      <c r="D31" s="160" t="str">
        <f ca="1">INDEX(INDIRECT(E31),0,COLUMN(MO_Common_Column_A))</f>
        <v>Net Revenue</v>
      </c>
      <c r="E31" s="155" t="s">
        <v>293</v>
      </c>
      <c r="F31" s="154" t="s">
        <v>622</v>
      </c>
      <c r="G31" s="154"/>
      <c r="H31" s="144"/>
      <c r="I31" s="156">
        <v>1805</v>
      </c>
      <c r="J31" s="156">
        <v>1825</v>
      </c>
      <c r="K31" s="156">
        <f t="shared" ref="K31:K37" si="13">AVERAGE(I31:J31)</f>
        <v>1815</v>
      </c>
      <c r="L31" s="144"/>
      <c r="M31" s="154" t="str">
        <f t="shared" ref="M31:M37" si="14">IF(INDEX(MO_SNA_IsHistoricalPeriod,,MATCH(F31,MO_Common_ColumnHeader,0)),"Actual","Estimate")</f>
        <v>Actual</v>
      </c>
      <c r="N31" s="156">
        <f ca="1">IFERROR(INDEX(INDIRECT(E31),0,MATCH(F31,MO_Common_ColumnHeader,0)),"N/A")</f>
        <v>1837.3579999999999</v>
      </c>
      <c r="O31" s="144"/>
      <c r="P31" s="161">
        <f t="shared" ref="P31:P37" ca="1" si="15">IF(ISNUMBER(N31),N31-K31,"N/A")</f>
        <v>22.357999999999947</v>
      </c>
      <c r="Q31" s="162">
        <f t="shared" ref="Q31:Q37" ca="1" si="16">IFERROR(IF(ISNUMBER(N31),(N31-K31)/ABS(K31),"N/A"),"N/A")</f>
        <v>1.2318457300275453E-2</v>
      </c>
      <c r="R31" s="144"/>
      <c r="S31" s="157">
        <v>45041</v>
      </c>
      <c r="T31" s="250" t="s">
        <v>295</v>
      </c>
      <c r="U31" s="144"/>
    </row>
    <row r="32" spans="1:21" x14ac:dyDescent="0.35">
      <c r="A32" s="149">
        <v>253</v>
      </c>
      <c r="B32" s="154" t="str">
        <f t="shared" si="12"/>
        <v>Historical</v>
      </c>
      <c r="C32" s="144"/>
      <c r="D32" s="160" t="str">
        <f ca="1">INDEX(INDIRECT(E32),0,COLUMN(MO_Common_Column_A))</f>
        <v>Capex</v>
      </c>
      <c r="E32" s="155" t="s">
        <v>296</v>
      </c>
      <c r="F32" s="154" t="s">
        <v>622</v>
      </c>
      <c r="G32" s="154"/>
      <c r="H32" s="144"/>
      <c r="I32" s="156">
        <v>-70</v>
      </c>
      <c r="J32" s="156">
        <v>-65</v>
      </c>
      <c r="K32" s="156">
        <f t="shared" si="13"/>
        <v>-67.5</v>
      </c>
      <c r="L32" s="144"/>
      <c r="M32" s="154" t="str">
        <f t="shared" si="14"/>
        <v>Actual</v>
      </c>
      <c r="N32" s="156">
        <f ca="1">IFERROR(INDEX(INDIRECT(E32),0,MATCH(F32,MO_Common_ColumnHeader,0)),"N/A")</f>
        <v>-66.548000000000002</v>
      </c>
      <c r="O32" s="144"/>
      <c r="P32" s="161">
        <f t="shared" ca="1" si="15"/>
        <v>0.95199999999999818</v>
      </c>
      <c r="Q32" s="162">
        <f t="shared" ca="1" si="16"/>
        <v>1.4103703703703677E-2</v>
      </c>
      <c r="R32" s="144"/>
      <c r="S32" s="157">
        <v>45041</v>
      </c>
      <c r="T32" s="250" t="s">
        <v>295</v>
      </c>
      <c r="U32" s="144"/>
    </row>
    <row r="33" spans="1:21" x14ac:dyDescent="0.35">
      <c r="A33" s="149">
        <v>252</v>
      </c>
      <c r="B33" s="154" t="str">
        <f t="shared" si="12"/>
        <v>Historical</v>
      </c>
      <c r="C33" s="144"/>
      <c r="D33" s="160" t="s">
        <v>391</v>
      </c>
      <c r="E33" s="155"/>
      <c r="F33" s="154" t="s">
        <v>622</v>
      </c>
      <c r="G33" s="154"/>
      <c r="H33" s="144"/>
      <c r="I33" s="215">
        <v>0.26</v>
      </c>
      <c r="J33" s="215">
        <v>0.28000000000000003</v>
      </c>
      <c r="K33" s="215">
        <f t="shared" si="13"/>
        <v>0.27</v>
      </c>
      <c r="L33" s="144"/>
      <c r="M33" s="154" t="str">
        <f t="shared" si="14"/>
        <v>Actual</v>
      </c>
      <c r="N33" s="215">
        <f>INDEX(MO_RIS_TaxRate_Current,0,MATCH(F33,MO_Common_ColumnHeader,0))+INDEX(MO_RIS_TaxRate_Deferred,0,MATCH(F33,MO_Common_ColumnHeader,0))</f>
        <v>0.26280375781671089</v>
      </c>
      <c r="O33" s="144"/>
      <c r="P33" s="162">
        <f t="shared" si="15"/>
        <v>-7.1962421832891255E-3</v>
      </c>
      <c r="Q33" s="162">
        <f t="shared" si="16"/>
        <v>-2.665274882699676E-2</v>
      </c>
      <c r="R33" s="144"/>
      <c r="S33" s="157">
        <v>45041</v>
      </c>
      <c r="T33" s="250" t="s">
        <v>295</v>
      </c>
      <c r="U33" s="144"/>
    </row>
    <row r="34" spans="1:21" x14ac:dyDescent="0.35">
      <c r="A34" s="149">
        <v>251</v>
      </c>
      <c r="B34" s="154" t="str">
        <f t="shared" si="12"/>
        <v>Historical</v>
      </c>
      <c r="C34" s="144"/>
      <c r="D34" s="160" t="str">
        <f ca="1">INDEX(INDIRECT(E34),0,COLUMN(MO_Common_Column_A))</f>
        <v>EBIT</v>
      </c>
      <c r="E34" s="155" t="s">
        <v>298</v>
      </c>
      <c r="F34" s="154" t="s">
        <v>622</v>
      </c>
      <c r="G34" s="154"/>
      <c r="H34" s="144"/>
      <c r="I34" s="156">
        <v>161</v>
      </c>
      <c r="J34" s="156">
        <v>165.5</v>
      </c>
      <c r="K34" s="156">
        <f t="shared" si="13"/>
        <v>163.25</v>
      </c>
      <c r="L34" s="144"/>
      <c r="M34" s="154" t="str">
        <f t="shared" si="14"/>
        <v>Actual</v>
      </c>
      <c r="N34" s="156">
        <f ca="1">IFERROR(INDEX(INDIRECT(E34),0,MATCH(F34,MO_Common_ColumnHeader,0)),"N/A")</f>
        <v>165.49899999999991</v>
      </c>
      <c r="O34" s="144"/>
      <c r="P34" s="161">
        <f t="shared" ca="1" si="15"/>
        <v>2.24899999999991</v>
      </c>
      <c r="Q34" s="162">
        <f t="shared" ca="1" si="16"/>
        <v>1.3776416539049985E-2</v>
      </c>
      <c r="R34" s="144"/>
      <c r="S34" s="157">
        <v>45041</v>
      </c>
      <c r="T34" s="250" t="s">
        <v>295</v>
      </c>
      <c r="U34" s="144"/>
    </row>
    <row r="35" spans="1:21" x14ac:dyDescent="0.35">
      <c r="A35" s="149">
        <v>250</v>
      </c>
      <c r="B35" s="154" t="str">
        <f t="shared" si="12"/>
        <v>Historical</v>
      </c>
      <c r="C35" s="144"/>
      <c r="D35" s="160" t="str">
        <f ca="1">INDEX(INDIRECT(E35),0,COLUMN(MO_Common_Column_A))</f>
        <v>Add back: SBC</v>
      </c>
      <c r="E35" s="155" t="s">
        <v>415</v>
      </c>
      <c r="F35" s="154" t="s">
        <v>622</v>
      </c>
      <c r="G35" s="154"/>
      <c r="H35" s="144"/>
      <c r="I35" s="156">
        <v>19</v>
      </c>
      <c r="J35" s="156">
        <v>21</v>
      </c>
      <c r="K35" s="156">
        <f t="shared" si="13"/>
        <v>20</v>
      </c>
      <c r="L35" s="144"/>
      <c r="M35" s="154" t="str">
        <f t="shared" si="14"/>
        <v>Actual</v>
      </c>
      <c r="N35" s="156">
        <f ca="1">IFERROR(INDEX(INDIRECT(E35),0,MATCH(F35,MO_Common_ColumnHeader,0)),"N/A")</f>
        <v>20.32</v>
      </c>
      <c r="O35" s="144"/>
      <c r="P35" s="161">
        <f t="shared" ca="1" si="15"/>
        <v>0.32000000000000028</v>
      </c>
      <c r="Q35" s="162">
        <f t="shared" ca="1" si="16"/>
        <v>1.6000000000000014E-2</v>
      </c>
      <c r="R35" s="144"/>
      <c r="S35" s="157">
        <v>45041</v>
      </c>
      <c r="T35" s="250" t="s">
        <v>295</v>
      </c>
      <c r="U35" s="144"/>
    </row>
    <row r="36" spans="1:21" x14ac:dyDescent="0.35">
      <c r="A36" s="149">
        <v>249</v>
      </c>
      <c r="B36" s="154" t="str">
        <f t="shared" si="12"/>
        <v>Historical</v>
      </c>
      <c r="C36" s="144"/>
      <c r="D36" s="160" t="str">
        <f ca="1">INDEX(INDIRECT(E36),0,COLUMN(MO_Common_Column_A))</f>
        <v>Amortization of intangible assets, mm</v>
      </c>
      <c r="E36" s="155" t="s">
        <v>543</v>
      </c>
      <c r="F36" s="154" t="s">
        <v>622</v>
      </c>
      <c r="G36" s="154"/>
      <c r="H36" s="144"/>
      <c r="I36" s="156">
        <v>13</v>
      </c>
      <c r="J36" s="156">
        <v>13.5</v>
      </c>
      <c r="K36" s="156">
        <f t="shared" si="13"/>
        <v>13.25</v>
      </c>
      <c r="L36" s="144"/>
      <c r="M36" s="154" t="str">
        <f t="shared" si="14"/>
        <v>Actual</v>
      </c>
      <c r="N36" s="156">
        <f ca="1">IFERROR(INDEX(INDIRECT(E36),0,MATCH(F36,MO_Common_ColumnHeader,0)),"N/A")</f>
        <v>15.2</v>
      </c>
      <c r="O36" s="144"/>
      <c r="P36" s="161">
        <f t="shared" ca="1" si="15"/>
        <v>1.9499999999999993</v>
      </c>
      <c r="Q36" s="162">
        <f t="shared" ca="1" si="16"/>
        <v>0.14716981132075466</v>
      </c>
      <c r="R36" s="144"/>
      <c r="S36" s="157">
        <v>45041</v>
      </c>
      <c r="T36" s="250" t="s">
        <v>295</v>
      </c>
      <c r="U36" s="144"/>
    </row>
    <row r="37" spans="1:21" x14ac:dyDescent="0.35">
      <c r="A37" s="149">
        <v>248</v>
      </c>
      <c r="B37" s="154" t="str">
        <f t="shared" si="12"/>
        <v>Historical</v>
      </c>
      <c r="C37" s="144"/>
      <c r="D37" s="160" t="e">
        <f ca="1">INDEX(INDIRECT(E37),0,COLUMN(MO_Common_Column_A))</f>
        <v>#REF!</v>
      </c>
      <c r="E37" s="155" t="s">
        <v>483</v>
      </c>
      <c r="F37" s="154" t="s">
        <v>622</v>
      </c>
      <c r="G37" s="154"/>
      <c r="H37" s="144"/>
      <c r="I37" s="156">
        <v>193</v>
      </c>
      <c r="J37" s="156">
        <v>200</v>
      </c>
      <c r="K37" s="156">
        <f t="shared" si="13"/>
        <v>196.5</v>
      </c>
      <c r="L37" s="144"/>
      <c r="M37" s="154" t="str">
        <f t="shared" si="14"/>
        <v>Actual</v>
      </c>
      <c r="N37" s="156">
        <f ca="1">IFERROR(INDEX(INDIRECT(E37),0,MATCH(F37,MO_Common_ColumnHeader,0)),"N/A")</f>
        <v>201.01899999999989</v>
      </c>
      <c r="O37" s="144"/>
      <c r="P37" s="161">
        <f t="shared" ca="1" si="15"/>
        <v>4.5189999999998918</v>
      </c>
      <c r="Q37" s="162">
        <f t="shared" ca="1" si="16"/>
        <v>2.2997455470737362E-2</v>
      </c>
      <c r="R37" s="144"/>
      <c r="S37" s="157">
        <v>45041</v>
      </c>
      <c r="T37" s="250" t="s">
        <v>295</v>
      </c>
      <c r="U37" s="144"/>
    </row>
    <row r="38" spans="1:21" x14ac:dyDescent="0.35">
      <c r="A38" s="149">
        <v>247</v>
      </c>
      <c r="B38" s="144"/>
      <c r="C38" s="144"/>
      <c r="D38" s="141"/>
      <c r="E38" s="142"/>
      <c r="F38" s="144"/>
      <c r="G38" s="144"/>
      <c r="H38" s="144"/>
      <c r="I38" s="532"/>
      <c r="J38" s="532"/>
      <c r="K38" s="532"/>
      <c r="L38" s="144"/>
      <c r="M38" s="144"/>
      <c r="N38" s="532"/>
      <c r="O38" s="144"/>
      <c r="P38" s="218"/>
      <c r="Q38" s="334"/>
      <c r="R38" s="144"/>
      <c r="S38" s="145"/>
      <c r="T38" s="219"/>
      <c r="U38" s="144"/>
    </row>
    <row r="39" spans="1:21" x14ac:dyDescent="0.35">
      <c r="A39" s="149">
        <v>246</v>
      </c>
      <c r="B39" s="154" t="str">
        <f>IF(INDEX(MO_SNA_IsHistoricalPeriod,,MATCH(F39,MO_Common_ColumnHeader,0)),"Historical","Forward")</f>
        <v>Forward</v>
      </c>
      <c r="C39" s="144"/>
      <c r="D39" s="160" t="str">
        <f ca="1">INDEX(INDIRECT(E39),0,COLUMN(MO_Common_Column_A))</f>
        <v>Net Revenue</v>
      </c>
      <c r="E39" s="155" t="s">
        <v>293</v>
      </c>
      <c r="F39" s="154" t="s">
        <v>486</v>
      </c>
      <c r="G39" s="154"/>
      <c r="H39" s="144"/>
      <c r="I39" s="156">
        <v>1900</v>
      </c>
      <c r="J39" s="156">
        <v>2200</v>
      </c>
      <c r="K39" s="156">
        <f>AVERAGE(I39:J39)</f>
        <v>2050</v>
      </c>
      <c r="L39" s="144"/>
      <c r="M39" s="154" t="str">
        <f>IF(INDEX(MO_SNA_IsHistoricalPeriod,,MATCH(F39,MO_Common_ColumnHeader,0)),"Actual","Estimate")</f>
        <v>Estimate</v>
      </c>
      <c r="N39" s="156" t="str">
        <f ca="1">IFERROR(INDEX(INDIRECT(E39),0,MATCH(F39,MO_Common_ColumnHeader,0)),"N/A")</f>
        <v>N/A</v>
      </c>
      <c r="O39" s="144"/>
      <c r="P39" s="161" t="str">
        <f ca="1">IF(ISNUMBER(N39),N39-K39,"N/A")</f>
        <v>N/A</v>
      </c>
      <c r="Q39" s="162" t="str">
        <f ca="1">IFERROR(IF(ISNUMBER(N39),(N39-K39)/ABS(K39),"N/A"),"N/A")</f>
        <v>N/A</v>
      </c>
      <c r="R39" s="144"/>
      <c r="S39" s="157">
        <v>44950</v>
      </c>
      <c r="T39" s="250" t="s">
        <v>487</v>
      </c>
      <c r="U39" s="144"/>
    </row>
    <row r="40" spans="1:21" x14ac:dyDescent="0.35">
      <c r="A40" s="149">
        <v>245</v>
      </c>
      <c r="B40" s="154" t="str">
        <f>IF(INDEX(MO_SNA_IsHistoricalPeriod,,MATCH(F40,MO_Common_ColumnHeader,0)),"Historical","Forward")</f>
        <v>Forward</v>
      </c>
      <c r="C40" s="144"/>
      <c r="D40" s="160" t="e">
        <f ca="1">INDEX(INDIRECT(E40),0,COLUMN(MO_Common_Column_A))</f>
        <v>#REF!</v>
      </c>
      <c r="E40" s="155" t="s">
        <v>483</v>
      </c>
      <c r="F40" s="154" t="s">
        <v>486</v>
      </c>
      <c r="G40" s="154"/>
      <c r="H40" s="144"/>
      <c r="I40" s="156">
        <v>250</v>
      </c>
      <c r="J40" s="156">
        <v>350</v>
      </c>
      <c r="K40" s="156">
        <f>AVERAGE(I40:J40)</f>
        <v>300</v>
      </c>
      <c r="L40" s="144"/>
      <c r="M40" s="154" t="str">
        <f>IF(INDEX(MO_SNA_IsHistoricalPeriod,,MATCH(F40,MO_Common_ColumnHeader,0)),"Actual","Estimate")</f>
        <v>Estimate</v>
      </c>
      <c r="N40" s="156" t="str">
        <f ca="1">IFERROR(INDEX(INDIRECT(E40),0,MATCH(F40,MO_Common_ColumnHeader,0)),"N/A")</f>
        <v>N/A</v>
      </c>
      <c r="O40" s="144"/>
      <c r="P40" s="161" t="str">
        <f ca="1">IF(ISNUMBER(N40),N40-K40,"N/A")</f>
        <v>N/A</v>
      </c>
      <c r="Q40" s="162" t="str">
        <f ca="1">IFERROR(IF(ISNUMBER(N40),(N40-K40)/ABS(K40),"N/A"),"N/A")</f>
        <v>N/A</v>
      </c>
      <c r="R40" s="144"/>
      <c r="S40" s="157">
        <v>44950</v>
      </c>
      <c r="T40" s="250" t="s">
        <v>487</v>
      </c>
      <c r="U40" s="144"/>
    </row>
    <row r="41" spans="1:21" x14ac:dyDescent="0.35">
      <c r="A41" s="149">
        <v>244</v>
      </c>
      <c r="B41" s="144"/>
      <c r="C41" s="144"/>
      <c r="D41" s="141"/>
      <c r="E41" s="142"/>
      <c r="F41" s="144"/>
      <c r="G41" s="144"/>
      <c r="H41" s="144"/>
      <c r="I41" s="532"/>
      <c r="J41" s="532"/>
      <c r="K41" s="532"/>
      <c r="L41" s="144"/>
      <c r="M41" s="144"/>
      <c r="N41" s="532"/>
      <c r="O41" s="144"/>
      <c r="P41" s="218"/>
      <c r="Q41" s="334"/>
      <c r="R41" s="144"/>
      <c r="S41" s="145"/>
      <c r="T41" s="219"/>
      <c r="U41" s="144"/>
    </row>
    <row r="42" spans="1:21" x14ac:dyDescent="0.35">
      <c r="A42" s="149">
        <v>243</v>
      </c>
      <c r="B42" s="154" t="str">
        <f t="shared" ref="B42:B48" si="17">IF(INDEX(MO_SNA_IsHistoricalPeriod,,MATCH(F42,MO_Common_ColumnHeader,0)),"Historical","Forward")</f>
        <v>Historical</v>
      </c>
      <c r="C42" s="144"/>
      <c r="D42" s="160" t="str">
        <f ca="1">INDEX(INDIRECT(E42),0,COLUMN(MO_Common_Column_A))</f>
        <v>Net Revenue</v>
      </c>
      <c r="E42" s="155" t="s">
        <v>293</v>
      </c>
      <c r="F42" s="154" t="s">
        <v>622</v>
      </c>
      <c r="G42" s="154"/>
      <c r="H42" s="144"/>
      <c r="I42" s="156">
        <v>1775</v>
      </c>
      <c r="J42" s="156">
        <v>1815</v>
      </c>
      <c r="K42" s="156">
        <f t="shared" ref="K42:K48" si="18">AVERAGE(I42:J42)</f>
        <v>1795</v>
      </c>
      <c r="L42" s="144"/>
      <c r="M42" s="154" t="str">
        <f t="shared" ref="M42:M48" si="19">IF(INDEX(MO_SNA_IsHistoricalPeriod,,MATCH(F42,MO_Common_ColumnHeader,0)),"Actual","Estimate")</f>
        <v>Actual</v>
      </c>
      <c r="N42" s="156">
        <f ca="1">IFERROR(INDEX(INDIRECT(E42),0,MATCH(F42,MO_Common_ColumnHeader,0)),"N/A")</f>
        <v>1837.3579999999999</v>
      </c>
      <c r="O42" s="144"/>
      <c r="P42" s="161">
        <f t="shared" ref="P42:P48" ca="1" si="20">IF(ISNUMBER(N42),N42-K42,"N/A")</f>
        <v>42.357999999999947</v>
      </c>
      <c r="Q42" s="162">
        <f t="shared" ref="Q42:Q48" ca="1" si="21">IFERROR(IF(ISNUMBER(N42),(N42-K42)/ABS(K42),"N/A"),"N/A")</f>
        <v>2.3597771587743704E-2</v>
      </c>
      <c r="R42" s="144"/>
      <c r="S42" s="157">
        <v>44950</v>
      </c>
      <c r="T42" s="250" t="s">
        <v>295</v>
      </c>
      <c r="U42" s="144"/>
    </row>
    <row r="43" spans="1:21" x14ac:dyDescent="0.35">
      <c r="A43" s="149">
        <v>242</v>
      </c>
      <c r="B43" s="154" t="str">
        <f t="shared" si="17"/>
        <v>Historical</v>
      </c>
      <c r="C43" s="144"/>
      <c r="D43" s="160" t="str">
        <f ca="1">INDEX(INDIRECT(E43),0,COLUMN(MO_Common_Column_A))</f>
        <v>Capex</v>
      </c>
      <c r="E43" s="155" t="s">
        <v>296</v>
      </c>
      <c r="F43" s="154" t="s">
        <v>622</v>
      </c>
      <c r="G43" s="154"/>
      <c r="H43" s="144"/>
      <c r="I43" s="156">
        <v>-75</v>
      </c>
      <c r="J43" s="156">
        <v>-70</v>
      </c>
      <c r="K43" s="156">
        <f t="shared" si="18"/>
        <v>-72.5</v>
      </c>
      <c r="L43" s="144"/>
      <c r="M43" s="154" t="str">
        <f t="shared" si="19"/>
        <v>Actual</v>
      </c>
      <c r="N43" s="156">
        <f ca="1">IFERROR(INDEX(INDIRECT(E43),0,MATCH(F43,MO_Common_ColumnHeader,0)),"N/A")</f>
        <v>-66.548000000000002</v>
      </c>
      <c r="O43" s="144"/>
      <c r="P43" s="161">
        <f t="shared" ca="1" si="20"/>
        <v>5.9519999999999982</v>
      </c>
      <c r="Q43" s="162">
        <f t="shared" ca="1" si="21"/>
        <v>8.2096551724137906E-2</v>
      </c>
      <c r="R43" s="144"/>
      <c r="S43" s="157">
        <v>44950</v>
      </c>
      <c r="T43" s="250" t="s">
        <v>295</v>
      </c>
      <c r="U43" s="144"/>
    </row>
    <row r="44" spans="1:21" x14ac:dyDescent="0.35">
      <c r="A44" s="149">
        <v>241</v>
      </c>
      <c r="B44" s="154" t="str">
        <f t="shared" si="17"/>
        <v>Historical</v>
      </c>
      <c r="C44" s="144"/>
      <c r="D44" s="160" t="s">
        <v>391</v>
      </c>
      <c r="E44" s="155"/>
      <c r="F44" s="154" t="s">
        <v>622</v>
      </c>
      <c r="G44" s="154"/>
      <c r="H44" s="144"/>
      <c r="I44" s="215">
        <v>0.27</v>
      </c>
      <c r="J44" s="215">
        <v>0.28999999999999998</v>
      </c>
      <c r="K44" s="215">
        <f t="shared" si="18"/>
        <v>0.28000000000000003</v>
      </c>
      <c r="L44" s="144"/>
      <c r="M44" s="154" t="str">
        <f t="shared" si="19"/>
        <v>Actual</v>
      </c>
      <c r="N44" s="215">
        <f>INDEX(MO_RIS_TaxRate_Current,0,MATCH(F44,MO_Common_ColumnHeader,0))+INDEX(MO_RIS_TaxRate_Deferred,0,MATCH(F44,MO_Common_ColumnHeader,0))</f>
        <v>0.26280375781671089</v>
      </c>
      <c r="O44" s="144"/>
      <c r="P44" s="162">
        <f t="shared" si="20"/>
        <v>-1.7196242183289134E-2</v>
      </c>
      <c r="Q44" s="162">
        <f t="shared" si="21"/>
        <v>-6.1415150654604046E-2</v>
      </c>
      <c r="R44" s="144"/>
      <c r="S44" s="157">
        <v>44950</v>
      </c>
      <c r="T44" s="250" t="s">
        <v>295</v>
      </c>
      <c r="U44" s="144"/>
    </row>
    <row r="45" spans="1:21" x14ac:dyDescent="0.35">
      <c r="A45" s="149">
        <v>240</v>
      </c>
      <c r="B45" s="154" t="str">
        <f t="shared" si="17"/>
        <v>Historical</v>
      </c>
      <c r="C45" s="144"/>
      <c r="D45" s="160" t="str">
        <f ca="1">INDEX(INDIRECT(E45),0,COLUMN(MO_Common_Column_A))</f>
        <v>EBIT</v>
      </c>
      <c r="E45" s="155" t="s">
        <v>298</v>
      </c>
      <c r="F45" s="154" t="s">
        <v>622</v>
      </c>
      <c r="G45" s="154"/>
      <c r="H45" s="144"/>
      <c r="I45" s="156">
        <v>147.5</v>
      </c>
      <c r="J45" s="156">
        <v>164.5</v>
      </c>
      <c r="K45" s="156">
        <f t="shared" si="18"/>
        <v>156</v>
      </c>
      <c r="L45" s="144"/>
      <c r="M45" s="154" t="str">
        <f t="shared" si="19"/>
        <v>Actual</v>
      </c>
      <c r="N45" s="156">
        <f ca="1">IFERROR(INDEX(INDIRECT(E45),0,MATCH(F45,MO_Common_ColumnHeader,0)),"N/A")</f>
        <v>165.49899999999991</v>
      </c>
      <c r="O45" s="144"/>
      <c r="P45" s="161">
        <f t="shared" ca="1" si="20"/>
        <v>9.49899999999991</v>
      </c>
      <c r="Q45" s="162">
        <f t="shared" ca="1" si="21"/>
        <v>6.0891025641025061E-2</v>
      </c>
      <c r="R45" s="144"/>
      <c r="S45" s="157">
        <v>44950</v>
      </c>
      <c r="T45" s="250" t="s">
        <v>295</v>
      </c>
      <c r="U45" s="144"/>
    </row>
    <row r="46" spans="1:21" x14ac:dyDescent="0.35">
      <c r="A46" s="149">
        <v>239</v>
      </c>
      <c r="B46" s="154" t="str">
        <f t="shared" si="17"/>
        <v>Historical</v>
      </c>
      <c r="C46" s="144"/>
      <c r="D46" s="160" t="str">
        <f ca="1">INDEX(INDIRECT(E46),0,COLUMN(MO_Common_Column_A))</f>
        <v>Add back: SBC</v>
      </c>
      <c r="E46" s="155" t="s">
        <v>415</v>
      </c>
      <c r="F46" s="154" t="s">
        <v>622</v>
      </c>
      <c r="G46" s="154"/>
      <c r="H46" s="144"/>
      <c r="I46" s="156">
        <v>20</v>
      </c>
      <c r="J46" s="156">
        <v>22</v>
      </c>
      <c r="K46" s="156">
        <f t="shared" si="18"/>
        <v>21</v>
      </c>
      <c r="L46" s="144"/>
      <c r="M46" s="154" t="str">
        <f t="shared" si="19"/>
        <v>Actual</v>
      </c>
      <c r="N46" s="156">
        <f ca="1">IFERROR(INDEX(INDIRECT(E46),0,MATCH(F46,MO_Common_ColumnHeader,0)),"N/A")</f>
        <v>20.32</v>
      </c>
      <c r="O46" s="144"/>
      <c r="P46" s="161">
        <f t="shared" ca="1" si="20"/>
        <v>-0.67999999999999972</v>
      </c>
      <c r="Q46" s="162">
        <f t="shared" ca="1" si="21"/>
        <v>-3.2380952380952364E-2</v>
      </c>
      <c r="R46" s="144"/>
      <c r="S46" s="157">
        <v>44950</v>
      </c>
      <c r="T46" s="250" t="s">
        <v>295</v>
      </c>
      <c r="U46" s="144"/>
    </row>
    <row r="47" spans="1:21" x14ac:dyDescent="0.35">
      <c r="A47" s="149">
        <v>238</v>
      </c>
      <c r="B47" s="154" t="str">
        <f t="shared" si="17"/>
        <v>Historical</v>
      </c>
      <c r="C47" s="144"/>
      <c r="D47" s="160" t="str">
        <f ca="1">INDEX(INDIRECT(E47),0,COLUMN(MO_Common_Column_A))</f>
        <v>Amortization of intangible assets, mm</v>
      </c>
      <c r="E47" s="155" t="s">
        <v>543</v>
      </c>
      <c r="F47" s="154" t="s">
        <v>622</v>
      </c>
      <c r="G47" s="154"/>
      <c r="H47" s="144"/>
      <c r="I47" s="156">
        <v>12.5</v>
      </c>
      <c r="J47" s="156">
        <v>13.5</v>
      </c>
      <c r="K47" s="156">
        <f t="shared" si="18"/>
        <v>13</v>
      </c>
      <c r="L47" s="144"/>
      <c r="M47" s="154" t="str">
        <f t="shared" si="19"/>
        <v>Actual</v>
      </c>
      <c r="N47" s="156">
        <f ca="1">IFERROR(INDEX(INDIRECT(E47),0,MATCH(F47,MO_Common_ColumnHeader,0)),"N/A")</f>
        <v>15.2</v>
      </c>
      <c r="O47" s="144"/>
      <c r="P47" s="161">
        <f t="shared" ca="1" si="20"/>
        <v>2.1999999999999993</v>
      </c>
      <c r="Q47" s="162">
        <f t="shared" ca="1" si="21"/>
        <v>0.16923076923076918</v>
      </c>
      <c r="R47" s="144"/>
      <c r="S47" s="157">
        <v>44950</v>
      </c>
      <c r="T47" s="250" t="s">
        <v>295</v>
      </c>
      <c r="U47" s="144"/>
    </row>
    <row r="48" spans="1:21" x14ac:dyDescent="0.35">
      <c r="A48" s="149">
        <v>237</v>
      </c>
      <c r="B48" s="154" t="str">
        <f t="shared" si="17"/>
        <v>Historical</v>
      </c>
      <c r="C48" s="144"/>
      <c r="D48" s="160" t="e">
        <f ca="1">INDEX(INDIRECT(E48),0,COLUMN(MO_Common_Column_A))</f>
        <v>#REF!</v>
      </c>
      <c r="E48" s="155" t="s">
        <v>483</v>
      </c>
      <c r="F48" s="154" t="s">
        <v>622</v>
      </c>
      <c r="G48" s="154"/>
      <c r="H48" s="144"/>
      <c r="I48" s="156">
        <v>180</v>
      </c>
      <c r="J48" s="156">
        <v>200</v>
      </c>
      <c r="K48" s="156">
        <f t="shared" si="18"/>
        <v>190</v>
      </c>
      <c r="L48" s="144"/>
      <c r="M48" s="154" t="str">
        <f t="shared" si="19"/>
        <v>Actual</v>
      </c>
      <c r="N48" s="156">
        <f ca="1">IFERROR(INDEX(INDIRECT(E48),0,MATCH(F48,MO_Common_ColumnHeader,0)),"N/A")</f>
        <v>201.01899999999989</v>
      </c>
      <c r="O48" s="144"/>
      <c r="P48" s="161">
        <f t="shared" ca="1" si="20"/>
        <v>11.018999999999892</v>
      </c>
      <c r="Q48" s="162">
        <f t="shared" ca="1" si="21"/>
        <v>5.7994736842104697E-2</v>
      </c>
      <c r="R48" s="144"/>
      <c r="S48" s="157">
        <v>44950</v>
      </c>
      <c r="T48" s="250" t="s">
        <v>295</v>
      </c>
      <c r="U48" s="144"/>
    </row>
    <row r="49" spans="1:21" x14ac:dyDescent="0.35">
      <c r="A49" s="149">
        <v>236</v>
      </c>
      <c r="B49" s="144"/>
      <c r="C49" s="144"/>
      <c r="D49" s="141"/>
      <c r="E49" s="142"/>
      <c r="F49" s="144"/>
      <c r="G49" s="144"/>
      <c r="H49" s="144"/>
      <c r="I49" s="532"/>
      <c r="J49" s="532"/>
      <c r="K49" s="532"/>
      <c r="L49" s="144"/>
      <c r="M49" s="144"/>
      <c r="N49" s="532"/>
      <c r="O49" s="144"/>
      <c r="P49" s="218"/>
      <c r="Q49" s="334"/>
      <c r="R49" s="144"/>
      <c r="S49" s="145"/>
      <c r="T49" s="219"/>
      <c r="U49" s="144"/>
    </row>
    <row r="50" spans="1:21" x14ac:dyDescent="0.35">
      <c r="A50" s="149">
        <v>235</v>
      </c>
      <c r="B50" s="154" t="str">
        <f t="shared" ref="B50:B55" si="22">IF(INDEX(MO_SNA_IsHistoricalPeriod,,MATCH(F50,MO_Common_ColumnHeader,0)),"Historical","Forward")</f>
        <v>Historical</v>
      </c>
      <c r="C50" s="144"/>
      <c r="D50" s="160" t="str">
        <f t="shared" ref="D50:D55" ca="1" si="23">INDEX(INDIRECT(E50),0,COLUMN(MO_Common_Column_A))</f>
        <v>Net Revenue</v>
      </c>
      <c r="E50" s="155" t="s">
        <v>293</v>
      </c>
      <c r="F50" s="154" t="s">
        <v>628</v>
      </c>
      <c r="G50" s="154"/>
      <c r="H50" s="144"/>
      <c r="I50" s="156">
        <v>445</v>
      </c>
      <c r="J50" s="156">
        <v>465</v>
      </c>
      <c r="K50" s="156">
        <f t="shared" ref="K50:K55" si="24">AVERAGE(I50:J50)</f>
        <v>455</v>
      </c>
      <c r="L50" s="144"/>
      <c r="M50" s="154" t="str">
        <f t="shared" ref="M50:M55" si="25">IF(INDEX(MO_SNA_IsHistoricalPeriod,,MATCH(F50,MO_Common_ColumnHeader,0)),"Actual","Estimate")</f>
        <v>Actual</v>
      </c>
      <c r="N50" s="156">
        <f t="shared" ref="N50:N55" ca="1" si="26">IFERROR(INDEX(INDIRECT(E50),0,MATCH(F50,MO_Common_ColumnHeader,0)),"N/A")</f>
        <v>470.28399999999999</v>
      </c>
      <c r="O50" s="144"/>
      <c r="P50" s="161">
        <f t="shared" ref="P50:P55" ca="1" si="27">IF(ISNUMBER(N50),N50-K50,"N/A")</f>
        <v>15.283999999999992</v>
      </c>
      <c r="Q50" s="162">
        <f t="shared" ref="Q50:Q55" ca="1" si="28">IFERROR(IF(ISNUMBER(N50),(N50-K50)/ABS(K50),"N/A"),"N/A")</f>
        <v>3.3591208791208776E-2</v>
      </c>
      <c r="R50" s="144"/>
      <c r="S50" s="157">
        <v>44950</v>
      </c>
      <c r="T50" s="250" t="s">
        <v>295</v>
      </c>
      <c r="U50" s="144"/>
    </row>
    <row r="51" spans="1:21" x14ac:dyDescent="0.35">
      <c r="A51" s="149">
        <v>234</v>
      </c>
      <c r="B51" s="154" t="str">
        <f t="shared" si="22"/>
        <v>Historical</v>
      </c>
      <c r="C51" s="144"/>
      <c r="D51" s="160" t="str">
        <f t="shared" ca="1" si="23"/>
        <v>Capex</v>
      </c>
      <c r="E51" s="155" t="s">
        <v>296</v>
      </c>
      <c r="F51" s="154" t="s">
        <v>628</v>
      </c>
      <c r="G51" s="154"/>
      <c r="H51" s="144"/>
      <c r="I51" s="156">
        <v>-19</v>
      </c>
      <c r="J51" s="156">
        <v>-16</v>
      </c>
      <c r="K51" s="156">
        <f t="shared" si="24"/>
        <v>-17.5</v>
      </c>
      <c r="L51" s="144"/>
      <c r="M51" s="154" t="str">
        <f t="shared" si="25"/>
        <v>Actual</v>
      </c>
      <c r="N51" s="156">
        <f t="shared" ca="1" si="26"/>
        <v>-15.201999999999998</v>
      </c>
      <c r="O51" s="144"/>
      <c r="P51" s="161">
        <f t="shared" ca="1" si="27"/>
        <v>2.2980000000000018</v>
      </c>
      <c r="Q51" s="162">
        <f t="shared" ca="1" si="28"/>
        <v>0.13131428571428583</v>
      </c>
      <c r="R51" s="144"/>
      <c r="S51" s="157">
        <v>44950</v>
      </c>
      <c r="T51" s="250" t="s">
        <v>295</v>
      </c>
      <c r="U51" s="144"/>
    </row>
    <row r="52" spans="1:21" x14ac:dyDescent="0.35">
      <c r="A52" s="149">
        <v>233</v>
      </c>
      <c r="B52" s="154" t="str">
        <f t="shared" si="22"/>
        <v>Historical</v>
      </c>
      <c r="C52" s="144"/>
      <c r="D52" s="160" t="str">
        <f t="shared" ca="1" si="23"/>
        <v>EBIT</v>
      </c>
      <c r="E52" s="155" t="s">
        <v>298</v>
      </c>
      <c r="F52" s="154" t="s">
        <v>628</v>
      </c>
      <c r="G52" s="154"/>
      <c r="H52" s="144"/>
      <c r="I52" s="156">
        <v>62.5</v>
      </c>
      <c r="J52" s="156">
        <v>70.5</v>
      </c>
      <c r="K52" s="156">
        <f t="shared" si="24"/>
        <v>66.5</v>
      </c>
      <c r="L52" s="144"/>
      <c r="M52" s="154" t="str">
        <f t="shared" si="25"/>
        <v>Actual</v>
      </c>
      <c r="N52" s="156">
        <f t="shared" ca="1" si="26"/>
        <v>72.199000000000012</v>
      </c>
      <c r="O52" s="144"/>
      <c r="P52" s="161">
        <f t="shared" ca="1" si="27"/>
        <v>5.6990000000000123</v>
      </c>
      <c r="Q52" s="162">
        <f t="shared" ca="1" si="28"/>
        <v>8.5699248120300942E-2</v>
      </c>
      <c r="R52" s="144"/>
      <c r="S52" s="157">
        <v>44950</v>
      </c>
      <c r="T52" s="250" t="s">
        <v>295</v>
      </c>
      <c r="U52" s="144"/>
    </row>
    <row r="53" spans="1:21" x14ac:dyDescent="0.35">
      <c r="A53" s="149">
        <v>232</v>
      </c>
      <c r="B53" s="154" t="str">
        <f t="shared" si="22"/>
        <v>Historical</v>
      </c>
      <c r="C53" s="144"/>
      <c r="D53" s="160" t="str">
        <f t="shared" ca="1" si="23"/>
        <v>Add back: SBC</v>
      </c>
      <c r="E53" s="155" t="s">
        <v>415</v>
      </c>
      <c r="F53" s="154" t="s">
        <v>628</v>
      </c>
      <c r="G53" s="154"/>
      <c r="H53" s="144"/>
      <c r="I53" s="156">
        <v>4.5</v>
      </c>
      <c r="J53" s="156">
        <v>5.5</v>
      </c>
      <c r="K53" s="156">
        <f t="shared" si="24"/>
        <v>5</v>
      </c>
      <c r="L53" s="144"/>
      <c r="M53" s="154" t="str">
        <f t="shared" si="25"/>
        <v>Actual</v>
      </c>
      <c r="N53" s="156">
        <f t="shared" ca="1" si="26"/>
        <v>4.7449999999999992</v>
      </c>
      <c r="O53" s="144"/>
      <c r="P53" s="161">
        <f t="shared" ca="1" si="27"/>
        <v>-0.25500000000000078</v>
      </c>
      <c r="Q53" s="162">
        <f t="shared" ca="1" si="28"/>
        <v>-5.1000000000000156E-2</v>
      </c>
      <c r="R53" s="144"/>
      <c r="S53" s="157">
        <v>44950</v>
      </c>
      <c r="T53" s="250" t="s">
        <v>295</v>
      </c>
      <c r="U53" s="144"/>
    </row>
    <row r="54" spans="1:21" x14ac:dyDescent="0.35">
      <c r="A54" s="149">
        <v>231</v>
      </c>
      <c r="B54" s="154" t="str">
        <f t="shared" si="22"/>
        <v>Historical</v>
      </c>
      <c r="C54" s="144"/>
      <c r="D54" s="160" t="str">
        <f t="shared" ca="1" si="23"/>
        <v>Amortization of intangible assets, mm</v>
      </c>
      <c r="E54" s="155" t="s">
        <v>543</v>
      </c>
      <c r="F54" s="154" t="s">
        <v>628</v>
      </c>
      <c r="G54" s="154"/>
      <c r="H54" s="144"/>
      <c r="I54" s="156">
        <v>3</v>
      </c>
      <c r="J54" s="156">
        <v>4</v>
      </c>
      <c r="K54" s="156">
        <f t="shared" si="24"/>
        <v>3.5</v>
      </c>
      <c r="L54" s="144"/>
      <c r="M54" s="154" t="str">
        <f t="shared" si="25"/>
        <v>Actual</v>
      </c>
      <c r="N54" s="156">
        <f t="shared" ca="1" si="26"/>
        <v>3.2800000000000002</v>
      </c>
      <c r="O54" s="144"/>
      <c r="P54" s="161">
        <f t="shared" ca="1" si="27"/>
        <v>-0.21999999999999975</v>
      </c>
      <c r="Q54" s="162">
        <f t="shared" ca="1" si="28"/>
        <v>-6.2857142857142792E-2</v>
      </c>
      <c r="R54" s="144"/>
      <c r="S54" s="157">
        <v>44950</v>
      </c>
      <c r="T54" s="250" t="s">
        <v>295</v>
      </c>
      <c r="U54" s="144"/>
    </row>
    <row r="55" spans="1:21" x14ac:dyDescent="0.35">
      <c r="A55" s="149">
        <v>230</v>
      </c>
      <c r="B55" s="154" t="str">
        <f t="shared" si="22"/>
        <v>Historical</v>
      </c>
      <c r="C55" s="144"/>
      <c r="D55" s="160" t="e">
        <f t="shared" ca="1" si="23"/>
        <v>#REF!</v>
      </c>
      <c r="E55" s="155" t="s">
        <v>483</v>
      </c>
      <c r="F55" s="154" t="s">
        <v>628</v>
      </c>
      <c r="G55" s="154"/>
      <c r="H55" s="144"/>
      <c r="I55" s="156">
        <v>70</v>
      </c>
      <c r="J55" s="156">
        <v>80</v>
      </c>
      <c r="K55" s="156">
        <f t="shared" si="24"/>
        <v>75</v>
      </c>
      <c r="L55" s="144"/>
      <c r="M55" s="154" t="str">
        <f t="shared" si="25"/>
        <v>Actual</v>
      </c>
      <c r="N55" s="156">
        <f t="shared" ca="1" si="26"/>
        <v>80.224000000000018</v>
      </c>
      <c r="O55" s="144"/>
      <c r="P55" s="161">
        <f t="shared" ca="1" si="27"/>
        <v>5.224000000000018</v>
      </c>
      <c r="Q55" s="162">
        <f t="shared" ca="1" si="28"/>
        <v>6.9653333333333567E-2</v>
      </c>
      <c r="R55" s="144"/>
      <c r="S55" s="157">
        <v>44950</v>
      </c>
      <c r="T55" s="250" t="s">
        <v>295</v>
      </c>
      <c r="U55" s="144"/>
    </row>
    <row r="56" spans="1:21" x14ac:dyDescent="0.35">
      <c r="A56" s="149">
        <v>229</v>
      </c>
      <c r="B56" s="144"/>
      <c r="C56" s="144"/>
      <c r="D56" s="141"/>
      <c r="E56" s="142"/>
      <c r="F56" s="144"/>
      <c r="G56" s="144"/>
      <c r="H56" s="144"/>
      <c r="I56" s="532"/>
      <c r="J56" s="532"/>
      <c r="K56" s="532"/>
      <c r="L56" s="144"/>
      <c r="M56" s="144"/>
      <c r="N56" s="532"/>
      <c r="O56" s="144"/>
      <c r="P56" s="218"/>
      <c r="Q56" s="334"/>
      <c r="R56" s="144"/>
      <c r="S56" s="145"/>
      <c r="T56" s="219"/>
      <c r="U56" s="144"/>
    </row>
    <row r="57" spans="1:21" x14ac:dyDescent="0.35">
      <c r="A57" s="149">
        <v>228</v>
      </c>
      <c r="B57" s="154" t="str">
        <f>IF(INDEX(MO_SNA_IsHistoricalPeriod,,MATCH(F57,MO_Common_ColumnHeader,0)),"Historical","Forward")</f>
        <v>Forward</v>
      </c>
      <c r="C57" s="144"/>
      <c r="D57" s="160" t="str">
        <f ca="1">INDEX(INDIRECT(E57),0,COLUMN(MO_Common_Column_A))</f>
        <v>Net Revenue</v>
      </c>
      <c r="E57" s="155" t="s">
        <v>293</v>
      </c>
      <c r="F57" s="154" t="s">
        <v>486</v>
      </c>
      <c r="G57" s="154"/>
      <c r="H57" s="144"/>
      <c r="I57" s="156">
        <v>1900</v>
      </c>
      <c r="J57" s="156">
        <v>2200</v>
      </c>
      <c r="K57" s="156">
        <f>AVERAGE(I57:J57)</f>
        <v>2050</v>
      </c>
      <c r="L57" s="144"/>
      <c r="M57" s="154" t="str">
        <f>IF(INDEX(MO_SNA_IsHistoricalPeriod,,MATCH(F57,MO_Common_ColumnHeader,0)),"Actual","Estimate")</f>
        <v>Estimate</v>
      </c>
      <c r="N57" s="156" t="str">
        <f ca="1">IFERROR(INDEX(INDIRECT(E57),0,MATCH(F57,MO_Common_ColumnHeader,0)),"N/A")</f>
        <v>N/A</v>
      </c>
      <c r="O57" s="144"/>
      <c r="P57" s="161" t="str">
        <f ca="1">IF(ISNUMBER(N57),N57-K57,"N/A")</f>
        <v>N/A</v>
      </c>
      <c r="Q57" s="162" t="str">
        <f ca="1">IFERROR(IF(ISNUMBER(N57),(N57-K57)/ABS(K57),"N/A"),"N/A")</f>
        <v>N/A</v>
      </c>
      <c r="R57" s="144"/>
      <c r="S57" s="157">
        <v>44859</v>
      </c>
      <c r="T57" s="250" t="s">
        <v>487</v>
      </c>
      <c r="U57" s="144"/>
    </row>
    <row r="58" spans="1:21" x14ac:dyDescent="0.35">
      <c r="A58" s="149">
        <v>227</v>
      </c>
      <c r="B58" s="154" t="str">
        <f>IF(INDEX(MO_SNA_IsHistoricalPeriod,,MATCH(F58,MO_Common_ColumnHeader,0)),"Historical","Forward")</f>
        <v>Forward</v>
      </c>
      <c r="C58" s="144"/>
      <c r="D58" s="160" t="e">
        <f ca="1">INDEX(INDIRECT(E58),0,COLUMN(MO_Common_Column_A))</f>
        <v>#REF!</v>
      </c>
      <c r="E58" s="155" t="s">
        <v>483</v>
      </c>
      <c r="F58" s="154" t="s">
        <v>486</v>
      </c>
      <c r="G58" s="154"/>
      <c r="H58" s="144"/>
      <c r="I58" s="156">
        <v>250</v>
      </c>
      <c r="J58" s="156">
        <v>350</v>
      </c>
      <c r="K58" s="156">
        <f>AVERAGE(I58:J58)</f>
        <v>300</v>
      </c>
      <c r="L58" s="144"/>
      <c r="M58" s="154" t="str">
        <f>IF(INDEX(MO_SNA_IsHistoricalPeriod,,MATCH(F58,MO_Common_ColumnHeader,0)),"Actual","Estimate")</f>
        <v>Estimate</v>
      </c>
      <c r="N58" s="156" t="str">
        <f ca="1">IFERROR(INDEX(INDIRECT(E58),0,MATCH(F58,MO_Common_ColumnHeader,0)),"N/A")</f>
        <v>N/A</v>
      </c>
      <c r="O58" s="144"/>
      <c r="P58" s="161" t="str">
        <f ca="1">IF(ISNUMBER(N58),N58-K58,"N/A")</f>
        <v>N/A</v>
      </c>
      <c r="Q58" s="162" t="str">
        <f ca="1">IFERROR(IF(ISNUMBER(N58),(N58-K58)/ABS(K58),"N/A"),"N/A")</f>
        <v>N/A</v>
      </c>
      <c r="R58" s="144"/>
      <c r="S58" s="157">
        <v>44859</v>
      </c>
      <c r="T58" s="250" t="s">
        <v>487</v>
      </c>
      <c r="U58" s="144"/>
    </row>
    <row r="59" spans="1:21" x14ac:dyDescent="0.35">
      <c r="A59" s="149">
        <v>226</v>
      </c>
      <c r="B59" s="154" t="str">
        <f>IF(INDEX(MO_SNA_IsHistoricalPeriod,,MATCH(F59,MO_Common_ColumnHeader,0)),"Historical","Forward")</f>
        <v>Forward</v>
      </c>
      <c r="C59" s="144"/>
      <c r="D59" s="160" t="str">
        <f ca="1">INDEX(INDIRECT(E59),0,COLUMN(MO_Common_Column_A))</f>
        <v>General Education Revenue, mm</v>
      </c>
      <c r="E59" s="155" t="s">
        <v>590</v>
      </c>
      <c r="F59" s="154" t="s">
        <v>486</v>
      </c>
      <c r="G59" s="154"/>
      <c r="H59" s="144"/>
      <c r="I59" s="156">
        <v>1250</v>
      </c>
      <c r="J59" s="156">
        <v>1400</v>
      </c>
      <c r="K59" s="156">
        <f>AVERAGE(I59:J59)</f>
        <v>1325</v>
      </c>
      <c r="L59" s="144"/>
      <c r="M59" s="154" t="str">
        <f>IF(INDEX(MO_SNA_IsHistoricalPeriod,,MATCH(F59,MO_Common_ColumnHeader,0)),"Actual","Estimate")</f>
        <v>Estimate</v>
      </c>
      <c r="N59" s="156" t="str">
        <f ca="1">IFERROR(INDEX(INDIRECT(E59),0,MATCH(F59,MO_Common_ColumnHeader,0)),"N/A")</f>
        <v>N/A</v>
      </c>
      <c r="O59" s="144"/>
      <c r="P59" s="161" t="str">
        <f ca="1">IF(ISNUMBER(N59),N59-K59,"N/A")</f>
        <v>N/A</v>
      </c>
      <c r="Q59" s="162" t="str">
        <f ca="1">IFERROR(IF(ISNUMBER(N59),(N59-K59)/ABS(K59),"N/A"),"N/A")</f>
        <v>N/A</v>
      </c>
      <c r="R59" s="144"/>
      <c r="S59" s="157">
        <v>44859</v>
      </c>
      <c r="T59" s="250" t="s">
        <v>487</v>
      </c>
      <c r="U59" s="144"/>
    </row>
    <row r="60" spans="1:21" x14ac:dyDescent="0.35">
      <c r="A60" s="149">
        <v>225</v>
      </c>
      <c r="B60" s="154" t="str">
        <f>IF(INDEX(MO_SNA_IsHistoricalPeriod,,MATCH(F60,MO_Common_ColumnHeader,0)),"Historical","Forward")</f>
        <v>Forward</v>
      </c>
      <c r="C60" s="144"/>
      <c r="D60" s="160" t="str">
        <f ca="1">INDEX(INDIRECT(E60),0,COLUMN(MO_Common_Column_A))</f>
        <v>Career Learning Revenue, mm</v>
      </c>
      <c r="E60" s="155" t="s">
        <v>501</v>
      </c>
      <c r="F60" s="154" t="s">
        <v>486</v>
      </c>
      <c r="G60" s="154"/>
      <c r="H60" s="144"/>
      <c r="I60" s="156">
        <v>650</v>
      </c>
      <c r="J60" s="156">
        <v>800</v>
      </c>
      <c r="K60" s="156">
        <f>AVERAGE(I60:J60)</f>
        <v>725</v>
      </c>
      <c r="L60" s="144"/>
      <c r="M60" s="154" t="str">
        <f>IF(INDEX(MO_SNA_IsHistoricalPeriod,,MATCH(F60,MO_Common_ColumnHeader,0)),"Actual","Estimate")</f>
        <v>Estimate</v>
      </c>
      <c r="N60" s="156" t="str">
        <f ca="1">IFERROR(INDEX(INDIRECT(E60),0,MATCH(F60,MO_Common_ColumnHeader,0)),"N/A")</f>
        <v>N/A</v>
      </c>
      <c r="O60" s="144"/>
      <c r="P60" s="161" t="str">
        <f ca="1">IF(ISNUMBER(N60),N60-K60,"N/A")</f>
        <v>N/A</v>
      </c>
      <c r="Q60" s="162" t="str">
        <f ca="1">IFERROR(IF(ISNUMBER(N60),(N60-K60)/ABS(K60),"N/A"),"N/A")</f>
        <v>N/A</v>
      </c>
      <c r="R60" s="144"/>
      <c r="S60" s="157">
        <v>44859</v>
      </c>
      <c r="T60" s="250" t="s">
        <v>487</v>
      </c>
      <c r="U60" s="144"/>
    </row>
    <row r="61" spans="1:21" x14ac:dyDescent="0.35">
      <c r="A61" s="149">
        <v>224</v>
      </c>
      <c r="B61" s="144"/>
      <c r="C61" s="144"/>
      <c r="D61" s="141"/>
      <c r="E61" s="142"/>
      <c r="F61" s="144"/>
      <c r="G61" s="144"/>
      <c r="H61" s="144"/>
      <c r="I61" s="532"/>
      <c r="J61" s="532"/>
      <c r="K61" s="532"/>
      <c r="L61" s="144"/>
      <c r="M61" s="144"/>
      <c r="N61" s="532"/>
      <c r="O61" s="144"/>
      <c r="P61" s="218"/>
      <c r="Q61" s="334"/>
      <c r="R61" s="144"/>
      <c r="S61" s="145"/>
      <c r="T61" s="219"/>
      <c r="U61" s="144"/>
    </row>
    <row r="62" spans="1:21" x14ac:dyDescent="0.35">
      <c r="A62" s="149">
        <v>223</v>
      </c>
      <c r="B62" s="154" t="str">
        <f t="shared" ref="B62:B68" si="29">IF(INDEX(MO_SNA_IsHistoricalPeriod,,MATCH(F62,MO_Common_ColumnHeader,0)),"Historical","Forward")</f>
        <v>Historical</v>
      </c>
      <c r="C62" s="144"/>
      <c r="D62" s="160" t="str">
        <f ca="1">INDEX(INDIRECT(E62),0,COLUMN(MO_Common_Column_A))</f>
        <v>Net Revenue</v>
      </c>
      <c r="E62" s="155" t="s">
        <v>293</v>
      </c>
      <c r="F62" s="154" t="s">
        <v>622</v>
      </c>
      <c r="G62" s="154"/>
      <c r="H62" s="144"/>
      <c r="I62" s="156">
        <v>1710</v>
      </c>
      <c r="J62" s="156">
        <v>1790</v>
      </c>
      <c r="K62" s="156">
        <f t="shared" ref="K62:K68" si="30">AVERAGE(I62:J62)</f>
        <v>1750</v>
      </c>
      <c r="L62" s="144"/>
      <c r="M62" s="154" t="str">
        <f t="shared" ref="M62:M68" si="31">IF(INDEX(MO_SNA_IsHistoricalPeriod,,MATCH(F62,MO_Common_ColumnHeader,0)),"Actual","Estimate")</f>
        <v>Actual</v>
      </c>
      <c r="N62" s="156">
        <f ca="1">IFERROR(INDEX(INDIRECT(E62),0,MATCH(F62,MO_Common_ColumnHeader,0)),"N/A")</f>
        <v>1837.3579999999999</v>
      </c>
      <c r="O62" s="144"/>
      <c r="P62" s="161">
        <f t="shared" ref="P62:P68" ca="1" si="32">IF(ISNUMBER(N62),N62-K62,"N/A")</f>
        <v>87.357999999999947</v>
      </c>
      <c r="Q62" s="162">
        <f t="shared" ref="Q62:Q68" ca="1" si="33">IFERROR(IF(ISNUMBER(N62),(N62-K62)/ABS(K62),"N/A"),"N/A")</f>
        <v>4.9918857142857112E-2</v>
      </c>
      <c r="R62" s="144"/>
      <c r="S62" s="157">
        <v>44859</v>
      </c>
      <c r="T62" s="250" t="s">
        <v>295</v>
      </c>
      <c r="U62" s="144"/>
    </row>
    <row r="63" spans="1:21" x14ac:dyDescent="0.35">
      <c r="A63" s="149">
        <v>222</v>
      </c>
      <c r="B63" s="154" t="str">
        <f t="shared" si="29"/>
        <v>Historical</v>
      </c>
      <c r="C63" s="144"/>
      <c r="D63" s="160" t="str">
        <f ca="1">INDEX(INDIRECT(E63),0,COLUMN(MO_Common_Column_A))</f>
        <v>Capex</v>
      </c>
      <c r="E63" s="155" t="s">
        <v>296</v>
      </c>
      <c r="F63" s="154" t="s">
        <v>622</v>
      </c>
      <c r="G63" s="154"/>
      <c r="H63" s="144"/>
      <c r="I63" s="156">
        <v>-80</v>
      </c>
      <c r="J63" s="156">
        <v>-70</v>
      </c>
      <c r="K63" s="156">
        <f t="shared" si="30"/>
        <v>-75</v>
      </c>
      <c r="L63" s="144"/>
      <c r="M63" s="154" t="str">
        <f t="shared" si="31"/>
        <v>Actual</v>
      </c>
      <c r="N63" s="156">
        <f ca="1">IFERROR(INDEX(INDIRECT(E63),0,MATCH(F63,MO_Common_ColumnHeader,0)),"N/A")</f>
        <v>-66.548000000000002</v>
      </c>
      <c r="O63" s="144"/>
      <c r="P63" s="161">
        <f t="shared" ca="1" si="32"/>
        <v>8.4519999999999982</v>
      </c>
      <c r="Q63" s="162">
        <f t="shared" ca="1" si="33"/>
        <v>0.11269333333333331</v>
      </c>
      <c r="R63" s="144"/>
      <c r="S63" s="157">
        <v>44859</v>
      </c>
      <c r="T63" s="250" t="s">
        <v>295</v>
      </c>
      <c r="U63" s="144"/>
    </row>
    <row r="64" spans="1:21" x14ac:dyDescent="0.35">
      <c r="A64" s="149">
        <v>221</v>
      </c>
      <c r="B64" s="154" t="str">
        <f t="shared" si="29"/>
        <v>Historical</v>
      </c>
      <c r="C64" s="144"/>
      <c r="D64" s="160" t="s">
        <v>391</v>
      </c>
      <c r="E64" s="155"/>
      <c r="F64" s="154" t="s">
        <v>622</v>
      </c>
      <c r="G64" s="154"/>
      <c r="H64" s="144"/>
      <c r="I64" s="215">
        <v>0.27</v>
      </c>
      <c r="J64" s="215">
        <v>0.28999999999999998</v>
      </c>
      <c r="K64" s="215">
        <f t="shared" si="30"/>
        <v>0.28000000000000003</v>
      </c>
      <c r="L64" s="144"/>
      <c r="M64" s="154" t="str">
        <f t="shared" si="31"/>
        <v>Actual</v>
      </c>
      <c r="N64" s="215">
        <f>INDEX(MO_RIS_TaxRate_Current,0,MATCH(F64,MO_Common_ColumnHeader,0))+INDEX(MO_RIS_TaxRate_Deferred,0,MATCH(F64,MO_Common_ColumnHeader,0))</f>
        <v>0.26280375781671089</v>
      </c>
      <c r="O64" s="144"/>
      <c r="P64" s="162">
        <f t="shared" si="32"/>
        <v>-1.7196242183289134E-2</v>
      </c>
      <c r="Q64" s="162">
        <f t="shared" si="33"/>
        <v>-6.1415150654604046E-2</v>
      </c>
      <c r="R64" s="144"/>
      <c r="S64" s="157">
        <v>44859</v>
      </c>
      <c r="T64" s="250" t="s">
        <v>295</v>
      </c>
      <c r="U64" s="144"/>
    </row>
    <row r="65" spans="1:21" x14ac:dyDescent="0.35">
      <c r="A65" s="149">
        <v>220</v>
      </c>
      <c r="B65" s="154" t="str">
        <f t="shared" si="29"/>
        <v>Historical</v>
      </c>
      <c r="C65" s="144"/>
      <c r="D65" s="160" t="str">
        <f ca="1">INDEX(INDIRECT(E65),0,COLUMN(MO_Common_Column_A))</f>
        <v>EBIT</v>
      </c>
      <c r="E65" s="155" t="s">
        <v>298</v>
      </c>
      <c r="F65" s="154" t="s">
        <v>622</v>
      </c>
      <c r="G65" s="154"/>
      <c r="H65" s="144"/>
      <c r="I65" s="156">
        <v>127.5</v>
      </c>
      <c r="J65" s="156">
        <v>151.5</v>
      </c>
      <c r="K65" s="156">
        <f t="shared" si="30"/>
        <v>139.5</v>
      </c>
      <c r="L65" s="144"/>
      <c r="M65" s="154" t="str">
        <f t="shared" si="31"/>
        <v>Actual</v>
      </c>
      <c r="N65" s="156">
        <f ca="1">IFERROR(INDEX(INDIRECT(E65),0,MATCH(F65,MO_Common_ColumnHeader,0)),"N/A")</f>
        <v>165.49899999999991</v>
      </c>
      <c r="O65" s="144"/>
      <c r="P65" s="161">
        <f t="shared" ca="1" si="32"/>
        <v>25.99899999999991</v>
      </c>
      <c r="Q65" s="162">
        <f t="shared" ca="1" si="33"/>
        <v>0.18637275985663018</v>
      </c>
      <c r="R65" s="144"/>
      <c r="S65" s="157">
        <v>44859</v>
      </c>
      <c r="T65" s="250" t="s">
        <v>295</v>
      </c>
      <c r="U65" s="144"/>
    </row>
    <row r="66" spans="1:21" x14ac:dyDescent="0.35">
      <c r="A66" s="149">
        <v>219</v>
      </c>
      <c r="B66" s="154" t="str">
        <f t="shared" si="29"/>
        <v>Historical</v>
      </c>
      <c r="C66" s="144"/>
      <c r="D66" s="160" t="str">
        <f ca="1">INDEX(INDIRECT(E66),0,COLUMN(MO_Common_Column_A))</f>
        <v>Add back: SBC</v>
      </c>
      <c r="E66" s="155" t="s">
        <v>415</v>
      </c>
      <c r="F66" s="154" t="s">
        <v>622</v>
      </c>
      <c r="G66" s="154"/>
      <c r="H66" s="144"/>
      <c r="I66" s="156">
        <v>20</v>
      </c>
      <c r="J66" s="156">
        <v>25</v>
      </c>
      <c r="K66" s="156">
        <f t="shared" si="30"/>
        <v>22.5</v>
      </c>
      <c r="L66" s="144"/>
      <c r="M66" s="154" t="str">
        <f t="shared" si="31"/>
        <v>Actual</v>
      </c>
      <c r="N66" s="156">
        <f ca="1">IFERROR(INDEX(INDIRECT(E66),0,MATCH(F66,MO_Common_ColumnHeader,0)),"N/A")</f>
        <v>20.32</v>
      </c>
      <c r="O66" s="144"/>
      <c r="P66" s="161">
        <f t="shared" ca="1" si="32"/>
        <v>-2.1799999999999997</v>
      </c>
      <c r="Q66" s="162">
        <f t="shared" ca="1" si="33"/>
        <v>-9.6888888888888872E-2</v>
      </c>
      <c r="R66" s="144"/>
      <c r="S66" s="157">
        <v>44859</v>
      </c>
      <c r="T66" s="250" t="s">
        <v>295</v>
      </c>
      <c r="U66" s="144"/>
    </row>
    <row r="67" spans="1:21" x14ac:dyDescent="0.35">
      <c r="A67" s="149">
        <v>218</v>
      </c>
      <c r="B67" s="154" t="str">
        <f t="shared" si="29"/>
        <v>Historical</v>
      </c>
      <c r="C67" s="144"/>
      <c r="D67" s="160" t="str">
        <f ca="1">INDEX(INDIRECT(E67),0,COLUMN(MO_Common_Column_A))</f>
        <v>Amortization of intangible assets, mm</v>
      </c>
      <c r="E67" s="155" t="s">
        <v>543</v>
      </c>
      <c r="F67" s="154" t="s">
        <v>622</v>
      </c>
      <c r="G67" s="154"/>
      <c r="H67" s="144"/>
      <c r="I67" s="156">
        <v>12.5</v>
      </c>
      <c r="J67" s="156">
        <v>13.5</v>
      </c>
      <c r="K67" s="156">
        <f t="shared" si="30"/>
        <v>13</v>
      </c>
      <c r="L67" s="144"/>
      <c r="M67" s="154" t="str">
        <f t="shared" si="31"/>
        <v>Actual</v>
      </c>
      <c r="N67" s="156">
        <f ca="1">IFERROR(INDEX(INDIRECT(E67),0,MATCH(F67,MO_Common_ColumnHeader,0)),"N/A")</f>
        <v>15.2</v>
      </c>
      <c r="O67" s="144"/>
      <c r="P67" s="161">
        <f t="shared" ca="1" si="32"/>
        <v>2.1999999999999993</v>
      </c>
      <c r="Q67" s="162">
        <f t="shared" ca="1" si="33"/>
        <v>0.16923076923076918</v>
      </c>
      <c r="R67" s="144"/>
      <c r="S67" s="157">
        <v>44859</v>
      </c>
      <c r="T67" s="250" t="s">
        <v>295</v>
      </c>
      <c r="U67" s="144"/>
    </row>
    <row r="68" spans="1:21" x14ac:dyDescent="0.35">
      <c r="A68" s="149">
        <v>217</v>
      </c>
      <c r="B68" s="154" t="str">
        <f t="shared" si="29"/>
        <v>Historical</v>
      </c>
      <c r="C68" s="144"/>
      <c r="D68" s="160" t="e">
        <f ca="1">INDEX(INDIRECT(E68),0,COLUMN(MO_Common_Column_A))</f>
        <v>#REF!</v>
      </c>
      <c r="E68" s="155" t="s">
        <v>483</v>
      </c>
      <c r="F68" s="154" t="s">
        <v>622</v>
      </c>
      <c r="G68" s="154"/>
      <c r="H68" s="144"/>
      <c r="I68" s="156">
        <v>160</v>
      </c>
      <c r="J68" s="156">
        <v>190</v>
      </c>
      <c r="K68" s="156">
        <f t="shared" si="30"/>
        <v>175</v>
      </c>
      <c r="L68" s="144"/>
      <c r="M68" s="154" t="str">
        <f t="shared" si="31"/>
        <v>Actual</v>
      </c>
      <c r="N68" s="156">
        <f ca="1">IFERROR(INDEX(INDIRECT(E68),0,MATCH(F68,MO_Common_ColumnHeader,0)),"N/A")</f>
        <v>201.01899999999989</v>
      </c>
      <c r="O68" s="144"/>
      <c r="P68" s="161">
        <f t="shared" ca="1" si="32"/>
        <v>26.018999999999892</v>
      </c>
      <c r="Q68" s="162">
        <f t="shared" ca="1" si="33"/>
        <v>0.14867999999999937</v>
      </c>
      <c r="R68" s="144"/>
      <c r="S68" s="157">
        <v>44859</v>
      </c>
      <c r="T68" s="250" t="s">
        <v>295</v>
      </c>
      <c r="U68" s="144"/>
    </row>
    <row r="69" spans="1:21" x14ac:dyDescent="0.35">
      <c r="A69" s="149">
        <v>216</v>
      </c>
      <c r="B69" s="144"/>
      <c r="C69" s="144"/>
      <c r="D69" s="141"/>
      <c r="E69" s="142"/>
      <c r="F69" s="144"/>
      <c r="G69" s="144"/>
      <c r="H69" s="144"/>
      <c r="I69" s="532"/>
      <c r="J69" s="532"/>
      <c r="K69" s="532"/>
      <c r="L69" s="144"/>
      <c r="M69" s="144"/>
      <c r="N69" s="532"/>
      <c r="O69" s="144"/>
      <c r="P69" s="218"/>
      <c r="Q69" s="334"/>
      <c r="R69" s="144"/>
      <c r="S69" s="145"/>
      <c r="T69" s="219"/>
      <c r="U69" s="144"/>
    </row>
    <row r="70" spans="1:21" x14ac:dyDescent="0.35">
      <c r="A70" s="149">
        <v>215</v>
      </c>
      <c r="B70" s="154" t="str">
        <f t="shared" ref="B70:B75" si="34">IF(INDEX(MO_SNA_IsHistoricalPeriod,,MATCH(F70,MO_Common_ColumnHeader,0)),"Historical","Forward")</f>
        <v>Historical</v>
      </c>
      <c r="C70" s="144"/>
      <c r="D70" s="160" t="str">
        <f t="shared" ref="D70:D75" ca="1" si="35">INDEX(INDIRECT(E70),0,COLUMN(MO_Common_Column_A))</f>
        <v>Net Revenue</v>
      </c>
      <c r="E70" s="155" t="s">
        <v>293</v>
      </c>
      <c r="F70" s="154" t="s">
        <v>623</v>
      </c>
      <c r="G70" s="154"/>
      <c r="H70" s="144"/>
      <c r="I70" s="156">
        <v>435</v>
      </c>
      <c r="J70" s="156">
        <v>465</v>
      </c>
      <c r="K70" s="156">
        <f t="shared" ref="K70:K75" si="36">AVERAGE(I70:J70)</f>
        <v>450</v>
      </c>
      <c r="L70" s="144"/>
      <c r="M70" s="154" t="str">
        <f t="shared" ref="M70:M75" si="37">IF(INDEX(MO_SNA_IsHistoricalPeriod,,MATCH(F70,MO_Common_ColumnHeader,0)),"Actual","Estimate")</f>
        <v>Actual</v>
      </c>
      <c r="N70" s="156">
        <f t="shared" ref="N70:N75" ca="1" si="38">IFERROR(INDEX(INDIRECT(E70),0,MATCH(F70,MO_Common_ColumnHeader,0)),"N/A")</f>
        <v>458.435</v>
      </c>
      <c r="O70" s="144"/>
      <c r="P70" s="161">
        <f t="shared" ref="P70:P75" ca="1" si="39">IF(ISNUMBER(N70),N70-K70,"N/A")</f>
        <v>8.4350000000000023</v>
      </c>
      <c r="Q70" s="162">
        <f t="shared" ref="Q70:Q75" ca="1" si="40">IFERROR(IF(ISNUMBER(N70),(N70-K70)/ABS(K70),"N/A"),"N/A")</f>
        <v>1.8744444444444449E-2</v>
      </c>
      <c r="R70" s="144"/>
      <c r="S70" s="157">
        <v>44859</v>
      </c>
      <c r="T70" s="250" t="s">
        <v>295</v>
      </c>
      <c r="U70" s="144"/>
    </row>
    <row r="71" spans="1:21" x14ac:dyDescent="0.35">
      <c r="A71" s="149">
        <v>214</v>
      </c>
      <c r="B71" s="154" t="str">
        <f t="shared" si="34"/>
        <v>Historical</v>
      </c>
      <c r="C71" s="144"/>
      <c r="D71" s="160" t="str">
        <f t="shared" ca="1" si="35"/>
        <v>Capex</v>
      </c>
      <c r="E71" s="155" t="s">
        <v>296</v>
      </c>
      <c r="F71" s="154" t="s">
        <v>623</v>
      </c>
      <c r="G71" s="154"/>
      <c r="H71" s="144"/>
      <c r="I71" s="156">
        <v>-20</v>
      </c>
      <c r="J71" s="156">
        <v>-17</v>
      </c>
      <c r="K71" s="156">
        <f t="shared" si="36"/>
        <v>-18.5</v>
      </c>
      <c r="L71" s="144"/>
      <c r="M71" s="154" t="str">
        <f t="shared" si="37"/>
        <v>Actual</v>
      </c>
      <c r="N71" s="156">
        <f t="shared" ca="1" si="38"/>
        <v>-16.898000000000003</v>
      </c>
      <c r="O71" s="144"/>
      <c r="P71" s="161">
        <f t="shared" ca="1" si="39"/>
        <v>1.6019999999999968</v>
      </c>
      <c r="Q71" s="162">
        <f t="shared" ca="1" si="40"/>
        <v>8.6594594594594426E-2</v>
      </c>
      <c r="R71" s="144"/>
      <c r="S71" s="157">
        <v>44859</v>
      </c>
      <c r="T71" s="250" t="s">
        <v>295</v>
      </c>
      <c r="U71" s="144"/>
    </row>
    <row r="72" spans="1:21" x14ac:dyDescent="0.35">
      <c r="A72" s="149">
        <v>213</v>
      </c>
      <c r="B72" s="154" t="str">
        <f t="shared" si="34"/>
        <v>Historical</v>
      </c>
      <c r="C72" s="144"/>
      <c r="D72" s="160" t="str">
        <f t="shared" ca="1" si="35"/>
        <v>EBIT</v>
      </c>
      <c r="E72" s="155" t="s">
        <v>298</v>
      </c>
      <c r="F72" s="154" t="s">
        <v>623</v>
      </c>
      <c r="G72" s="154"/>
      <c r="H72" s="144"/>
      <c r="I72" s="156">
        <v>62</v>
      </c>
      <c r="J72" s="156">
        <v>70.5</v>
      </c>
      <c r="K72" s="156">
        <f t="shared" si="36"/>
        <v>66.25</v>
      </c>
      <c r="L72" s="144"/>
      <c r="M72" s="154" t="str">
        <f t="shared" si="37"/>
        <v>Actual</v>
      </c>
      <c r="N72" s="156">
        <f t="shared" ca="1" si="38"/>
        <v>68.073000000000022</v>
      </c>
      <c r="O72" s="144"/>
      <c r="P72" s="161">
        <f t="shared" ca="1" si="39"/>
        <v>1.8230000000000217</v>
      </c>
      <c r="Q72" s="162">
        <f t="shared" ca="1" si="40"/>
        <v>2.7516981132075801E-2</v>
      </c>
      <c r="R72" s="144"/>
      <c r="S72" s="157">
        <v>44859</v>
      </c>
      <c r="T72" s="250" t="s">
        <v>295</v>
      </c>
      <c r="U72" s="144"/>
    </row>
    <row r="73" spans="1:21" x14ac:dyDescent="0.35">
      <c r="A73" s="149">
        <v>212</v>
      </c>
      <c r="B73" s="154" t="str">
        <f t="shared" si="34"/>
        <v>Historical</v>
      </c>
      <c r="C73" s="144"/>
      <c r="D73" s="160" t="str">
        <f t="shared" ca="1" si="35"/>
        <v>Add back: SBC</v>
      </c>
      <c r="E73" s="155" t="s">
        <v>415</v>
      </c>
      <c r="F73" s="154" t="s">
        <v>623</v>
      </c>
      <c r="G73" s="154"/>
      <c r="H73" s="144"/>
      <c r="I73" s="156">
        <v>5</v>
      </c>
      <c r="J73" s="156">
        <v>6</v>
      </c>
      <c r="K73" s="156">
        <f t="shared" si="36"/>
        <v>5.5</v>
      </c>
      <c r="L73" s="144"/>
      <c r="M73" s="154" t="str">
        <f t="shared" si="37"/>
        <v>Actual</v>
      </c>
      <c r="N73" s="156">
        <f t="shared" ca="1" si="38"/>
        <v>4.9410000000000007</v>
      </c>
      <c r="O73" s="144"/>
      <c r="P73" s="161">
        <f t="shared" ca="1" si="39"/>
        <v>-0.55899999999999928</v>
      </c>
      <c r="Q73" s="162">
        <f t="shared" ca="1" si="40"/>
        <v>-0.10163636363636351</v>
      </c>
      <c r="R73" s="144"/>
      <c r="S73" s="157">
        <v>44859</v>
      </c>
      <c r="T73" s="250" t="s">
        <v>295</v>
      </c>
      <c r="U73" s="144"/>
    </row>
    <row r="74" spans="1:21" x14ac:dyDescent="0.35">
      <c r="A74" s="149">
        <v>211</v>
      </c>
      <c r="B74" s="154" t="str">
        <f t="shared" si="34"/>
        <v>Historical</v>
      </c>
      <c r="C74" s="144"/>
      <c r="D74" s="160" t="str">
        <f t="shared" ca="1" si="35"/>
        <v>Amortization of intangible assets, mm</v>
      </c>
      <c r="E74" s="155" t="s">
        <v>543</v>
      </c>
      <c r="F74" s="154" t="s">
        <v>623</v>
      </c>
      <c r="G74" s="154"/>
      <c r="H74" s="144"/>
      <c r="I74" s="156">
        <v>3</v>
      </c>
      <c r="J74" s="156">
        <v>3.5</v>
      </c>
      <c r="K74" s="156">
        <f t="shared" si="36"/>
        <v>3.25</v>
      </c>
      <c r="L74" s="144"/>
      <c r="M74" s="154" t="str">
        <f t="shared" si="37"/>
        <v>Actual</v>
      </c>
      <c r="N74" s="156">
        <f t="shared" ca="1" si="38"/>
        <v>3.2789999999999999</v>
      </c>
      <c r="O74" s="144"/>
      <c r="P74" s="161">
        <f t="shared" ca="1" si="39"/>
        <v>2.8999999999999915E-2</v>
      </c>
      <c r="Q74" s="162">
        <f t="shared" ca="1" si="40"/>
        <v>8.9230769230768964E-3</v>
      </c>
      <c r="R74" s="144"/>
      <c r="S74" s="157">
        <v>44859</v>
      </c>
      <c r="T74" s="250" t="s">
        <v>295</v>
      </c>
      <c r="U74" s="144"/>
    </row>
    <row r="75" spans="1:21" x14ac:dyDescent="0.35">
      <c r="A75" s="149">
        <v>210</v>
      </c>
      <c r="B75" s="154" t="str">
        <f t="shared" si="34"/>
        <v>Historical</v>
      </c>
      <c r="C75" s="144"/>
      <c r="D75" s="160" t="e">
        <f t="shared" ca="1" si="35"/>
        <v>#REF!</v>
      </c>
      <c r="E75" s="155" t="s">
        <v>483</v>
      </c>
      <c r="F75" s="154" t="s">
        <v>623</v>
      </c>
      <c r="G75" s="154"/>
      <c r="H75" s="144"/>
      <c r="I75" s="156">
        <v>70</v>
      </c>
      <c r="J75" s="156">
        <v>80</v>
      </c>
      <c r="K75" s="156">
        <f t="shared" si="36"/>
        <v>75</v>
      </c>
      <c r="L75" s="144"/>
      <c r="M75" s="154" t="str">
        <f t="shared" si="37"/>
        <v>Actual</v>
      </c>
      <c r="N75" s="156">
        <f t="shared" ca="1" si="38"/>
        <v>76.293000000000035</v>
      </c>
      <c r="O75" s="144"/>
      <c r="P75" s="161">
        <f t="shared" ca="1" si="39"/>
        <v>1.2930000000000348</v>
      </c>
      <c r="Q75" s="162">
        <f t="shared" ca="1" si="40"/>
        <v>1.7240000000000463E-2</v>
      </c>
      <c r="R75" s="144"/>
      <c r="S75" s="157">
        <v>44859</v>
      </c>
      <c r="T75" s="250" t="s">
        <v>295</v>
      </c>
      <c r="U75" s="144"/>
    </row>
    <row r="76" spans="1:21" x14ac:dyDescent="0.35">
      <c r="A76" s="149">
        <v>209</v>
      </c>
      <c r="B76" s="144"/>
      <c r="C76" s="144"/>
      <c r="D76" s="141"/>
      <c r="E76" s="142"/>
      <c r="F76" s="144"/>
      <c r="G76" s="144"/>
      <c r="H76" s="144"/>
      <c r="I76" s="532"/>
      <c r="J76" s="532"/>
      <c r="K76" s="532"/>
      <c r="L76" s="144"/>
      <c r="M76" s="144"/>
      <c r="N76" s="532"/>
      <c r="O76" s="144"/>
      <c r="P76" s="218"/>
      <c r="Q76" s="334"/>
      <c r="R76" s="144"/>
      <c r="S76" s="145"/>
      <c r="T76" s="219"/>
      <c r="U76" s="144"/>
    </row>
    <row r="77" spans="1:21" x14ac:dyDescent="0.35">
      <c r="A77" s="149">
        <v>208</v>
      </c>
      <c r="B77" s="154" t="str">
        <f t="shared" ref="B77:B89" si="41">IF(INDEX(MO_SNA_IsHistoricalPeriod,,MATCH(F77,MO_Common_ColumnHeader,0)),"Historical","Forward")</f>
        <v>Forward</v>
      </c>
      <c r="C77" s="144"/>
      <c r="D77" s="160" t="str">
        <f ca="1">INDEX(INDIRECT(E77),0,COLUMN(MO_Common_Column_A))</f>
        <v>Net Revenue</v>
      </c>
      <c r="E77" s="155" t="s">
        <v>293</v>
      </c>
      <c r="F77" s="154" t="s">
        <v>486</v>
      </c>
      <c r="G77" s="154"/>
      <c r="H77" s="144"/>
      <c r="I77" s="156">
        <v>1900</v>
      </c>
      <c r="J77" s="156">
        <v>2200</v>
      </c>
      <c r="K77" s="156">
        <f t="shared" ref="K77:K89" si="42">AVERAGE(I77:J77)</f>
        <v>2050</v>
      </c>
      <c r="L77" s="144"/>
      <c r="M77" s="154" t="str">
        <f t="shared" ref="M77:M89" si="43">IF(INDEX(MO_SNA_IsHistoricalPeriod,,MATCH(F77,MO_Common_ColumnHeader,0)),"Actual","Estimate")</f>
        <v>Estimate</v>
      </c>
      <c r="N77" s="156" t="str">
        <f t="shared" ref="N77:N82" ca="1" si="44">IFERROR(INDEX(INDIRECT(E77),0,MATCH(F77,MO_Common_ColumnHeader,0)),"N/A")</f>
        <v>N/A</v>
      </c>
      <c r="O77" s="144"/>
      <c r="P77" s="161" t="str">
        <f t="shared" ref="P77:P89" ca="1" si="45">IF(ISNUMBER(N77),N77-K77,"N/A")</f>
        <v>N/A</v>
      </c>
      <c r="Q77" s="162" t="str">
        <f t="shared" ref="Q77:Q89" ca="1" si="46">IFERROR(IF(ISNUMBER(N77),(N77-K77)/ABS(K77),"N/A"),"N/A")</f>
        <v>N/A</v>
      </c>
      <c r="R77" s="144"/>
      <c r="S77" s="157">
        <v>44782</v>
      </c>
      <c r="T77" s="250" t="s">
        <v>487</v>
      </c>
      <c r="U77" s="144"/>
    </row>
    <row r="78" spans="1:21" x14ac:dyDescent="0.35">
      <c r="A78" s="149">
        <v>207</v>
      </c>
      <c r="B78" s="154" t="str">
        <f t="shared" si="41"/>
        <v>Forward</v>
      </c>
      <c r="C78" s="144"/>
      <c r="D78" s="160" t="e">
        <f ca="1">INDEX(INDIRECT(E78),0,COLUMN(MO_Common_Column_A))</f>
        <v>#REF!</v>
      </c>
      <c r="E78" s="155" t="s">
        <v>483</v>
      </c>
      <c r="F78" s="154" t="s">
        <v>486</v>
      </c>
      <c r="G78" s="154"/>
      <c r="H78" s="144"/>
      <c r="I78" s="156">
        <v>250</v>
      </c>
      <c r="J78" s="156">
        <v>350</v>
      </c>
      <c r="K78" s="156">
        <f t="shared" si="42"/>
        <v>300</v>
      </c>
      <c r="L78" s="144"/>
      <c r="M78" s="154" t="str">
        <f t="shared" si="43"/>
        <v>Estimate</v>
      </c>
      <c r="N78" s="156" t="str">
        <f t="shared" ca="1" si="44"/>
        <v>N/A</v>
      </c>
      <c r="O78" s="144"/>
      <c r="P78" s="161" t="str">
        <f t="shared" ca="1" si="45"/>
        <v>N/A</v>
      </c>
      <c r="Q78" s="162" t="str">
        <f t="shared" ca="1" si="46"/>
        <v>N/A</v>
      </c>
      <c r="R78" s="144"/>
      <c r="S78" s="157">
        <v>44782</v>
      </c>
      <c r="T78" s="250" t="s">
        <v>487</v>
      </c>
      <c r="U78" s="144"/>
    </row>
    <row r="79" spans="1:21" x14ac:dyDescent="0.35">
      <c r="A79" s="149">
        <v>206</v>
      </c>
      <c r="B79" s="154" t="str">
        <f t="shared" si="41"/>
        <v>Forward</v>
      </c>
      <c r="C79" s="144"/>
      <c r="D79" s="160" t="str">
        <f ca="1">INDEX(INDIRECT(E79),0,COLUMN(MO_Common_Column_A))</f>
        <v>General Education Revenue, mm</v>
      </c>
      <c r="E79" s="155" t="s">
        <v>590</v>
      </c>
      <c r="F79" s="154" t="s">
        <v>486</v>
      </c>
      <c r="G79" s="154"/>
      <c r="H79" s="144"/>
      <c r="I79" s="156">
        <v>1250</v>
      </c>
      <c r="J79" s="156">
        <v>1400</v>
      </c>
      <c r="K79" s="156">
        <f t="shared" si="42"/>
        <v>1325</v>
      </c>
      <c r="L79" s="144"/>
      <c r="M79" s="154" t="str">
        <f t="shared" si="43"/>
        <v>Estimate</v>
      </c>
      <c r="N79" s="156" t="str">
        <f t="shared" ca="1" si="44"/>
        <v>N/A</v>
      </c>
      <c r="O79" s="144"/>
      <c r="P79" s="161" t="str">
        <f t="shared" ca="1" si="45"/>
        <v>N/A</v>
      </c>
      <c r="Q79" s="162" t="str">
        <f t="shared" ca="1" si="46"/>
        <v>N/A</v>
      </c>
      <c r="R79" s="144"/>
      <c r="S79" s="157">
        <v>44782</v>
      </c>
      <c r="T79" s="250" t="s">
        <v>487</v>
      </c>
      <c r="U79" s="144"/>
    </row>
    <row r="80" spans="1:21" x14ac:dyDescent="0.35">
      <c r="A80" s="149">
        <v>205</v>
      </c>
      <c r="B80" s="154" t="str">
        <f t="shared" si="41"/>
        <v>Forward</v>
      </c>
      <c r="C80" s="144"/>
      <c r="D80" s="160" t="str">
        <f ca="1">INDEX(INDIRECT(E80),0,COLUMN(MO_Common_Column_A))</f>
        <v>General Education average enrollment, 000s students</v>
      </c>
      <c r="E80" s="155" t="s">
        <v>586</v>
      </c>
      <c r="F80" s="154" t="s">
        <v>486</v>
      </c>
      <c r="G80" s="154"/>
      <c r="H80" s="144"/>
      <c r="I80" s="156">
        <v>170</v>
      </c>
      <c r="J80" s="156">
        <v>180</v>
      </c>
      <c r="K80" s="156">
        <f t="shared" si="42"/>
        <v>175</v>
      </c>
      <c r="L80" s="144"/>
      <c r="M80" s="154" t="str">
        <f t="shared" si="43"/>
        <v>Estimate</v>
      </c>
      <c r="N80" s="156" t="str">
        <f t="shared" ca="1" si="44"/>
        <v>N/A</v>
      </c>
      <c r="O80" s="144"/>
      <c r="P80" s="161" t="str">
        <f t="shared" ca="1" si="45"/>
        <v>N/A</v>
      </c>
      <c r="Q80" s="162" t="str">
        <f t="shared" ca="1" si="46"/>
        <v>N/A</v>
      </c>
      <c r="R80" s="144"/>
      <c r="S80" s="157">
        <v>44782</v>
      </c>
      <c r="T80" s="250" t="s">
        <v>487</v>
      </c>
      <c r="U80" s="144"/>
    </row>
    <row r="81" spans="1:21" x14ac:dyDescent="0.35">
      <c r="A81" s="149">
        <v>204</v>
      </c>
      <c r="B81" s="154" t="str">
        <f t="shared" si="41"/>
        <v>Forward</v>
      </c>
      <c r="C81" s="144"/>
      <c r="D81" s="160" t="s">
        <v>600</v>
      </c>
      <c r="E81" s="155"/>
      <c r="F81" s="154" t="s">
        <v>486</v>
      </c>
      <c r="G81" s="154"/>
      <c r="H81" s="144"/>
      <c r="I81" s="418">
        <v>8</v>
      </c>
      <c r="J81" s="418">
        <v>10</v>
      </c>
      <c r="K81" s="418">
        <f t="shared" si="42"/>
        <v>9</v>
      </c>
      <c r="L81" s="144"/>
      <c r="M81" s="154" t="str">
        <f t="shared" si="43"/>
        <v>Estimate</v>
      </c>
      <c r="N81" s="418" t="str">
        <f t="shared" ca="1" si="44"/>
        <v>N/A</v>
      </c>
      <c r="O81" s="144"/>
      <c r="P81" s="419" t="str">
        <f t="shared" ca="1" si="45"/>
        <v>N/A</v>
      </c>
      <c r="Q81" s="162" t="str">
        <f t="shared" ca="1" si="46"/>
        <v>N/A</v>
      </c>
      <c r="R81" s="144"/>
      <c r="S81" s="157">
        <v>44782</v>
      </c>
      <c r="T81" s="250" t="s">
        <v>487</v>
      </c>
      <c r="U81" s="144"/>
    </row>
    <row r="82" spans="1:21" x14ac:dyDescent="0.35">
      <c r="A82" s="149">
        <v>203</v>
      </c>
      <c r="B82" s="154" t="str">
        <f t="shared" si="41"/>
        <v>Forward</v>
      </c>
      <c r="C82" s="144"/>
      <c r="D82" s="160" t="s">
        <v>587</v>
      </c>
      <c r="E82" s="155"/>
      <c r="F82" s="154" t="s">
        <v>486</v>
      </c>
      <c r="G82" s="154"/>
      <c r="H82" s="144"/>
      <c r="I82" s="418">
        <v>34</v>
      </c>
      <c r="J82" s="418">
        <v>36</v>
      </c>
      <c r="K82" s="418">
        <f t="shared" si="42"/>
        <v>35</v>
      </c>
      <c r="L82" s="144"/>
      <c r="M82" s="154" t="str">
        <f t="shared" si="43"/>
        <v>Estimate</v>
      </c>
      <c r="N82" s="418" t="str">
        <f t="shared" ca="1" si="44"/>
        <v>N/A</v>
      </c>
      <c r="O82" s="144"/>
      <c r="P82" s="419" t="str">
        <f t="shared" ca="1" si="45"/>
        <v>N/A</v>
      </c>
      <c r="Q82" s="162" t="str">
        <f t="shared" ca="1" si="46"/>
        <v>N/A</v>
      </c>
      <c r="R82" s="144"/>
      <c r="S82" s="157">
        <v>44782</v>
      </c>
      <c r="T82" s="250" t="s">
        <v>487</v>
      </c>
      <c r="U82" s="144"/>
    </row>
    <row r="83" spans="1:21" x14ac:dyDescent="0.35">
      <c r="A83" s="149">
        <v>202</v>
      </c>
      <c r="B83" s="154" t="str">
        <f t="shared" si="41"/>
        <v>Forward</v>
      </c>
      <c r="C83" s="144"/>
      <c r="D83" s="160" t="str">
        <f ca="1">INDEX(INDIRECT(E83),0,COLUMN(MO_Common_Column_A))</f>
        <v>General Education revenue per enrollment growth (reported), %</v>
      </c>
      <c r="E83" s="155" t="s">
        <v>589</v>
      </c>
      <c r="F83" s="154" t="s">
        <v>486</v>
      </c>
      <c r="G83" s="154"/>
      <c r="H83" s="144"/>
      <c r="I83" s="215">
        <v>0</v>
      </c>
      <c r="J83" s="215">
        <v>0.02</v>
      </c>
      <c r="K83" s="215">
        <f t="shared" si="42"/>
        <v>0.01</v>
      </c>
      <c r="L83" s="144"/>
      <c r="M83" s="154" t="str">
        <f t="shared" si="43"/>
        <v>Estimate</v>
      </c>
      <c r="N83" s="215" t="str">
        <f ca="1">IF(B83="Historical",IFERROR(INDEX(INDIRECT(E83),0,MATCH(F83,MO_Common_ColumnHeader,0)),"N/A"),"N/A")</f>
        <v>N/A</v>
      </c>
      <c r="O83" s="144"/>
      <c r="P83" s="162" t="str">
        <f t="shared" ca="1" si="45"/>
        <v>N/A</v>
      </c>
      <c r="Q83" s="162" t="str">
        <f t="shared" ca="1" si="46"/>
        <v>N/A</v>
      </c>
      <c r="R83" s="144"/>
      <c r="S83" s="157">
        <v>44782</v>
      </c>
      <c r="T83" s="250" t="s">
        <v>487</v>
      </c>
      <c r="U83" s="144"/>
    </row>
    <row r="84" spans="1:21" x14ac:dyDescent="0.35">
      <c r="A84" s="149">
        <v>201</v>
      </c>
      <c r="B84" s="154" t="str">
        <f t="shared" si="41"/>
        <v>Forward</v>
      </c>
      <c r="C84" s="144"/>
      <c r="D84" s="160" t="str">
        <f ca="1">INDEX(INDIRECT(E84),0,COLUMN(MO_Common_Column_A))</f>
        <v>Career Learning Revenue, mm</v>
      </c>
      <c r="E84" s="155" t="s">
        <v>501</v>
      </c>
      <c r="F84" s="154" t="s">
        <v>486</v>
      </c>
      <c r="G84" s="154"/>
      <c r="H84" s="144"/>
      <c r="I84" s="156">
        <v>650</v>
      </c>
      <c r="J84" s="156">
        <v>800</v>
      </c>
      <c r="K84" s="156">
        <f t="shared" si="42"/>
        <v>725</v>
      </c>
      <c r="L84" s="144"/>
      <c r="M84" s="154" t="str">
        <f t="shared" si="43"/>
        <v>Estimate</v>
      </c>
      <c r="N84" s="156" t="str">
        <f ca="1">IFERROR(INDEX(INDIRECT(E84),0,MATCH(F84,MO_Common_ColumnHeader,0)),"N/A")</f>
        <v>N/A</v>
      </c>
      <c r="O84" s="144"/>
      <c r="P84" s="161" t="str">
        <f t="shared" ca="1" si="45"/>
        <v>N/A</v>
      </c>
      <c r="Q84" s="162" t="str">
        <f t="shared" ca="1" si="46"/>
        <v>N/A</v>
      </c>
      <c r="R84" s="144"/>
      <c r="S84" s="157">
        <v>44782</v>
      </c>
      <c r="T84" s="250" t="s">
        <v>487</v>
      </c>
      <c r="U84" s="144"/>
    </row>
    <row r="85" spans="1:21" x14ac:dyDescent="0.35">
      <c r="A85" s="149">
        <v>200</v>
      </c>
      <c r="B85" s="154" t="str">
        <f t="shared" si="41"/>
        <v>Forward</v>
      </c>
      <c r="C85" s="144"/>
      <c r="D85" s="160" t="str">
        <f ca="1">INDEX(INDIRECT(E85),0,COLUMN(MO_Common_Column_A))</f>
        <v>Career Learning - Adult revenue, mm</v>
      </c>
      <c r="E85" s="155" t="s">
        <v>591</v>
      </c>
      <c r="F85" s="154" t="s">
        <v>486</v>
      </c>
      <c r="G85" s="154"/>
      <c r="H85" s="144"/>
      <c r="I85" s="156">
        <v>140</v>
      </c>
      <c r="J85" s="156">
        <v>150</v>
      </c>
      <c r="K85" s="156">
        <f t="shared" si="42"/>
        <v>145</v>
      </c>
      <c r="L85" s="144"/>
      <c r="M85" s="154" t="str">
        <f t="shared" si="43"/>
        <v>Estimate</v>
      </c>
      <c r="N85" s="156" t="str">
        <f ca="1">IFERROR(INDEX(INDIRECT(E85),0,MATCH(F85,MO_Common_ColumnHeader,0)),"N/A")</f>
        <v>N/A</v>
      </c>
      <c r="O85" s="144"/>
      <c r="P85" s="161" t="str">
        <f t="shared" ca="1" si="45"/>
        <v>N/A</v>
      </c>
      <c r="Q85" s="162" t="str">
        <f t="shared" ca="1" si="46"/>
        <v>N/A</v>
      </c>
      <c r="R85" s="144"/>
      <c r="S85" s="157">
        <v>44782</v>
      </c>
      <c r="T85" s="250" t="s">
        <v>487</v>
      </c>
      <c r="U85" s="144"/>
    </row>
    <row r="86" spans="1:21" x14ac:dyDescent="0.35">
      <c r="A86" s="149">
        <v>199</v>
      </c>
      <c r="B86" s="154" t="str">
        <f t="shared" si="41"/>
        <v>Forward</v>
      </c>
      <c r="C86" s="144"/>
      <c r="D86" s="160" t="str">
        <f ca="1">INDEX(INDIRECT(E86),0,COLUMN(MO_Common_Column_A))</f>
        <v>Career Learning average enrollment, 000s students</v>
      </c>
      <c r="E86" s="155" t="s">
        <v>592</v>
      </c>
      <c r="F86" s="154" t="s">
        <v>486</v>
      </c>
      <c r="G86" s="154"/>
      <c r="H86" s="144"/>
      <c r="I86" s="156">
        <v>80</v>
      </c>
      <c r="J86" s="156">
        <v>85</v>
      </c>
      <c r="K86" s="156">
        <f t="shared" si="42"/>
        <v>82.5</v>
      </c>
      <c r="L86" s="144"/>
      <c r="M86" s="154" t="str">
        <f t="shared" si="43"/>
        <v>Estimate</v>
      </c>
      <c r="N86" s="156" t="str">
        <f ca="1">IFERROR(INDEX(INDIRECT(E86),0,MATCH(F86,MO_Common_ColumnHeader,0)),"N/A")</f>
        <v>N/A</v>
      </c>
      <c r="O86" s="144"/>
      <c r="P86" s="161" t="str">
        <f t="shared" ca="1" si="45"/>
        <v>N/A</v>
      </c>
      <c r="Q86" s="162" t="str">
        <f t="shared" ca="1" si="46"/>
        <v>N/A</v>
      </c>
      <c r="R86" s="144"/>
      <c r="S86" s="157">
        <v>44782</v>
      </c>
      <c r="T86" s="250" t="s">
        <v>487</v>
      </c>
      <c r="U86" s="144"/>
    </row>
    <row r="87" spans="1:21" x14ac:dyDescent="0.35">
      <c r="A87" s="149">
        <v>198</v>
      </c>
      <c r="B87" s="154" t="str">
        <f t="shared" si="41"/>
        <v>Forward</v>
      </c>
      <c r="C87" s="144"/>
      <c r="D87" s="160" t="s">
        <v>593</v>
      </c>
      <c r="E87" s="155"/>
      <c r="F87" s="154" t="s">
        <v>486</v>
      </c>
      <c r="G87" s="154"/>
      <c r="H87" s="144"/>
      <c r="I87" s="418">
        <v>15</v>
      </c>
      <c r="J87" s="418">
        <v>20</v>
      </c>
      <c r="K87" s="418">
        <f t="shared" si="42"/>
        <v>17.5</v>
      </c>
      <c r="L87" s="144"/>
      <c r="M87" s="154" t="str">
        <f t="shared" si="43"/>
        <v>Estimate</v>
      </c>
      <c r="N87" s="418" t="str">
        <f ca="1">IFERROR(INDEX(INDIRECT(E87),0,MATCH(F87,MO_Common_ColumnHeader,0)),"N/A")</f>
        <v>N/A</v>
      </c>
      <c r="O87" s="144"/>
      <c r="P87" s="419" t="str">
        <f t="shared" ca="1" si="45"/>
        <v>N/A</v>
      </c>
      <c r="Q87" s="162" t="str">
        <f t="shared" ca="1" si="46"/>
        <v>N/A</v>
      </c>
      <c r="R87" s="144"/>
      <c r="S87" s="157">
        <v>44782</v>
      </c>
      <c r="T87" s="250" t="s">
        <v>487</v>
      </c>
      <c r="U87" s="144"/>
    </row>
    <row r="88" spans="1:21" x14ac:dyDescent="0.35">
      <c r="A88" s="149">
        <v>197</v>
      </c>
      <c r="B88" s="154" t="str">
        <f t="shared" si="41"/>
        <v>Forward</v>
      </c>
      <c r="C88" s="144"/>
      <c r="D88" s="160" t="s">
        <v>594</v>
      </c>
      <c r="E88" s="155"/>
      <c r="F88" s="154" t="s">
        <v>486</v>
      </c>
      <c r="G88" s="154"/>
      <c r="H88" s="144"/>
      <c r="I88" s="418">
        <v>30</v>
      </c>
      <c r="J88" s="418">
        <v>36</v>
      </c>
      <c r="K88" s="418">
        <f t="shared" si="42"/>
        <v>33</v>
      </c>
      <c r="L88" s="144"/>
      <c r="M88" s="154" t="str">
        <f t="shared" si="43"/>
        <v>Estimate</v>
      </c>
      <c r="N88" s="418" t="str">
        <f ca="1">IFERROR(INDEX(INDIRECT(E88),0,MATCH(F88,MO_Common_ColumnHeader,0)),"N/A")</f>
        <v>N/A</v>
      </c>
      <c r="O88" s="144"/>
      <c r="P88" s="419" t="str">
        <f t="shared" ca="1" si="45"/>
        <v>N/A</v>
      </c>
      <c r="Q88" s="162" t="str">
        <f t="shared" ca="1" si="46"/>
        <v>N/A</v>
      </c>
      <c r="R88" s="144"/>
      <c r="S88" s="157">
        <v>44782</v>
      </c>
      <c r="T88" s="250" t="s">
        <v>487</v>
      </c>
      <c r="U88" s="144"/>
    </row>
    <row r="89" spans="1:21" x14ac:dyDescent="0.35">
      <c r="A89" s="149">
        <v>196</v>
      </c>
      <c r="B89" s="154" t="str">
        <f t="shared" si="41"/>
        <v>Forward</v>
      </c>
      <c r="C89" s="144"/>
      <c r="D89" s="160" t="str">
        <f ca="1">INDEX(INDIRECT(E89),0,COLUMN(MO_Common_Column_A))</f>
        <v>Career Learning revenue per enrollment growth (reported), %</v>
      </c>
      <c r="E89" s="155" t="s">
        <v>595</v>
      </c>
      <c r="F89" s="154" t="s">
        <v>486</v>
      </c>
      <c r="G89" s="154"/>
      <c r="H89" s="144"/>
      <c r="I89" s="215">
        <v>0</v>
      </c>
      <c r="J89" s="215">
        <v>0.02</v>
      </c>
      <c r="K89" s="215">
        <f t="shared" si="42"/>
        <v>0.01</v>
      </c>
      <c r="L89" s="144"/>
      <c r="M89" s="154" t="str">
        <f t="shared" si="43"/>
        <v>Estimate</v>
      </c>
      <c r="N89" s="215" t="str">
        <f ca="1">IF(B89="Historical",IFERROR(INDEX(INDIRECT(E89),0,MATCH(F89,MO_Common_ColumnHeader,0)),"N/A"),"N/A")</f>
        <v>N/A</v>
      </c>
      <c r="O89" s="144"/>
      <c r="P89" s="162" t="str">
        <f t="shared" ca="1" si="45"/>
        <v>N/A</v>
      </c>
      <c r="Q89" s="162" t="str">
        <f t="shared" ca="1" si="46"/>
        <v>N/A</v>
      </c>
      <c r="R89" s="144"/>
      <c r="S89" s="157">
        <v>44782</v>
      </c>
      <c r="T89" s="250" t="s">
        <v>487</v>
      </c>
      <c r="U89" s="144"/>
    </row>
    <row r="90" spans="1:21" x14ac:dyDescent="0.35">
      <c r="A90" s="149">
        <v>195</v>
      </c>
      <c r="B90" s="144"/>
      <c r="C90" s="144"/>
      <c r="D90" s="141"/>
      <c r="E90" s="142"/>
      <c r="F90" s="144"/>
      <c r="G90" s="144"/>
      <c r="H90" s="144"/>
      <c r="I90" s="532"/>
      <c r="J90" s="532"/>
      <c r="K90" s="532"/>
      <c r="L90" s="144"/>
      <c r="M90" s="144"/>
      <c r="N90" s="532"/>
      <c r="O90" s="144"/>
      <c r="P90" s="218"/>
      <c r="Q90" s="334"/>
      <c r="R90" s="144"/>
      <c r="S90" s="145"/>
      <c r="T90" s="219"/>
      <c r="U90" s="144"/>
    </row>
    <row r="91" spans="1:21" x14ac:dyDescent="0.35">
      <c r="A91" s="149">
        <v>194</v>
      </c>
      <c r="B91" s="154" t="str">
        <f t="shared" ref="B91:B103" si="47">IF(INDEX(MO_SNA_IsHistoricalPeriod,,MATCH(F91,MO_Common_ColumnHeader,0)),"Historical","Forward")</f>
        <v>Forward</v>
      </c>
      <c r="C91" s="144"/>
      <c r="D91" s="160" t="str">
        <f ca="1">INDEX(INDIRECT(E91),0,COLUMN(MO_Common_Column_A))</f>
        <v>Net Revenue</v>
      </c>
      <c r="E91" s="155" t="s">
        <v>293</v>
      </c>
      <c r="F91" s="154" t="s">
        <v>486</v>
      </c>
      <c r="G91" s="154"/>
      <c r="H91" s="144"/>
      <c r="I91" s="156">
        <v>1900</v>
      </c>
      <c r="J91" s="156">
        <v>2200</v>
      </c>
      <c r="K91" s="156">
        <f t="shared" ref="K91:K103" si="48">AVERAGE(I91:J91)</f>
        <v>2050</v>
      </c>
      <c r="L91" s="144"/>
      <c r="M91" s="154" t="str">
        <f t="shared" ref="M91:M103" si="49">IF(INDEX(MO_SNA_IsHistoricalPeriod,,MATCH(F91,MO_Common_ColumnHeader,0)),"Actual","Estimate")</f>
        <v>Estimate</v>
      </c>
      <c r="N91" s="156" t="str">
        <f t="shared" ref="N91:N96" ca="1" si="50">IFERROR(INDEX(INDIRECT(E91),0,MATCH(F91,MO_Common_ColumnHeader,0)),"N/A")</f>
        <v>N/A</v>
      </c>
      <c r="O91" s="144"/>
      <c r="P91" s="161" t="str">
        <f t="shared" ref="P91:P103" ca="1" si="51">IF(ISNUMBER(N91),N91-K91,"N/A")</f>
        <v>N/A</v>
      </c>
      <c r="Q91" s="162" t="str">
        <f t="shared" ref="Q91:Q103" ca="1" si="52">IFERROR(IF(ISNUMBER(N91),(N91-K91)/ABS(K91),"N/A"),"N/A")</f>
        <v>N/A</v>
      </c>
      <c r="R91" s="144"/>
      <c r="S91" s="157">
        <v>44670</v>
      </c>
      <c r="T91" s="250" t="s">
        <v>487</v>
      </c>
      <c r="U91" s="144"/>
    </row>
    <row r="92" spans="1:21" x14ac:dyDescent="0.35">
      <c r="A92" s="149">
        <v>193</v>
      </c>
      <c r="B92" s="154" t="str">
        <f t="shared" si="47"/>
        <v>Forward</v>
      </c>
      <c r="C92" s="144"/>
      <c r="D92" s="160" t="e">
        <f ca="1">INDEX(INDIRECT(E92),0,COLUMN(MO_Common_Column_A))</f>
        <v>#REF!</v>
      </c>
      <c r="E92" s="155" t="s">
        <v>483</v>
      </c>
      <c r="F92" s="154" t="s">
        <v>486</v>
      </c>
      <c r="G92" s="154"/>
      <c r="H92" s="144"/>
      <c r="I92" s="156">
        <v>250</v>
      </c>
      <c r="J92" s="156">
        <v>350</v>
      </c>
      <c r="K92" s="156">
        <f t="shared" si="48"/>
        <v>300</v>
      </c>
      <c r="L92" s="144"/>
      <c r="M92" s="154" t="str">
        <f t="shared" si="49"/>
        <v>Estimate</v>
      </c>
      <c r="N92" s="156" t="str">
        <f t="shared" ca="1" si="50"/>
        <v>N/A</v>
      </c>
      <c r="O92" s="144"/>
      <c r="P92" s="161" t="str">
        <f t="shared" ca="1" si="51"/>
        <v>N/A</v>
      </c>
      <c r="Q92" s="162" t="str">
        <f t="shared" ca="1" si="52"/>
        <v>N/A</v>
      </c>
      <c r="R92" s="144"/>
      <c r="S92" s="157">
        <v>44670</v>
      </c>
      <c r="T92" s="250" t="s">
        <v>487</v>
      </c>
      <c r="U92" s="144"/>
    </row>
    <row r="93" spans="1:21" x14ac:dyDescent="0.35">
      <c r="A93" s="149">
        <v>192</v>
      </c>
      <c r="B93" s="154" t="str">
        <f t="shared" si="47"/>
        <v>Forward</v>
      </c>
      <c r="C93" s="144"/>
      <c r="D93" s="160" t="str">
        <f ca="1">INDEX(INDIRECT(E93),0,COLUMN(MO_Common_Column_A))</f>
        <v>General Education Revenue, mm</v>
      </c>
      <c r="E93" s="155" t="s">
        <v>590</v>
      </c>
      <c r="F93" s="154" t="s">
        <v>486</v>
      </c>
      <c r="G93" s="154"/>
      <c r="H93" s="144"/>
      <c r="I93" s="156">
        <v>1250</v>
      </c>
      <c r="J93" s="156">
        <v>1400</v>
      </c>
      <c r="K93" s="156">
        <f t="shared" si="48"/>
        <v>1325</v>
      </c>
      <c r="L93" s="144"/>
      <c r="M93" s="154" t="str">
        <f t="shared" si="49"/>
        <v>Estimate</v>
      </c>
      <c r="N93" s="156" t="str">
        <f t="shared" ca="1" si="50"/>
        <v>N/A</v>
      </c>
      <c r="O93" s="144"/>
      <c r="P93" s="161" t="str">
        <f t="shared" ca="1" si="51"/>
        <v>N/A</v>
      </c>
      <c r="Q93" s="162" t="str">
        <f t="shared" ca="1" si="52"/>
        <v>N/A</v>
      </c>
      <c r="R93" s="144"/>
      <c r="S93" s="157">
        <v>44670</v>
      </c>
      <c r="T93" s="250" t="s">
        <v>487</v>
      </c>
      <c r="U93" s="144"/>
    </row>
    <row r="94" spans="1:21" x14ac:dyDescent="0.35">
      <c r="A94" s="149">
        <v>191</v>
      </c>
      <c r="B94" s="154" t="str">
        <f t="shared" si="47"/>
        <v>Forward</v>
      </c>
      <c r="C94" s="144"/>
      <c r="D94" s="160" t="str">
        <f ca="1">INDEX(INDIRECT(E94),0,COLUMN(MO_Common_Column_A))</f>
        <v>General Education average enrollment, 000s students</v>
      </c>
      <c r="E94" s="155" t="s">
        <v>586</v>
      </c>
      <c r="F94" s="154" t="s">
        <v>486</v>
      </c>
      <c r="G94" s="154"/>
      <c r="H94" s="144"/>
      <c r="I94" s="156">
        <v>170</v>
      </c>
      <c r="J94" s="156">
        <v>180</v>
      </c>
      <c r="K94" s="156">
        <f t="shared" si="48"/>
        <v>175</v>
      </c>
      <c r="L94" s="144"/>
      <c r="M94" s="154" t="str">
        <f t="shared" si="49"/>
        <v>Estimate</v>
      </c>
      <c r="N94" s="156" t="str">
        <f t="shared" ca="1" si="50"/>
        <v>N/A</v>
      </c>
      <c r="O94" s="144"/>
      <c r="P94" s="161" t="str">
        <f t="shared" ca="1" si="51"/>
        <v>N/A</v>
      </c>
      <c r="Q94" s="162" t="str">
        <f t="shared" ca="1" si="52"/>
        <v>N/A</v>
      </c>
      <c r="R94" s="144"/>
      <c r="S94" s="157">
        <v>44670</v>
      </c>
      <c r="T94" s="250" t="s">
        <v>487</v>
      </c>
      <c r="U94" s="144"/>
    </row>
    <row r="95" spans="1:21" x14ac:dyDescent="0.35">
      <c r="A95" s="149">
        <v>190</v>
      </c>
      <c r="B95" s="154" t="str">
        <f t="shared" si="47"/>
        <v>Forward</v>
      </c>
      <c r="C95" s="144"/>
      <c r="D95" s="160" t="s">
        <v>600</v>
      </c>
      <c r="E95" s="155"/>
      <c r="F95" s="154" t="s">
        <v>486</v>
      </c>
      <c r="G95" s="154"/>
      <c r="H95" s="144"/>
      <c r="I95" s="418">
        <v>8</v>
      </c>
      <c r="J95" s="418">
        <v>10</v>
      </c>
      <c r="K95" s="418">
        <f t="shared" si="48"/>
        <v>9</v>
      </c>
      <c r="L95" s="144"/>
      <c r="M95" s="154" t="str">
        <f t="shared" si="49"/>
        <v>Estimate</v>
      </c>
      <c r="N95" s="418" t="str">
        <f t="shared" ca="1" si="50"/>
        <v>N/A</v>
      </c>
      <c r="O95" s="144"/>
      <c r="P95" s="419" t="str">
        <f t="shared" ca="1" si="51"/>
        <v>N/A</v>
      </c>
      <c r="Q95" s="162" t="str">
        <f t="shared" ca="1" si="52"/>
        <v>N/A</v>
      </c>
      <c r="R95" s="144"/>
      <c r="S95" s="157">
        <v>44670</v>
      </c>
      <c r="T95" s="250" t="s">
        <v>487</v>
      </c>
      <c r="U95" s="144"/>
    </row>
    <row r="96" spans="1:21" x14ac:dyDescent="0.35">
      <c r="A96" s="149">
        <v>189</v>
      </c>
      <c r="B96" s="154" t="str">
        <f t="shared" si="47"/>
        <v>Forward</v>
      </c>
      <c r="C96" s="144"/>
      <c r="D96" s="160" t="s">
        <v>587</v>
      </c>
      <c r="E96" s="155"/>
      <c r="F96" s="154" t="s">
        <v>486</v>
      </c>
      <c r="G96" s="154"/>
      <c r="H96" s="144"/>
      <c r="I96" s="418">
        <v>34</v>
      </c>
      <c r="J96" s="418">
        <v>36</v>
      </c>
      <c r="K96" s="418">
        <f t="shared" si="48"/>
        <v>35</v>
      </c>
      <c r="L96" s="144"/>
      <c r="M96" s="154" t="str">
        <f t="shared" si="49"/>
        <v>Estimate</v>
      </c>
      <c r="N96" s="418" t="str">
        <f t="shared" ca="1" si="50"/>
        <v>N/A</v>
      </c>
      <c r="O96" s="144"/>
      <c r="P96" s="419" t="str">
        <f t="shared" ca="1" si="51"/>
        <v>N/A</v>
      </c>
      <c r="Q96" s="162" t="str">
        <f t="shared" ca="1" si="52"/>
        <v>N/A</v>
      </c>
      <c r="R96" s="144"/>
      <c r="S96" s="157">
        <v>44670</v>
      </c>
      <c r="T96" s="250" t="s">
        <v>487</v>
      </c>
      <c r="U96" s="144"/>
    </row>
    <row r="97" spans="1:21" x14ac:dyDescent="0.35">
      <c r="A97" s="149">
        <v>188</v>
      </c>
      <c r="B97" s="154" t="str">
        <f t="shared" si="47"/>
        <v>Forward</v>
      </c>
      <c r="C97" s="144"/>
      <c r="D97" s="160" t="str">
        <f ca="1">INDEX(INDIRECT(E97),0,COLUMN(MO_Common_Column_A))</f>
        <v>General Education revenue per enrollment growth (reported), %</v>
      </c>
      <c r="E97" s="155" t="s">
        <v>589</v>
      </c>
      <c r="F97" s="154" t="s">
        <v>486</v>
      </c>
      <c r="G97" s="154"/>
      <c r="H97" s="144"/>
      <c r="I97" s="215">
        <v>0</v>
      </c>
      <c r="J97" s="215">
        <v>0.02</v>
      </c>
      <c r="K97" s="215">
        <f t="shared" si="48"/>
        <v>0.01</v>
      </c>
      <c r="L97" s="144"/>
      <c r="M97" s="154" t="str">
        <f t="shared" si="49"/>
        <v>Estimate</v>
      </c>
      <c r="N97" s="215" t="str">
        <f ca="1">IF(B97="Historical",IFERROR(INDEX(INDIRECT(E97),0,MATCH(F97,MO_Common_ColumnHeader,0)),"N/A"),"N/A")</f>
        <v>N/A</v>
      </c>
      <c r="O97" s="144"/>
      <c r="P97" s="162" t="str">
        <f t="shared" ca="1" si="51"/>
        <v>N/A</v>
      </c>
      <c r="Q97" s="162" t="str">
        <f t="shared" ca="1" si="52"/>
        <v>N/A</v>
      </c>
      <c r="R97" s="144"/>
      <c r="S97" s="157">
        <v>44670</v>
      </c>
      <c r="T97" s="250" t="s">
        <v>487</v>
      </c>
      <c r="U97" s="144"/>
    </row>
    <row r="98" spans="1:21" x14ac:dyDescent="0.35">
      <c r="A98" s="149">
        <v>187</v>
      </c>
      <c r="B98" s="154" t="str">
        <f t="shared" si="47"/>
        <v>Forward</v>
      </c>
      <c r="C98" s="144"/>
      <c r="D98" s="160" t="str">
        <f ca="1">INDEX(INDIRECT(E98),0,COLUMN(MO_Common_Column_A))</f>
        <v>Career Learning Revenue, mm</v>
      </c>
      <c r="E98" s="155" t="s">
        <v>501</v>
      </c>
      <c r="F98" s="154" t="s">
        <v>486</v>
      </c>
      <c r="G98" s="154"/>
      <c r="H98" s="144"/>
      <c r="I98" s="156">
        <v>650</v>
      </c>
      <c r="J98" s="156">
        <v>800</v>
      </c>
      <c r="K98" s="156">
        <f t="shared" si="48"/>
        <v>725</v>
      </c>
      <c r="L98" s="144"/>
      <c r="M98" s="154" t="str">
        <f t="shared" si="49"/>
        <v>Estimate</v>
      </c>
      <c r="N98" s="156" t="str">
        <f ca="1">IFERROR(INDEX(INDIRECT(E98),0,MATCH(F98,MO_Common_ColumnHeader,0)),"N/A")</f>
        <v>N/A</v>
      </c>
      <c r="O98" s="144"/>
      <c r="P98" s="161" t="str">
        <f t="shared" ca="1" si="51"/>
        <v>N/A</v>
      </c>
      <c r="Q98" s="162" t="str">
        <f t="shared" ca="1" si="52"/>
        <v>N/A</v>
      </c>
      <c r="R98" s="144"/>
      <c r="S98" s="157">
        <v>44670</v>
      </c>
      <c r="T98" s="250" t="s">
        <v>487</v>
      </c>
      <c r="U98" s="144"/>
    </row>
    <row r="99" spans="1:21" x14ac:dyDescent="0.35">
      <c r="A99" s="149">
        <v>186</v>
      </c>
      <c r="B99" s="154" t="str">
        <f t="shared" si="47"/>
        <v>Forward</v>
      </c>
      <c r="C99" s="144"/>
      <c r="D99" s="160" t="str">
        <f ca="1">INDEX(INDIRECT(E99),0,COLUMN(MO_Common_Column_A))</f>
        <v>Career Learning - Adult revenue, mm</v>
      </c>
      <c r="E99" s="155" t="s">
        <v>591</v>
      </c>
      <c r="F99" s="154" t="s">
        <v>486</v>
      </c>
      <c r="G99" s="154"/>
      <c r="H99" s="144"/>
      <c r="I99" s="156">
        <v>140</v>
      </c>
      <c r="J99" s="156">
        <v>150</v>
      </c>
      <c r="K99" s="156">
        <f t="shared" si="48"/>
        <v>145</v>
      </c>
      <c r="L99" s="144"/>
      <c r="M99" s="154" t="str">
        <f t="shared" si="49"/>
        <v>Estimate</v>
      </c>
      <c r="N99" s="156" t="str">
        <f ca="1">IFERROR(INDEX(INDIRECT(E99),0,MATCH(F99,MO_Common_ColumnHeader,0)),"N/A")</f>
        <v>N/A</v>
      </c>
      <c r="O99" s="144"/>
      <c r="P99" s="161" t="str">
        <f t="shared" ca="1" si="51"/>
        <v>N/A</v>
      </c>
      <c r="Q99" s="162" t="str">
        <f t="shared" ca="1" si="52"/>
        <v>N/A</v>
      </c>
      <c r="R99" s="144"/>
      <c r="S99" s="157">
        <v>44670</v>
      </c>
      <c r="T99" s="250" t="s">
        <v>487</v>
      </c>
      <c r="U99" s="144"/>
    </row>
    <row r="100" spans="1:21" x14ac:dyDescent="0.35">
      <c r="A100" s="149">
        <v>185</v>
      </c>
      <c r="B100" s="154" t="str">
        <f t="shared" si="47"/>
        <v>Forward</v>
      </c>
      <c r="C100" s="144"/>
      <c r="D100" s="160" t="str">
        <f ca="1">INDEX(INDIRECT(E100),0,COLUMN(MO_Common_Column_A))</f>
        <v>Career Learning average enrollment, 000s students</v>
      </c>
      <c r="E100" s="155" t="s">
        <v>592</v>
      </c>
      <c r="F100" s="154" t="s">
        <v>486</v>
      </c>
      <c r="G100" s="154"/>
      <c r="H100" s="144"/>
      <c r="I100" s="156">
        <v>80</v>
      </c>
      <c r="J100" s="156">
        <v>85</v>
      </c>
      <c r="K100" s="156">
        <f t="shared" si="48"/>
        <v>82.5</v>
      </c>
      <c r="L100" s="144"/>
      <c r="M100" s="154" t="str">
        <f t="shared" si="49"/>
        <v>Estimate</v>
      </c>
      <c r="N100" s="156" t="str">
        <f ca="1">IFERROR(INDEX(INDIRECT(E100),0,MATCH(F100,MO_Common_ColumnHeader,0)),"N/A")</f>
        <v>N/A</v>
      </c>
      <c r="O100" s="144"/>
      <c r="P100" s="161" t="str">
        <f t="shared" ca="1" si="51"/>
        <v>N/A</v>
      </c>
      <c r="Q100" s="162" t="str">
        <f t="shared" ca="1" si="52"/>
        <v>N/A</v>
      </c>
      <c r="R100" s="144"/>
      <c r="S100" s="157">
        <v>44670</v>
      </c>
      <c r="T100" s="250" t="s">
        <v>487</v>
      </c>
      <c r="U100" s="144"/>
    </row>
    <row r="101" spans="1:21" x14ac:dyDescent="0.35">
      <c r="A101" s="149">
        <v>184</v>
      </c>
      <c r="B101" s="154" t="str">
        <f t="shared" si="47"/>
        <v>Forward</v>
      </c>
      <c r="C101" s="144"/>
      <c r="D101" s="160" t="s">
        <v>593</v>
      </c>
      <c r="E101" s="155"/>
      <c r="F101" s="154" t="s">
        <v>486</v>
      </c>
      <c r="G101" s="154"/>
      <c r="H101" s="144"/>
      <c r="I101" s="418">
        <v>15</v>
      </c>
      <c r="J101" s="418">
        <v>20</v>
      </c>
      <c r="K101" s="418">
        <f t="shared" si="48"/>
        <v>17.5</v>
      </c>
      <c r="L101" s="144"/>
      <c r="M101" s="154" t="str">
        <f t="shared" si="49"/>
        <v>Estimate</v>
      </c>
      <c r="N101" s="418" t="str">
        <f ca="1">IFERROR(INDEX(INDIRECT(E101),0,MATCH(F101,MO_Common_ColumnHeader,0)),"N/A")</f>
        <v>N/A</v>
      </c>
      <c r="O101" s="144"/>
      <c r="P101" s="419" t="str">
        <f t="shared" ca="1" si="51"/>
        <v>N/A</v>
      </c>
      <c r="Q101" s="162" t="str">
        <f t="shared" ca="1" si="52"/>
        <v>N/A</v>
      </c>
      <c r="R101" s="144"/>
      <c r="S101" s="157">
        <v>44670</v>
      </c>
      <c r="T101" s="250" t="s">
        <v>487</v>
      </c>
      <c r="U101" s="144"/>
    </row>
    <row r="102" spans="1:21" x14ac:dyDescent="0.35">
      <c r="A102" s="149">
        <v>183</v>
      </c>
      <c r="B102" s="154" t="str">
        <f t="shared" si="47"/>
        <v>Forward</v>
      </c>
      <c r="C102" s="144"/>
      <c r="D102" s="160" t="s">
        <v>594</v>
      </c>
      <c r="E102" s="155"/>
      <c r="F102" s="154" t="s">
        <v>486</v>
      </c>
      <c r="G102" s="154"/>
      <c r="H102" s="144"/>
      <c r="I102" s="418">
        <v>30</v>
      </c>
      <c r="J102" s="418">
        <v>36</v>
      </c>
      <c r="K102" s="418">
        <f t="shared" si="48"/>
        <v>33</v>
      </c>
      <c r="L102" s="144"/>
      <c r="M102" s="154" t="str">
        <f t="shared" si="49"/>
        <v>Estimate</v>
      </c>
      <c r="N102" s="418" t="str">
        <f ca="1">IFERROR(INDEX(INDIRECT(E102),0,MATCH(F102,MO_Common_ColumnHeader,0)),"N/A")</f>
        <v>N/A</v>
      </c>
      <c r="O102" s="144"/>
      <c r="P102" s="419" t="str">
        <f t="shared" ca="1" si="51"/>
        <v>N/A</v>
      </c>
      <c r="Q102" s="162" t="str">
        <f t="shared" ca="1" si="52"/>
        <v>N/A</v>
      </c>
      <c r="R102" s="144"/>
      <c r="S102" s="157">
        <v>44670</v>
      </c>
      <c r="T102" s="250" t="s">
        <v>487</v>
      </c>
      <c r="U102" s="144"/>
    </row>
    <row r="103" spans="1:21" x14ac:dyDescent="0.35">
      <c r="A103" s="149">
        <v>182</v>
      </c>
      <c r="B103" s="154" t="str">
        <f t="shared" si="47"/>
        <v>Forward</v>
      </c>
      <c r="C103" s="144"/>
      <c r="D103" s="160" t="str">
        <f ca="1">INDEX(INDIRECT(E103),0,COLUMN(MO_Common_Column_A))</f>
        <v>Career Learning revenue per enrollment growth (reported), %</v>
      </c>
      <c r="E103" s="155" t="s">
        <v>595</v>
      </c>
      <c r="F103" s="154" t="s">
        <v>486</v>
      </c>
      <c r="G103" s="154"/>
      <c r="H103" s="144"/>
      <c r="I103" s="215">
        <v>0</v>
      </c>
      <c r="J103" s="215">
        <v>0.02</v>
      </c>
      <c r="K103" s="215">
        <f t="shared" si="48"/>
        <v>0.01</v>
      </c>
      <c r="L103" s="144"/>
      <c r="M103" s="154" t="str">
        <f t="shared" si="49"/>
        <v>Estimate</v>
      </c>
      <c r="N103" s="215" t="str">
        <f ca="1">IF(B103="Historical",IFERROR(INDEX(INDIRECT(E103),0,MATCH(F103,MO_Common_ColumnHeader,0)),"N/A"),"N/A")</f>
        <v>N/A</v>
      </c>
      <c r="O103" s="144"/>
      <c r="P103" s="162" t="str">
        <f t="shared" ca="1" si="51"/>
        <v>N/A</v>
      </c>
      <c r="Q103" s="162" t="str">
        <f t="shared" ca="1" si="52"/>
        <v>N/A</v>
      </c>
      <c r="R103" s="144"/>
      <c r="S103" s="157">
        <v>44670</v>
      </c>
      <c r="T103" s="250" t="s">
        <v>487</v>
      </c>
      <c r="U103" s="144"/>
    </row>
    <row r="104" spans="1:21" x14ac:dyDescent="0.35">
      <c r="A104" s="149">
        <v>181</v>
      </c>
      <c r="B104" s="144"/>
      <c r="C104" s="144"/>
      <c r="D104" s="141"/>
      <c r="E104" s="142"/>
      <c r="F104" s="144"/>
      <c r="G104" s="144"/>
      <c r="H104" s="144"/>
      <c r="I104" s="532"/>
      <c r="J104" s="532"/>
      <c r="K104" s="532"/>
      <c r="L104" s="144"/>
      <c r="M104" s="144"/>
      <c r="N104" s="532"/>
      <c r="O104" s="144"/>
      <c r="P104" s="218"/>
      <c r="Q104" s="334"/>
      <c r="R104" s="144"/>
      <c r="S104" s="145"/>
      <c r="T104" s="219"/>
      <c r="U104" s="144"/>
    </row>
    <row r="105" spans="1:21" x14ac:dyDescent="0.35">
      <c r="A105" s="149">
        <v>180</v>
      </c>
      <c r="B105" s="154" t="str">
        <f t="shared" ref="B105:B111" si="53">IF(INDEX(MO_SNA_IsHistoricalPeriod,,MATCH(F105,MO_Common_ColumnHeader,0)),"Historical","Forward")</f>
        <v>Historical</v>
      </c>
      <c r="C105" s="144"/>
      <c r="D105" s="160" t="str">
        <f ca="1">INDEX(INDIRECT(E105),0,COLUMN(MO_Common_Column_A))</f>
        <v>Net Revenue</v>
      </c>
      <c r="E105" s="155" t="s">
        <v>293</v>
      </c>
      <c r="F105" s="154" t="s">
        <v>584</v>
      </c>
      <c r="G105" s="154"/>
      <c r="H105" s="144"/>
      <c r="I105" s="156">
        <v>1645</v>
      </c>
      <c r="J105" s="156">
        <v>1660</v>
      </c>
      <c r="K105" s="156">
        <f t="shared" ref="K105:K111" si="54">AVERAGE(I105:J105)</f>
        <v>1652.5</v>
      </c>
      <c r="L105" s="144"/>
      <c r="M105" s="154" t="str">
        <f t="shared" ref="M105:M111" si="55">IF(INDEX(MO_SNA_IsHistoricalPeriod,,MATCH(F105,MO_Common_ColumnHeader,0)),"Actual","Estimate")</f>
        <v>Actual</v>
      </c>
      <c r="N105" s="156">
        <f ca="1">IFERROR(INDEX(INDIRECT(E105),0,MATCH(F105,MO_Common_ColumnHeader,0)),"N/A")</f>
        <v>1686.6659999999999</v>
      </c>
      <c r="O105" s="144"/>
      <c r="P105" s="161">
        <f t="shared" ref="P105:P111" ca="1" si="56">IF(ISNUMBER(N105),N105-K105,"N/A")</f>
        <v>34.16599999999994</v>
      </c>
      <c r="Q105" s="162">
        <f t="shared" ref="Q105:Q111" ca="1" si="57">IFERROR(IF(ISNUMBER(N105),(N105-K105)/ABS(K105),"N/A"),"N/A")</f>
        <v>2.0675340393343383E-2</v>
      </c>
      <c r="R105" s="144"/>
      <c r="S105" s="157">
        <v>44670</v>
      </c>
      <c r="T105" s="250" t="s">
        <v>295</v>
      </c>
      <c r="U105" s="144"/>
    </row>
    <row r="106" spans="1:21" x14ac:dyDescent="0.35">
      <c r="A106" s="149">
        <v>179</v>
      </c>
      <c r="B106" s="154" t="str">
        <f t="shared" si="53"/>
        <v>Historical</v>
      </c>
      <c r="C106" s="144"/>
      <c r="D106" s="160" t="str">
        <f ca="1">INDEX(INDIRECT(E106),0,COLUMN(MO_Common_Column_A))</f>
        <v>Capex</v>
      </c>
      <c r="E106" s="155" t="s">
        <v>296</v>
      </c>
      <c r="F106" s="154" t="s">
        <v>584</v>
      </c>
      <c r="G106" s="154"/>
      <c r="H106" s="144"/>
      <c r="I106" s="156">
        <v>-70</v>
      </c>
      <c r="J106" s="156">
        <v>-65</v>
      </c>
      <c r="K106" s="156">
        <f t="shared" si="54"/>
        <v>-67.5</v>
      </c>
      <c r="L106" s="144"/>
      <c r="M106" s="154" t="str">
        <f t="shared" si="55"/>
        <v>Actual</v>
      </c>
      <c r="N106" s="156">
        <f ca="1">IFERROR(INDEX(INDIRECT(E106),0,MATCH(F106,MO_Common_ColumnHeader,0)),"N/A")</f>
        <v>-67.626000000000005</v>
      </c>
      <c r="O106" s="144"/>
      <c r="P106" s="161">
        <f t="shared" ca="1" si="56"/>
        <v>-0.12600000000000477</v>
      </c>
      <c r="Q106" s="162">
        <f t="shared" ca="1" si="57"/>
        <v>-1.8666666666667373E-3</v>
      </c>
      <c r="R106" s="144"/>
      <c r="S106" s="157">
        <v>44670</v>
      </c>
      <c r="T106" s="250" t="s">
        <v>295</v>
      </c>
      <c r="U106" s="144"/>
    </row>
    <row r="107" spans="1:21" x14ac:dyDescent="0.35">
      <c r="A107" s="149">
        <v>178</v>
      </c>
      <c r="B107" s="154" t="str">
        <f t="shared" si="53"/>
        <v>Historical</v>
      </c>
      <c r="C107" s="144"/>
      <c r="D107" s="160" t="s">
        <v>391</v>
      </c>
      <c r="E107" s="155"/>
      <c r="F107" s="154" t="s">
        <v>584</v>
      </c>
      <c r="G107" s="154"/>
      <c r="H107" s="144"/>
      <c r="I107" s="215">
        <v>0.27</v>
      </c>
      <c r="J107" s="215">
        <v>0.28999999999999998</v>
      </c>
      <c r="K107" s="215">
        <f t="shared" si="54"/>
        <v>0.28000000000000003</v>
      </c>
      <c r="L107" s="144"/>
      <c r="M107" s="154" t="str">
        <f t="shared" si="55"/>
        <v>Actual</v>
      </c>
      <c r="N107" s="215">
        <f>INDEX(MO_RIS_TaxRate_Current,0,MATCH(F107,MO_Common_ColumnHeader,0))+INDEX(MO_RIS_TaxRate_Deferred,0,MATCH(F107,MO_Common_ColumnHeader,0))</f>
        <v>0.27257027074805895</v>
      </c>
      <c r="O107" s="144"/>
      <c r="P107" s="162">
        <f t="shared" si="56"/>
        <v>-7.4297292519410751E-3</v>
      </c>
      <c r="Q107" s="162">
        <f t="shared" si="57"/>
        <v>-2.6534747328360982E-2</v>
      </c>
      <c r="R107" s="144"/>
      <c r="S107" s="157">
        <v>44670</v>
      </c>
      <c r="T107" s="250" t="s">
        <v>295</v>
      </c>
      <c r="U107" s="144"/>
    </row>
    <row r="108" spans="1:21" x14ac:dyDescent="0.35">
      <c r="A108" s="149">
        <v>177</v>
      </c>
      <c r="B108" s="154" t="str">
        <f t="shared" si="53"/>
        <v>Historical</v>
      </c>
      <c r="C108" s="144"/>
      <c r="D108" s="160" t="str">
        <f ca="1">INDEX(INDIRECT(E108),0,COLUMN(MO_Common_Column_A))</f>
        <v>EBIT</v>
      </c>
      <c r="E108" s="155" t="s">
        <v>298</v>
      </c>
      <c r="F108" s="154" t="s">
        <v>584</v>
      </c>
      <c r="G108" s="154"/>
      <c r="H108" s="144"/>
      <c r="I108" s="156">
        <v>148</v>
      </c>
      <c r="J108" s="156">
        <v>151</v>
      </c>
      <c r="K108" s="156">
        <f t="shared" si="54"/>
        <v>149.5</v>
      </c>
      <c r="L108" s="144"/>
      <c r="M108" s="154" t="str">
        <f t="shared" si="55"/>
        <v>Actual</v>
      </c>
      <c r="N108" s="156">
        <f ca="1">IFERROR(INDEX(INDIRECT(E108),0,MATCH(F108,MO_Common_ColumnHeader,0)),"N/A")</f>
        <v>156.62799999999993</v>
      </c>
      <c r="O108" s="144"/>
      <c r="P108" s="161">
        <f t="shared" ca="1" si="56"/>
        <v>7.1279999999999291</v>
      </c>
      <c r="Q108" s="162">
        <f t="shared" ca="1" si="57"/>
        <v>4.7678929765885815E-2</v>
      </c>
      <c r="R108" s="144"/>
      <c r="S108" s="157">
        <v>44670</v>
      </c>
      <c r="T108" s="250" t="s">
        <v>295</v>
      </c>
      <c r="U108" s="144"/>
    </row>
    <row r="109" spans="1:21" x14ac:dyDescent="0.35">
      <c r="A109" s="149">
        <v>176</v>
      </c>
      <c r="B109" s="154" t="str">
        <f t="shared" si="53"/>
        <v>Historical</v>
      </c>
      <c r="C109" s="144"/>
      <c r="D109" s="160" t="str">
        <f ca="1">INDEX(INDIRECT(E109),0,COLUMN(MO_Common_Column_A))</f>
        <v>Add back: SBC</v>
      </c>
      <c r="E109" s="155" t="s">
        <v>415</v>
      </c>
      <c r="F109" s="154" t="s">
        <v>584</v>
      </c>
      <c r="G109" s="154"/>
      <c r="H109" s="144"/>
      <c r="I109" s="156">
        <v>19</v>
      </c>
      <c r="J109" s="156">
        <v>21</v>
      </c>
      <c r="K109" s="156">
        <f t="shared" si="54"/>
        <v>20</v>
      </c>
      <c r="L109" s="144"/>
      <c r="M109" s="154" t="str">
        <f t="shared" si="55"/>
        <v>Actual</v>
      </c>
      <c r="N109" s="156">
        <f ca="1">IFERROR(INDEX(INDIRECT(E109),0,MATCH(F109,MO_Common_ColumnHeader,0)),"N/A")</f>
        <v>18.57</v>
      </c>
      <c r="O109" s="144"/>
      <c r="P109" s="161">
        <f t="shared" ca="1" si="56"/>
        <v>-1.4299999999999997</v>
      </c>
      <c r="Q109" s="162">
        <f t="shared" ca="1" si="57"/>
        <v>-7.149999999999998E-2</v>
      </c>
      <c r="R109" s="144"/>
      <c r="S109" s="157">
        <v>44670</v>
      </c>
      <c r="T109" s="250" t="s">
        <v>295</v>
      </c>
      <c r="U109" s="144"/>
    </row>
    <row r="110" spans="1:21" x14ac:dyDescent="0.35">
      <c r="A110" s="149">
        <v>175</v>
      </c>
      <c r="B110" s="154" t="str">
        <f t="shared" si="53"/>
        <v>Historical</v>
      </c>
      <c r="C110" s="144"/>
      <c r="D110" s="160" t="str">
        <f ca="1">INDEX(INDIRECT(E110),0,COLUMN(MO_Common_Column_A))</f>
        <v>Amortization of intangible assets, mm</v>
      </c>
      <c r="E110" s="155" t="s">
        <v>543</v>
      </c>
      <c r="F110" s="154" t="s">
        <v>584</v>
      </c>
      <c r="G110" s="154"/>
      <c r="H110" s="144"/>
      <c r="I110" s="156">
        <v>13</v>
      </c>
      <c r="J110" s="156">
        <v>13</v>
      </c>
      <c r="K110" s="156">
        <f t="shared" si="54"/>
        <v>13</v>
      </c>
      <c r="L110" s="144"/>
      <c r="M110" s="154" t="str">
        <f t="shared" si="55"/>
        <v>Actual</v>
      </c>
      <c r="N110" s="156">
        <f ca="1">IFERROR(INDEX(INDIRECT(E110),0,MATCH(F110,MO_Common_ColumnHeader,0)),"N/A")</f>
        <v>12.968</v>
      </c>
      <c r="O110" s="144"/>
      <c r="P110" s="161">
        <f t="shared" ca="1" si="56"/>
        <v>-3.2000000000000028E-2</v>
      </c>
      <c r="Q110" s="162">
        <f t="shared" ca="1" si="57"/>
        <v>-2.4615384615384638E-3</v>
      </c>
      <c r="R110" s="144"/>
      <c r="S110" s="157">
        <v>44670</v>
      </c>
      <c r="T110" s="250" t="s">
        <v>295</v>
      </c>
      <c r="U110" s="144"/>
    </row>
    <row r="111" spans="1:21" x14ac:dyDescent="0.35">
      <c r="A111" s="149">
        <v>174</v>
      </c>
      <c r="B111" s="154" t="str">
        <f t="shared" si="53"/>
        <v>Historical</v>
      </c>
      <c r="C111" s="144"/>
      <c r="D111" s="160" t="e">
        <f ca="1">INDEX(INDIRECT(E111),0,COLUMN(MO_Common_Column_A))</f>
        <v>#REF!</v>
      </c>
      <c r="E111" s="155" t="s">
        <v>483</v>
      </c>
      <c r="F111" s="154" t="s">
        <v>584</v>
      </c>
      <c r="G111" s="154"/>
      <c r="H111" s="144"/>
      <c r="I111" s="156">
        <v>180</v>
      </c>
      <c r="J111" s="156">
        <v>185</v>
      </c>
      <c r="K111" s="156">
        <f t="shared" si="54"/>
        <v>182.5</v>
      </c>
      <c r="L111" s="144"/>
      <c r="M111" s="154" t="str">
        <f t="shared" si="55"/>
        <v>Actual</v>
      </c>
      <c r="N111" s="156">
        <f ca="1">IFERROR(INDEX(INDIRECT(E111),0,MATCH(F111,MO_Common_ColumnHeader,0)),"N/A")</f>
        <v>188.16599999999994</v>
      </c>
      <c r="O111" s="144"/>
      <c r="P111" s="161">
        <f t="shared" ca="1" si="56"/>
        <v>5.66599999999994</v>
      </c>
      <c r="Q111" s="162">
        <f t="shared" ca="1" si="57"/>
        <v>3.1046575342465424E-2</v>
      </c>
      <c r="R111" s="144"/>
      <c r="S111" s="157">
        <v>44670</v>
      </c>
      <c r="T111" s="250" t="s">
        <v>295</v>
      </c>
      <c r="U111" s="144"/>
    </row>
    <row r="112" spans="1:21" x14ac:dyDescent="0.35">
      <c r="A112" s="149">
        <v>173</v>
      </c>
      <c r="B112" s="144"/>
      <c r="C112" s="144"/>
      <c r="D112" s="141"/>
      <c r="E112" s="142"/>
      <c r="F112" s="144"/>
      <c r="G112" s="144"/>
      <c r="H112" s="144"/>
      <c r="I112" s="532"/>
      <c r="J112" s="532"/>
      <c r="K112" s="532"/>
      <c r="L112" s="144"/>
      <c r="M112" s="144"/>
      <c r="N112" s="532"/>
      <c r="O112" s="144"/>
      <c r="P112" s="218"/>
      <c r="Q112" s="334"/>
      <c r="R112" s="144"/>
      <c r="S112" s="145"/>
      <c r="T112" s="219"/>
      <c r="U112" s="144"/>
    </row>
    <row r="113" spans="1:21" x14ac:dyDescent="0.35">
      <c r="A113" s="149">
        <v>172</v>
      </c>
      <c r="B113" s="154" t="str">
        <f t="shared" ref="B113:B125" si="58">IF(INDEX(MO_SNA_IsHistoricalPeriod,,MATCH(F113,MO_Common_ColumnHeader,0)),"Historical","Forward")</f>
        <v>Forward</v>
      </c>
      <c r="C113" s="144"/>
      <c r="D113" s="160" t="str">
        <f ca="1">INDEX(INDIRECT(E113),0,COLUMN(MO_Common_Column_A))</f>
        <v>Net Revenue</v>
      </c>
      <c r="E113" s="155" t="s">
        <v>293</v>
      </c>
      <c r="F113" s="154" t="s">
        <v>486</v>
      </c>
      <c r="G113" s="154"/>
      <c r="H113" s="144"/>
      <c r="I113" s="156">
        <v>1900</v>
      </c>
      <c r="J113" s="156">
        <v>2200</v>
      </c>
      <c r="K113" s="156">
        <f t="shared" ref="K113:K125" si="59">AVERAGE(I113:J113)</f>
        <v>2050</v>
      </c>
      <c r="L113" s="144"/>
      <c r="M113" s="154" t="str">
        <f t="shared" ref="M113:M125" si="60">IF(INDEX(MO_SNA_IsHistoricalPeriod,,MATCH(F113,MO_Common_ColumnHeader,0)),"Actual","Estimate")</f>
        <v>Estimate</v>
      </c>
      <c r="N113" s="156" t="str">
        <f t="shared" ref="N113:N118" ca="1" si="61">IFERROR(INDEX(INDIRECT(E113),0,MATCH(F113,MO_Common_ColumnHeader,0)),"N/A")</f>
        <v>N/A</v>
      </c>
      <c r="O113" s="144"/>
      <c r="P113" s="161" t="str">
        <f t="shared" ref="P113:P125" ca="1" si="62">IF(ISNUMBER(N113),N113-K113,"N/A")</f>
        <v>N/A</v>
      </c>
      <c r="Q113" s="162" t="str">
        <f t="shared" ref="Q113:Q125" ca="1" si="63">IFERROR(IF(ISNUMBER(N113),(N113-K113)/ABS(K113),"N/A"),"N/A")</f>
        <v>N/A</v>
      </c>
      <c r="R113" s="144"/>
      <c r="S113" s="157">
        <v>44586</v>
      </c>
      <c r="T113" s="250" t="s">
        <v>487</v>
      </c>
      <c r="U113" s="144"/>
    </row>
    <row r="114" spans="1:21" x14ac:dyDescent="0.35">
      <c r="A114" s="149">
        <v>171</v>
      </c>
      <c r="B114" s="154" t="str">
        <f t="shared" si="58"/>
        <v>Forward</v>
      </c>
      <c r="C114" s="144"/>
      <c r="D114" s="160" t="e">
        <f ca="1">INDEX(INDIRECT(E114),0,COLUMN(MO_Common_Column_A))</f>
        <v>#REF!</v>
      </c>
      <c r="E114" s="155" t="s">
        <v>483</v>
      </c>
      <c r="F114" s="154" t="s">
        <v>486</v>
      </c>
      <c r="G114" s="154"/>
      <c r="H114" s="144"/>
      <c r="I114" s="156">
        <v>250</v>
      </c>
      <c r="J114" s="156">
        <v>350</v>
      </c>
      <c r="K114" s="156">
        <f t="shared" si="59"/>
        <v>300</v>
      </c>
      <c r="L114" s="144"/>
      <c r="M114" s="154" t="str">
        <f t="shared" si="60"/>
        <v>Estimate</v>
      </c>
      <c r="N114" s="156" t="str">
        <f t="shared" ca="1" si="61"/>
        <v>N/A</v>
      </c>
      <c r="O114" s="144"/>
      <c r="P114" s="161" t="str">
        <f t="shared" ca="1" si="62"/>
        <v>N/A</v>
      </c>
      <c r="Q114" s="162" t="str">
        <f t="shared" ca="1" si="63"/>
        <v>N/A</v>
      </c>
      <c r="R114" s="144"/>
      <c r="S114" s="157">
        <v>44586</v>
      </c>
      <c r="T114" s="250" t="s">
        <v>487</v>
      </c>
      <c r="U114" s="144"/>
    </row>
    <row r="115" spans="1:21" x14ac:dyDescent="0.35">
      <c r="A115" s="149">
        <v>170</v>
      </c>
      <c r="B115" s="154" t="str">
        <f t="shared" si="58"/>
        <v>Forward</v>
      </c>
      <c r="C115" s="144"/>
      <c r="D115" s="160" t="str">
        <f ca="1">INDEX(INDIRECT(E115),0,COLUMN(MO_Common_Column_A))</f>
        <v>General Education Revenue, mm</v>
      </c>
      <c r="E115" s="155" t="s">
        <v>590</v>
      </c>
      <c r="F115" s="154" t="s">
        <v>486</v>
      </c>
      <c r="G115" s="154"/>
      <c r="H115" s="144"/>
      <c r="I115" s="156">
        <v>1250</v>
      </c>
      <c r="J115" s="156">
        <v>1400</v>
      </c>
      <c r="K115" s="156">
        <f t="shared" si="59"/>
        <v>1325</v>
      </c>
      <c r="L115" s="144"/>
      <c r="M115" s="154" t="str">
        <f t="shared" si="60"/>
        <v>Estimate</v>
      </c>
      <c r="N115" s="156" t="str">
        <f t="shared" ca="1" si="61"/>
        <v>N/A</v>
      </c>
      <c r="O115" s="144"/>
      <c r="P115" s="161" t="str">
        <f t="shared" ca="1" si="62"/>
        <v>N/A</v>
      </c>
      <c r="Q115" s="162" t="str">
        <f t="shared" ca="1" si="63"/>
        <v>N/A</v>
      </c>
      <c r="R115" s="144"/>
      <c r="S115" s="157">
        <v>44586</v>
      </c>
      <c r="T115" s="250" t="s">
        <v>487</v>
      </c>
      <c r="U115" s="144"/>
    </row>
    <row r="116" spans="1:21" x14ac:dyDescent="0.35">
      <c r="A116" s="149">
        <v>169</v>
      </c>
      <c r="B116" s="154" t="str">
        <f t="shared" si="58"/>
        <v>Forward</v>
      </c>
      <c r="C116" s="144"/>
      <c r="D116" s="160" t="str">
        <f ca="1">INDEX(INDIRECT(E116),0,COLUMN(MO_Common_Column_A))</f>
        <v>General Education average enrollment, 000s students</v>
      </c>
      <c r="E116" s="155" t="s">
        <v>586</v>
      </c>
      <c r="F116" s="154" t="s">
        <v>486</v>
      </c>
      <c r="G116" s="154"/>
      <c r="H116" s="144"/>
      <c r="I116" s="156">
        <v>170</v>
      </c>
      <c r="J116" s="156">
        <v>180</v>
      </c>
      <c r="K116" s="156">
        <f t="shared" si="59"/>
        <v>175</v>
      </c>
      <c r="L116" s="144"/>
      <c r="M116" s="154" t="str">
        <f t="shared" si="60"/>
        <v>Estimate</v>
      </c>
      <c r="N116" s="156" t="str">
        <f t="shared" ca="1" si="61"/>
        <v>N/A</v>
      </c>
      <c r="O116" s="144"/>
      <c r="P116" s="161" t="str">
        <f t="shared" ca="1" si="62"/>
        <v>N/A</v>
      </c>
      <c r="Q116" s="162" t="str">
        <f t="shared" ca="1" si="63"/>
        <v>N/A</v>
      </c>
      <c r="R116" s="144"/>
      <c r="S116" s="157">
        <v>44586</v>
      </c>
      <c r="T116" s="250" t="s">
        <v>487</v>
      </c>
      <c r="U116" s="144"/>
    </row>
    <row r="117" spans="1:21" x14ac:dyDescent="0.35">
      <c r="A117" s="149">
        <v>168</v>
      </c>
      <c r="B117" s="154" t="str">
        <f t="shared" si="58"/>
        <v>Forward</v>
      </c>
      <c r="C117" s="144"/>
      <c r="D117" s="160" t="s">
        <v>600</v>
      </c>
      <c r="E117" s="155"/>
      <c r="F117" s="154" t="s">
        <v>486</v>
      </c>
      <c r="G117" s="154"/>
      <c r="H117" s="144"/>
      <c r="I117" s="418">
        <v>8</v>
      </c>
      <c r="J117" s="418">
        <v>10</v>
      </c>
      <c r="K117" s="418">
        <f t="shared" si="59"/>
        <v>9</v>
      </c>
      <c r="L117" s="144"/>
      <c r="M117" s="154" t="str">
        <f t="shared" si="60"/>
        <v>Estimate</v>
      </c>
      <c r="N117" s="418" t="str">
        <f t="shared" ca="1" si="61"/>
        <v>N/A</v>
      </c>
      <c r="O117" s="144"/>
      <c r="P117" s="419" t="str">
        <f t="shared" ca="1" si="62"/>
        <v>N/A</v>
      </c>
      <c r="Q117" s="162" t="str">
        <f t="shared" ca="1" si="63"/>
        <v>N/A</v>
      </c>
      <c r="R117" s="144"/>
      <c r="S117" s="157">
        <v>44586</v>
      </c>
      <c r="T117" s="250" t="s">
        <v>487</v>
      </c>
      <c r="U117" s="144"/>
    </row>
    <row r="118" spans="1:21" x14ac:dyDescent="0.35">
      <c r="A118" s="149">
        <v>167</v>
      </c>
      <c r="B118" s="154" t="str">
        <f t="shared" si="58"/>
        <v>Forward</v>
      </c>
      <c r="C118" s="144"/>
      <c r="D118" s="160" t="s">
        <v>587</v>
      </c>
      <c r="E118" s="155"/>
      <c r="F118" s="154" t="s">
        <v>486</v>
      </c>
      <c r="G118" s="154"/>
      <c r="H118" s="144"/>
      <c r="I118" s="418">
        <v>34</v>
      </c>
      <c r="J118" s="418">
        <v>36</v>
      </c>
      <c r="K118" s="418">
        <f t="shared" si="59"/>
        <v>35</v>
      </c>
      <c r="L118" s="144"/>
      <c r="M118" s="154" t="str">
        <f t="shared" si="60"/>
        <v>Estimate</v>
      </c>
      <c r="N118" s="418" t="str">
        <f t="shared" ca="1" si="61"/>
        <v>N/A</v>
      </c>
      <c r="O118" s="144"/>
      <c r="P118" s="419" t="str">
        <f t="shared" ca="1" si="62"/>
        <v>N/A</v>
      </c>
      <c r="Q118" s="162" t="str">
        <f t="shared" ca="1" si="63"/>
        <v>N/A</v>
      </c>
      <c r="R118" s="144"/>
      <c r="S118" s="157">
        <v>44586</v>
      </c>
      <c r="T118" s="250" t="s">
        <v>487</v>
      </c>
      <c r="U118" s="144"/>
    </row>
    <row r="119" spans="1:21" x14ac:dyDescent="0.35">
      <c r="A119" s="149">
        <v>166</v>
      </c>
      <c r="B119" s="154" t="str">
        <f t="shared" si="58"/>
        <v>Forward</v>
      </c>
      <c r="C119" s="144"/>
      <c r="D119" s="160" t="str">
        <f ca="1">INDEX(INDIRECT(E119),0,COLUMN(MO_Common_Column_A))</f>
        <v>General Education revenue per enrollment growth (reported), %</v>
      </c>
      <c r="E119" s="155" t="s">
        <v>589</v>
      </c>
      <c r="F119" s="154" t="s">
        <v>486</v>
      </c>
      <c r="G119" s="154"/>
      <c r="H119" s="144"/>
      <c r="I119" s="215">
        <v>0</v>
      </c>
      <c r="J119" s="215">
        <v>0.02</v>
      </c>
      <c r="K119" s="215">
        <f t="shared" si="59"/>
        <v>0.01</v>
      </c>
      <c r="L119" s="144"/>
      <c r="M119" s="154" t="str">
        <f t="shared" si="60"/>
        <v>Estimate</v>
      </c>
      <c r="N119" s="215" t="str">
        <f ca="1">IF(B119="Historical",IFERROR(INDEX(INDIRECT(E119),0,MATCH(F119,MO_Common_ColumnHeader,0)),"N/A"),"N/A")</f>
        <v>N/A</v>
      </c>
      <c r="O119" s="144"/>
      <c r="P119" s="162" t="str">
        <f t="shared" ca="1" si="62"/>
        <v>N/A</v>
      </c>
      <c r="Q119" s="162" t="str">
        <f t="shared" ca="1" si="63"/>
        <v>N/A</v>
      </c>
      <c r="R119" s="144"/>
      <c r="S119" s="157">
        <v>44586</v>
      </c>
      <c r="T119" s="250" t="s">
        <v>487</v>
      </c>
      <c r="U119" s="144"/>
    </row>
    <row r="120" spans="1:21" x14ac:dyDescent="0.35">
      <c r="A120" s="149">
        <v>165</v>
      </c>
      <c r="B120" s="154" t="str">
        <f t="shared" si="58"/>
        <v>Forward</v>
      </c>
      <c r="C120" s="144"/>
      <c r="D120" s="160" t="str">
        <f ca="1">INDEX(INDIRECT(E120),0,COLUMN(MO_Common_Column_A))</f>
        <v>Career Learning Revenue, mm</v>
      </c>
      <c r="E120" s="155" t="s">
        <v>501</v>
      </c>
      <c r="F120" s="154" t="s">
        <v>486</v>
      </c>
      <c r="G120" s="154"/>
      <c r="H120" s="144"/>
      <c r="I120" s="156">
        <v>650</v>
      </c>
      <c r="J120" s="156">
        <v>800</v>
      </c>
      <c r="K120" s="156">
        <f t="shared" si="59"/>
        <v>725</v>
      </c>
      <c r="L120" s="144"/>
      <c r="M120" s="154" t="str">
        <f t="shared" si="60"/>
        <v>Estimate</v>
      </c>
      <c r="N120" s="156" t="str">
        <f ca="1">IFERROR(INDEX(INDIRECT(E120),0,MATCH(F120,MO_Common_ColumnHeader,0)),"N/A")</f>
        <v>N/A</v>
      </c>
      <c r="O120" s="144"/>
      <c r="P120" s="161" t="str">
        <f t="shared" ca="1" si="62"/>
        <v>N/A</v>
      </c>
      <c r="Q120" s="162" t="str">
        <f t="shared" ca="1" si="63"/>
        <v>N/A</v>
      </c>
      <c r="R120" s="144"/>
      <c r="S120" s="157">
        <v>44586</v>
      </c>
      <c r="T120" s="250" t="s">
        <v>487</v>
      </c>
      <c r="U120" s="144"/>
    </row>
    <row r="121" spans="1:21" x14ac:dyDescent="0.35">
      <c r="A121" s="149">
        <v>164</v>
      </c>
      <c r="B121" s="154" t="str">
        <f t="shared" si="58"/>
        <v>Forward</v>
      </c>
      <c r="C121" s="144"/>
      <c r="D121" s="160" t="str">
        <f ca="1">INDEX(INDIRECT(E121),0,COLUMN(MO_Common_Column_A))</f>
        <v>Career Learning - Adult revenue, mm</v>
      </c>
      <c r="E121" s="155" t="s">
        <v>591</v>
      </c>
      <c r="F121" s="154" t="s">
        <v>486</v>
      </c>
      <c r="G121" s="154"/>
      <c r="H121" s="144"/>
      <c r="I121" s="156">
        <v>140</v>
      </c>
      <c r="J121" s="156">
        <v>150</v>
      </c>
      <c r="K121" s="156">
        <f t="shared" si="59"/>
        <v>145</v>
      </c>
      <c r="L121" s="144"/>
      <c r="M121" s="154" t="str">
        <f t="shared" si="60"/>
        <v>Estimate</v>
      </c>
      <c r="N121" s="156" t="str">
        <f ca="1">IFERROR(INDEX(INDIRECT(E121),0,MATCH(F121,MO_Common_ColumnHeader,0)),"N/A")</f>
        <v>N/A</v>
      </c>
      <c r="O121" s="144"/>
      <c r="P121" s="161" t="str">
        <f t="shared" ca="1" si="62"/>
        <v>N/A</v>
      </c>
      <c r="Q121" s="162" t="str">
        <f t="shared" ca="1" si="63"/>
        <v>N/A</v>
      </c>
      <c r="R121" s="144"/>
      <c r="S121" s="157">
        <v>44586</v>
      </c>
      <c r="T121" s="250" t="s">
        <v>487</v>
      </c>
      <c r="U121" s="144"/>
    </row>
    <row r="122" spans="1:21" x14ac:dyDescent="0.35">
      <c r="A122" s="149">
        <v>163</v>
      </c>
      <c r="B122" s="154" t="str">
        <f t="shared" si="58"/>
        <v>Forward</v>
      </c>
      <c r="C122" s="144"/>
      <c r="D122" s="160" t="str">
        <f ca="1">INDEX(INDIRECT(E122),0,COLUMN(MO_Common_Column_A))</f>
        <v>Career Learning average enrollment, 000s students</v>
      </c>
      <c r="E122" s="155" t="s">
        <v>592</v>
      </c>
      <c r="F122" s="154" t="s">
        <v>486</v>
      </c>
      <c r="G122" s="154"/>
      <c r="H122" s="144"/>
      <c r="I122" s="156">
        <v>80</v>
      </c>
      <c r="J122" s="156">
        <v>85</v>
      </c>
      <c r="K122" s="156">
        <f t="shared" si="59"/>
        <v>82.5</v>
      </c>
      <c r="L122" s="144"/>
      <c r="M122" s="154" t="str">
        <f t="shared" si="60"/>
        <v>Estimate</v>
      </c>
      <c r="N122" s="156" t="str">
        <f ca="1">IFERROR(INDEX(INDIRECT(E122),0,MATCH(F122,MO_Common_ColumnHeader,0)),"N/A")</f>
        <v>N/A</v>
      </c>
      <c r="O122" s="144"/>
      <c r="P122" s="161" t="str">
        <f t="shared" ca="1" si="62"/>
        <v>N/A</v>
      </c>
      <c r="Q122" s="162" t="str">
        <f t="shared" ca="1" si="63"/>
        <v>N/A</v>
      </c>
      <c r="R122" s="144"/>
      <c r="S122" s="157">
        <v>44586</v>
      </c>
      <c r="T122" s="250" t="s">
        <v>487</v>
      </c>
      <c r="U122" s="144"/>
    </row>
    <row r="123" spans="1:21" x14ac:dyDescent="0.35">
      <c r="A123" s="149">
        <v>162</v>
      </c>
      <c r="B123" s="154" t="str">
        <f t="shared" si="58"/>
        <v>Forward</v>
      </c>
      <c r="C123" s="144"/>
      <c r="D123" s="160" t="s">
        <v>593</v>
      </c>
      <c r="E123" s="155"/>
      <c r="F123" s="154" t="s">
        <v>486</v>
      </c>
      <c r="G123" s="154"/>
      <c r="H123" s="144"/>
      <c r="I123" s="418">
        <v>15</v>
      </c>
      <c r="J123" s="418">
        <v>20</v>
      </c>
      <c r="K123" s="418">
        <f t="shared" si="59"/>
        <v>17.5</v>
      </c>
      <c r="L123" s="144"/>
      <c r="M123" s="154" t="str">
        <f t="shared" si="60"/>
        <v>Estimate</v>
      </c>
      <c r="N123" s="418" t="str">
        <f ca="1">IFERROR(INDEX(INDIRECT(E123),0,MATCH(F123,MO_Common_ColumnHeader,0)),"N/A")</f>
        <v>N/A</v>
      </c>
      <c r="O123" s="144"/>
      <c r="P123" s="419" t="str">
        <f t="shared" ca="1" si="62"/>
        <v>N/A</v>
      </c>
      <c r="Q123" s="162" t="str">
        <f t="shared" ca="1" si="63"/>
        <v>N/A</v>
      </c>
      <c r="R123" s="144"/>
      <c r="S123" s="157">
        <v>44586</v>
      </c>
      <c r="T123" s="250" t="s">
        <v>487</v>
      </c>
      <c r="U123" s="144"/>
    </row>
    <row r="124" spans="1:21" x14ac:dyDescent="0.35">
      <c r="A124" s="149">
        <v>161</v>
      </c>
      <c r="B124" s="154" t="str">
        <f t="shared" si="58"/>
        <v>Forward</v>
      </c>
      <c r="C124" s="144"/>
      <c r="D124" s="160" t="s">
        <v>594</v>
      </c>
      <c r="E124" s="155"/>
      <c r="F124" s="154" t="s">
        <v>486</v>
      </c>
      <c r="G124" s="154"/>
      <c r="H124" s="144"/>
      <c r="I124" s="418">
        <v>30</v>
      </c>
      <c r="J124" s="418">
        <v>36</v>
      </c>
      <c r="K124" s="418">
        <f t="shared" si="59"/>
        <v>33</v>
      </c>
      <c r="L124" s="144"/>
      <c r="M124" s="154" t="str">
        <f t="shared" si="60"/>
        <v>Estimate</v>
      </c>
      <c r="N124" s="418" t="str">
        <f ca="1">IFERROR(INDEX(INDIRECT(E124),0,MATCH(F124,MO_Common_ColumnHeader,0)),"N/A")</f>
        <v>N/A</v>
      </c>
      <c r="O124" s="144"/>
      <c r="P124" s="419" t="str">
        <f t="shared" ca="1" si="62"/>
        <v>N/A</v>
      </c>
      <c r="Q124" s="162" t="str">
        <f t="shared" ca="1" si="63"/>
        <v>N/A</v>
      </c>
      <c r="R124" s="144"/>
      <c r="S124" s="157">
        <v>44586</v>
      </c>
      <c r="T124" s="250" t="s">
        <v>487</v>
      </c>
      <c r="U124" s="144"/>
    </row>
    <row r="125" spans="1:21" x14ac:dyDescent="0.35">
      <c r="A125" s="149">
        <v>160</v>
      </c>
      <c r="B125" s="154" t="str">
        <f t="shared" si="58"/>
        <v>Forward</v>
      </c>
      <c r="C125" s="144"/>
      <c r="D125" s="160" t="str">
        <f ca="1">INDEX(INDIRECT(E125),0,COLUMN(MO_Common_Column_A))</f>
        <v>Career Learning revenue per enrollment growth (reported), %</v>
      </c>
      <c r="E125" s="155" t="s">
        <v>595</v>
      </c>
      <c r="F125" s="154" t="s">
        <v>486</v>
      </c>
      <c r="G125" s="154"/>
      <c r="H125" s="144"/>
      <c r="I125" s="215">
        <v>0</v>
      </c>
      <c r="J125" s="215">
        <v>0.02</v>
      </c>
      <c r="K125" s="215">
        <f t="shared" si="59"/>
        <v>0.01</v>
      </c>
      <c r="L125" s="144"/>
      <c r="M125" s="154" t="str">
        <f t="shared" si="60"/>
        <v>Estimate</v>
      </c>
      <c r="N125" s="215" t="str">
        <f ca="1">IF(B125="Historical",IFERROR(INDEX(INDIRECT(E125),0,MATCH(F125,MO_Common_ColumnHeader,0)),"N/A"),"N/A")</f>
        <v>N/A</v>
      </c>
      <c r="O125" s="144"/>
      <c r="P125" s="162" t="str">
        <f t="shared" ca="1" si="62"/>
        <v>N/A</v>
      </c>
      <c r="Q125" s="162" t="str">
        <f t="shared" ca="1" si="63"/>
        <v>N/A</v>
      </c>
      <c r="R125" s="144"/>
      <c r="S125" s="157">
        <v>44586</v>
      </c>
      <c r="T125" s="250" t="s">
        <v>487</v>
      </c>
      <c r="U125" s="144"/>
    </row>
    <row r="126" spans="1:21" x14ac:dyDescent="0.35">
      <c r="A126" s="149">
        <v>159</v>
      </c>
      <c r="B126" s="144"/>
      <c r="C126" s="144"/>
      <c r="D126" s="141"/>
      <c r="E126" s="142"/>
      <c r="F126" s="144"/>
      <c r="G126" s="144"/>
      <c r="H126" s="144"/>
      <c r="I126" s="532"/>
      <c r="J126" s="532"/>
      <c r="K126" s="532"/>
      <c r="L126" s="144"/>
      <c r="M126" s="144"/>
      <c r="N126" s="532"/>
      <c r="O126" s="144"/>
      <c r="P126" s="218"/>
      <c r="Q126" s="334"/>
      <c r="R126" s="144"/>
      <c r="S126" s="145"/>
      <c r="T126" s="219"/>
      <c r="U126" s="144"/>
    </row>
    <row r="127" spans="1:21" x14ac:dyDescent="0.35">
      <c r="A127" s="149">
        <v>158</v>
      </c>
      <c r="B127" s="154" t="str">
        <f t="shared" ref="B127:B135" si="64">IF(INDEX(MO_SNA_IsHistoricalPeriod,,MATCH(F127,MO_Common_ColumnHeader,0)),"Historical","Forward")</f>
        <v>Historical</v>
      </c>
      <c r="C127" s="144"/>
      <c r="D127" s="160" t="str">
        <f t="shared" ref="D127:D135" ca="1" si="65">INDEX(INDIRECT(E127),0,COLUMN(MO_Common_Column_A))</f>
        <v>Net Revenue</v>
      </c>
      <c r="E127" s="155" t="s">
        <v>293</v>
      </c>
      <c r="F127" s="154" t="s">
        <v>584</v>
      </c>
      <c r="G127" s="154"/>
      <c r="H127" s="144"/>
      <c r="I127" s="156">
        <v>1620</v>
      </c>
      <c r="J127" s="156">
        <v>1640</v>
      </c>
      <c r="K127" s="156">
        <f t="shared" ref="K127:K135" si="66">AVERAGE(I127:J127)</f>
        <v>1630</v>
      </c>
      <c r="L127" s="144"/>
      <c r="M127" s="154" t="str">
        <f t="shared" ref="M127:M135" si="67">IF(INDEX(MO_SNA_IsHistoricalPeriod,,MATCH(F127,MO_Common_ColumnHeader,0)),"Actual","Estimate")</f>
        <v>Actual</v>
      </c>
      <c r="N127" s="156">
        <f ca="1">IFERROR(INDEX(INDIRECT(E127),0,MATCH(F127,MO_Common_ColumnHeader,0)),"N/A")</f>
        <v>1686.6659999999999</v>
      </c>
      <c r="O127" s="144"/>
      <c r="P127" s="161">
        <f t="shared" ref="P127:P135" ca="1" si="68">IF(ISNUMBER(N127),N127-K127,"N/A")</f>
        <v>56.66599999999994</v>
      </c>
      <c r="Q127" s="162">
        <f t="shared" ref="Q127:Q135" ca="1" si="69">IFERROR(IF(ISNUMBER(N127),(N127-K127)/ABS(K127),"N/A"),"N/A")</f>
        <v>3.4764417177914071E-2</v>
      </c>
      <c r="R127" s="144"/>
      <c r="S127" s="157">
        <v>44586</v>
      </c>
      <c r="T127" s="250" t="s">
        <v>487</v>
      </c>
      <c r="U127" s="144"/>
    </row>
    <row r="128" spans="1:21" x14ac:dyDescent="0.35">
      <c r="A128" s="149">
        <v>157</v>
      </c>
      <c r="B128" s="154" t="str">
        <f>IF(INDEX(MO_SNA_IsHistoricalPeriod,,MATCH(F128,MO_Common_ColumnHeader,0)),"Historical","Forward")</f>
        <v>Historical</v>
      </c>
      <c r="C128" s="144"/>
      <c r="D128" s="160" t="str">
        <f ca="1">INDEX(INDIRECT(E128),0,COLUMN(MO_Common_Column_A))</f>
        <v>Capex</v>
      </c>
      <c r="E128" s="155" t="s">
        <v>296</v>
      </c>
      <c r="F128" s="154" t="s">
        <v>584</v>
      </c>
      <c r="G128" s="154"/>
      <c r="H128" s="144"/>
      <c r="I128" s="156">
        <v>-75</v>
      </c>
      <c r="J128" s="156">
        <v>-65</v>
      </c>
      <c r="K128" s="156">
        <f>AVERAGE(I128:J128)</f>
        <v>-70</v>
      </c>
      <c r="L128" s="144"/>
      <c r="M128" s="154" t="str">
        <f>IF(INDEX(MO_SNA_IsHistoricalPeriod,,MATCH(F128,MO_Common_ColumnHeader,0)),"Actual","Estimate")</f>
        <v>Actual</v>
      </c>
      <c r="N128" s="156">
        <f ca="1">IFERROR(INDEX(INDIRECT(E128),0,MATCH(F128,MO_Common_ColumnHeader,0)),"N/A")</f>
        <v>-67.626000000000005</v>
      </c>
      <c r="O128" s="144"/>
      <c r="P128" s="161">
        <f ca="1">IF(ISNUMBER(N128),N128-K128,"N/A")</f>
        <v>2.3739999999999952</v>
      </c>
      <c r="Q128" s="162">
        <f ca="1">IFERROR(IF(ISNUMBER(N128),(N128-K128)/ABS(K128),"N/A"),"N/A")</f>
        <v>3.3914285714285647E-2</v>
      </c>
      <c r="R128" s="144"/>
      <c r="S128" s="157">
        <v>44586</v>
      </c>
      <c r="T128" s="250" t="s">
        <v>487</v>
      </c>
      <c r="U128" s="144"/>
    </row>
    <row r="129" spans="1:21" x14ac:dyDescent="0.35">
      <c r="A129" s="149">
        <v>156</v>
      </c>
      <c r="B129" s="154" t="str">
        <f>IF(INDEX(MO_SNA_IsHistoricalPeriod,,MATCH(F129,MO_Common_ColumnHeader,0)),"Historical","Forward")</f>
        <v>Historical</v>
      </c>
      <c r="C129" s="144"/>
      <c r="D129" s="160" t="s">
        <v>391</v>
      </c>
      <c r="E129" s="155"/>
      <c r="F129" s="154" t="s">
        <v>584</v>
      </c>
      <c r="G129" s="154"/>
      <c r="H129" s="144"/>
      <c r="I129" s="215">
        <v>0.27</v>
      </c>
      <c r="J129" s="215">
        <v>0.3</v>
      </c>
      <c r="K129" s="215">
        <f>AVERAGE(I129:J129)</f>
        <v>0.28500000000000003</v>
      </c>
      <c r="L129" s="144"/>
      <c r="M129" s="154" t="str">
        <f>IF(INDEX(MO_SNA_IsHistoricalPeriod,,MATCH(F129,MO_Common_ColumnHeader,0)),"Actual","Estimate")</f>
        <v>Actual</v>
      </c>
      <c r="N129" s="215">
        <f>INDEX(MO_RIS_TaxRate_Current,0,MATCH(F129,MO_Common_ColumnHeader,0))+INDEX(MO_RIS_TaxRate_Deferred,0,MATCH(F129,MO_Common_ColumnHeader,0))</f>
        <v>0.27257027074805895</v>
      </c>
      <c r="O129" s="144"/>
      <c r="P129" s="162">
        <f>IF(ISNUMBER(N129),N129-K129,"N/A")</f>
        <v>-1.242972925194108E-2</v>
      </c>
      <c r="Q129" s="162">
        <f>IFERROR(IF(ISNUMBER(N129),(N129-K129)/ABS(K129),"N/A"),"N/A")</f>
        <v>-4.3613085094530102E-2</v>
      </c>
      <c r="R129" s="144"/>
      <c r="S129" s="157">
        <v>44586</v>
      </c>
      <c r="T129" s="250" t="s">
        <v>487</v>
      </c>
      <c r="U129" s="144"/>
    </row>
    <row r="130" spans="1:21" x14ac:dyDescent="0.35">
      <c r="A130" s="149">
        <v>155</v>
      </c>
      <c r="B130" s="154" t="str">
        <f t="shared" si="64"/>
        <v>Historical</v>
      </c>
      <c r="C130" s="144"/>
      <c r="D130" s="160" t="str">
        <f t="shared" ca="1" si="65"/>
        <v>EBIT</v>
      </c>
      <c r="E130" s="155" t="s">
        <v>298</v>
      </c>
      <c r="F130" s="154" t="s">
        <v>584</v>
      </c>
      <c r="G130" s="154"/>
      <c r="H130" s="144"/>
      <c r="I130" s="156">
        <v>142</v>
      </c>
      <c r="J130" s="156">
        <v>150</v>
      </c>
      <c r="K130" s="156">
        <f t="shared" si="66"/>
        <v>146</v>
      </c>
      <c r="L130" s="144"/>
      <c r="M130" s="154" t="str">
        <f t="shared" si="67"/>
        <v>Actual</v>
      </c>
      <c r="N130" s="156">
        <f ca="1">IFERROR(INDEX(INDIRECT(E130),0,MATCH(F130,MO_Common_ColumnHeader,0)),"N/A")</f>
        <v>156.62799999999993</v>
      </c>
      <c r="O130" s="144"/>
      <c r="P130" s="161">
        <f t="shared" ca="1" si="68"/>
        <v>10.627999999999929</v>
      </c>
      <c r="Q130" s="162">
        <f t="shared" ca="1" si="69"/>
        <v>7.2794520547944719E-2</v>
      </c>
      <c r="R130" s="144"/>
      <c r="S130" s="157">
        <v>44586</v>
      </c>
      <c r="T130" s="250" t="s">
        <v>487</v>
      </c>
      <c r="U130" s="144"/>
    </row>
    <row r="131" spans="1:21" x14ac:dyDescent="0.35">
      <c r="A131" s="149">
        <v>154</v>
      </c>
      <c r="B131" s="154" t="str">
        <f t="shared" si="64"/>
        <v>Historical</v>
      </c>
      <c r="C131" s="144"/>
      <c r="D131" s="160" t="str">
        <f t="shared" ca="1" si="65"/>
        <v>Add back: SBC</v>
      </c>
      <c r="E131" s="155" t="s">
        <v>415</v>
      </c>
      <c r="F131" s="154" t="s">
        <v>584</v>
      </c>
      <c r="G131" s="154"/>
      <c r="H131" s="144"/>
      <c r="I131" s="156">
        <v>20</v>
      </c>
      <c r="J131" s="156">
        <v>22</v>
      </c>
      <c r="K131" s="156">
        <f t="shared" si="66"/>
        <v>21</v>
      </c>
      <c r="L131" s="144"/>
      <c r="M131" s="154" t="str">
        <f t="shared" si="67"/>
        <v>Actual</v>
      </c>
      <c r="N131" s="156">
        <f ca="1">IFERROR(INDEX(INDIRECT(E131),0,MATCH(F131,MO_Common_ColumnHeader,0)),"N/A")</f>
        <v>18.57</v>
      </c>
      <c r="O131" s="144"/>
      <c r="P131" s="161">
        <f t="shared" ca="1" si="68"/>
        <v>-2.4299999999999997</v>
      </c>
      <c r="Q131" s="162">
        <f t="shared" ca="1" si="69"/>
        <v>-0.1157142857142857</v>
      </c>
      <c r="R131" s="144"/>
      <c r="S131" s="157">
        <v>44586</v>
      </c>
      <c r="T131" s="250" t="s">
        <v>487</v>
      </c>
      <c r="U131" s="144"/>
    </row>
    <row r="132" spans="1:21" x14ac:dyDescent="0.35">
      <c r="A132" s="149">
        <v>153</v>
      </c>
      <c r="B132" s="154" t="str">
        <f t="shared" si="64"/>
        <v>Historical</v>
      </c>
      <c r="C132" s="144"/>
      <c r="D132" s="160" t="str">
        <f t="shared" ca="1" si="65"/>
        <v>Amortization of intangible assets, mm</v>
      </c>
      <c r="E132" s="155" t="s">
        <v>543</v>
      </c>
      <c r="F132" s="154" t="s">
        <v>584</v>
      </c>
      <c r="G132" s="154"/>
      <c r="H132" s="144"/>
      <c r="I132" s="156">
        <v>13</v>
      </c>
      <c r="J132" s="156">
        <v>13</v>
      </c>
      <c r="K132" s="156">
        <f t="shared" si="66"/>
        <v>13</v>
      </c>
      <c r="L132" s="144"/>
      <c r="M132" s="154" t="str">
        <f t="shared" si="67"/>
        <v>Actual</v>
      </c>
      <c r="N132" s="156">
        <f ca="1">IFERROR(INDEX(INDIRECT(E132),0,MATCH(F132,MO_Common_ColumnHeader,0)),"N/A")</f>
        <v>12.968</v>
      </c>
      <c r="O132" s="144"/>
      <c r="P132" s="161">
        <f t="shared" ca="1" si="68"/>
        <v>-3.2000000000000028E-2</v>
      </c>
      <c r="Q132" s="162">
        <f t="shared" ca="1" si="69"/>
        <v>-2.4615384615384638E-3</v>
      </c>
      <c r="R132" s="144"/>
      <c r="S132" s="157">
        <v>44586</v>
      </c>
      <c r="T132" s="250" t="s">
        <v>487</v>
      </c>
      <c r="U132" s="144"/>
    </row>
    <row r="133" spans="1:21" x14ac:dyDescent="0.35">
      <c r="A133" s="149">
        <v>152</v>
      </c>
      <c r="B133" s="154" t="str">
        <f t="shared" si="64"/>
        <v>Historical</v>
      </c>
      <c r="C133" s="144"/>
      <c r="D133" s="160" t="e">
        <f t="shared" ca="1" si="65"/>
        <v>#REF!</v>
      </c>
      <c r="E133" s="155" t="s">
        <v>483</v>
      </c>
      <c r="F133" s="154" t="s">
        <v>584</v>
      </c>
      <c r="G133" s="154"/>
      <c r="H133" s="144"/>
      <c r="I133" s="156">
        <v>175</v>
      </c>
      <c r="J133" s="156">
        <v>185</v>
      </c>
      <c r="K133" s="156">
        <f t="shared" si="66"/>
        <v>180</v>
      </c>
      <c r="L133" s="144"/>
      <c r="M133" s="154" t="str">
        <f t="shared" si="67"/>
        <v>Actual</v>
      </c>
      <c r="N133" s="156">
        <f ca="1">IFERROR(INDEX(INDIRECT(E133),0,MATCH(F133,MO_Common_ColumnHeader,0)),"N/A")</f>
        <v>188.16599999999994</v>
      </c>
      <c r="O133" s="144"/>
      <c r="P133" s="161">
        <f t="shared" ca="1" si="68"/>
        <v>8.16599999999994</v>
      </c>
      <c r="Q133" s="162">
        <f t="shared" ca="1" si="69"/>
        <v>4.5366666666666333E-2</v>
      </c>
      <c r="R133" s="144"/>
      <c r="S133" s="157">
        <v>44586</v>
      </c>
      <c r="T133" s="250" t="s">
        <v>487</v>
      </c>
      <c r="U133" s="144"/>
    </row>
    <row r="134" spans="1:21" x14ac:dyDescent="0.35">
      <c r="A134" s="149">
        <v>151</v>
      </c>
      <c r="B134" s="154" t="str">
        <f t="shared" si="64"/>
        <v>Historical</v>
      </c>
      <c r="C134" s="144"/>
      <c r="D134" s="160" t="str">
        <f t="shared" ca="1" si="65"/>
        <v>General Education revenue per enrollment (reported), $/enrollment</v>
      </c>
      <c r="E134" s="155" t="s">
        <v>588</v>
      </c>
      <c r="F134" s="154" t="s">
        <v>584</v>
      </c>
      <c r="G134" s="154"/>
      <c r="H134" s="144"/>
      <c r="I134" s="420">
        <v>8000</v>
      </c>
      <c r="J134" s="420">
        <v>8000</v>
      </c>
      <c r="K134" s="420">
        <f t="shared" si="66"/>
        <v>8000</v>
      </c>
      <c r="L134" s="144"/>
      <c r="M134" s="154" t="str">
        <f t="shared" si="67"/>
        <v>Actual</v>
      </c>
      <c r="N134" s="420">
        <f ca="1">IF(B134="Historical",IFERROR(INDEX(INDIRECT(E134),0,MATCH(F134,MO_Common_ColumnHeader,0)),"N/A"),"N/A")</f>
        <v>8104</v>
      </c>
      <c r="O134" s="144"/>
      <c r="P134" s="421">
        <f t="shared" ca="1" si="68"/>
        <v>104</v>
      </c>
      <c r="Q134" s="162">
        <f t="shared" ca="1" si="69"/>
        <v>1.2999999999999999E-2</v>
      </c>
      <c r="R134" s="144"/>
      <c r="S134" s="157">
        <v>44586</v>
      </c>
      <c r="T134" s="250" t="s">
        <v>487</v>
      </c>
      <c r="U134" s="144"/>
    </row>
    <row r="135" spans="1:21" x14ac:dyDescent="0.35">
      <c r="A135" s="149">
        <v>150</v>
      </c>
      <c r="B135" s="154" t="str">
        <f t="shared" si="64"/>
        <v>Historical</v>
      </c>
      <c r="C135" s="144"/>
      <c r="D135" s="160" t="str">
        <f t="shared" ca="1" si="65"/>
        <v>Career Learning revenue per enrollment (reported), $/enrollment</v>
      </c>
      <c r="E135" s="155" t="s">
        <v>596</v>
      </c>
      <c r="F135" s="154" t="s">
        <v>584</v>
      </c>
      <c r="G135" s="154"/>
      <c r="H135" s="144"/>
      <c r="I135" s="420">
        <v>7600</v>
      </c>
      <c r="J135" s="420">
        <v>7600</v>
      </c>
      <c r="K135" s="420">
        <f t="shared" si="66"/>
        <v>7600</v>
      </c>
      <c r="L135" s="144"/>
      <c r="M135" s="154" t="str">
        <f t="shared" si="67"/>
        <v>Actual</v>
      </c>
      <c r="N135" s="420">
        <f ca="1">IF(B135="Historical",IFERROR(INDEX(INDIRECT(E135),0,MATCH(F135,MO_Common_ColumnHeader,0)),"N/A"),"N/A")</f>
        <v>7640</v>
      </c>
      <c r="O135" s="144"/>
      <c r="P135" s="421">
        <f t="shared" ca="1" si="68"/>
        <v>40</v>
      </c>
      <c r="Q135" s="162">
        <f t="shared" ca="1" si="69"/>
        <v>5.263157894736842E-3</v>
      </c>
      <c r="R135" s="144"/>
      <c r="S135" s="157">
        <v>44586</v>
      </c>
      <c r="T135" s="250" t="s">
        <v>487</v>
      </c>
      <c r="U135" s="144"/>
    </row>
    <row r="136" spans="1:21" x14ac:dyDescent="0.35">
      <c r="A136" s="149">
        <v>149</v>
      </c>
      <c r="B136" s="144"/>
      <c r="C136" s="144"/>
      <c r="D136" s="141"/>
      <c r="E136" s="142"/>
      <c r="F136" s="144"/>
      <c r="G136" s="144"/>
      <c r="H136" s="144"/>
      <c r="I136" s="532"/>
      <c r="J136" s="532"/>
      <c r="K136" s="532"/>
      <c r="L136" s="144"/>
      <c r="M136" s="144"/>
      <c r="N136" s="532"/>
      <c r="O136" s="144"/>
      <c r="P136" s="218"/>
      <c r="Q136" s="334"/>
      <c r="R136" s="144"/>
      <c r="S136" s="145"/>
      <c r="T136" s="219"/>
      <c r="U136" s="144"/>
    </row>
    <row r="137" spans="1:21" x14ac:dyDescent="0.35">
      <c r="A137" s="149">
        <v>148</v>
      </c>
      <c r="B137" s="154" t="str">
        <f t="shared" ref="B137:B142" si="70">IF(INDEX(MO_SNA_IsHistoricalPeriod,,MATCH(F137,MO_Common_ColumnHeader,0)),"Historical","Forward")</f>
        <v>Historical</v>
      </c>
      <c r="C137" s="144"/>
      <c r="D137" s="160" t="str">
        <f t="shared" ref="D137:D142" ca="1" si="71">INDEX(INDIRECT(E137),0,COLUMN(MO_Common_Column_A))</f>
        <v>Net Revenue</v>
      </c>
      <c r="E137" s="155" t="s">
        <v>293</v>
      </c>
      <c r="F137" s="154" t="s">
        <v>599</v>
      </c>
      <c r="G137" s="154"/>
      <c r="H137" s="144"/>
      <c r="I137" s="156">
        <v>405</v>
      </c>
      <c r="J137" s="156">
        <v>415</v>
      </c>
      <c r="K137" s="156">
        <f t="shared" ref="K137:K142" si="72">AVERAGE(I137:J137)</f>
        <v>410</v>
      </c>
      <c r="L137" s="144"/>
      <c r="M137" s="154" t="str">
        <f t="shared" ref="M137:M142" si="73">IF(INDEX(MO_SNA_IsHistoricalPeriod,,MATCH(F137,MO_Common_ColumnHeader,0)),"Actual","Estimate")</f>
        <v>Actual</v>
      </c>
      <c r="N137" s="156">
        <f t="shared" ref="N137:N142" ca="1" si="74">IFERROR(INDEX(INDIRECT(E137),0,MATCH(F137,MO_Common_ColumnHeader,0)),"N/A")</f>
        <v>421.72199999999998</v>
      </c>
      <c r="O137" s="144"/>
      <c r="P137" s="161">
        <f t="shared" ref="P137:P142" ca="1" si="75">IF(ISNUMBER(N137),N137-K137,"N/A")</f>
        <v>11.72199999999998</v>
      </c>
      <c r="Q137" s="162">
        <f t="shared" ref="Q137:Q142" ca="1" si="76">IFERROR(IF(ISNUMBER(N137),(N137-K137)/ABS(K137),"N/A"),"N/A")</f>
        <v>2.8590243902438976E-2</v>
      </c>
      <c r="R137" s="144"/>
      <c r="S137" s="157">
        <v>44586</v>
      </c>
      <c r="T137" s="250" t="s">
        <v>487</v>
      </c>
      <c r="U137" s="144"/>
    </row>
    <row r="138" spans="1:21" x14ac:dyDescent="0.35">
      <c r="A138" s="149">
        <v>147</v>
      </c>
      <c r="B138" s="154" t="str">
        <f t="shared" si="70"/>
        <v>Historical</v>
      </c>
      <c r="C138" s="144"/>
      <c r="D138" s="160" t="str">
        <f t="shared" ca="1" si="71"/>
        <v>Capex</v>
      </c>
      <c r="E138" s="155" t="s">
        <v>296</v>
      </c>
      <c r="F138" s="154" t="s">
        <v>599</v>
      </c>
      <c r="G138" s="154"/>
      <c r="H138" s="144"/>
      <c r="I138" s="156">
        <v>-18</v>
      </c>
      <c r="J138" s="156">
        <v>-15</v>
      </c>
      <c r="K138" s="156">
        <f t="shared" si="72"/>
        <v>-16.5</v>
      </c>
      <c r="L138" s="144"/>
      <c r="M138" s="154" t="str">
        <f t="shared" si="73"/>
        <v>Actual</v>
      </c>
      <c r="N138" s="156">
        <f t="shared" ca="1" si="74"/>
        <v>-18.436</v>
      </c>
      <c r="O138" s="144"/>
      <c r="P138" s="161">
        <f t="shared" ca="1" si="75"/>
        <v>-1.9359999999999999</v>
      </c>
      <c r="Q138" s="162">
        <f t="shared" ca="1" si="76"/>
        <v>-0.11733333333333333</v>
      </c>
      <c r="R138" s="144"/>
      <c r="S138" s="157">
        <v>44586</v>
      </c>
      <c r="T138" s="250" t="s">
        <v>487</v>
      </c>
      <c r="U138" s="144"/>
    </row>
    <row r="139" spans="1:21" x14ac:dyDescent="0.35">
      <c r="A139" s="149">
        <v>146</v>
      </c>
      <c r="B139" s="154" t="str">
        <f t="shared" si="70"/>
        <v>Historical</v>
      </c>
      <c r="C139" s="144"/>
      <c r="D139" s="160" t="str">
        <f t="shared" ca="1" si="71"/>
        <v>EBIT</v>
      </c>
      <c r="E139" s="155" t="s">
        <v>298</v>
      </c>
      <c r="F139" s="154" t="s">
        <v>599</v>
      </c>
      <c r="G139" s="154"/>
      <c r="H139" s="144"/>
      <c r="I139" s="156">
        <v>50.7</v>
      </c>
      <c r="J139" s="156">
        <v>54.7</v>
      </c>
      <c r="K139" s="156">
        <f t="shared" si="72"/>
        <v>52.7</v>
      </c>
      <c r="L139" s="144"/>
      <c r="M139" s="154" t="str">
        <f t="shared" si="73"/>
        <v>Actual</v>
      </c>
      <c r="N139" s="156">
        <f t="shared" ca="1" si="74"/>
        <v>60.593999999999994</v>
      </c>
      <c r="O139" s="144"/>
      <c r="P139" s="161">
        <f t="shared" ca="1" si="75"/>
        <v>7.8939999999999912</v>
      </c>
      <c r="Q139" s="162">
        <f t="shared" ca="1" si="76"/>
        <v>0.1497912713472484</v>
      </c>
      <c r="R139" s="144"/>
      <c r="S139" s="157">
        <v>44586</v>
      </c>
      <c r="T139" s="250" t="s">
        <v>487</v>
      </c>
      <c r="U139" s="144"/>
    </row>
    <row r="140" spans="1:21" x14ac:dyDescent="0.35">
      <c r="A140" s="149">
        <v>145</v>
      </c>
      <c r="B140" s="154" t="str">
        <f t="shared" si="70"/>
        <v>Historical</v>
      </c>
      <c r="C140" s="144"/>
      <c r="D140" s="160" t="str">
        <f t="shared" ca="1" si="71"/>
        <v>Add back: SBC</v>
      </c>
      <c r="E140" s="155" t="s">
        <v>415</v>
      </c>
      <c r="F140" s="154" t="s">
        <v>599</v>
      </c>
      <c r="G140" s="154"/>
      <c r="H140" s="144"/>
      <c r="I140" s="156">
        <v>6</v>
      </c>
      <c r="J140" s="156">
        <v>7</v>
      </c>
      <c r="K140" s="156">
        <f t="shared" si="72"/>
        <v>6.5</v>
      </c>
      <c r="L140" s="144"/>
      <c r="M140" s="154" t="str">
        <f t="shared" si="73"/>
        <v>Actual</v>
      </c>
      <c r="N140" s="156">
        <f t="shared" ca="1" si="74"/>
        <v>5.5760000000000005</v>
      </c>
      <c r="O140" s="144"/>
      <c r="P140" s="161">
        <f t="shared" ca="1" si="75"/>
        <v>-0.92399999999999949</v>
      </c>
      <c r="Q140" s="162">
        <f t="shared" ca="1" si="76"/>
        <v>-0.14215384615384608</v>
      </c>
      <c r="R140" s="144"/>
      <c r="S140" s="157">
        <v>44586</v>
      </c>
      <c r="T140" s="250" t="s">
        <v>487</v>
      </c>
      <c r="U140" s="144"/>
    </row>
    <row r="141" spans="1:21" x14ac:dyDescent="0.35">
      <c r="A141" s="149">
        <v>144</v>
      </c>
      <c r="B141" s="154" t="str">
        <f t="shared" si="70"/>
        <v>Historical</v>
      </c>
      <c r="C141" s="144"/>
      <c r="D141" s="160" t="str">
        <f t="shared" ca="1" si="71"/>
        <v>Amortization of intangible assets, mm</v>
      </c>
      <c r="E141" s="155" t="s">
        <v>543</v>
      </c>
      <c r="F141" s="154" t="s">
        <v>599</v>
      </c>
      <c r="G141" s="154"/>
      <c r="H141" s="144"/>
      <c r="I141" s="156">
        <v>3.3</v>
      </c>
      <c r="J141" s="156">
        <v>3.3</v>
      </c>
      <c r="K141" s="156">
        <f t="shared" si="72"/>
        <v>3.3</v>
      </c>
      <c r="L141" s="144"/>
      <c r="M141" s="154" t="str">
        <f t="shared" si="73"/>
        <v>Actual</v>
      </c>
      <c r="N141" s="156">
        <f t="shared" ca="1" si="74"/>
        <v>3.27</v>
      </c>
      <c r="O141" s="144"/>
      <c r="P141" s="161">
        <f t="shared" ca="1" si="75"/>
        <v>-2.9999999999999805E-2</v>
      </c>
      <c r="Q141" s="162">
        <f t="shared" ca="1" si="76"/>
        <v>-9.0909090909090315E-3</v>
      </c>
      <c r="R141" s="144"/>
      <c r="S141" s="157">
        <v>44586</v>
      </c>
      <c r="T141" s="250" t="s">
        <v>487</v>
      </c>
      <c r="U141" s="144"/>
    </row>
    <row r="142" spans="1:21" x14ac:dyDescent="0.35">
      <c r="A142" s="149">
        <v>143</v>
      </c>
      <c r="B142" s="154" t="str">
        <f t="shared" si="70"/>
        <v>Historical</v>
      </c>
      <c r="C142" s="144"/>
      <c r="D142" s="160" t="e">
        <f t="shared" ca="1" si="71"/>
        <v>#REF!</v>
      </c>
      <c r="E142" s="155" t="s">
        <v>483</v>
      </c>
      <c r="F142" s="154" t="s">
        <v>599</v>
      </c>
      <c r="G142" s="154"/>
      <c r="H142" s="144"/>
      <c r="I142" s="156">
        <v>60</v>
      </c>
      <c r="J142" s="156">
        <v>65</v>
      </c>
      <c r="K142" s="156">
        <f t="shared" si="72"/>
        <v>62.5</v>
      </c>
      <c r="L142" s="144"/>
      <c r="M142" s="154" t="str">
        <f t="shared" si="73"/>
        <v>Actual</v>
      </c>
      <c r="N142" s="156">
        <f t="shared" ca="1" si="74"/>
        <v>69.439999999999984</v>
      </c>
      <c r="O142" s="144"/>
      <c r="P142" s="161">
        <f t="shared" ca="1" si="75"/>
        <v>6.9399999999999835</v>
      </c>
      <c r="Q142" s="162">
        <f t="shared" ca="1" si="76"/>
        <v>0.11103999999999974</v>
      </c>
      <c r="R142" s="144"/>
      <c r="S142" s="157">
        <v>44586</v>
      </c>
      <c r="T142" s="250" t="s">
        <v>487</v>
      </c>
      <c r="U142" s="144"/>
    </row>
    <row r="143" spans="1:21" x14ac:dyDescent="0.35">
      <c r="A143" s="149">
        <v>142</v>
      </c>
      <c r="B143" s="144"/>
      <c r="C143" s="144"/>
      <c r="D143" s="141"/>
      <c r="E143" s="142"/>
      <c r="F143" s="144"/>
      <c r="G143" s="144"/>
      <c r="H143" s="144"/>
      <c r="I143" s="532"/>
      <c r="J143" s="532"/>
      <c r="K143" s="532"/>
      <c r="L143" s="144"/>
      <c r="M143" s="144"/>
      <c r="N143" s="532"/>
      <c r="O143" s="144"/>
      <c r="P143" s="218"/>
      <c r="Q143" s="334"/>
      <c r="R143" s="144"/>
      <c r="S143" s="145"/>
      <c r="T143" s="219"/>
      <c r="U143" s="144"/>
    </row>
    <row r="144" spans="1:21" x14ac:dyDescent="0.35">
      <c r="A144" s="149">
        <v>141</v>
      </c>
      <c r="B144" s="154" t="str">
        <f t="shared" ref="B144:B156" si="77">IF(INDEX(MO_SNA_IsHistoricalPeriod,,MATCH(F144,MO_Common_ColumnHeader,0)),"Historical","Forward")</f>
        <v>Forward</v>
      </c>
      <c r="C144" s="144"/>
      <c r="D144" s="160" t="str">
        <f ca="1">INDEX(INDIRECT(E144),0,COLUMN(MO_Common_Column_A))</f>
        <v>Net Revenue</v>
      </c>
      <c r="E144" s="155" t="s">
        <v>293</v>
      </c>
      <c r="F144" s="154" t="s">
        <v>486</v>
      </c>
      <c r="G144" s="154"/>
      <c r="H144" s="144"/>
      <c r="I144" s="156">
        <v>1900</v>
      </c>
      <c r="J144" s="156">
        <v>2200</v>
      </c>
      <c r="K144" s="156">
        <f t="shared" ref="K144:K156" si="78">AVERAGE(I144:J144)</f>
        <v>2050</v>
      </c>
      <c r="L144" s="144"/>
      <c r="M144" s="154" t="str">
        <f t="shared" ref="M144:M156" si="79">IF(INDEX(MO_SNA_IsHistoricalPeriod,,MATCH(F144,MO_Common_ColumnHeader,0)),"Actual","Estimate")</f>
        <v>Estimate</v>
      </c>
      <c r="N144" s="156" t="str">
        <f t="shared" ref="N144:N149" ca="1" si="80">IFERROR(INDEX(INDIRECT(E144),0,MATCH(F144,MO_Common_ColumnHeader,0)),"N/A")</f>
        <v>N/A</v>
      </c>
      <c r="O144" s="144"/>
      <c r="P144" s="161" t="str">
        <f t="shared" ref="P144:P156" ca="1" si="81">IF(ISNUMBER(N144),N144-K144,"N/A")</f>
        <v>N/A</v>
      </c>
      <c r="Q144" s="162" t="str">
        <f t="shared" ref="Q144:Q156" ca="1" si="82">IFERROR(IF(ISNUMBER(N144),(N144-K144)/ABS(K144),"N/A"),"N/A")</f>
        <v>N/A</v>
      </c>
      <c r="R144" s="144"/>
      <c r="S144" s="157">
        <v>44550</v>
      </c>
      <c r="T144" s="250" t="s">
        <v>487</v>
      </c>
      <c r="U144" s="144"/>
    </row>
    <row r="145" spans="1:21" x14ac:dyDescent="0.35">
      <c r="A145" s="149">
        <v>140</v>
      </c>
      <c r="B145" s="154" t="str">
        <f t="shared" si="77"/>
        <v>Forward</v>
      </c>
      <c r="C145" s="144"/>
      <c r="D145" s="160" t="e">
        <f ca="1">INDEX(INDIRECT(E145),0,COLUMN(MO_Common_Column_A))</f>
        <v>#REF!</v>
      </c>
      <c r="E145" s="155" t="s">
        <v>483</v>
      </c>
      <c r="F145" s="154" t="s">
        <v>486</v>
      </c>
      <c r="G145" s="154"/>
      <c r="H145" s="144"/>
      <c r="I145" s="156">
        <v>250</v>
      </c>
      <c r="J145" s="156">
        <v>350</v>
      </c>
      <c r="K145" s="156">
        <f t="shared" si="78"/>
        <v>300</v>
      </c>
      <c r="L145" s="144"/>
      <c r="M145" s="154" t="str">
        <f t="shared" si="79"/>
        <v>Estimate</v>
      </c>
      <c r="N145" s="156" t="str">
        <f t="shared" ca="1" si="80"/>
        <v>N/A</v>
      </c>
      <c r="O145" s="144"/>
      <c r="P145" s="161" t="str">
        <f t="shared" ca="1" si="81"/>
        <v>N/A</v>
      </c>
      <c r="Q145" s="162" t="str">
        <f t="shared" ca="1" si="82"/>
        <v>N/A</v>
      </c>
      <c r="R145" s="144"/>
      <c r="S145" s="157">
        <v>44550</v>
      </c>
      <c r="T145" s="250" t="s">
        <v>487</v>
      </c>
      <c r="U145" s="144"/>
    </row>
    <row r="146" spans="1:21" x14ac:dyDescent="0.35">
      <c r="A146" s="149">
        <v>139</v>
      </c>
      <c r="B146" s="154" t="str">
        <f t="shared" si="77"/>
        <v>Forward</v>
      </c>
      <c r="C146" s="144"/>
      <c r="D146" s="160" t="str">
        <f ca="1">INDEX(INDIRECT(E146),0,COLUMN(MO_Common_Column_A))</f>
        <v>General Education Revenue, mm</v>
      </c>
      <c r="E146" s="155" t="s">
        <v>590</v>
      </c>
      <c r="F146" s="154" t="s">
        <v>486</v>
      </c>
      <c r="G146" s="154"/>
      <c r="H146" s="144"/>
      <c r="I146" s="156">
        <v>1250</v>
      </c>
      <c r="J146" s="156">
        <v>1400</v>
      </c>
      <c r="K146" s="156">
        <f t="shared" si="78"/>
        <v>1325</v>
      </c>
      <c r="L146" s="144"/>
      <c r="M146" s="154" t="str">
        <f t="shared" si="79"/>
        <v>Estimate</v>
      </c>
      <c r="N146" s="156" t="str">
        <f t="shared" ca="1" si="80"/>
        <v>N/A</v>
      </c>
      <c r="O146" s="144"/>
      <c r="P146" s="161" t="str">
        <f t="shared" ca="1" si="81"/>
        <v>N/A</v>
      </c>
      <c r="Q146" s="162" t="str">
        <f t="shared" ca="1" si="82"/>
        <v>N/A</v>
      </c>
      <c r="R146" s="144"/>
      <c r="S146" s="157">
        <v>44550</v>
      </c>
      <c r="T146" s="250" t="s">
        <v>487</v>
      </c>
      <c r="U146" s="144"/>
    </row>
    <row r="147" spans="1:21" x14ac:dyDescent="0.35">
      <c r="A147" s="149">
        <v>138</v>
      </c>
      <c r="B147" s="154" t="str">
        <f t="shared" si="77"/>
        <v>Forward</v>
      </c>
      <c r="C147" s="144"/>
      <c r="D147" s="160" t="str">
        <f ca="1">INDEX(INDIRECT(E147),0,COLUMN(MO_Common_Column_A))</f>
        <v>General Education average enrollment, 000s students</v>
      </c>
      <c r="E147" s="155" t="s">
        <v>586</v>
      </c>
      <c r="F147" s="154" t="s">
        <v>486</v>
      </c>
      <c r="G147" s="154"/>
      <c r="H147" s="144"/>
      <c r="I147" s="156">
        <v>170</v>
      </c>
      <c r="J147" s="156">
        <v>180</v>
      </c>
      <c r="K147" s="156">
        <f t="shared" si="78"/>
        <v>175</v>
      </c>
      <c r="L147" s="144"/>
      <c r="M147" s="154" t="str">
        <f t="shared" si="79"/>
        <v>Estimate</v>
      </c>
      <c r="N147" s="156" t="str">
        <f t="shared" ca="1" si="80"/>
        <v>N/A</v>
      </c>
      <c r="O147" s="144"/>
      <c r="P147" s="161" t="str">
        <f t="shared" ca="1" si="81"/>
        <v>N/A</v>
      </c>
      <c r="Q147" s="162" t="str">
        <f t="shared" ca="1" si="82"/>
        <v>N/A</v>
      </c>
      <c r="R147" s="144"/>
      <c r="S147" s="157">
        <v>44550</v>
      </c>
      <c r="T147" s="250" t="s">
        <v>487</v>
      </c>
      <c r="U147" s="144"/>
    </row>
    <row r="148" spans="1:21" x14ac:dyDescent="0.35">
      <c r="A148" s="149">
        <v>137</v>
      </c>
      <c r="B148" s="154" t="str">
        <f t="shared" si="77"/>
        <v>Forward</v>
      </c>
      <c r="C148" s="144"/>
      <c r="D148" s="160" t="s">
        <v>600</v>
      </c>
      <c r="E148" s="155"/>
      <c r="F148" s="154" t="s">
        <v>486</v>
      </c>
      <c r="G148" s="154"/>
      <c r="H148" s="144"/>
      <c r="I148" s="418">
        <v>8</v>
      </c>
      <c r="J148" s="418">
        <v>10</v>
      </c>
      <c r="K148" s="418">
        <f t="shared" si="78"/>
        <v>9</v>
      </c>
      <c r="L148" s="144"/>
      <c r="M148" s="154" t="str">
        <f t="shared" si="79"/>
        <v>Estimate</v>
      </c>
      <c r="N148" s="418" t="str">
        <f t="shared" ca="1" si="80"/>
        <v>N/A</v>
      </c>
      <c r="O148" s="144"/>
      <c r="P148" s="419" t="str">
        <f t="shared" ca="1" si="81"/>
        <v>N/A</v>
      </c>
      <c r="Q148" s="162" t="str">
        <f t="shared" ca="1" si="82"/>
        <v>N/A</v>
      </c>
      <c r="R148" s="144"/>
      <c r="S148" s="157">
        <v>44550</v>
      </c>
      <c r="T148" s="250" t="s">
        <v>487</v>
      </c>
      <c r="U148" s="144"/>
    </row>
    <row r="149" spans="1:21" x14ac:dyDescent="0.35">
      <c r="A149" s="149">
        <v>136</v>
      </c>
      <c r="B149" s="154" t="str">
        <f t="shared" si="77"/>
        <v>Forward</v>
      </c>
      <c r="C149" s="144"/>
      <c r="D149" s="160" t="s">
        <v>587</v>
      </c>
      <c r="E149" s="155"/>
      <c r="F149" s="154" t="s">
        <v>486</v>
      </c>
      <c r="G149" s="154"/>
      <c r="H149" s="144"/>
      <c r="I149" s="418">
        <v>34</v>
      </c>
      <c r="J149" s="418">
        <v>36</v>
      </c>
      <c r="K149" s="418">
        <f t="shared" si="78"/>
        <v>35</v>
      </c>
      <c r="L149" s="144"/>
      <c r="M149" s="154" t="str">
        <f t="shared" si="79"/>
        <v>Estimate</v>
      </c>
      <c r="N149" s="418" t="str">
        <f t="shared" ca="1" si="80"/>
        <v>N/A</v>
      </c>
      <c r="O149" s="144"/>
      <c r="P149" s="419" t="str">
        <f t="shared" ca="1" si="81"/>
        <v>N/A</v>
      </c>
      <c r="Q149" s="162" t="str">
        <f t="shared" ca="1" si="82"/>
        <v>N/A</v>
      </c>
      <c r="R149" s="144"/>
      <c r="S149" s="157">
        <v>44550</v>
      </c>
      <c r="T149" s="250" t="s">
        <v>487</v>
      </c>
      <c r="U149" s="144"/>
    </row>
    <row r="150" spans="1:21" x14ac:dyDescent="0.35">
      <c r="A150" s="149">
        <v>135</v>
      </c>
      <c r="B150" s="154" t="str">
        <f t="shared" si="77"/>
        <v>Forward</v>
      </c>
      <c r="C150" s="144"/>
      <c r="D150" s="160" t="str">
        <f ca="1">INDEX(INDIRECT(E150),0,COLUMN(MO_Common_Column_A))</f>
        <v>General Education revenue per enrollment growth (reported), %</v>
      </c>
      <c r="E150" s="155" t="s">
        <v>589</v>
      </c>
      <c r="F150" s="154" t="s">
        <v>486</v>
      </c>
      <c r="G150" s="154"/>
      <c r="H150" s="144"/>
      <c r="I150" s="215">
        <v>0</v>
      </c>
      <c r="J150" s="215">
        <v>0.02</v>
      </c>
      <c r="K150" s="215">
        <f t="shared" si="78"/>
        <v>0.01</v>
      </c>
      <c r="L150" s="144"/>
      <c r="M150" s="154" t="str">
        <f t="shared" si="79"/>
        <v>Estimate</v>
      </c>
      <c r="N150" s="215" t="str">
        <f ca="1">IF(B150="Historical",IFERROR(INDEX(INDIRECT(E150),0,MATCH(F150,MO_Common_ColumnHeader,0)),"N/A"),"N/A")</f>
        <v>N/A</v>
      </c>
      <c r="O150" s="144"/>
      <c r="P150" s="162" t="str">
        <f t="shared" ca="1" si="81"/>
        <v>N/A</v>
      </c>
      <c r="Q150" s="162" t="str">
        <f t="shared" ca="1" si="82"/>
        <v>N/A</v>
      </c>
      <c r="R150" s="144"/>
      <c r="S150" s="157">
        <v>44550</v>
      </c>
      <c r="T150" s="250" t="s">
        <v>487</v>
      </c>
      <c r="U150" s="144"/>
    </row>
    <row r="151" spans="1:21" x14ac:dyDescent="0.35">
      <c r="A151" s="149">
        <v>134</v>
      </c>
      <c r="B151" s="154" t="str">
        <f t="shared" si="77"/>
        <v>Forward</v>
      </c>
      <c r="C151" s="144"/>
      <c r="D151" s="160" t="str">
        <f ca="1">INDEX(INDIRECT(E151),0,COLUMN(MO_Common_Column_A))</f>
        <v>Career Learning Revenue, mm</v>
      </c>
      <c r="E151" s="155" t="s">
        <v>501</v>
      </c>
      <c r="F151" s="154" t="s">
        <v>486</v>
      </c>
      <c r="G151" s="154"/>
      <c r="H151" s="144"/>
      <c r="I151" s="156">
        <v>650</v>
      </c>
      <c r="J151" s="156">
        <v>800</v>
      </c>
      <c r="K151" s="156">
        <f t="shared" si="78"/>
        <v>725</v>
      </c>
      <c r="L151" s="144"/>
      <c r="M151" s="154" t="str">
        <f t="shared" si="79"/>
        <v>Estimate</v>
      </c>
      <c r="N151" s="156" t="str">
        <f ca="1">IFERROR(INDEX(INDIRECT(E151),0,MATCH(F151,MO_Common_ColumnHeader,0)),"N/A")</f>
        <v>N/A</v>
      </c>
      <c r="O151" s="144"/>
      <c r="P151" s="161" t="str">
        <f t="shared" ca="1" si="81"/>
        <v>N/A</v>
      </c>
      <c r="Q151" s="162" t="str">
        <f t="shared" ca="1" si="82"/>
        <v>N/A</v>
      </c>
      <c r="R151" s="144"/>
      <c r="S151" s="157">
        <v>44550</v>
      </c>
      <c r="T151" s="250" t="s">
        <v>487</v>
      </c>
      <c r="U151" s="144"/>
    </row>
    <row r="152" spans="1:21" x14ac:dyDescent="0.35">
      <c r="A152" s="149">
        <v>133</v>
      </c>
      <c r="B152" s="154" t="str">
        <f t="shared" si="77"/>
        <v>Forward</v>
      </c>
      <c r="C152" s="144"/>
      <c r="D152" s="160" t="str">
        <f ca="1">INDEX(INDIRECT(E152),0,COLUMN(MO_Common_Column_A))</f>
        <v>Career Learning - Adult revenue, mm</v>
      </c>
      <c r="E152" s="155" t="s">
        <v>591</v>
      </c>
      <c r="F152" s="154" t="s">
        <v>486</v>
      </c>
      <c r="G152" s="154"/>
      <c r="H152" s="144"/>
      <c r="I152" s="156">
        <v>140</v>
      </c>
      <c r="J152" s="156">
        <v>150</v>
      </c>
      <c r="K152" s="156">
        <f t="shared" si="78"/>
        <v>145</v>
      </c>
      <c r="L152" s="144"/>
      <c r="M152" s="154" t="str">
        <f t="shared" si="79"/>
        <v>Estimate</v>
      </c>
      <c r="N152" s="156" t="str">
        <f ca="1">IFERROR(INDEX(INDIRECT(E152),0,MATCH(F152,MO_Common_ColumnHeader,0)),"N/A")</f>
        <v>N/A</v>
      </c>
      <c r="O152" s="144"/>
      <c r="P152" s="161" t="str">
        <f t="shared" ca="1" si="81"/>
        <v>N/A</v>
      </c>
      <c r="Q152" s="162" t="str">
        <f t="shared" ca="1" si="82"/>
        <v>N/A</v>
      </c>
      <c r="R152" s="144"/>
      <c r="S152" s="157">
        <v>44550</v>
      </c>
      <c r="T152" s="250" t="s">
        <v>487</v>
      </c>
      <c r="U152" s="144"/>
    </row>
    <row r="153" spans="1:21" x14ac:dyDescent="0.35">
      <c r="A153" s="149">
        <v>132</v>
      </c>
      <c r="B153" s="154" t="str">
        <f t="shared" si="77"/>
        <v>Forward</v>
      </c>
      <c r="C153" s="144"/>
      <c r="D153" s="160" t="str">
        <f ca="1">INDEX(INDIRECT(E153),0,COLUMN(MO_Common_Column_A))</f>
        <v>Career Learning average enrollment, 000s students</v>
      </c>
      <c r="E153" s="155" t="s">
        <v>592</v>
      </c>
      <c r="F153" s="154" t="s">
        <v>486</v>
      </c>
      <c r="G153" s="154"/>
      <c r="H153" s="144"/>
      <c r="I153" s="156">
        <v>80</v>
      </c>
      <c r="J153" s="156">
        <v>85</v>
      </c>
      <c r="K153" s="156">
        <f t="shared" si="78"/>
        <v>82.5</v>
      </c>
      <c r="L153" s="144"/>
      <c r="M153" s="154" t="str">
        <f t="shared" si="79"/>
        <v>Estimate</v>
      </c>
      <c r="N153" s="156" t="str">
        <f ca="1">IFERROR(INDEX(INDIRECT(E153),0,MATCH(F153,MO_Common_ColumnHeader,0)),"N/A")</f>
        <v>N/A</v>
      </c>
      <c r="O153" s="144"/>
      <c r="P153" s="161" t="str">
        <f t="shared" ca="1" si="81"/>
        <v>N/A</v>
      </c>
      <c r="Q153" s="162" t="str">
        <f t="shared" ca="1" si="82"/>
        <v>N/A</v>
      </c>
      <c r="R153" s="144"/>
      <c r="S153" s="157">
        <v>44550</v>
      </c>
      <c r="T153" s="250" t="s">
        <v>487</v>
      </c>
      <c r="U153" s="144"/>
    </row>
    <row r="154" spans="1:21" x14ac:dyDescent="0.35">
      <c r="A154" s="149">
        <v>131</v>
      </c>
      <c r="B154" s="154" t="str">
        <f t="shared" si="77"/>
        <v>Forward</v>
      </c>
      <c r="C154" s="144"/>
      <c r="D154" s="160" t="s">
        <v>593</v>
      </c>
      <c r="E154" s="155"/>
      <c r="F154" s="154" t="s">
        <v>486</v>
      </c>
      <c r="G154" s="154"/>
      <c r="H154" s="144"/>
      <c r="I154" s="418">
        <v>15</v>
      </c>
      <c r="J154" s="418">
        <v>20</v>
      </c>
      <c r="K154" s="418">
        <f t="shared" si="78"/>
        <v>17.5</v>
      </c>
      <c r="L154" s="144"/>
      <c r="M154" s="154" t="str">
        <f t="shared" si="79"/>
        <v>Estimate</v>
      </c>
      <c r="N154" s="418" t="str">
        <f ca="1">IFERROR(INDEX(INDIRECT(E154),0,MATCH(F154,MO_Common_ColumnHeader,0)),"N/A")</f>
        <v>N/A</v>
      </c>
      <c r="O154" s="144"/>
      <c r="P154" s="419" t="str">
        <f t="shared" ca="1" si="81"/>
        <v>N/A</v>
      </c>
      <c r="Q154" s="162" t="str">
        <f t="shared" ca="1" si="82"/>
        <v>N/A</v>
      </c>
      <c r="R154" s="144"/>
      <c r="S154" s="157">
        <v>44550</v>
      </c>
      <c r="T154" s="250" t="s">
        <v>487</v>
      </c>
      <c r="U154" s="144"/>
    </row>
    <row r="155" spans="1:21" x14ac:dyDescent="0.35">
      <c r="A155" s="149">
        <v>130</v>
      </c>
      <c r="B155" s="154" t="str">
        <f t="shared" si="77"/>
        <v>Forward</v>
      </c>
      <c r="C155" s="144"/>
      <c r="D155" s="160" t="s">
        <v>594</v>
      </c>
      <c r="E155" s="155"/>
      <c r="F155" s="154" t="s">
        <v>486</v>
      </c>
      <c r="G155" s="154"/>
      <c r="H155" s="144"/>
      <c r="I155" s="418">
        <v>30</v>
      </c>
      <c r="J155" s="418">
        <v>36</v>
      </c>
      <c r="K155" s="418">
        <f t="shared" si="78"/>
        <v>33</v>
      </c>
      <c r="L155" s="144"/>
      <c r="M155" s="154" t="str">
        <f t="shared" si="79"/>
        <v>Estimate</v>
      </c>
      <c r="N155" s="418" t="str">
        <f ca="1">IFERROR(INDEX(INDIRECT(E155),0,MATCH(F155,MO_Common_ColumnHeader,0)),"N/A")</f>
        <v>N/A</v>
      </c>
      <c r="O155" s="144"/>
      <c r="P155" s="419" t="str">
        <f t="shared" ca="1" si="81"/>
        <v>N/A</v>
      </c>
      <c r="Q155" s="162" t="str">
        <f t="shared" ca="1" si="82"/>
        <v>N/A</v>
      </c>
      <c r="R155" s="144"/>
      <c r="S155" s="157">
        <v>44550</v>
      </c>
      <c r="T155" s="250" t="s">
        <v>487</v>
      </c>
      <c r="U155" s="144"/>
    </row>
    <row r="156" spans="1:21" x14ac:dyDescent="0.35">
      <c r="A156" s="149">
        <v>129</v>
      </c>
      <c r="B156" s="154" t="str">
        <f t="shared" si="77"/>
        <v>Forward</v>
      </c>
      <c r="C156" s="144"/>
      <c r="D156" s="160" t="str">
        <f ca="1">INDEX(INDIRECT(E156),0,COLUMN(MO_Common_Column_A))</f>
        <v>Career Learning revenue per enrollment growth (reported), %</v>
      </c>
      <c r="E156" s="155" t="s">
        <v>595</v>
      </c>
      <c r="F156" s="154" t="s">
        <v>486</v>
      </c>
      <c r="G156" s="154"/>
      <c r="H156" s="144"/>
      <c r="I156" s="215">
        <v>0</v>
      </c>
      <c r="J156" s="215">
        <v>0.02</v>
      </c>
      <c r="K156" s="215">
        <f t="shared" si="78"/>
        <v>0.01</v>
      </c>
      <c r="L156" s="144"/>
      <c r="M156" s="154" t="str">
        <f t="shared" si="79"/>
        <v>Estimate</v>
      </c>
      <c r="N156" s="215" t="str">
        <f ca="1">IF(B156="Historical",IFERROR(INDEX(INDIRECT(E156),0,MATCH(F156,MO_Common_ColumnHeader,0)),"N/A"),"N/A")</f>
        <v>N/A</v>
      </c>
      <c r="O156" s="144"/>
      <c r="P156" s="162" t="str">
        <f t="shared" ca="1" si="81"/>
        <v>N/A</v>
      </c>
      <c r="Q156" s="162" t="str">
        <f t="shared" ca="1" si="82"/>
        <v>N/A</v>
      </c>
      <c r="R156" s="144"/>
      <c r="S156" s="157">
        <v>44550</v>
      </c>
      <c r="T156" s="250" t="s">
        <v>487</v>
      </c>
      <c r="U156" s="144"/>
    </row>
    <row r="157" spans="1:21" x14ac:dyDescent="0.35">
      <c r="A157" s="149">
        <v>128</v>
      </c>
      <c r="B157" s="144"/>
      <c r="C157" s="144"/>
      <c r="D157" s="141"/>
      <c r="E157" s="142"/>
      <c r="F157" s="144"/>
      <c r="G157" s="144"/>
      <c r="H157" s="144"/>
      <c r="I157" s="532"/>
      <c r="J157" s="532"/>
      <c r="K157" s="532"/>
      <c r="L157" s="144"/>
      <c r="M157" s="144"/>
      <c r="N157" s="532"/>
      <c r="O157" s="144"/>
      <c r="P157" s="218"/>
      <c r="Q157" s="334"/>
      <c r="R157" s="144"/>
      <c r="S157" s="145"/>
      <c r="T157" s="219"/>
      <c r="U157" s="144"/>
    </row>
    <row r="158" spans="1:21" x14ac:dyDescent="0.35">
      <c r="A158" s="149">
        <v>127</v>
      </c>
      <c r="B158" s="154" t="str">
        <f t="shared" ref="B158:B163" si="83">IF(INDEX(MO_SNA_IsHistoricalPeriod,,MATCH(F158,MO_Common_ColumnHeader,0)),"Historical","Forward")</f>
        <v>Historical</v>
      </c>
      <c r="C158" s="144"/>
      <c r="D158" s="160" t="str">
        <f t="shared" ref="D158:D164" ca="1" si="84">INDEX(INDIRECT(E158),0,COLUMN(MO_Common_Column_A))</f>
        <v>Net Revenue</v>
      </c>
      <c r="E158" s="155" t="s">
        <v>293</v>
      </c>
      <c r="F158" s="154" t="s">
        <v>584</v>
      </c>
      <c r="G158" s="154"/>
      <c r="H158" s="144"/>
      <c r="I158" s="156">
        <v>1560</v>
      </c>
      <c r="J158" s="156">
        <v>1600</v>
      </c>
      <c r="K158" s="156">
        <f t="shared" ref="K158:K163" si="85">AVERAGE(I158:J158)</f>
        <v>1580</v>
      </c>
      <c r="L158" s="144"/>
      <c r="M158" s="154" t="str">
        <f t="shared" ref="M158:M163" si="86">IF(INDEX(MO_SNA_IsHistoricalPeriod,,MATCH(F158,MO_Common_ColumnHeader,0)),"Actual","Estimate")</f>
        <v>Actual</v>
      </c>
      <c r="N158" s="156">
        <f ca="1">IFERROR(INDEX(INDIRECT(E158),0,MATCH(F158,MO_Common_ColumnHeader,0)),"N/A")</f>
        <v>1686.6659999999999</v>
      </c>
      <c r="O158" s="144"/>
      <c r="P158" s="161">
        <f t="shared" ref="P158:P163" ca="1" si="87">IF(ISNUMBER(N158),N158-K158,"N/A")</f>
        <v>106.66599999999994</v>
      </c>
      <c r="Q158" s="162">
        <f t="shared" ref="Q158:Q163" ca="1" si="88">IFERROR(IF(ISNUMBER(N158),(N158-K158)/ABS(K158),"N/A"),"N/A")</f>
        <v>6.7510126582278437E-2</v>
      </c>
      <c r="R158" s="144"/>
      <c r="S158" s="157">
        <v>44550</v>
      </c>
      <c r="T158" s="250" t="s">
        <v>487</v>
      </c>
      <c r="U158" s="144"/>
    </row>
    <row r="159" spans="1:21" x14ac:dyDescent="0.35">
      <c r="A159" s="149">
        <v>126</v>
      </c>
      <c r="B159" s="154" t="str">
        <f t="shared" si="83"/>
        <v>Historical</v>
      </c>
      <c r="C159" s="144"/>
      <c r="D159" s="160" t="str">
        <f t="shared" ca="1" si="84"/>
        <v>EBIT</v>
      </c>
      <c r="E159" s="155" t="s">
        <v>298</v>
      </c>
      <c r="F159" s="154" t="s">
        <v>584</v>
      </c>
      <c r="G159" s="154"/>
      <c r="H159" s="144"/>
      <c r="I159" s="156">
        <v>123</v>
      </c>
      <c r="J159" s="156">
        <v>136</v>
      </c>
      <c r="K159" s="156">
        <f t="shared" si="85"/>
        <v>129.5</v>
      </c>
      <c r="L159" s="144"/>
      <c r="M159" s="154" t="str">
        <f t="shared" si="86"/>
        <v>Actual</v>
      </c>
      <c r="N159" s="156">
        <f ca="1">IFERROR(INDEX(INDIRECT(E159),0,MATCH(F159,MO_Common_ColumnHeader,0)),"N/A")</f>
        <v>156.62799999999993</v>
      </c>
      <c r="O159" s="144"/>
      <c r="P159" s="161">
        <f t="shared" ca="1" si="87"/>
        <v>27.127999999999929</v>
      </c>
      <c r="Q159" s="162">
        <f t="shared" ca="1" si="88"/>
        <v>0.20948262548262495</v>
      </c>
      <c r="R159" s="144"/>
      <c r="S159" s="157">
        <v>44550</v>
      </c>
      <c r="T159" s="250" t="s">
        <v>487</v>
      </c>
      <c r="U159" s="144"/>
    </row>
    <row r="160" spans="1:21" x14ac:dyDescent="0.35">
      <c r="A160" s="149">
        <v>125</v>
      </c>
      <c r="B160" s="154" t="str">
        <f t="shared" si="83"/>
        <v>Historical</v>
      </c>
      <c r="C160" s="144"/>
      <c r="D160" s="160" t="str">
        <f t="shared" ca="1" si="84"/>
        <v>Add back: SBC</v>
      </c>
      <c r="E160" s="155" t="s">
        <v>415</v>
      </c>
      <c r="F160" s="154" t="s">
        <v>584</v>
      </c>
      <c r="G160" s="154"/>
      <c r="H160" s="144"/>
      <c r="I160" s="156">
        <v>29</v>
      </c>
      <c r="J160" s="156">
        <v>31</v>
      </c>
      <c r="K160" s="156">
        <f t="shared" si="85"/>
        <v>30</v>
      </c>
      <c r="L160" s="144"/>
      <c r="M160" s="154" t="str">
        <f t="shared" si="86"/>
        <v>Actual</v>
      </c>
      <c r="N160" s="156">
        <f ca="1">IFERROR(INDEX(INDIRECT(E160),0,MATCH(F160,MO_Common_ColumnHeader,0)),"N/A")</f>
        <v>18.57</v>
      </c>
      <c r="O160" s="144"/>
      <c r="P160" s="161">
        <f t="shared" ca="1" si="87"/>
        <v>-11.43</v>
      </c>
      <c r="Q160" s="162">
        <f t="shared" ca="1" si="88"/>
        <v>-0.38100000000000001</v>
      </c>
      <c r="R160" s="144"/>
      <c r="S160" s="157">
        <v>44550</v>
      </c>
      <c r="T160" s="250" t="s">
        <v>487</v>
      </c>
      <c r="U160" s="144"/>
    </row>
    <row r="161" spans="1:21" x14ac:dyDescent="0.35">
      <c r="A161" s="149">
        <v>124</v>
      </c>
      <c r="B161" s="154" t="str">
        <f t="shared" si="83"/>
        <v>Historical</v>
      </c>
      <c r="C161" s="144"/>
      <c r="D161" s="160" t="str">
        <f t="shared" ca="1" si="84"/>
        <v>Amortization of intangible assets, mm</v>
      </c>
      <c r="E161" s="155" t="s">
        <v>543</v>
      </c>
      <c r="F161" s="154" t="s">
        <v>584</v>
      </c>
      <c r="G161" s="154"/>
      <c r="H161" s="144"/>
      <c r="I161" s="156">
        <v>13</v>
      </c>
      <c r="J161" s="156">
        <v>13</v>
      </c>
      <c r="K161" s="156">
        <f t="shared" si="85"/>
        <v>13</v>
      </c>
      <c r="L161" s="144"/>
      <c r="M161" s="154" t="str">
        <f t="shared" si="86"/>
        <v>Actual</v>
      </c>
      <c r="N161" s="156">
        <f ca="1">IFERROR(INDEX(INDIRECT(E161),0,MATCH(F161,MO_Common_ColumnHeader,0)),"N/A")</f>
        <v>12.968</v>
      </c>
      <c r="O161" s="144"/>
      <c r="P161" s="161">
        <f t="shared" ca="1" si="87"/>
        <v>-3.2000000000000028E-2</v>
      </c>
      <c r="Q161" s="162">
        <f t="shared" ca="1" si="88"/>
        <v>-2.4615384615384638E-3</v>
      </c>
      <c r="R161" s="144"/>
      <c r="S161" s="157">
        <v>44550</v>
      </c>
      <c r="T161" s="250" t="s">
        <v>487</v>
      </c>
      <c r="U161" s="144"/>
    </row>
    <row r="162" spans="1:21" x14ac:dyDescent="0.35">
      <c r="A162" s="149">
        <v>123</v>
      </c>
      <c r="B162" s="154" t="str">
        <f t="shared" si="83"/>
        <v>Historical</v>
      </c>
      <c r="C162" s="144"/>
      <c r="D162" s="160" t="e">
        <f t="shared" ca="1" si="84"/>
        <v>#REF!</v>
      </c>
      <c r="E162" s="155" t="s">
        <v>483</v>
      </c>
      <c r="F162" s="154" t="s">
        <v>584</v>
      </c>
      <c r="G162" s="154"/>
      <c r="H162" s="144"/>
      <c r="I162" s="156">
        <v>165</v>
      </c>
      <c r="J162" s="156">
        <v>180</v>
      </c>
      <c r="K162" s="156">
        <f t="shared" si="85"/>
        <v>172.5</v>
      </c>
      <c r="L162" s="144"/>
      <c r="M162" s="154" t="str">
        <f t="shared" si="86"/>
        <v>Actual</v>
      </c>
      <c r="N162" s="156">
        <f ca="1">IFERROR(INDEX(INDIRECT(E162),0,MATCH(F162,MO_Common_ColumnHeader,0)),"N/A")</f>
        <v>188.16599999999994</v>
      </c>
      <c r="O162" s="144"/>
      <c r="P162" s="161">
        <f t="shared" ca="1" si="87"/>
        <v>15.66599999999994</v>
      </c>
      <c r="Q162" s="162">
        <f t="shared" ca="1" si="88"/>
        <v>9.0817391304347475E-2</v>
      </c>
      <c r="R162" s="144"/>
      <c r="S162" s="157">
        <v>44550</v>
      </c>
      <c r="T162" s="250" t="s">
        <v>487</v>
      </c>
      <c r="U162" s="144"/>
    </row>
    <row r="163" spans="1:21" x14ac:dyDescent="0.35">
      <c r="A163" s="149">
        <v>122</v>
      </c>
      <c r="B163" s="154" t="str">
        <f t="shared" si="83"/>
        <v>Historical</v>
      </c>
      <c r="C163" s="144"/>
      <c r="D163" s="160" t="str">
        <f t="shared" ca="1" si="84"/>
        <v>General Education revenue per enrollment (reported), $/enrollment</v>
      </c>
      <c r="E163" s="155" t="s">
        <v>588</v>
      </c>
      <c r="F163" s="154" t="s">
        <v>584</v>
      </c>
      <c r="G163" s="154"/>
      <c r="H163" s="144"/>
      <c r="I163" s="420">
        <v>8000</v>
      </c>
      <c r="J163" s="420">
        <v>8000</v>
      </c>
      <c r="K163" s="420">
        <f t="shared" si="85"/>
        <v>8000</v>
      </c>
      <c r="L163" s="144"/>
      <c r="M163" s="154" t="str">
        <f t="shared" si="86"/>
        <v>Actual</v>
      </c>
      <c r="N163" s="420">
        <f ca="1">IF(B163="Historical",IFERROR(INDEX(INDIRECT(E163),0,MATCH(F163,MO_Common_ColumnHeader,0)),"N/A"),"N/A")</f>
        <v>8104</v>
      </c>
      <c r="O163" s="144"/>
      <c r="P163" s="421">
        <f t="shared" ca="1" si="87"/>
        <v>104</v>
      </c>
      <c r="Q163" s="162">
        <f t="shared" ca="1" si="88"/>
        <v>1.2999999999999999E-2</v>
      </c>
      <c r="R163" s="144"/>
      <c r="S163" s="157">
        <v>44550</v>
      </c>
      <c r="T163" s="250" t="s">
        <v>487</v>
      </c>
      <c r="U163" s="144"/>
    </row>
    <row r="164" spans="1:21" x14ac:dyDescent="0.35">
      <c r="A164" s="149">
        <v>121</v>
      </c>
      <c r="B164" s="154" t="str">
        <f>IF(INDEX(MO_SNA_IsHistoricalPeriod,,MATCH(F164,MO_Common_ColumnHeader,0)),"Historical","Forward")</f>
        <v>Historical</v>
      </c>
      <c r="C164" s="144"/>
      <c r="D164" s="160" t="str">
        <f t="shared" ca="1" si="84"/>
        <v>Career Learning revenue per enrollment (reported), $/enrollment</v>
      </c>
      <c r="E164" s="155" t="s">
        <v>596</v>
      </c>
      <c r="F164" s="154" t="s">
        <v>584</v>
      </c>
      <c r="G164" s="154"/>
      <c r="H164" s="144"/>
      <c r="I164" s="420">
        <v>7600</v>
      </c>
      <c r="J164" s="420">
        <v>7600</v>
      </c>
      <c r="K164" s="420">
        <f>AVERAGE(I164:J164)</f>
        <v>7600</v>
      </c>
      <c r="L164" s="144"/>
      <c r="M164" s="154" t="str">
        <f>IF(INDEX(MO_SNA_IsHistoricalPeriod,,MATCH(F164,MO_Common_ColumnHeader,0)),"Actual","Estimate")</f>
        <v>Actual</v>
      </c>
      <c r="N164" s="420">
        <f ca="1">IF(B164="Historical",IFERROR(INDEX(INDIRECT(E164),0,MATCH(F164,MO_Common_ColumnHeader,0)),"N/A"),"N/A")</f>
        <v>7640</v>
      </c>
      <c r="O164" s="144"/>
      <c r="P164" s="421">
        <f ca="1">IF(ISNUMBER(N164),N164-K164,"N/A")</f>
        <v>40</v>
      </c>
      <c r="Q164" s="162">
        <f ca="1">IFERROR(IF(ISNUMBER(N164),(N164-K164)/ABS(K164),"N/A"),"N/A")</f>
        <v>5.263157894736842E-3</v>
      </c>
      <c r="R164" s="144"/>
      <c r="S164" s="157">
        <v>44550</v>
      </c>
      <c r="T164" s="250" t="s">
        <v>487</v>
      </c>
      <c r="U164" s="144"/>
    </row>
    <row r="165" spans="1:21" x14ac:dyDescent="0.35">
      <c r="A165" s="149">
        <v>120</v>
      </c>
      <c r="B165" s="144"/>
      <c r="C165" s="144"/>
      <c r="D165" s="141"/>
      <c r="E165" s="142"/>
      <c r="F165" s="144"/>
      <c r="G165" s="144"/>
      <c r="H165" s="144"/>
      <c r="I165" s="532"/>
      <c r="J165" s="532"/>
      <c r="K165" s="532"/>
      <c r="L165" s="144"/>
      <c r="M165" s="144"/>
      <c r="N165" s="532"/>
      <c r="O165" s="144"/>
      <c r="P165" s="218"/>
      <c r="Q165" s="334"/>
      <c r="R165" s="144"/>
      <c r="S165" s="145"/>
      <c r="T165" s="219"/>
      <c r="U165" s="144"/>
    </row>
    <row r="166" spans="1:21" x14ac:dyDescent="0.35">
      <c r="A166" s="149">
        <v>119</v>
      </c>
      <c r="B166" s="154" t="str">
        <f>IF(INDEX(MO_SNA_IsHistoricalPeriod,,MATCH(F166,MO_Common_ColumnHeader,0)),"Historical","Forward")</f>
        <v>Historical</v>
      </c>
      <c r="C166" s="144"/>
      <c r="D166" s="160" t="str">
        <f ca="1">INDEX(INDIRECT(E166),0,COLUMN(MO_Common_Column_A))</f>
        <v>EBIT</v>
      </c>
      <c r="E166" s="155" t="s">
        <v>298</v>
      </c>
      <c r="F166" s="154" t="s">
        <v>585</v>
      </c>
      <c r="G166" s="154"/>
      <c r="H166" s="144"/>
      <c r="I166" s="156">
        <v>44.3</v>
      </c>
      <c r="J166" s="156">
        <v>48.8</v>
      </c>
      <c r="K166" s="156">
        <f>AVERAGE(I166:J166)</f>
        <v>46.55</v>
      </c>
      <c r="L166" s="144"/>
      <c r="M166" s="154" t="str">
        <f>IF(INDEX(MO_SNA_IsHistoricalPeriod,,MATCH(F166,MO_Common_ColumnHeader,0)),"Actual","Estimate")</f>
        <v>Actual</v>
      </c>
      <c r="N166" s="156">
        <f ca="1">IFERROR(INDEX(INDIRECT(E166),0,MATCH(F166,MO_Common_ColumnHeader,0)),"N/A")</f>
        <v>56.91500000000002</v>
      </c>
      <c r="O166" s="144"/>
      <c r="P166" s="161">
        <f ca="1">IF(ISNUMBER(N166),N166-K166,"N/A")</f>
        <v>10.365000000000023</v>
      </c>
      <c r="Q166" s="162">
        <f ca="1">IFERROR(IF(ISNUMBER(N166),(N166-K166)/ABS(K166),"N/A"),"N/A")</f>
        <v>0.222663802363051</v>
      </c>
      <c r="R166" s="144"/>
      <c r="S166" s="157">
        <v>44550</v>
      </c>
      <c r="T166" s="250" t="s">
        <v>487</v>
      </c>
      <c r="U166" s="144"/>
    </row>
    <row r="167" spans="1:21" x14ac:dyDescent="0.35">
      <c r="A167" s="149">
        <v>118</v>
      </c>
      <c r="B167" s="154" t="str">
        <f>IF(INDEX(MO_SNA_IsHistoricalPeriod,,MATCH(F167,MO_Common_ColumnHeader,0)),"Historical","Forward")</f>
        <v>Historical</v>
      </c>
      <c r="C167" s="144"/>
      <c r="D167" s="160" t="str">
        <f ca="1">INDEX(INDIRECT(E167),0,COLUMN(MO_Common_Column_A))</f>
        <v>Add back: SBC</v>
      </c>
      <c r="E167" s="155" t="s">
        <v>415</v>
      </c>
      <c r="F167" s="154" t="s">
        <v>585</v>
      </c>
      <c r="G167" s="154"/>
      <c r="H167" s="144"/>
      <c r="I167" s="156">
        <v>7.5</v>
      </c>
      <c r="J167" s="156">
        <v>8</v>
      </c>
      <c r="K167" s="156">
        <f>AVERAGE(I167:J167)</f>
        <v>7.75</v>
      </c>
      <c r="L167" s="144"/>
      <c r="M167" s="154" t="str">
        <f>IF(INDEX(MO_SNA_IsHistoricalPeriod,,MATCH(F167,MO_Common_ColumnHeader,0)),"Actual","Estimate")</f>
        <v>Actual</v>
      </c>
      <c r="N167" s="156">
        <f ca="1">IFERROR(INDEX(INDIRECT(E167),0,MATCH(F167,MO_Common_ColumnHeader,0)),"N/A")</f>
        <v>0.60200000000000031</v>
      </c>
      <c r="O167" s="144"/>
      <c r="P167" s="161">
        <f ca="1">IF(ISNUMBER(N167),N167-K167,"N/A")</f>
        <v>-7.1479999999999997</v>
      </c>
      <c r="Q167" s="162">
        <f ca="1">IFERROR(IF(ISNUMBER(N167),(N167-K167)/ABS(K167),"N/A"),"N/A")</f>
        <v>-0.92232258064516126</v>
      </c>
      <c r="R167" s="144"/>
      <c r="S167" s="157">
        <v>44550</v>
      </c>
      <c r="T167" s="250" t="s">
        <v>487</v>
      </c>
      <c r="U167" s="144"/>
    </row>
    <row r="168" spans="1:21" x14ac:dyDescent="0.35">
      <c r="A168" s="149">
        <v>117</v>
      </c>
      <c r="B168" s="154" t="str">
        <f>IF(INDEX(MO_SNA_IsHistoricalPeriod,,MATCH(F168,MO_Common_ColumnHeader,0)),"Historical","Forward")</f>
        <v>Historical</v>
      </c>
      <c r="C168" s="144"/>
      <c r="D168" s="160" t="str">
        <f ca="1">INDEX(INDIRECT(E168),0,COLUMN(MO_Common_Column_A))</f>
        <v>Amortization of intangible assets, mm</v>
      </c>
      <c r="E168" s="155" t="s">
        <v>543</v>
      </c>
      <c r="F168" s="154" t="s">
        <v>585</v>
      </c>
      <c r="G168" s="154"/>
      <c r="H168" s="144"/>
      <c r="I168" s="156">
        <v>3.2</v>
      </c>
      <c r="J168" s="156">
        <v>3.2</v>
      </c>
      <c r="K168" s="156">
        <f>AVERAGE(I168:J168)</f>
        <v>3.2</v>
      </c>
      <c r="L168" s="144"/>
      <c r="M168" s="154" t="str">
        <f>IF(INDEX(MO_SNA_IsHistoricalPeriod,,MATCH(F168,MO_Common_ColumnHeader,0)),"Actual","Estimate")</f>
        <v>Actual</v>
      </c>
      <c r="N168" s="156">
        <f ca="1">IFERROR(INDEX(INDIRECT(E168),0,MATCH(F168,MO_Common_ColumnHeader,0)),"N/A")</f>
        <v>3.214</v>
      </c>
      <c r="O168" s="144"/>
      <c r="P168" s="161">
        <f ca="1">IF(ISNUMBER(N168),N168-K168,"N/A")</f>
        <v>1.399999999999979E-2</v>
      </c>
      <c r="Q168" s="162">
        <f ca="1">IFERROR(IF(ISNUMBER(N168),(N168-K168)/ABS(K168),"N/A"),"N/A")</f>
        <v>4.3749999999999345E-3</v>
      </c>
      <c r="R168" s="144"/>
      <c r="S168" s="157">
        <v>44550</v>
      </c>
      <c r="T168" s="250" t="s">
        <v>487</v>
      </c>
      <c r="U168" s="144"/>
    </row>
    <row r="169" spans="1:21" x14ac:dyDescent="0.35">
      <c r="A169" s="149">
        <v>116</v>
      </c>
      <c r="B169" s="154" t="str">
        <f>IF(INDEX(MO_SNA_IsHistoricalPeriod,,MATCH(F169,MO_Common_ColumnHeader,0)),"Historical","Forward")</f>
        <v>Historical</v>
      </c>
      <c r="C169" s="144"/>
      <c r="D169" s="160" t="e">
        <f ca="1">INDEX(INDIRECT(E169),0,COLUMN(MO_Common_Column_A))</f>
        <v>#REF!</v>
      </c>
      <c r="E169" s="155" t="s">
        <v>483</v>
      </c>
      <c r="F169" s="154" t="s">
        <v>585</v>
      </c>
      <c r="G169" s="154"/>
      <c r="H169" s="144"/>
      <c r="I169" s="156">
        <v>55</v>
      </c>
      <c r="J169" s="156">
        <v>60</v>
      </c>
      <c r="K169" s="156">
        <f>AVERAGE(I169:J169)</f>
        <v>57.5</v>
      </c>
      <c r="L169" s="144"/>
      <c r="M169" s="154" t="str">
        <f>IF(INDEX(MO_SNA_IsHistoricalPeriod,,MATCH(F169,MO_Common_ColumnHeader,0)),"Actual","Estimate")</f>
        <v>Actual</v>
      </c>
      <c r="N169" s="156">
        <f ca="1">IFERROR(INDEX(INDIRECT(E169),0,MATCH(F169,MO_Common_ColumnHeader,0)),"N/A")</f>
        <v>60.731000000000023</v>
      </c>
      <c r="O169" s="144"/>
      <c r="P169" s="161">
        <f ca="1">IF(ISNUMBER(N169),N169-K169,"N/A")</f>
        <v>3.231000000000023</v>
      </c>
      <c r="Q169" s="162">
        <f ca="1">IFERROR(IF(ISNUMBER(N169),(N169-K169)/ABS(K169),"N/A"),"N/A")</f>
        <v>5.6191304347826487E-2</v>
      </c>
      <c r="R169" s="144"/>
      <c r="S169" s="157">
        <v>44550</v>
      </c>
      <c r="T169" s="250" t="s">
        <v>487</v>
      </c>
      <c r="U169" s="144"/>
    </row>
    <row r="170" spans="1:21" x14ac:dyDescent="0.35">
      <c r="A170" s="149">
        <v>115</v>
      </c>
      <c r="B170" s="144"/>
      <c r="C170" s="144"/>
      <c r="D170" s="141"/>
      <c r="E170" s="142"/>
      <c r="F170" s="144"/>
      <c r="G170" s="144"/>
      <c r="H170" s="144"/>
      <c r="I170" s="532"/>
      <c r="J170" s="532"/>
      <c r="K170" s="532"/>
      <c r="L170" s="144"/>
      <c r="M170" s="144"/>
      <c r="N170" s="532"/>
      <c r="O170" s="144"/>
      <c r="P170" s="218"/>
      <c r="Q170" s="334"/>
      <c r="R170" s="144"/>
      <c r="S170" s="145"/>
      <c r="T170" s="219"/>
      <c r="U170" s="144"/>
    </row>
    <row r="171" spans="1:21" x14ac:dyDescent="0.35">
      <c r="A171" s="149">
        <v>114</v>
      </c>
      <c r="B171" s="154" t="str">
        <f t="shared" ref="B171:B177" si="89">IF(INDEX(MO_SNA_IsHistoricalPeriod,,MATCH(F171,MO_Common_ColumnHeader,0)),"Historical","Forward")</f>
        <v>Historical</v>
      </c>
      <c r="C171" s="144"/>
      <c r="D171" s="160" t="str">
        <f ca="1">INDEX(INDIRECT(E171),0,COLUMN(MO_Common_Column_A))</f>
        <v>Net Revenue</v>
      </c>
      <c r="E171" s="155" t="s">
        <v>293</v>
      </c>
      <c r="F171" s="154" t="s">
        <v>584</v>
      </c>
      <c r="G171" s="154"/>
      <c r="H171" s="144"/>
      <c r="I171" s="156">
        <v>1560</v>
      </c>
      <c r="J171" s="156">
        <v>1600</v>
      </c>
      <c r="K171" s="156">
        <f t="shared" ref="K171:K177" si="90">AVERAGE(I171:J171)</f>
        <v>1580</v>
      </c>
      <c r="L171" s="144"/>
      <c r="M171" s="154" t="str">
        <f t="shared" ref="M171:M177" si="91">IF(INDEX(MO_SNA_IsHistoricalPeriod,,MATCH(F171,MO_Common_ColumnHeader,0)),"Actual","Estimate")</f>
        <v>Actual</v>
      </c>
      <c r="N171" s="156">
        <f ca="1">IFERROR(INDEX(INDIRECT(E171),0,MATCH(F171,MO_Common_ColumnHeader,0)),"N/A")</f>
        <v>1686.6659999999999</v>
      </c>
      <c r="O171" s="144"/>
      <c r="P171" s="161">
        <f t="shared" ref="P171:P177" ca="1" si="92">IF(ISNUMBER(N171),N171-K171,"N/A")</f>
        <v>106.66599999999994</v>
      </c>
      <c r="Q171" s="162">
        <f t="shared" ref="Q171:Q177" ca="1" si="93">IFERROR(IF(ISNUMBER(N171),(N171-K171)/ABS(K171),"N/A"),"N/A")</f>
        <v>6.7510126582278437E-2</v>
      </c>
      <c r="R171" s="144"/>
      <c r="S171" s="157">
        <v>44488</v>
      </c>
      <c r="T171" s="250" t="s">
        <v>295</v>
      </c>
      <c r="U171" s="144"/>
    </row>
    <row r="172" spans="1:21" x14ac:dyDescent="0.35">
      <c r="A172" s="149">
        <v>113</v>
      </c>
      <c r="B172" s="154" t="str">
        <f t="shared" si="89"/>
        <v>Historical</v>
      </c>
      <c r="C172" s="144"/>
      <c r="D172" s="160" t="str">
        <f ca="1">INDEX(INDIRECT(E172),0,COLUMN(MO_Common_Column_A))</f>
        <v>Capex</v>
      </c>
      <c r="E172" s="155" t="s">
        <v>296</v>
      </c>
      <c r="F172" s="154" t="s">
        <v>584</v>
      </c>
      <c r="G172" s="154"/>
      <c r="H172" s="144"/>
      <c r="I172" s="156">
        <v>-75</v>
      </c>
      <c r="J172" s="156">
        <v>-65</v>
      </c>
      <c r="K172" s="156">
        <f t="shared" si="90"/>
        <v>-70</v>
      </c>
      <c r="L172" s="144"/>
      <c r="M172" s="154" t="str">
        <f t="shared" si="91"/>
        <v>Actual</v>
      </c>
      <c r="N172" s="156">
        <f ca="1">IFERROR(INDEX(INDIRECT(E172),0,MATCH(F172,MO_Common_ColumnHeader,0)),"N/A")</f>
        <v>-67.626000000000005</v>
      </c>
      <c r="O172" s="144"/>
      <c r="P172" s="161">
        <f t="shared" ca="1" si="92"/>
        <v>2.3739999999999952</v>
      </c>
      <c r="Q172" s="162">
        <f t="shared" ca="1" si="93"/>
        <v>3.3914285714285647E-2</v>
      </c>
      <c r="R172" s="144"/>
      <c r="S172" s="157">
        <v>44488</v>
      </c>
      <c r="T172" s="250" t="s">
        <v>295</v>
      </c>
      <c r="U172" s="144"/>
    </row>
    <row r="173" spans="1:21" x14ac:dyDescent="0.35">
      <c r="A173" s="149">
        <v>112</v>
      </c>
      <c r="B173" s="154" t="str">
        <f t="shared" si="89"/>
        <v>Historical</v>
      </c>
      <c r="C173" s="144"/>
      <c r="D173" s="160" t="s">
        <v>391</v>
      </c>
      <c r="E173" s="155"/>
      <c r="F173" s="154" t="s">
        <v>584</v>
      </c>
      <c r="G173" s="154"/>
      <c r="H173" s="144"/>
      <c r="I173" s="215">
        <v>0.28000000000000003</v>
      </c>
      <c r="J173" s="215">
        <v>0.3</v>
      </c>
      <c r="K173" s="215">
        <f t="shared" si="90"/>
        <v>0.29000000000000004</v>
      </c>
      <c r="L173" s="144"/>
      <c r="M173" s="154" t="str">
        <f t="shared" si="91"/>
        <v>Actual</v>
      </c>
      <c r="N173" s="215">
        <f>INDEX(MO_RIS_TaxRate_Current,0,MATCH(F173,MO_Common_ColumnHeader,0))+INDEX(MO_RIS_TaxRate_Deferred,0,MATCH(F173,MO_Common_ColumnHeader,0))</f>
        <v>0.27257027074805895</v>
      </c>
      <c r="O173" s="144"/>
      <c r="P173" s="162">
        <f t="shared" si="92"/>
        <v>-1.7429729251941084E-2</v>
      </c>
      <c r="Q173" s="162">
        <f t="shared" si="93"/>
        <v>-6.0102514661865801E-2</v>
      </c>
      <c r="R173" s="144"/>
      <c r="S173" s="157">
        <v>44488</v>
      </c>
      <c r="T173" s="250" t="s">
        <v>295</v>
      </c>
      <c r="U173" s="144"/>
    </row>
    <row r="174" spans="1:21" x14ac:dyDescent="0.35">
      <c r="A174" s="149">
        <v>111</v>
      </c>
      <c r="B174" s="154" t="str">
        <f t="shared" si="89"/>
        <v>Historical</v>
      </c>
      <c r="C174" s="144"/>
      <c r="D174" s="160" t="str">
        <f ca="1">INDEX(INDIRECT(E174),0,COLUMN(MO_Common_Column_A))</f>
        <v>EBIT</v>
      </c>
      <c r="E174" s="155" t="s">
        <v>298</v>
      </c>
      <c r="F174" s="154" t="s">
        <v>584</v>
      </c>
      <c r="G174" s="154"/>
      <c r="H174" s="144"/>
      <c r="I174" s="156">
        <v>123</v>
      </c>
      <c r="J174" s="156">
        <v>136</v>
      </c>
      <c r="K174" s="156">
        <f t="shared" si="90"/>
        <v>129.5</v>
      </c>
      <c r="L174" s="144"/>
      <c r="M174" s="154" t="str">
        <f t="shared" si="91"/>
        <v>Actual</v>
      </c>
      <c r="N174" s="156">
        <f ca="1">IFERROR(INDEX(INDIRECT(E174),0,MATCH(F174,MO_Common_ColumnHeader,0)),"N/A")</f>
        <v>156.62799999999993</v>
      </c>
      <c r="O174" s="144"/>
      <c r="P174" s="161">
        <f t="shared" ca="1" si="92"/>
        <v>27.127999999999929</v>
      </c>
      <c r="Q174" s="162">
        <f t="shared" ca="1" si="93"/>
        <v>0.20948262548262495</v>
      </c>
      <c r="R174" s="144"/>
      <c r="S174" s="157">
        <v>44488</v>
      </c>
      <c r="T174" s="250" t="s">
        <v>295</v>
      </c>
      <c r="U174" s="144"/>
    </row>
    <row r="175" spans="1:21" x14ac:dyDescent="0.35">
      <c r="A175" s="149">
        <v>110</v>
      </c>
      <c r="B175" s="154" t="str">
        <f t="shared" si="89"/>
        <v>Historical</v>
      </c>
      <c r="C175" s="144"/>
      <c r="D175" s="160" t="str">
        <f ca="1">INDEX(INDIRECT(E175),0,COLUMN(MO_Common_Column_A))</f>
        <v>Add back: SBC</v>
      </c>
      <c r="E175" s="155" t="s">
        <v>415</v>
      </c>
      <c r="F175" s="154" t="s">
        <v>584</v>
      </c>
      <c r="G175" s="154"/>
      <c r="H175" s="144"/>
      <c r="I175" s="156">
        <v>29</v>
      </c>
      <c r="J175" s="156">
        <v>31</v>
      </c>
      <c r="K175" s="156">
        <f t="shared" si="90"/>
        <v>30</v>
      </c>
      <c r="L175" s="144"/>
      <c r="M175" s="154" t="str">
        <f t="shared" si="91"/>
        <v>Actual</v>
      </c>
      <c r="N175" s="156">
        <f ca="1">IFERROR(INDEX(INDIRECT(E175),0,MATCH(F175,MO_Common_ColumnHeader,0)),"N/A")</f>
        <v>18.57</v>
      </c>
      <c r="O175" s="144"/>
      <c r="P175" s="161">
        <f t="shared" ca="1" si="92"/>
        <v>-11.43</v>
      </c>
      <c r="Q175" s="162">
        <f t="shared" ca="1" si="93"/>
        <v>-0.38100000000000001</v>
      </c>
      <c r="R175" s="144"/>
      <c r="S175" s="157">
        <v>44488</v>
      </c>
      <c r="T175" s="250" t="s">
        <v>295</v>
      </c>
      <c r="U175" s="144"/>
    </row>
    <row r="176" spans="1:21" x14ac:dyDescent="0.35">
      <c r="A176" s="149">
        <v>109</v>
      </c>
      <c r="B176" s="154" t="str">
        <f t="shared" si="89"/>
        <v>Historical</v>
      </c>
      <c r="C176" s="144"/>
      <c r="D176" s="160" t="str">
        <f ca="1">INDEX(INDIRECT(E176),0,COLUMN(MO_Common_Column_A))</f>
        <v>Amortization of intangible assets, mm</v>
      </c>
      <c r="E176" s="155" t="s">
        <v>543</v>
      </c>
      <c r="F176" s="154" t="s">
        <v>584</v>
      </c>
      <c r="G176" s="154"/>
      <c r="H176" s="144"/>
      <c r="I176" s="156">
        <v>13</v>
      </c>
      <c r="J176" s="156">
        <v>13</v>
      </c>
      <c r="K176" s="156">
        <f t="shared" si="90"/>
        <v>13</v>
      </c>
      <c r="L176" s="144"/>
      <c r="M176" s="154" t="str">
        <f t="shared" si="91"/>
        <v>Actual</v>
      </c>
      <c r="N176" s="156">
        <f ca="1">IFERROR(INDEX(INDIRECT(E176),0,MATCH(F176,MO_Common_ColumnHeader,0)),"N/A")</f>
        <v>12.968</v>
      </c>
      <c r="O176" s="144"/>
      <c r="P176" s="161">
        <f t="shared" ca="1" si="92"/>
        <v>-3.2000000000000028E-2</v>
      </c>
      <c r="Q176" s="162">
        <f t="shared" ca="1" si="93"/>
        <v>-2.4615384615384638E-3</v>
      </c>
      <c r="R176" s="144"/>
      <c r="S176" s="157">
        <v>44488</v>
      </c>
      <c r="T176" s="250" t="s">
        <v>295</v>
      </c>
      <c r="U176" s="144"/>
    </row>
    <row r="177" spans="1:21" x14ac:dyDescent="0.35">
      <c r="A177" s="149">
        <v>108</v>
      </c>
      <c r="B177" s="154" t="str">
        <f t="shared" si="89"/>
        <v>Historical</v>
      </c>
      <c r="C177" s="144"/>
      <c r="D177" s="160" t="e">
        <f ca="1">INDEX(INDIRECT(E177),0,COLUMN(MO_Common_Column_A))</f>
        <v>#REF!</v>
      </c>
      <c r="E177" s="155" t="s">
        <v>483</v>
      </c>
      <c r="F177" s="154" t="s">
        <v>584</v>
      </c>
      <c r="G177" s="154"/>
      <c r="H177" s="144"/>
      <c r="I177" s="156">
        <v>165</v>
      </c>
      <c r="J177" s="156">
        <v>180</v>
      </c>
      <c r="K177" s="156">
        <f t="shared" si="90"/>
        <v>172.5</v>
      </c>
      <c r="L177" s="144"/>
      <c r="M177" s="154" t="str">
        <f t="shared" si="91"/>
        <v>Actual</v>
      </c>
      <c r="N177" s="156">
        <f ca="1">IFERROR(INDEX(INDIRECT(E177),0,MATCH(F177,MO_Common_ColumnHeader,0)),"N/A")</f>
        <v>188.16599999999994</v>
      </c>
      <c r="O177" s="144"/>
      <c r="P177" s="161">
        <f t="shared" ca="1" si="92"/>
        <v>15.66599999999994</v>
      </c>
      <c r="Q177" s="162">
        <f t="shared" ca="1" si="93"/>
        <v>9.0817391304347475E-2</v>
      </c>
      <c r="R177" s="144"/>
      <c r="S177" s="157">
        <v>44488</v>
      </c>
      <c r="T177" s="250" t="s">
        <v>295</v>
      </c>
      <c r="U177" s="144"/>
    </row>
    <row r="178" spans="1:21" x14ac:dyDescent="0.35">
      <c r="A178" s="149">
        <v>107</v>
      </c>
      <c r="B178" s="144"/>
      <c r="C178" s="144"/>
      <c r="D178" s="141"/>
      <c r="E178" s="142"/>
      <c r="F178" s="144"/>
      <c r="G178" s="144"/>
      <c r="H178" s="144"/>
      <c r="I178" s="532"/>
      <c r="J178" s="532"/>
      <c r="K178" s="532"/>
      <c r="L178" s="144"/>
      <c r="M178" s="144"/>
      <c r="N178" s="532"/>
      <c r="O178" s="144"/>
      <c r="P178" s="218"/>
      <c r="Q178" s="334"/>
      <c r="R178" s="144"/>
      <c r="S178" s="145"/>
      <c r="T178" s="219"/>
      <c r="U178" s="144"/>
    </row>
    <row r="179" spans="1:21" x14ac:dyDescent="0.35">
      <c r="A179" s="149">
        <v>106</v>
      </c>
      <c r="B179" s="154" t="str">
        <f t="shared" ref="B179:B184" si="94">IF(INDEX(MO_SNA_IsHistoricalPeriod,,MATCH(F179,MO_Common_ColumnHeader,0)),"Historical","Forward")</f>
        <v>Historical</v>
      </c>
      <c r="C179" s="144"/>
      <c r="D179" s="160" t="str">
        <f t="shared" ref="D179:D184" ca="1" si="95">INDEX(INDIRECT(E179),0,COLUMN(MO_Common_Column_A))</f>
        <v>Net Revenue</v>
      </c>
      <c r="E179" s="155" t="s">
        <v>293</v>
      </c>
      <c r="F179" s="154" t="s">
        <v>585</v>
      </c>
      <c r="G179" s="154"/>
      <c r="H179" s="144"/>
      <c r="I179" s="156">
        <v>390</v>
      </c>
      <c r="J179" s="156">
        <v>400</v>
      </c>
      <c r="K179" s="156">
        <f t="shared" ref="K179:K184" si="96">AVERAGE(I179:J179)</f>
        <v>395</v>
      </c>
      <c r="L179" s="144"/>
      <c r="M179" s="154" t="str">
        <f t="shared" ref="M179:M184" si="97">IF(INDEX(MO_SNA_IsHistoricalPeriod,,MATCH(F179,MO_Common_ColumnHeader,0)),"Actual","Estimate")</f>
        <v>Actual</v>
      </c>
      <c r="N179" s="156">
        <f t="shared" ref="N179:N184" ca="1" si="98">IFERROR(INDEX(INDIRECT(E179),0,MATCH(F179,MO_Common_ColumnHeader,0)),"N/A")</f>
        <v>409.50700000000001</v>
      </c>
      <c r="O179" s="144"/>
      <c r="P179" s="161">
        <f t="shared" ref="P179:P184" ca="1" si="99">IF(ISNUMBER(N179),N179-K179,"N/A")</f>
        <v>14.507000000000005</v>
      </c>
      <c r="Q179" s="162">
        <f t="shared" ref="Q179:Q184" ca="1" si="100">IFERROR(IF(ISNUMBER(N179),(N179-K179)/ABS(K179),"N/A"),"N/A")</f>
        <v>3.6726582278481024E-2</v>
      </c>
      <c r="R179" s="144"/>
      <c r="S179" s="157">
        <v>44488</v>
      </c>
      <c r="T179" s="250" t="s">
        <v>295</v>
      </c>
      <c r="U179" s="144"/>
    </row>
    <row r="180" spans="1:21" x14ac:dyDescent="0.35">
      <c r="A180" s="149">
        <v>105</v>
      </c>
      <c r="B180" s="154" t="str">
        <f t="shared" si="94"/>
        <v>Historical</v>
      </c>
      <c r="C180" s="144"/>
      <c r="D180" s="160" t="str">
        <f t="shared" ca="1" si="95"/>
        <v>Capex</v>
      </c>
      <c r="E180" s="155" t="s">
        <v>296</v>
      </c>
      <c r="F180" s="154" t="s">
        <v>585</v>
      </c>
      <c r="G180" s="154"/>
      <c r="H180" s="144"/>
      <c r="I180" s="156">
        <v>-17</v>
      </c>
      <c r="J180" s="156">
        <v>-14</v>
      </c>
      <c r="K180" s="156">
        <f t="shared" si="96"/>
        <v>-15.5</v>
      </c>
      <c r="L180" s="144"/>
      <c r="M180" s="154" t="str">
        <f t="shared" si="97"/>
        <v>Actual</v>
      </c>
      <c r="N180" s="156">
        <f t="shared" ca="1" si="98"/>
        <v>-14.151999999999997</v>
      </c>
      <c r="O180" s="144"/>
      <c r="P180" s="161">
        <f t="shared" ca="1" si="99"/>
        <v>1.3480000000000025</v>
      </c>
      <c r="Q180" s="162">
        <f t="shared" ca="1" si="100"/>
        <v>8.6967741935484039E-2</v>
      </c>
      <c r="R180" s="144"/>
      <c r="S180" s="157">
        <v>44488</v>
      </c>
      <c r="T180" s="250" t="s">
        <v>295</v>
      </c>
      <c r="U180" s="144"/>
    </row>
    <row r="181" spans="1:21" x14ac:dyDescent="0.35">
      <c r="A181" s="149">
        <v>104</v>
      </c>
      <c r="B181" s="154" t="str">
        <f t="shared" si="94"/>
        <v>Historical</v>
      </c>
      <c r="C181" s="144"/>
      <c r="D181" s="160" t="str">
        <f t="shared" ca="1" si="95"/>
        <v>EBIT</v>
      </c>
      <c r="E181" s="155" t="s">
        <v>298</v>
      </c>
      <c r="F181" s="154" t="s">
        <v>585</v>
      </c>
      <c r="G181" s="154"/>
      <c r="H181" s="144"/>
      <c r="I181" s="156">
        <v>44.3</v>
      </c>
      <c r="J181" s="156">
        <v>48.8</v>
      </c>
      <c r="K181" s="156">
        <f t="shared" si="96"/>
        <v>46.55</v>
      </c>
      <c r="L181" s="144"/>
      <c r="M181" s="154" t="str">
        <f t="shared" si="97"/>
        <v>Actual</v>
      </c>
      <c r="N181" s="156">
        <f t="shared" ca="1" si="98"/>
        <v>56.91500000000002</v>
      </c>
      <c r="O181" s="144"/>
      <c r="P181" s="161">
        <f t="shared" ca="1" si="99"/>
        <v>10.365000000000023</v>
      </c>
      <c r="Q181" s="162">
        <f t="shared" ca="1" si="100"/>
        <v>0.222663802363051</v>
      </c>
      <c r="R181" s="144"/>
      <c r="S181" s="157">
        <v>44488</v>
      </c>
      <c r="T181" s="250" t="s">
        <v>295</v>
      </c>
      <c r="U181" s="144"/>
    </row>
    <row r="182" spans="1:21" x14ac:dyDescent="0.35">
      <c r="A182" s="149">
        <v>103</v>
      </c>
      <c r="B182" s="154" t="str">
        <f t="shared" si="94"/>
        <v>Historical</v>
      </c>
      <c r="C182" s="144"/>
      <c r="D182" s="160" t="str">
        <f t="shared" ca="1" si="95"/>
        <v>Add back: SBC</v>
      </c>
      <c r="E182" s="155" t="s">
        <v>415</v>
      </c>
      <c r="F182" s="154" t="s">
        <v>585</v>
      </c>
      <c r="G182" s="154"/>
      <c r="H182" s="144"/>
      <c r="I182" s="156">
        <v>7.5</v>
      </c>
      <c r="J182" s="156">
        <v>8</v>
      </c>
      <c r="K182" s="156">
        <f t="shared" si="96"/>
        <v>7.75</v>
      </c>
      <c r="L182" s="144"/>
      <c r="M182" s="154" t="str">
        <f t="shared" si="97"/>
        <v>Actual</v>
      </c>
      <c r="N182" s="156">
        <f t="shared" ca="1" si="98"/>
        <v>0.60200000000000031</v>
      </c>
      <c r="O182" s="144"/>
      <c r="P182" s="161">
        <f t="shared" ca="1" si="99"/>
        <v>-7.1479999999999997</v>
      </c>
      <c r="Q182" s="162">
        <f t="shared" ca="1" si="100"/>
        <v>-0.92232258064516126</v>
      </c>
      <c r="R182" s="144"/>
      <c r="S182" s="157">
        <v>44488</v>
      </c>
      <c r="T182" s="250" t="s">
        <v>295</v>
      </c>
      <c r="U182" s="144"/>
    </row>
    <row r="183" spans="1:21" x14ac:dyDescent="0.35">
      <c r="A183" s="149">
        <v>102</v>
      </c>
      <c r="B183" s="154" t="str">
        <f t="shared" si="94"/>
        <v>Historical</v>
      </c>
      <c r="C183" s="144"/>
      <c r="D183" s="160" t="str">
        <f t="shared" ca="1" si="95"/>
        <v>Amortization of intangible assets, mm</v>
      </c>
      <c r="E183" s="155" t="s">
        <v>543</v>
      </c>
      <c r="F183" s="154" t="s">
        <v>585</v>
      </c>
      <c r="G183" s="154"/>
      <c r="H183" s="144"/>
      <c r="I183" s="156">
        <v>3.2</v>
      </c>
      <c r="J183" s="156">
        <v>3.2</v>
      </c>
      <c r="K183" s="156">
        <f t="shared" si="96"/>
        <v>3.2</v>
      </c>
      <c r="L183" s="144"/>
      <c r="M183" s="154" t="str">
        <f t="shared" si="97"/>
        <v>Actual</v>
      </c>
      <c r="N183" s="156">
        <f t="shared" ca="1" si="98"/>
        <v>3.214</v>
      </c>
      <c r="O183" s="144"/>
      <c r="P183" s="161">
        <f t="shared" ca="1" si="99"/>
        <v>1.399999999999979E-2</v>
      </c>
      <c r="Q183" s="162">
        <f t="shared" ca="1" si="100"/>
        <v>4.3749999999999345E-3</v>
      </c>
      <c r="R183" s="144"/>
      <c r="S183" s="157">
        <v>44488</v>
      </c>
      <c r="T183" s="250" t="s">
        <v>295</v>
      </c>
      <c r="U183" s="144"/>
    </row>
    <row r="184" spans="1:21" x14ac:dyDescent="0.35">
      <c r="A184" s="149">
        <v>101</v>
      </c>
      <c r="B184" s="154" t="str">
        <f t="shared" si="94"/>
        <v>Historical</v>
      </c>
      <c r="C184" s="144"/>
      <c r="D184" s="160" t="e">
        <f t="shared" ca="1" si="95"/>
        <v>#REF!</v>
      </c>
      <c r="E184" s="155" t="s">
        <v>483</v>
      </c>
      <c r="F184" s="154" t="s">
        <v>585</v>
      </c>
      <c r="G184" s="154"/>
      <c r="H184" s="144"/>
      <c r="I184" s="156">
        <v>55</v>
      </c>
      <c r="J184" s="156">
        <v>60</v>
      </c>
      <c r="K184" s="156">
        <f t="shared" si="96"/>
        <v>57.5</v>
      </c>
      <c r="L184" s="144"/>
      <c r="M184" s="154" t="str">
        <f t="shared" si="97"/>
        <v>Actual</v>
      </c>
      <c r="N184" s="156">
        <f t="shared" ca="1" si="98"/>
        <v>60.731000000000023</v>
      </c>
      <c r="O184" s="144"/>
      <c r="P184" s="161">
        <f t="shared" ca="1" si="99"/>
        <v>3.231000000000023</v>
      </c>
      <c r="Q184" s="162">
        <f t="shared" ca="1" si="100"/>
        <v>5.6191304347826487E-2</v>
      </c>
      <c r="R184" s="144"/>
      <c r="S184" s="157">
        <v>44488</v>
      </c>
      <c r="T184" s="250" t="s">
        <v>295</v>
      </c>
      <c r="U184" s="144"/>
    </row>
    <row r="185" spans="1:21" x14ac:dyDescent="0.35">
      <c r="A185" s="149">
        <v>100</v>
      </c>
      <c r="B185" s="144"/>
      <c r="C185" s="144"/>
      <c r="D185" s="141"/>
      <c r="E185" s="142"/>
      <c r="F185" s="144"/>
      <c r="G185" s="144"/>
      <c r="H185" s="144"/>
      <c r="I185" s="532"/>
      <c r="J185" s="532"/>
      <c r="K185" s="532"/>
      <c r="L185" s="144"/>
      <c r="M185" s="144"/>
      <c r="N185" s="532"/>
      <c r="O185" s="144"/>
      <c r="P185" s="218"/>
      <c r="Q185" s="334"/>
      <c r="R185" s="144"/>
      <c r="S185" s="145"/>
      <c r="T185" s="219"/>
      <c r="U185" s="144"/>
    </row>
    <row r="186" spans="1:21" x14ac:dyDescent="0.35">
      <c r="A186" s="149">
        <v>99</v>
      </c>
      <c r="B186" s="154" t="str">
        <f t="shared" ref="B186:B192" si="101">IF(INDEX(MO_SNA_IsHistoricalPeriod,,MATCH(F186,MO_Common_ColumnHeader,0)),"Historical","Forward")</f>
        <v>Historical</v>
      </c>
      <c r="C186" s="144"/>
      <c r="D186" s="160" t="str">
        <f ca="1">INDEX(INDIRECT(E186),0,COLUMN(MO_Common_Column_A))</f>
        <v>Net Revenue</v>
      </c>
      <c r="E186" s="155" t="s">
        <v>293</v>
      </c>
      <c r="F186" s="154" t="s">
        <v>438</v>
      </c>
      <c r="G186" s="154"/>
      <c r="H186" s="144"/>
      <c r="I186" s="156">
        <v>1525</v>
      </c>
      <c r="J186" s="156">
        <v>1530</v>
      </c>
      <c r="K186" s="156">
        <f t="shared" ref="K186:K192" si="102">AVERAGE(I186:J186)</f>
        <v>1527.5</v>
      </c>
      <c r="L186" s="144"/>
      <c r="M186" s="154" t="str">
        <f t="shared" ref="M186:M192" si="103">IF(INDEX(MO_SNA_IsHistoricalPeriod,,MATCH(F186,MO_Common_ColumnHeader,0)),"Actual","Estimate")</f>
        <v>Actual</v>
      </c>
      <c r="N186" s="156">
        <f ca="1">IFERROR(INDEX(INDIRECT(E186),0,MATCH(F186,MO_Common_ColumnHeader,0)),"N/A")</f>
        <v>1536.76</v>
      </c>
      <c r="O186" s="144"/>
      <c r="P186" s="161">
        <f t="shared" ref="P186:P192" ca="1" si="104">IF(ISNUMBER(N186),N186-K186,"N/A")</f>
        <v>9.2599999999999909</v>
      </c>
      <c r="Q186" s="162">
        <f t="shared" ref="Q186:Q192" ca="1" si="105">IFERROR(IF(ISNUMBER(N186),(N186-K186)/ABS(K186),"N/A"),"N/A")</f>
        <v>6.062193126022907E-3</v>
      </c>
      <c r="R186" s="144"/>
      <c r="S186" s="157">
        <v>44306</v>
      </c>
      <c r="T186" s="250" t="s">
        <v>295</v>
      </c>
      <c r="U186" s="144"/>
    </row>
    <row r="187" spans="1:21" x14ac:dyDescent="0.35">
      <c r="A187" s="149">
        <v>98</v>
      </c>
      <c r="B187" s="154" t="str">
        <f t="shared" si="101"/>
        <v>Historical</v>
      </c>
      <c r="C187" s="144"/>
      <c r="D187" s="160" t="str">
        <f ca="1">INDEX(INDIRECT(E187),0,COLUMN(MO_Common_Column_A))</f>
        <v>Capex</v>
      </c>
      <c r="E187" s="155" t="s">
        <v>296</v>
      </c>
      <c r="F187" s="154" t="s">
        <v>438</v>
      </c>
      <c r="G187" s="154"/>
      <c r="H187" s="144"/>
      <c r="I187" s="156">
        <v>-55</v>
      </c>
      <c r="J187" s="156">
        <v>-50</v>
      </c>
      <c r="K187" s="156">
        <f t="shared" si="102"/>
        <v>-52.5</v>
      </c>
      <c r="L187" s="144"/>
      <c r="M187" s="154" t="str">
        <f t="shared" si="103"/>
        <v>Actual</v>
      </c>
      <c r="N187" s="156">
        <f ca="1">IFERROR(INDEX(INDIRECT(E187),0,MATCH(F187,MO_Common_ColumnHeader,0)),"N/A")</f>
        <v>-52.263000000000005</v>
      </c>
      <c r="O187" s="144"/>
      <c r="P187" s="161">
        <f t="shared" ca="1" si="104"/>
        <v>0.23699999999999477</v>
      </c>
      <c r="Q187" s="162">
        <f t="shared" ca="1" si="105"/>
        <v>4.5142857142856149E-3</v>
      </c>
      <c r="R187" s="144"/>
      <c r="S187" s="157">
        <v>44306</v>
      </c>
      <c r="T187" s="250" t="s">
        <v>295</v>
      </c>
      <c r="U187" s="144"/>
    </row>
    <row r="188" spans="1:21" x14ac:dyDescent="0.35">
      <c r="A188" s="149">
        <v>97</v>
      </c>
      <c r="B188" s="154" t="str">
        <f t="shared" si="101"/>
        <v>Historical</v>
      </c>
      <c r="C188" s="144"/>
      <c r="D188" s="160" t="s">
        <v>391</v>
      </c>
      <c r="E188" s="155"/>
      <c r="F188" s="154" t="s">
        <v>438</v>
      </c>
      <c r="G188" s="154"/>
      <c r="H188" s="144"/>
      <c r="I188" s="215">
        <v>0.27</v>
      </c>
      <c r="J188" s="215">
        <v>0.28999999999999998</v>
      </c>
      <c r="K188" s="215">
        <f t="shared" si="102"/>
        <v>0.28000000000000003</v>
      </c>
      <c r="L188" s="144"/>
      <c r="M188" s="154" t="str">
        <f t="shared" si="103"/>
        <v>Actual</v>
      </c>
      <c r="N188" s="215">
        <f>INDEX(MO_RIS_TaxRate_Current,0,MATCH(F188,MO_Common_ColumnHeader,0))+INDEX(MO_RIS_TaxRate_Deferred,0,MATCH(F188,MO_Common_ColumnHeader,0))</f>
        <v>0.25747591966927597</v>
      </c>
      <c r="O188" s="144"/>
      <c r="P188" s="162">
        <f t="shared" si="104"/>
        <v>-2.2524080330724061E-2</v>
      </c>
      <c r="Q188" s="162">
        <f t="shared" si="105"/>
        <v>-8.0443144038300204E-2</v>
      </c>
      <c r="R188" s="144"/>
      <c r="S188" s="157">
        <v>44306</v>
      </c>
      <c r="T188" s="250" t="s">
        <v>295</v>
      </c>
      <c r="U188" s="144"/>
    </row>
    <row r="189" spans="1:21" x14ac:dyDescent="0.35">
      <c r="A189" s="149">
        <v>96</v>
      </c>
      <c r="B189" s="154" t="str">
        <f t="shared" si="101"/>
        <v>Historical</v>
      </c>
      <c r="C189" s="144"/>
      <c r="D189" s="160" t="str">
        <f ca="1">INDEX(INDIRECT(E189),0,COLUMN(MO_Common_Column_A))</f>
        <v>EBIT</v>
      </c>
      <c r="E189" s="155" t="s">
        <v>298</v>
      </c>
      <c r="F189" s="154" t="s">
        <v>438</v>
      </c>
      <c r="G189" s="154"/>
      <c r="H189" s="144"/>
      <c r="I189" s="156">
        <v>102.5</v>
      </c>
      <c r="J189" s="156">
        <v>103.5</v>
      </c>
      <c r="K189" s="156">
        <f t="shared" si="102"/>
        <v>103</v>
      </c>
      <c r="L189" s="144"/>
      <c r="M189" s="154" t="str">
        <f t="shared" si="103"/>
        <v>Actual</v>
      </c>
      <c r="N189" s="156">
        <f ca="1">IFERROR(INDEX(INDIRECT(E189),0,MATCH(F189,MO_Common_ColumnHeader,0)),"N/A")</f>
        <v>110.45599999999996</v>
      </c>
      <c r="O189" s="144"/>
      <c r="P189" s="161">
        <f t="shared" ca="1" si="104"/>
        <v>7.4559999999999604</v>
      </c>
      <c r="Q189" s="162">
        <f t="shared" ca="1" si="105"/>
        <v>7.2388349514562716E-2</v>
      </c>
      <c r="R189" s="144"/>
      <c r="S189" s="157">
        <v>44306</v>
      </c>
      <c r="T189" s="250" t="s">
        <v>295</v>
      </c>
      <c r="U189" s="144"/>
    </row>
    <row r="190" spans="1:21" x14ac:dyDescent="0.35">
      <c r="A190" s="149">
        <v>95</v>
      </c>
      <c r="B190" s="154" t="str">
        <f t="shared" si="101"/>
        <v>Historical</v>
      </c>
      <c r="C190" s="144"/>
      <c r="D190" s="160" t="str">
        <f ca="1">INDEX(INDIRECT(E190),0,COLUMN(MO_Common_Column_A))</f>
        <v>Add back: SBC</v>
      </c>
      <c r="E190" s="155" t="s">
        <v>415</v>
      </c>
      <c r="F190" s="154" t="s">
        <v>438</v>
      </c>
      <c r="G190" s="154"/>
      <c r="H190" s="144"/>
      <c r="I190" s="156">
        <v>42</v>
      </c>
      <c r="J190" s="156">
        <v>44</v>
      </c>
      <c r="K190" s="156">
        <f t="shared" si="102"/>
        <v>43</v>
      </c>
      <c r="L190" s="144"/>
      <c r="M190" s="154" t="str">
        <f t="shared" si="103"/>
        <v>Actual</v>
      </c>
      <c r="N190" s="156">
        <f ca="1">IFERROR(INDEX(INDIRECT(E190),0,MATCH(F190,MO_Common_ColumnHeader,0)),"N/A")</f>
        <v>39.332999999999998</v>
      </c>
      <c r="O190" s="144"/>
      <c r="P190" s="161">
        <f t="shared" ca="1" si="104"/>
        <v>-3.6670000000000016</v>
      </c>
      <c r="Q190" s="162">
        <f t="shared" ca="1" si="105"/>
        <v>-8.5279069767441901E-2</v>
      </c>
      <c r="R190" s="144"/>
      <c r="S190" s="157">
        <v>44306</v>
      </c>
      <c r="T190" s="250" t="s">
        <v>295</v>
      </c>
      <c r="U190" s="144"/>
    </row>
    <row r="191" spans="1:21" x14ac:dyDescent="0.35">
      <c r="A191" s="149">
        <v>94</v>
      </c>
      <c r="B191" s="154" t="str">
        <f t="shared" si="101"/>
        <v>Historical</v>
      </c>
      <c r="C191" s="144"/>
      <c r="D191" s="160" t="str">
        <f ca="1">INDEX(INDIRECT(E191),0,COLUMN(MO_Common_Column_A))</f>
        <v>Amortization of intangible assets, mm</v>
      </c>
      <c r="E191" s="155" t="s">
        <v>543</v>
      </c>
      <c r="F191" s="154" t="s">
        <v>438</v>
      </c>
      <c r="G191" s="154"/>
      <c r="H191" s="144"/>
      <c r="I191" s="156">
        <v>11.5</v>
      </c>
      <c r="J191" s="156">
        <v>11.5</v>
      </c>
      <c r="K191" s="156">
        <f t="shared" si="102"/>
        <v>11.5</v>
      </c>
      <c r="L191" s="144"/>
      <c r="M191" s="154" t="str">
        <f t="shared" si="103"/>
        <v>Actual</v>
      </c>
      <c r="N191" s="156">
        <f ca="1">IFERROR(INDEX(INDIRECT(E191),0,MATCH(F191,MO_Common_ColumnHeader,0)),"N/A")</f>
        <v>11.641999999999999</v>
      </c>
      <c r="O191" s="144"/>
      <c r="P191" s="161">
        <f t="shared" ca="1" si="104"/>
        <v>0.14199999999999946</v>
      </c>
      <c r="Q191" s="162">
        <f t="shared" ca="1" si="105"/>
        <v>1.2347826086956474E-2</v>
      </c>
      <c r="R191" s="144"/>
      <c r="S191" s="157">
        <v>44306</v>
      </c>
      <c r="T191" s="250" t="s">
        <v>295</v>
      </c>
      <c r="U191" s="144"/>
    </row>
    <row r="192" spans="1:21" x14ac:dyDescent="0.35">
      <c r="A192" s="149">
        <v>93</v>
      </c>
      <c r="B192" s="154" t="str">
        <f t="shared" si="101"/>
        <v>Historical</v>
      </c>
      <c r="C192" s="144"/>
      <c r="D192" s="160" t="e">
        <f ca="1">INDEX(INDIRECT(E192),0,COLUMN(MO_Common_Column_A))</f>
        <v>#REF!</v>
      </c>
      <c r="E192" s="155" t="s">
        <v>483</v>
      </c>
      <c r="F192" s="154" t="s">
        <v>438</v>
      </c>
      <c r="G192" s="154"/>
      <c r="H192" s="144"/>
      <c r="I192" s="156">
        <v>156</v>
      </c>
      <c r="J192" s="156">
        <v>159</v>
      </c>
      <c r="K192" s="156">
        <f t="shared" si="102"/>
        <v>157.5</v>
      </c>
      <c r="L192" s="144"/>
      <c r="M192" s="154" t="str">
        <f t="shared" si="103"/>
        <v>Actual</v>
      </c>
      <c r="N192" s="156">
        <f ca="1">IFERROR(INDEX(INDIRECT(E192),0,MATCH(F192,MO_Common_ColumnHeader,0)),"N/A")</f>
        <v>161.43099999999995</v>
      </c>
      <c r="O192" s="144"/>
      <c r="P192" s="161">
        <f t="shared" ca="1" si="104"/>
        <v>3.9309999999999548</v>
      </c>
      <c r="Q192" s="162">
        <f t="shared" ca="1" si="105"/>
        <v>2.4958730158729871E-2</v>
      </c>
      <c r="R192" s="144"/>
      <c r="S192" s="157">
        <v>44306</v>
      </c>
      <c r="T192" s="250" t="s">
        <v>295</v>
      </c>
      <c r="U192" s="144"/>
    </row>
    <row r="193" spans="1:21" x14ac:dyDescent="0.35">
      <c r="A193" s="149">
        <v>92</v>
      </c>
      <c r="B193" s="144"/>
      <c r="C193" s="144"/>
      <c r="D193" s="141"/>
      <c r="E193" s="142"/>
      <c r="F193" s="144"/>
      <c r="G193" s="144"/>
      <c r="H193" s="144"/>
      <c r="I193" s="532"/>
      <c r="J193" s="532"/>
      <c r="K193" s="532"/>
      <c r="L193" s="144"/>
      <c r="M193" s="144"/>
      <c r="N193" s="532"/>
      <c r="O193" s="144"/>
      <c r="P193" s="218"/>
      <c r="Q193" s="334"/>
      <c r="R193" s="144"/>
      <c r="S193" s="145"/>
      <c r="T193" s="219"/>
      <c r="U193" s="144"/>
    </row>
    <row r="194" spans="1:21" x14ac:dyDescent="0.35">
      <c r="A194" s="149">
        <v>91</v>
      </c>
      <c r="B194" s="154" t="str">
        <f t="shared" ref="B194:B201" si="106">IF(INDEX(MO_SNA_IsHistoricalPeriod,,MATCH(F194,MO_Common_ColumnHeader,0)),"Historical","Forward")</f>
        <v>Historical</v>
      </c>
      <c r="C194" s="144"/>
      <c r="D194" s="160" t="str">
        <f ca="1">INDEX(INDIRECT(E194),0,COLUMN(MO_Common_Column_A))</f>
        <v>Career Learning Revenue, mm</v>
      </c>
      <c r="E194" s="155" t="s">
        <v>501</v>
      </c>
      <c r="F194" s="154" t="s">
        <v>438</v>
      </c>
      <c r="G194" s="154"/>
      <c r="H194" s="144"/>
      <c r="I194" s="156">
        <v>250</v>
      </c>
      <c r="J194" s="156">
        <v>250</v>
      </c>
      <c r="K194" s="156">
        <f>AVERAGE(I194:J194)</f>
        <v>250</v>
      </c>
      <c r="L194" s="144"/>
      <c r="M194" s="154" t="str">
        <f t="shared" ref="M194:M201" si="107">IF(INDEX(MO_SNA_IsHistoricalPeriod,,MATCH(F194,MO_Common_ColumnHeader,0)),"Actual","Estimate")</f>
        <v>Actual</v>
      </c>
      <c r="N194" s="156">
        <f ca="1">IFERROR(INDEX(INDIRECT(E194),0,MATCH(F194,MO_Common_ColumnHeader,0)),"N/A")</f>
        <v>256.56099999999998</v>
      </c>
      <c r="O194" s="144"/>
      <c r="P194" s="161">
        <f ca="1">IF(ISNUMBER(N194),N194-K194,"N/A")</f>
        <v>6.5609999999999786</v>
      </c>
      <c r="Q194" s="162">
        <f t="shared" ref="Q194:Q201" ca="1" si="108">IFERROR(IF(ISNUMBER(N194),(N194-K194)/ABS(K194),"N/A"),"N/A")</f>
        <v>2.6243999999999913E-2</v>
      </c>
      <c r="R194" s="144"/>
      <c r="S194" s="157">
        <v>44222</v>
      </c>
      <c r="T194" s="250" t="s">
        <v>487</v>
      </c>
      <c r="U194" s="144"/>
    </row>
    <row r="195" spans="1:21" x14ac:dyDescent="0.35">
      <c r="A195" s="149">
        <v>90</v>
      </c>
      <c r="B195" s="154" t="str">
        <f t="shared" si="106"/>
        <v>Historical</v>
      </c>
      <c r="C195" s="144"/>
      <c r="D195" s="160" t="str">
        <f ca="1">INDEX(INDIRECT(E195),0,COLUMN(MO_Common_Column_A))</f>
        <v>Net Revenue</v>
      </c>
      <c r="E195" s="155" t="s">
        <v>293</v>
      </c>
      <c r="F195" s="154" t="s">
        <v>438</v>
      </c>
      <c r="G195" s="154"/>
      <c r="H195" s="144"/>
      <c r="I195" s="156">
        <v>1500</v>
      </c>
      <c r="J195" s="156">
        <v>1525</v>
      </c>
      <c r="K195" s="156">
        <f t="shared" ref="K195:K201" si="109">AVERAGE(I195:J195)</f>
        <v>1512.5</v>
      </c>
      <c r="L195" s="144"/>
      <c r="M195" s="154" t="str">
        <f t="shared" si="107"/>
        <v>Actual</v>
      </c>
      <c r="N195" s="156">
        <f ca="1">IFERROR(INDEX(INDIRECT(E195),0,MATCH(F195,MO_Common_ColumnHeader,0)),"N/A")</f>
        <v>1536.76</v>
      </c>
      <c r="O195" s="144"/>
      <c r="P195" s="161">
        <f t="shared" ref="P195:P201" ca="1" si="110">IF(ISNUMBER(N195),N195-K195,"N/A")</f>
        <v>24.259999999999991</v>
      </c>
      <c r="Q195" s="162">
        <f t="shared" ca="1" si="108"/>
        <v>1.6039669421487598E-2</v>
      </c>
      <c r="R195" s="144"/>
      <c r="S195" s="157">
        <v>44222</v>
      </c>
      <c r="T195" s="250" t="s">
        <v>295</v>
      </c>
      <c r="U195" s="144"/>
    </row>
    <row r="196" spans="1:21" x14ac:dyDescent="0.35">
      <c r="A196" s="149">
        <v>89</v>
      </c>
      <c r="B196" s="154" t="str">
        <f t="shared" si="106"/>
        <v>Historical</v>
      </c>
      <c r="C196" s="144"/>
      <c r="D196" s="160" t="str">
        <f ca="1">INDEX(INDIRECT(E196),0,COLUMN(MO_Common_Column_A))</f>
        <v>Capex</v>
      </c>
      <c r="E196" s="155" t="s">
        <v>296</v>
      </c>
      <c r="F196" s="154" t="s">
        <v>438</v>
      </c>
      <c r="G196" s="154"/>
      <c r="H196" s="144"/>
      <c r="I196" s="156">
        <v>-60</v>
      </c>
      <c r="J196" s="156">
        <v>-50</v>
      </c>
      <c r="K196" s="156">
        <f t="shared" si="109"/>
        <v>-55</v>
      </c>
      <c r="L196" s="144"/>
      <c r="M196" s="154" t="str">
        <f t="shared" si="107"/>
        <v>Actual</v>
      </c>
      <c r="N196" s="156">
        <f ca="1">IFERROR(INDEX(INDIRECT(E196),0,MATCH(F196,MO_Common_ColumnHeader,0)),"N/A")</f>
        <v>-52.263000000000005</v>
      </c>
      <c r="O196" s="144"/>
      <c r="P196" s="161">
        <f t="shared" ca="1" si="110"/>
        <v>2.7369999999999948</v>
      </c>
      <c r="Q196" s="162">
        <f t="shared" ca="1" si="108"/>
        <v>4.9763636363636267E-2</v>
      </c>
      <c r="R196" s="144"/>
      <c r="S196" s="157">
        <v>44222</v>
      </c>
      <c r="T196" s="250" t="s">
        <v>295</v>
      </c>
      <c r="U196" s="144"/>
    </row>
    <row r="197" spans="1:21" x14ac:dyDescent="0.35">
      <c r="A197" s="149">
        <v>88</v>
      </c>
      <c r="B197" s="154" t="str">
        <f t="shared" si="106"/>
        <v>Historical</v>
      </c>
      <c r="C197" s="144"/>
      <c r="D197" s="160" t="s">
        <v>391</v>
      </c>
      <c r="E197" s="155"/>
      <c r="F197" s="154" t="s">
        <v>438</v>
      </c>
      <c r="G197" s="154"/>
      <c r="H197" s="144"/>
      <c r="I197" s="215">
        <v>0.26</v>
      </c>
      <c r="J197" s="215">
        <v>0.28999999999999998</v>
      </c>
      <c r="K197" s="215">
        <f t="shared" si="109"/>
        <v>0.27500000000000002</v>
      </c>
      <c r="L197" s="144"/>
      <c r="M197" s="154" t="str">
        <f t="shared" si="107"/>
        <v>Actual</v>
      </c>
      <c r="N197" s="215">
        <f>INDEX(MO_RIS_TaxRate_Current,0,MATCH(F197,MO_Common_ColumnHeader,0))+INDEX(MO_RIS_TaxRate_Deferred,0,MATCH(F197,MO_Common_ColumnHeader,0))</f>
        <v>0.25747591966927597</v>
      </c>
      <c r="O197" s="144"/>
      <c r="P197" s="162">
        <f t="shared" si="110"/>
        <v>-1.7524080330724057E-2</v>
      </c>
      <c r="Q197" s="162">
        <f t="shared" si="108"/>
        <v>-6.3723928475360195E-2</v>
      </c>
      <c r="R197" s="144"/>
      <c r="S197" s="157">
        <v>44222</v>
      </c>
      <c r="T197" s="250" t="s">
        <v>295</v>
      </c>
      <c r="U197" s="144"/>
    </row>
    <row r="198" spans="1:21" x14ac:dyDescent="0.35">
      <c r="A198" s="149">
        <v>87</v>
      </c>
      <c r="B198" s="154" t="str">
        <f t="shared" si="106"/>
        <v>Historical</v>
      </c>
      <c r="C198" s="144"/>
      <c r="D198" s="160" t="str">
        <f ca="1">INDEX(INDIRECT(E198),0,COLUMN(MO_Common_Column_A))</f>
        <v>EBIT</v>
      </c>
      <c r="E198" s="155" t="s">
        <v>298</v>
      </c>
      <c r="F198" s="154" t="s">
        <v>438</v>
      </c>
      <c r="G198" s="154"/>
      <c r="H198" s="144"/>
      <c r="I198" s="156">
        <v>90.5</v>
      </c>
      <c r="J198" s="156">
        <v>98.5</v>
      </c>
      <c r="K198" s="156">
        <f t="shared" si="109"/>
        <v>94.5</v>
      </c>
      <c r="L198" s="144"/>
      <c r="M198" s="154" t="str">
        <f t="shared" si="107"/>
        <v>Actual</v>
      </c>
      <c r="N198" s="156">
        <f ca="1">IFERROR(INDEX(INDIRECT(E198),0,MATCH(F198,MO_Common_ColumnHeader,0)),"N/A")</f>
        <v>110.45599999999996</v>
      </c>
      <c r="O198" s="144"/>
      <c r="P198" s="161">
        <f t="shared" ca="1" si="110"/>
        <v>15.95599999999996</v>
      </c>
      <c r="Q198" s="162">
        <f t="shared" ca="1" si="108"/>
        <v>0.16884656084656044</v>
      </c>
      <c r="R198" s="144"/>
      <c r="S198" s="157">
        <v>44222</v>
      </c>
      <c r="T198" s="250" t="s">
        <v>295</v>
      </c>
      <c r="U198" s="144"/>
    </row>
    <row r="199" spans="1:21" x14ac:dyDescent="0.35">
      <c r="A199" s="149">
        <v>86</v>
      </c>
      <c r="B199" s="154" t="str">
        <f t="shared" si="106"/>
        <v>Historical</v>
      </c>
      <c r="C199" s="144"/>
      <c r="D199" s="160" t="str">
        <f ca="1">INDEX(INDIRECT(E199),0,COLUMN(MO_Common_Column_A))</f>
        <v>Add back: SBC</v>
      </c>
      <c r="E199" s="155" t="s">
        <v>415</v>
      </c>
      <c r="F199" s="154" t="s">
        <v>438</v>
      </c>
      <c r="G199" s="154"/>
      <c r="H199" s="144"/>
      <c r="I199" s="156">
        <v>43</v>
      </c>
      <c r="J199" s="156">
        <v>45</v>
      </c>
      <c r="K199" s="156">
        <f t="shared" si="109"/>
        <v>44</v>
      </c>
      <c r="L199" s="144"/>
      <c r="M199" s="154" t="str">
        <f t="shared" si="107"/>
        <v>Actual</v>
      </c>
      <c r="N199" s="156">
        <f ca="1">IFERROR(INDEX(INDIRECT(E199),0,MATCH(F199,MO_Common_ColumnHeader,0)),"N/A")</f>
        <v>39.332999999999998</v>
      </c>
      <c r="O199" s="144"/>
      <c r="P199" s="161">
        <f t="shared" ca="1" si="110"/>
        <v>-4.6670000000000016</v>
      </c>
      <c r="Q199" s="162">
        <f t="shared" ca="1" si="108"/>
        <v>-0.10606818181818185</v>
      </c>
      <c r="R199" s="144"/>
      <c r="S199" s="157">
        <v>44222</v>
      </c>
      <c r="T199" s="250" t="s">
        <v>295</v>
      </c>
      <c r="U199" s="144"/>
    </row>
    <row r="200" spans="1:21" x14ac:dyDescent="0.35">
      <c r="A200" s="149">
        <v>85</v>
      </c>
      <c r="B200" s="154" t="str">
        <f t="shared" si="106"/>
        <v>Historical</v>
      </c>
      <c r="C200" s="144"/>
      <c r="D200" s="160" t="str">
        <f ca="1">INDEX(INDIRECT(E200),0,COLUMN(MO_Common_Column_A))</f>
        <v>Amortization of intangible assets, mm</v>
      </c>
      <c r="E200" s="155" t="s">
        <v>543</v>
      </c>
      <c r="F200" s="154" t="s">
        <v>438</v>
      </c>
      <c r="G200" s="154"/>
      <c r="H200" s="144"/>
      <c r="I200" s="156">
        <v>11.5</v>
      </c>
      <c r="J200" s="156">
        <v>11.5</v>
      </c>
      <c r="K200" s="156">
        <f t="shared" si="109"/>
        <v>11.5</v>
      </c>
      <c r="L200" s="144"/>
      <c r="M200" s="154" t="str">
        <f t="shared" si="107"/>
        <v>Actual</v>
      </c>
      <c r="N200" s="156">
        <f ca="1">IFERROR(INDEX(INDIRECT(E200),0,MATCH(F200,MO_Common_ColumnHeader,0)),"N/A")</f>
        <v>11.641999999999999</v>
      </c>
      <c r="O200" s="144"/>
      <c r="P200" s="161">
        <f t="shared" ca="1" si="110"/>
        <v>0.14199999999999946</v>
      </c>
      <c r="Q200" s="162">
        <f t="shared" ca="1" si="108"/>
        <v>1.2347826086956474E-2</v>
      </c>
      <c r="R200" s="144"/>
      <c r="S200" s="157">
        <v>44222</v>
      </c>
      <c r="T200" s="250" t="s">
        <v>295</v>
      </c>
      <c r="U200" s="144"/>
    </row>
    <row r="201" spans="1:21" x14ac:dyDescent="0.35">
      <c r="A201" s="149">
        <v>84</v>
      </c>
      <c r="B201" s="154" t="str">
        <f t="shared" si="106"/>
        <v>Historical</v>
      </c>
      <c r="C201" s="144"/>
      <c r="D201" s="160" t="e">
        <f ca="1">INDEX(INDIRECT(E201),0,COLUMN(MO_Common_Column_A))</f>
        <v>#REF!</v>
      </c>
      <c r="E201" s="155" t="s">
        <v>483</v>
      </c>
      <c r="F201" s="154" t="s">
        <v>438</v>
      </c>
      <c r="G201" s="154"/>
      <c r="H201" s="144"/>
      <c r="I201" s="156">
        <v>145</v>
      </c>
      <c r="J201" s="156">
        <v>155</v>
      </c>
      <c r="K201" s="156">
        <f t="shared" si="109"/>
        <v>150</v>
      </c>
      <c r="L201" s="144"/>
      <c r="M201" s="154" t="str">
        <f t="shared" si="107"/>
        <v>Actual</v>
      </c>
      <c r="N201" s="156">
        <f ca="1">IFERROR(INDEX(INDIRECT(E201),0,MATCH(F201,MO_Common_ColumnHeader,0)),"N/A")</f>
        <v>161.43099999999995</v>
      </c>
      <c r="O201" s="144"/>
      <c r="P201" s="161">
        <f t="shared" ca="1" si="110"/>
        <v>11.430999999999955</v>
      </c>
      <c r="Q201" s="162">
        <f t="shared" ca="1" si="108"/>
        <v>7.6206666666666367E-2</v>
      </c>
      <c r="R201" s="144"/>
      <c r="S201" s="157">
        <v>44222</v>
      </c>
      <c r="T201" s="250" t="s">
        <v>295</v>
      </c>
      <c r="U201" s="144"/>
    </row>
    <row r="202" spans="1:21" x14ac:dyDescent="0.35">
      <c r="A202" s="149">
        <v>83</v>
      </c>
      <c r="B202" s="144"/>
      <c r="C202" s="144"/>
      <c r="D202" s="141"/>
      <c r="E202" s="142"/>
      <c r="F202" s="144"/>
      <c r="G202" s="144"/>
      <c r="H202" s="144"/>
      <c r="I202" s="532"/>
      <c r="J202" s="532"/>
      <c r="K202" s="532"/>
      <c r="L202" s="144"/>
      <c r="M202" s="144"/>
      <c r="N202" s="532"/>
      <c r="O202" s="144"/>
      <c r="P202" s="218"/>
      <c r="Q202" s="334"/>
      <c r="R202" s="144"/>
      <c r="S202" s="145"/>
      <c r="T202" s="219"/>
      <c r="U202" s="144"/>
    </row>
    <row r="203" spans="1:21" x14ac:dyDescent="0.35">
      <c r="A203" s="149">
        <v>82</v>
      </c>
      <c r="B203" s="154" t="str">
        <f t="shared" ref="B203:B208" si="111">IF(INDEX(MO_SNA_IsHistoricalPeriod,,MATCH(F203,MO_Common_ColumnHeader,0)),"Historical","Forward")</f>
        <v>Historical</v>
      </c>
      <c r="C203" s="144"/>
      <c r="D203" s="160" t="str">
        <f t="shared" ref="D203:D208" ca="1" si="112">INDEX(INDIRECT(E203),0,COLUMN(MO_Common_Column_A))</f>
        <v>Net Revenue</v>
      </c>
      <c r="E203" s="155" t="s">
        <v>293</v>
      </c>
      <c r="F203" s="154" t="s">
        <v>500</v>
      </c>
      <c r="G203" s="154"/>
      <c r="H203" s="144"/>
      <c r="I203" s="156">
        <v>375</v>
      </c>
      <c r="J203" s="156">
        <v>385</v>
      </c>
      <c r="K203" s="156">
        <f t="shared" ref="K203:K208" si="113">AVERAGE(I203:J203)</f>
        <v>380</v>
      </c>
      <c r="L203" s="144"/>
      <c r="M203" s="154" t="str">
        <f t="shared" ref="M203:M208" si="114">IF(INDEX(MO_SNA_IsHistoricalPeriod,,MATCH(F203,MO_Common_ColumnHeader,0)),"Actual","Estimate")</f>
        <v>Actual</v>
      </c>
      <c r="N203" s="156">
        <f t="shared" ref="N203:N208" ca="1" si="115">IFERROR(INDEX(INDIRECT(E203),0,MATCH(F203,MO_Common_ColumnHeader,0)),"N/A")</f>
        <v>392.14499999999998</v>
      </c>
      <c r="O203" s="144"/>
      <c r="P203" s="161">
        <f t="shared" ref="P203:P208" ca="1" si="116">IF(ISNUMBER(N203),N203-K203,"N/A")</f>
        <v>12.144999999999982</v>
      </c>
      <c r="Q203" s="162">
        <f t="shared" ref="Q203:Q208" ca="1" si="117">IFERROR(IF(ISNUMBER(N203),(N203-K203)/ABS(K203),"N/A"),"N/A")</f>
        <v>3.1960526315789425E-2</v>
      </c>
      <c r="R203" s="144"/>
      <c r="S203" s="157">
        <v>44222</v>
      </c>
      <c r="T203" s="250" t="s">
        <v>295</v>
      </c>
      <c r="U203" s="144"/>
    </row>
    <row r="204" spans="1:21" x14ac:dyDescent="0.35">
      <c r="A204" s="149">
        <v>81</v>
      </c>
      <c r="B204" s="154" t="str">
        <f t="shared" si="111"/>
        <v>Historical</v>
      </c>
      <c r="C204" s="144"/>
      <c r="D204" s="160" t="str">
        <f t="shared" ca="1" si="112"/>
        <v>Capex</v>
      </c>
      <c r="E204" s="155" t="s">
        <v>296</v>
      </c>
      <c r="F204" s="154" t="s">
        <v>500</v>
      </c>
      <c r="G204" s="154"/>
      <c r="H204" s="144"/>
      <c r="I204" s="156">
        <v>-15</v>
      </c>
      <c r="J204" s="156">
        <v>-12</v>
      </c>
      <c r="K204" s="156">
        <f t="shared" si="113"/>
        <v>-13.5</v>
      </c>
      <c r="L204" s="144"/>
      <c r="M204" s="154" t="str">
        <f t="shared" si="114"/>
        <v>Actual</v>
      </c>
      <c r="N204" s="156">
        <f t="shared" ca="1" si="115"/>
        <v>-11.344000000000001</v>
      </c>
      <c r="O204" s="144"/>
      <c r="P204" s="161">
        <f t="shared" ca="1" si="116"/>
        <v>2.1559999999999988</v>
      </c>
      <c r="Q204" s="162">
        <f t="shared" ca="1" si="117"/>
        <v>0.15970370370370363</v>
      </c>
      <c r="R204" s="144"/>
      <c r="S204" s="157">
        <v>44222</v>
      </c>
      <c r="T204" s="250" t="s">
        <v>295</v>
      </c>
      <c r="U204" s="144"/>
    </row>
    <row r="205" spans="1:21" x14ac:dyDescent="0.35">
      <c r="A205" s="149">
        <v>80</v>
      </c>
      <c r="B205" s="154" t="str">
        <f t="shared" si="111"/>
        <v>Historical</v>
      </c>
      <c r="C205" s="144"/>
      <c r="D205" s="160" t="str">
        <f t="shared" ca="1" si="112"/>
        <v>EBIT</v>
      </c>
      <c r="E205" s="155" t="s">
        <v>298</v>
      </c>
      <c r="F205" s="154" t="s">
        <v>500</v>
      </c>
      <c r="G205" s="154"/>
      <c r="H205" s="144"/>
      <c r="I205" s="156">
        <v>30.5</v>
      </c>
      <c r="J205" s="156">
        <v>34.5</v>
      </c>
      <c r="K205" s="156">
        <f t="shared" si="113"/>
        <v>32.5</v>
      </c>
      <c r="L205" s="144"/>
      <c r="M205" s="154" t="str">
        <f t="shared" si="114"/>
        <v>Actual</v>
      </c>
      <c r="N205" s="156">
        <f t="shared" ca="1" si="115"/>
        <v>38.552999999999997</v>
      </c>
      <c r="O205" s="144"/>
      <c r="P205" s="161">
        <f t="shared" ca="1" si="116"/>
        <v>6.0529999999999973</v>
      </c>
      <c r="Q205" s="162">
        <f t="shared" ca="1" si="117"/>
        <v>0.18624615384615376</v>
      </c>
      <c r="R205" s="144"/>
      <c r="S205" s="157">
        <v>44222</v>
      </c>
      <c r="T205" s="250" t="s">
        <v>295</v>
      </c>
      <c r="U205" s="144"/>
    </row>
    <row r="206" spans="1:21" x14ac:dyDescent="0.35">
      <c r="A206" s="149">
        <v>79</v>
      </c>
      <c r="B206" s="154" t="str">
        <f t="shared" si="111"/>
        <v>Historical</v>
      </c>
      <c r="C206" s="144"/>
      <c r="D206" s="160" t="str">
        <f t="shared" ca="1" si="112"/>
        <v>Add back: SBC</v>
      </c>
      <c r="E206" s="155" t="s">
        <v>415</v>
      </c>
      <c r="F206" s="154" t="s">
        <v>500</v>
      </c>
      <c r="G206" s="154"/>
      <c r="H206" s="144"/>
      <c r="I206" s="156">
        <v>13</v>
      </c>
      <c r="J206" s="156">
        <v>14</v>
      </c>
      <c r="K206" s="156">
        <f t="shared" si="113"/>
        <v>13.5</v>
      </c>
      <c r="L206" s="144"/>
      <c r="M206" s="154" t="str">
        <f t="shared" si="114"/>
        <v>Actual</v>
      </c>
      <c r="N206" s="156">
        <f t="shared" ca="1" si="115"/>
        <v>12.854000000000003</v>
      </c>
      <c r="O206" s="144"/>
      <c r="P206" s="161">
        <f t="shared" ca="1" si="116"/>
        <v>-0.64599999999999724</v>
      </c>
      <c r="Q206" s="162">
        <f t="shared" ca="1" si="117"/>
        <v>-4.7851851851851646E-2</v>
      </c>
      <c r="R206" s="144"/>
      <c r="S206" s="157">
        <v>44222</v>
      </c>
      <c r="T206" s="250" t="s">
        <v>295</v>
      </c>
      <c r="U206" s="144"/>
    </row>
    <row r="207" spans="1:21" x14ac:dyDescent="0.35">
      <c r="A207" s="149">
        <v>78</v>
      </c>
      <c r="B207" s="154" t="str">
        <f t="shared" si="111"/>
        <v>Historical</v>
      </c>
      <c r="C207" s="144"/>
      <c r="D207" s="160" t="str">
        <f t="shared" ca="1" si="112"/>
        <v>Amortization of intangible assets, mm</v>
      </c>
      <c r="E207" s="155" t="s">
        <v>543</v>
      </c>
      <c r="F207" s="154" t="s">
        <v>500</v>
      </c>
      <c r="G207" s="154"/>
      <c r="H207" s="144"/>
      <c r="I207" s="156">
        <v>3.5</v>
      </c>
      <c r="J207" s="156">
        <v>3.5</v>
      </c>
      <c r="K207" s="156">
        <f t="shared" si="113"/>
        <v>3.5</v>
      </c>
      <c r="L207" s="144"/>
      <c r="M207" s="154" t="str">
        <f t="shared" si="114"/>
        <v>Actual</v>
      </c>
      <c r="N207" s="156">
        <f t="shared" ca="1" si="115"/>
        <v>3.4990000000000001</v>
      </c>
      <c r="O207" s="144"/>
      <c r="P207" s="161">
        <f t="shared" ca="1" si="116"/>
        <v>-9.9999999999988987E-4</v>
      </c>
      <c r="Q207" s="162">
        <f t="shared" ca="1" si="117"/>
        <v>-2.8571428571425424E-4</v>
      </c>
      <c r="R207" s="144"/>
      <c r="S207" s="157">
        <v>44222</v>
      </c>
      <c r="T207" s="250" t="s">
        <v>295</v>
      </c>
      <c r="U207" s="144"/>
    </row>
    <row r="208" spans="1:21" x14ac:dyDescent="0.35">
      <c r="A208" s="149">
        <v>77</v>
      </c>
      <c r="B208" s="154" t="str">
        <f t="shared" si="111"/>
        <v>Historical</v>
      </c>
      <c r="C208" s="144"/>
      <c r="D208" s="160" t="e">
        <f t="shared" ca="1" si="112"/>
        <v>#REF!</v>
      </c>
      <c r="E208" s="155" t="s">
        <v>483</v>
      </c>
      <c r="F208" s="154" t="s">
        <v>500</v>
      </c>
      <c r="G208" s="154"/>
      <c r="H208" s="144"/>
      <c r="I208" s="156">
        <v>47</v>
      </c>
      <c r="J208" s="156">
        <v>52</v>
      </c>
      <c r="K208" s="156">
        <f t="shared" si="113"/>
        <v>49.5</v>
      </c>
      <c r="L208" s="144"/>
      <c r="M208" s="154" t="str">
        <f t="shared" si="114"/>
        <v>Actual</v>
      </c>
      <c r="N208" s="156">
        <f t="shared" ca="1" si="115"/>
        <v>54.905999999999999</v>
      </c>
      <c r="O208" s="144"/>
      <c r="P208" s="161">
        <f t="shared" ca="1" si="116"/>
        <v>5.4059999999999988</v>
      </c>
      <c r="Q208" s="162">
        <f t="shared" ca="1" si="117"/>
        <v>0.10921212121212119</v>
      </c>
      <c r="R208" s="144"/>
      <c r="S208" s="157">
        <v>44222</v>
      </c>
      <c r="T208" s="250" t="s">
        <v>295</v>
      </c>
      <c r="U208" s="144"/>
    </row>
    <row r="209" spans="1:21" x14ac:dyDescent="0.35">
      <c r="A209" s="149">
        <v>76</v>
      </c>
      <c r="B209" s="144"/>
      <c r="C209" s="144"/>
      <c r="D209" s="141"/>
      <c r="E209" s="142"/>
      <c r="F209" s="144"/>
      <c r="G209" s="144"/>
      <c r="H209" s="144"/>
      <c r="I209" s="532"/>
      <c r="J209" s="532"/>
      <c r="K209" s="532"/>
      <c r="L209" s="144"/>
      <c r="M209" s="144"/>
      <c r="N209" s="532"/>
      <c r="O209" s="144"/>
      <c r="P209" s="218"/>
      <c r="Q209" s="334"/>
      <c r="R209" s="144"/>
      <c r="S209" s="145"/>
      <c r="T209" s="219"/>
      <c r="U209" s="144"/>
    </row>
    <row r="210" spans="1:21" x14ac:dyDescent="0.35">
      <c r="A210" s="149">
        <v>75</v>
      </c>
      <c r="B210" s="154" t="str">
        <f>IF(INDEX(MO_SNA_IsHistoricalPeriod,,MATCH(F210,MO_Common_ColumnHeader,0)),"Historical","Forward")</f>
        <v>Forward</v>
      </c>
      <c r="C210" s="144"/>
      <c r="D210" s="160" t="str">
        <f ca="1">INDEX(INDIRECT(E210),0,COLUMN(MO_Common_Column_A))</f>
        <v>Net Revenue</v>
      </c>
      <c r="E210" s="155" t="s">
        <v>293</v>
      </c>
      <c r="F210" s="154" t="s">
        <v>486</v>
      </c>
      <c r="G210" s="154"/>
      <c r="H210" s="144"/>
      <c r="I210" s="156">
        <v>1900</v>
      </c>
      <c r="J210" s="156">
        <v>2200</v>
      </c>
      <c r="K210" s="156">
        <f>AVERAGE(I210:J210)</f>
        <v>2050</v>
      </c>
      <c r="L210" s="144"/>
      <c r="M210" s="154" t="str">
        <f>IF(INDEX(MO_SNA_IsHistoricalPeriod,,MATCH(F210,MO_Common_ColumnHeader,0)),"Actual","Estimate")</f>
        <v>Estimate</v>
      </c>
      <c r="N210" s="156" t="str">
        <f ca="1">IFERROR(INDEX(INDIRECT(E210),0,MATCH(F210,MO_Common_ColumnHeader,0)),"N/A")</f>
        <v>N/A</v>
      </c>
      <c r="O210" s="144"/>
      <c r="P210" s="161" t="str">
        <f ca="1">IF(ISNUMBER(N210),N210-K210,"N/A")</f>
        <v>N/A</v>
      </c>
      <c r="Q210" s="162" t="str">
        <f ca="1">IFERROR(IF(ISNUMBER(N210),(N210-K210)/ABS(K210),"N/A"),"N/A")</f>
        <v>N/A</v>
      </c>
      <c r="R210" s="144"/>
      <c r="S210" s="157">
        <v>44153</v>
      </c>
      <c r="T210" s="250" t="s">
        <v>487</v>
      </c>
      <c r="U210" s="144"/>
    </row>
    <row r="211" spans="1:21" x14ac:dyDescent="0.35">
      <c r="A211" s="149">
        <v>74</v>
      </c>
      <c r="B211" s="154" t="str">
        <f>IF(INDEX(MO_SNA_IsHistoricalPeriod,,MATCH(F211,MO_Common_ColumnHeader,0)),"Historical","Forward")</f>
        <v>Forward</v>
      </c>
      <c r="C211" s="144"/>
      <c r="D211" s="160" t="e">
        <f ca="1">INDEX(INDIRECT(E211),0,COLUMN(MO_Common_Column_A))</f>
        <v>#REF!</v>
      </c>
      <c r="E211" s="155" t="s">
        <v>483</v>
      </c>
      <c r="F211" s="154" t="s">
        <v>486</v>
      </c>
      <c r="G211" s="154"/>
      <c r="H211" s="144"/>
      <c r="I211" s="156">
        <v>250</v>
      </c>
      <c r="J211" s="156">
        <v>350</v>
      </c>
      <c r="K211" s="156">
        <f>AVERAGE(I211:J211)</f>
        <v>300</v>
      </c>
      <c r="L211" s="144"/>
      <c r="M211" s="154" t="str">
        <f>IF(INDEX(MO_SNA_IsHistoricalPeriod,,MATCH(F211,MO_Common_ColumnHeader,0)),"Actual","Estimate")</f>
        <v>Estimate</v>
      </c>
      <c r="N211" s="156" t="str">
        <f ca="1">IFERROR(INDEX(INDIRECT(E211),0,MATCH(F211,MO_Common_ColumnHeader,0)),"N/A")</f>
        <v>N/A</v>
      </c>
      <c r="O211" s="144"/>
      <c r="P211" s="161" t="str">
        <f ca="1">IF(ISNUMBER(N211),N211-K211,"N/A")</f>
        <v>N/A</v>
      </c>
      <c r="Q211" s="162" t="str">
        <f ca="1">IFERROR(IF(ISNUMBER(N211),(N211-K211)/ABS(K211),"N/A"),"N/A")</f>
        <v>N/A</v>
      </c>
      <c r="R211" s="144"/>
      <c r="S211" s="157">
        <v>44153</v>
      </c>
      <c r="T211" s="250" t="s">
        <v>487</v>
      </c>
      <c r="U211" s="144"/>
    </row>
    <row r="212" spans="1:21" x14ac:dyDescent="0.35">
      <c r="A212" s="149">
        <v>73</v>
      </c>
      <c r="B212" s="154" t="str">
        <f>IF(INDEX(MO_SNA_IsHistoricalPeriod,,MATCH(F212,MO_Common_ColumnHeader,0)),"Historical","Forward")</f>
        <v>Forward</v>
      </c>
      <c r="C212" s="144"/>
      <c r="D212" s="160" t="str">
        <f ca="1">INDEX(INDIRECT(E212),0,COLUMN(MO_Common_Column_A))</f>
        <v>FCF (before WC), Pre Div</v>
      </c>
      <c r="E212" s="155" t="s">
        <v>488</v>
      </c>
      <c r="F212" s="154" t="s">
        <v>486</v>
      </c>
      <c r="G212" s="154"/>
      <c r="H212" s="144"/>
      <c r="I212" s="156">
        <v>260</v>
      </c>
      <c r="J212" s="156">
        <v>360</v>
      </c>
      <c r="K212" s="156">
        <f>AVERAGE(I212:J212)</f>
        <v>310</v>
      </c>
      <c r="L212" s="144"/>
      <c r="M212" s="154" t="str">
        <f>IF(INDEX(MO_SNA_IsHistoricalPeriod,,MATCH(F212,MO_Common_ColumnHeader,0)),"Actual","Estimate")</f>
        <v>Estimate</v>
      </c>
      <c r="N212" s="156" t="str">
        <f ca="1">IFERROR(INDEX(INDIRECT(E212),0,MATCH(F212,MO_Common_ColumnHeader,0)),"N/A")</f>
        <v>N/A</v>
      </c>
      <c r="O212" s="144"/>
      <c r="P212" s="161" t="str">
        <f ca="1">IF(ISNUMBER(N212),N212-K212,"N/A")</f>
        <v>N/A</v>
      </c>
      <c r="Q212" s="162" t="str">
        <f ca="1">IFERROR(IF(ISNUMBER(N212),(N212-K212)/ABS(K212),"N/A"),"N/A")</f>
        <v>N/A</v>
      </c>
      <c r="R212" s="144"/>
      <c r="S212" s="157">
        <v>44153</v>
      </c>
      <c r="T212" s="250" t="s">
        <v>487</v>
      </c>
      <c r="U212" s="144"/>
    </row>
    <row r="213" spans="1:21" x14ac:dyDescent="0.35">
      <c r="A213" s="149">
        <v>72</v>
      </c>
      <c r="B213" s="154" t="str">
        <f>IF(INDEX(MO_SNA_IsHistoricalPeriod,,MATCH(F213,MO_Common_ColumnHeader,0)),"Historical","Forward")</f>
        <v>Forward</v>
      </c>
      <c r="C213" s="144"/>
      <c r="D213" s="160" t="str">
        <f ca="1">INDEX(INDIRECT(E213),0,COLUMN(MO_Common_Column_A))</f>
        <v>Gross Margin, %</v>
      </c>
      <c r="E213" s="155" t="s">
        <v>508</v>
      </c>
      <c r="F213" s="154" t="s">
        <v>486</v>
      </c>
      <c r="G213" s="154"/>
      <c r="H213" s="144"/>
      <c r="I213" s="215">
        <v>0.36</v>
      </c>
      <c r="J213" s="215">
        <v>0.39</v>
      </c>
      <c r="K213" s="215">
        <f>AVERAGE(I213:J213)</f>
        <v>0.375</v>
      </c>
      <c r="L213" s="144"/>
      <c r="M213" s="154" t="str">
        <f>IF(INDEX(MO_SNA_IsHistoricalPeriod,,MATCH(F213,MO_Common_ColumnHeader,0)),"Actual","Estimate")</f>
        <v>Estimate</v>
      </c>
      <c r="N213" s="215" t="str">
        <f ca="1">IFERROR(INDEX(INDIRECT(E213),0,MATCH(F213,MO_Common_ColumnHeader,0)),"N/A")</f>
        <v>N/A</v>
      </c>
      <c r="O213" s="144"/>
      <c r="P213" s="162" t="str">
        <f ca="1">IF(ISNUMBER(N213),N213-K213,"N/A")</f>
        <v>N/A</v>
      </c>
      <c r="Q213" s="162" t="str">
        <f ca="1">IFERROR(IF(ISNUMBER(N213),(N213-K213)/ABS(K213),"N/A"),"N/A")</f>
        <v>N/A</v>
      </c>
      <c r="R213" s="144"/>
      <c r="S213" s="157">
        <v>44153</v>
      </c>
      <c r="T213" s="250" t="s">
        <v>487</v>
      </c>
      <c r="U213" s="144"/>
    </row>
    <row r="214" spans="1:21" x14ac:dyDescent="0.35">
      <c r="A214" s="149">
        <v>71</v>
      </c>
      <c r="B214" s="154" t="str">
        <f>IF(INDEX(MO_SNA_IsHistoricalPeriod,,MATCH(F214,MO_Common_ColumnHeader,0)),"Historical","Forward")</f>
        <v>Forward</v>
      </c>
      <c r="C214" s="144"/>
      <c r="D214" s="160" t="str">
        <f ca="1">INDEX(INDIRECT(E214),0,COLUMN(MO_Common_Column_A))</f>
        <v>Adjusted EBITDA Margin, %</v>
      </c>
      <c r="E214" s="155" t="s">
        <v>489</v>
      </c>
      <c r="F214" s="154" t="s">
        <v>486</v>
      </c>
      <c r="G214" s="154"/>
      <c r="H214" s="144"/>
      <c r="I214" s="215">
        <v>0.21</v>
      </c>
      <c r="J214" s="215">
        <v>0.24</v>
      </c>
      <c r="K214" s="215">
        <f>AVERAGE(I214:J214)</f>
        <v>0.22499999999999998</v>
      </c>
      <c r="L214" s="144"/>
      <c r="M214" s="154" t="str">
        <f>IF(INDEX(MO_SNA_IsHistoricalPeriod,,MATCH(F214,MO_Common_ColumnHeader,0)),"Actual","Estimate")</f>
        <v>Estimate</v>
      </c>
      <c r="N214" s="215" t="str">
        <f ca="1">IFERROR(INDEX(INDIRECT(E214),0,MATCH(F214,MO_Common_ColumnHeader,0)),"N/A")</f>
        <v>N/A</v>
      </c>
      <c r="O214" s="144"/>
      <c r="P214" s="162" t="str">
        <f ca="1">IF(ISNUMBER(N214),N214-K214,"N/A")</f>
        <v>N/A</v>
      </c>
      <c r="Q214" s="162" t="str">
        <f ca="1">IFERROR(IF(ISNUMBER(N214),(N214-K214)/ABS(K214),"N/A"),"N/A")</f>
        <v>N/A</v>
      </c>
      <c r="R214" s="144"/>
      <c r="S214" s="157">
        <v>44153</v>
      </c>
      <c r="T214" s="250" t="s">
        <v>487</v>
      </c>
      <c r="U214" s="144"/>
    </row>
    <row r="215" spans="1:21" x14ac:dyDescent="0.35">
      <c r="A215" s="149">
        <v>70</v>
      </c>
      <c r="B215" s="144"/>
      <c r="C215" s="144"/>
      <c r="D215" s="141"/>
      <c r="E215" s="142"/>
      <c r="F215" s="144"/>
      <c r="G215" s="144"/>
      <c r="H215" s="144"/>
      <c r="I215" s="532"/>
      <c r="J215" s="532"/>
      <c r="K215" s="532"/>
      <c r="L215" s="144"/>
      <c r="M215" s="144"/>
      <c r="N215" s="532"/>
      <c r="O215" s="144"/>
      <c r="P215" s="218"/>
      <c r="Q215" s="334"/>
      <c r="R215" s="144"/>
      <c r="S215" s="145"/>
      <c r="T215" s="219"/>
      <c r="U215" s="144"/>
    </row>
    <row r="216" spans="1:21" x14ac:dyDescent="0.35">
      <c r="A216" s="149">
        <v>69</v>
      </c>
      <c r="B216" s="154" t="str">
        <f>IF(INDEX(MO_SNA_IsHistoricalPeriod,,MATCH(F216,MO_Common_ColumnHeader,0)),"Historical","Forward")</f>
        <v>Historical</v>
      </c>
      <c r="C216" s="144"/>
      <c r="D216" s="160" t="str">
        <f ca="1">INDEX(INDIRECT(E216),0,COLUMN(MO_Common_Column_A))</f>
        <v>Net Revenue</v>
      </c>
      <c r="E216" s="155" t="s">
        <v>293</v>
      </c>
      <c r="F216" s="154" t="s">
        <v>438</v>
      </c>
      <c r="G216" s="154"/>
      <c r="H216" s="144"/>
      <c r="I216" s="156">
        <v>1457</v>
      </c>
      <c r="J216" s="156">
        <v>1485</v>
      </c>
      <c r="K216" s="156">
        <f>AVERAGE(I216:J216)</f>
        <v>1471</v>
      </c>
      <c r="L216" s="144"/>
      <c r="M216" s="154" t="str">
        <f>IF(INDEX(MO_SNA_IsHistoricalPeriod,,MATCH(F216,MO_Common_ColumnHeader,0)),"Actual","Estimate")</f>
        <v>Actual</v>
      </c>
      <c r="N216" s="156">
        <f ca="1">IFERROR(INDEX(INDIRECT(E216),0,MATCH(F216,MO_Common_ColumnHeader,0)),"N/A")</f>
        <v>1536.76</v>
      </c>
      <c r="O216" s="144"/>
      <c r="P216" s="161">
        <f ca="1">IF(ISNUMBER(N216),N216-K216,"N/A")</f>
        <v>65.759999999999991</v>
      </c>
      <c r="Q216" s="162">
        <f ca="1">IFERROR(IF(ISNUMBER(N216),(N216-K216)/ABS(K216),"N/A"),"N/A")</f>
        <v>4.4704282800815766E-2</v>
      </c>
      <c r="R216" s="144"/>
      <c r="S216" s="157">
        <v>44152</v>
      </c>
      <c r="T216" s="250" t="s">
        <v>295</v>
      </c>
      <c r="U216" s="144"/>
    </row>
    <row r="217" spans="1:21" x14ac:dyDescent="0.35">
      <c r="A217" s="149">
        <v>68</v>
      </c>
      <c r="B217" s="154" t="str">
        <f>IF(INDEX(MO_SNA_IsHistoricalPeriod,,MATCH(F217,MO_Common_ColumnHeader,0)),"Historical","Forward")</f>
        <v>Historical</v>
      </c>
      <c r="C217" s="144"/>
      <c r="D217" s="160" t="str">
        <f ca="1">INDEX(INDIRECT(E217),0,COLUMN(MO_Common_Column_A))</f>
        <v>Capex</v>
      </c>
      <c r="E217" s="155" t="s">
        <v>296</v>
      </c>
      <c r="F217" s="154" t="s">
        <v>438</v>
      </c>
      <c r="G217" s="154"/>
      <c r="H217" s="144"/>
      <c r="I217" s="156">
        <v>-60</v>
      </c>
      <c r="J217" s="156">
        <v>-50</v>
      </c>
      <c r="K217" s="156">
        <f>AVERAGE(I217:J217)</f>
        <v>-55</v>
      </c>
      <c r="L217" s="144"/>
      <c r="M217" s="154" t="str">
        <f>IF(INDEX(MO_SNA_IsHistoricalPeriod,,MATCH(F217,MO_Common_ColumnHeader,0)),"Actual","Estimate")</f>
        <v>Actual</v>
      </c>
      <c r="N217" s="156">
        <f ca="1">IFERROR(INDEX(INDIRECT(E217),0,MATCH(F217,MO_Common_ColumnHeader,0)),"N/A")</f>
        <v>-52.263000000000005</v>
      </c>
      <c r="O217" s="144"/>
      <c r="P217" s="161">
        <f ca="1">IF(ISNUMBER(N217),N217-K217,"N/A")</f>
        <v>2.7369999999999948</v>
      </c>
      <c r="Q217" s="162">
        <f ca="1">IFERROR(IF(ISNUMBER(N217),(N217-K217)/ABS(K217),"N/A"),"N/A")</f>
        <v>4.9763636363636267E-2</v>
      </c>
      <c r="R217" s="144"/>
      <c r="S217" s="157">
        <v>44152</v>
      </c>
      <c r="T217" s="250" t="s">
        <v>295</v>
      </c>
      <c r="U217" s="144"/>
    </row>
    <row r="218" spans="1:21" x14ac:dyDescent="0.35">
      <c r="A218" s="149">
        <v>67</v>
      </c>
      <c r="B218" s="154" t="str">
        <f>IF(INDEX(MO_SNA_IsHistoricalPeriod,,MATCH(F218,MO_Common_ColumnHeader,0)),"Historical","Forward")</f>
        <v>Historical</v>
      </c>
      <c r="C218" s="144"/>
      <c r="D218" s="160" t="s">
        <v>391</v>
      </c>
      <c r="E218" s="155"/>
      <c r="F218" s="154" t="s">
        <v>438</v>
      </c>
      <c r="G218" s="154"/>
      <c r="H218" s="144"/>
      <c r="I218" s="215">
        <v>0.26</v>
      </c>
      <c r="J218" s="215">
        <v>0.28999999999999998</v>
      </c>
      <c r="K218" s="215">
        <f>AVERAGE(I218:J218)</f>
        <v>0.27500000000000002</v>
      </c>
      <c r="L218" s="144"/>
      <c r="M218" s="154" t="str">
        <f>IF(INDEX(MO_SNA_IsHistoricalPeriod,,MATCH(F218,MO_Common_ColumnHeader,0)),"Actual","Estimate")</f>
        <v>Actual</v>
      </c>
      <c r="N218" s="215">
        <f>INDEX(MO_RIS_TaxRate_Current,0,MATCH(F218,MO_Common_ColumnHeader,0))+INDEX(MO_RIS_TaxRate_Deferred,0,MATCH(F218,MO_Common_ColumnHeader,0))</f>
        <v>0.25747591966927597</v>
      </c>
      <c r="O218" s="144"/>
      <c r="P218" s="162">
        <f>IF(ISNUMBER(N218),N218-K218,"N/A")</f>
        <v>-1.7524080330724057E-2</v>
      </c>
      <c r="Q218" s="162">
        <f>IFERROR(IF(ISNUMBER(N218),(N218-K218)/ABS(K218),"N/A"),"N/A")</f>
        <v>-6.3723928475360195E-2</v>
      </c>
      <c r="R218" s="144"/>
      <c r="S218" s="157">
        <v>44152</v>
      </c>
      <c r="T218" s="250" t="s">
        <v>295</v>
      </c>
      <c r="U218" s="144"/>
    </row>
    <row r="219" spans="1:21" x14ac:dyDescent="0.35">
      <c r="A219" s="149">
        <v>66</v>
      </c>
      <c r="B219" s="154" t="str">
        <f>IF(INDEX(MO_SNA_IsHistoricalPeriod,,MATCH(F219,MO_Common_ColumnHeader,0)),"Historical","Forward")</f>
        <v>Historical</v>
      </c>
      <c r="C219" s="144"/>
      <c r="D219" s="160" t="e">
        <f ca="1">INDEX(INDIRECT(E219),0,COLUMN(MO_Common_Column_A))</f>
        <v>#REF!</v>
      </c>
      <c r="E219" s="155" t="s">
        <v>483</v>
      </c>
      <c r="F219" s="154" t="s">
        <v>438</v>
      </c>
      <c r="G219" s="154"/>
      <c r="H219" s="144"/>
      <c r="I219" s="156">
        <v>120</v>
      </c>
      <c r="J219" s="156">
        <v>130</v>
      </c>
      <c r="K219" s="156">
        <f>AVERAGE(I219:J219)</f>
        <v>125</v>
      </c>
      <c r="L219" s="144"/>
      <c r="M219" s="154" t="str">
        <f>IF(INDEX(MO_SNA_IsHistoricalPeriod,,MATCH(F219,MO_Common_ColumnHeader,0)),"Actual","Estimate")</f>
        <v>Actual</v>
      </c>
      <c r="N219" s="156">
        <f ca="1">IFERROR(INDEX(INDIRECT(E219),0,MATCH(F219,MO_Common_ColumnHeader,0)),"N/A")</f>
        <v>161.43099999999995</v>
      </c>
      <c r="O219" s="144"/>
      <c r="P219" s="161">
        <f ca="1">IF(ISNUMBER(N219),N219-K219,"N/A")</f>
        <v>36.430999999999955</v>
      </c>
      <c r="Q219" s="162">
        <f ca="1">IFERROR(IF(ISNUMBER(N219),(N219-K219)/ABS(K219),"N/A"),"N/A")</f>
        <v>0.29144799999999965</v>
      </c>
      <c r="R219" s="144"/>
      <c r="S219" s="157">
        <v>44152</v>
      </c>
      <c r="T219" s="250" t="s">
        <v>295</v>
      </c>
      <c r="U219" s="144"/>
    </row>
    <row r="220" spans="1:21" x14ac:dyDescent="0.35">
      <c r="A220" s="149">
        <v>65</v>
      </c>
      <c r="B220" s="144"/>
      <c r="C220" s="144"/>
      <c r="D220" s="141"/>
      <c r="E220" s="142"/>
      <c r="F220" s="144"/>
      <c r="G220" s="144"/>
      <c r="H220" s="144"/>
      <c r="I220" s="532"/>
      <c r="J220" s="532"/>
      <c r="K220" s="532"/>
      <c r="L220" s="144"/>
      <c r="M220" s="144"/>
      <c r="N220" s="532"/>
      <c r="O220" s="144"/>
      <c r="P220" s="218"/>
      <c r="Q220" s="334"/>
      <c r="R220" s="144"/>
      <c r="S220" s="145"/>
      <c r="T220" s="219"/>
      <c r="U220" s="144"/>
    </row>
    <row r="221" spans="1:21" x14ac:dyDescent="0.35">
      <c r="A221" s="149">
        <v>64</v>
      </c>
      <c r="B221" s="154" t="str">
        <f t="shared" ref="B221:B227" si="118">IF(INDEX(MO_SNA_IsHistoricalPeriod,,MATCH(F221,MO_Common_ColumnHeader,0)),"Historical","Forward")</f>
        <v>Historical</v>
      </c>
      <c r="C221" s="144"/>
      <c r="D221" s="160" t="str">
        <f ca="1">INDEX(INDIRECT(E221),0,COLUMN(MO_Common_Column_A))</f>
        <v>Net Revenue</v>
      </c>
      <c r="E221" s="155" t="s">
        <v>293</v>
      </c>
      <c r="F221" s="154" t="s">
        <v>438</v>
      </c>
      <c r="G221" s="154"/>
      <c r="H221" s="144"/>
      <c r="I221" s="156">
        <v>1445</v>
      </c>
      <c r="J221" s="156">
        <v>1470</v>
      </c>
      <c r="K221" s="156">
        <f t="shared" ref="K221:K227" si="119">AVERAGE(I221:J221)</f>
        <v>1457.5</v>
      </c>
      <c r="L221" s="144"/>
      <c r="M221" s="154" t="str">
        <f t="shared" ref="M221:M227" si="120">IF(INDEX(MO_SNA_IsHistoricalPeriod,,MATCH(F221,MO_Common_ColumnHeader,0)),"Actual","Estimate")</f>
        <v>Actual</v>
      </c>
      <c r="N221" s="156">
        <f ca="1">IFERROR(INDEX(INDIRECT(E221),0,MATCH(F221,MO_Common_ColumnHeader,0)),"N/A")</f>
        <v>1536.76</v>
      </c>
      <c r="O221" s="144"/>
      <c r="P221" s="161">
        <f t="shared" ref="P221:P227" ca="1" si="121">IF(ISNUMBER(N221),N221-K221,"N/A")</f>
        <v>79.259999999999991</v>
      </c>
      <c r="Q221" s="162">
        <f t="shared" ref="Q221:Q227" ca="1" si="122">IFERROR(IF(ISNUMBER(N221),(N221-K221)/ABS(K221),"N/A"),"N/A")</f>
        <v>5.4380789022298447E-2</v>
      </c>
      <c r="R221" s="144"/>
      <c r="S221" s="157">
        <v>44130</v>
      </c>
      <c r="T221" s="250" t="s">
        <v>295</v>
      </c>
      <c r="U221" s="144"/>
    </row>
    <row r="222" spans="1:21" x14ac:dyDescent="0.35">
      <c r="A222" s="149">
        <v>63</v>
      </c>
      <c r="B222" s="154" t="str">
        <f t="shared" si="118"/>
        <v>Historical</v>
      </c>
      <c r="C222" s="144"/>
      <c r="D222" s="160" t="str">
        <f ca="1">INDEX(INDIRECT(E222),0,COLUMN(MO_Common_Column_A))</f>
        <v>Capex</v>
      </c>
      <c r="E222" s="155" t="s">
        <v>296</v>
      </c>
      <c r="F222" s="154" t="s">
        <v>438</v>
      </c>
      <c r="G222" s="154"/>
      <c r="H222" s="144"/>
      <c r="I222" s="156">
        <v>-60</v>
      </c>
      <c r="J222" s="156">
        <v>-50</v>
      </c>
      <c r="K222" s="156">
        <f t="shared" si="119"/>
        <v>-55</v>
      </c>
      <c r="L222" s="144"/>
      <c r="M222" s="154" t="str">
        <f t="shared" si="120"/>
        <v>Actual</v>
      </c>
      <c r="N222" s="156">
        <f ca="1">IFERROR(INDEX(INDIRECT(E222),0,MATCH(F222,MO_Common_ColumnHeader,0)),"N/A")</f>
        <v>-52.263000000000005</v>
      </c>
      <c r="O222" s="144"/>
      <c r="P222" s="161">
        <f t="shared" ca="1" si="121"/>
        <v>2.7369999999999948</v>
      </c>
      <c r="Q222" s="162">
        <f t="shared" ca="1" si="122"/>
        <v>4.9763636363636267E-2</v>
      </c>
      <c r="R222" s="144"/>
      <c r="S222" s="157">
        <v>44130</v>
      </c>
      <c r="T222" s="250" t="s">
        <v>295</v>
      </c>
      <c r="U222" s="144"/>
    </row>
    <row r="223" spans="1:21" x14ac:dyDescent="0.35">
      <c r="A223" s="149">
        <v>62</v>
      </c>
      <c r="B223" s="154" t="str">
        <f t="shared" si="118"/>
        <v>Historical</v>
      </c>
      <c r="C223" s="144"/>
      <c r="D223" s="160" t="s">
        <v>391</v>
      </c>
      <c r="E223" s="155"/>
      <c r="F223" s="154" t="s">
        <v>438</v>
      </c>
      <c r="G223" s="154"/>
      <c r="H223" s="144"/>
      <c r="I223" s="215">
        <v>0.26</v>
      </c>
      <c r="J223" s="215">
        <v>0.28999999999999998</v>
      </c>
      <c r="K223" s="215">
        <f t="shared" si="119"/>
        <v>0.27500000000000002</v>
      </c>
      <c r="L223" s="144"/>
      <c r="M223" s="154" t="str">
        <f t="shared" si="120"/>
        <v>Actual</v>
      </c>
      <c r="N223" s="215">
        <f>INDEX(MO_RIS_TaxRate_Current,0,MATCH(F223,MO_Common_ColumnHeader,0))+INDEX(MO_RIS_TaxRate_Deferred,0,MATCH(F223,MO_Common_ColumnHeader,0))</f>
        <v>0.25747591966927597</v>
      </c>
      <c r="O223" s="144"/>
      <c r="P223" s="162">
        <f t="shared" si="121"/>
        <v>-1.7524080330724057E-2</v>
      </c>
      <c r="Q223" s="162">
        <f t="shared" si="122"/>
        <v>-6.3723928475360195E-2</v>
      </c>
      <c r="R223" s="144"/>
      <c r="S223" s="157">
        <v>44130</v>
      </c>
      <c r="T223" s="250" t="s">
        <v>295</v>
      </c>
      <c r="U223" s="144"/>
    </row>
    <row r="224" spans="1:21" x14ac:dyDescent="0.35">
      <c r="A224" s="149">
        <v>61</v>
      </c>
      <c r="B224" s="154" t="str">
        <f t="shared" si="118"/>
        <v>Historical</v>
      </c>
      <c r="C224" s="144"/>
      <c r="D224" s="160" t="str">
        <f ca="1">INDEX(INDIRECT(E224),0,COLUMN(MO_Common_Column_A))</f>
        <v>EBIT</v>
      </c>
      <c r="E224" s="155" t="s">
        <v>298</v>
      </c>
      <c r="F224" s="154" t="s">
        <v>438</v>
      </c>
      <c r="G224" s="154"/>
      <c r="H224" s="144"/>
      <c r="I224" s="156">
        <v>76.5</v>
      </c>
      <c r="J224" s="156">
        <v>86.5</v>
      </c>
      <c r="K224" s="156">
        <f t="shared" si="119"/>
        <v>81.5</v>
      </c>
      <c r="L224" s="144"/>
      <c r="M224" s="154" t="str">
        <f t="shared" si="120"/>
        <v>Actual</v>
      </c>
      <c r="N224" s="156">
        <f ca="1">IFERROR(INDEX(INDIRECT(E224),0,MATCH(F224,MO_Common_ColumnHeader,0)),"N/A")</f>
        <v>110.45599999999996</v>
      </c>
      <c r="O224" s="144"/>
      <c r="P224" s="161">
        <f t="shared" ca="1" si="121"/>
        <v>28.95599999999996</v>
      </c>
      <c r="Q224" s="162">
        <f t="shared" ca="1" si="122"/>
        <v>0.35528834355828171</v>
      </c>
      <c r="R224" s="144"/>
      <c r="S224" s="157">
        <v>44130</v>
      </c>
      <c r="T224" s="250" t="s">
        <v>295</v>
      </c>
      <c r="U224" s="144"/>
    </row>
    <row r="225" spans="1:21" x14ac:dyDescent="0.35">
      <c r="A225" s="149">
        <v>60</v>
      </c>
      <c r="B225" s="154" t="str">
        <f t="shared" si="118"/>
        <v>Historical</v>
      </c>
      <c r="C225" s="144"/>
      <c r="D225" s="160" t="str">
        <f ca="1">INDEX(INDIRECT(E225),0,COLUMN(MO_Common_Column_A))</f>
        <v>Add back: SBC</v>
      </c>
      <c r="E225" s="155" t="s">
        <v>415</v>
      </c>
      <c r="F225" s="154" t="s">
        <v>438</v>
      </c>
      <c r="G225" s="154"/>
      <c r="H225" s="144"/>
      <c r="I225" s="156">
        <v>35.5</v>
      </c>
      <c r="J225" s="156">
        <v>35.5</v>
      </c>
      <c r="K225" s="156">
        <f t="shared" si="119"/>
        <v>35.5</v>
      </c>
      <c r="L225" s="144"/>
      <c r="M225" s="154" t="str">
        <f t="shared" si="120"/>
        <v>Actual</v>
      </c>
      <c r="N225" s="156">
        <f ca="1">IFERROR(INDEX(INDIRECT(E225),0,MATCH(F225,MO_Common_ColumnHeader,0)),"N/A")</f>
        <v>39.332999999999998</v>
      </c>
      <c r="O225" s="144"/>
      <c r="P225" s="161">
        <f t="shared" ca="1" si="121"/>
        <v>3.8329999999999984</v>
      </c>
      <c r="Q225" s="162">
        <f t="shared" ca="1" si="122"/>
        <v>0.10797183098591545</v>
      </c>
      <c r="R225" s="144"/>
      <c r="S225" s="157">
        <v>44130</v>
      </c>
      <c r="T225" s="250" t="s">
        <v>295</v>
      </c>
      <c r="U225" s="144"/>
    </row>
    <row r="226" spans="1:21" x14ac:dyDescent="0.35">
      <c r="A226" s="149">
        <v>59</v>
      </c>
      <c r="B226" s="154" t="str">
        <f t="shared" si="118"/>
        <v>Historical</v>
      </c>
      <c r="C226" s="144"/>
      <c r="D226" s="160" t="str">
        <f ca="1">INDEX(INDIRECT(E226),0,COLUMN(MO_Common_Column_A))</f>
        <v>Amortization of intangible assets, mm</v>
      </c>
      <c r="E226" s="155" t="s">
        <v>543</v>
      </c>
      <c r="F226" s="154" t="s">
        <v>438</v>
      </c>
      <c r="G226" s="154"/>
      <c r="H226" s="144"/>
      <c r="I226" s="156">
        <v>8</v>
      </c>
      <c r="J226" s="156">
        <v>8</v>
      </c>
      <c r="K226" s="156">
        <f t="shared" si="119"/>
        <v>8</v>
      </c>
      <c r="L226" s="144"/>
      <c r="M226" s="154" t="str">
        <f t="shared" si="120"/>
        <v>Actual</v>
      </c>
      <c r="N226" s="156">
        <f ca="1">IFERROR(INDEX(INDIRECT(E226),0,MATCH(F226,MO_Common_ColumnHeader,0)),"N/A")</f>
        <v>11.641999999999999</v>
      </c>
      <c r="O226" s="144"/>
      <c r="P226" s="161">
        <f t="shared" ca="1" si="121"/>
        <v>3.6419999999999995</v>
      </c>
      <c r="Q226" s="162">
        <f t="shared" ca="1" si="122"/>
        <v>0.45524999999999993</v>
      </c>
      <c r="R226" s="144"/>
      <c r="S226" s="157">
        <v>44130</v>
      </c>
      <c r="T226" s="250" t="s">
        <v>295</v>
      </c>
      <c r="U226" s="144"/>
    </row>
    <row r="227" spans="1:21" x14ac:dyDescent="0.35">
      <c r="A227" s="149">
        <v>58</v>
      </c>
      <c r="B227" s="154" t="str">
        <f t="shared" si="118"/>
        <v>Historical</v>
      </c>
      <c r="C227" s="144"/>
      <c r="D227" s="160" t="e">
        <f ca="1">INDEX(INDIRECT(E227),0,COLUMN(MO_Common_Column_A))</f>
        <v>#REF!</v>
      </c>
      <c r="E227" s="155" t="s">
        <v>483</v>
      </c>
      <c r="F227" s="154" t="s">
        <v>438</v>
      </c>
      <c r="G227" s="154"/>
      <c r="H227" s="144"/>
      <c r="I227" s="156">
        <v>120</v>
      </c>
      <c r="J227" s="156">
        <v>130</v>
      </c>
      <c r="K227" s="156">
        <f t="shared" si="119"/>
        <v>125</v>
      </c>
      <c r="L227" s="144"/>
      <c r="M227" s="154" t="str">
        <f t="shared" si="120"/>
        <v>Actual</v>
      </c>
      <c r="N227" s="156">
        <f ca="1">IFERROR(INDEX(INDIRECT(E227),0,MATCH(F227,MO_Common_ColumnHeader,0)),"N/A")</f>
        <v>161.43099999999995</v>
      </c>
      <c r="O227" s="144"/>
      <c r="P227" s="161">
        <f t="shared" ca="1" si="121"/>
        <v>36.430999999999955</v>
      </c>
      <c r="Q227" s="162">
        <f t="shared" ca="1" si="122"/>
        <v>0.29144799999999965</v>
      </c>
      <c r="R227" s="144"/>
      <c r="S227" s="157">
        <v>44130</v>
      </c>
      <c r="T227" s="250" t="s">
        <v>295</v>
      </c>
      <c r="U227" s="144"/>
    </row>
    <row r="228" spans="1:21" x14ac:dyDescent="0.35">
      <c r="A228" s="149">
        <v>57</v>
      </c>
      <c r="B228" s="144"/>
      <c r="C228" s="144"/>
      <c r="D228" s="141"/>
      <c r="E228" s="142"/>
      <c r="F228" s="144"/>
      <c r="G228" s="144"/>
      <c r="H228" s="144"/>
      <c r="I228" s="532"/>
      <c r="J228" s="532"/>
      <c r="K228" s="532"/>
      <c r="L228" s="144"/>
      <c r="M228" s="144"/>
      <c r="N228" s="532"/>
      <c r="O228" s="144"/>
      <c r="P228" s="218"/>
      <c r="Q228" s="334"/>
      <c r="R228" s="144"/>
      <c r="S228" s="145"/>
      <c r="T228" s="219"/>
      <c r="U228" s="144"/>
    </row>
    <row r="229" spans="1:21" x14ac:dyDescent="0.35">
      <c r="A229" s="149">
        <v>56</v>
      </c>
      <c r="B229" s="154" t="str">
        <f t="shared" ref="B229:B234" si="123">IF(INDEX(MO_SNA_IsHistoricalPeriod,,MATCH(F229,MO_Common_ColumnHeader,0)),"Historical","Forward")</f>
        <v>Historical</v>
      </c>
      <c r="C229" s="144"/>
      <c r="D229" s="160" t="str">
        <f t="shared" ref="D229:D234" ca="1" si="124">INDEX(INDIRECT(E229),0,COLUMN(MO_Common_Column_A))</f>
        <v>Net Revenue</v>
      </c>
      <c r="E229" s="155" t="s">
        <v>293</v>
      </c>
      <c r="F229" s="154" t="s">
        <v>481</v>
      </c>
      <c r="G229" s="154"/>
      <c r="H229" s="144"/>
      <c r="I229" s="156">
        <v>358</v>
      </c>
      <c r="J229" s="156">
        <v>366</v>
      </c>
      <c r="K229" s="156">
        <f t="shared" ref="K229:K234" si="125">AVERAGE(I229:J229)</f>
        <v>362</v>
      </c>
      <c r="L229" s="144"/>
      <c r="M229" s="154" t="str">
        <f t="shared" ref="M229:M234" si="126">IF(INDEX(MO_SNA_IsHistoricalPeriod,,MATCH(F229,MO_Common_ColumnHeader,0)),"Actual","Estimate")</f>
        <v>Actual</v>
      </c>
      <c r="N229" s="156">
        <f t="shared" ref="N229:N234" ca="1" si="127">IFERROR(INDEX(INDIRECT(E229),0,MATCH(F229,MO_Common_ColumnHeader,0)),"N/A")</f>
        <v>376.14499999999998</v>
      </c>
      <c r="O229" s="144"/>
      <c r="P229" s="161">
        <f t="shared" ref="P229:P234" ca="1" si="128">IF(ISNUMBER(N229),N229-K229,"N/A")</f>
        <v>14.144999999999982</v>
      </c>
      <c r="Q229" s="162">
        <f t="shared" ref="Q229:Q234" ca="1" si="129">IFERROR(IF(ISNUMBER(N229),(N229-K229)/ABS(K229),"N/A"),"N/A")</f>
        <v>3.9074585635359066E-2</v>
      </c>
      <c r="R229" s="144"/>
      <c r="S229" s="157">
        <v>44130</v>
      </c>
      <c r="T229" s="250" t="s">
        <v>295</v>
      </c>
      <c r="U229" s="144"/>
    </row>
    <row r="230" spans="1:21" x14ac:dyDescent="0.35">
      <c r="A230" s="149">
        <v>55</v>
      </c>
      <c r="B230" s="154" t="str">
        <f t="shared" si="123"/>
        <v>Historical</v>
      </c>
      <c r="C230" s="144"/>
      <c r="D230" s="160" t="str">
        <f t="shared" ca="1" si="124"/>
        <v>Capex</v>
      </c>
      <c r="E230" s="155" t="s">
        <v>296</v>
      </c>
      <c r="F230" s="154" t="s">
        <v>481</v>
      </c>
      <c r="G230" s="154"/>
      <c r="H230" s="144"/>
      <c r="I230" s="156">
        <v>-15</v>
      </c>
      <c r="J230" s="156">
        <v>-12</v>
      </c>
      <c r="K230" s="156">
        <f t="shared" si="125"/>
        <v>-13.5</v>
      </c>
      <c r="L230" s="144"/>
      <c r="M230" s="154" t="str">
        <f t="shared" si="126"/>
        <v>Actual</v>
      </c>
      <c r="N230" s="156">
        <f t="shared" ca="1" si="127"/>
        <v>-10.756</v>
      </c>
      <c r="O230" s="144"/>
      <c r="P230" s="161">
        <f t="shared" ca="1" si="128"/>
        <v>2.7439999999999998</v>
      </c>
      <c r="Q230" s="162">
        <f t="shared" ca="1" si="129"/>
        <v>0.20325925925925925</v>
      </c>
      <c r="R230" s="144"/>
      <c r="S230" s="157">
        <v>44130</v>
      </c>
      <c r="T230" s="250" t="s">
        <v>295</v>
      </c>
      <c r="U230" s="144"/>
    </row>
    <row r="231" spans="1:21" x14ac:dyDescent="0.35">
      <c r="A231" s="149">
        <v>54</v>
      </c>
      <c r="B231" s="154" t="str">
        <f t="shared" si="123"/>
        <v>Historical</v>
      </c>
      <c r="C231" s="144"/>
      <c r="D231" s="160" t="str">
        <f t="shared" ca="1" si="124"/>
        <v>EBIT</v>
      </c>
      <c r="E231" s="155" t="s">
        <v>298</v>
      </c>
      <c r="F231" s="154" t="s">
        <v>481</v>
      </c>
      <c r="G231" s="154"/>
      <c r="H231" s="144"/>
      <c r="I231" s="156">
        <v>32.5</v>
      </c>
      <c r="J231" s="156">
        <v>35.5</v>
      </c>
      <c r="K231" s="156">
        <f>AVERAGE(I231:J231)</f>
        <v>34</v>
      </c>
      <c r="L231" s="144"/>
      <c r="M231" s="154" t="str">
        <f t="shared" si="126"/>
        <v>Actual</v>
      </c>
      <c r="N231" s="156">
        <f t="shared" ca="1" si="127"/>
        <v>38.451999999999956</v>
      </c>
      <c r="O231" s="144"/>
      <c r="P231" s="161">
        <f ca="1">IF(ISNUMBER(N231),N231-K231,"N/A")</f>
        <v>4.4519999999999555</v>
      </c>
      <c r="Q231" s="162">
        <f t="shared" ca="1" si="129"/>
        <v>0.13094117647058692</v>
      </c>
      <c r="R231" s="144"/>
      <c r="S231" s="157">
        <v>44130</v>
      </c>
      <c r="T231" s="250" t="s">
        <v>295</v>
      </c>
      <c r="U231" s="144"/>
    </row>
    <row r="232" spans="1:21" x14ac:dyDescent="0.35">
      <c r="A232" s="149">
        <v>53</v>
      </c>
      <c r="B232" s="154" t="str">
        <f t="shared" si="123"/>
        <v>Historical</v>
      </c>
      <c r="C232" s="144"/>
      <c r="D232" s="160" t="str">
        <f t="shared" ca="1" si="124"/>
        <v>Add back: SBC</v>
      </c>
      <c r="E232" s="155" t="s">
        <v>415</v>
      </c>
      <c r="F232" s="154" t="s">
        <v>481</v>
      </c>
      <c r="G232" s="154"/>
      <c r="H232" s="144"/>
      <c r="I232" s="156">
        <v>7.5</v>
      </c>
      <c r="J232" s="156">
        <v>7.5</v>
      </c>
      <c r="K232" s="156">
        <f t="shared" si="125"/>
        <v>7.5</v>
      </c>
      <c r="L232" s="144"/>
      <c r="M232" s="154" t="str">
        <f t="shared" si="126"/>
        <v>Actual</v>
      </c>
      <c r="N232" s="156">
        <f t="shared" ca="1" si="127"/>
        <v>9.0739999999999981</v>
      </c>
      <c r="O232" s="144"/>
      <c r="P232" s="161">
        <f t="shared" ca="1" si="128"/>
        <v>1.5739999999999981</v>
      </c>
      <c r="Q232" s="162">
        <f t="shared" ca="1" si="129"/>
        <v>0.2098666666666664</v>
      </c>
      <c r="R232" s="144"/>
      <c r="S232" s="157">
        <v>44130</v>
      </c>
      <c r="T232" s="250" t="s">
        <v>295</v>
      </c>
      <c r="U232" s="144"/>
    </row>
    <row r="233" spans="1:21" x14ac:dyDescent="0.35">
      <c r="A233" s="149">
        <v>52</v>
      </c>
      <c r="B233" s="154" t="str">
        <f t="shared" si="123"/>
        <v>Historical</v>
      </c>
      <c r="C233" s="144"/>
      <c r="D233" s="160" t="str">
        <f t="shared" ca="1" si="124"/>
        <v>Amortization of intangible assets, mm</v>
      </c>
      <c r="E233" s="155" t="s">
        <v>543</v>
      </c>
      <c r="F233" s="154" t="s">
        <v>481</v>
      </c>
      <c r="G233" s="154"/>
      <c r="H233" s="144"/>
      <c r="I233" s="156">
        <v>2</v>
      </c>
      <c r="J233" s="156">
        <v>2</v>
      </c>
      <c r="K233" s="156">
        <f>AVERAGE(I233:J233)</f>
        <v>2</v>
      </c>
      <c r="L233" s="144"/>
      <c r="M233" s="154" t="str">
        <f t="shared" si="126"/>
        <v>Actual</v>
      </c>
      <c r="N233" s="156">
        <f t="shared" ca="1" si="127"/>
        <v>2.524</v>
      </c>
      <c r="O233" s="144"/>
      <c r="P233" s="161">
        <f ca="1">IF(ISNUMBER(N233),N233-K233,"N/A")</f>
        <v>0.52400000000000002</v>
      </c>
      <c r="Q233" s="162">
        <f t="shared" ca="1" si="129"/>
        <v>0.26200000000000001</v>
      </c>
      <c r="R233" s="144"/>
      <c r="S233" s="157">
        <v>44130</v>
      </c>
      <c r="T233" s="250" t="s">
        <v>295</v>
      </c>
      <c r="U233" s="144"/>
    </row>
    <row r="234" spans="1:21" x14ac:dyDescent="0.35">
      <c r="A234" s="149">
        <v>51</v>
      </c>
      <c r="B234" s="154" t="str">
        <f t="shared" si="123"/>
        <v>Historical</v>
      </c>
      <c r="C234" s="144"/>
      <c r="D234" s="160" t="e">
        <f t="shared" ca="1" si="124"/>
        <v>#REF!</v>
      </c>
      <c r="E234" s="155" t="s">
        <v>483</v>
      </c>
      <c r="F234" s="154" t="s">
        <v>481</v>
      </c>
      <c r="G234" s="154"/>
      <c r="H234" s="144"/>
      <c r="I234" s="156">
        <v>42</v>
      </c>
      <c r="J234" s="156">
        <v>45</v>
      </c>
      <c r="K234" s="156">
        <f t="shared" si="125"/>
        <v>43.5</v>
      </c>
      <c r="L234" s="144"/>
      <c r="M234" s="154" t="str">
        <f t="shared" si="126"/>
        <v>Actual</v>
      </c>
      <c r="N234" s="156">
        <f t="shared" ca="1" si="127"/>
        <v>50.049999999999955</v>
      </c>
      <c r="O234" s="144"/>
      <c r="P234" s="161">
        <f t="shared" ca="1" si="128"/>
        <v>6.5499999999999545</v>
      </c>
      <c r="Q234" s="162">
        <f t="shared" ca="1" si="129"/>
        <v>0.15057471264367711</v>
      </c>
      <c r="R234" s="144"/>
      <c r="S234" s="157">
        <v>44130</v>
      </c>
      <c r="T234" s="250" t="s">
        <v>295</v>
      </c>
      <c r="U234" s="144"/>
    </row>
    <row r="235" spans="1:21" x14ac:dyDescent="0.35">
      <c r="A235" s="149">
        <v>50</v>
      </c>
      <c r="B235" s="144"/>
      <c r="C235" s="144"/>
      <c r="D235" s="141"/>
      <c r="E235" s="142"/>
      <c r="F235" s="144"/>
      <c r="G235" s="144"/>
      <c r="H235" s="144"/>
      <c r="I235" s="532"/>
      <c r="J235" s="532"/>
      <c r="K235" s="532"/>
      <c r="L235" s="144"/>
      <c r="M235" s="144"/>
      <c r="N235" s="532"/>
      <c r="O235" s="144"/>
      <c r="P235" s="218"/>
      <c r="Q235" s="334"/>
      <c r="R235" s="144"/>
      <c r="S235" s="145"/>
      <c r="T235" s="219"/>
      <c r="U235" s="144"/>
    </row>
    <row r="236" spans="1:21" x14ac:dyDescent="0.35">
      <c r="A236" s="149">
        <v>49</v>
      </c>
      <c r="B236" s="154" t="str">
        <f>IF(INDEX(MO_SNA_IsHistoricalPeriod,,MATCH(F236,MO_Common_ColumnHeader,0)),"Historical","Forward")</f>
        <v>Historical</v>
      </c>
      <c r="C236" s="144"/>
      <c r="D236" s="160" t="str">
        <f ca="1">INDEX(INDIRECT(E236),0,COLUMN(MO_Common_Column_A))</f>
        <v>Total Revenue Growth, %</v>
      </c>
      <c r="E236" s="155" t="s">
        <v>435</v>
      </c>
      <c r="F236" s="154" t="s">
        <v>438</v>
      </c>
      <c r="G236" s="154"/>
      <c r="H236" s="144"/>
      <c r="I236" s="215">
        <v>0.1</v>
      </c>
      <c r="J236" s="215">
        <v>0.35</v>
      </c>
      <c r="K236" s="215">
        <f>AVERAGE(I236:J236)</f>
        <v>0.22499999999999998</v>
      </c>
      <c r="L236" s="144"/>
      <c r="M236" s="154" t="str">
        <f>IF(INDEX(MO_SNA_IsHistoricalPeriod,,MATCH(F236,MO_Common_ColumnHeader,0)),"Actual","Estimate")</f>
        <v>Actual</v>
      </c>
      <c r="N236" s="215">
        <f ca="1">IFERROR(INDEX(INDIRECT(E236),0,MATCH(F236,MO_Common_ColumnHeader,0)),"N/A")</f>
        <v>0.47656771701584866</v>
      </c>
      <c r="O236" s="144"/>
      <c r="P236" s="162">
        <f ca="1">IF(ISNUMBER(N236),N236-K236,"N/A")</f>
        <v>0.25156771701584868</v>
      </c>
      <c r="Q236" s="162">
        <f ca="1">IFERROR(IF(ISNUMBER(N236),(N236-K236)/ABS(K236),"N/A"),"N/A")</f>
        <v>1.1180787422926608</v>
      </c>
      <c r="R236" s="144"/>
      <c r="S236" s="157">
        <v>44054</v>
      </c>
      <c r="T236" s="250" t="s">
        <v>295</v>
      </c>
      <c r="U236" s="144"/>
    </row>
    <row r="237" spans="1:21" x14ac:dyDescent="0.35">
      <c r="A237" s="149">
        <v>48</v>
      </c>
      <c r="B237" s="154" t="str">
        <f>IF(INDEX(MO_SNA_IsHistoricalPeriod,,MATCH(F237,MO_Common_ColumnHeader,0)),"Historical","Forward")</f>
        <v>Historical</v>
      </c>
      <c r="C237" s="144"/>
      <c r="D237" s="160" t="s">
        <v>436</v>
      </c>
      <c r="E237" s="155"/>
      <c r="F237" s="154" t="s">
        <v>438</v>
      </c>
      <c r="G237" s="154"/>
      <c r="H237" s="144"/>
      <c r="I237" s="215">
        <v>0.1</v>
      </c>
      <c r="J237" s="215">
        <v>0.15</v>
      </c>
      <c r="K237" s="215">
        <f>AVERAGE(I237:J237)</f>
        <v>0.125</v>
      </c>
      <c r="L237" s="144"/>
      <c r="M237" s="154" t="str">
        <f>IF(INDEX(MO_SNA_IsHistoricalPeriod,,MATCH(F237,MO_Common_ColumnHeader,0)),"Actual","Estimate")</f>
        <v>Actual</v>
      </c>
      <c r="N237" s="215" t="str">
        <f ca="1">IFERROR(INDEX(INDIRECT(E237),0,MATCH(F237,MO_Common_ColumnHeader,0)),"N/A")</f>
        <v>N/A</v>
      </c>
      <c r="O237" s="144"/>
      <c r="P237" s="162" t="str">
        <f ca="1">IF(ISNUMBER(N237),N237-K237,"N/A")</f>
        <v>N/A</v>
      </c>
      <c r="Q237" s="162" t="str">
        <f ca="1">IFERROR(IF(ISNUMBER(N237),(N237-K237)/ABS(K237),"N/A"),"N/A")</f>
        <v>N/A</v>
      </c>
      <c r="R237" s="144"/>
      <c r="S237" s="157">
        <v>44054</v>
      </c>
      <c r="T237" s="250" t="s">
        <v>295</v>
      </c>
      <c r="U237" s="144"/>
    </row>
    <row r="238" spans="1:21" x14ac:dyDescent="0.35">
      <c r="A238" s="149">
        <v>47</v>
      </c>
      <c r="B238" s="154" t="str">
        <f>IF(INDEX(MO_SNA_IsHistoricalPeriod,,MATCH(F238,MO_Common_ColumnHeader,0)),"Historical","Forward")</f>
        <v>Historical</v>
      </c>
      <c r="C238" s="144"/>
      <c r="D238" s="160" t="s">
        <v>416</v>
      </c>
      <c r="E238" s="155" t="s">
        <v>437</v>
      </c>
      <c r="F238" s="154" t="s">
        <v>438</v>
      </c>
      <c r="G238" s="154"/>
      <c r="H238" s="144"/>
      <c r="I238" s="156">
        <v>150</v>
      </c>
      <c r="J238" s="156">
        <v>150</v>
      </c>
      <c r="K238" s="156">
        <f>AVERAGE(I238:J238)</f>
        <v>150</v>
      </c>
      <c r="L238" s="144"/>
      <c r="M238" s="154" t="str">
        <f>IF(INDEX(MO_SNA_IsHistoricalPeriod,,MATCH(F238,MO_Common_ColumnHeader,0)),"Actual","Estimate")</f>
        <v>Actual</v>
      </c>
      <c r="N238" s="156">
        <f ca="1">IFERROR(INDEX(INDIRECT(E238),0,MATCH(F238,MO_Common_ColumnHeader,0)),"N/A")</f>
        <v>0</v>
      </c>
      <c r="O238" s="144"/>
      <c r="P238" s="161">
        <f ca="1">IF(ISNUMBER(N238),N238-K238,"N/A")</f>
        <v>-150</v>
      </c>
      <c r="Q238" s="162">
        <f ca="1">IFERROR(IF(ISNUMBER(N238),(N238-K238)/ABS(K238),"N/A"),"N/A")</f>
        <v>-1</v>
      </c>
      <c r="R238" s="144"/>
      <c r="S238" s="157">
        <v>44054</v>
      </c>
      <c r="T238" s="250" t="s">
        <v>295</v>
      </c>
      <c r="U238" s="144"/>
    </row>
    <row r="239" spans="1:21" x14ac:dyDescent="0.35">
      <c r="A239" s="149">
        <v>46</v>
      </c>
      <c r="B239" s="144"/>
      <c r="C239" s="144"/>
      <c r="D239" s="141"/>
      <c r="E239" s="142"/>
      <c r="F239" s="144"/>
      <c r="G239" s="144"/>
      <c r="H239" s="144"/>
      <c r="I239" s="532"/>
      <c r="J239" s="532"/>
      <c r="K239" s="532"/>
      <c r="L239" s="144"/>
      <c r="M239" s="144"/>
      <c r="N239" s="532"/>
      <c r="O239" s="144"/>
      <c r="P239" s="218"/>
      <c r="Q239" s="334"/>
      <c r="R239" s="144"/>
      <c r="S239" s="145"/>
      <c r="T239" s="219"/>
      <c r="U239" s="144"/>
    </row>
    <row r="240" spans="1:21" x14ac:dyDescent="0.35">
      <c r="A240" s="149">
        <v>45</v>
      </c>
      <c r="B240" s="154" t="str">
        <f t="shared" ref="B240:B245" si="130">IF(INDEX(MO_SNA_IsHistoricalPeriod,,MATCH(F240,MO_Common_ColumnHeader,0)),"Historical","Forward")</f>
        <v>Historical</v>
      </c>
      <c r="C240" s="144"/>
      <c r="D240" s="160" t="str">
        <f ca="1">INDEX(INDIRECT(E240),0,COLUMN(MO_Common_Column_A))</f>
        <v>Net Revenue</v>
      </c>
      <c r="E240" s="155" t="s">
        <v>293</v>
      </c>
      <c r="F240" s="154" t="s">
        <v>390</v>
      </c>
      <c r="G240" s="154"/>
      <c r="H240" s="144"/>
      <c r="I240" s="156">
        <v>1033</v>
      </c>
      <c r="J240" s="156">
        <v>1040</v>
      </c>
      <c r="K240" s="156">
        <f t="shared" ref="K240:K245" si="131">AVERAGE(I240:J240)</f>
        <v>1036.5</v>
      </c>
      <c r="L240" s="144"/>
      <c r="M240" s="154" t="str">
        <f t="shared" ref="M240:M245" si="132">IF(INDEX(MO_SNA_IsHistoricalPeriod,,MATCH(F240,MO_Common_ColumnHeader,0)),"Actual","Estimate")</f>
        <v>Actual</v>
      </c>
      <c r="N240" s="156">
        <f ca="1">IFERROR(INDEX(INDIRECT(E240),0,MATCH(F240,MO_Common_ColumnHeader,0)),"N/A")</f>
        <v>1040.7650000000001</v>
      </c>
      <c r="O240" s="144"/>
      <c r="P240" s="161">
        <f t="shared" ref="P240:P245" ca="1" si="133">IF(ISNUMBER(N240),N240-K240,"N/A")</f>
        <v>4.2650000000001</v>
      </c>
      <c r="Q240" s="162">
        <f t="shared" ref="Q240:Q245" ca="1" si="134">IFERROR(IF(ISNUMBER(N240),(N240-K240)/ABS(K240),"N/A"),"N/A")</f>
        <v>4.1148094548963824E-3</v>
      </c>
      <c r="R240" s="144"/>
      <c r="S240" s="157">
        <v>43948</v>
      </c>
      <c r="T240" s="250" t="s">
        <v>295</v>
      </c>
      <c r="U240" s="144"/>
    </row>
    <row r="241" spans="1:21" x14ac:dyDescent="0.35">
      <c r="A241" s="149">
        <v>44</v>
      </c>
      <c r="B241" s="154" t="str">
        <f t="shared" si="130"/>
        <v>Historical</v>
      </c>
      <c r="C241" s="144"/>
      <c r="D241" s="160" t="str">
        <f ca="1">INDEX(INDIRECT(E241),0,COLUMN(MO_Common_Column_A))</f>
        <v>Capex</v>
      </c>
      <c r="E241" s="155" t="s">
        <v>296</v>
      </c>
      <c r="F241" s="154" t="s">
        <v>390</v>
      </c>
      <c r="G241" s="154"/>
      <c r="H241" s="144"/>
      <c r="I241" s="156">
        <v>-45</v>
      </c>
      <c r="J241" s="156">
        <v>-49</v>
      </c>
      <c r="K241" s="156">
        <f t="shared" si="131"/>
        <v>-47</v>
      </c>
      <c r="L241" s="144"/>
      <c r="M241" s="154" t="str">
        <f t="shared" si="132"/>
        <v>Actual</v>
      </c>
      <c r="N241" s="156">
        <f ca="1">IFERROR(INDEX(INDIRECT(E241),0,MATCH(F241,MO_Common_ColumnHeader,0)),"N/A")</f>
        <v>-44.997</v>
      </c>
      <c r="O241" s="144"/>
      <c r="P241" s="161">
        <f t="shared" ca="1" si="133"/>
        <v>2.0030000000000001</v>
      </c>
      <c r="Q241" s="162">
        <f t="shared" ca="1" si="134"/>
        <v>4.2617021276595744E-2</v>
      </c>
      <c r="R241" s="144"/>
      <c r="S241" s="157">
        <v>43948</v>
      </c>
      <c r="T241" s="250" t="s">
        <v>295</v>
      </c>
      <c r="U241" s="144"/>
    </row>
    <row r="242" spans="1:21" x14ac:dyDescent="0.35">
      <c r="A242" s="149">
        <v>43</v>
      </c>
      <c r="B242" s="154" t="str">
        <f t="shared" si="130"/>
        <v>Historical</v>
      </c>
      <c r="C242" s="144"/>
      <c r="D242" s="160" t="s">
        <v>391</v>
      </c>
      <c r="E242" s="155"/>
      <c r="F242" s="154" t="s">
        <v>390</v>
      </c>
      <c r="G242" s="154"/>
      <c r="H242" s="144"/>
      <c r="I242" s="215">
        <v>0.28000000000000003</v>
      </c>
      <c r="J242" s="215">
        <v>0.3</v>
      </c>
      <c r="K242" s="215">
        <f t="shared" si="131"/>
        <v>0.29000000000000004</v>
      </c>
      <c r="L242" s="144"/>
      <c r="M242" s="154" t="str">
        <f t="shared" si="132"/>
        <v>Actual</v>
      </c>
      <c r="N242" s="215">
        <f>INDEX(MO_RIS_TaxRate_Current,0,MATCH(F242,MO_Common_ColumnHeader,0))+INDEX(MO_RIS_TaxRate_Deferred,0,MATCH(F242,MO_Common_ColumnHeader,0))</f>
        <v>0.25551201124839124</v>
      </c>
      <c r="O242" s="144"/>
      <c r="P242" s="162">
        <f t="shared" si="133"/>
        <v>-3.44879887516088E-2</v>
      </c>
      <c r="Q242" s="162">
        <f t="shared" si="134"/>
        <v>-0.11892409914347861</v>
      </c>
      <c r="R242" s="144"/>
      <c r="S242" s="157">
        <v>43948</v>
      </c>
      <c r="T242" s="250" t="s">
        <v>295</v>
      </c>
      <c r="U242" s="144"/>
    </row>
    <row r="243" spans="1:21" x14ac:dyDescent="0.35">
      <c r="A243" s="149">
        <v>42</v>
      </c>
      <c r="B243" s="154" t="str">
        <f t="shared" si="130"/>
        <v>Historical</v>
      </c>
      <c r="C243" s="144"/>
      <c r="D243" s="160" t="s">
        <v>297</v>
      </c>
      <c r="E243" s="155"/>
      <c r="F243" s="154" t="s">
        <v>390</v>
      </c>
      <c r="G243" s="154"/>
      <c r="H243" s="144"/>
      <c r="I243" s="156">
        <v>48</v>
      </c>
      <c r="J243" s="156">
        <v>52</v>
      </c>
      <c r="K243" s="156">
        <f t="shared" si="131"/>
        <v>50</v>
      </c>
      <c r="L243" s="144"/>
      <c r="M243" s="154" t="str">
        <f t="shared" si="132"/>
        <v>Actual</v>
      </c>
      <c r="N243" s="156">
        <f>IFERROR(INDEX(MO_RIS_SBC,0,MATCH(F243,MO_Common_ColumnHeader,0))+INDEX(MO_RIS_EBIT,0,MATCH(F243,MO_Common_ColumnHeader,0)),"N/A")</f>
        <v>56.066000000000109</v>
      </c>
      <c r="O243" s="144"/>
      <c r="P243" s="161">
        <f t="shared" si="133"/>
        <v>6.0660000000001091</v>
      </c>
      <c r="Q243" s="162">
        <f t="shared" si="134"/>
        <v>0.12132000000000218</v>
      </c>
      <c r="R243" s="144"/>
      <c r="S243" s="157">
        <v>43948</v>
      </c>
      <c r="T243" s="250" t="s">
        <v>295</v>
      </c>
      <c r="U243" s="144"/>
    </row>
    <row r="244" spans="1:21" x14ac:dyDescent="0.35">
      <c r="A244" s="149">
        <v>41</v>
      </c>
      <c r="B244" s="154" t="str">
        <f t="shared" si="130"/>
        <v>Historical</v>
      </c>
      <c r="C244" s="144"/>
      <c r="D244" s="160" t="s">
        <v>416</v>
      </c>
      <c r="E244" s="155" t="s">
        <v>415</v>
      </c>
      <c r="F244" s="154" t="s">
        <v>390</v>
      </c>
      <c r="G244" s="154"/>
      <c r="H244" s="144"/>
      <c r="I244" s="156">
        <v>24.1</v>
      </c>
      <c r="J244" s="156">
        <v>24.1</v>
      </c>
      <c r="K244" s="156">
        <f t="shared" si="131"/>
        <v>24.1</v>
      </c>
      <c r="L244" s="144"/>
      <c r="M244" s="154" t="str">
        <f t="shared" si="132"/>
        <v>Actual</v>
      </c>
      <c r="N244" s="156">
        <f ca="1">IFERROR(INDEX(INDIRECT(E244),0,MATCH(F244,MO_Common_ColumnHeader,0)),"N/A")</f>
        <v>23.609000000000002</v>
      </c>
      <c r="O244" s="144"/>
      <c r="P244" s="161">
        <f t="shared" ca="1" si="133"/>
        <v>-0.49099999999999966</v>
      </c>
      <c r="Q244" s="162">
        <f t="shared" ca="1" si="134"/>
        <v>-2.0373443983402476E-2</v>
      </c>
      <c r="R244" s="144"/>
      <c r="S244" s="157">
        <v>43948</v>
      </c>
      <c r="T244" s="250" t="s">
        <v>295</v>
      </c>
      <c r="U244" s="144"/>
    </row>
    <row r="245" spans="1:21" x14ac:dyDescent="0.35">
      <c r="A245" s="149">
        <v>40</v>
      </c>
      <c r="B245" s="154" t="str">
        <f t="shared" si="130"/>
        <v>Historical</v>
      </c>
      <c r="C245" s="144"/>
      <c r="D245" s="160" t="s">
        <v>44</v>
      </c>
      <c r="E245" s="155" t="s">
        <v>298</v>
      </c>
      <c r="F245" s="154" t="s">
        <v>390</v>
      </c>
      <c r="G245" s="154"/>
      <c r="H245" s="144"/>
      <c r="I245" s="156">
        <v>23.9</v>
      </c>
      <c r="J245" s="156">
        <v>27.9</v>
      </c>
      <c r="K245" s="156">
        <f t="shared" si="131"/>
        <v>25.9</v>
      </c>
      <c r="L245" s="144"/>
      <c r="M245" s="154" t="str">
        <f t="shared" si="132"/>
        <v>Actual</v>
      </c>
      <c r="N245" s="156">
        <f ca="1">IFERROR(INDEX(INDIRECT(E245),0,MATCH(F245,MO_Common_ColumnHeader,0)),"N/A")</f>
        <v>32.457000000000107</v>
      </c>
      <c r="O245" s="144"/>
      <c r="P245" s="161">
        <f t="shared" ca="1" si="133"/>
        <v>6.5570000000001087</v>
      </c>
      <c r="Q245" s="162">
        <f t="shared" ca="1" si="134"/>
        <v>0.25316602316602738</v>
      </c>
      <c r="R245" s="144"/>
      <c r="S245" s="157">
        <v>43948</v>
      </c>
      <c r="T245" s="250" t="s">
        <v>295</v>
      </c>
      <c r="U245" s="144"/>
    </row>
    <row r="246" spans="1:21" x14ac:dyDescent="0.35">
      <c r="A246" s="149">
        <v>39</v>
      </c>
      <c r="B246" s="144"/>
      <c r="C246" s="144"/>
      <c r="D246" s="141"/>
      <c r="E246" s="142"/>
      <c r="F246" s="144"/>
      <c r="G246" s="144"/>
      <c r="H246" s="144"/>
      <c r="I246" s="532"/>
      <c r="J246" s="532"/>
      <c r="K246" s="532"/>
      <c r="L246" s="144"/>
      <c r="M246" s="144"/>
      <c r="N246" s="532"/>
      <c r="O246" s="144"/>
      <c r="P246" s="218"/>
      <c r="Q246" s="334"/>
      <c r="R246" s="144"/>
      <c r="S246" s="145"/>
      <c r="T246" s="219"/>
      <c r="U246" s="144"/>
    </row>
    <row r="247" spans="1:21" x14ac:dyDescent="0.35">
      <c r="A247" s="149">
        <v>38</v>
      </c>
      <c r="B247" s="154" t="str">
        <f>IF(INDEX(MO_SNA_IsHistoricalPeriod,,MATCH(F247,MO_Common_ColumnHeader,0)),"Historical","Forward")</f>
        <v>Historical</v>
      </c>
      <c r="C247" s="144"/>
      <c r="D247" s="160" t="str">
        <f ca="1">INDEX(INDIRECT(E247),0,COLUMN(MO_Common_Column_A))</f>
        <v>Net Revenue</v>
      </c>
      <c r="E247" s="155" t="s">
        <v>293</v>
      </c>
      <c r="F247" s="154" t="s">
        <v>390</v>
      </c>
      <c r="G247" s="154"/>
      <c r="H247" s="144"/>
      <c r="I247" s="156">
        <v>1033</v>
      </c>
      <c r="J247" s="156">
        <v>1040</v>
      </c>
      <c r="K247" s="156">
        <f>AVERAGE(I247:J247)</f>
        <v>1036.5</v>
      </c>
      <c r="L247" s="144"/>
      <c r="M247" s="154" t="str">
        <f>IF(INDEX(MO_SNA_IsHistoricalPeriod,,MATCH(F247,MO_Common_ColumnHeader,0)),"Actual","Estimate")</f>
        <v>Actual</v>
      </c>
      <c r="N247" s="156">
        <f ca="1">IFERROR(INDEX(INDIRECT(E247),0,MATCH(F247,MO_Common_ColumnHeader,0)),"N/A")</f>
        <v>1040.7650000000001</v>
      </c>
      <c r="O247" s="144"/>
      <c r="P247" s="161">
        <f ca="1">IF(ISNUMBER(N247),N247-K247,"N/A")</f>
        <v>4.2650000000001</v>
      </c>
      <c r="Q247" s="162">
        <f ca="1">IFERROR(IF(ISNUMBER(N247),(N247-K247)/ABS(K247),"N/A"),"N/A")</f>
        <v>4.1148094548963824E-3</v>
      </c>
      <c r="R247" s="144"/>
      <c r="S247" s="157">
        <v>43857</v>
      </c>
      <c r="T247" s="250" t="s">
        <v>295</v>
      </c>
      <c r="U247" s="144"/>
    </row>
    <row r="248" spans="1:21" x14ac:dyDescent="0.35">
      <c r="A248" s="149">
        <v>37</v>
      </c>
      <c r="B248" s="154" t="str">
        <f>IF(INDEX(MO_SNA_IsHistoricalPeriod,,MATCH(F248,MO_Common_ColumnHeader,0)),"Historical","Forward")</f>
        <v>Historical</v>
      </c>
      <c r="C248" s="144"/>
      <c r="D248" s="160" t="str">
        <f ca="1">INDEX(INDIRECT(E248),0,COLUMN(MO_Common_Column_A))</f>
        <v>Capex</v>
      </c>
      <c r="E248" s="155" t="s">
        <v>296</v>
      </c>
      <c r="F248" s="154" t="s">
        <v>390</v>
      </c>
      <c r="G248" s="154"/>
      <c r="H248" s="144"/>
      <c r="I248" s="156">
        <v>-45</v>
      </c>
      <c r="J248" s="156">
        <v>-49</v>
      </c>
      <c r="K248" s="156">
        <f>AVERAGE(I248:J248)</f>
        <v>-47</v>
      </c>
      <c r="L248" s="144"/>
      <c r="M248" s="154" t="str">
        <f>IF(INDEX(MO_SNA_IsHistoricalPeriod,,MATCH(F248,MO_Common_ColumnHeader,0)),"Actual","Estimate")</f>
        <v>Actual</v>
      </c>
      <c r="N248" s="156">
        <f ca="1">IFERROR(INDEX(INDIRECT(E248),0,MATCH(F248,MO_Common_ColumnHeader,0)),"N/A")</f>
        <v>-44.997</v>
      </c>
      <c r="O248" s="144"/>
      <c r="P248" s="161">
        <f ca="1">IF(ISNUMBER(N248),N248-K248,"N/A")</f>
        <v>2.0030000000000001</v>
      </c>
      <c r="Q248" s="162">
        <f ca="1">IFERROR(IF(ISNUMBER(N248),(N248-K248)/ABS(K248),"N/A"),"N/A")</f>
        <v>4.2617021276595744E-2</v>
      </c>
      <c r="R248" s="144"/>
      <c r="S248" s="157">
        <v>43857</v>
      </c>
      <c r="T248" s="250" t="s">
        <v>295</v>
      </c>
      <c r="U248" s="144"/>
    </row>
    <row r="249" spans="1:21" x14ac:dyDescent="0.35">
      <c r="A249" s="149">
        <v>36</v>
      </c>
      <c r="B249" s="154" t="str">
        <f>IF(INDEX(MO_SNA_IsHistoricalPeriod,,MATCH(F249,MO_Common_ColumnHeader,0)),"Historical","Forward")</f>
        <v>Historical</v>
      </c>
      <c r="C249" s="144"/>
      <c r="D249" s="160" t="s">
        <v>391</v>
      </c>
      <c r="E249" s="155"/>
      <c r="F249" s="154" t="s">
        <v>390</v>
      </c>
      <c r="G249" s="154"/>
      <c r="H249" s="144"/>
      <c r="I249" s="215">
        <v>0.28000000000000003</v>
      </c>
      <c r="J249" s="215">
        <v>0.3</v>
      </c>
      <c r="K249" s="215">
        <f>AVERAGE(I249:J249)</f>
        <v>0.29000000000000004</v>
      </c>
      <c r="L249" s="144"/>
      <c r="M249" s="154" t="str">
        <f>IF(INDEX(MO_SNA_IsHistoricalPeriod,,MATCH(F249,MO_Common_ColumnHeader,0)),"Actual","Estimate")</f>
        <v>Actual</v>
      </c>
      <c r="N249" s="215">
        <f>INDEX(MO_RIS_TaxRate_Current,0,MATCH(F249,MO_Common_ColumnHeader,0))+INDEX(MO_RIS_TaxRate_Deferred,0,MATCH(F249,MO_Common_ColumnHeader,0))</f>
        <v>0.25551201124839124</v>
      </c>
      <c r="O249" s="144"/>
      <c r="P249" s="162">
        <f>IF(ISNUMBER(N249),N249-K249,"N/A")</f>
        <v>-3.44879887516088E-2</v>
      </c>
      <c r="Q249" s="162">
        <f>IFERROR(IF(ISNUMBER(N249),(N249-K249)/ABS(K249),"N/A"),"N/A")</f>
        <v>-0.11892409914347861</v>
      </c>
      <c r="R249" s="144"/>
      <c r="S249" s="157">
        <v>43857</v>
      </c>
      <c r="T249" s="250" t="s">
        <v>295</v>
      </c>
      <c r="U249" s="144"/>
    </row>
    <row r="250" spans="1:21" x14ac:dyDescent="0.35">
      <c r="A250" s="149">
        <v>35</v>
      </c>
      <c r="B250" s="154" t="str">
        <f>IF(INDEX(MO_SNA_IsHistoricalPeriod,,MATCH(F250,MO_Common_ColumnHeader,0)),"Historical","Forward")</f>
        <v>Historical</v>
      </c>
      <c r="C250" s="144"/>
      <c r="D250" s="160" t="s">
        <v>297</v>
      </c>
      <c r="E250" s="155" t="s">
        <v>298</v>
      </c>
      <c r="F250" s="154" t="s">
        <v>390</v>
      </c>
      <c r="G250" s="154"/>
      <c r="H250" s="144"/>
      <c r="I250" s="156">
        <v>48</v>
      </c>
      <c r="J250" s="156">
        <v>52</v>
      </c>
      <c r="K250" s="156">
        <f>AVERAGE(I250:J250)</f>
        <v>50</v>
      </c>
      <c r="L250" s="144"/>
      <c r="M250" s="154" t="str">
        <f>IF(INDEX(MO_SNA_IsHistoricalPeriod,,MATCH(F250,MO_Common_ColumnHeader,0)),"Actual","Estimate")</f>
        <v>Actual</v>
      </c>
      <c r="N250" s="156">
        <f ca="1">IFERROR(INDEX(INDIRECT(E250),0,MATCH(F250,MO_Common_ColumnHeader,0)),"N/A")</f>
        <v>32.457000000000107</v>
      </c>
      <c r="O250" s="144"/>
      <c r="P250" s="161">
        <f ca="1">IF(ISNUMBER(N250),N250-K250,"N/A")</f>
        <v>-17.542999999999893</v>
      </c>
      <c r="Q250" s="162">
        <f ca="1">IFERROR(IF(ISNUMBER(N250),(N250-K250)/ABS(K250),"N/A"),"N/A")</f>
        <v>-0.35085999999999784</v>
      </c>
      <c r="R250" s="144"/>
      <c r="S250" s="157">
        <v>43857</v>
      </c>
      <c r="T250" s="250" t="s">
        <v>295</v>
      </c>
      <c r="U250" s="144"/>
    </row>
    <row r="251" spans="1:21" x14ac:dyDescent="0.35">
      <c r="A251" s="149">
        <v>34</v>
      </c>
      <c r="B251" s="144"/>
      <c r="C251" s="144"/>
      <c r="D251" s="141"/>
      <c r="E251" s="142"/>
      <c r="F251" s="144"/>
      <c r="G251" s="144"/>
      <c r="H251" s="144"/>
      <c r="I251" s="532"/>
      <c r="J251" s="532"/>
      <c r="K251" s="532"/>
      <c r="L251" s="144"/>
      <c r="M251" s="144"/>
      <c r="N251" s="532"/>
      <c r="O251" s="144"/>
      <c r="P251" s="218"/>
      <c r="Q251" s="334"/>
      <c r="R251" s="144"/>
      <c r="S251" s="145"/>
      <c r="T251" s="219"/>
      <c r="U251" s="144"/>
    </row>
    <row r="252" spans="1:21" x14ac:dyDescent="0.35">
      <c r="A252" s="149">
        <v>33</v>
      </c>
      <c r="B252" s="154" t="str">
        <f>IF(INDEX(MO_SNA_IsHistoricalPeriod,,MATCH(F252,MO_Common_ColumnHeader,0)),"Historical","Forward")</f>
        <v>Historical</v>
      </c>
      <c r="C252" s="144"/>
      <c r="D252" s="160" t="str">
        <f ca="1">INDEX(INDIRECT(E252),0,COLUMN(MO_Common_Column_A))</f>
        <v>Net Revenue</v>
      </c>
      <c r="E252" s="155" t="s">
        <v>293</v>
      </c>
      <c r="F252" s="154" t="s">
        <v>406</v>
      </c>
      <c r="G252" s="154"/>
      <c r="H252" s="144"/>
      <c r="I252" s="156">
        <v>252</v>
      </c>
      <c r="J252" s="156">
        <v>255</v>
      </c>
      <c r="K252" s="156">
        <f>AVERAGE(I252:J252)</f>
        <v>253.5</v>
      </c>
      <c r="L252" s="144"/>
      <c r="M252" s="154" t="str">
        <f>IF(INDEX(MO_SNA_IsHistoricalPeriod,,MATCH(F252,MO_Common_ColumnHeader,0)),"Actual","Estimate")</f>
        <v>Actual</v>
      </c>
      <c r="N252" s="156">
        <f ca="1">IFERROR(INDEX(INDIRECT(E252),0,MATCH(F252,MO_Common_ColumnHeader,0)),"N/A")</f>
        <v>257.154</v>
      </c>
      <c r="O252" s="144"/>
      <c r="P252" s="161">
        <f ca="1">IF(ISNUMBER(N252),N252-K252,"N/A")</f>
        <v>3.6539999999999964</v>
      </c>
      <c r="Q252" s="162">
        <f ca="1">IFERROR(IF(ISNUMBER(N252),(N252-K252)/ABS(K252),"N/A"),"N/A")</f>
        <v>1.4414201183431938E-2</v>
      </c>
      <c r="R252" s="144"/>
      <c r="S252" s="157">
        <v>43857</v>
      </c>
      <c r="T252" s="250" t="s">
        <v>295</v>
      </c>
      <c r="U252" s="144"/>
    </row>
    <row r="253" spans="1:21" x14ac:dyDescent="0.35">
      <c r="A253" s="149">
        <v>32</v>
      </c>
      <c r="B253" s="154" t="str">
        <f>IF(INDEX(MO_SNA_IsHistoricalPeriod,,MATCH(F253,MO_Common_ColumnHeader,0)),"Historical","Forward")</f>
        <v>Historical</v>
      </c>
      <c r="C253" s="144"/>
      <c r="D253" s="160" t="str">
        <f ca="1">INDEX(INDIRECT(E253),0,COLUMN(MO_Common_Column_A))</f>
        <v>Capex</v>
      </c>
      <c r="E253" s="155" t="s">
        <v>296</v>
      </c>
      <c r="F253" s="154" t="s">
        <v>406</v>
      </c>
      <c r="G253" s="154"/>
      <c r="H253" s="144"/>
      <c r="I253" s="156">
        <v>-8</v>
      </c>
      <c r="J253" s="156">
        <v>-10</v>
      </c>
      <c r="K253" s="156">
        <f>AVERAGE(I253:J253)</f>
        <v>-9</v>
      </c>
      <c r="L253" s="144"/>
      <c r="M253" s="154" t="str">
        <f>IF(INDEX(MO_SNA_IsHistoricalPeriod,,MATCH(F253,MO_Common_ColumnHeader,0)),"Actual","Estimate")</f>
        <v>Actual</v>
      </c>
      <c r="N253" s="156">
        <f ca="1">IFERROR(INDEX(INDIRECT(E253),0,MATCH(F253,MO_Common_ColumnHeader,0)),"N/A")</f>
        <v>-9.4740000000000002</v>
      </c>
      <c r="O253" s="144"/>
      <c r="P253" s="161">
        <f ca="1">IF(ISNUMBER(N253),N253-K253,"N/A")</f>
        <v>-0.4740000000000002</v>
      </c>
      <c r="Q253" s="162">
        <f ca="1">IFERROR(IF(ISNUMBER(N253),(N253-K253)/ABS(K253),"N/A"),"N/A")</f>
        <v>-5.2666666666666688E-2</v>
      </c>
      <c r="R253" s="144"/>
      <c r="S253" s="157">
        <v>43857</v>
      </c>
      <c r="T253" s="250" t="s">
        <v>295</v>
      </c>
      <c r="U253" s="144"/>
    </row>
    <row r="254" spans="1:21" x14ac:dyDescent="0.35">
      <c r="A254" s="149">
        <v>31</v>
      </c>
      <c r="B254" s="154" t="str">
        <f>IF(INDEX(MO_SNA_IsHistoricalPeriod,,MATCH(F254,MO_Common_ColumnHeader,0)),"Historical","Forward")</f>
        <v>Historical</v>
      </c>
      <c r="C254" s="144"/>
      <c r="D254" s="160" t="s">
        <v>297</v>
      </c>
      <c r="E254" s="155" t="s">
        <v>298</v>
      </c>
      <c r="F254" s="154" t="s">
        <v>406</v>
      </c>
      <c r="G254" s="154"/>
      <c r="H254" s="144"/>
      <c r="I254" s="156">
        <v>18</v>
      </c>
      <c r="J254" s="156">
        <v>20</v>
      </c>
      <c r="K254" s="156">
        <f>AVERAGE(I254:J254)</f>
        <v>19</v>
      </c>
      <c r="L254" s="144"/>
      <c r="M254" s="154" t="str">
        <f>IF(INDEX(MO_SNA_IsHistoricalPeriod,,MATCH(F254,MO_Common_ColumnHeader,0)),"Actual","Estimate")</f>
        <v>Actual</v>
      </c>
      <c r="N254" s="156">
        <f ca="1">IFERROR(INDEX(INDIRECT(E254),0,MATCH(F254,MO_Common_ColumnHeader,0)),"N/A")</f>
        <v>14.499000000000009</v>
      </c>
      <c r="O254" s="144"/>
      <c r="P254" s="161">
        <f ca="1">IF(ISNUMBER(N254),N254-K254,"N/A")</f>
        <v>-4.5009999999999906</v>
      </c>
      <c r="Q254" s="162">
        <f ca="1">IFERROR(IF(ISNUMBER(N254),(N254-K254)/ABS(K254),"N/A"),"N/A")</f>
        <v>-0.23689473684210477</v>
      </c>
      <c r="R254" s="144"/>
      <c r="S254" s="157">
        <v>43857</v>
      </c>
      <c r="T254" s="250" t="s">
        <v>295</v>
      </c>
      <c r="U254" s="144"/>
    </row>
    <row r="255" spans="1:21" x14ac:dyDescent="0.35">
      <c r="A255" s="149">
        <v>30</v>
      </c>
      <c r="B255" s="144"/>
      <c r="C255" s="144"/>
      <c r="D255" s="141"/>
      <c r="E255" s="142"/>
      <c r="F255" s="144"/>
      <c r="G255" s="144"/>
      <c r="H255" s="144"/>
      <c r="I255" s="532"/>
      <c r="J255" s="532"/>
      <c r="K255" s="532"/>
      <c r="L255" s="144"/>
      <c r="M255" s="144"/>
      <c r="N255" s="532"/>
      <c r="O255" s="144"/>
      <c r="P255" s="218"/>
      <c r="Q255" s="334"/>
      <c r="R255" s="144"/>
      <c r="S255" s="145"/>
      <c r="T255" s="219"/>
      <c r="U255" s="144"/>
    </row>
    <row r="256" spans="1:21" x14ac:dyDescent="0.35">
      <c r="A256" s="149">
        <v>29</v>
      </c>
      <c r="B256" s="154" t="str">
        <f>IF(INDEX(MO_SNA_IsHistoricalPeriod,,MATCH(F256,MO_Common_ColumnHeader,0)),"Historical","Forward")</f>
        <v>Historical</v>
      </c>
      <c r="C256" s="144"/>
      <c r="D256" s="160" t="str">
        <f ca="1">INDEX(INDIRECT(E256),0,COLUMN(MO_Common_Column_A))</f>
        <v>Net Revenue</v>
      </c>
      <c r="E256" s="155" t="s">
        <v>293</v>
      </c>
      <c r="F256" s="154" t="s">
        <v>390</v>
      </c>
      <c r="G256" s="154"/>
      <c r="H256" s="144"/>
      <c r="I256" s="156">
        <v>1020</v>
      </c>
      <c r="J256" s="156">
        <v>1035</v>
      </c>
      <c r="K256" s="156">
        <f>AVERAGE(I256:J256)</f>
        <v>1027.5</v>
      </c>
      <c r="L256" s="144"/>
      <c r="M256" s="154" t="str">
        <f>IF(INDEX(MO_SNA_IsHistoricalPeriod,,MATCH(F256,MO_Common_ColumnHeader,0)),"Actual","Estimate")</f>
        <v>Actual</v>
      </c>
      <c r="N256" s="156">
        <f ca="1">IFERROR(INDEX(INDIRECT(E256),0,MATCH(F256,MO_Common_ColumnHeader,0)),"N/A")</f>
        <v>1040.7650000000001</v>
      </c>
      <c r="O256" s="144"/>
      <c r="P256" s="161">
        <f ca="1">IF(ISNUMBER(N256),N256-K256,"N/A")</f>
        <v>13.2650000000001</v>
      </c>
      <c r="Q256" s="162">
        <f ca="1">IFERROR(IF(ISNUMBER(N256),(N256-K256)/ABS(K256),"N/A"),"N/A")</f>
        <v>1.2909975669099854E-2</v>
      </c>
      <c r="R256" s="144"/>
      <c r="S256" s="157">
        <v>43760</v>
      </c>
      <c r="T256" s="250" t="s">
        <v>295</v>
      </c>
      <c r="U256" s="144"/>
    </row>
    <row r="257" spans="1:21" x14ac:dyDescent="0.35">
      <c r="A257" s="149">
        <v>28</v>
      </c>
      <c r="B257" s="154" t="str">
        <f>IF(INDEX(MO_SNA_IsHistoricalPeriod,,MATCH(F257,MO_Common_ColumnHeader,0)),"Historical","Forward")</f>
        <v>Historical</v>
      </c>
      <c r="C257" s="144"/>
      <c r="D257" s="160" t="str">
        <f ca="1">INDEX(INDIRECT(E257),0,COLUMN(MO_Common_Column_A))</f>
        <v>Capex</v>
      </c>
      <c r="E257" s="155" t="s">
        <v>296</v>
      </c>
      <c r="F257" s="154" t="s">
        <v>390</v>
      </c>
      <c r="G257" s="154"/>
      <c r="H257" s="144"/>
      <c r="I257" s="156">
        <v>-45</v>
      </c>
      <c r="J257" s="156">
        <v>-49</v>
      </c>
      <c r="K257" s="156">
        <f>AVERAGE(I257:J257)</f>
        <v>-47</v>
      </c>
      <c r="L257" s="144"/>
      <c r="M257" s="154" t="str">
        <f>IF(INDEX(MO_SNA_IsHistoricalPeriod,,MATCH(F257,MO_Common_ColumnHeader,0)),"Actual","Estimate")</f>
        <v>Actual</v>
      </c>
      <c r="N257" s="156">
        <f ca="1">IFERROR(INDEX(INDIRECT(E257),0,MATCH(F257,MO_Common_ColumnHeader,0)),"N/A")</f>
        <v>-44.997</v>
      </c>
      <c r="O257" s="144"/>
      <c r="P257" s="161">
        <f ca="1">IF(ISNUMBER(N257),N257-K257,"N/A")</f>
        <v>2.0030000000000001</v>
      </c>
      <c r="Q257" s="162">
        <f ca="1">IFERROR(IF(ISNUMBER(N257),(N257-K257)/ABS(K257),"N/A"),"N/A")</f>
        <v>4.2617021276595744E-2</v>
      </c>
      <c r="R257" s="144"/>
      <c r="S257" s="157">
        <v>43760</v>
      </c>
      <c r="T257" s="250" t="s">
        <v>295</v>
      </c>
      <c r="U257" s="144"/>
    </row>
    <row r="258" spans="1:21" x14ac:dyDescent="0.35">
      <c r="A258" s="149">
        <v>27</v>
      </c>
      <c r="B258" s="154" t="str">
        <f>IF(INDEX(MO_SNA_IsHistoricalPeriod,,MATCH(F258,MO_Common_ColumnHeader,0)),"Historical","Forward")</f>
        <v>Historical</v>
      </c>
      <c r="C258" s="144"/>
      <c r="D258" s="160" t="s">
        <v>391</v>
      </c>
      <c r="E258" s="155"/>
      <c r="F258" s="154" t="s">
        <v>390</v>
      </c>
      <c r="G258" s="154"/>
      <c r="H258" s="144"/>
      <c r="I258" s="215">
        <v>0.28000000000000003</v>
      </c>
      <c r="J258" s="215">
        <v>0.3</v>
      </c>
      <c r="K258" s="215">
        <f>AVERAGE(I258:J258)</f>
        <v>0.29000000000000004</v>
      </c>
      <c r="L258" s="144"/>
      <c r="M258" s="154" t="str">
        <f>IF(INDEX(MO_SNA_IsHistoricalPeriod,,MATCH(F258,MO_Common_ColumnHeader,0)),"Actual","Estimate")</f>
        <v>Actual</v>
      </c>
      <c r="N258" s="215">
        <f>INDEX(MO_RIS_TaxRate_Current,0,MATCH(F258,MO_Common_ColumnHeader,0))+INDEX(MO_RIS_TaxRate_Deferred,0,MATCH(F258,MO_Common_ColumnHeader,0))</f>
        <v>0.25551201124839124</v>
      </c>
      <c r="O258" s="144"/>
      <c r="P258" s="162">
        <f>IF(ISNUMBER(N258),N258-K258,"N/A")</f>
        <v>-3.44879887516088E-2</v>
      </c>
      <c r="Q258" s="162">
        <f>IFERROR(IF(ISNUMBER(N258),(N258-K258)/ABS(K258),"N/A"),"N/A")</f>
        <v>-0.11892409914347861</v>
      </c>
      <c r="R258" s="144"/>
      <c r="S258" s="157">
        <v>43760</v>
      </c>
      <c r="T258" s="250" t="s">
        <v>295</v>
      </c>
      <c r="U258" s="144"/>
    </row>
    <row r="259" spans="1:21" x14ac:dyDescent="0.35">
      <c r="A259" s="149">
        <v>26</v>
      </c>
      <c r="B259" s="154" t="str">
        <f>IF(INDEX(MO_SNA_IsHistoricalPeriod,,MATCH(F259,MO_Common_ColumnHeader,0)),"Historical","Forward")</f>
        <v>Historical</v>
      </c>
      <c r="C259" s="144"/>
      <c r="D259" s="160" t="s">
        <v>297</v>
      </c>
      <c r="E259" s="155" t="s">
        <v>298</v>
      </c>
      <c r="F259" s="154" t="s">
        <v>390</v>
      </c>
      <c r="G259" s="154"/>
      <c r="H259" s="144"/>
      <c r="I259" s="156">
        <v>68</v>
      </c>
      <c r="J259" s="156">
        <v>72</v>
      </c>
      <c r="K259" s="156">
        <f>AVERAGE(I259:J259)</f>
        <v>70</v>
      </c>
      <c r="L259" s="144"/>
      <c r="M259" s="154" t="str">
        <f>IF(INDEX(MO_SNA_IsHistoricalPeriod,,MATCH(F259,MO_Common_ColumnHeader,0)),"Actual","Estimate")</f>
        <v>Actual</v>
      </c>
      <c r="N259" s="156">
        <f ca="1">IFERROR(INDEX(INDIRECT(E259),0,MATCH(F259,MO_Common_ColumnHeader,0)),"N/A")</f>
        <v>32.457000000000107</v>
      </c>
      <c r="O259" s="144"/>
      <c r="P259" s="161">
        <f ca="1">IF(ISNUMBER(N259),N259-K259,"N/A")</f>
        <v>-37.542999999999893</v>
      </c>
      <c r="Q259" s="162">
        <f ca="1">IFERROR(IF(ISNUMBER(N259),(N259-K259)/ABS(K259),"N/A"),"N/A")</f>
        <v>-0.53632857142856993</v>
      </c>
      <c r="R259" s="144"/>
      <c r="S259" s="157">
        <v>43760</v>
      </c>
      <c r="T259" s="250" t="s">
        <v>295</v>
      </c>
      <c r="U259" s="144"/>
    </row>
    <row r="260" spans="1:21" x14ac:dyDescent="0.35">
      <c r="A260" s="149">
        <v>25</v>
      </c>
      <c r="B260" s="144"/>
      <c r="C260" s="144"/>
      <c r="D260" s="141"/>
      <c r="E260" s="142"/>
      <c r="F260" s="144"/>
      <c r="G260" s="144"/>
      <c r="H260" s="144"/>
      <c r="I260" s="532"/>
      <c r="J260" s="532"/>
      <c r="K260" s="532"/>
      <c r="L260" s="144"/>
      <c r="M260" s="144"/>
      <c r="N260" s="532"/>
      <c r="O260" s="144"/>
      <c r="P260" s="218"/>
      <c r="Q260" s="334"/>
      <c r="R260" s="144"/>
      <c r="S260" s="145"/>
      <c r="T260" s="219"/>
      <c r="U260" s="144"/>
    </row>
    <row r="261" spans="1:21" x14ac:dyDescent="0.35">
      <c r="A261" s="149">
        <v>24</v>
      </c>
      <c r="B261" s="154" t="str">
        <f>IF(INDEX(MO_SNA_IsHistoricalPeriod,,MATCH(F261,MO_Common_ColumnHeader,0)),"Historical","Forward")</f>
        <v>Historical</v>
      </c>
      <c r="C261" s="144"/>
      <c r="D261" s="160" t="str">
        <f ca="1">INDEX(INDIRECT(E261),0,COLUMN(MO_Common_Column_A))</f>
        <v>Net Revenue</v>
      </c>
      <c r="E261" s="155" t="s">
        <v>293</v>
      </c>
      <c r="F261" s="154" t="s">
        <v>392</v>
      </c>
      <c r="G261" s="154"/>
      <c r="H261" s="144"/>
      <c r="I261" s="156">
        <v>255</v>
      </c>
      <c r="J261" s="156">
        <v>260</v>
      </c>
      <c r="K261" s="156">
        <f>AVERAGE(I261:J261)</f>
        <v>257.5</v>
      </c>
      <c r="L261" s="144"/>
      <c r="M261" s="154" t="str">
        <f>IF(INDEX(MO_SNA_IsHistoricalPeriod,,MATCH(F261,MO_Common_ColumnHeader,0)),"Actual","Estimate")</f>
        <v>Actual</v>
      </c>
      <c r="N261" s="156">
        <f ca="1">IFERROR(INDEX(INDIRECT(E261),0,MATCH(F261,MO_Common_ColumnHeader,0)),"N/A")</f>
        <v>257.55900000000003</v>
      </c>
      <c r="O261" s="144"/>
      <c r="P261" s="161">
        <f ca="1">IF(ISNUMBER(N261),N261-K261,"N/A")</f>
        <v>5.9000000000025921E-2</v>
      </c>
      <c r="Q261" s="162">
        <f ca="1">IFERROR(IF(ISNUMBER(N261),(N261-K261)/ABS(K261),"N/A"),"N/A")</f>
        <v>2.2912621359233367E-4</v>
      </c>
      <c r="R261" s="144"/>
      <c r="S261" s="157">
        <v>43760</v>
      </c>
      <c r="T261" s="250" t="s">
        <v>295</v>
      </c>
      <c r="U261" s="144"/>
    </row>
    <row r="262" spans="1:21" x14ac:dyDescent="0.35">
      <c r="A262" s="149">
        <v>23</v>
      </c>
      <c r="B262" s="154" t="str">
        <f>IF(INDEX(MO_SNA_IsHistoricalPeriod,,MATCH(F262,MO_Common_ColumnHeader,0)),"Historical","Forward")</f>
        <v>Historical</v>
      </c>
      <c r="C262" s="144"/>
      <c r="D262" s="160" t="str">
        <f ca="1">INDEX(INDIRECT(E262),0,COLUMN(MO_Common_Column_A))</f>
        <v>Capex</v>
      </c>
      <c r="E262" s="155" t="s">
        <v>296</v>
      </c>
      <c r="F262" s="154" t="s">
        <v>392</v>
      </c>
      <c r="G262" s="154"/>
      <c r="H262" s="144"/>
      <c r="I262" s="156">
        <v>-9</v>
      </c>
      <c r="J262" s="156">
        <v>-11</v>
      </c>
      <c r="K262" s="156">
        <f>AVERAGE(I262:J262)</f>
        <v>-10</v>
      </c>
      <c r="L262" s="144"/>
      <c r="M262" s="154" t="str">
        <f>IF(INDEX(MO_SNA_IsHistoricalPeriod,,MATCH(F262,MO_Common_ColumnHeader,0)),"Actual","Estimate")</f>
        <v>Actual</v>
      </c>
      <c r="N262" s="156">
        <f ca="1">IFERROR(INDEX(INDIRECT(E262),0,MATCH(F262,MO_Common_ColumnHeader,0)),"N/A")</f>
        <v>-9.3369999999999997</v>
      </c>
      <c r="O262" s="144"/>
      <c r="P262" s="161">
        <f ca="1">IF(ISNUMBER(N262),N262-K262,"N/A")</f>
        <v>0.66300000000000026</v>
      </c>
      <c r="Q262" s="162">
        <f ca="1">IFERROR(IF(ISNUMBER(N262),(N262-K262)/ABS(K262),"N/A"),"N/A")</f>
        <v>6.6300000000000026E-2</v>
      </c>
      <c r="R262" s="144"/>
      <c r="S262" s="157">
        <v>43760</v>
      </c>
      <c r="T262" s="250" t="s">
        <v>295</v>
      </c>
      <c r="U262" s="144"/>
    </row>
    <row r="263" spans="1:21" x14ac:dyDescent="0.35">
      <c r="A263" s="149">
        <v>22</v>
      </c>
      <c r="B263" s="154" t="str">
        <f>IF(INDEX(MO_SNA_IsHistoricalPeriod,,MATCH(F263,MO_Common_ColumnHeader,0)),"Historical","Forward")</f>
        <v>Historical</v>
      </c>
      <c r="C263" s="144"/>
      <c r="D263" s="160" t="s">
        <v>297</v>
      </c>
      <c r="E263" s="155" t="s">
        <v>298</v>
      </c>
      <c r="F263" s="154" t="s">
        <v>392</v>
      </c>
      <c r="G263" s="154"/>
      <c r="H263" s="144"/>
      <c r="I263" s="156">
        <v>35</v>
      </c>
      <c r="J263" s="156">
        <v>37</v>
      </c>
      <c r="K263" s="156">
        <f>AVERAGE(I263:J263)</f>
        <v>36</v>
      </c>
      <c r="L263" s="144"/>
      <c r="M263" s="154" t="str">
        <f>IF(INDEX(MO_SNA_IsHistoricalPeriod,,MATCH(F263,MO_Common_ColumnHeader,0)),"Actual","Estimate")</f>
        <v>Actual</v>
      </c>
      <c r="N263" s="156">
        <f ca="1">IFERROR(INDEX(INDIRECT(E263),0,MATCH(F263,MO_Common_ColumnHeader,0)),"N/A")</f>
        <v>30.305000000000028</v>
      </c>
      <c r="O263" s="144"/>
      <c r="P263" s="161">
        <f ca="1">IF(ISNUMBER(N263),N263-K263,"N/A")</f>
        <v>-5.6949999999999719</v>
      </c>
      <c r="Q263" s="162">
        <f ca="1">IFERROR(IF(ISNUMBER(N263),(N263-K263)/ABS(K263),"N/A"),"N/A")</f>
        <v>-0.15819444444444367</v>
      </c>
      <c r="R263" s="144"/>
      <c r="S263" s="157">
        <v>43760</v>
      </c>
      <c r="T263" s="250" t="s">
        <v>295</v>
      </c>
      <c r="U263" s="144"/>
    </row>
    <row r="264" spans="1:21" x14ac:dyDescent="0.35">
      <c r="A264" s="149">
        <v>21</v>
      </c>
      <c r="B264" s="144"/>
      <c r="C264" s="144"/>
      <c r="D264" s="141"/>
      <c r="E264" s="142"/>
      <c r="F264" s="144"/>
      <c r="G264" s="144"/>
      <c r="H264" s="144"/>
      <c r="I264" s="532"/>
      <c r="J264" s="532"/>
      <c r="K264" s="532"/>
      <c r="L264" s="144"/>
      <c r="M264" s="144"/>
      <c r="N264" s="532"/>
      <c r="O264" s="144"/>
      <c r="P264" s="218"/>
      <c r="Q264" s="334"/>
      <c r="R264" s="144"/>
      <c r="S264" s="145"/>
      <c r="T264" s="219"/>
      <c r="U264" s="144"/>
    </row>
    <row r="265" spans="1:21" x14ac:dyDescent="0.35">
      <c r="A265" s="149">
        <v>20</v>
      </c>
      <c r="B265" s="154" t="str">
        <f>IF(INDEX(MO_SNA_IsHistoricalPeriod,,MATCH(F265,MO_Common_ColumnHeader,0)),"Historical","Forward")</f>
        <v>Historical</v>
      </c>
      <c r="C265" s="144"/>
      <c r="D265" s="160" t="str">
        <f ca="1">INDEX(INDIRECT(E265),0,COLUMN(MO_Common_Column_A))</f>
        <v>Net Revenue</v>
      </c>
      <c r="E265" s="155" t="s">
        <v>293</v>
      </c>
      <c r="F265" s="154" t="s">
        <v>294</v>
      </c>
      <c r="G265" s="154"/>
      <c r="H265" s="144"/>
      <c r="I265" s="156">
        <v>1005</v>
      </c>
      <c r="J265" s="156">
        <v>1010</v>
      </c>
      <c r="K265" s="156">
        <f>AVERAGE(I265:J265)</f>
        <v>1007.5</v>
      </c>
      <c r="L265" s="144"/>
      <c r="M265" s="154" t="str">
        <f>IF(INDEX(MO_SNA_IsHistoricalPeriod,,MATCH(F265,MO_Common_ColumnHeader,0)),"Actual","Estimate")</f>
        <v>Actual</v>
      </c>
      <c r="N265" s="156">
        <f ca="1">IFERROR(INDEX(INDIRECT(E265),0,MATCH(F265,MO_Common_ColumnHeader,0)),"N/A")</f>
        <v>1015.752</v>
      </c>
      <c r="O265" s="144"/>
      <c r="P265" s="161">
        <f ca="1">IF(ISNUMBER(N265),N265-K265,"N/A")</f>
        <v>8.2519999999999527</v>
      </c>
      <c r="Q265" s="162">
        <f ca="1">IFERROR(IF(ISNUMBER(N265),(N265-K265)/ABS(K265),"N/A"),"N/A")</f>
        <v>8.1905707196029305E-3</v>
      </c>
      <c r="R265" s="144"/>
      <c r="S265" s="157">
        <v>43578</v>
      </c>
      <c r="T265" s="250" t="s">
        <v>295</v>
      </c>
      <c r="U265" s="144"/>
    </row>
    <row r="266" spans="1:21" x14ac:dyDescent="0.35">
      <c r="A266" s="149">
        <v>19</v>
      </c>
      <c r="B266" s="154" t="str">
        <f>IF(INDEX(MO_SNA_IsHistoricalPeriod,,MATCH(F266,MO_Common_ColumnHeader,0)),"Historical","Forward")</f>
        <v>Historical</v>
      </c>
      <c r="C266" s="144"/>
      <c r="D266" s="160" t="str">
        <f ca="1">INDEX(INDIRECT(E266),0,COLUMN(MO_Common_Column_A))</f>
        <v>Capex</v>
      </c>
      <c r="E266" s="155" t="s">
        <v>296</v>
      </c>
      <c r="F266" s="154" t="s">
        <v>294</v>
      </c>
      <c r="G266" s="154"/>
      <c r="H266" s="144"/>
      <c r="I266" s="156">
        <v>-47</v>
      </c>
      <c r="J266" s="156">
        <v>-50</v>
      </c>
      <c r="K266" s="156">
        <f>AVERAGE(I266:J266)</f>
        <v>-48.5</v>
      </c>
      <c r="L266" s="144"/>
      <c r="M266" s="154" t="str">
        <f>IF(INDEX(MO_SNA_IsHistoricalPeriod,,MATCH(F266,MO_Common_ColumnHeader,0)),"Actual","Estimate")</f>
        <v>Actual</v>
      </c>
      <c r="N266" s="156">
        <f ca="1">IFERROR(INDEX(INDIRECT(E266),0,MATCH(F266,MO_Common_ColumnHeader,0)),"N/A")</f>
        <v>-48.406000000000006</v>
      </c>
      <c r="O266" s="144"/>
      <c r="P266" s="161">
        <f ca="1">IF(ISNUMBER(N266),N266-K266,"N/A")</f>
        <v>9.3999999999994088E-2</v>
      </c>
      <c r="Q266" s="162">
        <f ca="1">IFERROR(IF(ISNUMBER(N266),(N266-K266)/ABS(K266),"N/A"),"N/A")</f>
        <v>1.9381443298967854E-3</v>
      </c>
      <c r="R266" s="144"/>
      <c r="S266" s="157">
        <v>43578</v>
      </c>
      <c r="T266" s="250" t="s">
        <v>295</v>
      </c>
      <c r="U266" s="144"/>
    </row>
    <row r="267" spans="1:21" x14ac:dyDescent="0.35">
      <c r="A267" s="149">
        <v>18</v>
      </c>
      <c r="B267" s="154" t="str">
        <f>IF(INDEX(MO_SNA_IsHistoricalPeriod,,MATCH(F267,MO_Common_ColumnHeader,0)),"Historical","Forward")</f>
        <v>Historical</v>
      </c>
      <c r="C267" s="144"/>
      <c r="D267" s="160" t="s">
        <v>297</v>
      </c>
      <c r="E267" s="155" t="s">
        <v>298</v>
      </c>
      <c r="F267" s="154" t="s">
        <v>294</v>
      </c>
      <c r="G267" s="154"/>
      <c r="H267" s="144"/>
      <c r="I267" s="156">
        <v>58</v>
      </c>
      <c r="J267" s="156">
        <v>60</v>
      </c>
      <c r="K267" s="156">
        <f>AVERAGE(I267:J267)</f>
        <v>59</v>
      </c>
      <c r="L267" s="144"/>
      <c r="M267" s="154" t="str">
        <f>IF(INDEX(MO_SNA_IsHistoricalPeriod,,MATCH(F267,MO_Common_ColumnHeader,0)),"Actual","Estimate")</f>
        <v>Actual</v>
      </c>
      <c r="N267" s="156">
        <f ca="1">IFERROR(INDEX(INDIRECT(E267),0,MATCH(F267,MO_Common_ColumnHeader,0)),"N/A")</f>
        <v>45.485999999999933</v>
      </c>
      <c r="O267" s="144"/>
      <c r="P267" s="161">
        <f ca="1">IF(ISNUMBER(N267),N267-K267,"N/A")</f>
        <v>-13.514000000000067</v>
      </c>
      <c r="Q267" s="162">
        <f ca="1">IFERROR(IF(ISNUMBER(N267),(N267-K267)/ABS(K267),"N/A"),"N/A")</f>
        <v>-0.22905084745762824</v>
      </c>
      <c r="R267" s="144"/>
      <c r="S267" s="157">
        <v>43578</v>
      </c>
      <c r="T267" s="250" t="s">
        <v>295</v>
      </c>
      <c r="U267" s="144"/>
    </row>
    <row r="268" spans="1:21" x14ac:dyDescent="0.35">
      <c r="A268" s="149">
        <v>17</v>
      </c>
      <c r="B268" s="144"/>
      <c r="C268" s="144"/>
      <c r="D268" s="141"/>
      <c r="E268" s="142"/>
      <c r="F268" s="144"/>
      <c r="G268" s="144"/>
      <c r="H268" s="144"/>
      <c r="I268" s="532"/>
      <c r="J268" s="532"/>
      <c r="K268" s="532"/>
      <c r="L268" s="144"/>
      <c r="M268" s="144"/>
      <c r="N268" s="532"/>
      <c r="O268" s="144"/>
      <c r="P268" s="218"/>
      <c r="Q268" s="334"/>
      <c r="R268" s="144"/>
      <c r="S268" s="145"/>
      <c r="T268" s="219"/>
      <c r="U268" s="144"/>
    </row>
    <row r="269" spans="1:21" x14ac:dyDescent="0.35">
      <c r="A269" s="149">
        <v>16</v>
      </c>
      <c r="B269" s="154" t="str">
        <f>IF(INDEX(MO_SNA_IsHistoricalPeriod,,MATCH(F269,MO_Common_ColumnHeader,0)),"Historical","Forward")</f>
        <v>Historical</v>
      </c>
      <c r="C269" s="144"/>
      <c r="D269" s="160" t="str">
        <f ca="1">INDEX(INDIRECT(E269),0,COLUMN(MO_Common_Column_A))</f>
        <v>Net Revenue</v>
      </c>
      <c r="E269" s="155" t="s">
        <v>293</v>
      </c>
      <c r="F269" s="154" t="s">
        <v>299</v>
      </c>
      <c r="G269" s="154"/>
      <c r="H269" s="144"/>
      <c r="I269" s="156">
        <v>250</v>
      </c>
      <c r="J269" s="156">
        <v>255</v>
      </c>
      <c r="K269" s="156">
        <f>AVERAGE(I269:J269)</f>
        <v>252.5</v>
      </c>
      <c r="L269" s="144"/>
      <c r="M269" s="154" t="str">
        <f>IF(INDEX(MO_SNA_IsHistoricalPeriod,,MATCH(F269,MO_Common_ColumnHeader,0)),"Actual","Estimate")</f>
        <v>Actual</v>
      </c>
      <c r="N269" s="156">
        <f ca="1">IFERROR(INDEX(INDIRECT(E269),0,MATCH(F269,MO_Common_ColumnHeader,0)),"N/A")</f>
        <v>253.25200000000001</v>
      </c>
      <c r="O269" s="144"/>
      <c r="P269" s="161">
        <f ca="1">IF(ISNUMBER(N269),N269-K269,"N/A")</f>
        <v>0.75200000000000955</v>
      </c>
      <c r="Q269" s="162">
        <f ca="1">IFERROR(IF(ISNUMBER(N269),(N269-K269)/ABS(K269),"N/A"),"N/A")</f>
        <v>2.9782178217822161E-3</v>
      </c>
      <c r="R269" s="144"/>
      <c r="S269" s="157">
        <v>43488</v>
      </c>
      <c r="T269" s="250" t="s">
        <v>295</v>
      </c>
      <c r="U269" s="144"/>
    </row>
    <row r="270" spans="1:21" x14ac:dyDescent="0.35">
      <c r="A270" s="149">
        <v>15</v>
      </c>
      <c r="B270" s="154" t="str">
        <f>IF(INDEX(MO_SNA_IsHistoricalPeriod,,MATCH(F270,MO_Common_ColumnHeader,0)),"Historical","Forward")</f>
        <v>Historical</v>
      </c>
      <c r="C270" s="144"/>
      <c r="D270" s="160" t="str">
        <f ca="1">INDEX(INDIRECT(E270),0,COLUMN(MO_Common_Column_A))</f>
        <v>Capex</v>
      </c>
      <c r="E270" s="155" t="s">
        <v>296</v>
      </c>
      <c r="F270" s="154" t="s">
        <v>299</v>
      </c>
      <c r="G270" s="154"/>
      <c r="H270" s="144"/>
      <c r="I270" s="156">
        <v>-11</v>
      </c>
      <c r="J270" s="156">
        <v>-9</v>
      </c>
      <c r="K270" s="156">
        <f>AVERAGE(I270:J270)</f>
        <v>-10</v>
      </c>
      <c r="L270" s="144"/>
      <c r="M270" s="154" t="str">
        <f>IF(INDEX(MO_SNA_IsHistoricalPeriod,,MATCH(F270,MO_Common_ColumnHeader,0)),"Actual","Estimate")</f>
        <v>Actual</v>
      </c>
      <c r="N270" s="156">
        <f ca="1">IFERROR(INDEX(INDIRECT(E270),0,MATCH(F270,MO_Common_ColumnHeader,0)),"N/A")</f>
        <v>-9.4469999999999992</v>
      </c>
      <c r="O270" s="144"/>
      <c r="P270" s="161">
        <f ca="1">IF(ISNUMBER(N270),N270-K270,"N/A")</f>
        <v>0.55300000000000082</v>
      </c>
      <c r="Q270" s="162">
        <f ca="1">IFERROR(IF(ISNUMBER(N270),(N270-K270)/ABS(K270),"N/A"),"N/A")</f>
        <v>5.5300000000000085E-2</v>
      </c>
      <c r="R270" s="144"/>
      <c r="S270" s="157">
        <v>43488</v>
      </c>
      <c r="T270" s="250" t="s">
        <v>295</v>
      </c>
      <c r="U270" s="144"/>
    </row>
    <row r="271" spans="1:21" x14ac:dyDescent="0.35">
      <c r="A271" s="149">
        <v>14</v>
      </c>
      <c r="B271" s="154" t="str">
        <f>IF(INDEX(MO_SNA_IsHistoricalPeriod,,MATCH(F271,MO_Common_ColumnHeader,0)),"Historical","Forward")</f>
        <v>Historical</v>
      </c>
      <c r="C271" s="144"/>
      <c r="D271" s="160" t="s">
        <v>297</v>
      </c>
      <c r="E271" s="155" t="s">
        <v>298</v>
      </c>
      <c r="F271" s="154" t="s">
        <v>299</v>
      </c>
      <c r="G271" s="154"/>
      <c r="H271" s="144"/>
      <c r="I271" s="156">
        <v>24</v>
      </c>
      <c r="J271" s="156">
        <v>26</v>
      </c>
      <c r="K271" s="156">
        <f>AVERAGE(I271:J271)</f>
        <v>25</v>
      </c>
      <c r="L271" s="144"/>
      <c r="M271" s="154" t="str">
        <f>IF(INDEX(MO_SNA_IsHistoricalPeriod,,MATCH(F271,MO_Common_ColumnHeader,0)),"Actual","Estimate")</f>
        <v>Actual</v>
      </c>
      <c r="N271" s="156">
        <f ca="1">IFERROR(INDEX(INDIRECT(E271),0,MATCH(F271,MO_Common_ColumnHeader,0)),"N/A")</f>
        <v>23.267000000000017</v>
      </c>
      <c r="O271" s="144"/>
      <c r="P271" s="161">
        <f ca="1">IF(ISNUMBER(N271),N271-K271,"N/A")</f>
        <v>-1.7329999999999828</v>
      </c>
      <c r="Q271" s="162">
        <f ca="1">IFERROR(IF(ISNUMBER(N271),(N271-K271)/ABS(K271),"N/A"),"N/A")</f>
        <v>-6.9319999999999313E-2</v>
      </c>
      <c r="R271" s="144"/>
      <c r="S271" s="157">
        <v>43488</v>
      </c>
      <c r="T271" s="250" t="s">
        <v>295</v>
      </c>
      <c r="U271" s="144"/>
    </row>
    <row r="272" spans="1:21" x14ac:dyDescent="0.35">
      <c r="A272" s="149">
        <v>13</v>
      </c>
      <c r="B272" s="144"/>
      <c r="C272" s="144"/>
      <c r="D272" s="141"/>
      <c r="E272" s="142"/>
      <c r="F272" s="144"/>
      <c r="G272" s="144"/>
      <c r="H272" s="144"/>
      <c r="I272" s="532"/>
      <c r="J272" s="532"/>
      <c r="K272" s="532"/>
      <c r="L272" s="144"/>
      <c r="M272" s="144"/>
      <c r="N272" s="532"/>
      <c r="O272" s="144"/>
      <c r="P272" s="218"/>
      <c r="Q272" s="334"/>
      <c r="R272" s="144"/>
      <c r="S272" s="145"/>
      <c r="T272" s="219"/>
      <c r="U272" s="144"/>
    </row>
    <row r="273" spans="1:21" x14ac:dyDescent="0.35">
      <c r="A273" s="149">
        <v>12</v>
      </c>
      <c r="B273" s="154" t="str">
        <f>IF(INDEX(MO_SNA_IsHistoricalPeriod,,MATCH(F273,MO_Common_ColumnHeader,0)),"Historical","Forward")</f>
        <v>Historical</v>
      </c>
      <c r="C273" s="144"/>
      <c r="D273" s="160" t="str">
        <f ca="1">INDEX(INDIRECT(E273),0,COLUMN(MO_Common_Column_A))</f>
        <v>Net Revenue</v>
      </c>
      <c r="E273" s="155" t="s">
        <v>293</v>
      </c>
      <c r="F273" s="154" t="s">
        <v>300</v>
      </c>
      <c r="G273" s="154"/>
      <c r="H273" s="144"/>
      <c r="I273" s="156">
        <v>250</v>
      </c>
      <c r="J273" s="156">
        <v>255</v>
      </c>
      <c r="K273" s="156">
        <f>AVERAGE(I273:J273)</f>
        <v>252.5</v>
      </c>
      <c r="L273" s="144"/>
      <c r="M273" s="154" t="str">
        <f>IF(INDEX(MO_SNA_IsHistoricalPeriod,,MATCH(F273,MO_Common_ColumnHeader,0)),"Actual","Estimate")</f>
        <v>Actual</v>
      </c>
      <c r="N273" s="156">
        <f ca="1">IFERROR(INDEX(INDIRECT(E273),0,MATCH(F273,MO_Common_ColumnHeader,0)),"N/A")</f>
        <v>254.87200000000001</v>
      </c>
      <c r="O273" s="144"/>
      <c r="P273" s="161">
        <f ca="1">IF(ISNUMBER(N273),N273-K273,"N/A")</f>
        <v>2.3720000000000141</v>
      </c>
      <c r="Q273" s="162">
        <f ca="1">IFERROR(IF(ISNUMBER(N273),(N273-K273)/ABS(K273),"N/A"),"N/A")</f>
        <v>9.3940594059406506E-3</v>
      </c>
      <c r="R273" s="144"/>
      <c r="S273" s="157">
        <v>43397</v>
      </c>
      <c r="T273" s="250" t="s">
        <v>295</v>
      </c>
      <c r="U273" s="144"/>
    </row>
    <row r="274" spans="1:21" x14ac:dyDescent="0.35">
      <c r="A274" s="149">
        <v>11</v>
      </c>
      <c r="B274" s="154" t="str">
        <f>IF(INDEX(MO_SNA_IsHistoricalPeriod,,MATCH(F274,MO_Common_ColumnHeader,0)),"Historical","Forward")</f>
        <v>Historical</v>
      </c>
      <c r="C274" s="144"/>
      <c r="D274" s="160" t="str">
        <f ca="1">INDEX(INDIRECT(E274),0,COLUMN(MO_Common_Column_A))</f>
        <v>Capex</v>
      </c>
      <c r="E274" s="155" t="s">
        <v>296</v>
      </c>
      <c r="F274" s="154" t="s">
        <v>300</v>
      </c>
      <c r="G274" s="154"/>
      <c r="H274" s="144"/>
      <c r="I274" s="156">
        <v>-13</v>
      </c>
      <c r="J274" s="156">
        <v>-11</v>
      </c>
      <c r="K274" s="156">
        <f>AVERAGE(I274:J274)</f>
        <v>-12</v>
      </c>
      <c r="L274" s="144"/>
      <c r="M274" s="154" t="str">
        <f>IF(INDEX(MO_SNA_IsHistoricalPeriod,,MATCH(F274,MO_Common_ColumnHeader,0)),"Actual","Estimate")</f>
        <v>Actual</v>
      </c>
      <c r="N274" s="156">
        <f ca="1">IFERROR(INDEX(INDIRECT(E274),0,MATCH(F274,MO_Common_ColumnHeader,0)),"N/A")</f>
        <v>-9.5360000000000014</v>
      </c>
      <c r="O274" s="144"/>
      <c r="P274" s="161">
        <f ca="1">IF(ISNUMBER(N274),N274-K274,"N/A")</f>
        <v>2.4639999999999986</v>
      </c>
      <c r="Q274" s="162">
        <f ca="1">IFERROR(IF(ISNUMBER(N274),(N274-K274)/ABS(K274),"N/A"),"N/A")</f>
        <v>0.20533333333333323</v>
      </c>
      <c r="R274" s="144"/>
      <c r="S274" s="157">
        <v>43397</v>
      </c>
      <c r="T274" s="250" t="s">
        <v>295</v>
      </c>
      <c r="U274" s="144"/>
    </row>
    <row r="275" spans="1:21" x14ac:dyDescent="0.35">
      <c r="A275" s="149">
        <v>10</v>
      </c>
      <c r="B275" s="154" t="str">
        <f>IF(INDEX(MO_SNA_IsHistoricalPeriod,,MATCH(F275,MO_Common_ColumnHeader,0)),"Historical","Forward")</f>
        <v>Historical</v>
      </c>
      <c r="C275" s="144"/>
      <c r="D275" s="160" t="s">
        <v>297</v>
      </c>
      <c r="E275" s="155"/>
      <c r="F275" s="154" t="s">
        <v>300</v>
      </c>
      <c r="G275" s="154"/>
      <c r="H275" s="144"/>
      <c r="I275" s="156">
        <v>35</v>
      </c>
      <c r="J275" s="156">
        <v>38</v>
      </c>
      <c r="K275" s="156">
        <f>AVERAGE(I275:J275)</f>
        <v>36.5</v>
      </c>
      <c r="L275" s="144"/>
      <c r="M275" s="154" t="str">
        <f>IF(INDEX(MO_SNA_IsHistoricalPeriod,,MATCH(F275,MO_Common_ColumnHeader,0)),"Actual","Estimate")</f>
        <v>Actual</v>
      </c>
      <c r="N275" s="156" t="str">
        <f ca="1">IFERROR(INDEX(INDIRECT(E275),0,MATCH(F275,MO_Common_ColumnHeader,0)),"N/A")</f>
        <v>N/A</v>
      </c>
      <c r="O275" s="144"/>
      <c r="P275" s="161" t="str">
        <f ca="1">IF(ISNUMBER(N275),N275-K275,"N/A")</f>
        <v>N/A</v>
      </c>
      <c r="Q275" s="162" t="str">
        <f ca="1">IFERROR(IF(ISNUMBER(N275),(N275-K275)/ABS(K275),"N/A"),"N/A")</f>
        <v>N/A</v>
      </c>
      <c r="R275" s="144"/>
      <c r="S275" s="157">
        <v>43397</v>
      </c>
      <c r="T275" s="250" t="s">
        <v>295</v>
      </c>
      <c r="U275" s="144"/>
    </row>
    <row r="276" spans="1:21" x14ac:dyDescent="0.35">
      <c r="A276" s="149">
        <v>9</v>
      </c>
      <c r="B276" s="144"/>
      <c r="C276" s="144"/>
      <c r="D276" s="141"/>
      <c r="E276" s="142"/>
      <c r="F276" s="144"/>
      <c r="G276" s="144"/>
      <c r="H276" s="144"/>
      <c r="I276" s="532"/>
      <c r="J276" s="532"/>
      <c r="K276" s="532"/>
      <c r="L276" s="144"/>
      <c r="M276" s="144"/>
      <c r="N276" s="532"/>
      <c r="O276" s="144"/>
      <c r="P276" s="218"/>
      <c r="Q276" s="334"/>
      <c r="R276" s="144"/>
      <c r="S276" s="145"/>
      <c r="T276" s="219"/>
      <c r="U276" s="144"/>
    </row>
    <row r="277" spans="1:21" x14ac:dyDescent="0.35">
      <c r="A277" s="149">
        <v>8</v>
      </c>
      <c r="B277" s="154" t="str">
        <f>IF(INDEX(MO_SNA_IsHistoricalPeriod,,MATCH(F277,MO_Common_ColumnHeader,0)),"Historical","Forward")</f>
        <v>Historical</v>
      </c>
      <c r="C277" s="144"/>
      <c r="D277" s="160" t="str">
        <f ca="1">INDEX(INDIRECT(E277),0,COLUMN(MO_Common_Column_A))</f>
        <v>Net Revenue</v>
      </c>
      <c r="E277" s="155" t="s">
        <v>293</v>
      </c>
      <c r="F277" s="154" t="s">
        <v>294</v>
      </c>
      <c r="G277" s="154"/>
      <c r="H277" s="144"/>
      <c r="I277" s="156">
        <v>1000</v>
      </c>
      <c r="J277" s="156">
        <v>1010</v>
      </c>
      <c r="K277" s="156">
        <f>AVERAGE(I277:J277)</f>
        <v>1005</v>
      </c>
      <c r="L277" s="144"/>
      <c r="M277" s="154" t="str">
        <f>IF(INDEX(MO_SNA_IsHistoricalPeriod,,MATCH(F277,MO_Common_ColumnHeader,0)),"Actual","Estimate")</f>
        <v>Actual</v>
      </c>
      <c r="N277" s="156">
        <f ca="1">IFERROR(INDEX(INDIRECT(E277),0,MATCH(F277,MO_Common_ColumnHeader,0)),"N/A")</f>
        <v>1015.752</v>
      </c>
      <c r="O277" s="144"/>
      <c r="P277" s="161">
        <f ca="1">IF(ISNUMBER(N277),N277-K277,"N/A")</f>
        <v>10.751999999999953</v>
      </c>
      <c r="Q277" s="162">
        <f ca="1">IFERROR(IF(ISNUMBER(N277),(N277-K277)/ABS(K277),"N/A"),"N/A")</f>
        <v>1.0698507462686521E-2</v>
      </c>
      <c r="R277" s="144"/>
      <c r="S277" s="157">
        <v>43397</v>
      </c>
      <c r="T277" s="250" t="s">
        <v>295</v>
      </c>
      <c r="U277" s="144"/>
    </row>
    <row r="278" spans="1:21" x14ac:dyDescent="0.35">
      <c r="A278" s="149">
        <v>7</v>
      </c>
      <c r="B278" s="154" t="str">
        <f>IF(INDEX(MO_SNA_IsHistoricalPeriod,,MATCH(F278,MO_Common_ColumnHeader,0)),"Historical","Forward")</f>
        <v>Historical</v>
      </c>
      <c r="C278" s="144"/>
      <c r="D278" s="160" t="str">
        <f ca="1">INDEX(INDIRECT(E278),0,COLUMN(MO_Common_Column_A))</f>
        <v>Capex</v>
      </c>
      <c r="E278" s="155" t="s">
        <v>296</v>
      </c>
      <c r="F278" s="154" t="s">
        <v>294</v>
      </c>
      <c r="G278" s="154"/>
      <c r="H278" s="144"/>
      <c r="I278" s="156">
        <v>-50</v>
      </c>
      <c r="J278" s="156">
        <v>-47</v>
      </c>
      <c r="K278" s="156">
        <f>AVERAGE(I278:J278)</f>
        <v>-48.5</v>
      </c>
      <c r="L278" s="144"/>
      <c r="M278" s="154" t="str">
        <f>IF(INDEX(MO_SNA_IsHistoricalPeriod,,MATCH(F278,MO_Common_ColumnHeader,0)),"Actual","Estimate")</f>
        <v>Actual</v>
      </c>
      <c r="N278" s="156">
        <f ca="1">IFERROR(INDEX(INDIRECT(E278),0,MATCH(F278,MO_Common_ColumnHeader,0)),"N/A")</f>
        <v>-48.406000000000006</v>
      </c>
      <c r="O278" s="144"/>
      <c r="P278" s="161">
        <f ca="1">IF(ISNUMBER(N278),N278-K278,"N/A")</f>
        <v>9.3999999999994088E-2</v>
      </c>
      <c r="Q278" s="162">
        <f ca="1">IFERROR(IF(ISNUMBER(N278),(N278-K278)/ABS(K278),"N/A"),"N/A")</f>
        <v>1.9381443298967854E-3</v>
      </c>
      <c r="R278" s="144"/>
      <c r="S278" s="157">
        <v>43397</v>
      </c>
      <c r="T278" s="250" t="s">
        <v>295</v>
      </c>
      <c r="U278" s="144"/>
    </row>
    <row r="279" spans="1:21" x14ac:dyDescent="0.35">
      <c r="A279" s="149">
        <v>6</v>
      </c>
      <c r="B279" s="154" t="str">
        <f>IF(INDEX(MO_SNA_IsHistoricalPeriod,,MATCH(F279,MO_Common_ColumnHeader,0)),"Historical","Forward")</f>
        <v>Historical</v>
      </c>
      <c r="C279" s="144"/>
      <c r="D279" s="160" t="s">
        <v>301</v>
      </c>
      <c r="E279" s="155"/>
      <c r="F279" s="154" t="s">
        <v>294</v>
      </c>
      <c r="G279" s="154"/>
      <c r="H279" s="144"/>
      <c r="I279" s="215">
        <v>0.25</v>
      </c>
      <c r="J279" s="215">
        <v>0.3</v>
      </c>
      <c r="K279" s="215">
        <f>AVERAGE(I279:J279)</f>
        <v>0.27500000000000002</v>
      </c>
      <c r="L279" s="144"/>
      <c r="M279" s="154" t="str">
        <f>IF(INDEX(MO_SNA_IsHistoricalPeriod,,MATCH(F279,MO_Common_ColumnHeader,0)),"Actual","Estimate")</f>
        <v>Actual</v>
      </c>
      <c r="N279" s="215">
        <f>IFERROR(INDEX(MO_RIS_TaxRate_Current,0,MATCH(F279,MO_Common_ColumnHeader,0))+INDEX(MO_RIS_TaxRate_Deferred,0,MATCH(F279,MO_Common_ColumnHeader,0)),"N/A")</f>
        <v>0.21753065486652495</v>
      </c>
      <c r="O279" s="144"/>
      <c r="P279" s="162">
        <f>IF(ISNUMBER(N279),N279-K279,"N/A")</f>
        <v>-5.7469345133475069E-2</v>
      </c>
      <c r="Q279" s="162">
        <f>IFERROR(IF(ISNUMBER(N279),(N279-K279)/ABS(K279),"N/A"),"N/A")</f>
        <v>-0.20897943684900022</v>
      </c>
      <c r="R279" s="144"/>
      <c r="S279" s="157">
        <v>43397</v>
      </c>
      <c r="T279" s="250" t="s">
        <v>295</v>
      </c>
      <c r="U279" s="144"/>
    </row>
    <row r="280" spans="1:21" x14ac:dyDescent="0.35">
      <c r="A280" s="149">
        <v>5</v>
      </c>
      <c r="B280" s="154" t="str">
        <f>IF(INDEX(MO_SNA_IsHistoricalPeriod,,MATCH(F280,MO_Common_ColumnHeader,0)),"Historical","Forward")</f>
        <v>Historical</v>
      </c>
      <c r="C280" s="144"/>
      <c r="D280" s="160" t="s">
        <v>297</v>
      </c>
      <c r="E280" s="155"/>
      <c r="F280" s="154" t="s">
        <v>294</v>
      </c>
      <c r="G280" s="154"/>
      <c r="H280" s="144"/>
      <c r="I280" s="156">
        <v>56</v>
      </c>
      <c r="J280" s="156">
        <v>60</v>
      </c>
      <c r="K280" s="156">
        <f>AVERAGE(I280:J280)</f>
        <v>58</v>
      </c>
      <c r="L280" s="144"/>
      <c r="M280" s="154" t="str">
        <f>IF(INDEX(MO_SNA_IsHistoricalPeriod,,MATCH(F280,MO_Common_ColumnHeader,0)),"Actual","Estimate")</f>
        <v>Actual</v>
      </c>
      <c r="N280" s="156" t="str">
        <f ca="1">IFERROR(INDEX(INDIRECT(E280),0,MATCH(F280,MO_Common_ColumnHeader,0)),"N/A")</f>
        <v>N/A</v>
      </c>
      <c r="O280" s="144"/>
      <c r="P280" s="161" t="str">
        <f ca="1">IF(ISNUMBER(N280),N280-K280,"N/A")</f>
        <v>N/A</v>
      </c>
      <c r="Q280" s="162" t="str">
        <f ca="1">IFERROR(IF(ISNUMBER(N280),(N280-K280)/ABS(K280),"N/A"),"N/A")</f>
        <v>N/A</v>
      </c>
      <c r="R280" s="144"/>
      <c r="S280" s="157">
        <v>43397</v>
      </c>
      <c r="T280" s="250" t="s">
        <v>295</v>
      </c>
      <c r="U280" s="144"/>
    </row>
    <row r="281" spans="1:21" x14ac:dyDescent="0.35">
      <c r="A281" s="149">
        <v>4</v>
      </c>
      <c r="B281" s="144"/>
      <c r="C281" s="144"/>
      <c r="D281" s="141"/>
      <c r="E281" s="142"/>
      <c r="F281" s="144"/>
      <c r="G281" s="144"/>
      <c r="H281" s="144"/>
      <c r="I281" s="532"/>
      <c r="J281" s="532"/>
      <c r="K281" s="532"/>
      <c r="L281" s="144"/>
      <c r="M281" s="144"/>
      <c r="N281" s="532"/>
      <c r="O281" s="144"/>
      <c r="P281" s="218"/>
      <c r="Q281" s="334"/>
      <c r="R281" s="144"/>
      <c r="S281" s="145"/>
      <c r="T281" s="219"/>
      <c r="U281" s="144"/>
    </row>
    <row r="282" spans="1:21" x14ac:dyDescent="0.35">
      <c r="A282" s="149">
        <v>3</v>
      </c>
      <c r="B282" s="154" t="str">
        <f>IF(INDEX(MO_SNA_IsHistoricalPeriod,,MATCH(F282,MO_Common_ColumnHeader,0)),"Historical","Forward")</f>
        <v>Historical</v>
      </c>
      <c r="C282" s="144"/>
      <c r="D282" s="160" t="str">
        <f ca="1">INDEX(INDIRECT(E282),0,COLUMN(MO_Common_Column_A))</f>
        <v>Net Revenue</v>
      </c>
      <c r="E282" s="155" t="s">
        <v>293</v>
      </c>
      <c r="F282" s="154" t="s">
        <v>302</v>
      </c>
      <c r="G282" s="154"/>
      <c r="H282" s="144"/>
      <c r="I282" s="156">
        <v>906</v>
      </c>
      <c r="J282" s="156">
        <v>912</v>
      </c>
      <c r="K282" s="156">
        <f>AVERAGE(I282:J282)</f>
        <v>909</v>
      </c>
      <c r="L282" s="144"/>
      <c r="M282" s="154" t="str">
        <f>IF(INDEX(MO_SNA_IsHistoricalPeriod,,MATCH(F282,MO_Common_ColumnHeader,0)),"Actual","Estimate")</f>
        <v>Actual</v>
      </c>
      <c r="N282" s="156">
        <f ca="1">IFERROR(INDEX(INDIRECT(E282),0,MATCH(F282,MO_Common_ColumnHeader,0)),"N/A")</f>
        <v>917.73400000000004</v>
      </c>
      <c r="O282" s="144"/>
      <c r="P282" s="161">
        <f ca="1">IF(ISNUMBER(N282),N282-K282,"N/A")</f>
        <v>8.7340000000000373</v>
      </c>
      <c r="Q282" s="162">
        <f ca="1">IFERROR(IF(ISNUMBER(N282),(N282-K282)/ABS(K282),"N/A"),"N/A")</f>
        <v>9.60836083608365E-3</v>
      </c>
      <c r="R282" s="144"/>
      <c r="S282" s="157">
        <v>43215</v>
      </c>
      <c r="T282" s="250" t="s">
        <v>295</v>
      </c>
      <c r="U282" s="144"/>
    </row>
    <row r="283" spans="1:21" x14ac:dyDescent="0.35">
      <c r="A283" s="149">
        <v>2</v>
      </c>
      <c r="B283" s="154" t="str">
        <f>IF(INDEX(MO_SNA_IsHistoricalPeriod,,MATCH(F283,MO_Common_ColumnHeader,0)),"Historical","Forward")</f>
        <v>Historical</v>
      </c>
      <c r="C283" s="144"/>
      <c r="D283" s="160" t="str">
        <f ca="1">INDEX(INDIRECT(E283),0,COLUMN(MO_Common_Column_A))</f>
        <v>Capex</v>
      </c>
      <c r="E283" s="155" t="s">
        <v>296</v>
      </c>
      <c r="F283" s="154" t="s">
        <v>302</v>
      </c>
      <c r="G283" s="154"/>
      <c r="H283" s="144"/>
      <c r="I283" s="156">
        <v>-47</v>
      </c>
      <c r="J283" s="156">
        <v>-43</v>
      </c>
      <c r="K283" s="156">
        <f>AVERAGE(I283:J283)</f>
        <v>-45</v>
      </c>
      <c r="L283" s="144"/>
      <c r="M283" s="154" t="str">
        <f>IF(INDEX(MO_SNA_IsHistoricalPeriod,,MATCH(F283,MO_Common_ColumnHeader,0)),"Actual","Estimate")</f>
        <v>Actual</v>
      </c>
      <c r="N283" s="156">
        <f ca="1">IFERROR(INDEX(INDIRECT(E283),0,MATCH(F283,MO_Common_ColumnHeader,0)),"N/A")</f>
        <v>-43.203000000000003</v>
      </c>
      <c r="O283" s="144"/>
      <c r="P283" s="161">
        <f ca="1">IF(ISNUMBER(N283),N283-K283,"N/A")</f>
        <v>1.796999999999997</v>
      </c>
      <c r="Q283" s="162">
        <f ca="1">IFERROR(IF(ISNUMBER(N283),(N283-K283)/ABS(K283),"N/A"),"N/A")</f>
        <v>3.9933333333333265E-2</v>
      </c>
      <c r="R283" s="144"/>
      <c r="S283" s="157">
        <v>43215</v>
      </c>
      <c r="T283" s="250" t="s">
        <v>295</v>
      </c>
      <c r="U283" s="144"/>
    </row>
    <row r="284" spans="1:21" x14ac:dyDescent="0.35">
      <c r="A284" s="149">
        <v>1</v>
      </c>
      <c r="B284" s="154" t="str">
        <f>IF(INDEX(MO_SNA_IsHistoricalPeriod,,MATCH(F284,MO_Common_ColumnHeader,0)),"Historical","Forward")</f>
        <v>Historical</v>
      </c>
      <c r="C284" s="144"/>
      <c r="D284" s="160" t="s">
        <v>297</v>
      </c>
      <c r="E284" s="155"/>
      <c r="F284" s="154" t="s">
        <v>302</v>
      </c>
      <c r="G284" s="154"/>
      <c r="H284" s="144"/>
      <c r="I284" s="156">
        <v>46</v>
      </c>
      <c r="J284" s="156">
        <v>50</v>
      </c>
      <c r="K284" s="156">
        <f>AVERAGE(I284:J284)</f>
        <v>48</v>
      </c>
      <c r="L284" s="144"/>
      <c r="M284" s="154" t="str">
        <f>IF(INDEX(MO_SNA_IsHistoricalPeriod,,MATCH(F284,MO_Common_ColumnHeader,0)),"Actual","Estimate")</f>
        <v>Actual</v>
      </c>
      <c r="N284" s="156" t="str">
        <f ca="1">IFERROR(INDEX(INDIRECT(E284),0,MATCH(F284,MO_Common_ColumnHeader,0)),"N/A")</f>
        <v>N/A</v>
      </c>
      <c r="O284" s="144"/>
      <c r="P284" s="161" t="str">
        <f ca="1">IF(ISNUMBER(N284),N284-K284,"N/A")</f>
        <v>N/A</v>
      </c>
      <c r="Q284" s="162" t="str">
        <f ca="1">IFERROR(IF(ISNUMBER(N284),(N284-K284)/ABS(K284),"N/A"),"N/A")</f>
        <v>N/A</v>
      </c>
      <c r="R284" s="144"/>
      <c r="S284" s="157">
        <v>43215</v>
      </c>
      <c r="T284" s="250" t="s">
        <v>295</v>
      </c>
      <c r="U284" s="144"/>
    </row>
    <row r="285" spans="1:21" x14ac:dyDescent="0.35">
      <c r="A285" s="149">
        <v>0</v>
      </c>
      <c r="B285" s="144"/>
      <c r="C285" s="144"/>
      <c r="D285" s="144"/>
      <c r="E285" s="142"/>
      <c r="F285" s="144"/>
      <c r="G285" s="144"/>
      <c r="H285" s="144"/>
      <c r="I285" s="532"/>
      <c r="J285" s="532"/>
      <c r="K285" s="532"/>
      <c r="L285" s="144"/>
      <c r="M285" s="144"/>
      <c r="N285" s="532"/>
      <c r="O285" s="144"/>
      <c r="P285" s="148"/>
      <c r="Q285" s="335"/>
      <c r="R285" s="144"/>
      <c r="S285" s="145"/>
      <c r="T285" s="146"/>
      <c r="U285" s="144"/>
    </row>
  </sheetData>
  <autoFilter ref="A5:U5" xr:uid="{00000000-0009-0000-0000-000002000000}"/>
  <conditionalFormatting sqref="Q1:Q3 Q5 Q269 Q271 Q273 Q275 Q282:Q283 Q285:Q287">
    <cfRule type="colorScale" priority="298">
      <colorScale>
        <cfvo type="num" val="-0.1"/>
        <cfvo type="num" val="0"/>
        <cfvo type="num" val="0.1"/>
        <color rgb="FFF8696B"/>
        <color rgb="FFFFEB84"/>
        <color rgb="FF63BE7B"/>
      </colorScale>
    </cfRule>
  </conditionalFormatting>
  <conditionalFormatting sqref="Q6">
    <cfRule type="colorScale" priority="3">
      <colorScale>
        <cfvo type="num" val="-0.1"/>
        <cfvo type="num" val="0"/>
        <cfvo type="num" val="0.1"/>
        <color rgb="FFF8696B"/>
        <color rgb="FFFFEB84"/>
        <color rgb="FF63BE7B"/>
      </colorScale>
    </cfRule>
  </conditionalFormatting>
  <conditionalFormatting sqref="Q7">
    <cfRule type="colorScale" priority="2">
      <colorScale>
        <cfvo type="num" val="-0.1"/>
        <cfvo type="num" val="0"/>
        <cfvo type="num" val="0.1"/>
        <color rgb="FFF8696B"/>
        <color rgb="FFFFEB84"/>
        <color rgb="FF63BE7B"/>
      </colorScale>
    </cfRule>
  </conditionalFormatting>
  <conditionalFormatting sqref="Q8">
    <cfRule type="colorScale" priority="4">
      <colorScale>
        <cfvo type="num" val="-0.1"/>
        <cfvo type="num" val="0"/>
        <cfvo type="num" val="0.1"/>
        <color rgb="FFF8696B"/>
        <color rgb="FFFFEB84"/>
        <color rgb="FF63BE7B"/>
      </colorScale>
    </cfRule>
  </conditionalFormatting>
  <conditionalFormatting sqref="Q9">
    <cfRule type="colorScale" priority="9">
      <colorScale>
        <cfvo type="num" val="-0.1"/>
        <cfvo type="num" val="0"/>
        <cfvo type="num" val="0.1"/>
        <color rgb="FFF8696B"/>
        <color rgb="FFFFEB84"/>
        <color rgb="FF63BE7B"/>
      </colorScale>
    </cfRule>
  </conditionalFormatting>
  <conditionalFormatting sqref="Q10">
    <cfRule type="colorScale" priority="8">
      <colorScale>
        <cfvo type="num" val="-0.1"/>
        <cfvo type="num" val="0"/>
        <cfvo type="num" val="0.1"/>
        <color rgb="FFF8696B"/>
        <color rgb="FFFFEB84"/>
        <color rgb="FF63BE7B"/>
      </colorScale>
    </cfRule>
  </conditionalFormatting>
  <conditionalFormatting sqref="Q11">
    <cfRule type="colorScale" priority="7">
      <colorScale>
        <cfvo type="num" val="-0.1"/>
        <cfvo type="num" val="0"/>
        <cfvo type="num" val="0.1"/>
        <color rgb="FFF8696B"/>
        <color rgb="FFFFEB84"/>
        <color rgb="FF63BE7B"/>
      </colorScale>
    </cfRule>
  </conditionalFormatting>
  <conditionalFormatting sqref="Q12">
    <cfRule type="colorScale" priority="11">
      <colorScale>
        <cfvo type="num" val="-0.1"/>
        <cfvo type="num" val="0"/>
        <cfvo type="num" val="0.1"/>
        <color rgb="FFF8696B"/>
        <color rgb="FFFFEB84"/>
        <color rgb="FF63BE7B"/>
      </colorScale>
    </cfRule>
  </conditionalFormatting>
  <conditionalFormatting sqref="Q13">
    <cfRule type="colorScale" priority="12">
      <colorScale>
        <cfvo type="num" val="-0.1"/>
        <cfvo type="num" val="0"/>
        <cfvo type="num" val="0.1"/>
        <color rgb="FFF8696B"/>
        <color rgb="FFFFEB84"/>
        <color rgb="FF63BE7B"/>
      </colorScale>
    </cfRule>
  </conditionalFormatting>
  <conditionalFormatting sqref="Q14">
    <cfRule type="colorScale" priority="13">
      <colorScale>
        <cfvo type="num" val="-0.1"/>
        <cfvo type="num" val="0"/>
        <cfvo type="num" val="0.1"/>
        <color rgb="FFF8696B"/>
        <color rgb="FFFFEB84"/>
        <color rgb="FF63BE7B"/>
      </colorScale>
    </cfRule>
  </conditionalFormatting>
  <conditionalFormatting sqref="Q15">
    <cfRule type="colorScale" priority="14">
      <colorScale>
        <cfvo type="num" val="-0.1"/>
        <cfvo type="num" val="0"/>
        <cfvo type="num" val="0.1"/>
        <color rgb="FFF8696B"/>
        <color rgb="FFFFEB84"/>
        <color rgb="FF63BE7B"/>
      </colorScale>
    </cfRule>
  </conditionalFormatting>
  <conditionalFormatting sqref="Q16">
    <cfRule type="colorScale" priority="10">
      <colorScale>
        <cfvo type="num" val="-0.1"/>
        <cfvo type="num" val="0"/>
        <cfvo type="num" val="0.1"/>
        <color rgb="FFF8696B"/>
        <color rgb="FFFFEB84"/>
        <color rgb="FF63BE7B"/>
      </colorScale>
    </cfRule>
  </conditionalFormatting>
  <conditionalFormatting sqref="Q17">
    <cfRule type="colorScale" priority="6">
      <colorScale>
        <cfvo type="num" val="-0.1"/>
        <cfvo type="num" val="0"/>
        <cfvo type="num" val="0.1"/>
        <color rgb="FFF8696B"/>
        <color rgb="FFFFEB84"/>
        <color rgb="FF63BE7B"/>
      </colorScale>
    </cfRule>
  </conditionalFormatting>
  <conditionalFormatting sqref="Q18">
    <cfRule type="colorScale" priority="5">
      <colorScale>
        <cfvo type="num" val="-0.1"/>
        <cfvo type="num" val="0"/>
        <cfvo type="num" val="0.1"/>
        <color rgb="FFF8696B"/>
        <color rgb="FFFFEB84"/>
        <color rgb="FF63BE7B"/>
      </colorScale>
    </cfRule>
  </conditionalFormatting>
  <conditionalFormatting sqref="Q19">
    <cfRule type="colorScale" priority="16">
      <colorScale>
        <cfvo type="num" val="-0.1"/>
        <cfvo type="num" val="0"/>
        <cfvo type="num" val="0.1"/>
        <color rgb="FFF8696B"/>
        <color rgb="FFFFEB84"/>
        <color rgb="FF63BE7B"/>
      </colorScale>
    </cfRule>
  </conditionalFormatting>
  <conditionalFormatting sqref="Q20">
    <cfRule type="colorScale" priority="17">
      <colorScale>
        <cfvo type="num" val="-0.1"/>
        <cfvo type="num" val="0"/>
        <cfvo type="num" val="0.1"/>
        <color rgb="FFF8696B"/>
        <color rgb="FFFFEB84"/>
        <color rgb="FF63BE7B"/>
      </colorScale>
    </cfRule>
  </conditionalFormatting>
  <conditionalFormatting sqref="Q21">
    <cfRule type="colorScale" priority="18">
      <colorScale>
        <cfvo type="num" val="-0.1"/>
        <cfvo type="num" val="0"/>
        <cfvo type="num" val="0.1"/>
        <color rgb="FFF8696B"/>
        <color rgb="FFFFEB84"/>
        <color rgb="FF63BE7B"/>
      </colorScale>
    </cfRule>
  </conditionalFormatting>
  <conditionalFormatting sqref="Q22">
    <cfRule type="colorScale" priority="19">
      <colorScale>
        <cfvo type="num" val="-0.1"/>
        <cfvo type="num" val="0"/>
        <cfvo type="num" val="0.1"/>
        <color rgb="FFF8696B"/>
        <color rgb="FFFFEB84"/>
        <color rgb="FF63BE7B"/>
      </colorScale>
    </cfRule>
  </conditionalFormatting>
  <conditionalFormatting sqref="Q23">
    <cfRule type="colorScale" priority="15">
      <colorScale>
        <cfvo type="num" val="-0.1"/>
        <cfvo type="num" val="0"/>
        <cfvo type="num" val="0.1"/>
        <color rgb="FFF8696B"/>
        <color rgb="FFFFEB84"/>
        <color rgb="FF63BE7B"/>
      </colorScale>
    </cfRule>
  </conditionalFormatting>
  <conditionalFormatting sqref="Q24">
    <cfRule type="colorScale" priority="22">
      <colorScale>
        <cfvo type="num" val="-0.1"/>
        <cfvo type="num" val="0"/>
        <cfvo type="num" val="0.1"/>
        <color rgb="FFF8696B"/>
        <color rgb="FFFFEB84"/>
        <color rgb="FF63BE7B"/>
      </colorScale>
    </cfRule>
  </conditionalFormatting>
  <conditionalFormatting sqref="Q25">
    <cfRule type="colorScale" priority="20">
      <colorScale>
        <cfvo type="num" val="-0.1"/>
        <cfvo type="num" val="0"/>
        <cfvo type="num" val="0.1"/>
        <color rgb="FFF8696B"/>
        <color rgb="FFFFEB84"/>
        <color rgb="FF63BE7B"/>
      </colorScale>
    </cfRule>
  </conditionalFormatting>
  <conditionalFormatting sqref="Q26">
    <cfRule type="colorScale" priority="21">
      <colorScale>
        <cfvo type="num" val="-0.1"/>
        <cfvo type="num" val="0"/>
        <cfvo type="num" val="0.1"/>
        <color rgb="FFF8696B"/>
        <color rgb="FFFFEB84"/>
        <color rgb="FF63BE7B"/>
      </colorScale>
    </cfRule>
  </conditionalFormatting>
  <conditionalFormatting sqref="Q27">
    <cfRule type="colorScale" priority="23">
      <colorScale>
        <cfvo type="num" val="-0.1"/>
        <cfvo type="num" val="0"/>
        <cfvo type="num" val="0.1"/>
        <color rgb="FFF8696B"/>
        <color rgb="FFFFEB84"/>
        <color rgb="FF63BE7B"/>
      </colorScale>
    </cfRule>
  </conditionalFormatting>
  <conditionalFormatting sqref="Q28">
    <cfRule type="colorScale" priority="25">
      <colorScale>
        <cfvo type="num" val="-0.1"/>
        <cfvo type="num" val="0"/>
        <cfvo type="num" val="0.1"/>
        <color rgb="FFF8696B"/>
        <color rgb="FFFFEB84"/>
        <color rgb="FF63BE7B"/>
      </colorScale>
    </cfRule>
  </conditionalFormatting>
  <conditionalFormatting sqref="Q29">
    <cfRule type="colorScale" priority="24">
      <colorScale>
        <cfvo type="num" val="-0.1"/>
        <cfvo type="num" val="0"/>
        <cfvo type="num" val="0.1"/>
        <color rgb="FFF8696B"/>
        <color rgb="FFFFEB84"/>
        <color rgb="FF63BE7B"/>
      </colorScale>
    </cfRule>
  </conditionalFormatting>
  <conditionalFormatting sqref="Q30">
    <cfRule type="colorScale" priority="26">
      <colorScale>
        <cfvo type="num" val="-0.1"/>
        <cfvo type="num" val="0"/>
        <cfvo type="num" val="0.1"/>
        <color rgb="FFF8696B"/>
        <color rgb="FFFFEB84"/>
        <color rgb="FF63BE7B"/>
      </colorScale>
    </cfRule>
  </conditionalFormatting>
  <conditionalFormatting sqref="Q31">
    <cfRule type="colorScale" priority="29">
      <colorScale>
        <cfvo type="num" val="-0.1"/>
        <cfvo type="num" val="0"/>
        <cfvo type="num" val="0.1"/>
        <color rgb="FFF8696B"/>
        <color rgb="FFFFEB84"/>
        <color rgb="FF63BE7B"/>
      </colorScale>
    </cfRule>
  </conditionalFormatting>
  <conditionalFormatting sqref="Q32">
    <cfRule type="colorScale" priority="28">
      <colorScale>
        <cfvo type="num" val="-0.1"/>
        <cfvo type="num" val="0"/>
        <cfvo type="num" val="0.1"/>
        <color rgb="FFF8696B"/>
        <color rgb="FFFFEB84"/>
        <color rgb="FF63BE7B"/>
      </colorScale>
    </cfRule>
  </conditionalFormatting>
  <conditionalFormatting sqref="Q33">
    <cfRule type="colorScale" priority="27">
      <colorScale>
        <cfvo type="num" val="-0.1"/>
        <cfvo type="num" val="0"/>
        <cfvo type="num" val="0.1"/>
        <color rgb="FFF8696B"/>
        <color rgb="FFFFEB84"/>
        <color rgb="FF63BE7B"/>
      </colorScale>
    </cfRule>
  </conditionalFormatting>
  <conditionalFormatting sqref="Q34">
    <cfRule type="colorScale" priority="31">
      <colorScale>
        <cfvo type="num" val="-0.1"/>
        <cfvo type="num" val="0"/>
        <cfvo type="num" val="0.1"/>
        <color rgb="FFF8696B"/>
        <color rgb="FFFFEB84"/>
        <color rgb="FF63BE7B"/>
      </colorScale>
    </cfRule>
  </conditionalFormatting>
  <conditionalFormatting sqref="Q35">
    <cfRule type="colorScale" priority="32">
      <colorScale>
        <cfvo type="num" val="-0.1"/>
        <cfvo type="num" val="0"/>
        <cfvo type="num" val="0.1"/>
        <color rgb="FFF8696B"/>
        <color rgb="FFFFEB84"/>
        <color rgb="FF63BE7B"/>
      </colorScale>
    </cfRule>
  </conditionalFormatting>
  <conditionalFormatting sqref="Q36">
    <cfRule type="colorScale" priority="33">
      <colorScale>
        <cfvo type="num" val="-0.1"/>
        <cfvo type="num" val="0"/>
        <cfvo type="num" val="0.1"/>
        <color rgb="FFF8696B"/>
        <color rgb="FFFFEB84"/>
        <color rgb="FF63BE7B"/>
      </colorScale>
    </cfRule>
  </conditionalFormatting>
  <conditionalFormatting sqref="Q37">
    <cfRule type="colorScale" priority="34">
      <colorScale>
        <cfvo type="num" val="-0.1"/>
        <cfvo type="num" val="0"/>
        <cfvo type="num" val="0.1"/>
        <color rgb="FFF8696B"/>
        <color rgb="FFFFEB84"/>
        <color rgb="FF63BE7B"/>
      </colorScale>
    </cfRule>
  </conditionalFormatting>
  <conditionalFormatting sqref="Q38">
    <cfRule type="colorScale" priority="30">
      <colorScale>
        <cfvo type="num" val="-0.1"/>
        <cfvo type="num" val="0"/>
        <cfvo type="num" val="0.1"/>
        <color rgb="FFF8696B"/>
        <color rgb="FFFFEB84"/>
        <color rgb="FF63BE7B"/>
      </colorScale>
    </cfRule>
  </conditionalFormatting>
  <conditionalFormatting sqref="Q39">
    <cfRule type="colorScale" priority="36">
      <colorScale>
        <cfvo type="num" val="-0.1"/>
        <cfvo type="num" val="0"/>
        <cfvo type="num" val="0.1"/>
        <color rgb="FFF8696B"/>
        <color rgb="FFFFEB84"/>
        <color rgb="FF63BE7B"/>
      </colorScale>
    </cfRule>
  </conditionalFormatting>
  <conditionalFormatting sqref="Q40">
    <cfRule type="colorScale" priority="35">
      <colorScale>
        <cfvo type="num" val="-0.1"/>
        <cfvo type="num" val="0"/>
        <cfvo type="num" val="0.1"/>
        <color rgb="FFF8696B"/>
        <color rgb="FFFFEB84"/>
        <color rgb="FF63BE7B"/>
      </colorScale>
    </cfRule>
  </conditionalFormatting>
  <conditionalFormatting sqref="Q41">
    <cfRule type="colorScale" priority="39">
      <colorScale>
        <cfvo type="num" val="-0.1"/>
        <cfvo type="num" val="0"/>
        <cfvo type="num" val="0.1"/>
        <color rgb="FFF8696B"/>
        <color rgb="FFFFEB84"/>
        <color rgb="FF63BE7B"/>
      </colorScale>
    </cfRule>
  </conditionalFormatting>
  <conditionalFormatting sqref="Q42">
    <cfRule type="colorScale" priority="45">
      <colorScale>
        <cfvo type="num" val="-0.1"/>
        <cfvo type="num" val="0"/>
        <cfvo type="num" val="0.1"/>
        <color rgb="FFF8696B"/>
        <color rgb="FFFFEB84"/>
        <color rgb="FF63BE7B"/>
      </colorScale>
    </cfRule>
  </conditionalFormatting>
  <conditionalFormatting sqref="Q43">
    <cfRule type="colorScale" priority="44">
      <colorScale>
        <cfvo type="num" val="-0.1"/>
        <cfvo type="num" val="0"/>
        <cfvo type="num" val="0.1"/>
        <color rgb="FFF8696B"/>
        <color rgb="FFFFEB84"/>
        <color rgb="FF63BE7B"/>
      </colorScale>
    </cfRule>
  </conditionalFormatting>
  <conditionalFormatting sqref="Q44">
    <cfRule type="colorScale" priority="43">
      <colorScale>
        <cfvo type="num" val="-0.1"/>
        <cfvo type="num" val="0"/>
        <cfvo type="num" val="0.1"/>
        <color rgb="FFF8696B"/>
        <color rgb="FFFFEB84"/>
        <color rgb="FF63BE7B"/>
      </colorScale>
    </cfRule>
  </conditionalFormatting>
  <conditionalFormatting sqref="Q45">
    <cfRule type="colorScale" priority="47">
      <colorScale>
        <cfvo type="num" val="-0.1"/>
        <cfvo type="num" val="0"/>
        <cfvo type="num" val="0.1"/>
        <color rgb="FFF8696B"/>
        <color rgb="FFFFEB84"/>
        <color rgb="FF63BE7B"/>
      </colorScale>
    </cfRule>
  </conditionalFormatting>
  <conditionalFormatting sqref="Q46">
    <cfRule type="colorScale" priority="48">
      <colorScale>
        <cfvo type="num" val="-0.1"/>
        <cfvo type="num" val="0"/>
        <cfvo type="num" val="0.1"/>
        <color rgb="FFF8696B"/>
        <color rgb="FFFFEB84"/>
        <color rgb="FF63BE7B"/>
      </colorScale>
    </cfRule>
  </conditionalFormatting>
  <conditionalFormatting sqref="Q47">
    <cfRule type="colorScale" priority="49">
      <colorScale>
        <cfvo type="num" val="-0.1"/>
        <cfvo type="num" val="0"/>
        <cfvo type="num" val="0.1"/>
        <color rgb="FFF8696B"/>
        <color rgb="FFFFEB84"/>
        <color rgb="FF63BE7B"/>
      </colorScale>
    </cfRule>
  </conditionalFormatting>
  <conditionalFormatting sqref="Q48">
    <cfRule type="colorScale" priority="50">
      <colorScale>
        <cfvo type="num" val="-0.1"/>
        <cfvo type="num" val="0"/>
        <cfvo type="num" val="0.1"/>
        <color rgb="FFF8696B"/>
        <color rgb="FFFFEB84"/>
        <color rgb="FF63BE7B"/>
      </colorScale>
    </cfRule>
  </conditionalFormatting>
  <conditionalFormatting sqref="Q49">
    <cfRule type="colorScale" priority="46">
      <colorScale>
        <cfvo type="num" val="-0.1"/>
        <cfvo type="num" val="0"/>
        <cfvo type="num" val="0.1"/>
        <color rgb="FFF8696B"/>
        <color rgb="FFFFEB84"/>
        <color rgb="FF63BE7B"/>
      </colorScale>
    </cfRule>
  </conditionalFormatting>
  <conditionalFormatting sqref="Q50">
    <cfRule type="colorScale" priority="42">
      <colorScale>
        <cfvo type="num" val="-0.1"/>
        <cfvo type="num" val="0"/>
        <cfvo type="num" val="0.1"/>
        <color rgb="FFF8696B"/>
        <color rgb="FFFFEB84"/>
        <color rgb="FF63BE7B"/>
      </colorScale>
    </cfRule>
  </conditionalFormatting>
  <conditionalFormatting sqref="Q51">
    <cfRule type="colorScale" priority="41">
      <colorScale>
        <cfvo type="num" val="-0.1"/>
        <cfvo type="num" val="0"/>
        <cfvo type="num" val="0.1"/>
        <color rgb="FFF8696B"/>
        <color rgb="FFFFEB84"/>
        <color rgb="FF63BE7B"/>
      </colorScale>
    </cfRule>
  </conditionalFormatting>
  <conditionalFormatting sqref="Q52">
    <cfRule type="colorScale" priority="52">
      <colorScale>
        <cfvo type="num" val="-0.1"/>
        <cfvo type="num" val="0"/>
        <cfvo type="num" val="0.1"/>
        <color rgb="FFF8696B"/>
        <color rgb="FFFFEB84"/>
        <color rgb="FF63BE7B"/>
      </colorScale>
    </cfRule>
  </conditionalFormatting>
  <conditionalFormatting sqref="Q53">
    <cfRule type="colorScale" priority="53">
      <colorScale>
        <cfvo type="num" val="-0.1"/>
        <cfvo type="num" val="0"/>
        <cfvo type="num" val="0.1"/>
        <color rgb="FFF8696B"/>
        <color rgb="FFFFEB84"/>
        <color rgb="FF63BE7B"/>
      </colorScale>
    </cfRule>
  </conditionalFormatting>
  <conditionalFormatting sqref="Q54">
    <cfRule type="colorScale" priority="54">
      <colorScale>
        <cfvo type="num" val="-0.1"/>
        <cfvo type="num" val="0"/>
        <cfvo type="num" val="0.1"/>
        <color rgb="FFF8696B"/>
        <color rgb="FFFFEB84"/>
        <color rgb="FF63BE7B"/>
      </colorScale>
    </cfRule>
  </conditionalFormatting>
  <conditionalFormatting sqref="Q55">
    <cfRule type="colorScale" priority="55">
      <colorScale>
        <cfvo type="num" val="-0.1"/>
        <cfvo type="num" val="0"/>
        <cfvo type="num" val="0.1"/>
        <color rgb="FFF8696B"/>
        <color rgb="FFFFEB84"/>
        <color rgb="FF63BE7B"/>
      </colorScale>
    </cfRule>
  </conditionalFormatting>
  <conditionalFormatting sqref="Q56">
    <cfRule type="colorScale" priority="51">
      <colorScale>
        <cfvo type="num" val="-0.1"/>
        <cfvo type="num" val="0"/>
        <cfvo type="num" val="0.1"/>
        <color rgb="FFF8696B"/>
        <color rgb="FFFFEB84"/>
        <color rgb="FF63BE7B"/>
      </colorScale>
    </cfRule>
  </conditionalFormatting>
  <conditionalFormatting sqref="Q57">
    <cfRule type="colorScale" priority="57">
      <colorScale>
        <cfvo type="num" val="-0.1"/>
        <cfvo type="num" val="0"/>
        <cfvo type="num" val="0.1"/>
        <color rgb="FFF8696B"/>
        <color rgb="FFFFEB84"/>
        <color rgb="FF63BE7B"/>
      </colorScale>
    </cfRule>
  </conditionalFormatting>
  <conditionalFormatting sqref="Q58">
    <cfRule type="colorScale" priority="56">
      <colorScale>
        <cfvo type="num" val="-0.1"/>
        <cfvo type="num" val="0"/>
        <cfvo type="num" val="0.1"/>
        <color rgb="FFF8696B"/>
        <color rgb="FFFFEB84"/>
        <color rgb="FF63BE7B"/>
      </colorScale>
    </cfRule>
  </conditionalFormatting>
  <conditionalFormatting sqref="Q59">
    <cfRule type="colorScale" priority="68">
      <colorScale>
        <cfvo type="num" val="-0.1"/>
        <cfvo type="num" val="0"/>
        <cfvo type="num" val="0.1"/>
        <color rgb="FFF8696B"/>
        <color rgb="FFFFEB84"/>
        <color rgb="FF63BE7B"/>
      </colorScale>
    </cfRule>
  </conditionalFormatting>
  <conditionalFormatting sqref="Q60">
    <cfRule type="colorScale" priority="63">
      <colorScale>
        <cfvo type="num" val="-0.1"/>
        <cfvo type="num" val="0"/>
        <cfvo type="num" val="0.1"/>
        <color rgb="FFF8696B"/>
        <color rgb="FFFFEB84"/>
        <color rgb="FF63BE7B"/>
      </colorScale>
    </cfRule>
  </conditionalFormatting>
  <conditionalFormatting sqref="Q61">
    <cfRule type="colorScale" priority="69">
      <colorScale>
        <cfvo type="num" val="-0.1"/>
        <cfvo type="num" val="0"/>
        <cfvo type="num" val="0.1"/>
        <color rgb="FFF8696B"/>
        <color rgb="FFFFEB84"/>
        <color rgb="FF63BE7B"/>
      </colorScale>
    </cfRule>
  </conditionalFormatting>
  <conditionalFormatting sqref="Q62">
    <cfRule type="colorScale" priority="80">
      <colorScale>
        <cfvo type="num" val="-0.1"/>
        <cfvo type="num" val="0"/>
        <cfvo type="num" val="0.1"/>
        <color rgb="FFF8696B"/>
        <color rgb="FFFFEB84"/>
        <color rgb="FF63BE7B"/>
      </colorScale>
    </cfRule>
  </conditionalFormatting>
  <conditionalFormatting sqref="Q63">
    <cfRule type="colorScale" priority="79">
      <colorScale>
        <cfvo type="num" val="-0.1"/>
        <cfvo type="num" val="0"/>
        <cfvo type="num" val="0.1"/>
        <color rgb="FFF8696B"/>
        <color rgb="FFFFEB84"/>
        <color rgb="FF63BE7B"/>
      </colorScale>
    </cfRule>
  </conditionalFormatting>
  <conditionalFormatting sqref="Q64">
    <cfRule type="colorScale" priority="78">
      <colorScale>
        <cfvo type="num" val="-0.1"/>
        <cfvo type="num" val="0"/>
        <cfvo type="num" val="0.1"/>
        <color rgb="FFF8696B"/>
        <color rgb="FFFFEB84"/>
        <color rgb="FF63BE7B"/>
      </colorScale>
    </cfRule>
  </conditionalFormatting>
  <conditionalFormatting sqref="Q65">
    <cfRule type="colorScale" priority="82">
      <colorScale>
        <cfvo type="num" val="-0.1"/>
        <cfvo type="num" val="0"/>
        <cfvo type="num" val="0.1"/>
        <color rgb="FFF8696B"/>
        <color rgb="FFFFEB84"/>
        <color rgb="FF63BE7B"/>
      </colorScale>
    </cfRule>
  </conditionalFormatting>
  <conditionalFormatting sqref="Q66">
    <cfRule type="colorScale" priority="83">
      <colorScale>
        <cfvo type="num" val="-0.1"/>
        <cfvo type="num" val="0"/>
        <cfvo type="num" val="0.1"/>
        <color rgb="FFF8696B"/>
        <color rgb="FFFFEB84"/>
        <color rgb="FF63BE7B"/>
      </colorScale>
    </cfRule>
  </conditionalFormatting>
  <conditionalFormatting sqref="Q67">
    <cfRule type="colorScale" priority="84">
      <colorScale>
        <cfvo type="num" val="-0.1"/>
        <cfvo type="num" val="0"/>
        <cfvo type="num" val="0.1"/>
        <color rgb="FFF8696B"/>
        <color rgb="FFFFEB84"/>
        <color rgb="FF63BE7B"/>
      </colorScale>
    </cfRule>
  </conditionalFormatting>
  <conditionalFormatting sqref="Q68">
    <cfRule type="colorScale" priority="85">
      <colorScale>
        <cfvo type="num" val="-0.1"/>
        <cfvo type="num" val="0"/>
        <cfvo type="num" val="0.1"/>
        <color rgb="FFF8696B"/>
        <color rgb="FFFFEB84"/>
        <color rgb="FF63BE7B"/>
      </colorScale>
    </cfRule>
  </conditionalFormatting>
  <conditionalFormatting sqref="Q69">
    <cfRule type="colorScale" priority="81">
      <colorScale>
        <cfvo type="num" val="-0.1"/>
        <cfvo type="num" val="0"/>
        <cfvo type="num" val="0.1"/>
        <color rgb="FFF8696B"/>
        <color rgb="FFFFEB84"/>
        <color rgb="FF63BE7B"/>
      </colorScale>
    </cfRule>
  </conditionalFormatting>
  <conditionalFormatting sqref="Q70">
    <cfRule type="colorScale" priority="72">
      <colorScale>
        <cfvo type="num" val="-0.1"/>
        <cfvo type="num" val="0"/>
        <cfvo type="num" val="0.1"/>
        <color rgb="FFF8696B"/>
        <color rgb="FFFFEB84"/>
        <color rgb="FF63BE7B"/>
      </colorScale>
    </cfRule>
  </conditionalFormatting>
  <conditionalFormatting sqref="Q71">
    <cfRule type="colorScale" priority="71">
      <colorScale>
        <cfvo type="num" val="-0.1"/>
        <cfvo type="num" val="0"/>
        <cfvo type="num" val="0.1"/>
        <color rgb="FFF8696B"/>
        <color rgb="FFFFEB84"/>
        <color rgb="FF63BE7B"/>
      </colorScale>
    </cfRule>
  </conditionalFormatting>
  <conditionalFormatting sqref="Q72">
    <cfRule type="colorScale" priority="74">
      <colorScale>
        <cfvo type="num" val="-0.1"/>
        <cfvo type="num" val="0"/>
        <cfvo type="num" val="0.1"/>
        <color rgb="FFF8696B"/>
        <color rgb="FFFFEB84"/>
        <color rgb="FF63BE7B"/>
      </colorScale>
    </cfRule>
  </conditionalFormatting>
  <conditionalFormatting sqref="Q73">
    <cfRule type="colorScale" priority="75">
      <colorScale>
        <cfvo type="num" val="-0.1"/>
        <cfvo type="num" val="0"/>
        <cfvo type="num" val="0.1"/>
        <color rgb="FFF8696B"/>
        <color rgb="FFFFEB84"/>
        <color rgb="FF63BE7B"/>
      </colorScale>
    </cfRule>
  </conditionalFormatting>
  <conditionalFormatting sqref="Q74">
    <cfRule type="colorScale" priority="76">
      <colorScale>
        <cfvo type="num" val="-0.1"/>
        <cfvo type="num" val="0"/>
        <cfvo type="num" val="0.1"/>
        <color rgb="FFF8696B"/>
        <color rgb="FFFFEB84"/>
        <color rgb="FF63BE7B"/>
      </colorScale>
    </cfRule>
  </conditionalFormatting>
  <conditionalFormatting sqref="Q75">
    <cfRule type="colorScale" priority="77">
      <colorScale>
        <cfvo type="num" val="-0.1"/>
        <cfvo type="num" val="0"/>
        <cfvo type="num" val="0.1"/>
        <color rgb="FFF8696B"/>
        <color rgb="FFFFEB84"/>
        <color rgb="FF63BE7B"/>
      </colorScale>
    </cfRule>
  </conditionalFormatting>
  <conditionalFormatting sqref="Q76">
    <cfRule type="colorScale" priority="73">
      <colorScale>
        <cfvo type="num" val="-0.1"/>
        <cfvo type="num" val="0"/>
        <cfvo type="num" val="0.1"/>
        <color rgb="FFF8696B"/>
        <color rgb="FFFFEB84"/>
        <color rgb="FF63BE7B"/>
      </colorScale>
    </cfRule>
  </conditionalFormatting>
  <conditionalFormatting sqref="Q77">
    <cfRule type="colorScale" priority="87">
      <colorScale>
        <cfvo type="num" val="-0.1"/>
        <cfvo type="num" val="0"/>
        <cfvo type="num" val="0.1"/>
        <color rgb="FFF8696B"/>
        <color rgb="FFFFEB84"/>
        <color rgb="FF63BE7B"/>
      </colorScale>
    </cfRule>
  </conditionalFormatting>
  <conditionalFormatting sqref="Q78">
    <cfRule type="colorScale" priority="86">
      <colorScale>
        <cfvo type="num" val="-0.1"/>
        <cfvo type="num" val="0"/>
        <cfvo type="num" val="0.1"/>
        <color rgb="FFF8696B"/>
        <color rgb="FFFFEB84"/>
        <color rgb="FF63BE7B"/>
      </colorScale>
    </cfRule>
  </conditionalFormatting>
  <conditionalFormatting sqref="Q79">
    <cfRule type="colorScale" priority="98">
      <colorScale>
        <cfvo type="num" val="-0.1"/>
        <cfvo type="num" val="0"/>
        <cfvo type="num" val="0.1"/>
        <color rgb="FFF8696B"/>
        <color rgb="FFFFEB84"/>
        <color rgb="FF63BE7B"/>
      </colorScale>
    </cfRule>
  </conditionalFormatting>
  <conditionalFormatting sqref="Q80">
    <cfRule type="colorScale" priority="97">
      <colorScale>
        <cfvo type="num" val="-0.1"/>
        <cfvo type="num" val="0"/>
        <cfvo type="num" val="0.1"/>
        <color rgb="FFF8696B"/>
        <color rgb="FFFFEB84"/>
        <color rgb="FF63BE7B"/>
      </colorScale>
    </cfRule>
  </conditionalFormatting>
  <conditionalFormatting sqref="Q81">
    <cfRule type="colorScale" priority="96">
      <colorScale>
        <cfvo type="num" val="-0.1"/>
        <cfvo type="num" val="0"/>
        <cfvo type="num" val="0.1"/>
        <color rgb="FFF8696B"/>
        <color rgb="FFFFEB84"/>
        <color rgb="FF63BE7B"/>
      </colorScale>
    </cfRule>
  </conditionalFormatting>
  <conditionalFormatting sqref="Q82">
    <cfRule type="colorScale" priority="95">
      <colorScale>
        <cfvo type="num" val="-0.1"/>
        <cfvo type="num" val="0"/>
        <cfvo type="num" val="0.1"/>
        <color rgb="FFF8696B"/>
        <color rgb="FFFFEB84"/>
        <color rgb="FF63BE7B"/>
      </colorScale>
    </cfRule>
  </conditionalFormatting>
  <conditionalFormatting sqref="Q83">
    <cfRule type="colorScale" priority="94">
      <colorScale>
        <cfvo type="num" val="-0.1"/>
        <cfvo type="num" val="0"/>
        <cfvo type="num" val="0.1"/>
        <color rgb="FFF8696B"/>
        <color rgb="FFFFEB84"/>
        <color rgb="FF63BE7B"/>
      </colorScale>
    </cfRule>
  </conditionalFormatting>
  <conditionalFormatting sqref="Q84">
    <cfRule type="colorScale" priority="93">
      <colorScale>
        <cfvo type="num" val="-0.1"/>
        <cfvo type="num" val="0"/>
        <cfvo type="num" val="0.1"/>
        <color rgb="FFF8696B"/>
        <color rgb="FFFFEB84"/>
        <color rgb="FF63BE7B"/>
      </colorScale>
    </cfRule>
  </conditionalFormatting>
  <conditionalFormatting sqref="Q85">
    <cfRule type="colorScale" priority="92">
      <colorScale>
        <cfvo type="num" val="-0.1"/>
        <cfvo type="num" val="0"/>
        <cfvo type="num" val="0.1"/>
        <color rgb="FFF8696B"/>
        <color rgb="FFFFEB84"/>
        <color rgb="FF63BE7B"/>
      </colorScale>
    </cfRule>
  </conditionalFormatting>
  <conditionalFormatting sqref="Q86">
    <cfRule type="colorScale" priority="91">
      <colorScale>
        <cfvo type="num" val="-0.1"/>
        <cfvo type="num" val="0"/>
        <cfvo type="num" val="0.1"/>
        <color rgb="FFF8696B"/>
        <color rgb="FFFFEB84"/>
        <color rgb="FF63BE7B"/>
      </colorScale>
    </cfRule>
  </conditionalFormatting>
  <conditionalFormatting sqref="Q87">
    <cfRule type="colorScale" priority="90">
      <colorScale>
        <cfvo type="num" val="-0.1"/>
        <cfvo type="num" val="0"/>
        <cfvo type="num" val="0.1"/>
        <color rgb="FFF8696B"/>
        <color rgb="FFFFEB84"/>
        <color rgb="FF63BE7B"/>
      </colorScale>
    </cfRule>
  </conditionalFormatting>
  <conditionalFormatting sqref="Q88">
    <cfRule type="colorScale" priority="89">
      <colorScale>
        <cfvo type="num" val="-0.1"/>
        <cfvo type="num" val="0"/>
        <cfvo type="num" val="0.1"/>
        <color rgb="FFF8696B"/>
        <color rgb="FFFFEB84"/>
        <color rgb="FF63BE7B"/>
      </colorScale>
    </cfRule>
  </conditionalFormatting>
  <conditionalFormatting sqref="Q89">
    <cfRule type="colorScale" priority="88">
      <colorScale>
        <cfvo type="num" val="-0.1"/>
        <cfvo type="num" val="0"/>
        <cfvo type="num" val="0.1"/>
        <color rgb="FFF8696B"/>
        <color rgb="FFFFEB84"/>
        <color rgb="FF63BE7B"/>
      </colorScale>
    </cfRule>
  </conditionalFormatting>
  <conditionalFormatting sqref="Q90">
    <cfRule type="colorScale" priority="99">
      <colorScale>
        <cfvo type="num" val="-0.1"/>
        <cfvo type="num" val="0"/>
        <cfvo type="num" val="0.1"/>
        <color rgb="FFF8696B"/>
        <color rgb="FFFFEB84"/>
        <color rgb="FF63BE7B"/>
      </colorScale>
    </cfRule>
  </conditionalFormatting>
  <conditionalFormatting sqref="Q91">
    <cfRule type="colorScale" priority="104">
      <colorScale>
        <cfvo type="num" val="-0.1"/>
        <cfvo type="num" val="0"/>
        <cfvo type="num" val="0.1"/>
        <color rgb="FFF8696B"/>
        <color rgb="FFFFEB84"/>
        <color rgb="FF63BE7B"/>
      </colorScale>
    </cfRule>
  </conditionalFormatting>
  <conditionalFormatting sqref="Q92">
    <cfRule type="colorScale" priority="103">
      <colorScale>
        <cfvo type="num" val="-0.1"/>
        <cfvo type="num" val="0"/>
        <cfvo type="num" val="0.1"/>
        <color rgb="FFF8696B"/>
        <color rgb="FFFFEB84"/>
        <color rgb="FF63BE7B"/>
      </colorScale>
    </cfRule>
  </conditionalFormatting>
  <conditionalFormatting sqref="Q93">
    <cfRule type="colorScale" priority="115">
      <colorScale>
        <cfvo type="num" val="-0.1"/>
        <cfvo type="num" val="0"/>
        <cfvo type="num" val="0.1"/>
        <color rgb="FFF8696B"/>
        <color rgb="FFFFEB84"/>
        <color rgb="FF63BE7B"/>
      </colorScale>
    </cfRule>
  </conditionalFormatting>
  <conditionalFormatting sqref="Q94">
    <cfRule type="colorScale" priority="114">
      <colorScale>
        <cfvo type="num" val="-0.1"/>
        <cfvo type="num" val="0"/>
        <cfvo type="num" val="0.1"/>
        <color rgb="FFF8696B"/>
        <color rgb="FFFFEB84"/>
        <color rgb="FF63BE7B"/>
      </colorScale>
    </cfRule>
  </conditionalFormatting>
  <conditionalFormatting sqref="Q95">
    <cfRule type="colorScale" priority="113">
      <colorScale>
        <cfvo type="num" val="-0.1"/>
        <cfvo type="num" val="0"/>
        <cfvo type="num" val="0.1"/>
        <color rgb="FFF8696B"/>
        <color rgb="FFFFEB84"/>
        <color rgb="FF63BE7B"/>
      </colorScale>
    </cfRule>
  </conditionalFormatting>
  <conditionalFormatting sqref="Q96">
    <cfRule type="colorScale" priority="112">
      <colorScale>
        <cfvo type="num" val="-0.1"/>
        <cfvo type="num" val="0"/>
        <cfvo type="num" val="0.1"/>
        <color rgb="FFF8696B"/>
        <color rgb="FFFFEB84"/>
        <color rgb="FF63BE7B"/>
      </colorScale>
    </cfRule>
  </conditionalFormatting>
  <conditionalFormatting sqref="Q97">
    <cfRule type="colorScale" priority="111">
      <colorScale>
        <cfvo type="num" val="-0.1"/>
        <cfvo type="num" val="0"/>
        <cfvo type="num" val="0.1"/>
        <color rgb="FFF8696B"/>
        <color rgb="FFFFEB84"/>
        <color rgb="FF63BE7B"/>
      </colorScale>
    </cfRule>
  </conditionalFormatting>
  <conditionalFormatting sqref="Q98">
    <cfRule type="colorScale" priority="110">
      <colorScale>
        <cfvo type="num" val="-0.1"/>
        <cfvo type="num" val="0"/>
        <cfvo type="num" val="0.1"/>
        <color rgb="FFF8696B"/>
        <color rgb="FFFFEB84"/>
        <color rgb="FF63BE7B"/>
      </colorScale>
    </cfRule>
  </conditionalFormatting>
  <conditionalFormatting sqref="Q99">
    <cfRule type="colorScale" priority="109">
      <colorScale>
        <cfvo type="num" val="-0.1"/>
        <cfvo type="num" val="0"/>
        <cfvo type="num" val="0.1"/>
        <color rgb="FFF8696B"/>
        <color rgb="FFFFEB84"/>
        <color rgb="FF63BE7B"/>
      </colorScale>
    </cfRule>
  </conditionalFormatting>
  <conditionalFormatting sqref="Q100">
    <cfRule type="colorScale" priority="108">
      <colorScale>
        <cfvo type="num" val="-0.1"/>
        <cfvo type="num" val="0"/>
        <cfvo type="num" val="0.1"/>
        <color rgb="FFF8696B"/>
        <color rgb="FFFFEB84"/>
        <color rgb="FF63BE7B"/>
      </colorScale>
    </cfRule>
  </conditionalFormatting>
  <conditionalFormatting sqref="Q101">
    <cfRule type="colorScale" priority="107">
      <colorScale>
        <cfvo type="num" val="-0.1"/>
        <cfvo type="num" val="0"/>
        <cfvo type="num" val="0.1"/>
        <color rgb="FFF8696B"/>
        <color rgb="FFFFEB84"/>
        <color rgb="FF63BE7B"/>
      </colorScale>
    </cfRule>
  </conditionalFormatting>
  <conditionalFormatting sqref="Q102">
    <cfRule type="colorScale" priority="106">
      <colorScale>
        <cfvo type="num" val="-0.1"/>
        <cfvo type="num" val="0"/>
        <cfvo type="num" val="0.1"/>
        <color rgb="FFF8696B"/>
        <color rgb="FFFFEB84"/>
        <color rgb="FF63BE7B"/>
      </colorScale>
    </cfRule>
  </conditionalFormatting>
  <conditionalFormatting sqref="Q103">
    <cfRule type="colorScale" priority="105">
      <colorScale>
        <cfvo type="num" val="-0.1"/>
        <cfvo type="num" val="0"/>
        <cfvo type="num" val="0.1"/>
        <color rgb="FFF8696B"/>
        <color rgb="FFFFEB84"/>
        <color rgb="FF63BE7B"/>
      </colorScale>
    </cfRule>
  </conditionalFormatting>
  <conditionalFormatting sqref="Q104">
    <cfRule type="colorScale" priority="116">
      <colorScale>
        <cfvo type="num" val="-0.1"/>
        <cfvo type="num" val="0"/>
        <cfvo type="num" val="0.1"/>
        <color rgb="FFF8696B"/>
        <color rgb="FFFFEB84"/>
        <color rgb="FF63BE7B"/>
      </colorScale>
    </cfRule>
  </conditionalFormatting>
  <conditionalFormatting sqref="Q105">
    <cfRule type="colorScale" priority="102">
      <colorScale>
        <cfvo type="num" val="-0.1"/>
        <cfvo type="num" val="0"/>
        <cfvo type="num" val="0.1"/>
        <color rgb="FFF8696B"/>
        <color rgb="FFFFEB84"/>
        <color rgb="FF63BE7B"/>
      </colorScale>
    </cfRule>
  </conditionalFormatting>
  <conditionalFormatting sqref="Q106">
    <cfRule type="colorScale" priority="101">
      <colorScale>
        <cfvo type="num" val="-0.1"/>
        <cfvo type="num" val="0"/>
        <cfvo type="num" val="0.1"/>
        <color rgb="FFF8696B"/>
        <color rgb="FFFFEB84"/>
        <color rgb="FF63BE7B"/>
      </colorScale>
    </cfRule>
  </conditionalFormatting>
  <conditionalFormatting sqref="Q107">
    <cfRule type="colorScale" priority="100">
      <colorScale>
        <cfvo type="num" val="-0.1"/>
        <cfvo type="num" val="0"/>
        <cfvo type="num" val="0.1"/>
        <color rgb="FFF8696B"/>
        <color rgb="FFFFEB84"/>
        <color rgb="FF63BE7B"/>
      </colorScale>
    </cfRule>
  </conditionalFormatting>
  <conditionalFormatting sqref="Q108">
    <cfRule type="colorScale" priority="118">
      <colorScale>
        <cfvo type="num" val="-0.1"/>
        <cfvo type="num" val="0"/>
        <cfvo type="num" val="0.1"/>
        <color rgb="FFF8696B"/>
        <color rgb="FFFFEB84"/>
        <color rgb="FF63BE7B"/>
      </colorScale>
    </cfRule>
  </conditionalFormatting>
  <conditionalFormatting sqref="Q109">
    <cfRule type="colorScale" priority="119">
      <colorScale>
        <cfvo type="num" val="-0.1"/>
        <cfvo type="num" val="0"/>
        <cfvo type="num" val="0.1"/>
        <color rgb="FFF8696B"/>
        <color rgb="FFFFEB84"/>
        <color rgb="FF63BE7B"/>
      </colorScale>
    </cfRule>
  </conditionalFormatting>
  <conditionalFormatting sqref="Q110">
    <cfRule type="colorScale" priority="120">
      <colorScale>
        <cfvo type="num" val="-0.1"/>
        <cfvo type="num" val="0"/>
        <cfvo type="num" val="0.1"/>
        <color rgb="FFF8696B"/>
        <color rgb="FFFFEB84"/>
        <color rgb="FF63BE7B"/>
      </colorScale>
    </cfRule>
  </conditionalFormatting>
  <conditionalFormatting sqref="Q111">
    <cfRule type="colorScale" priority="121">
      <colorScale>
        <cfvo type="num" val="-0.1"/>
        <cfvo type="num" val="0"/>
        <cfvo type="num" val="0.1"/>
        <color rgb="FFF8696B"/>
        <color rgb="FFFFEB84"/>
        <color rgb="FF63BE7B"/>
      </colorScale>
    </cfRule>
  </conditionalFormatting>
  <conditionalFormatting sqref="Q112">
    <cfRule type="colorScale" priority="117">
      <colorScale>
        <cfvo type="num" val="-0.1"/>
        <cfvo type="num" val="0"/>
        <cfvo type="num" val="0.1"/>
        <color rgb="FFF8696B"/>
        <color rgb="FFFFEB84"/>
        <color rgb="FF63BE7B"/>
      </colorScale>
    </cfRule>
  </conditionalFormatting>
  <conditionalFormatting sqref="Q113">
    <cfRule type="colorScale" priority="125">
      <colorScale>
        <cfvo type="num" val="-0.1"/>
        <cfvo type="num" val="0"/>
        <cfvo type="num" val="0.1"/>
        <color rgb="FFF8696B"/>
        <color rgb="FFFFEB84"/>
        <color rgb="FF63BE7B"/>
      </colorScale>
    </cfRule>
  </conditionalFormatting>
  <conditionalFormatting sqref="Q114">
    <cfRule type="colorScale" priority="124">
      <colorScale>
        <cfvo type="num" val="-0.1"/>
        <cfvo type="num" val="0"/>
        <cfvo type="num" val="0.1"/>
        <color rgb="FFF8696B"/>
        <color rgb="FFFFEB84"/>
        <color rgb="FF63BE7B"/>
      </colorScale>
    </cfRule>
  </conditionalFormatting>
  <conditionalFormatting sqref="Q115">
    <cfRule type="colorScale" priority="136">
      <colorScale>
        <cfvo type="num" val="-0.1"/>
        <cfvo type="num" val="0"/>
        <cfvo type="num" val="0.1"/>
        <color rgb="FFF8696B"/>
        <color rgb="FFFFEB84"/>
        <color rgb="FF63BE7B"/>
      </colorScale>
    </cfRule>
  </conditionalFormatting>
  <conditionalFormatting sqref="Q116">
    <cfRule type="colorScale" priority="135">
      <colorScale>
        <cfvo type="num" val="-0.1"/>
        <cfvo type="num" val="0"/>
        <cfvo type="num" val="0.1"/>
        <color rgb="FFF8696B"/>
        <color rgb="FFFFEB84"/>
        <color rgb="FF63BE7B"/>
      </colorScale>
    </cfRule>
  </conditionalFormatting>
  <conditionalFormatting sqref="Q117">
    <cfRule type="colorScale" priority="134">
      <colorScale>
        <cfvo type="num" val="-0.1"/>
        <cfvo type="num" val="0"/>
        <cfvo type="num" val="0.1"/>
        <color rgb="FFF8696B"/>
        <color rgb="FFFFEB84"/>
        <color rgb="FF63BE7B"/>
      </colorScale>
    </cfRule>
  </conditionalFormatting>
  <conditionalFormatting sqref="Q118">
    <cfRule type="colorScale" priority="133">
      <colorScale>
        <cfvo type="num" val="-0.1"/>
        <cfvo type="num" val="0"/>
        <cfvo type="num" val="0.1"/>
        <color rgb="FFF8696B"/>
        <color rgb="FFFFEB84"/>
        <color rgb="FF63BE7B"/>
      </colorScale>
    </cfRule>
  </conditionalFormatting>
  <conditionalFormatting sqref="Q119">
    <cfRule type="colorScale" priority="132">
      <colorScale>
        <cfvo type="num" val="-0.1"/>
        <cfvo type="num" val="0"/>
        <cfvo type="num" val="0.1"/>
        <color rgb="FFF8696B"/>
        <color rgb="FFFFEB84"/>
        <color rgb="FF63BE7B"/>
      </colorScale>
    </cfRule>
  </conditionalFormatting>
  <conditionalFormatting sqref="Q120">
    <cfRule type="colorScale" priority="131">
      <colorScale>
        <cfvo type="num" val="-0.1"/>
        <cfvo type="num" val="0"/>
        <cfvo type="num" val="0.1"/>
        <color rgb="FFF8696B"/>
        <color rgb="FFFFEB84"/>
        <color rgb="FF63BE7B"/>
      </colorScale>
    </cfRule>
  </conditionalFormatting>
  <conditionalFormatting sqref="Q121">
    <cfRule type="colorScale" priority="130">
      <colorScale>
        <cfvo type="num" val="-0.1"/>
        <cfvo type="num" val="0"/>
        <cfvo type="num" val="0.1"/>
        <color rgb="FFF8696B"/>
        <color rgb="FFFFEB84"/>
        <color rgb="FF63BE7B"/>
      </colorScale>
    </cfRule>
  </conditionalFormatting>
  <conditionalFormatting sqref="Q122">
    <cfRule type="colorScale" priority="129">
      <colorScale>
        <cfvo type="num" val="-0.1"/>
        <cfvo type="num" val="0"/>
        <cfvo type="num" val="0.1"/>
        <color rgb="FFF8696B"/>
        <color rgb="FFFFEB84"/>
        <color rgb="FF63BE7B"/>
      </colorScale>
    </cfRule>
  </conditionalFormatting>
  <conditionalFormatting sqref="Q123">
    <cfRule type="colorScale" priority="128">
      <colorScale>
        <cfvo type="num" val="-0.1"/>
        <cfvo type="num" val="0"/>
        <cfvo type="num" val="0.1"/>
        <color rgb="FFF8696B"/>
        <color rgb="FFFFEB84"/>
        <color rgb="FF63BE7B"/>
      </colorScale>
    </cfRule>
  </conditionalFormatting>
  <conditionalFormatting sqref="Q124">
    <cfRule type="colorScale" priority="127">
      <colorScale>
        <cfvo type="num" val="-0.1"/>
        <cfvo type="num" val="0"/>
        <cfvo type="num" val="0.1"/>
        <color rgb="FFF8696B"/>
        <color rgb="FFFFEB84"/>
        <color rgb="FF63BE7B"/>
      </colorScale>
    </cfRule>
  </conditionalFormatting>
  <conditionalFormatting sqref="Q125">
    <cfRule type="colorScale" priority="126">
      <colorScale>
        <cfvo type="num" val="-0.1"/>
        <cfvo type="num" val="0"/>
        <cfvo type="num" val="0.1"/>
        <color rgb="FFF8696B"/>
        <color rgb="FFFFEB84"/>
        <color rgb="FF63BE7B"/>
      </colorScale>
    </cfRule>
  </conditionalFormatting>
  <conditionalFormatting sqref="Q126">
    <cfRule type="colorScale" priority="137">
      <colorScale>
        <cfvo type="num" val="-0.1"/>
        <cfvo type="num" val="0"/>
        <cfvo type="num" val="0.1"/>
        <color rgb="FFF8696B"/>
        <color rgb="FFFFEB84"/>
        <color rgb="FF63BE7B"/>
      </colorScale>
    </cfRule>
  </conditionalFormatting>
  <conditionalFormatting sqref="Q127:Q129">
    <cfRule type="colorScale" priority="140">
      <colorScale>
        <cfvo type="num" val="-0.1"/>
        <cfvo type="num" val="0"/>
        <cfvo type="num" val="0.1"/>
        <color rgb="FFF8696B"/>
        <color rgb="FFFFEB84"/>
        <color rgb="FF63BE7B"/>
      </colorScale>
    </cfRule>
  </conditionalFormatting>
  <conditionalFormatting sqref="Q128">
    <cfRule type="colorScale" priority="139">
      <colorScale>
        <cfvo type="num" val="-0.1"/>
        <cfvo type="num" val="0"/>
        <cfvo type="num" val="0.1"/>
        <color rgb="FFF8696B"/>
        <color rgb="FFFFEB84"/>
        <color rgb="FF63BE7B"/>
      </colorScale>
    </cfRule>
  </conditionalFormatting>
  <conditionalFormatting sqref="Q129">
    <cfRule type="colorScale" priority="138">
      <colorScale>
        <cfvo type="num" val="-0.1"/>
        <cfvo type="num" val="0"/>
        <cfvo type="num" val="0.1"/>
        <color rgb="FFF8696B"/>
        <color rgb="FFFFEB84"/>
        <color rgb="FF63BE7B"/>
      </colorScale>
    </cfRule>
  </conditionalFormatting>
  <conditionalFormatting sqref="Q130">
    <cfRule type="colorScale" priority="141">
      <colorScale>
        <cfvo type="num" val="-0.1"/>
        <cfvo type="num" val="0"/>
        <cfvo type="num" val="0.1"/>
        <color rgb="FFF8696B"/>
        <color rgb="FFFFEB84"/>
        <color rgb="FF63BE7B"/>
      </colorScale>
    </cfRule>
  </conditionalFormatting>
  <conditionalFormatting sqref="Q131">
    <cfRule type="colorScale" priority="142">
      <colorScale>
        <cfvo type="num" val="-0.1"/>
        <cfvo type="num" val="0"/>
        <cfvo type="num" val="0.1"/>
        <color rgb="FFF8696B"/>
        <color rgb="FFFFEB84"/>
        <color rgb="FF63BE7B"/>
      </colorScale>
    </cfRule>
  </conditionalFormatting>
  <conditionalFormatting sqref="Q132">
    <cfRule type="colorScale" priority="143">
      <colorScale>
        <cfvo type="num" val="-0.1"/>
        <cfvo type="num" val="0"/>
        <cfvo type="num" val="0.1"/>
        <color rgb="FFF8696B"/>
        <color rgb="FFFFEB84"/>
        <color rgb="FF63BE7B"/>
      </colorScale>
    </cfRule>
  </conditionalFormatting>
  <conditionalFormatting sqref="Q133">
    <cfRule type="colorScale" priority="145">
      <colorScale>
        <cfvo type="num" val="-0.1"/>
        <cfvo type="num" val="0"/>
        <cfvo type="num" val="0.1"/>
        <color rgb="FFF8696B"/>
        <color rgb="FFFFEB84"/>
        <color rgb="FF63BE7B"/>
      </colorScale>
    </cfRule>
  </conditionalFormatting>
  <conditionalFormatting sqref="Q134">
    <cfRule type="colorScale" priority="123">
      <colorScale>
        <cfvo type="num" val="-0.1"/>
        <cfvo type="num" val="0"/>
        <cfvo type="num" val="0.1"/>
        <color rgb="FFF8696B"/>
        <color rgb="FFFFEB84"/>
        <color rgb="FF63BE7B"/>
      </colorScale>
    </cfRule>
  </conditionalFormatting>
  <conditionalFormatting sqref="Q135">
    <cfRule type="colorScale" priority="122">
      <colorScale>
        <cfvo type="num" val="-0.1"/>
        <cfvo type="num" val="0"/>
        <cfvo type="num" val="0.1"/>
        <color rgb="FFF8696B"/>
        <color rgb="FFFFEB84"/>
        <color rgb="FF63BE7B"/>
      </colorScale>
    </cfRule>
  </conditionalFormatting>
  <conditionalFormatting sqref="Q136">
    <cfRule type="colorScale" priority="144">
      <colorScale>
        <cfvo type="num" val="-0.1"/>
        <cfvo type="num" val="0"/>
        <cfvo type="num" val="0.1"/>
        <color rgb="FFF8696B"/>
        <color rgb="FFFFEB84"/>
        <color rgb="FF63BE7B"/>
      </colorScale>
    </cfRule>
  </conditionalFormatting>
  <conditionalFormatting sqref="Q137:Q138">
    <cfRule type="colorScale" priority="147">
      <colorScale>
        <cfvo type="num" val="-0.1"/>
        <cfvo type="num" val="0"/>
        <cfvo type="num" val="0.1"/>
        <color rgb="FFF8696B"/>
        <color rgb="FFFFEB84"/>
        <color rgb="FF63BE7B"/>
      </colorScale>
    </cfRule>
  </conditionalFormatting>
  <conditionalFormatting sqref="Q138">
    <cfRule type="colorScale" priority="146">
      <colorScale>
        <cfvo type="num" val="-0.1"/>
        <cfvo type="num" val="0"/>
        <cfvo type="num" val="0.1"/>
        <color rgb="FFF8696B"/>
        <color rgb="FFFFEB84"/>
        <color rgb="FF63BE7B"/>
      </colorScale>
    </cfRule>
  </conditionalFormatting>
  <conditionalFormatting sqref="Q139">
    <cfRule type="colorScale" priority="148">
      <colorScale>
        <cfvo type="num" val="-0.1"/>
        <cfvo type="num" val="0"/>
        <cfvo type="num" val="0.1"/>
        <color rgb="FFF8696B"/>
        <color rgb="FFFFEB84"/>
        <color rgb="FF63BE7B"/>
      </colorScale>
    </cfRule>
  </conditionalFormatting>
  <conditionalFormatting sqref="Q140">
    <cfRule type="colorScale" priority="149">
      <colorScale>
        <cfvo type="num" val="-0.1"/>
        <cfvo type="num" val="0"/>
        <cfvo type="num" val="0.1"/>
        <color rgb="FFF8696B"/>
        <color rgb="FFFFEB84"/>
        <color rgb="FF63BE7B"/>
      </colorScale>
    </cfRule>
  </conditionalFormatting>
  <conditionalFormatting sqref="Q141">
    <cfRule type="colorScale" priority="150">
      <colorScale>
        <cfvo type="num" val="-0.1"/>
        <cfvo type="num" val="0"/>
        <cfvo type="num" val="0.1"/>
        <color rgb="FFF8696B"/>
        <color rgb="FFFFEB84"/>
        <color rgb="FF63BE7B"/>
      </colorScale>
    </cfRule>
  </conditionalFormatting>
  <conditionalFormatting sqref="Q142">
    <cfRule type="colorScale" priority="152">
      <colorScale>
        <cfvo type="num" val="-0.1"/>
        <cfvo type="num" val="0"/>
        <cfvo type="num" val="0.1"/>
        <color rgb="FFF8696B"/>
        <color rgb="FFFFEB84"/>
        <color rgb="FF63BE7B"/>
      </colorScale>
    </cfRule>
  </conditionalFormatting>
  <conditionalFormatting sqref="Q143">
    <cfRule type="colorScale" priority="151">
      <colorScale>
        <cfvo type="num" val="-0.1"/>
        <cfvo type="num" val="0"/>
        <cfvo type="num" val="0.1"/>
        <color rgb="FFF8696B"/>
        <color rgb="FFFFEB84"/>
        <color rgb="FF63BE7B"/>
      </colorScale>
    </cfRule>
  </conditionalFormatting>
  <conditionalFormatting sqref="Q144">
    <cfRule type="colorScale" priority="163">
      <colorScale>
        <cfvo type="num" val="-0.1"/>
        <cfvo type="num" val="0"/>
        <cfvo type="num" val="0.1"/>
        <color rgb="FFF8696B"/>
        <color rgb="FFFFEB84"/>
        <color rgb="FF63BE7B"/>
      </colorScale>
    </cfRule>
  </conditionalFormatting>
  <conditionalFormatting sqref="Q145">
    <cfRule type="colorScale" priority="162">
      <colorScale>
        <cfvo type="num" val="-0.1"/>
        <cfvo type="num" val="0"/>
        <cfvo type="num" val="0.1"/>
        <color rgb="FFF8696B"/>
        <color rgb="FFFFEB84"/>
        <color rgb="FF63BE7B"/>
      </colorScale>
    </cfRule>
  </conditionalFormatting>
  <conditionalFormatting sqref="Q146">
    <cfRule type="colorScale" priority="176">
      <colorScale>
        <cfvo type="num" val="-0.1"/>
        <cfvo type="num" val="0"/>
        <cfvo type="num" val="0.1"/>
        <color rgb="FFF8696B"/>
        <color rgb="FFFFEB84"/>
        <color rgb="FF63BE7B"/>
      </colorScale>
    </cfRule>
  </conditionalFormatting>
  <conditionalFormatting sqref="Q147">
    <cfRule type="colorScale" priority="175">
      <colorScale>
        <cfvo type="num" val="-0.1"/>
        <cfvo type="num" val="0"/>
        <cfvo type="num" val="0.1"/>
        <color rgb="FFF8696B"/>
        <color rgb="FFFFEB84"/>
        <color rgb="FF63BE7B"/>
      </colorScale>
    </cfRule>
  </conditionalFormatting>
  <conditionalFormatting sqref="Q148">
    <cfRule type="colorScale" priority="174">
      <colorScale>
        <cfvo type="num" val="-0.1"/>
        <cfvo type="num" val="0"/>
        <cfvo type="num" val="0.1"/>
        <color rgb="FFF8696B"/>
        <color rgb="FFFFEB84"/>
        <color rgb="FF63BE7B"/>
      </colorScale>
    </cfRule>
  </conditionalFormatting>
  <conditionalFormatting sqref="Q149">
    <cfRule type="colorScale" priority="173">
      <colorScale>
        <cfvo type="num" val="-0.1"/>
        <cfvo type="num" val="0"/>
        <cfvo type="num" val="0.1"/>
        <color rgb="FFF8696B"/>
        <color rgb="FFFFEB84"/>
        <color rgb="FF63BE7B"/>
      </colorScale>
    </cfRule>
  </conditionalFormatting>
  <conditionalFormatting sqref="Q150">
    <cfRule type="colorScale" priority="172">
      <colorScale>
        <cfvo type="num" val="-0.1"/>
        <cfvo type="num" val="0"/>
        <cfvo type="num" val="0.1"/>
        <color rgb="FFF8696B"/>
        <color rgb="FFFFEB84"/>
        <color rgb="FF63BE7B"/>
      </colorScale>
    </cfRule>
  </conditionalFormatting>
  <conditionalFormatting sqref="Q151">
    <cfRule type="colorScale" priority="170">
      <colorScale>
        <cfvo type="num" val="-0.1"/>
        <cfvo type="num" val="0"/>
        <cfvo type="num" val="0.1"/>
        <color rgb="FFF8696B"/>
        <color rgb="FFFFEB84"/>
        <color rgb="FF63BE7B"/>
      </colorScale>
    </cfRule>
  </conditionalFormatting>
  <conditionalFormatting sqref="Q152">
    <cfRule type="colorScale" priority="169">
      <colorScale>
        <cfvo type="num" val="-0.1"/>
        <cfvo type="num" val="0"/>
        <cfvo type="num" val="0.1"/>
        <color rgb="FFF8696B"/>
        <color rgb="FFFFEB84"/>
        <color rgb="FF63BE7B"/>
      </colorScale>
    </cfRule>
  </conditionalFormatting>
  <conditionalFormatting sqref="Q153">
    <cfRule type="colorScale" priority="168">
      <colorScale>
        <cfvo type="num" val="-0.1"/>
        <cfvo type="num" val="0"/>
        <cfvo type="num" val="0.1"/>
        <color rgb="FFF8696B"/>
        <color rgb="FFFFEB84"/>
        <color rgb="FF63BE7B"/>
      </colorScale>
    </cfRule>
  </conditionalFormatting>
  <conditionalFormatting sqref="Q154">
    <cfRule type="colorScale" priority="167">
      <colorScale>
        <cfvo type="num" val="-0.1"/>
        <cfvo type="num" val="0"/>
        <cfvo type="num" val="0.1"/>
        <color rgb="FFF8696B"/>
        <color rgb="FFFFEB84"/>
        <color rgb="FF63BE7B"/>
      </colorScale>
    </cfRule>
  </conditionalFormatting>
  <conditionalFormatting sqref="Q155">
    <cfRule type="colorScale" priority="166">
      <colorScale>
        <cfvo type="num" val="-0.1"/>
        <cfvo type="num" val="0"/>
        <cfvo type="num" val="0.1"/>
        <color rgb="FFF8696B"/>
        <color rgb="FFFFEB84"/>
        <color rgb="FF63BE7B"/>
      </colorScale>
    </cfRule>
  </conditionalFormatting>
  <conditionalFormatting sqref="Q156">
    <cfRule type="colorScale" priority="165">
      <colorScale>
        <cfvo type="num" val="-0.1"/>
        <cfvo type="num" val="0"/>
        <cfvo type="num" val="0.1"/>
        <color rgb="FFF8696B"/>
        <color rgb="FFFFEB84"/>
        <color rgb="FF63BE7B"/>
      </colorScale>
    </cfRule>
  </conditionalFormatting>
  <conditionalFormatting sqref="Q157">
    <cfRule type="colorScale" priority="177">
      <colorScale>
        <cfvo type="num" val="-0.1"/>
        <cfvo type="num" val="0"/>
        <cfvo type="num" val="0.1"/>
        <color rgb="FFF8696B"/>
        <color rgb="FFFFEB84"/>
        <color rgb="FF63BE7B"/>
      </colorScale>
    </cfRule>
  </conditionalFormatting>
  <conditionalFormatting sqref="Q158">
    <cfRule type="colorScale" priority="179">
      <colorScale>
        <cfvo type="num" val="-0.1"/>
        <cfvo type="num" val="0"/>
        <cfvo type="num" val="0.1"/>
        <color rgb="FFF8696B"/>
        <color rgb="FFFFEB84"/>
        <color rgb="FF63BE7B"/>
      </colorScale>
    </cfRule>
  </conditionalFormatting>
  <conditionalFormatting sqref="Q159">
    <cfRule type="colorScale" priority="153">
      <colorScale>
        <cfvo type="num" val="-0.1"/>
        <cfvo type="num" val="0"/>
        <cfvo type="num" val="0.1"/>
        <color rgb="FFF8696B"/>
        <color rgb="FFFFEB84"/>
        <color rgb="FF63BE7B"/>
      </colorScale>
    </cfRule>
  </conditionalFormatting>
  <conditionalFormatting sqref="Q160">
    <cfRule type="colorScale" priority="154">
      <colorScale>
        <cfvo type="num" val="-0.1"/>
        <cfvo type="num" val="0"/>
        <cfvo type="num" val="0.1"/>
        <color rgb="FFF8696B"/>
        <color rgb="FFFFEB84"/>
        <color rgb="FF63BE7B"/>
      </colorScale>
    </cfRule>
  </conditionalFormatting>
  <conditionalFormatting sqref="Q161">
    <cfRule type="colorScale" priority="155">
      <colorScale>
        <cfvo type="num" val="-0.1"/>
        <cfvo type="num" val="0"/>
        <cfvo type="num" val="0.1"/>
        <color rgb="FFF8696B"/>
        <color rgb="FFFFEB84"/>
        <color rgb="FF63BE7B"/>
      </colorScale>
    </cfRule>
  </conditionalFormatting>
  <conditionalFormatting sqref="Q162">
    <cfRule type="colorScale" priority="178">
      <colorScale>
        <cfvo type="num" val="-0.1"/>
        <cfvo type="num" val="0"/>
        <cfvo type="num" val="0.1"/>
        <color rgb="FFF8696B"/>
        <color rgb="FFFFEB84"/>
        <color rgb="FF63BE7B"/>
      </colorScale>
    </cfRule>
  </conditionalFormatting>
  <conditionalFormatting sqref="Q163">
    <cfRule type="colorScale" priority="171">
      <colorScale>
        <cfvo type="num" val="-0.1"/>
        <cfvo type="num" val="0"/>
        <cfvo type="num" val="0.1"/>
        <color rgb="FFF8696B"/>
        <color rgb="FFFFEB84"/>
        <color rgb="FF63BE7B"/>
      </colorScale>
    </cfRule>
  </conditionalFormatting>
  <conditionalFormatting sqref="Q164">
    <cfRule type="colorScale" priority="164">
      <colorScale>
        <cfvo type="num" val="-0.1"/>
        <cfvo type="num" val="0"/>
        <cfvo type="num" val="0.1"/>
        <color rgb="FFF8696B"/>
        <color rgb="FFFFEB84"/>
        <color rgb="FF63BE7B"/>
      </colorScale>
    </cfRule>
  </conditionalFormatting>
  <conditionalFormatting sqref="Q165">
    <cfRule type="colorScale" priority="180">
      <colorScale>
        <cfvo type="num" val="-0.1"/>
        <cfvo type="num" val="0"/>
        <cfvo type="num" val="0.1"/>
        <color rgb="FFF8696B"/>
        <color rgb="FFFFEB84"/>
        <color rgb="FF63BE7B"/>
      </colorScale>
    </cfRule>
  </conditionalFormatting>
  <conditionalFormatting sqref="Q166">
    <cfRule type="colorScale" priority="157">
      <colorScale>
        <cfvo type="num" val="-0.1"/>
        <cfvo type="num" val="0"/>
        <cfvo type="num" val="0.1"/>
        <color rgb="FFF8696B"/>
        <color rgb="FFFFEB84"/>
        <color rgb="FF63BE7B"/>
      </colorScale>
    </cfRule>
  </conditionalFormatting>
  <conditionalFormatting sqref="Q167">
    <cfRule type="colorScale" priority="158">
      <colorScale>
        <cfvo type="num" val="-0.1"/>
        <cfvo type="num" val="0"/>
        <cfvo type="num" val="0.1"/>
        <color rgb="FFF8696B"/>
        <color rgb="FFFFEB84"/>
        <color rgb="FF63BE7B"/>
      </colorScale>
    </cfRule>
  </conditionalFormatting>
  <conditionalFormatting sqref="Q168">
    <cfRule type="colorScale" priority="159">
      <colorScale>
        <cfvo type="num" val="-0.1"/>
        <cfvo type="num" val="0"/>
        <cfvo type="num" val="0.1"/>
        <color rgb="FFF8696B"/>
        <color rgb="FFFFEB84"/>
        <color rgb="FF63BE7B"/>
      </colorScale>
    </cfRule>
  </conditionalFormatting>
  <conditionalFormatting sqref="Q169">
    <cfRule type="colorScale" priority="161">
      <colorScale>
        <cfvo type="num" val="-0.1"/>
        <cfvo type="num" val="0"/>
        <cfvo type="num" val="0.1"/>
        <color rgb="FFF8696B"/>
        <color rgb="FFFFEB84"/>
        <color rgb="FF63BE7B"/>
      </colorScale>
    </cfRule>
  </conditionalFormatting>
  <conditionalFormatting sqref="Q170">
    <cfRule type="colorScale" priority="160">
      <colorScale>
        <cfvo type="num" val="-0.1"/>
        <cfvo type="num" val="0"/>
        <cfvo type="num" val="0.1"/>
        <color rgb="FFF8696B"/>
        <color rgb="FFFFEB84"/>
        <color rgb="FF63BE7B"/>
      </colorScale>
    </cfRule>
  </conditionalFormatting>
  <conditionalFormatting sqref="Q171">
    <cfRule type="colorScale" priority="197">
      <colorScale>
        <cfvo type="num" val="-0.1"/>
        <cfvo type="num" val="0"/>
        <cfvo type="num" val="0.1"/>
        <color rgb="FFF8696B"/>
        <color rgb="FFFFEB84"/>
        <color rgb="FF63BE7B"/>
      </colorScale>
    </cfRule>
  </conditionalFormatting>
  <conditionalFormatting sqref="Q172">
    <cfRule type="colorScale" priority="196">
      <colorScale>
        <cfvo type="num" val="-0.1"/>
        <cfvo type="num" val="0"/>
        <cfvo type="num" val="0.1"/>
        <color rgb="FFF8696B"/>
        <color rgb="FFFFEB84"/>
        <color rgb="FF63BE7B"/>
      </colorScale>
    </cfRule>
  </conditionalFormatting>
  <conditionalFormatting sqref="Q173">
    <cfRule type="colorScale" priority="195">
      <colorScale>
        <cfvo type="num" val="-0.1"/>
        <cfvo type="num" val="0"/>
        <cfvo type="num" val="0.1"/>
        <color rgb="FFF8696B"/>
        <color rgb="FFFFEB84"/>
        <color rgb="FF63BE7B"/>
      </colorScale>
    </cfRule>
  </conditionalFormatting>
  <conditionalFormatting sqref="Q174">
    <cfRule type="colorScale" priority="190">
      <colorScale>
        <cfvo type="num" val="-0.1"/>
        <cfvo type="num" val="0"/>
        <cfvo type="num" val="0.1"/>
        <color rgb="FFF8696B"/>
        <color rgb="FFFFEB84"/>
        <color rgb="FF63BE7B"/>
      </colorScale>
    </cfRule>
  </conditionalFormatting>
  <conditionalFormatting sqref="Q175">
    <cfRule type="colorScale" priority="191">
      <colorScale>
        <cfvo type="num" val="-0.1"/>
        <cfvo type="num" val="0"/>
        <cfvo type="num" val="0.1"/>
        <color rgb="FFF8696B"/>
        <color rgb="FFFFEB84"/>
        <color rgb="FF63BE7B"/>
      </colorScale>
    </cfRule>
  </conditionalFormatting>
  <conditionalFormatting sqref="Q176">
    <cfRule type="colorScale" priority="192">
      <colorScale>
        <cfvo type="num" val="-0.1"/>
        <cfvo type="num" val="0"/>
        <cfvo type="num" val="0.1"/>
        <color rgb="FFF8696B"/>
        <color rgb="FFFFEB84"/>
        <color rgb="FF63BE7B"/>
      </colorScale>
    </cfRule>
  </conditionalFormatting>
  <conditionalFormatting sqref="Q177">
    <cfRule type="colorScale" priority="194">
      <colorScale>
        <cfvo type="num" val="-0.1"/>
        <cfvo type="num" val="0"/>
        <cfvo type="num" val="0.1"/>
        <color rgb="FFF8696B"/>
        <color rgb="FFFFEB84"/>
        <color rgb="FF63BE7B"/>
      </colorScale>
    </cfRule>
  </conditionalFormatting>
  <conditionalFormatting sqref="Q178">
    <cfRule type="colorScale" priority="193">
      <colorScale>
        <cfvo type="num" val="-0.1"/>
        <cfvo type="num" val="0"/>
        <cfvo type="num" val="0.1"/>
        <color rgb="FFF8696B"/>
        <color rgb="FFFFEB84"/>
        <color rgb="FF63BE7B"/>
      </colorScale>
    </cfRule>
  </conditionalFormatting>
  <conditionalFormatting sqref="Q179">
    <cfRule type="colorScale" priority="189">
      <colorScale>
        <cfvo type="num" val="-0.1"/>
        <cfvo type="num" val="0"/>
        <cfvo type="num" val="0.1"/>
        <color rgb="FFF8696B"/>
        <color rgb="FFFFEB84"/>
        <color rgb="FF63BE7B"/>
      </colorScale>
    </cfRule>
  </conditionalFormatting>
  <conditionalFormatting sqref="Q180">
    <cfRule type="colorScale" priority="188">
      <colorScale>
        <cfvo type="num" val="-0.1"/>
        <cfvo type="num" val="0"/>
        <cfvo type="num" val="0.1"/>
        <color rgb="FFF8696B"/>
        <color rgb="FFFFEB84"/>
        <color rgb="FF63BE7B"/>
      </colorScale>
    </cfRule>
  </conditionalFormatting>
  <conditionalFormatting sqref="Q181">
    <cfRule type="colorScale" priority="183">
      <colorScale>
        <cfvo type="num" val="-0.1"/>
        <cfvo type="num" val="0"/>
        <cfvo type="num" val="0.1"/>
        <color rgb="FFF8696B"/>
        <color rgb="FFFFEB84"/>
        <color rgb="FF63BE7B"/>
      </colorScale>
    </cfRule>
  </conditionalFormatting>
  <conditionalFormatting sqref="Q182">
    <cfRule type="colorScale" priority="184">
      <colorScale>
        <cfvo type="num" val="-0.1"/>
        <cfvo type="num" val="0"/>
        <cfvo type="num" val="0.1"/>
        <color rgb="FFF8696B"/>
        <color rgb="FFFFEB84"/>
        <color rgb="FF63BE7B"/>
      </colorScale>
    </cfRule>
  </conditionalFormatting>
  <conditionalFormatting sqref="Q183">
    <cfRule type="colorScale" priority="185">
      <colorScale>
        <cfvo type="num" val="-0.1"/>
        <cfvo type="num" val="0"/>
        <cfvo type="num" val="0.1"/>
        <color rgb="FFF8696B"/>
        <color rgb="FFFFEB84"/>
        <color rgb="FF63BE7B"/>
      </colorScale>
    </cfRule>
  </conditionalFormatting>
  <conditionalFormatting sqref="Q184">
    <cfRule type="colorScale" priority="187">
      <colorScale>
        <cfvo type="num" val="-0.1"/>
        <cfvo type="num" val="0"/>
        <cfvo type="num" val="0.1"/>
        <color rgb="FFF8696B"/>
        <color rgb="FFFFEB84"/>
        <color rgb="FF63BE7B"/>
      </colorScale>
    </cfRule>
  </conditionalFormatting>
  <conditionalFormatting sqref="Q185">
    <cfRule type="colorScale" priority="186">
      <colorScale>
        <cfvo type="num" val="-0.1"/>
        <cfvo type="num" val="0"/>
        <cfvo type="num" val="0.1"/>
        <color rgb="FFF8696B"/>
        <color rgb="FFFFEB84"/>
        <color rgb="FF63BE7B"/>
      </colorScale>
    </cfRule>
  </conditionalFormatting>
  <conditionalFormatting sqref="Q186">
    <cfRule type="colorScale" priority="205">
      <colorScale>
        <cfvo type="num" val="-0.1"/>
        <cfvo type="num" val="0"/>
        <cfvo type="num" val="0.1"/>
        <color rgb="FFF8696B"/>
        <color rgb="FFFFEB84"/>
        <color rgb="FF63BE7B"/>
      </colorScale>
    </cfRule>
  </conditionalFormatting>
  <conditionalFormatting sqref="Q187">
    <cfRule type="colorScale" priority="204">
      <colorScale>
        <cfvo type="num" val="-0.1"/>
        <cfvo type="num" val="0"/>
        <cfvo type="num" val="0.1"/>
        <color rgb="FFF8696B"/>
        <color rgb="FFFFEB84"/>
        <color rgb="FF63BE7B"/>
      </colorScale>
    </cfRule>
  </conditionalFormatting>
  <conditionalFormatting sqref="Q188">
    <cfRule type="colorScale" priority="203">
      <colorScale>
        <cfvo type="num" val="-0.1"/>
        <cfvo type="num" val="0"/>
        <cfvo type="num" val="0.1"/>
        <color rgb="FFF8696B"/>
        <color rgb="FFFFEB84"/>
        <color rgb="FF63BE7B"/>
      </colorScale>
    </cfRule>
  </conditionalFormatting>
  <conditionalFormatting sqref="Q189">
    <cfRule type="colorScale" priority="199">
      <colorScale>
        <cfvo type="num" val="-0.1"/>
        <cfvo type="num" val="0"/>
        <cfvo type="num" val="0.1"/>
        <color rgb="FFF8696B"/>
        <color rgb="FFFFEB84"/>
        <color rgb="FF63BE7B"/>
      </colorScale>
    </cfRule>
  </conditionalFormatting>
  <conditionalFormatting sqref="Q190">
    <cfRule type="colorScale" priority="200">
      <colorScale>
        <cfvo type="num" val="-0.1"/>
        <cfvo type="num" val="0"/>
        <cfvo type="num" val="0.1"/>
        <color rgb="FFF8696B"/>
        <color rgb="FFFFEB84"/>
        <color rgb="FF63BE7B"/>
      </colorScale>
    </cfRule>
  </conditionalFormatting>
  <conditionalFormatting sqref="Q191">
    <cfRule type="colorScale" priority="201">
      <colorScale>
        <cfvo type="num" val="-0.1"/>
        <cfvo type="num" val="0"/>
        <cfvo type="num" val="0.1"/>
        <color rgb="FFF8696B"/>
        <color rgb="FFFFEB84"/>
        <color rgb="FF63BE7B"/>
      </colorScale>
    </cfRule>
  </conditionalFormatting>
  <conditionalFormatting sqref="Q192">
    <cfRule type="colorScale" priority="202">
      <colorScale>
        <cfvo type="num" val="-0.1"/>
        <cfvo type="num" val="0"/>
        <cfvo type="num" val="0.1"/>
        <color rgb="FFF8696B"/>
        <color rgb="FFFFEB84"/>
        <color rgb="FF63BE7B"/>
      </colorScale>
    </cfRule>
  </conditionalFormatting>
  <conditionalFormatting sqref="Q193">
    <cfRule type="colorScale" priority="206">
      <colorScale>
        <cfvo type="num" val="-0.1"/>
        <cfvo type="num" val="0"/>
        <cfvo type="num" val="0.1"/>
        <color rgb="FFF8696B"/>
        <color rgb="FFFFEB84"/>
        <color rgb="FF63BE7B"/>
      </colorScale>
    </cfRule>
  </conditionalFormatting>
  <conditionalFormatting sqref="Q194">
    <cfRule type="colorScale" priority="207">
      <colorScale>
        <cfvo type="num" val="-0.1"/>
        <cfvo type="num" val="0"/>
        <cfvo type="num" val="0.1"/>
        <color rgb="FFF8696B"/>
        <color rgb="FFFFEB84"/>
        <color rgb="FF63BE7B"/>
      </colorScale>
    </cfRule>
  </conditionalFormatting>
  <conditionalFormatting sqref="Q195">
    <cfRule type="colorScale" priority="223">
      <colorScale>
        <cfvo type="num" val="-0.1"/>
        <cfvo type="num" val="0"/>
        <cfvo type="num" val="0.1"/>
        <color rgb="FFF8696B"/>
        <color rgb="FFFFEB84"/>
        <color rgb="FF63BE7B"/>
      </colorScale>
    </cfRule>
  </conditionalFormatting>
  <conditionalFormatting sqref="Q196">
    <cfRule type="colorScale" priority="222">
      <colorScale>
        <cfvo type="num" val="-0.1"/>
        <cfvo type="num" val="0"/>
        <cfvo type="num" val="0.1"/>
        <color rgb="FFF8696B"/>
        <color rgb="FFFFEB84"/>
        <color rgb="FF63BE7B"/>
      </colorScale>
    </cfRule>
  </conditionalFormatting>
  <conditionalFormatting sqref="Q197">
    <cfRule type="colorScale" priority="221">
      <colorScale>
        <cfvo type="num" val="-0.1"/>
        <cfvo type="num" val="0"/>
        <cfvo type="num" val="0.1"/>
        <color rgb="FFF8696B"/>
        <color rgb="FFFFEB84"/>
        <color rgb="FF63BE7B"/>
      </colorScale>
    </cfRule>
  </conditionalFormatting>
  <conditionalFormatting sqref="Q198">
    <cfRule type="colorScale" priority="216">
      <colorScale>
        <cfvo type="num" val="-0.1"/>
        <cfvo type="num" val="0"/>
        <cfvo type="num" val="0.1"/>
        <color rgb="FFF8696B"/>
        <color rgb="FFFFEB84"/>
        <color rgb="FF63BE7B"/>
      </colorScale>
    </cfRule>
  </conditionalFormatting>
  <conditionalFormatting sqref="Q199">
    <cfRule type="colorScale" priority="217">
      <colorScale>
        <cfvo type="num" val="-0.1"/>
        <cfvo type="num" val="0"/>
        <cfvo type="num" val="0.1"/>
        <color rgb="FFF8696B"/>
        <color rgb="FFFFEB84"/>
        <color rgb="FF63BE7B"/>
      </colorScale>
    </cfRule>
  </conditionalFormatting>
  <conditionalFormatting sqref="Q200">
    <cfRule type="colorScale" priority="218">
      <colorScale>
        <cfvo type="num" val="-0.1"/>
        <cfvo type="num" val="0"/>
        <cfvo type="num" val="0.1"/>
        <color rgb="FFF8696B"/>
        <color rgb="FFFFEB84"/>
        <color rgb="FF63BE7B"/>
      </colorScale>
    </cfRule>
  </conditionalFormatting>
  <conditionalFormatting sqref="Q201">
    <cfRule type="colorScale" priority="220">
      <colorScale>
        <cfvo type="num" val="-0.1"/>
        <cfvo type="num" val="0"/>
        <cfvo type="num" val="0.1"/>
        <color rgb="FFF8696B"/>
        <color rgb="FFFFEB84"/>
        <color rgb="FF63BE7B"/>
      </colorScale>
    </cfRule>
  </conditionalFormatting>
  <conditionalFormatting sqref="Q202">
    <cfRule type="colorScale" priority="219">
      <colorScale>
        <cfvo type="num" val="-0.1"/>
        <cfvo type="num" val="0"/>
        <cfvo type="num" val="0.1"/>
        <color rgb="FFF8696B"/>
        <color rgb="FFFFEB84"/>
        <color rgb="FF63BE7B"/>
      </colorScale>
    </cfRule>
  </conditionalFormatting>
  <conditionalFormatting sqref="Q203">
    <cfRule type="colorScale" priority="215">
      <colorScale>
        <cfvo type="num" val="-0.1"/>
        <cfvo type="num" val="0"/>
        <cfvo type="num" val="0.1"/>
        <color rgb="FFF8696B"/>
        <color rgb="FFFFEB84"/>
        <color rgb="FF63BE7B"/>
      </colorScale>
    </cfRule>
  </conditionalFormatting>
  <conditionalFormatting sqref="Q204">
    <cfRule type="colorScale" priority="214">
      <colorScale>
        <cfvo type="num" val="-0.1"/>
        <cfvo type="num" val="0"/>
        <cfvo type="num" val="0.1"/>
        <color rgb="FFF8696B"/>
        <color rgb="FFFFEB84"/>
        <color rgb="FF63BE7B"/>
      </colorScale>
    </cfRule>
  </conditionalFormatting>
  <conditionalFormatting sqref="Q205">
    <cfRule type="colorScale" priority="208">
      <colorScale>
        <cfvo type="num" val="-0.1"/>
        <cfvo type="num" val="0"/>
        <cfvo type="num" val="0.1"/>
        <color rgb="FFF8696B"/>
        <color rgb="FFFFEB84"/>
        <color rgb="FF63BE7B"/>
      </colorScale>
    </cfRule>
  </conditionalFormatting>
  <conditionalFormatting sqref="Q206">
    <cfRule type="colorScale" priority="209">
      <colorScale>
        <cfvo type="num" val="-0.1"/>
        <cfvo type="num" val="0"/>
        <cfvo type="num" val="0.1"/>
        <color rgb="FFF8696B"/>
        <color rgb="FFFFEB84"/>
        <color rgb="FF63BE7B"/>
      </colorScale>
    </cfRule>
  </conditionalFormatting>
  <conditionalFormatting sqref="Q207">
    <cfRule type="colorScale" priority="210">
      <colorScale>
        <cfvo type="num" val="-0.1"/>
        <cfvo type="num" val="0"/>
        <cfvo type="num" val="0.1"/>
        <color rgb="FFF8696B"/>
        <color rgb="FFFFEB84"/>
        <color rgb="FF63BE7B"/>
      </colorScale>
    </cfRule>
  </conditionalFormatting>
  <conditionalFormatting sqref="Q208">
    <cfRule type="colorScale" priority="212">
      <colorScale>
        <cfvo type="num" val="-0.1"/>
        <cfvo type="num" val="0"/>
        <cfvo type="num" val="0.1"/>
        <color rgb="FFF8696B"/>
        <color rgb="FFFFEB84"/>
        <color rgb="FF63BE7B"/>
      </colorScale>
    </cfRule>
  </conditionalFormatting>
  <conditionalFormatting sqref="Q209">
    <cfRule type="colorScale" priority="211">
      <colorScale>
        <cfvo type="num" val="-0.1"/>
        <cfvo type="num" val="0"/>
        <cfvo type="num" val="0.1"/>
        <color rgb="FFF8696B"/>
        <color rgb="FFFFEB84"/>
        <color rgb="FF63BE7B"/>
      </colorScale>
    </cfRule>
  </conditionalFormatting>
  <conditionalFormatting sqref="Q210">
    <cfRule type="colorScale" priority="231">
      <colorScale>
        <cfvo type="num" val="-0.1"/>
        <cfvo type="num" val="0"/>
        <cfvo type="num" val="0.1"/>
        <color rgb="FFF8696B"/>
        <color rgb="FFFFEB84"/>
        <color rgb="FF63BE7B"/>
      </colorScale>
    </cfRule>
  </conditionalFormatting>
  <conditionalFormatting sqref="Q211">
    <cfRule type="colorScale" priority="228">
      <colorScale>
        <cfvo type="num" val="-0.1"/>
        <cfvo type="num" val="0"/>
        <cfvo type="num" val="0.1"/>
        <color rgb="FFF8696B"/>
        <color rgb="FFFFEB84"/>
        <color rgb="FF63BE7B"/>
      </colorScale>
    </cfRule>
  </conditionalFormatting>
  <conditionalFormatting sqref="Q212">
    <cfRule type="colorScale" priority="226">
      <colorScale>
        <cfvo type="num" val="-0.1"/>
        <cfvo type="num" val="0"/>
        <cfvo type="num" val="0.1"/>
        <color rgb="FFF8696B"/>
        <color rgb="FFFFEB84"/>
        <color rgb="FF63BE7B"/>
      </colorScale>
    </cfRule>
  </conditionalFormatting>
  <conditionalFormatting sqref="Q213">
    <cfRule type="colorScale" priority="225">
      <colorScale>
        <cfvo type="num" val="-0.1"/>
        <cfvo type="num" val="0"/>
        <cfvo type="num" val="0.1"/>
        <color rgb="FFF8696B"/>
        <color rgb="FFFFEB84"/>
        <color rgb="FF63BE7B"/>
      </colorScale>
    </cfRule>
  </conditionalFormatting>
  <conditionalFormatting sqref="Q214">
    <cfRule type="colorScale" priority="224">
      <colorScale>
        <cfvo type="num" val="-0.1"/>
        <cfvo type="num" val="0"/>
        <cfvo type="num" val="0.1"/>
        <color rgb="FFF8696B"/>
        <color rgb="FFFFEB84"/>
        <color rgb="FF63BE7B"/>
      </colorScale>
    </cfRule>
  </conditionalFormatting>
  <conditionalFormatting sqref="Q215">
    <cfRule type="colorScale" priority="227">
      <colorScale>
        <cfvo type="num" val="-0.1"/>
        <cfvo type="num" val="0"/>
        <cfvo type="num" val="0.1"/>
        <color rgb="FFF8696B"/>
        <color rgb="FFFFEB84"/>
        <color rgb="FF63BE7B"/>
      </colorScale>
    </cfRule>
  </conditionalFormatting>
  <conditionalFormatting sqref="Q216">
    <cfRule type="colorScale" priority="239">
      <colorScale>
        <cfvo type="num" val="-0.1"/>
        <cfvo type="num" val="0"/>
        <cfvo type="num" val="0.1"/>
        <color rgb="FFF8696B"/>
        <color rgb="FFFFEB84"/>
        <color rgb="FF63BE7B"/>
      </colorScale>
    </cfRule>
  </conditionalFormatting>
  <conditionalFormatting sqref="Q217">
    <cfRule type="colorScale" priority="238">
      <colorScale>
        <cfvo type="num" val="-0.1"/>
        <cfvo type="num" val="0"/>
        <cfvo type="num" val="0.1"/>
        <color rgb="FFF8696B"/>
        <color rgb="FFFFEB84"/>
        <color rgb="FF63BE7B"/>
      </colorScale>
    </cfRule>
  </conditionalFormatting>
  <conditionalFormatting sqref="Q218">
    <cfRule type="colorScale" priority="237">
      <colorScale>
        <cfvo type="num" val="-0.1"/>
        <cfvo type="num" val="0"/>
        <cfvo type="num" val="0.1"/>
        <color rgb="FFF8696B"/>
        <color rgb="FFFFEB84"/>
        <color rgb="FF63BE7B"/>
      </colorScale>
    </cfRule>
  </conditionalFormatting>
  <conditionalFormatting sqref="Q219">
    <cfRule type="colorScale" priority="236">
      <colorScale>
        <cfvo type="num" val="-0.1"/>
        <cfvo type="num" val="0"/>
        <cfvo type="num" val="0.1"/>
        <color rgb="FFF8696B"/>
        <color rgb="FFFFEB84"/>
        <color rgb="FF63BE7B"/>
      </colorScale>
    </cfRule>
  </conditionalFormatting>
  <conditionalFormatting sqref="Q220">
    <cfRule type="colorScale" priority="235">
      <colorScale>
        <cfvo type="num" val="-0.1"/>
        <cfvo type="num" val="0"/>
        <cfvo type="num" val="0.1"/>
        <color rgb="FFF8696B"/>
        <color rgb="FFFFEB84"/>
        <color rgb="FF63BE7B"/>
      </colorScale>
    </cfRule>
  </conditionalFormatting>
  <conditionalFormatting sqref="Q221">
    <cfRule type="colorScale" priority="259">
      <colorScale>
        <cfvo type="num" val="-0.1"/>
        <cfvo type="num" val="0"/>
        <cfvo type="num" val="0.1"/>
        <color rgb="FFF8696B"/>
        <color rgb="FFFFEB84"/>
        <color rgb="FF63BE7B"/>
      </colorScale>
    </cfRule>
  </conditionalFormatting>
  <conditionalFormatting sqref="Q222">
    <cfRule type="colorScale" priority="258">
      <colorScale>
        <cfvo type="num" val="-0.1"/>
        <cfvo type="num" val="0"/>
        <cfvo type="num" val="0.1"/>
        <color rgb="FFF8696B"/>
        <color rgb="FFFFEB84"/>
        <color rgb="FF63BE7B"/>
      </colorScale>
    </cfRule>
  </conditionalFormatting>
  <conditionalFormatting sqref="Q223">
    <cfRule type="colorScale" priority="257">
      <colorScale>
        <cfvo type="num" val="-0.1"/>
        <cfvo type="num" val="0"/>
        <cfvo type="num" val="0.1"/>
        <color rgb="FFF8696B"/>
        <color rgb="FFFFEB84"/>
        <color rgb="FF63BE7B"/>
      </colorScale>
    </cfRule>
  </conditionalFormatting>
  <conditionalFormatting sqref="Q224">
    <cfRule type="colorScale" priority="240">
      <colorScale>
        <cfvo type="num" val="-0.1"/>
        <cfvo type="num" val="0"/>
        <cfvo type="num" val="0.1"/>
        <color rgb="FFF8696B"/>
        <color rgb="FFFFEB84"/>
        <color rgb="FF63BE7B"/>
      </colorScale>
    </cfRule>
  </conditionalFormatting>
  <conditionalFormatting sqref="Q225">
    <cfRule type="colorScale" priority="241">
      <colorScale>
        <cfvo type="num" val="-0.1"/>
        <cfvo type="num" val="0"/>
        <cfvo type="num" val="0.1"/>
        <color rgb="FFF8696B"/>
        <color rgb="FFFFEB84"/>
        <color rgb="FF63BE7B"/>
      </colorScale>
    </cfRule>
  </conditionalFormatting>
  <conditionalFormatting sqref="Q226">
    <cfRule type="colorScale" priority="242">
      <colorScale>
        <cfvo type="num" val="-0.1"/>
        <cfvo type="num" val="0"/>
        <cfvo type="num" val="0.1"/>
        <color rgb="FFF8696B"/>
        <color rgb="FFFFEB84"/>
        <color rgb="FF63BE7B"/>
      </colorScale>
    </cfRule>
  </conditionalFormatting>
  <conditionalFormatting sqref="Q227">
    <cfRule type="colorScale" priority="244">
      <colorScale>
        <cfvo type="num" val="-0.1"/>
        <cfvo type="num" val="0"/>
        <cfvo type="num" val="0.1"/>
        <color rgb="FFF8696B"/>
        <color rgb="FFFFEB84"/>
        <color rgb="FF63BE7B"/>
      </colorScale>
    </cfRule>
  </conditionalFormatting>
  <conditionalFormatting sqref="Q228">
    <cfRule type="colorScale" priority="243">
      <colorScale>
        <cfvo type="num" val="-0.1"/>
        <cfvo type="num" val="0"/>
        <cfvo type="num" val="0.1"/>
        <color rgb="FFF8696B"/>
        <color rgb="FFFFEB84"/>
        <color rgb="FF63BE7B"/>
      </colorScale>
    </cfRule>
  </conditionalFormatting>
  <conditionalFormatting sqref="Q229 Q234">
    <cfRule type="colorScale" priority="253">
      <colorScale>
        <cfvo type="num" val="-0.1"/>
        <cfvo type="num" val="0"/>
        <cfvo type="num" val="0.1"/>
        <color rgb="FFF8696B"/>
        <color rgb="FFFFEB84"/>
        <color rgb="FF63BE7B"/>
      </colorScale>
    </cfRule>
  </conditionalFormatting>
  <conditionalFormatting sqref="Q230">
    <cfRule type="colorScale" priority="252">
      <colorScale>
        <cfvo type="num" val="-0.1"/>
        <cfvo type="num" val="0"/>
        <cfvo type="num" val="0.1"/>
        <color rgb="FFF8696B"/>
        <color rgb="FFFFEB84"/>
        <color rgb="FF63BE7B"/>
      </colorScale>
    </cfRule>
  </conditionalFormatting>
  <conditionalFormatting sqref="Q231">
    <cfRule type="colorScale" priority="245">
      <colorScale>
        <cfvo type="num" val="-0.1"/>
        <cfvo type="num" val="0"/>
        <cfvo type="num" val="0.1"/>
        <color rgb="FFF8696B"/>
        <color rgb="FFFFEB84"/>
        <color rgb="FF63BE7B"/>
      </colorScale>
    </cfRule>
  </conditionalFormatting>
  <conditionalFormatting sqref="Q232">
    <cfRule type="colorScale" priority="246">
      <colorScale>
        <cfvo type="num" val="-0.1"/>
        <cfvo type="num" val="0"/>
        <cfvo type="num" val="0.1"/>
        <color rgb="FFF8696B"/>
        <color rgb="FFFFEB84"/>
        <color rgb="FF63BE7B"/>
      </colorScale>
    </cfRule>
  </conditionalFormatting>
  <conditionalFormatting sqref="Q233">
    <cfRule type="colorScale" priority="247">
      <colorScale>
        <cfvo type="num" val="-0.1"/>
        <cfvo type="num" val="0"/>
        <cfvo type="num" val="0.1"/>
        <color rgb="FFF8696B"/>
        <color rgb="FFFFEB84"/>
        <color rgb="FF63BE7B"/>
      </colorScale>
    </cfRule>
  </conditionalFormatting>
  <conditionalFormatting sqref="Q235">
    <cfRule type="colorScale" priority="250">
      <colorScale>
        <cfvo type="num" val="-0.1"/>
        <cfvo type="num" val="0"/>
        <cfvo type="num" val="0.1"/>
        <color rgb="FFF8696B"/>
        <color rgb="FFFFEB84"/>
        <color rgb="FF63BE7B"/>
      </colorScale>
    </cfRule>
  </conditionalFormatting>
  <conditionalFormatting sqref="Q236">
    <cfRule type="colorScale" priority="263">
      <colorScale>
        <cfvo type="num" val="-0.1"/>
        <cfvo type="num" val="0"/>
        <cfvo type="num" val="0.1"/>
        <color rgb="FFF8696B"/>
        <color rgb="FFFFEB84"/>
        <color rgb="FF63BE7B"/>
      </colorScale>
    </cfRule>
  </conditionalFormatting>
  <conditionalFormatting sqref="Q237">
    <cfRule type="colorScale" priority="261">
      <colorScale>
        <cfvo type="num" val="-0.1"/>
        <cfvo type="num" val="0"/>
        <cfvo type="num" val="0.1"/>
        <color rgb="FFF8696B"/>
        <color rgb="FFFFEB84"/>
        <color rgb="FF63BE7B"/>
      </colorScale>
    </cfRule>
  </conditionalFormatting>
  <conditionalFormatting sqref="Q238">
    <cfRule type="colorScale" priority="260">
      <colorScale>
        <cfvo type="num" val="-0.1"/>
        <cfvo type="num" val="0"/>
        <cfvo type="num" val="0.1"/>
        <color rgb="FFF8696B"/>
        <color rgb="FFFFEB84"/>
        <color rgb="FF63BE7B"/>
      </colorScale>
    </cfRule>
  </conditionalFormatting>
  <conditionalFormatting sqref="Q239">
    <cfRule type="colorScale" priority="262">
      <colorScale>
        <cfvo type="num" val="-0.1"/>
        <cfvo type="num" val="0"/>
        <cfvo type="num" val="0.1"/>
        <color rgb="FFF8696B"/>
        <color rgb="FFFFEB84"/>
        <color rgb="FF63BE7B"/>
      </colorScale>
    </cfRule>
  </conditionalFormatting>
  <conditionalFormatting sqref="Q240 Q243">
    <cfRule type="colorScale" priority="269">
      <colorScale>
        <cfvo type="num" val="-0.1"/>
        <cfvo type="num" val="0"/>
        <cfvo type="num" val="0.1"/>
        <color rgb="FFF8696B"/>
        <color rgb="FFFFEB84"/>
        <color rgb="FF63BE7B"/>
      </colorScale>
    </cfRule>
  </conditionalFormatting>
  <conditionalFormatting sqref="Q241">
    <cfRule type="colorScale" priority="268">
      <colorScale>
        <cfvo type="num" val="-0.1"/>
        <cfvo type="num" val="0"/>
        <cfvo type="num" val="0.1"/>
        <color rgb="FFF8696B"/>
        <color rgb="FFFFEB84"/>
        <color rgb="FF63BE7B"/>
      </colorScale>
    </cfRule>
  </conditionalFormatting>
  <conditionalFormatting sqref="Q242">
    <cfRule type="colorScale" priority="267">
      <colorScale>
        <cfvo type="num" val="-0.1"/>
        <cfvo type="num" val="0"/>
        <cfvo type="num" val="0.1"/>
        <color rgb="FFF8696B"/>
        <color rgb="FFFFEB84"/>
        <color rgb="FF63BE7B"/>
      </colorScale>
    </cfRule>
  </conditionalFormatting>
  <conditionalFormatting sqref="Q244">
    <cfRule type="colorScale" priority="264">
      <colorScale>
        <cfvo type="num" val="-0.1"/>
        <cfvo type="num" val="0"/>
        <cfvo type="num" val="0.1"/>
        <color rgb="FFF8696B"/>
        <color rgb="FFFFEB84"/>
        <color rgb="FF63BE7B"/>
      </colorScale>
    </cfRule>
  </conditionalFormatting>
  <conditionalFormatting sqref="Q245">
    <cfRule type="colorScale" priority="265">
      <colorScale>
        <cfvo type="num" val="-0.1"/>
        <cfvo type="num" val="0"/>
        <cfvo type="num" val="0.1"/>
        <color rgb="FFF8696B"/>
        <color rgb="FFFFEB84"/>
        <color rgb="FF63BE7B"/>
      </colorScale>
    </cfRule>
  </conditionalFormatting>
  <conditionalFormatting sqref="Q246">
    <cfRule type="colorScale" priority="266">
      <colorScale>
        <cfvo type="num" val="-0.1"/>
        <cfvo type="num" val="0"/>
        <cfvo type="num" val="0.1"/>
        <color rgb="FFF8696B"/>
        <color rgb="FFFFEB84"/>
        <color rgb="FF63BE7B"/>
      </colorScale>
    </cfRule>
  </conditionalFormatting>
  <conditionalFormatting sqref="Q247 Q250">
    <cfRule type="colorScale" priority="277">
      <colorScale>
        <cfvo type="num" val="-0.1"/>
        <cfvo type="num" val="0"/>
        <cfvo type="num" val="0.1"/>
        <color rgb="FFF8696B"/>
        <color rgb="FFFFEB84"/>
        <color rgb="FF63BE7B"/>
      </colorScale>
    </cfRule>
  </conditionalFormatting>
  <conditionalFormatting sqref="Q248">
    <cfRule type="colorScale" priority="276">
      <colorScale>
        <cfvo type="num" val="-0.1"/>
        <cfvo type="num" val="0"/>
        <cfvo type="num" val="0.1"/>
        <color rgb="FFF8696B"/>
        <color rgb="FFFFEB84"/>
        <color rgb="FF63BE7B"/>
      </colorScale>
    </cfRule>
  </conditionalFormatting>
  <conditionalFormatting sqref="Q249">
    <cfRule type="colorScale" priority="275">
      <colorScale>
        <cfvo type="num" val="-0.1"/>
        <cfvo type="num" val="0"/>
        <cfvo type="num" val="0.1"/>
        <color rgb="FFF8696B"/>
        <color rgb="FFFFEB84"/>
        <color rgb="FF63BE7B"/>
      </colorScale>
    </cfRule>
  </conditionalFormatting>
  <conditionalFormatting sqref="Q251">
    <cfRule type="colorScale" priority="270">
      <colorScale>
        <cfvo type="num" val="-0.1"/>
        <cfvo type="num" val="0"/>
        <cfvo type="num" val="0.1"/>
        <color rgb="FFF8696B"/>
        <color rgb="FFFFEB84"/>
        <color rgb="FF63BE7B"/>
      </colorScale>
    </cfRule>
  </conditionalFormatting>
  <conditionalFormatting sqref="Q252 Q254">
    <cfRule type="colorScale" priority="274">
      <colorScale>
        <cfvo type="num" val="-0.1"/>
        <cfvo type="num" val="0"/>
        <cfvo type="num" val="0.1"/>
        <color rgb="FFF8696B"/>
        <color rgb="FFFFEB84"/>
        <color rgb="FF63BE7B"/>
      </colorScale>
    </cfRule>
  </conditionalFormatting>
  <conditionalFormatting sqref="Q253">
    <cfRule type="colorScale" priority="272">
      <colorScale>
        <cfvo type="num" val="-0.1"/>
        <cfvo type="num" val="0"/>
        <cfvo type="num" val="0.1"/>
        <color rgb="FFF8696B"/>
        <color rgb="FFFFEB84"/>
        <color rgb="FF63BE7B"/>
      </colorScale>
    </cfRule>
  </conditionalFormatting>
  <conditionalFormatting sqref="Q255">
    <cfRule type="colorScale" priority="273">
      <colorScale>
        <cfvo type="num" val="-0.1"/>
        <cfvo type="num" val="0"/>
        <cfvo type="num" val="0.1"/>
        <color rgb="FFF8696B"/>
        <color rgb="FFFFEB84"/>
        <color rgb="FF63BE7B"/>
      </colorScale>
    </cfRule>
  </conditionalFormatting>
  <conditionalFormatting sqref="Q256 Q259">
    <cfRule type="colorScale" priority="285">
      <colorScale>
        <cfvo type="num" val="-0.1"/>
        <cfvo type="num" val="0"/>
        <cfvo type="num" val="0.1"/>
        <color rgb="FFF8696B"/>
        <color rgb="FFFFEB84"/>
        <color rgb="FF63BE7B"/>
      </colorScale>
    </cfRule>
  </conditionalFormatting>
  <conditionalFormatting sqref="Q257">
    <cfRule type="colorScale" priority="283">
      <colorScale>
        <cfvo type="num" val="-0.1"/>
        <cfvo type="num" val="0"/>
        <cfvo type="num" val="0.1"/>
        <color rgb="FFF8696B"/>
        <color rgb="FFFFEB84"/>
        <color rgb="FF63BE7B"/>
      </colorScale>
    </cfRule>
  </conditionalFormatting>
  <conditionalFormatting sqref="Q258">
    <cfRule type="colorScale" priority="282">
      <colorScale>
        <cfvo type="num" val="-0.1"/>
        <cfvo type="num" val="0"/>
        <cfvo type="num" val="0.1"/>
        <color rgb="FFF8696B"/>
        <color rgb="FFFFEB84"/>
        <color rgb="FF63BE7B"/>
      </colorScale>
    </cfRule>
  </conditionalFormatting>
  <conditionalFormatting sqref="Q260">
    <cfRule type="colorScale" priority="271">
      <colorScale>
        <cfvo type="num" val="-0.1"/>
        <cfvo type="num" val="0"/>
        <cfvo type="num" val="0.1"/>
        <color rgb="FFF8696B"/>
        <color rgb="FFFFEB84"/>
        <color rgb="FF63BE7B"/>
      </colorScale>
    </cfRule>
  </conditionalFormatting>
  <conditionalFormatting sqref="Q261 Q263">
    <cfRule type="colorScale" priority="281">
      <colorScale>
        <cfvo type="num" val="-0.1"/>
        <cfvo type="num" val="0"/>
        <cfvo type="num" val="0.1"/>
        <color rgb="FFF8696B"/>
        <color rgb="FFFFEB84"/>
        <color rgb="FF63BE7B"/>
      </colorScale>
    </cfRule>
  </conditionalFormatting>
  <conditionalFormatting sqref="Q262">
    <cfRule type="colorScale" priority="279">
      <colorScale>
        <cfvo type="num" val="-0.1"/>
        <cfvo type="num" val="0"/>
        <cfvo type="num" val="0.1"/>
        <color rgb="FFF8696B"/>
        <color rgb="FFFFEB84"/>
        <color rgb="FF63BE7B"/>
      </colorScale>
    </cfRule>
  </conditionalFormatting>
  <conditionalFormatting sqref="Q264">
    <cfRule type="colorScale" priority="280">
      <colorScale>
        <cfvo type="num" val="-0.1"/>
        <cfvo type="num" val="0"/>
        <cfvo type="num" val="0.1"/>
        <color rgb="FFF8696B"/>
        <color rgb="FFFFEB84"/>
        <color rgb="FF63BE7B"/>
      </colorScale>
    </cfRule>
  </conditionalFormatting>
  <conditionalFormatting sqref="Q266">
    <cfRule type="colorScale" priority="286">
      <colorScale>
        <cfvo type="num" val="-0.1"/>
        <cfvo type="num" val="0"/>
        <cfvo type="num" val="0.1"/>
        <color rgb="FFF8696B"/>
        <color rgb="FFFFEB84"/>
        <color rgb="FF63BE7B"/>
      </colorScale>
    </cfRule>
  </conditionalFormatting>
  <conditionalFormatting sqref="Q267 Q265">
    <cfRule type="colorScale" priority="288">
      <colorScale>
        <cfvo type="num" val="-0.1"/>
        <cfvo type="num" val="0"/>
        <cfvo type="num" val="0.1"/>
        <color rgb="FFF8696B"/>
        <color rgb="FFFFEB84"/>
        <color rgb="FF63BE7B"/>
      </colorScale>
    </cfRule>
  </conditionalFormatting>
  <conditionalFormatting sqref="Q268">
    <cfRule type="colorScale" priority="287">
      <colorScale>
        <cfvo type="num" val="-0.1"/>
        <cfvo type="num" val="0"/>
        <cfvo type="num" val="0.1"/>
        <color rgb="FFF8696B"/>
        <color rgb="FFFFEB84"/>
        <color rgb="FF63BE7B"/>
      </colorScale>
    </cfRule>
  </conditionalFormatting>
  <conditionalFormatting sqref="Q270">
    <cfRule type="colorScale" priority="289">
      <colorScale>
        <cfvo type="num" val="-0.1"/>
        <cfvo type="num" val="0"/>
        <cfvo type="num" val="0.1"/>
        <color rgb="FFF8696B"/>
        <color rgb="FFFFEB84"/>
        <color rgb="FF63BE7B"/>
      </colorScale>
    </cfRule>
  </conditionalFormatting>
  <conditionalFormatting sqref="Q272:Q275">
    <cfRule type="colorScale" priority="291">
      <colorScale>
        <cfvo type="num" val="-0.1"/>
        <cfvo type="num" val="0"/>
        <cfvo type="num" val="0.1"/>
        <color rgb="FFF8696B"/>
        <color rgb="FFFFEB84"/>
        <color rgb="FF63BE7B"/>
      </colorScale>
    </cfRule>
  </conditionalFormatting>
  <conditionalFormatting sqref="Q274">
    <cfRule type="colorScale" priority="290">
      <colorScale>
        <cfvo type="num" val="-0.1"/>
        <cfvo type="num" val="0"/>
        <cfvo type="num" val="0.1"/>
        <color rgb="FFF8696B"/>
        <color rgb="FFFFEB84"/>
        <color rgb="FF63BE7B"/>
      </colorScale>
    </cfRule>
  </conditionalFormatting>
  <conditionalFormatting sqref="Q276">
    <cfRule type="colorScale" priority="292">
      <colorScale>
        <cfvo type="num" val="-0.1"/>
        <cfvo type="num" val="0"/>
        <cfvo type="num" val="0.1"/>
        <color rgb="FFF8696B"/>
        <color rgb="FFFFEB84"/>
        <color rgb="FF63BE7B"/>
      </colorScale>
    </cfRule>
  </conditionalFormatting>
  <conditionalFormatting sqref="Q277:Q278 Q281">
    <cfRule type="colorScale" priority="295">
      <colorScale>
        <cfvo type="num" val="-0.1"/>
        <cfvo type="num" val="0"/>
        <cfvo type="num" val="0.1"/>
        <color rgb="FFF8696B"/>
        <color rgb="FFFFEB84"/>
        <color rgb="FF63BE7B"/>
      </colorScale>
    </cfRule>
  </conditionalFormatting>
  <conditionalFormatting sqref="Q279">
    <cfRule type="colorScale" priority="293">
      <colorScale>
        <cfvo type="num" val="-0.1"/>
        <cfvo type="num" val="0"/>
        <cfvo type="num" val="0.1"/>
        <color rgb="FFF8696B"/>
        <color rgb="FFFFEB84"/>
        <color rgb="FF63BE7B"/>
      </colorScale>
    </cfRule>
  </conditionalFormatting>
  <conditionalFormatting sqref="Q280">
    <cfRule type="colorScale" priority="294">
      <colorScale>
        <cfvo type="num" val="-0.1"/>
        <cfvo type="num" val="0"/>
        <cfvo type="num" val="0.1"/>
        <color rgb="FFF8696B"/>
        <color rgb="FFFFEB84"/>
        <color rgb="FF63BE7B"/>
      </colorScale>
    </cfRule>
  </conditionalFormatting>
  <conditionalFormatting sqref="Q284">
    <cfRule type="colorScale" priority="296">
      <colorScale>
        <cfvo type="num" val="-0.1"/>
        <cfvo type="num" val="0"/>
        <cfvo type="num" val="0.1"/>
        <color rgb="FFF8696B"/>
        <color rgb="FFFFEB84"/>
        <color rgb="FF63BE7B"/>
      </colorScale>
    </cfRule>
  </conditionalFormatting>
  <hyperlinks>
    <hyperlink ref="T265" r:id="rId1" xr:uid="{00000000-0004-0000-0200-000000000000}"/>
    <hyperlink ref="T266" r:id="rId2" xr:uid="{00000000-0004-0000-0200-000001000000}"/>
    <hyperlink ref="T267" r:id="rId3" xr:uid="{00000000-0004-0000-0200-000002000000}"/>
    <hyperlink ref="T269" r:id="rId4" xr:uid="{00000000-0004-0000-0200-000003000000}"/>
    <hyperlink ref="T270" r:id="rId5" xr:uid="{00000000-0004-0000-0200-000004000000}"/>
    <hyperlink ref="T271" r:id="rId6" xr:uid="{00000000-0004-0000-0200-000005000000}"/>
    <hyperlink ref="T273" r:id="rId7" xr:uid="{00000000-0004-0000-0200-000006000000}"/>
    <hyperlink ref="T274" r:id="rId8" xr:uid="{00000000-0004-0000-0200-000007000000}"/>
    <hyperlink ref="T275" r:id="rId9" xr:uid="{00000000-0004-0000-0200-000008000000}"/>
    <hyperlink ref="T277" r:id="rId10" xr:uid="{00000000-0004-0000-0200-000009000000}"/>
    <hyperlink ref="T278" r:id="rId11" xr:uid="{00000000-0004-0000-0200-00000A000000}"/>
    <hyperlink ref="T279" r:id="rId12" xr:uid="{00000000-0004-0000-0200-00000B000000}"/>
    <hyperlink ref="T280" r:id="rId13" xr:uid="{00000000-0004-0000-0200-00000C000000}"/>
    <hyperlink ref="T282" r:id="rId14" xr:uid="{00000000-0004-0000-0200-00000D000000}"/>
    <hyperlink ref="T283" r:id="rId15" xr:uid="{00000000-0004-0000-0200-00000E000000}"/>
    <hyperlink ref="T284" r:id="rId16" xr:uid="{00000000-0004-0000-0200-00000F000000}"/>
    <hyperlink ref="T256" r:id="rId17" xr:uid="{00000000-0004-0000-0200-000010000000}"/>
    <hyperlink ref="T257" r:id="rId18" xr:uid="{00000000-0004-0000-0200-000011000000}"/>
    <hyperlink ref="T259" r:id="rId19" xr:uid="{00000000-0004-0000-0200-000012000000}"/>
    <hyperlink ref="T258" r:id="rId20" xr:uid="{00000000-0004-0000-0200-000013000000}"/>
    <hyperlink ref="T261" r:id="rId21" xr:uid="{00000000-0004-0000-0200-000014000000}"/>
    <hyperlink ref="T262" r:id="rId22" xr:uid="{00000000-0004-0000-0200-000015000000}"/>
    <hyperlink ref="T263" r:id="rId23" xr:uid="{00000000-0004-0000-0200-000016000000}"/>
    <hyperlink ref="T247" r:id="rId24" xr:uid="{00000000-0004-0000-0200-000017000000}"/>
    <hyperlink ref="T248" r:id="rId25" xr:uid="{00000000-0004-0000-0200-000018000000}"/>
    <hyperlink ref="T249" r:id="rId26" xr:uid="{00000000-0004-0000-0200-000019000000}"/>
    <hyperlink ref="T250" r:id="rId27" xr:uid="{00000000-0004-0000-0200-00001A000000}"/>
    <hyperlink ref="T252" r:id="rId28" xr:uid="{00000000-0004-0000-0200-00001B000000}"/>
    <hyperlink ref="T253" r:id="rId29" xr:uid="{00000000-0004-0000-0200-00001C000000}"/>
    <hyperlink ref="T254" r:id="rId30" xr:uid="{00000000-0004-0000-0200-00001D000000}"/>
    <hyperlink ref="T240" r:id="rId31" xr:uid="{00000000-0004-0000-0200-00001E000000}"/>
    <hyperlink ref="T241" r:id="rId32" xr:uid="{00000000-0004-0000-0200-00001F000000}"/>
    <hyperlink ref="T242" r:id="rId33" xr:uid="{00000000-0004-0000-0200-000020000000}"/>
    <hyperlink ref="T243" r:id="rId34" xr:uid="{00000000-0004-0000-0200-000021000000}"/>
    <hyperlink ref="T240:T243" r:id="rId35" display="Press Release" xr:uid="{00000000-0004-0000-0200-000022000000}"/>
    <hyperlink ref="T245" r:id="rId36" xr:uid="{00000000-0004-0000-0200-000023000000}"/>
    <hyperlink ref="T244" r:id="rId37" xr:uid="{00000000-0004-0000-0200-000024000000}"/>
    <hyperlink ref="T236" r:id="rId38" xr:uid="{00000000-0004-0000-0200-000025000000}"/>
    <hyperlink ref="T237" r:id="rId39" xr:uid="{00000000-0004-0000-0200-000026000000}"/>
    <hyperlink ref="T238" r:id="rId40" xr:uid="{00000000-0004-0000-0200-000027000000}"/>
    <hyperlink ref="T222:T227" r:id="rId41" display="Press Release" xr:uid="{00000000-0004-0000-0200-000028000000}"/>
    <hyperlink ref="T229:T234" r:id="rId42" display="Press Release" xr:uid="{00000000-0004-0000-0200-000029000000}"/>
    <hyperlink ref="T221" r:id="rId43" xr:uid="{00000000-0004-0000-0200-00002A000000}"/>
    <hyperlink ref="T219" r:id="rId44" xr:uid="{00000000-0004-0000-0200-00002B000000}"/>
    <hyperlink ref="T218" r:id="rId45" xr:uid="{00000000-0004-0000-0200-00002C000000}"/>
    <hyperlink ref="T217" r:id="rId46" xr:uid="{00000000-0004-0000-0200-00002D000000}"/>
    <hyperlink ref="T216" r:id="rId47" xr:uid="{00000000-0004-0000-0200-00002E000000}"/>
    <hyperlink ref="T210" r:id="rId48" xr:uid="{00000000-0004-0000-0200-00002F000000}"/>
    <hyperlink ref="T211" r:id="rId49" xr:uid="{00000000-0004-0000-0200-000030000000}"/>
    <hyperlink ref="T212" r:id="rId50" xr:uid="{00000000-0004-0000-0200-000031000000}"/>
    <hyperlink ref="T213" r:id="rId51" xr:uid="{00000000-0004-0000-0200-000032000000}"/>
    <hyperlink ref="T214" r:id="rId52" xr:uid="{00000000-0004-0000-0200-000033000000}"/>
    <hyperlink ref="T196:T201" r:id="rId53" display="Press Release" xr:uid="{00000000-0004-0000-0200-000034000000}"/>
    <hyperlink ref="T195" r:id="rId54" xr:uid="{00000000-0004-0000-0200-000035000000}"/>
    <hyperlink ref="T195:T201" r:id="rId55" display="Press Release" xr:uid="{00000000-0004-0000-0200-000036000000}"/>
    <hyperlink ref="T204:T208" r:id="rId56" display="Press Release" xr:uid="{00000000-0004-0000-0200-000037000000}"/>
    <hyperlink ref="T203" r:id="rId57" xr:uid="{00000000-0004-0000-0200-000038000000}"/>
    <hyperlink ref="T203:T208" r:id="rId58" display="Press Release" xr:uid="{00000000-0004-0000-0200-000039000000}"/>
    <hyperlink ref="T194" r:id="rId59" xr:uid="{00000000-0004-0000-0200-00003A000000}"/>
    <hyperlink ref="T186" r:id="rId60" xr:uid="{00000000-0004-0000-0200-00003B000000}"/>
    <hyperlink ref="T187:T192" r:id="rId61" display="Press Release" xr:uid="{00000000-0004-0000-0200-00003C000000}"/>
    <hyperlink ref="T179" r:id="rId62" xr:uid="{00000000-0004-0000-0200-00003D000000}"/>
    <hyperlink ref="T180" r:id="rId63" xr:uid="{00000000-0004-0000-0200-00003E000000}"/>
    <hyperlink ref="T181" r:id="rId64" xr:uid="{00000000-0004-0000-0200-00003F000000}"/>
    <hyperlink ref="T182" r:id="rId65" xr:uid="{00000000-0004-0000-0200-000040000000}"/>
    <hyperlink ref="T183" r:id="rId66" xr:uid="{00000000-0004-0000-0200-000041000000}"/>
    <hyperlink ref="T184" r:id="rId67" xr:uid="{00000000-0004-0000-0200-000042000000}"/>
    <hyperlink ref="T171" r:id="rId68" xr:uid="{00000000-0004-0000-0200-000043000000}"/>
    <hyperlink ref="T172" r:id="rId69" xr:uid="{00000000-0004-0000-0200-000044000000}"/>
    <hyperlink ref="T173" r:id="rId70" xr:uid="{00000000-0004-0000-0200-000045000000}"/>
    <hyperlink ref="T174" r:id="rId71" xr:uid="{00000000-0004-0000-0200-000046000000}"/>
    <hyperlink ref="T175" r:id="rId72" xr:uid="{00000000-0004-0000-0200-000047000000}"/>
    <hyperlink ref="T176" r:id="rId73" xr:uid="{00000000-0004-0000-0200-000048000000}"/>
    <hyperlink ref="T177" r:id="rId74" xr:uid="{00000000-0004-0000-0200-000049000000}"/>
    <hyperlink ref="T158" r:id="rId75" xr:uid="{00000000-0004-0000-0200-00004A000000}"/>
    <hyperlink ref="T162" r:id="rId76" xr:uid="{00000000-0004-0000-0200-00004B000000}"/>
    <hyperlink ref="T146" r:id="rId77" xr:uid="{00000000-0004-0000-0200-00004C000000}"/>
    <hyperlink ref="T147" r:id="rId78" xr:uid="{00000000-0004-0000-0200-00004D000000}"/>
    <hyperlink ref="T148" r:id="rId79" xr:uid="{00000000-0004-0000-0200-00004E000000}"/>
    <hyperlink ref="T149" r:id="rId80" xr:uid="{00000000-0004-0000-0200-00004F000000}"/>
    <hyperlink ref="T150" r:id="rId81" xr:uid="{00000000-0004-0000-0200-000050000000}"/>
    <hyperlink ref="T163" r:id="rId82" xr:uid="{00000000-0004-0000-0200-000051000000}"/>
    <hyperlink ref="T151" r:id="rId83" xr:uid="{00000000-0004-0000-0200-000052000000}"/>
    <hyperlink ref="T152" r:id="rId84" xr:uid="{00000000-0004-0000-0200-000053000000}"/>
    <hyperlink ref="T153" r:id="rId85" xr:uid="{00000000-0004-0000-0200-000054000000}"/>
    <hyperlink ref="T154" r:id="rId86" xr:uid="{00000000-0004-0000-0200-000055000000}"/>
    <hyperlink ref="T155" r:id="rId87" xr:uid="{00000000-0004-0000-0200-000056000000}"/>
    <hyperlink ref="T156" r:id="rId88" xr:uid="{00000000-0004-0000-0200-000057000000}"/>
    <hyperlink ref="T164" r:id="rId89" xr:uid="{00000000-0004-0000-0200-000058000000}"/>
    <hyperlink ref="T144" r:id="rId90" xr:uid="{00000000-0004-0000-0200-000059000000}"/>
    <hyperlink ref="T145" r:id="rId91" xr:uid="{00000000-0004-0000-0200-00005A000000}"/>
    <hyperlink ref="T166" r:id="rId92" xr:uid="{00000000-0004-0000-0200-00005B000000}"/>
    <hyperlink ref="T167" r:id="rId93" xr:uid="{00000000-0004-0000-0200-00005C000000}"/>
    <hyperlink ref="T168" r:id="rId94" xr:uid="{00000000-0004-0000-0200-00005D000000}"/>
    <hyperlink ref="T169" r:id="rId95" xr:uid="{00000000-0004-0000-0200-00005E000000}"/>
    <hyperlink ref="T159" r:id="rId96" xr:uid="{00000000-0004-0000-0200-00005F000000}"/>
    <hyperlink ref="T160" r:id="rId97" xr:uid="{00000000-0004-0000-0200-000060000000}"/>
    <hyperlink ref="T161" r:id="rId98" xr:uid="{00000000-0004-0000-0200-000061000000}"/>
    <hyperlink ref="T139" r:id="rId99" xr:uid="{00000000-0004-0000-0200-000062000000}"/>
    <hyperlink ref="T140" r:id="rId100" xr:uid="{00000000-0004-0000-0200-000063000000}"/>
    <hyperlink ref="T141" r:id="rId101" xr:uid="{00000000-0004-0000-0200-000064000000}"/>
    <hyperlink ref="T142" r:id="rId102" xr:uid="{00000000-0004-0000-0200-000065000000}"/>
    <hyperlink ref="T137" r:id="rId103" xr:uid="{00000000-0004-0000-0200-000066000000}"/>
    <hyperlink ref="T138" r:id="rId104" xr:uid="{00000000-0004-0000-0200-000067000000}"/>
    <hyperlink ref="T130" r:id="rId105" xr:uid="{00000000-0004-0000-0200-000068000000}"/>
    <hyperlink ref="T131" r:id="rId106" xr:uid="{00000000-0004-0000-0200-000069000000}"/>
    <hyperlink ref="T132" r:id="rId107" xr:uid="{00000000-0004-0000-0200-00006A000000}"/>
    <hyperlink ref="T133" r:id="rId108" xr:uid="{00000000-0004-0000-0200-00006B000000}"/>
    <hyperlink ref="T127" r:id="rId109" xr:uid="{00000000-0004-0000-0200-00006C000000}"/>
    <hyperlink ref="T128" r:id="rId110" xr:uid="{00000000-0004-0000-0200-00006D000000}"/>
    <hyperlink ref="T129" r:id="rId111" xr:uid="{00000000-0004-0000-0200-00006E000000}"/>
    <hyperlink ref="T113" r:id="rId112" xr:uid="{00000000-0004-0000-0200-00006F000000}"/>
    <hyperlink ref="T114" r:id="rId113" xr:uid="{00000000-0004-0000-0200-000070000000}"/>
    <hyperlink ref="T115" r:id="rId114" xr:uid="{00000000-0004-0000-0200-000071000000}"/>
    <hyperlink ref="T116" r:id="rId115" xr:uid="{00000000-0004-0000-0200-000072000000}"/>
    <hyperlink ref="T117" r:id="rId116" xr:uid="{00000000-0004-0000-0200-000073000000}"/>
    <hyperlink ref="T118" r:id="rId117" xr:uid="{00000000-0004-0000-0200-000074000000}"/>
    <hyperlink ref="T119" r:id="rId118" xr:uid="{00000000-0004-0000-0200-000075000000}"/>
    <hyperlink ref="T120" r:id="rId119" xr:uid="{00000000-0004-0000-0200-000076000000}"/>
    <hyperlink ref="T121" r:id="rId120" xr:uid="{00000000-0004-0000-0200-000077000000}"/>
    <hyperlink ref="T122" r:id="rId121" xr:uid="{00000000-0004-0000-0200-000078000000}"/>
    <hyperlink ref="T123" r:id="rId122" xr:uid="{00000000-0004-0000-0200-000079000000}"/>
    <hyperlink ref="T124" r:id="rId123" xr:uid="{00000000-0004-0000-0200-00007A000000}"/>
    <hyperlink ref="T125" r:id="rId124" xr:uid="{00000000-0004-0000-0200-00007B000000}"/>
    <hyperlink ref="T134" r:id="rId125" xr:uid="{00000000-0004-0000-0200-00007C000000}"/>
    <hyperlink ref="T135" r:id="rId126" xr:uid="{00000000-0004-0000-0200-00007D000000}"/>
    <hyperlink ref="T108" r:id="rId127" xr:uid="{00000000-0004-0000-0200-00007E000000}"/>
    <hyperlink ref="T109" r:id="rId128" xr:uid="{00000000-0004-0000-0200-00007F000000}"/>
    <hyperlink ref="T110" r:id="rId129" xr:uid="{00000000-0004-0000-0200-000080000000}"/>
    <hyperlink ref="T111" r:id="rId130" xr:uid="{00000000-0004-0000-0200-000081000000}"/>
    <hyperlink ref="T91" r:id="rId131" xr:uid="{00000000-0004-0000-0200-000082000000}"/>
    <hyperlink ref="T92" r:id="rId132" xr:uid="{00000000-0004-0000-0200-000083000000}"/>
    <hyperlink ref="T93" r:id="rId133" xr:uid="{00000000-0004-0000-0200-000084000000}"/>
    <hyperlink ref="T94" r:id="rId134" xr:uid="{00000000-0004-0000-0200-000085000000}"/>
    <hyperlink ref="T95" r:id="rId135" xr:uid="{00000000-0004-0000-0200-000086000000}"/>
    <hyperlink ref="T96" r:id="rId136" xr:uid="{00000000-0004-0000-0200-000087000000}"/>
    <hyperlink ref="T97" r:id="rId137" xr:uid="{00000000-0004-0000-0200-000088000000}"/>
    <hyperlink ref="T98" r:id="rId138" xr:uid="{00000000-0004-0000-0200-000089000000}"/>
    <hyperlink ref="T99" r:id="rId139" xr:uid="{00000000-0004-0000-0200-00008A000000}"/>
    <hyperlink ref="T100" r:id="rId140" xr:uid="{00000000-0004-0000-0200-00008B000000}"/>
    <hyperlink ref="T101" r:id="rId141" xr:uid="{00000000-0004-0000-0200-00008C000000}"/>
    <hyperlink ref="T102" r:id="rId142" xr:uid="{00000000-0004-0000-0200-00008D000000}"/>
    <hyperlink ref="T103" r:id="rId143" xr:uid="{00000000-0004-0000-0200-00008E000000}"/>
    <hyperlink ref="T105" r:id="rId144" xr:uid="{00000000-0004-0000-0200-00008F000000}"/>
    <hyperlink ref="T106" r:id="rId145" xr:uid="{00000000-0004-0000-0200-000090000000}"/>
    <hyperlink ref="T107" r:id="rId146" xr:uid="{00000000-0004-0000-0200-000091000000}"/>
    <hyperlink ref="T77" r:id="rId147" xr:uid="{00000000-0004-0000-0200-000092000000}"/>
    <hyperlink ref="T78" r:id="rId148" xr:uid="{00000000-0004-0000-0200-000093000000}"/>
    <hyperlink ref="T79" r:id="rId149" xr:uid="{00000000-0004-0000-0200-000094000000}"/>
    <hyperlink ref="T80" r:id="rId150" xr:uid="{00000000-0004-0000-0200-000095000000}"/>
    <hyperlink ref="T81" r:id="rId151" xr:uid="{00000000-0004-0000-0200-000096000000}"/>
    <hyperlink ref="T82" r:id="rId152" xr:uid="{00000000-0004-0000-0200-000097000000}"/>
    <hyperlink ref="T83" r:id="rId153" xr:uid="{00000000-0004-0000-0200-000098000000}"/>
    <hyperlink ref="T84" r:id="rId154" xr:uid="{00000000-0004-0000-0200-000099000000}"/>
    <hyperlink ref="T85" r:id="rId155" xr:uid="{00000000-0004-0000-0200-00009A000000}"/>
    <hyperlink ref="T86" r:id="rId156" xr:uid="{00000000-0004-0000-0200-00009B000000}"/>
    <hyperlink ref="T87" r:id="rId157" xr:uid="{00000000-0004-0000-0200-00009C000000}"/>
    <hyperlink ref="T88" r:id="rId158" xr:uid="{00000000-0004-0000-0200-00009D000000}"/>
    <hyperlink ref="T89" r:id="rId159" xr:uid="{00000000-0004-0000-0200-00009E000000}"/>
    <hyperlink ref="T62" r:id="rId160" xr:uid="{00000000-0004-0000-0200-00009F000000}"/>
    <hyperlink ref="T63" r:id="rId161" xr:uid="{00000000-0004-0000-0200-0000A0000000}"/>
    <hyperlink ref="T64" r:id="rId162" xr:uid="{00000000-0004-0000-0200-0000A1000000}"/>
    <hyperlink ref="T65" r:id="rId163" xr:uid="{00000000-0004-0000-0200-0000A2000000}"/>
    <hyperlink ref="T66" r:id="rId164" xr:uid="{00000000-0004-0000-0200-0000A3000000}"/>
    <hyperlink ref="T67" r:id="rId165" xr:uid="{00000000-0004-0000-0200-0000A4000000}"/>
    <hyperlink ref="T68" r:id="rId166" xr:uid="{00000000-0004-0000-0200-0000A5000000}"/>
    <hyperlink ref="T70" r:id="rId167" xr:uid="{00000000-0004-0000-0200-0000A6000000}"/>
    <hyperlink ref="T71" r:id="rId168" xr:uid="{00000000-0004-0000-0200-0000A7000000}"/>
    <hyperlink ref="T72" r:id="rId169" xr:uid="{00000000-0004-0000-0200-0000A8000000}"/>
    <hyperlink ref="T73" r:id="rId170" xr:uid="{00000000-0004-0000-0200-0000A9000000}"/>
    <hyperlink ref="T74" r:id="rId171" xr:uid="{00000000-0004-0000-0200-0000AA000000}"/>
    <hyperlink ref="T75" r:id="rId172" xr:uid="{00000000-0004-0000-0200-0000AB000000}"/>
    <hyperlink ref="T57" r:id="rId173" xr:uid="{00000000-0004-0000-0200-0000AC000000}"/>
    <hyperlink ref="T58" r:id="rId174" xr:uid="{00000000-0004-0000-0200-0000AD000000}"/>
    <hyperlink ref="T59" r:id="rId175" xr:uid="{00000000-0004-0000-0200-0000AE000000}"/>
    <hyperlink ref="T60" r:id="rId176" xr:uid="{00000000-0004-0000-0200-0000AF000000}"/>
    <hyperlink ref="T45" r:id="rId177" xr:uid="{00000000-0004-0000-0200-0000B0000000}"/>
    <hyperlink ref="T46" r:id="rId178" xr:uid="{00000000-0004-0000-0200-0000B1000000}"/>
    <hyperlink ref="T47" r:id="rId179" xr:uid="{00000000-0004-0000-0200-0000B2000000}"/>
    <hyperlink ref="T48" r:id="rId180" xr:uid="{00000000-0004-0000-0200-0000B3000000}"/>
    <hyperlink ref="T52" r:id="rId181" xr:uid="{00000000-0004-0000-0200-0000B4000000}"/>
    <hyperlink ref="T53" r:id="rId182" xr:uid="{00000000-0004-0000-0200-0000B5000000}"/>
    <hyperlink ref="T54" r:id="rId183" xr:uid="{00000000-0004-0000-0200-0000B6000000}"/>
    <hyperlink ref="T55" r:id="rId184" xr:uid="{00000000-0004-0000-0200-0000B7000000}"/>
    <hyperlink ref="T42" r:id="rId185" xr:uid="{00000000-0004-0000-0200-0000B8000000}"/>
    <hyperlink ref="T43" r:id="rId186" xr:uid="{00000000-0004-0000-0200-0000B9000000}"/>
    <hyperlink ref="T44" r:id="rId187" xr:uid="{00000000-0004-0000-0200-0000BA000000}"/>
    <hyperlink ref="T50" r:id="rId188" xr:uid="{00000000-0004-0000-0200-0000BB000000}"/>
    <hyperlink ref="T51" r:id="rId189" xr:uid="{00000000-0004-0000-0200-0000BC000000}"/>
    <hyperlink ref="T39" r:id="rId190" xr:uid="{00000000-0004-0000-0200-0000BD000000}"/>
    <hyperlink ref="T40" r:id="rId191" xr:uid="{00000000-0004-0000-0200-0000BE000000}"/>
    <hyperlink ref="T31" r:id="rId192" xr:uid="{00000000-0004-0000-0200-0000BF000000}"/>
    <hyperlink ref="T32" r:id="rId193" xr:uid="{00000000-0004-0000-0200-0000C0000000}"/>
    <hyperlink ref="T33" r:id="rId194" xr:uid="{00000000-0004-0000-0200-0000C1000000}"/>
    <hyperlink ref="T34" r:id="rId195" xr:uid="{00000000-0004-0000-0200-0000C2000000}"/>
    <hyperlink ref="T35" r:id="rId196" xr:uid="{00000000-0004-0000-0200-0000C3000000}"/>
    <hyperlink ref="T36" r:id="rId197" xr:uid="{00000000-0004-0000-0200-0000C4000000}"/>
    <hyperlink ref="T37" r:id="rId198" xr:uid="{00000000-0004-0000-0200-0000C5000000}"/>
    <hyperlink ref="T28" r:id="rId199" xr:uid="{00000000-0004-0000-0200-0000C6000000}"/>
    <hyperlink ref="T29" r:id="rId200" xr:uid="{00000000-0004-0000-0200-0000C7000000}"/>
    <hyperlink ref="T24" r:id="rId201" xr:uid="{00000000-0004-0000-0200-0000C8000000}"/>
    <hyperlink ref="T26" r:id="rId202" xr:uid="{00000000-0004-0000-0200-0000C9000000}"/>
    <hyperlink ref="T25" r:id="rId203" xr:uid="{00000000-0004-0000-0200-0000CA000000}"/>
    <hyperlink ref="T12" r:id="rId204" xr:uid="{00000000-0004-0000-0200-0000CB000000}"/>
    <hyperlink ref="T13" r:id="rId205" xr:uid="{00000000-0004-0000-0200-0000CC000000}"/>
    <hyperlink ref="T14" r:id="rId206" xr:uid="{00000000-0004-0000-0200-0000CD000000}"/>
    <hyperlink ref="T15" r:id="rId207" xr:uid="{00000000-0004-0000-0200-0000CE000000}"/>
    <hyperlink ref="T19" r:id="rId208" xr:uid="{00000000-0004-0000-0200-0000CF000000}"/>
    <hyperlink ref="T20" r:id="rId209" xr:uid="{00000000-0004-0000-0200-0000D0000000}"/>
    <hyperlink ref="T21" r:id="rId210" xr:uid="{00000000-0004-0000-0200-0000D1000000}"/>
    <hyperlink ref="T22" r:id="rId211" xr:uid="{00000000-0004-0000-0200-0000D2000000}"/>
    <hyperlink ref="T9" r:id="rId212" xr:uid="{00000000-0004-0000-0200-0000D3000000}"/>
    <hyperlink ref="T10" r:id="rId213" xr:uid="{00000000-0004-0000-0200-0000D4000000}"/>
    <hyperlink ref="T11" r:id="rId214" xr:uid="{00000000-0004-0000-0200-0000D5000000}"/>
    <hyperlink ref="T17" r:id="rId215" xr:uid="{00000000-0004-0000-0200-0000D6000000}"/>
    <hyperlink ref="T18" r:id="rId216" xr:uid="{00000000-0004-0000-0200-0000D7000000}"/>
    <hyperlink ref="T6:T7" r:id="rId217" display="Investor Presentation" xr:uid="{00000000-0004-0000-0200-0000D8000000}"/>
  </hyperlinks>
  <pageMargins left="0.7" right="0.7" top="0.75" bottom="0.75" header="0.3" footer="0.3"/>
  <pageSetup orientation="portrait" r:id="rId218"/>
  <legacyDrawing r:id="rId219"/>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D0FDF-EBE5-470A-AFC4-679C3ACF957E}">
  <sheetPr>
    <pageSetUpPr fitToPage="1"/>
  </sheetPr>
  <dimension ref="A1:AF136"/>
  <sheetViews>
    <sheetView view="pageBreakPreview" zoomScale="85" zoomScaleNormal="100" zoomScaleSheetLayoutView="85" workbookViewId="0">
      <pane xSplit="1" ySplit="9" topLeftCell="B96" activePane="bottomRight" state="frozen"/>
      <selection pane="topRight" activeCell="B1" sqref="B1"/>
      <selection pane="bottomLeft" activeCell="A7" sqref="A7"/>
      <selection pane="bottomRight" activeCell="Q132" sqref="Q132"/>
    </sheetView>
  </sheetViews>
  <sheetFormatPr defaultColWidth="9.1796875" defaultRowHeight="11.5" outlineLevelRow="1" x14ac:dyDescent="0.25"/>
  <cols>
    <col min="1" max="1" width="22.1796875" style="995" customWidth="1"/>
    <col min="2" max="2" width="2.26953125" style="995" customWidth="1"/>
    <col min="3" max="24" width="8" style="995" customWidth="1"/>
    <col min="25" max="25" width="1.7265625" style="995" customWidth="1"/>
    <col min="26" max="29" width="8" style="995" customWidth="1"/>
    <col min="30" max="16384" width="9.1796875" style="995"/>
  </cols>
  <sheetData>
    <row r="1" spans="1:29" ht="11.25" customHeight="1" x14ac:dyDescent="0.3">
      <c r="A1" s="997" t="s">
        <v>651</v>
      </c>
      <c r="E1" s="997"/>
      <c r="F1" s="997"/>
      <c r="G1" s="997"/>
      <c r="H1" s="997"/>
      <c r="I1" s="997"/>
      <c r="J1" s="997"/>
      <c r="K1" s="1002"/>
      <c r="L1" s="1002"/>
      <c r="M1" s="997"/>
      <c r="N1" s="997"/>
      <c r="O1" s="1003"/>
      <c r="P1" s="1003"/>
      <c r="Q1" s="1003"/>
      <c r="R1" s="1003"/>
      <c r="S1" s="1003"/>
      <c r="T1" s="1003"/>
      <c r="U1" s="1003"/>
      <c r="V1" s="1003"/>
      <c r="W1" s="1003"/>
      <c r="X1" s="1003"/>
      <c r="Y1" s="1331"/>
      <c r="Z1" s="1332"/>
      <c r="AB1" s="1332"/>
      <c r="AC1" s="1333"/>
    </row>
    <row r="2" spans="1:29" ht="11.25" customHeight="1" x14ac:dyDescent="0.25">
      <c r="A2" s="997" t="s">
        <v>1540</v>
      </c>
    </row>
    <row r="3" spans="1:29" ht="11.25" customHeight="1" x14ac:dyDescent="0.3">
      <c r="A3" s="1334" t="s">
        <v>1498</v>
      </c>
      <c r="B3" s="1335"/>
      <c r="C3" s="1335"/>
      <c r="D3" s="1335"/>
      <c r="E3" s="1335"/>
      <c r="F3" s="1335"/>
      <c r="G3" s="1335"/>
      <c r="H3" s="1335"/>
      <c r="I3" s="1335"/>
      <c r="J3" s="1335"/>
      <c r="K3" s="1335"/>
      <c r="L3" s="1335"/>
      <c r="M3" s="1335"/>
      <c r="N3" s="1335"/>
      <c r="O3" s="1335"/>
      <c r="P3" s="1335"/>
      <c r="Q3" s="1335"/>
      <c r="R3" s="1335"/>
      <c r="S3" s="1335"/>
      <c r="T3" s="1335"/>
      <c r="U3" s="1335"/>
      <c r="V3" s="1335"/>
      <c r="W3" s="1335"/>
      <c r="X3" s="1335"/>
      <c r="Y3" s="1335"/>
      <c r="Z3" s="1335"/>
      <c r="AA3" s="1335"/>
      <c r="AB3" s="1335"/>
      <c r="AC3" s="1335"/>
    </row>
    <row r="4" spans="1:29" ht="11.25" customHeight="1" x14ac:dyDescent="0.3">
      <c r="A4" s="1082"/>
      <c r="B4" s="1002"/>
      <c r="C4" s="1002"/>
      <c r="D4" s="1002"/>
      <c r="E4" s="1002"/>
      <c r="F4" s="1002"/>
      <c r="G4" s="1002"/>
      <c r="H4" s="1002"/>
      <c r="I4" s="1002"/>
      <c r="J4" s="1002"/>
      <c r="K4" s="1002"/>
      <c r="L4" s="1002"/>
      <c r="M4" s="1002"/>
      <c r="N4" s="1002"/>
      <c r="O4" s="1002"/>
      <c r="P4" s="1002"/>
      <c r="Q4" s="1002"/>
      <c r="R4" s="1002"/>
      <c r="S4" s="1002"/>
      <c r="T4" s="1002"/>
      <c r="U4" s="1002"/>
      <c r="V4" s="1002"/>
      <c r="W4" s="1002"/>
      <c r="X4" s="1002"/>
      <c r="Y4" s="1002"/>
      <c r="Z4" s="1002"/>
      <c r="AA4" s="1002"/>
      <c r="AB4" s="1002"/>
      <c r="AC4" s="1002"/>
    </row>
    <row r="5" spans="1:29" ht="11.25" customHeight="1" x14ac:dyDescent="0.25">
      <c r="A5" s="1068" t="s">
        <v>1552</v>
      </c>
      <c r="B5" s="1002"/>
      <c r="C5" s="1002"/>
      <c r="D5" s="1002"/>
      <c r="E5" s="1002"/>
      <c r="F5" s="1002"/>
      <c r="G5" s="1002"/>
      <c r="H5" s="1002"/>
      <c r="I5" s="1002"/>
      <c r="J5" s="1002"/>
      <c r="K5" s="1002"/>
      <c r="L5" s="1002"/>
      <c r="M5" s="1002"/>
      <c r="N5" s="1002"/>
      <c r="O5" s="1002"/>
      <c r="P5" s="1002"/>
      <c r="Q5" s="1002"/>
      <c r="R5" s="1002"/>
      <c r="S5" s="1002"/>
      <c r="T5" s="1002"/>
      <c r="U5" s="1002"/>
      <c r="V5" s="1002"/>
      <c r="W5" s="1002"/>
      <c r="X5" s="1002"/>
      <c r="Y5" s="1002"/>
      <c r="Z5" s="1002"/>
      <c r="AA5" s="1002"/>
      <c r="AB5" s="1002"/>
      <c r="AC5" s="1002"/>
    </row>
    <row r="6" spans="1:29" ht="16.5" x14ac:dyDescent="0.55000000000000004">
      <c r="A6" s="1452" t="s">
        <v>1094</v>
      </c>
      <c r="B6" s="1455"/>
      <c r="C6" s="1455"/>
      <c r="D6" s="1455"/>
      <c r="E6" s="1455"/>
      <c r="F6" s="1456"/>
      <c r="G6" s="1456"/>
      <c r="H6" s="1456"/>
      <c r="I6" s="1456"/>
      <c r="J6" s="1456"/>
      <c r="K6" s="1456"/>
      <c r="L6" s="1456"/>
      <c r="M6" s="1456"/>
      <c r="N6" s="1455"/>
      <c r="O6" s="1455"/>
      <c r="P6" s="1455"/>
      <c r="Q6" s="1456" t="s">
        <v>1608</v>
      </c>
      <c r="R6" s="1454"/>
      <c r="S6" s="1454"/>
      <c r="T6" s="1457"/>
      <c r="U6" s="1457"/>
      <c r="V6" s="1457"/>
      <c r="W6" s="1457"/>
      <c r="X6" s="1457"/>
      <c r="Y6" s="1002"/>
      <c r="Z6" s="1002"/>
      <c r="AA6" s="1002"/>
      <c r="AB6" s="1002"/>
      <c r="AC6" s="1002"/>
    </row>
    <row r="7" spans="1:29" s="1452" customFormat="1" ht="14.5" x14ac:dyDescent="0.55000000000000004">
      <c r="C7" s="1453" t="s">
        <v>1603</v>
      </c>
      <c r="D7" s="1453"/>
      <c r="E7" s="1453"/>
      <c r="F7" s="1454" t="s">
        <v>1604</v>
      </c>
      <c r="G7" s="1454"/>
      <c r="H7" s="1454"/>
      <c r="I7" s="1454"/>
      <c r="J7" s="1454"/>
      <c r="K7" s="1454"/>
      <c r="L7" s="1454"/>
      <c r="M7" s="1454"/>
      <c r="N7" s="1453" t="s">
        <v>1605</v>
      </c>
      <c r="O7" s="1453"/>
      <c r="P7" s="1453"/>
      <c r="Q7" s="1454" t="s">
        <v>1607</v>
      </c>
      <c r="R7" s="1454"/>
      <c r="S7" s="1454"/>
      <c r="T7" s="1453" t="s">
        <v>1606</v>
      </c>
      <c r="U7" s="1453"/>
      <c r="V7" s="1453"/>
      <c r="W7" s="1453"/>
      <c r="X7" s="1453"/>
    </row>
    <row r="8" spans="1:29" ht="11.25" customHeight="1" x14ac:dyDescent="0.55000000000000004">
      <c r="C8" s="1337">
        <v>34942</v>
      </c>
      <c r="D8" s="1337">
        <f t="shared" ref="D8:X8" si="0">EOMONTH(C8,12)</f>
        <v>35308</v>
      </c>
      <c r="E8" s="1337">
        <f t="shared" si="0"/>
        <v>35673</v>
      </c>
      <c r="F8" s="1337">
        <f t="shared" si="0"/>
        <v>36038</v>
      </c>
      <c r="G8" s="1337">
        <f t="shared" si="0"/>
        <v>36403</v>
      </c>
      <c r="H8" s="1337">
        <f t="shared" si="0"/>
        <v>36769</v>
      </c>
      <c r="I8" s="1337">
        <f t="shared" si="0"/>
        <v>37134</v>
      </c>
      <c r="J8" s="1337">
        <f t="shared" si="0"/>
        <v>37499</v>
      </c>
      <c r="K8" s="1337">
        <f t="shared" si="0"/>
        <v>37864</v>
      </c>
      <c r="L8" s="1337">
        <f t="shared" si="0"/>
        <v>38230</v>
      </c>
      <c r="M8" s="1337">
        <f t="shared" si="0"/>
        <v>38595</v>
      </c>
      <c r="N8" s="1337">
        <f t="shared" si="0"/>
        <v>38960</v>
      </c>
      <c r="O8" s="1337">
        <f t="shared" si="0"/>
        <v>39325</v>
      </c>
      <c r="P8" s="1337">
        <f t="shared" si="0"/>
        <v>39691</v>
      </c>
      <c r="Q8" s="1337">
        <f t="shared" si="0"/>
        <v>40056</v>
      </c>
      <c r="R8" s="1337">
        <f t="shared" si="0"/>
        <v>40421</v>
      </c>
      <c r="S8" s="1337">
        <f t="shared" si="0"/>
        <v>40786</v>
      </c>
      <c r="T8" s="1337">
        <f t="shared" si="0"/>
        <v>41152</v>
      </c>
      <c r="U8" s="1337">
        <f t="shared" si="0"/>
        <v>41517</v>
      </c>
      <c r="V8" s="1337">
        <f t="shared" si="0"/>
        <v>41882</v>
      </c>
      <c r="W8" s="1337">
        <f t="shared" si="0"/>
        <v>42247</v>
      </c>
      <c r="X8" s="1337">
        <f t="shared" si="0"/>
        <v>42613</v>
      </c>
      <c r="Z8" s="1336"/>
      <c r="AA8" s="1338"/>
      <c r="AB8" s="1338"/>
      <c r="AC8" s="1338"/>
    </row>
    <row r="9" spans="1:29" ht="13.5" customHeight="1" x14ac:dyDescent="0.55000000000000004">
      <c r="A9" s="1339" t="s">
        <v>1541</v>
      </c>
      <c r="C9" s="1071" t="str">
        <f t="shared" ref="C9:X9" si="1">"FY"&amp;RIGHT(YEAR(C8),2)</f>
        <v>FY95</v>
      </c>
      <c r="D9" s="1071" t="str">
        <f t="shared" si="1"/>
        <v>FY96</v>
      </c>
      <c r="E9" s="1071" t="str">
        <f t="shared" si="1"/>
        <v>FY97</v>
      </c>
      <c r="F9" s="1071" t="str">
        <f t="shared" si="1"/>
        <v>FY98</v>
      </c>
      <c r="G9" s="1071" t="str">
        <f t="shared" si="1"/>
        <v>FY99</v>
      </c>
      <c r="H9" s="1071" t="str">
        <f t="shared" si="1"/>
        <v>FY00</v>
      </c>
      <c r="I9" s="1071" t="str">
        <f t="shared" si="1"/>
        <v>FY01</v>
      </c>
      <c r="J9" s="1071" t="str">
        <f t="shared" si="1"/>
        <v>FY02</v>
      </c>
      <c r="K9" s="1071" t="str">
        <f t="shared" si="1"/>
        <v>FY03</v>
      </c>
      <c r="L9" s="1071" t="str">
        <f t="shared" si="1"/>
        <v>FY04</v>
      </c>
      <c r="M9" s="1071" t="str">
        <f t="shared" si="1"/>
        <v>FY05</v>
      </c>
      <c r="N9" s="1071" t="str">
        <f t="shared" si="1"/>
        <v>FY06</v>
      </c>
      <c r="O9" s="1071" t="str">
        <f t="shared" si="1"/>
        <v>FY07</v>
      </c>
      <c r="P9" s="1071" t="str">
        <f t="shared" si="1"/>
        <v>FY08</v>
      </c>
      <c r="Q9" s="1071" t="str">
        <f t="shared" si="1"/>
        <v>FY09</v>
      </c>
      <c r="R9" s="1071" t="str">
        <f t="shared" si="1"/>
        <v>FY10</v>
      </c>
      <c r="S9" s="1071" t="str">
        <f t="shared" si="1"/>
        <v>FY11</v>
      </c>
      <c r="T9" s="1071" t="str">
        <f t="shared" si="1"/>
        <v>FY12</v>
      </c>
      <c r="U9" s="1071" t="str">
        <f t="shared" si="1"/>
        <v>FY13</v>
      </c>
      <c r="V9" s="1071" t="str">
        <f t="shared" si="1"/>
        <v>FY14</v>
      </c>
      <c r="W9" s="1071" t="str">
        <f t="shared" si="1"/>
        <v>FY15</v>
      </c>
      <c r="X9" s="1071" t="str">
        <f t="shared" si="1"/>
        <v>FY16</v>
      </c>
      <c r="Y9" s="1071"/>
      <c r="Z9" s="1071"/>
      <c r="AA9" s="1071"/>
      <c r="AB9" s="1071"/>
      <c r="AC9" s="1071"/>
    </row>
    <row r="10" spans="1:29" ht="11.25" customHeight="1" x14ac:dyDescent="0.25">
      <c r="A10" s="1340" t="s">
        <v>698</v>
      </c>
      <c r="B10" s="1341"/>
    </row>
    <row r="11" spans="1:29" ht="11.25" customHeight="1" x14ac:dyDescent="0.3">
      <c r="C11" s="1342" t="s">
        <v>1499</v>
      </c>
      <c r="D11" s="1342" t="s">
        <v>1499</v>
      </c>
      <c r="E11" s="1342" t="s">
        <v>1499</v>
      </c>
      <c r="F11" s="1342" t="s">
        <v>1499</v>
      </c>
      <c r="G11" s="1342" t="s">
        <v>1499</v>
      </c>
      <c r="H11" s="1342"/>
      <c r="I11" s="1342"/>
      <c r="J11" s="1342"/>
      <c r="L11" s="1342" t="s">
        <v>386</v>
      </c>
      <c r="M11" s="1342" t="s">
        <v>386</v>
      </c>
      <c r="N11" s="1342" t="s">
        <v>1499</v>
      </c>
      <c r="O11" s="1342"/>
      <c r="P11" s="1342" t="s">
        <v>1499</v>
      </c>
      <c r="Q11" s="1342" t="s">
        <v>1499</v>
      </c>
      <c r="R11" s="1342" t="s">
        <v>1499</v>
      </c>
      <c r="S11" s="1342" t="s">
        <v>1499</v>
      </c>
      <c r="T11" s="1342" t="s">
        <v>1499</v>
      </c>
      <c r="U11" s="1342" t="s">
        <v>1499</v>
      </c>
      <c r="V11" s="1342" t="s">
        <v>1499</v>
      </c>
      <c r="W11" s="1342"/>
    </row>
    <row r="12" spans="1:29" s="1344" customFormat="1" ht="11.25" customHeight="1" x14ac:dyDescent="0.25">
      <c r="A12" s="1343" t="s">
        <v>654</v>
      </c>
      <c r="C12" s="1345">
        <f>+'APOL historicals'!D20</f>
        <v>161.01300000000001</v>
      </c>
      <c r="D12" s="1345">
        <f>+'APOL historicals'!E20</f>
        <v>211.24700000000001</v>
      </c>
      <c r="E12" s="1345">
        <f>+'APOL historicals'!F20</f>
        <v>279.19499999999999</v>
      </c>
      <c r="F12" s="1345">
        <f>+'APOL historicals'!G20</f>
        <v>384.87700000000001</v>
      </c>
      <c r="G12" s="1345">
        <f>+'APOL historicals'!H20</f>
        <v>498.846</v>
      </c>
      <c r="H12" s="1345">
        <f>+'APOL historicals'!I20</f>
        <v>609.99699999999996</v>
      </c>
      <c r="I12" s="1345">
        <f>+'APOL historicals'!J20</f>
        <v>769.47400000000005</v>
      </c>
      <c r="J12" s="1345">
        <f>+'APOL historicals'!K20</f>
        <v>1009.455</v>
      </c>
      <c r="K12" s="1345">
        <f>+'APOL historicals'!L20</f>
        <v>1339.5170000000001</v>
      </c>
      <c r="L12" s="1345">
        <f>+'APOL historicals'!M20</f>
        <v>1800.047</v>
      </c>
      <c r="M12" s="1345">
        <f>+'APOL historicals'!N20</f>
        <v>2251.114</v>
      </c>
      <c r="N12" s="1345">
        <f>+'APOL historicals'!O20</f>
        <v>2477.5329999999999</v>
      </c>
      <c r="O12" s="1346">
        <f>+'APOL historicals'!P20</f>
        <v>2723.7930000000001</v>
      </c>
      <c r="P12" s="1346">
        <f>+'APOL historicals'!Q20</f>
        <v>3133.4360000000001</v>
      </c>
      <c r="Q12" s="1346">
        <f>+'APOL historicals'!R20</f>
        <v>3953.5659999999998</v>
      </c>
      <c r="R12" s="1346">
        <f>+'APOL historicals'!S20</f>
        <v>4906.6130000000003</v>
      </c>
      <c r="S12" s="1346">
        <f>+'APOL historicals'!T20</f>
        <v>4711.049</v>
      </c>
      <c r="T12" s="1346">
        <f>+'APOL historicals'!U20</f>
        <v>4193.1899999999996</v>
      </c>
      <c r="U12" s="1346">
        <f>+'APOL historicals'!V20</f>
        <v>3613.8510000000001</v>
      </c>
      <c r="V12" s="1346">
        <f>+'APOL historicals'!W20</f>
        <v>2996.8649999999998</v>
      </c>
      <c r="W12" s="1346">
        <f>+'APOL historicals'!X20</f>
        <v>2566.277</v>
      </c>
      <c r="X12" s="1346">
        <f>+'APOL historicals'!Y20</f>
        <v>2101.85</v>
      </c>
      <c r="Y12" s="1347"/>
      <c r="Z12" s="1348">
        <f>+(R12/C12)^(0.0666666666666667)-1</f>
        <v>0.25582191503315554</v>
      </c>
      <c r="AA12" s="1348"/>
      <c r="AB12" s="1348"/>
      <c r="AC12" s="1348"/>
    </row>
    <row r="13" spans="1:29" ht="11.25" customHeight="1" x14ac:dyDescent="0.3">
      <c r="A13" s="1015" t="s">
        <v>1542</v>
      </c>
      <c r="C13" s="1349">
        <f>+C12/'APOL historicals'!C20-1</f>
        <v>0.29099583066067991</v>
      </c>
      <c r="D13" s="1349">
        <f>+D12/C12-1</f>
        <v>0.31198723084471447</v>
      </c>
      <c r="E13" s="1349">
        <f t="shared" ref="E13:X13" si="2">+E12/D12-1</f>
        <v>0.32165190511581221</v>
      </c>
      <c r="F13" s="1349">
        <f t="shared" si="2"/>
        <v>0.37852397070148114</v>
      </c>
      <c r="G13" s="1349">
        <f t="shared" si="2"/>
        <v>0.29611798054963012</v>
      </c>
      <c r="H13" s="1349">
        <f t="shared" si="2"/>
        <v>0.22281625992791354</v>
      </c>
      <c r="I13" s="1349">
        <f t="shared" si="2"/>
        <v>0.2614389906835608</v>
      </c>
      <c r="J13" s="1349">
        <f t="shared" si="2"/>
        <v>0.31187668459233198</v>
      </c>
      <c r="K13" s="1349">
        <f t="shared" si="2"/>
        <v>0.32697049397942446</v>
      </c>
      <c r="L13" s="1349">
        <f t="shared" si="2"/>
        <v>0.34380302750916925</v>
      </c>
      <c r="M13" s="1349">
        <f t="shared" si="2"/>
        <v>0.25058623469276076</v>
      </c>
      <c r="N13" s="1349">
        <f t="shared" si="2"/>
        <v>0.10058086796137378</v>
      </c>
      <c r="O13" s="1349">
        <f t="shared" si="2"/>
        <v>9.9397263326058694E-2</v>
      </c>
      <c r="P13" s="1349">
        <f t="shared" si="2"/>
        <v>0.15039432144806897</v>
      </c>
      <c r="Q13" s="1349">
        <f t="shared" si="2"/>
        <v>0.26173504102206002</v>
      </c>
      <c r="R13" s="1349">
        <f t="shared" si="2"/>
        <v>0.24106009612587731</v>
      </c>
      <c r="S13" s="1349">
        <f t="shared" si="2"/>
        <v>-3.9857229416707662E-2</v>
      </c>
      <c r="T13" s="1349">
        <f t="shared" si="2"/>
        <v>-0.10992435018188107</v>
      </c>
      <c r="U13" s="1349">
        <f t="shared" si="2"/>
        <v>-0.13816187675731351</v>
      </c>
      <c r="V13" s="1349">
        <f t="shared" si="2"/>
        <v>-0.17072812354466205</v>
      </c>
      <c r="W13" s="1349">
        <f t="shared" si="2"/>
        <v>-0.14367947838824902</v>
      </c>
      <c r="X13" s="1349">
        <f t="shared" si="2"/>
        <v>-0.18097305941642317</v>
      </c>
      <c r="Y13" s="1350"/>
      <c r="Z13" s="1349"/>
      <c r="AA13" s="1349"/>
      <c r="AB13" s="1349"/>
      <c r="AC13" s="1349"/>
    </row>
    <row r="14" spans="1:29" ht="11.25" customHeight="1" x14ac:dyDescent="0.3">
      <c r="A14" s="1015" t="s">
        <v>1544</v>
      </c>
      <c r="C14" s="1351"/>
      <c r="D14" s="1352"/>
      <c r="E14" s="1352"/>
      <c r="F14" s="1352"/>
      <c r="G14" s="1349">
        <f>+(G12/C12)^(0.2)-1</f>
        <v>0.25377934369728727</v>
      </c>
      <c r="H14" s="1349">
        <f t="shared" ref="H14:X14" si="3">+(H12/D12)^(0.2)-1</f>
        <v>0.23625320297844632</v>
      </c>
      <c r="I14" s="1349">
        <f t="shared" si="3"/>
        <v>0.22477767829906736</v>
      </c>
      <c r="J14" s="1349">
        <f t="shared" si="3"/>
        <v>0.21269894837362813</v>
      </c>
      <c r="K14" s="1349">
        <f t="shared" si="3"/>
        <v>0.21841811441102088</v>
      </c>
      <c r="L14" s="1349">
        <f t="shared" si="3"/>
        <v>0.24162723188877111</v>
      </c>
      <c r="M14" s="1349">
        <f t="shared" si="3"/>
        <v>0.23948338009793346</v>
      </c>
      <c r="N14" s="1349">
        <f t="shared" si="3"/>
        <v>0.19670332270711444</v>
      </c>
      <c r="O14" s="1349">
        <f t="shared" si="3"/>
        <v>0.15251125157642575</v>
      </c>
      <c r="P14" s="1349">
        <f t="shared" si="3"/>
        <v>0.11724236835924118</v>
      </c>
      <c r="Q14" s="1349">
        <f t="shared" si="3"/>
        <v>0.11922731548644716</v>
      </c>
      <c r="R14" s="1349">
        <f t="shared" si="3"/>
        <v>0.14644301199267695</v>
      </c>
      <c r="S14" s="1349">
        <f t="shared" si="3"/>
        <v>0.11580603080275909</v>
      </c>
      <c r="T14" s="1349">
        <f t="shared" si="3"/>
        <v>5.9997259719430041E-2</v>
      </c>
      <c r="U14" s="1349">
        <f t="shared" si="3"/>
        <v>-1.7808322500618257E-2</v>
      </c>
      <c r="V14" s="1349">
        <f t="shared" si="3"/>
        <v>-9.389802941651948E-2</v>
      </c>
      <c r="W14" s="1349">
        <f t="shared" si="3"/>
        <v>-0.11440086831794161</v>
      </c>
      <c r="X14" s="1349">
        <f t="shared" si="3"/>
        <v>-0.12901347615272185</v>
      </c>
      <c r="Y14" s="1350"/>
      <c r="Z14" s="1349"/>
      <c r="AA14" s="1349"/>
      <c r="AB14" s="1349"/>
      <c r="AC14" s="1349"/>
    </row>
    <row r="15" spans="1:29" ht="11.25" customHeight="1" x14ac:dyDescent="0.3">
      <c r="A15" s="1015" t="s">
        <v>1545</v>
      </c>
      <c r="C15" s="1351"/>
      <c r="D15" s="1352"/>
      <c r="E15" s="1352"/>
      <c r="F15" s="1352"/>
      <c r="G15" s="1352"/>
      <c r="H15" s="1352"/>
      <c r="I15" s="1352"/>
      <c r="J15" s="1352"/>
      <c r="K15" s="1352"/>
      <c r="L15" s="1349">
        <f>+(L12/C12)^(0.1)-1</f>
        <v>0.27304070505942324</v>
      </c>
      <c r="M15" s="1349">
        <f t="shared" ref="M15:X15" si="4">+(M12/D12)^(0.1)-1</f>
        <v>0.26695355332054227</v>
      </c>
      <c r="N15" s="1349">
        <f t="shared" si="4"/>
        <v>0.2439736499215881</v>
      </c>
      <c r="O15" s="1349">
        <f t="shared" si="4"/>
        <v>0.21614459525582363</v>
      </c>
      <c r="P15" s="1349">
        <f t="shared" si="4"/>
        <v>0.20172593353958201</v>
      </c>
      <c r="Q15" s="1349">
        <f t="shared" si="4"/>
        <v>0.20549698745044243</v>
      </c>
      <c r="R15" s="1349">
        <f t="shared" si="4"/>
        <v>0.20353516908387048</v>
      </c>
      <c r="S15" s="1349">
        <f t="shared" si="4"/>
        <v>0.16654921506716125</v>
      </c>
      <c r="T15" s="1349">
        <f t="shared" si="4"/>
        <v>0.12088131913607003</v>
      </c>
      <c r="U15" s="1349">
        <f t="shared" si="4"/>
        <v>7.2182315598465996E-2</v>
      </c>
      <c r="V15" s="1349">
        <f t="shared" si="4"/>
        <v>2.902747147221274E-2</v>
      </c>
      <c r="W15" s="1349">
        <f t="shared" si="4"/>
        <v>3.5254903205048649E-3</v>
      </c>
      <c r="X15" s="1349">
        <f t="shared" si="4"/>
        <v>-2.5587689805325442E-2</v>
      </c>
      <c r="Y15" s="1350"/>
      <c r="Z15" s="1349"/>
      <c r="AA15" s="1349"/>
      <c r="AB15" s="1349"/>
      <c r="AC15" s="1349"/>
    </row>
    <row r="16" spans="1:29" ht="11.25" customHeight="1" x14ac:dyDescent="0.3">
      <c r="A16" s="1015" t="s">
        <v>1546</v>
      </c>
      <c r="C16" s="1351"/>
      <c r="D16" s="1352"/>
      <c r="E16" s="1352"/>
      <c r="F16" s="1352"/>
      <c r="G16" s="1352"/>
      <c r="H16" s="1352"/>
      <c r="I16" s="1352"/>
      <c r="J16" s="1352"/>
      <c r="K16" s="1352"/>
      <c r="L16" s="1349"/>
      <c r="M16" s="1349"/>
      <c r="N16" s="1349"/>
      <c r="O16" s="1349"/>
      <c r="P16" s="1349"/>
      <c r="Q16" s="1349">
        <f>+(Q12/C12)^(0.0666666666666667)-1</f>
        <v>0.23787047190146504</v>
      </c>
      <c r="R16" s="1349">
        <f t="shared" ref="R16:X16" si="5">+(R12/D12)^(0.0666666666666667)-1</f>
        <v>0.23329248077821552</v>
      </c>
      <c r="S16" s="1349">
        <f t="shared" si="5"/>
        <v>0.20729665957238463</v>
      </c>
      <c r="T16" s="1349">
        <f t="shared" si="5"/>
        <v>0.17259536228383854</v>
      </c>
      <c r="U16" s="1349">
        <f t="shared" si="5"/>
        <v>0.14112595415701779</v>
      </c>
      <c r="V16" s="1349">
        <f t="shared" si="5"/>
        <v>0.11196034268824051</v>
      </c>
      <c r="W16" s="1349">
        <f t="shared" si="5"/>
        <v>8.3612414984701067E-2</v>
      </c>
      <c r="X16" s="1349">
        <f t="shared" si="5"/>
        <v>5.010884622654932E-2</v>
      </c>
      <c r="Y16" s="1350"/>
      <c r="Z16" s="1349"/>
      <c r="AA16" s="1349"/>
      <c r="AB16" s="1349"/>
      <c r="AC16" s="1349"/>
    </row>
    <row r="17" spans="1:29" s="1354" customFormat="1" ht="11.25" customHeight="1" x14ac:dyDescent="0.25">
      <c r="A17" s="1353"/>
      <c r="C17" s="1355"/>
      <c r="D17" s="1356"/>
      <c r="E17" s="1356"/>
      <c r="F17" s="1356"/>
      <c r="G17" s="1356"/>
      <c r="H17" s="1356"/>
      <c r="I17" s="1356"/>
      <c r="J17" s="1356"/>
      <c r="K17" s="1356"/>
      <c r="L17" s="1356"/>
      <c r="M17" s="1356"/>
      <c r="N17" s="1356"/>
      <c r="O17" s="995"/>
      <c r="P17" s="995"/>
      <c r="Q17" s="995"/>
      <c r="R17" s="995"/>
      <c r="S17" s="995"/>
      <c r="T17" s="995"/>
      <c r="U17" s="995"/>
      <c r="V17" s="995"/>
      <c r="W17" s="995"/>
      <c r="X17" s="995"/>
      <c r="Y17" s="995"/>
      <c r="Z17" s="1357"/>
      <c r="AA17" s="1357"/>
      <c r="AB17" s="1357"/>
      <c r="AC17" s="1357"/>
    </row>
    <row r="18" spans="1:29" s="1354" customFormat="1" ht="11.25" customHeight="1" x14ac:dyDescent="0.25">
      <c r="A18" s="1353" t="s">
        <v>1543</v>
      </c>
      <c r="C18" s="1358">
        <f>+'APOL historicals'!D234</f>
        <v>0</v>
      </c>
      <c r="D18" s="1358">
        <f>+'APOL historicals'!E234</f>
        <v>-0.6</v>
      </c>
      <c r="E18" s="1358">
        <f>+'APOL historicals'!F234</f>
        <v>0</v>
      </c>
      <c r="F18" s="1358">
        <f>+'APOL historicals'!G234</f>
        <v>-19.399999999999999</v>
      </c>
      <c r="G18" s="1358">
        <f>+'APOL historicals'!H234</f>
        <v>0</v>
      </c>
      <c r="H18" s="1358">
        <f>+'APOL historicals'!I234</f>
        <v>0</v>
      </c>
      <c r="I18" s="1358">
        <f>+'APOL historicals'!J234</f>
        <v>0</v>
      </c>
      <c r="J18" s="1358">
        <f>+'APOL historicals'!K234</f>
        <v>0</v>
      </c>
      <c r="K18" s="1358">
        <f>+'APOL historicals'!L234</f>
        <v>0</v>
      </c>
      <c r="L18" s="1358">
        <f>+'APOL historicals'!M234</f>
        <v>0</v>
      </c>
      <c r="M18" s="1358">
        <f>+'APOL historicals'!N234</f>
        <v>0</v>
      </c>
      <c r="N18" s="1358">
        <f>+'APOL historicals'!O234</f>
        <v>0</v>
      </c>
      <c r="O18" s="1358">
        <f>+'APOL historicals'!P234</f>
        <v>-15.1</v>
      </c>
      <c r="P18" s="1358">
        <f>+'APOL historicals'!Q234</f>
        <v>-93.8</v>
      </c>
      <c r="Q18" s="1358">
        <f>+'APOL historicals'!R234</f>
        <v>-523.79999999999995</v>
      </c>
      <c r="R18" s="1358">
        <f>+'APOL historicals'!S234</f>
        <v>-5.5</v>
      </c>
      <c r="S18" s="1358">
        <f>+'APOL historicals'!T234</f>
        <v>0</v>
      </c>
      <c r="T18" s="1358">
        <f>+'APOL historicals'!U234</f>
        <v>-73.7</v>
      </c>
      <c r="U18" s="1358">
        <f>+'APOL historicals'!V234</f>
        <v>0</v>
      </c>
      <c r="V18" s="1358">
        <f>+'APOL historicals'!W234</f>
        <v>-119.5</v>
      </c>
      <c r="W18" s="1358">
        <f>+'APOL historicals'!X234</f>
        <v>-31.7</v>
      </c>
      <c r="X18" s="1358">
        <f>+'APOL historicals'!Y234</f>
        <v>-97.3</v>
      </c>
      <c r="Y18" s="995"/>
      <c r="Z18" s="1357"/>
      <c r="AA18" s="1357"/>
      <c r="AB18" s="1357"/>
      <c r="AC18" s="1357"/>
    </row>
    <row r="19" spans="1:29" s="1354" customFormat="1" ht="11.25" customHeight="1" x14ac:dyDescent="0.25">
      <c r="A19" s="1353"/>
      <c r="C19" s="1355"/>
      <c r="D19" s="1356"/>
      <c r="E19" s="1356"/>
      <c r="F19" s="1356"/>
      <c r="G19" s="1356"/>
      <c r="H19" s="1356"/>
      <c r="I19" s="1356"/>
      <c r="J19" s="1356"/>
      <c r="K19" s="1356"/>
      <c r="L19" s="1356"/>
      <c r="M19" s="1356"/>
      <c r="N19" s="1356"/>
      <c r="O19" s="995"/>
      <c r="P19" s="995"/>
      <c r="Q19" s="995"/>
      <c r="R19" s="995"/>
      <c r="S19" s="995"/>
      <c r="T19" s="995"/>
      <c r="U19" s="995"/>
      <c r="V19" s="995"/>
      <c r="W19" s="995"/>
      <c r="X19" s="995"/>
      <c r="Y19" s="995"/>
      <c r="Z19" s="1357"/>
      <c r="AA19" s="1357"/>
      <c r="AB19" s="1357"/>
      <c r="AC19" s="1357"/>
    </row>
    <row r="20" spans="1:29" s="1354" customFormat="1" ht="13" x14ac:dyDescent="0.35">
      <c r="A20" s="1359" t="s">
        <v>1501</v>
      </c>
      <c r="C20" s="1360">
        <f t="shared" ref="C20:X20" si="6">C12-C21</f>
        <v>102.12200000000001</v>
      </c>
      <c r="D20" s="1360">
        <f t="shared" si="6"/>
        <v>130.03900000000002</v>
      </c>
      <c r="E20" s="1360">
        <f t="shared" si="6"/>
        <v>167.72</v>
      </c>
      <c r="F20" s="1360">
        <f t="shared" si="6"/>
        <v>223.52500000000001</v>
      </c>
      <c r="G20" s="1360">
        <f t="shared" si="6"/>
        <v>287.58199999999999</v>
      </c>
      <c r="H20" s="1360">
        <f t="shared" si="6"/>
        <v>352.87399999999997</v>
      </c>
      <c r="I20" s="1360">
        <f t="shared" si="6"/>
        <v>410.08400000000006</v>
      </c>
      <c r="J20" s="1360">
        <f t="shared" si="6"/>
        <v>498.45400000000006</v>
      </c>
      <c r="K20" s="1360">
        <f t="shared" si="6"/>
        <v>612.94000000000005</v>
      </c>
      <c r="L20" s="1360">
        <f t="shared" si="6"/>
        <v>781.43700000000001</v>
      </c>
      <c r="M20" s="1360">
        <f t="shared" si="6"/>
        <v>952.47399999999993</v>
      </c>
      <c r="N20" s="1360">
        <f t="shared" si="6"/>
        <v>1109.5839999999998</v>
      </c>
      <c r="O20" s="1360">
        <f t="shared" si="6"/>
        <v>1237.4910000000002</v>
      </c>
      <c r="P20" s="1360">
        <f t="shared" si="6"/>
        <v>1349.8790000000001</v>
      </c>
      <c r="Q20" s="1360">
        <f t="shared" si="6"/>
        <v>1333.9189999999999</v>
      </c>
      <c r="R20" s="1360">
        <f t="shared" si="6"/>
        <v>1720.0590000000002</v>
      </c>
      <c r="S20" s="1360">
        <f t="shared" si="6"/>
        <v>1759.9859999999999</v>
      </c>
      <c r="T20" s="1360">
        <f t="shared" si="6"/>
        <v>1776.5959999999995</v>
      </c>
      <c r="U20" s="1360">
        <f t="shared" si="6"/>
        <v>1543.482</v>
      </c>
      <c r="V20" s="1360">
        <f t="shared" si="6"/>
        <v>1283.1939999999997</v>
      </c>
      <c r="W20" s="1360">
        <f t="shared" si="6"/>
        <v>1207.5350000000001</v>
      </c>
      <c r="X20" s="1360">
        <f t="shared" si="6"/>
        <v>1097.1549999999997</v>
      </c>
      <c r="Y20" s="1360"/>
      <c r="Z20" s="1361"/>
      <c r="AA20" s="1361"/>
      <c r="AB20" s="1361"/>
      <c r="AC20" s="1361"/>
    </row>
    <row r="21" spans="1:29" s="1344" customFormat="1" ht="11.25" customHeight="1" x14ac:dyDescent="0.25">
      <c r="A21" s="1362" t="s">
        <v>1502</v>
      </c>
      <c r="C21" s="1345">
        <f>+'APOL historicals'!D23</f>
        <v>58.890999999999998</v>
      </c>
      <c r="D21" s="1345">
        <f>+'APOL historicals'!E23</f>
        <v>81.207999999999998</v>
      </c>
      <c r="E21" s="1345">
        <f>+'APOL historicals'!F23</f>
        <v>111.47499999999999</v>
      </c>
      <c r="F21" s="1345">
        <f>+'APOL historicals'!G23</f>
        <v>161.352</v>
      </c>
      <c r="G21" s="1345">
        <f>+'APOL historicals'!H23</f>
        <v>211.26400000000001</v>
      </c>
      <c r="H21" s="1345">
        <f>+'APOL historicals'!I23</f>
        <v>257.12299999999999</v>
      </c>
      <c r="I21" s="1345">
        <f>+'APOL historicals'!J23</f>
        <v>359.39</v>
      </c>
      <c r="J21" s="1345">
        <f>+'APOL historicals'!K23</f>
        <v>511.00099999999998</v>
      </c>
      <c r="K21" s="1345">
        <f>+'APOL historicals'!L23</f>
        <v>726.577</v>
      </c>
      <c r="L21" s="1345">
        <f>+'APOL historicals'!M23</f>
        <v>1018.61</v>
      </c>
      <c r="M21" s="1345">
        <f>+'APOL historicals'!N23</f>
        <v>1298.6400000000001</v>
      </c>
      <c r="N21" s="1345">
        <f>+'APOL historicals'!O23</f>
        <v>1367.9490000000001</v>
      </c>
      <c r="O21" s="1345">
        <f>+'APOL historicals'!P23</f>
        <v>1486.3019999999999</v>
      </c>
      <c r="P21" s="1345">
        <f>+'APOL historicals'!Q23</f>
        <v>1783.557</v>
      </c>
      <c r="Q21" s="1345">
        <f>+'APOL historicals'!R23</f>
        <v>2619.6469999999999</v>
      </c>
      <c r="R21" s="1345">
        <f>+'APOL historicals'!S23</f>
        <v>3186.5540000000001</v>
      </c>
      <c r="S21" s="1345">
        <f>+'APOL historicals'!T23</f>
        <v>2951.0630000000001</v>
      </c>
      <c r="T21" s="1345">
        <f>+'APOL historicals'!U23</f>
        <v>2416.5940000000001</v>
      </c>
      <c r="U21" s="1345">
        <f>+'APOL historicals'!V23</f>
        <v>2070.3690000000001</v>
      </c>
      <c r="V21" s="1345">
        <f>+'APOL historicals'!W23</f>
        <v>1713.671</v>
      </c>
      <c r="W21" s="1345">
        <f>+'APOL historicals'!X23</f>
        <v>1358.742</v>
      </c>
      <c r="X21" s="1345">
        <f>+'APOL historicals'!Y23</f>
        <v>1004.6950000000001</v>
      </c>
      <c r="Y21" s="1347"/>
      <c r="Z21" s="1348"/>
      <c r="AA21" s="1348"/>
      <c r="AB21" s="1348"/>
      <c r="AC21" s="1348"/>
    </row>
    <row r="22" spans="1:29" s="1354" customFormat="1" ht="11.25" customHeight="1" x14ac:dyDescent="0.35">
      <c r="A22" s="1363" t="s">
        <v>1500</v>
      </c>
      <c r="C22" s="1364"/>
      <c r="D22" s="1364">
        <f t="shared" ref="D22:X22" si="7">IFERROR((D21/C21-1),"n/a")</f>
        <v>0.37895433937273948</v>
      </c>
      <c r="E22" s="1364">
        <f t="shared" si="7"/>
        <v>0.37270958526253573</v>
      </c>
      <c r="F22" s="1364">
        <f t="shared" si="7"/>
        <v>0.44742767436645003</v>
      </c>
      <c r="G22" s="1364">
        <f t="shared" si="7"/>
        <v>0.30933610987158522</v>
      </c>
      <c r="H22" s="1364">
        <f t="shared" si="7"/>
        <v>0.21706963798848822</v>
      </c>
      <c r="I22" s="1364">
        <f t="shared" si="7"/>
        <v>0.39773571403569496</v>
      </c>
      <c r="J22" s="1364">
        <f t="shared" si="7"/>
        <v>0.42185647903391854</v>
      </c>
      <c r="K22" s="1364">
        <f t="shared" si="7"/>
        <v>0.42187001590994933</v>
      </c>
      <c r="L22" s="1364">
        <f t="shared" si="7"/>
        <v>0.40192987116300127</v>
      </c>
      <c r="M22" s="1364">
        <f t="shared" si="7"/>
        <v>0.27491385319209516</v>
      </c>
      <c r="N22" s="1364">
        <f t="shared" si="7"/>
        <v>5.3370449085196725E-2</v>
      </c>
      <c r="O22" s="1364">
        <f t="shared" si="7"/>
        <v>8.6518576350433918E-2</v>
      </c>
      <c r="P22" s="1364">
        <f t="shared" si="7"/>
        <v>0.19999636682181698</v>
      </c>
      <c r="Q22" s="1364">
        <f t="shared" si="7"/>
        <v>0.46877671977963131</v>
      </c>
      <c r="R22" s="1364">
        <f t="shared" si="7"/>
        <v>0.21640587453195037</v>
      </c>
      <c r="S22" s="1364">
        <f t="shared" si="7"/>
        <v>-7.390146220650895E-2</v>
      </c>
      <c r="T22" s="1364">
        <f t="shared" si="7"/>
        <v>-0.18111067096839339</v>
      </c>
      <c r="U22" s="1364">
        <f t="shared" si="7"/>
        <v>-0.14326982521681342</v>
      </c>
      <c r="V22" s="1364">
        <f t="shared" si="7"/>
        <v>-0.17228716233676222</v>
      </c>
      <c r="W22" s="1364">
        <f t="shared" si="7"/>
        <v>-0.20711618507869956</v>
      </c>
      <c r="X22" s="1364">
        <f t="shared" si="7"/>
        <v>-0.26056970344627595</v>
      </c>
      <c r="Y22" s="1364"/>
      <c r="Z22" s="1357"/>
      <c r="AA22" s="1357"/>
      <c r="AB22" s="1357"/>
      <c r="AC22" s="1357"/>
    </row>
    <row r="23" spans="1:29" s="1354" customFormat="1" ht="11.25" customHeight="1" x14ac:dyDescent="0.35">
      <c r="A23" s="1363" t="s">
        <v>1503</v>
      </c>
      <c r="C23" s="1355">
        <f t="shared" ref="C23:X23" si="8">C21/C$12</f>
        <v>0.36575307583859684</v>
      </c>
      <c r="D23" s="1355">
        <f t="shared" si="8"/>
        <v>0.38442202729506214</v>
      </c>
      <c r="E23" s="1355">
        <f t="shared" si="8"/>
        <v>0.3992729096151435</v>
      </c>
      <c r="F23" s="1355">
        <f t="shared" si="8"/>
        <v>0.4192300397269777</v>
      </c>
      <c r="G23" s="1355">
        <f t="shared" si="8"/>
        <v>0.42350545057993849</v>
      </c>
      <c r="H23" s="1355">
        <f t="shared" si="8"/>
        <v>0.42151518777961205</v>
      </c>
      <c r="I23" s="1355">
        <f t="shared" si="8"/>
        <v>0.46705931584432997</v>
      </c>
      <c r="J23" s="1355">
        <f t="shared" si="8"/>
        <v>0.50621473963673458</v>
      </c>
      <c r="K23" s="1355">
        <f t="shared" si="8"/>
        <v>0.54241715484014008</v>
      </c>
      <c r="L23" s="1355">
        <f t="shared" si="8"/>
        <v>0.56587966869753958</v>
      </c>
      <c r="M23" s="1355">
        <f t="shared" si="8"/>
        <v>0.57688770981833892</v>
      </c>
      <c r="N23" s="1355">
        <f t="shared" si="8"/>
        <v>0.55214158600511076</v>
      </c>
      <c r="O23" s="1355">
        <f t="shared" si="8"/>
        <v>0.54567362497810956</v>
      </c>
      <c r="P23" s="1355">
        <f t="shared" si="8"/>
        <v>0.56920166871128053</v>
      </c>
      <c r="Q23" s="1355">
        <f t="shared" si="8"/>
        <v>0.66260358370139771</v>
      </c>
      <c r="R23" s="1355">
        <f t="shared" si="8"/>
        <v>0.6494406630398607</v>
      </c>
      <c r="S23" s="1355">
        <f t="shared" si="8"/>
        <v>0.62641314068268028</v>
      </c>
      <c r="T23" s="1355">
        <f t="shared" si="8"/>
        <v>0.57631397575592813</v>
      </c>
      <c r="U23" s="1355">
        <f t="shared" si="8"/>
        <v>0.57289827389120362</v>
      </c>
      <c r="V23" s="1355">
        <f t="shared" si="8"/>
        <v>0.571821219841401</v>
      </c>
      <c r="W23" s="1355">
        <f t="shared" si="8"/>
        <v>0.52946038171249632</v>
      </c>
      <c r="X23" s="1355">
        <f t="shared" si="8"/>
        <v>0.47800509075338399</v>
      </c>
      <c r="Y23" s="1355"/>
      <c r="Z23" s="1357"/>
      <c r="AA23" s="1357"/>
      <c r="AB23" s="1357"/>
      <c r="AC23" s="1357"/>
    </row>
    <row r="24" spans="1:29" s="1354" customFormat="1" ht="11.25" customHeight="1" x14ac:dyDescent="0.25">
      <c r="A24" s="1353"/>
      <c r="C24" s="1355"/>
      <c r="D24" s="1356"/>
      <c r="E24" s="1356"/>
      <c r="F24" s="1356"/>
      <c r="G24" s="1356"/>
      <c r="H24" s="1356"/>
      <c r="I24" s="1356"/>
      <c r="J24" s="1356"/>
      <c r="K24" s="1356"/>
      <c r="L24" s="1356"/>
      <c r="M24" s="1356"/>
      <c r="N24" s="1356"/>
      <c r="O24" s="995"/>
      <c r="P24" s="995"/>
      <c r="Q24" s="995"/>
      <c r="R24" s="995"/>
      <c r="S24" s="995"/>
      <c r="T24" s="995"/>
      <c r="U24" s="995"/>
      <c r="V24" s="995"/>
      <c r="W24" s="995"/>
      <c r="X24" s="995"/>
      <c r="Y24" s="995"/>
      <c r="Z24" s="1357"/>
      <c r="AA24" s="1357"/>
      <c r="AB24" s="1357"/>
      <c r="AC24" s="1357"/>
    </row>
    <row r="25" spans="1:29" s="1354" customFormat="1" ht="13" x14ac:dyDescent="0.35">
      <c r="A25" s="1359" t="s">
        <v>1504</v>
      </c>
      <c r="C25" s="1360">
        <f t="shared" ref="C25:X25" si="9">C21-C26</f>
        <v>36.726999999999997</v>
      </c>
      <c r="D25" s="1360">
        <f t="shared" si="9"/>
        <v>43.146000000000001</v>
      </c>
      <c r="E25" s="1360">
        <f t="shared" si="9"/>
        <v>52.376999999999995</v>
      </c>
      <c r="F25" s="1360">
        <f t="shared" si="9"/>
        <v>78.38000000000001</v>
      </c>
      <c r="G25" s="1360">
        <f t="shared" si="9"/>
        <v>98.54</v>
      </c>
      <c r="H25" s="1360">
        <f t="shared" si="9"/>
        <v>115.994</v>
      </c>
      <c r="I25" s="1360">
        <f t="shared" si="9"/>
        <v>165.64699999999999</v>
      </c>
      <c r="J25" s="1360">
        <f t="shared" si="9"/>
        <v>221.96999999999997</v>
      </c>
      <c r="K25" s="1360">
        <f t="shared" si="9"/>
        <v>299.01299999999998</v>
      </c>
      <c r="L25" s="1360">
        <f t="shared" si="9"/>
        <v>522.62200000000007</v>
      </c>
      <c r="M25" s="1360">
        <f t="shared" si="9"/>
        <v>555.39600000000007</v>
      </c>
      <c r="N25" s="1360">
        <f t="shared" si="9"/>
        <v>606.92000000000007</v>
      </c>
      <c r="O25" s="1360">
        <f t="shared" si="9"/>
        <v>793.52199999999993</v>
      </c>
      <c r="P25" s="1360">
        <f t="shared" si="9"/>
        <v>931.58500000000004</v>
      </c>
      <c r="Q25" s="1360">
        <f t="shared" si="9"/>
        <v>1362.9459999999999</v>
      </c>
      <c r="R25" s="1360">
        <f t="shared" si="9"/>
        <v>1684.3520000000001</v>
      </c>
      <c r="S25" s="1360">
        <f t="shared" si="9"/>
        <v>1620.3100000000002</v>
      </c>
      <c r="T25" s="1360">
        <f t="shared" si="9"/>
        <v>1511.884</v>
      </c>
      <c r="U25" s="1360">
        <f t="shared" si="9"/>
        <v>1280.2350000000001</v>
      </c>
      <c r="V25" s="1360">
        <f t="shared" si="9"/>
        <v>1089.0520000000001</v>
      </c>
      <c r="W25" s="1360">
        <f t="shared" si="9"/>
        <v>1023.6849999999999</v>
      </c>
      <c r="X25" s="1360">
        <f t="shared" si="9"/>
        <v>798.16600000000005</v>
      </c>
      <c r="Y25" s="1360"/>
      <c r="Z25" s="1361"/>
      <c r="AA25" s="1361"/>
      <c r="AB25" s="1361"/>
      <c r="AC25" s="1361"/>
    </row>
    <row r="26" spans="1:29" s="1344" customFormat="1" ht="11.25" customHeight="1" x14ac:dyDescent="0.25">
      <c r="A26" s="1362" t="s">
        <v>64</v>
      </c>
      <c r="C26" s="1345">
        <f>+'APOL historicals'!D83</f>
        <v>22.164000000000001</v>
      </c>
      <c r="D26" s="1345">
        <f>+'APOL historicals'!E83</f>
        <v>38.061999999999998</v>
      </c>
      <c r="E26" s="1345">
        <f>+'APOL historicals'!F83</f>
        <v>59.097999999999999</v>
      </c>
      <c r="F26" s="1345">
        <f>+'APOL historicals'!G83</f>
        <v>82.971999999999994</v>
      </c>
      <c r="G26" s="1345">
        <f>+'APOL historicals'!H83</f>
        <v>112.724</v>
      </c>
      <c r="H26" s="1345">
        <f>+'APOL historicals'!I83</f>
        <v>141.12899999999999</v>
      </c>
      <c r="I26" s="1345">
        <f>+'APOL historicals'!J83</f>
        <v>193.74299999999999</v>
      </c>
      <c r="J26" s="1345">
        <f>+'APOL historicals'!K83</f>
        <v>289.03100000000001</v>
      </c>
      <c r="K26" s="1345">
        <f>+'APOL historicals'!L83</f>
        <v>427.56400000000002</v>
      </c>
      <c r="L26" s="1345">
        <f>+'APOL historicals'!M83</f>
        <v>495.988</v>
      </c>
      <c r="M26" s="1345">
        <f>+'APOL historicals'!N83</f>
        <v>743.24400000000003</v>
      </c>
      <c r="N26" s="1345">
        <f>+'APOL historicals'!O83</f>
        <v>761.029</v>
      </c>
      <c r="O26" s="1345">
        <f>+'APOL historicals'!P83</f>
        <v>692.78</v>
      </c>
      <c r="P26" s="1345">
        <f>+'APOL historicals'!Q83</f>
        <v>851.97199999999998</v>
      </c>
      <c r="Q26" s="1345">
        <f>+'APOL historicals'!R83</f>
        <v>1256.701</v>
      </c>
      <c r="R26" s="1345">
        <f>+'APOL historicals'!S83</f>
        <v>1502.202</v>
      </c>
      <c r="S26" s="1345">
        <f>+'APOL historicals'!T83</f>
        <v>1330.7529999999999</v>
      </c>
      <c r="T26" s="1345">
        <f>+'APOL historicals'!U83</f>
        <v>904.71</v>
      </c>
      <c r="U26" s="1345">
        <f>+'APOL historicals'!V83</f>
        <v>790.13400000000001</v>
      </c>
      <c r="V26" s="1345">
        <f>+'APOL historicals'!W83</f>
        <v>624.61900000000003</v>
      </c>
      <c r="W26" s="1345">
        <f>+'APOL historicals'!X83</f>
        <v>335.05700000000002</v>
      </c>
      <c r="X26" s="1345">
        <f>+'APOL historicals'!Y83</f>
        <v>206.529</v>
      </c>
      <c r="Y26" s="1347"/>
      <c r="Z26" s="1348">
        <f>+(R26/C26)^(0.0666666666666667)-1</f>
        <v>0.32456115036922872</v>
      </c>
      <c r="AA26" s="1348"/>
      <c r="AB26" s="1348"/>
      <c r="AC26" s="1348"/>
    </row>
    <row r="27" spans="1:29" s="1354" customFormat="1" ht="11.25" customHeight="1" x14ac:dyDescent="0.35">
      <c r="A27" s="1363" t="s">
        <v>1500</v>
      </c>
      <c r="C27" s="1355"/>
      <c r="D27" s="1364">
        <f t="shared" ref="D27:X27" si="10">IFERROR((D26/C26-1),"n/a")</f>
        <v>0.71728929796065666</v>
      </c>
      <c r="E27" s="1364">
        <f t="shared" si="10"/>
        <v>0.55267721086648103</v>
      </c>
      <c r="F27" s="1364">
        <f t="shared" si="10"/>
        <v>0.40397306169413505</v>
      </c>
      <c r="G27" s="1364">
        <f t="shared" si="10"/>
        <v>0.35857879766668277</v>
      </c>
      <c r="H27" s="1364">
        <f t="shared" si="10"/>
        <v>0.2519871544657748</v>
      </c>
      <c r="I27" s="1364">
        <f t="shared" si="10"/>
        <v>0.37280785664179583</v>
      </c>
      <c r="J27" s="1364">
        <f t="shared" si="10"/>
        <v>0.49182680148444069</v>
      </c>
      <c r="K27" s="1364">
        <f t="shared" si="10"/>
        <v>0.47930152820977678</v>
      </c>
      <c r="L27" s="1364">
        <f t="shared" si="10"/>
        <v>0.16003218231656535</v>
      </c>
      <c r="M27" s="1364">
        <f t="shared" si="10"/>
        <v>0.4985120607756639</v>
      </c>
      <c r="N27" s="1364">
        <f t="shared" si="10"/>
        <v>2.3928884726953648E-2</v>
      </c>
      <c r="O27" s="1364">
        <f t="shared" si="10"/>
        <v>-8.9679893933082733E-2</v>
      </c>
      <c r="P27" s="1364">
        <f t="shared" si="10"/>
        <v>0.2297872340425533</v>
      </c>
      <c r="Q27" s="1364">
        <f t="shared" si="10"/>
        <v>0.47504964951899842</v>
      </c>
      <c r="R27" s="1364">
        <f t="shared" si="10"/>
        <v>0.19535354869614974</v>
      </c>
      <c r="S27" s="1364">
        <f t="shared" si="10"/>
        <v>-0.11413178786874212</v>
      </c>
      <c r="T27" s="1364">
        <f t="shared" si="10"/>
        <v>-0.32015182381704188</v>
      </c>
      <c r="U27" s="1364">
        <f t="shared" si="10"/>
        <v>-0.12664389693935074</v>
      </c>
      <c r="V27" s="1364">
        <f t="shared" si="10"/>
        <v>-0.20947712666459106</v>
      </c>
      <c r="W27" s="1364">
        <f t="shared" si="10"/>
        <v>-0.46358179946495381</v>
      </c>
      <c r="X27" s="1364">
        <f t="shared" si="10"/>
        <v>-0.38360040231960535</v>
      </c>
      <c r="Y27" s="1364"/>
      <c r="Z27" s="1357"/>
      <c r="AA27" s="1357"/>
      <c r="AB27" s="1357"/>
      <c r="AC27" s="1357"/>
    </row>
    <row r="28" spans="1:29" s="1354" customFormat="1" ht="11.25" customHeight="1" x14ac:dyDescent="0.35">
      <c r="A28" s="1363" t="s">
        <v>1503</v>
      </c>
      <c r="C28" s="1355">
        <f t="shared" ref="C28:X28" si="11">C26/C$12</f>
        <v>0.13765348139591213</v>
      </c>
      <c r="D28" s="1355">
        <f t="shared" si="11"/>
        <v>0.18017770666565677</v>
      </c>
      <c r="E28" s="1355">
        <f t="shared" si="11"/>
        <v>0.21167284514407494</v>
      </c>
      <c r="F28" s="1355">
        <f t="shared" si="11"/>
        <v>0.21558056210165844</v>
      </c>
      <c r="G28" s="1355">
        <f t="shared" si="11"/>
        <v>0.22596953769299544</v>
      </c>
      <c r="H28" s="1355">
        <f t="shared" si="11"/>
        <v>0.23136015423026671</v>
      </c>
      <c r="I28" s="1355">
        <f t="shared" si="11"/>
        <v>0.25178628517662716</v>
      </c>
      <c r="J28" s="1355">
        <f t="shared" si="11"/>
        <v>0.28632380839165689</v>
      </c>
      <c r="K28" s="1355">
        <f t="shared" si="11"/>
        <v>0.31919266422150672</v>
      </c>
      <c r="L28" s="1355">
        <f t="shared" si="11"/>
        <v>0.27554169418909619</v>
      </c>
      <c r="M28" s="1355">
        <f t="shared" si="11"/>
        <v>0.33016719721879922</v>
      </c>
      <c r="N28" s="1355">
        <f t="shared" si="11"/>
        <v>0.30717209417594032</v>
      </c>
      <c r="O28" s="1355">
        <f t="shared" si="11"/>
        <v>0.25434385065238069</v>
      </c>
      <c r="P28" s="1355">
        <f t="shared" si="11"/>
        <v>0.2718970484796881</v>
      </c>
      <c r="Q28" s="1355">
        <f t="shared" si="11"/>
        <v>0.31786518803530789</v>
      </c>
      <c r="R28" s="1355">
        <f t="shared" si="11"/>
        <v>0.30615864752325073</v>
      </c>
      <c r="S28" s="1355">
        <f t="shared" si="11"/>
        <v>0.2824748797985332</v>
      </c>
      <c r="T28" s="1355">
        <f t="shared" si="11"/>
        <v>0.2157569773847596</v>
      </c>
      <c r="U28" s="1355">
        <f t="shared" si="11"/>
        <v>0.21864044754473827</v>
      </c>
      <c r="V28" s="1355">
        <f t="shared" si="11"/>
        <v>0.20842413655603442</v>
      </c>
      <c r="W28" s="1355">
        <f t="shared" si="11"/>
        <v>0.13056150992274021</v>
      </c>
      <c r="X28" s="1355">
        <f t="shared" si="11"/>
        <v>9.8260579965268699E-2</v>
      </c>
      <c r="Y28" s="1355"/>
      <c r="Z28" s="1357"/>
      <c r="AA28" s="1357"/>
      <c r="AB28" s="1357"/>
      <c r="AC28" s="1357"/>
    </row>
    <row r="29" spans="1:29" s="1354" customFormat="1" ht="11.25" customHeight="1" x14ac:dyDescent="0.25">
      <c r="A29" s="1353"/>
      <c r="C29" s="1355"/>
      <c r="D29" s="1356"/>
      <c r="E29" s="1356"/>
      <c r="F29" s="1356"/>
      <c r="G29" s="1356"/>
      <c r="H29" s="1356"/>
      <c r="I29" s="1356"/>
      <c r="J29" s="1356"/>
      <c r="K29" s="1356"/>
      <c r="L29" s="1356"/>
      <c r="M29" s="1356"/>
      <c r="N29" s="1356"/>
      <c r="O29" s="995"/>
      <c r="P29" s="995"/>
      <c r="Q29" s="995"/>
      <c r="R29" s="995"/>
      <c r="S29" s="995"/>
      <c r="T29" s="995"/>
      <c r="U29" s="995"/>
      <c r="V29" s="995"/>
      <c r="W29" s="995"/>
      <c r="X29" s="995"/>
      <c r="Y29" s="995"/>
      <c r="Z29" s="1357"/>
      <c r="AA29" s="1357"/>
      <c r="AB29" s="1357"/>
      <c r="AC29" s="1357"/>
    </row>
    <row r="30" spans="1:29" s="1354" customFormat="1" ht="13" x14ac:dyDescent="0.35">
      <c r="A30" s="1359" t="s">
        <v>692</v>
      </c>
      <c r="C30" s="1365">
        <f>+'APOL historicals'!D83-'APOL historicals'!D85</f>
        <v>2.7510000000000012</v>
      </c>
      <c r="D30" s="1365">
        <f>+'APOL historicals'!E83-'APOL historicals'!E85</f>
        <v>6.0929999999999964</v>
      </c>
      <c r="E30" s="1365">
        <f>+'APOL historicals'!F83-'APOL historicals'!F85</f>
        <v>8.2909999999999968</v>
      </c>
      <c r="F30" s="1365">
        <f>+'APOL historicals'!G83-'APOL historicals'!G85</f>
        <v>12.785999999999987</v>
      </c>
      <c r="G30" s="1365">
        <f>+'APOL historicals'!H83-'APOL historicals'!H85</f>
        <v>19.971000000000004</v>
      </c>
      <c r="H30" s="1365">
        <f>+'APOL historicals'!I83-'APOL historicals'!I85</f>
        <v>27.051999999999992</v>
      </c>
      <c r="I30" s="1365">
        <f>+'APOL historicals'!J83-'APOL historicals'!J85</f>
        <v>32.740000000000009</v>
      </c>
      <c r="J30" s="1365">
        <f>+'APOL historicals'!K83-'APOL historicals'!K85</f>
        <v>35.179000000000002</v>
      </c>
      <c r="K30" s="1365">
        <f>+'APOL historicals'!L83-'APOL historicals'!L85</f>
        <v>40.305000000000007</v>
      </c>
      <c r="L30" s="1365">
        <f>+'APOL historicals'!M83-'APOL historicals'!M85</f>
        <v>45.786999999999978</v>
      </c>
      <c r="M30" s="1365">
        <f>+'APOL historicals'!N83-'APOL historicals'!N85</f>
        <v>45.591999999999985</v>
      </c>
      <c r="N30" s="1365">
        <f>+'APOL historicals'!O83-'APOL historicals'!O85</f>
        <v>64.789999999999964</v>
      </c>
      <c r="O30" s="1365">
        <f>+'APOL historicals'!P83-'APOL historicals'!P85</f>
        <v>67.08299999999997</v>
      </c>
      <c r="P30" s="1365">
        <f>+'APOL historicals'!Q83-'APOL historicals'!Q85</f>
        <v>84.596000000000004</v>
      </c>
      <c r="Q30" s="1365">
        <f>+'APOL historicals'!R83-'APOL historicals'!R85</f>
        <v>100.84999999999991</v>
      </c>
      <c r="R30" s="1365">
        <f>+'APOL historicals'!S83-'APOL historicals'!S85</f>
        <v>130.93499999999995</v>
      </c>
      <c r="S30" s="1365">
        <f>+'APOL historicals'!T83-'APOL historicals'!T85</f>
        <v>144.00599999999986</v>
      </c>
      <c r="T30" s="1365">
        <f>+'APOL historicals'!U83-'APOL historicals'!U85</f>
        <v>168.13400000000001</v>
      </c>
      <c r="U30" s="1365">
        <f>+'APOL historicals'!V83-'APOL historicals'!V85</f>
        <v>161.73300000000006</v>
      </c>
      <c r="V30" s="1365">
        <f>+'APOL historicals'!W83-'APOL historicals'!W85</f>
        <v>150.57500000000005</v>
      </c>
      <c r="W30" s="1365">
        <f>+'APOL historicals'!X83-'APOL historicals'!X85</f>
        <v>132.01200000000003</v>
      </c>
      <c r="X30" s="1365">
        <f>+'APOL historicals'!Y83-'APOL historicals'!Y85</f>
        <v>91.22999999999999</v>
      </c>
      <c r="Y30" s="1366"/>
      <c r="Z30" s="1361"/>
      <c r="AA30" s="1361"/>
      <c r="AB30" s="1361"/>
      <c r="AC30" s="1361"/>
    </row>
    <row r="31" spans="1:29" s="1344" customFormat="1" x14ac:dyDescent="0.35">
      <c r="A31" s="1362" t="s">
        <v>67</v>
      </c>
      <c r="C31" s="1367">
        <f t="shared" ref="C31:X31" si="12">C26-C30</f>
        <v>19.413</v>
      </c>
      <c r="D31" s="1367">
        <f t="shared" si="12"/>
        <v>31.969000000000001</v>
      </c>
      <c r="E31" s="1367">
        <f t="shared" si="12"/>
        <v>50.807000000000002</v>
      </c>
      <c r="F31" s="1367">
        <f t="shared" si="12"/>
        <v>70.186000000000007</v>
      </c>
      <c r="G31" s="1367">
        <f t="shared" si="12"/>
        <v>92.753</v>
      </c>
      <c r="H31" s="1367">
        <f t="shared" si="12"/>
        <v>114.077</v>
      </c>
      <c r="I31" s="1367">
        <f t="shared" si="12"/>
        <v>161.00299999999999</v>
      </c>
      <c r="J31" s="1367">
        <f t="shared" si="12"/>
        <v>253.852</v>
      </c>
      <c r="K31" s="1367">
        <f t="shared" si="12"/>
        <v>387.25900000000001</v>
      </c>
      <c r="L31" s="1367">
        <f t="shared" si="12"/>
        <v>450.20100000000002</v>
      </c>
      <c r="M31" s="1367">
        <f t="shared" si="12"/>
        <v>697.65200000000004</v>
      </c>
      <c r="N31" s="1367">
        <f t="shared" si="12"/>
        <v>696.23900000000003</v>
      </c>
      <c r="O31" s="1367">
        <f t="shared" si="12"/>
        <v>625.697</v>
      </c>
      <c r="P31" s="1367">
        <f t="shared" si="12"/>
        <v>767.37599999999998</v>
      </c>
      <c r="Q31" s="1367">
        <f t="shared" si="12"/>
        <v>1155.8510000000001</v>
      </c>
      <c r="R31" s="1367">
        <f t="shared" si="12"/>
        <v>1371.2670000000001</v>
      </c>
      <c r="S31" s="1367">
        <f t="shared" si="12"/>
        <v>1186.7470000000001</v>
      </c>
      <c r="T31" s="1367">
        <f t="shared" si="12"/>
        <v>736.57600000000002</v>
      </c>
      <c r="U31" s="1367">
        <f t="shared" si="12"/>
        <v>628.40099999999995</v>
      </c>
      <c r="V31" s="1367">
        <f t="shared" si="12"/>
        <v>474.04399999999998</v>
      </c>
      <c r="W31" s="1367">
        <f t="shared" si="12"/>
        <v>203.04499999999999</v>
      </c>
      <c r="X31" s="1367">
        <f t="shared" si="12"/>
        <v>115.29900000000001</v>
      </c>
      <c r="Y31" s="1367"/>
      <c r="Z31" s="1348"/>
      <c r="AA31" s="1348"/>
      <c r="AB31" s="1348"/>
      <c r="AC31" s="1348"/>
    </row>
    <row r="32" spans="1:29" s="1354" customFormat="1" ht="11.25" customHeight="1" x14ac:dyDescent="0.35">
      <c r="A32" s="1363" t="s">
        <v>1500</v>
      </c>
      <c r="C32" s="1355"/>
      <c r="D32" s="1364">
        <f t="shared" ref="D32:X32" si="13">IFERROR((D31/C31-1),"n/a")</f>
        <v>0.64678308350074687</v>
      </c>
      <c r="E32" s="1364">
        <f t="shared" si="13"/>
        <v>0.58925834402077015</v>
      </c>
      <c r="F32" s="1364">
        <f t="shared" si="13"/>
        <v>0.38142381955242399</v>
      </c>
      <c r="G32" s="1364">
        <f t="shared" si="13"/>
        <v>0.32153135953039058</v>
      </c>
      <c r="H32" s="1364">
        <f t="shared" si="13"/>
        <v>0.22990091964680381</v>
      </c>
      <c r="I32" s="1364">
        <f t="shared" si="13"/>
        <v>0.41135373475810177</v>
      </c>
      <c r="J32" s="1364">
        <f t="shared" si="13"/>
        <v>0.5766911175568159</v>
      </c>
      <c r="K32" s="1364">
        <f t="shared" si="13"/>
        <v>0.52553062414320162</v>
      </c>
      <c r="L32" s="1364">
        <f t="shared" si="13"/>
        <v>0.16253205219246025</v>
      </c>
      <c r="M32" s="1364">
        <f t="shared" si="13"/>
        <v>0.54964560274188634</v>
      </c>
      <c r="N32" s="1364">
        <f t="shared" si="13"/>
        <v>-2.0253650817313451E-3</v>
      </c>
      <c r="O32" s="1364">
        <f t="shared" si="13"/>
        <v>-0.10131865638092674</v>
      </c>
      <c r="P32" s="1364">
        <f t="shared" si="13"/>
        <v>0.22643388093598005</v>
      </c>
      <c r="Q32" s="1364">
        <f t="shared" si="13"/>
        <v>0.50623814140655976</v>
      </c>
      <c r="R32" s="1364">
        <f t="shared" si="13"/>
        <v>0.18637004250547862</v>
      </c>
      <c r="S32" s="1364">
        <f t="shared" si="13"/>
        <v>-0.13456168638201016</v>
      </c>
      <c r="T32" s="1364">
        <f t="shared" si="13"/>
        <v>-0.37933190477835632</v>
      </c>
      <c r="U32" s="1364">
        <f t="shared" si="13"/>
        <v>-0.14686196672169616</v>
      </c>
      <c r="V32" s="1364">
        <f t="shared" si="13"/>
        <v>-0.24563455500548215</v>
      </c>
      <c r="W32" s="1364">
        <f t="shared" si="13"/>
        <v>-0.57167478124393512</v>
      </c>
      <c r="X32" s="1364">
        <f t="shared" si="13"/>
        <v>-0.4321505085079661</v>
      </c>
      <c r="Y32" s="1364"/>
      <c r="Z32" s="1357"/>
      <c r="AA32" s="1357"/>
      <c r="AB32" s="1357"/>
      <c r="AC32" s="1357"/>
    </row>
    <row r="33" spans="1:29" s="1354" customFormat="1" ht="11.25" customHeight="1" x14ac:dyDescent="0.35">
      <c r="A33" s="1363" t="s">
        <v>1503</v>
      </c>
      <c r="C33" s="1355">
        <f t="shared" ref="C33:X33" si="14">C31/C$12</f>
        <v>0.12056790445491979</v>
      </c>
      <c r="D33" s="1355">
        <f t="shared" si="14"/>
        <v>0.15133469351044038</v>
      </c>
      <c r="E33" s="1355">
        <f t="shared" si="14"/>
        <v>0.1819767545980408</v>
      </c>
      <c r="F33" s="1355">
        <f t="shared" si="14"/>
        <v>0.1823595590279492</v>
      </c>
      <c r="G33" s="1355">
        <f t="shared" si="14"/>
        <v>0.18593513829919453</v>
      </c>
      <c r="H33" s="1355">
        <f t="shared" si="14"/>
        <v>0.18701239514292695</v>
      </c>
      <c r="I33" s="1355">
        <f t="shared" si="14"/>
        <v>0.20923773902691967</v>
      </c>
      <c r="J33" s="1355">
        <f t="shared" si="14"/>
        <v>0.25147431039521323</v>
      </c>
      <c r="K33" s="1355">
        <f t="shared" si="14"/>
        <v>0.28910346042640744</v>
      </c>
      <c r="L33" s="1355">
        <f t="shared" si="14"/>
        <v>0.25010513614366736</v>
      </c>
      <c r="M33" s="1355">
        <f t="shared" si="14"/>
        <v>0.30991411363440502</v>
      </c>
      <c r="N33" s="1355">
        <f t="shared" si="14"/>
        <v>0.28102108024393624</v>
      </c>
      <c r="O33" s="1355">
        <f t="shared" si="14"/>
        <v>0.22971532711920473</v>
      </c>
      <c r="P33" s="1355">
        <f t="shared" si="14"/>
        <v>0.24489920968546985</v>
      </c>
      <c r="Q33" s="1355">
        <f t="shared" si="14"/>
        <v>0.29235657125744208</v>
      </c>
      <c r="R33" s="1355">
        <f t="shared" si="14"/>
        <v>0.27947323336892477</v>
      </c>
      <c r="S33" s="1355">
        <f t="shared" si="14"/>
        <v>0.25190716547418635</v>
      </c>
      <c r="T33" s="1355">
        <f t="shared" si="14"/>
        <v>0.17566005833267753</v>
      </c>
      <c r="U33" s="1355">
        <f t="shared" si="14"/>
        <v>0.17388680385549929</v>
      </c>
      <c r="V33" s="1355">
        <f t="shared" si="14"/>
        <v>0.15817996472980933</v>
      </c>
      <c r="W33" s="1355">
        <f t="shared" si="14"/>
        <v>7.9120453481833788E-2</v>
      </c>
      <c r="X33" s="1355">
        <f t="shared" si="14"/>
        <v>5.4855960225515622E-2</v>
      </c>
      <c r="Y33" s="1355"/>
      <c r="Z33" s="1357"/>
      <c r="AA33" s="1357"/>
      <c r="AB33" s="1357"/>
      <c r="AC33" s="1357"/>
    </row>
    <row r="34" spans="1:29" s="1354" customFormat="1" ht="11.25" customHeight="1" x14ac:dyDescent="0.35">
      <c r="A34" s="1368" t="s">
        <v>1550</v>
      </c>
      <c r="C34" s="1355">
        <f t="shared" ref="C34:X34" si="15">C30/C12</f>
        <v>1.7085576940992348E-2</v>
      </c>
      <c r="D34" s="1355">
        <f t="shared" si="15"/>
        <v>2.8843013155216386E-2</v>
      </c>
      <c r="E34" s="1355">
        <f t="shared" si="15"/>
        <v>2.9696090546034122E-2</v>
      </c>
      <c r="F34" s="1355">
        <f t="shared" si="15"/>
        <v>3.3221003073709232E-2</v>
      </c>
      <c r="G34" s="1355">
        <f t="shared" si="15"/>
        <v>4.00343993938009E-2</v>
      </c>
      <c r="H34" s="1355">
        <f t="shared" si="15"/>
        <v>4.4347759087339768E-2</v>
      </c>
      <c r="I34" s="1355">
        <f t="shared" si="15"/>
        <v>4.2548546149707475E-2</v>
      </c>
      <c r="J34" s="1355">
        <f t="shared" si="15"/>
        <v>3.4849497996443629E-2</v>
      </c>
      <c r="K34" s="1355">
        <f t="shared" si="15"/>
        <v>3.0089203795099283E-2</v>
      </c>
      <c r="L34" s="1355">
        <f t="shared" si="15"/>
        <v>2.5436558045428801E-2</v>
      </c>
      <c r="M34" s="1355">
        <f t="shared" si="15"/>
        <v>2.0253083584394208E-2</v>
      </c>
      <c r="N34" s="1355">
        <f t="shared" si="15"/>
        <v>2.615101393200412E-2</v>
      </c>
      <c r="O34" s="1355">
        <f t="shared" si="15"/>
        <v>2.4628523533175968E-2</v>
      </c>
      <c r="P34" s="1355">
        <f t="shared" si="15"/>
        <v>2.6997838794218233E-2</v>
      </c>
      <c r="Q34" s="1355">
        <f t="shared" si="15"/>
        <v>2.5508616777865836E-2</v>
      </c>
      <c r="R34" s="1355">
        <f t="shared" si="15"/>
        <v>2.6685414154325997E-2</v>
      </c>
      <c r="S34" s="1355">
        <f t="shared" si="15"/>
        <v>3.056771432434684E-2</v>
      </c>
      <c r="T34" s="1355">
        <f t="shared" si="15"/>
        <v>4.0096919052082076E-2</v>
      </c>
      <c r="U34" s="1355">
        <f t="shared" si="15"/>
        <v>4.4753643689239002E-2</v>
      </c>
      <c r="V34" s="1355">
        <f t="shared" si="15"/>
        <v>5.0244171826225092E-2</v>
      </c>
      <c r="W34" s="1355">
        <f t="shared" si="15"/>
        <v>5.1441056440906428E-2</v>
      </c>
      <c r="X34" s="1355">
        <f t="shared" si="15"/>
        <v>4.340461973975307E-2</v>
      </c>
      <c r="Y34" s="1355"/>
      <c r="Z34" s="1357"/>
      <c r="AA34" s="1357"/>
      <c r="AB34" s="1357"/>
      <c r="AC34" s="1357"/>
    </row>
    <row r="35" spans="1:29" s="1354" customFormat="1" ht="11.25" customHeight="1" x14ac:dyDescent="0.25">
      <c r="A35" s="1362"/>
      <c r="C35" s="1355"/>
      <c r="D35" s="1356"/>
      <c r="E35" s="1356"/>
      <c r="F35" s="1356"/>
      <c r="G35" s="1356"/>
      <c r="H35" s="1356"/>
      <c r="I35" s="1356"/>
      <c r="J35" s="1356"/>
      <c r="K35" s="1356"/>
      <c r="L35" s="1356"/>
      <c r="M35" s="1356"/>
      <c r="N35" s="1356"/>
      <c r="O35" s="995"/>
      <c r="P35" s="995"/>
      <c r="Q35" s="995"/>
      <c r="R35" s="995"/>
      <c r="S35" s="995"/>
      <c r="T35" s="995"/>
      <c r="U35" s="995"/>
      <c r="V35" s="995"/>
      <c r="W35" s="995"/>
      <c r="X35" s="995"/>
      <c r="Y35" s="995"/>
      <c r="Z35" s="1357"/>
      <c r="AA35" s="1357"/>
      <c r="AB35" s="1357"/>
      <c r="AC35" s="1357"/>
    </row>
    <row r="36" spans="1:29" s="1354" customFormat="1" ht="13" x14ac:dyDescent="0.35">
      <c r="A36" s="1359" t="s">
        <v>1505</v>
      </c>
      <c r="C36" s="1365">
        <f>+'APOL historicals'!D38*-1</f>
        <v>-2.4159999999999999</v>
      </c>
      <c r="D36" s="1365">
        <f>+'APOL historicals'!E38*-1</f>
        <v>-3.028</v>
      </c>
      <c r="E36" s="1365">
        <f>+'APOL historicals'!F38*-1</f>
        <v>-4.1740000000000004</v>
      </c>
      <c r="F36" s="1365">
        <f>+'APOL historicals'!G38*-1</f>
        <v>-6.0860000000000003</v>
      </c>
      <c r="G36" s="1365">
        <f>+'APOL historicals'!H38*-1</f>
        <v>-5.2290000000000001</v>
      </c>
      <c r="H36" s="1365">
        <f>+'APOL historicals'!I38*-1</f>
        <v>-6.2279999999999998</v>
      </c>
      <c r="I36" s="1365">
        <f>+'APOL historicals'!J38*-1</f>
        <v>-14.106</v>
      </c>
      <c r="J36" s="1365">
        <f>+'APOL historicals'!K38*-1</f>
        <v>-12.071999999999999</v>
      </c>
      <c r="K36" s="1365">
        <f>+'APOL historicals'!L38*-1</f>
        <v>-14.545</v>
      </c>
      <c r="L36" s="1365">
        <f>+'APOL historicals'!M38*-1</f>
        <v>-18.004999999999999</v>
      </c>
      <c r="M36" s="1365">
        <f>+'APOL historicals'!N38*-1</f>
        <v>-16.786999999999999</v>
      </c>
      <c r="N36" s="1365">
        <f>+'APOL historicals'!O38*-1</f>
        <v>-18.2</v>
      </c>
      <c r="O36" s="1365">
        <f>+'APOL historicals'!P38*-1</f>
        <v>-30.94</v>
      </c>
      <c r="P36" s="1365">
        <f>+'APOL historicals'!Q38*-1</f>
        <v>-26.628</v>
      </c>
      <c r="Q36" s="1365">
        <f>+'APOL historicals'!R38*-1</f>
        <v>-8.1430000000000007</v>
      </c>
      <c r="R36" s="1365">
        <f>+'APOL historicals'!S38*-1</f>
        <v>8.9</v>
      </c>
      <c r="S36" s="1365">
        <f>+'APOL historicals'!T38*-1</f>
        <v>6</v>
      </c>
      <c r="T36" s="1365">
        <f>+'APOL historicals'!U38*-1</f>
        <v>10.6</v>
      </c>
      <c r="U36" s="1365">
        <f>+'APOL historicals'!V38*-1</f>
        <v>6.8</v>
      </c>
      <c r="V36" s="1365">
        <f>+'APOL historicals'!W38*-1</f>
        <v>5.7</v>
      </c>
      <c r="W36" s="1365">
        <f>+'APOL historicals'!X38*-1</f>
        <v>3.5</v>
      </c>
      <c r="X36" s="1365">
        <f>+'APOL historicals'!Y38*-1</f>
        <v>2.7</v>
      </c>
      <c r="Y36" s="1366"/>
      <c r="Z36" s="1361"/>
      <c r="AA36" s="1361"/>
      <c r="AB36" s="1361"/>
      <c r="AC36" s="1361"/>
    </row>
    <row r="37" spans="1:29" s="1354" customFormat="1" ht="11.25" customHeight="1" x14ac:dyDescent="0.35">
      <c r="A37" s="1369" t="s">
        <v>1506</v>
      </c>
      <c r="C37" s="1370">
        <f t="shared" ref="C37:X37" si="16">C31-C36</f>
        <v>21.829000000000001</v>
      </c>
      <c r="D37" s="1370">
        <f t="shared" si="16"/>
        <v>34.997</v>
      </c>
      <c r="E37" s="1370">
        <f t="shared" si="16"/>
        <v>54.981000000000002</v>
      </c>
      <c r="F37" s="1370">
        <f t="shared" si="16"/>
        <v>76.272000000000006</v>
      </c>
      <c r="G37" s="1370">
        <f t="shared" si="16"/>
        <v>97.981999999999999</v>
      </c>
      <c r="H37" s="1370">
        <f t="shared" si="16"/>
        <v>120.30499999999999</v>
      </c>
      <c r="I37" s="1370">
        <f t="shared" si="16"/>
        <v>175.10899999999998</v>
      </c>
      <c r="J37" s="1370">
        <f t="shared" si="16"/>
        <v>265.92399999999998</v>
      </c>
      <c r="K37" s="1370">
        <f t="shared" si="16"/>
        <v>401.80400000000003</v>
      </c>
      <c r="L37" s="1370">
        <f t="shared" si="16"/>
        <v>468.20600000000002</v>
      </c>
      <c r="M37" s="1370">
        <f t="shared" si="16"/>
        <v>714.43900000000008</v>
      </c>
      <c r="N37" s="1370">
        <f t="shared" si="16"/>
        <v>714.43900000000008</v>
      </c>
      <c r="O37" s="1370">
        <f t="shared" si="16"/>
        <v>656.63700000000006</v>
      </c>
      <c r="P37" s="1370">
        <f t="shared" si="16"/>
        <v>794.00400000000002</v>
      </c>
      <c r="Q37" s="1370">
        <f t="shared" si="16"/>
        <v>1163.9940000000001</v>
      </c>
      <c r="R37" s="1370">
        <f t="shared" si="16"/>
        <v>1362.367</v>
      </c>
      <c r="S37" s="1370">
        <f t="shared" si="16"/>
        <v>1180.7470000000001</v>
      </c>
      <c r="T37" s="1370">
        <f t="shared" si="16"/>
        <v>725.976</v>
      </c>
      <c r="U37" s="1370">
        <f t="shared" si="16"/>
        <v>621.601</v>
      </c>
      <c r="V37" s="1370">
        <f t="shared" si="16"/>
        <v>468.34399999999999</v>
      </c>
      <c r="W37" s="1370">
        <f t="shared" si="16"/>
        <v>199.54499999999999</v>
      </c>
      <c r="X37" s="1370">
        <f t="shared" si="16"/>
        <v>112.599</v>
      </c>
      <c r="Y37" s="1370"/>
      <c r="Z37" s="1357"/>
      <c r="AA37" s="1357"/>
      <c r="AB37" s="1357"/>
      <c r="AC37" s="1357"/>
    </row>
    <row r="38" spans="1:29" s="1354" customFormat="1" ht="13" x14ac:dyDescent="0.4">
      <c r="A38" s="1359" t="s">
        <v>1547</v>
      </c>
      <c r="C38" s="1365">
        <f>C37*0.4</f>
        <v>8.7316000000000003</v>
      </c>
      <c r="D38" s="1365">
        <f t="shared" ref="D38:X38" si="17">D37*0.4</f>
        <v>13.998800000000001</v>
      </c>
      <c r="E38" s="1365">
        <f t="shared" si="17"/>
        <v>21.992400000000004</v>
      </c>
      <c r="F38" s="1365">
        <f t="shared" si="17"/>
        <v>30.508800000000004</v>
      </c>
      <c r="G38" s="1365">
        <f t="shared" si="17"/>
        <v>39.192800000000005</v>
      </c>
      <c r="H38" s="1365">
        <f t="shared" si="17"/>
        <v>48.122</v>
      </c>
      <c r="I38" s="1365">
        <f t="shared" si="17"/>
        <v>70.043599999999998</v>
      </c>
      <c r="J38" s="1365">
        <f t="shared" si="17"/>
        <v>106.36959999999999</v>
      </c>
      <c r="K38" s="1365">
        <f t="shared" si="17"/>
        <v>160.72160000000002</v>
      </c>
      <c r="L38" s="1365">
        <f t="shared" si="17"/>
        <v>187.28240000000002</v>
      </c>
      <c r="M38" s="1365">
        <f t="shared" si="17"/>
        <v>285.77560000000005</v>
      </c>
      <c r="N38" s="1365">
        <f t="shared" si="17"/>
        <v>285.77560000000005</v>
      </c>
      <c r="O38" s="1365">
        <f t="shared" si="17"/>
        <v>262.65480000000002</v>
      </c>
      <c r="P38" s="1365">
        <f t="shared" si="17"/>
        <v>317.60160000000002</v>
      </c>
      <c r="Q38" s="1365">
        <f t="shared" si="17"/>
        <v>465.59760000000006</v>
      </c>
      <c r="R38" s="1365">
        <f t="shared" si="17"/>
        <v>544.94680000000005</v>
      </c>
      <c r="S38" s="1365">
        <f t="shared" si="17"/>
        <v>472.29880000000003</v>
      </c>
      <c r="T38" s="1365">
        <f t="shared" si="17"/>
        <v>290.3904</v>
      </c>
      <c r="U38" s="1365">
        <f t="shared" si="17"/>
        <v>248.6404</v>
      </c>
      <c r="V38" s="1365">
        <f t="shared" si="17"/>
        <v>187.33760000000001</v>
      </c>
      <c r="W38" s="1365">
        <f t="shared" si="17"/>
        <v>79.817999999999998</v>
      </c>
      <c r="X38" s="1365">
        <f t="shared" si="17"/>
        <v>45.039600000000007</v>
      </c>
      <c r="Y38" s="1371"/>
      <c r="Z38" s="1361"/>
      <c r="AA38" s="1361"/>
      <c r="AB38" s="1361"/>
      <c r="AC38" s="1361"/>
    </row>
    <row r="39" spans="1:29" s="1344" customFormat="1" ht="11.25" customHeight="1" x14ac:dyDescent="0.35">
      <c r="A39" s="1362" t="s">
        <v>51</v>
      </c>
      <c r="C39" s="1367">
        <f t="shared" ref="C39:X39" si="18">C37-C38</f>
        <v>13.0974</v>
      </c>
      <c r="D39" s="1367">
        <f t="shared" si="18"/>
        <v>20.998199999999997</v>
      </c>
      <c r="E39" s="1367">
        <f t="shared" si="18"/>
        <v>32.988599999999998</v>
      </c>
      <c r="F39" s="1367">
        <f t="shared" si="18"/>
        <v>45.763199999999998</v>
      </c>
      <c r="G39" s="1367">
        <f t="shared" si="18"/>
        <v>58.789199999999994</v>
      </c>
      <c r="H39" s="1367">
        <f t="shared" si="18"/>
        <v>72.182999999999993</v>
      </c>
      <c r="I39" s="1367">
        <f t="shared" si="18"/>
        <v>105.06539999999998</v>
      </c>
      <c r="J39" s="1367">
        <f t="shared" si="18"/>
        <v>159.55439999999999</v>
      </c>
      <c r="K39" s="1367">
        <f t="shared" si="18"/>
        <v>241.08240000000001</v>
      </c>
      <c r="L39" s="1367">
        <f t="shared" si="18"/>
        <v>280.92359999999996</v>
      </c>
      <c r="M39" s="1367">
        <f t="shared" si="18"/>
        <v>428.66340000000002</v>
      </c>
      <c r="N39" s="1367">
        <f t="shared" si="18"/>
        <v>428.66340000000002</v>
      </c>
      <c r="O39" s="1367">
        <f t="shared" si="18"/>
        <v>393.98220000000003</v>
      </c>
      <c r="P39" s="1367">
        <f t="shared" si="18"/>
        <v>476.4024</v>
      </c>
      <c r="Q39" s="1367">
        <f t="shared" si="18"/>
        <v>698.39640000000009</v>
      </c>
      <c r="R39" s="1367">
        <f t="shared" si="18"/>
        <v>817.42019999999991</v>
      </c>
      <c r="S39" s="1367">
        <f t="shared" si="18"/>
        <v>708.44820000000004</v>
      </c>
      <c r="T39" s="1367">
        <f t="shared" si="18"/>
        <v>435.5856</v>
      </c>
      <c r="U39" s="1367">
        <f t="shared" si="18"/>
        <v>372.9606</v>
      </c>
      <c r="V39" s="1367">
        <f t="shared" si="18"/>
        <v>281.00639999999999</v>
      </c>
      <c r="W39" s="1367">
        <f t="shared" si="18"/>
        <v>119.72699999999999</v>
      </c>
      <c r="X39" s="1367">
        <f t="shared" si="18"/>
        <v>67.559399999999997</v>
      </c>
      <c r="Y39" s="1367"/>
      <c r="Z39" s="1348"/>
      <c r="AA39" s="1348"/>
      <c r="AB39" s="1348"/>
      <c r="AC39" s="1348"/>
    </row>
    <row r="40" spans="1:29" s="1354" customFormat="1" ht="13" x14ac:dyDescent="0.35">
      <c r="A40" s="1354" t="s">
        <v>1507</v>
      </c>
      <c r="C40" s="1372">
        <f>+'APOL historicals'!D75</f>
        <v>155.55375000000001</v>
      </c>
      <c r="D40" s="1372">
        <f>+'APOL historicals'!E75</f>
        <v>172.71674999999999</v>
      </c>
      <c r="E40" s="1372">
        <f>+'APOL historicals'!F75</f>
        <v>174.8835</v>
      </c>
      <c r="F40" s="1372">
        <f>+'APOL historicals'!G75</f>
        <v>177.9435</v>
      </c>
      <c r="G40" s="1372">
        <f>+'APOL historicals'!H75</f>
        <v>177.38550000000001</v>
      </c>
      <c r="H40" s="1372">
        <f>+'APOL historicals'!I75</f>
        <v>172.447</v>
      </c>
      <c r="I40" s="1372">
        <f>+'APOL historicals'!J75</f>
        <v>174.001</v>
      </c>
      <c r="J40" s="1372">
        <f>+'APOL historicals'!K75</f>
        <v>175.697</v>
      </c>
      <c r="K40" s="1372">
        <f>+'APOL historicals'!L75</f>
        <v>177.637</v>
      </c>
      <c r="L40" s="1372">
        <f>+'APOL historicals'!M75</f>
        <v>178.91399999999999</v>
      </c>
      <c r="M40" s="1372">
        <f>+'APOL historicals'!N75</f>
        <v>186.066</v>
      </c>
      <c r="N40" s="1372">
        <f>+'APOL historicals'!O75</f>
        <v>176.20500000000001</v>
      </c>
      <c r="O40" s="1372">
        <f>+'APOL historicals'!P75</f>
        <v>173.60300000000001</v>
      </c>
      <c r="P40" s="1372">
        <f>+'APOL historicals'!Q75</f>
        <v>165.87</v>
      </c>
      <c r="Q40" s="1372">
        <f>+'APOL historicals'!R75</f>
        <v>159.51400000000001</v>
      </c>
      <c r="R40" s="1372">
        <f>+'APOL historicals'!S75</f>
        <v>152.90600000000001</v>
      </c>
      <c r="S40" s="1372">
        <f>+'APOL historicals'!T75</f>
        <v>141.75</v>
      </c>
      <c r="T40" s="1372">
        <f>+'APOL historicals'!U75</f>
        <v>122.357</v>
      </c>
      <c r="U40" s="1372">
        <f>+'APOL historicals'!V75</f>
        <v>113.285</v>
      </c>
      <c r="V40" s="1372">
        <f>+'APOL historicals'!W75</f>
        <v>112.61</v>
      </c>
      <c r="W40" s="1372">
        <f>+'APOL historicals'!X75</f>
        <v>109.038</v>
      </c>
      <c r="X40" s="1372">
        <f>+'APOL historicals'!Y75</f>
        <v>108.66</v>
      </c>
      <c r="Y40" s="1373"/>
      <c r="Z40" s="1361"/>
      <c r="AA40" s="1361"/>
      <c r="AB40" s="1361"/>
      <c r="AC40" s="1361"/>
    </row>
    <row r="41" spans="1:29" s="1344" customFormat="1" ht="11.25" customHeight="1" x14ac:dyDescent="0.35">
      <c r="A41" s="1362" t="s">
        <v>697</v>
      </c>
      <c r="C41" s="1374">
        <f t="shared" ref="C41:X41" si="19">C39/C40</f>
        <v>8.4198548733154938E-2</v>
      </c>
      <c r="D41" s="1374">
        <f t="shared" si="19"/>
        <v>0.12157593284959332</v>
      </c>
      <c r="E41" s="1374">
        <f t="shared" si="19"/>
        <v>0.18863186063865373</v>
      </c>
      <c r="F41" s="1374">
        <f t="shared" si="19"/>
        <v>0.25717826163922819</v>
      </c>
      <c r="G41" s="1374">
        <f t="shared" si="19"/>
        <v>0.33142055015770733</v>
      </c>
      <c r="H41" s="1374">
        <f t="shared" si="19"/>
        <v>0.41858078134151355</v>
      </c>
      <c r="I41" s="1374">
        <f t="shared" si="19"/>
        <v>0.60382066769731202</v>
      </c>
      <c r="J41" s="1374">
        <f t="shared" si="19"/>
        <v>0.90812250636038172</v>
      </c>
      <c r="K41" s="1374">
        <f t="shared" si="19"/>
        <v>1.3571632036118602</v>
      </c>
      <c r="L41" s="1374">
        <f t="shared" si="19"/>
        <v>1.5701599651229081</v>
      </c>
      <c r="M41" s="1374">
        <f t="shared" si="19"/>
        <v>2.3038244493889266</v>
      </c>
      <c r="N41" s="1374">
        <f t="shared" si="19"/>
        <v>2.4327538946113902</v>
      </c>
      <c r="O41" s="1374">
        <f t="shared" si="19"/>
        <v>2.2694435004003388</v>
      </c>
      <c r="P41" s="1374">
        <f t="shared" si="19"/>
        <v>2.8721432447097124</v>
      </c>
      <c r="Q41" s="1374">
        <f t="shared" si="19"/>
        <v>4.3782765149140515</v>
      </c>
      <c r="R41" s="1374">
        <f t="shared" si="19"/>
        <v>5.3459000954834988</v>
      </c>
      <c r="S41" s="1374">
        <f t="shared" si="19"/>
        <v>4.9978708994708994</v>
      </c>
      <c r="T41" s="1374">
        <f t="shared" si="19"/>
        <v>3.5599565206731123</v>
      </c>
      <c r="U41" s="1374">
        <f t="shared" si="19"/>
        <v>3.2922328640155363</v>
      </c>
      <c r="V41" s="1374">
        <f t="shared" si="19"/>
        <v>2.4953947251576234</v>
      </c>
      <c r="W41" s="1374">
        <f t="shared" si="19"/>
        <v>1.0980300445716171</v>
      </c>
      <c r="X41" s="1374">
        <f t="shared" si="19"/>
        <v>0.62175041413583654</v>
      </c>
      <c r="Y41" s="1374"/>
      <c r="Z41" s="1348">
        <f>+(R41/C41)^(0.0666666666666667)-1</f>
        <v>0.31880650965046731</v>
      </c>
      <c r="AA41" s="1348"/>
      <c r="AB41" s="1348"/>
      <c r="AC41" s="1348"/>
    </row>
    <row r="42" spans="1:29" s="1354" customFormat="1" ht="11.25" customHeight="1" x14ac:dyDescent="0.35">
      <c r="A42" s="1363" t="s">
        <v>1500</v>
      </c>
      <c r="C42" s="1355"/>
      <c r="D42" s="1364">
        <f t="shared" ref="D42:X42" si="20">IFERROR((D41/C41-1),"n/a")</f>
        <v>0.44391957674824223</v>
      </c>
      <c r="E42" s="1364">
        <f t="shared" si="20"/>
        <v>0.55155593888815235</v>
      </c>
      <c r="F42" s="1364">
        <f t="shared" si="20"/>
        <v>0.36338718585765895</v>
      </c>
      <c r="G42" s="1364">
        <f t="shared" si="20"/>
        <v>0.28868026420766024</v>
      </c>
      <c r="H42" s="1364">
        <f t="shared" si="20"/>
        <v>0.26298982106671054</v>
      </c>
      <c r="I42" s="1364">
        <f t="shared" si="20"/>
        <v>0.44254274112184833</v>
      </c>
      <c r="J42" s="1364">
        <f t="shared" si="20"/>
        <v>0.5039606209961871</v>
      </c>
      <c r="K42" s="1364">
        <f t="shared" si="20"/>
        <v>0.49447149928170586</v>
      </c>
      <c r="L42" s="1364">
        <f t="shared" si="20"/>
        <v>0.15694262926094149</v>
      </c>
      <c r="M42" s="1364">
        <f t="shared" si="20"/>
        <v>0.46725461135330182</v>
      </c>
      <c r="N42" s="1364">
        <f t="shared" si="20"/>
        <v>5.5963224653102994E-2</v>
      </c>
      <c r="O42" s="1364">
        <f t="shared" si="20"/>
        <v>-6.7129845962959123E-2</v>
      </c>
      <c r="P42" s="1364">
        <f t="shared" si="20"/>
        <v>0.26557160123310175</v>
      </c>
      <c r="Q42" s="1364">
        <f t="shared" si="20"/>
        <v>0.52439350752387837</v>
      </c>
      <c r="R42" s="1364">
        <f t="shared" si="20"/>
        <v>0.22100558913384272</v>
      </c>
      <c r="S42" s="1364">
        <f t="shared" si="20"/>
        <v>-6.5102076319501934E-2</v>
      </c>
      <c r="T42" s="1364">
        <f t="shared" si="20"/>
        <v>-0.28770538649768085</v>
      </c>
      <c r="U42" s="1364">
        <f t="shared" si="20"/>
        <v>-7.520419283293811E-2</v>
      </c>
      <c r="V42" s="1364">
        <f t="shared" si="20"/>
        <v>-0.24203577686361144</v>
      </c>
      <c r="W42" s="1364">
        <f t="shared" si="20"/>
        <v>-0.5599774121898653</v>
      </c>
      <c r="X42" s="1364">
        <f t="shared" si="20"/>
        <v>-0.43375828629679725</v>
      </c>
      <c r="Y42" s="1364"/>
      <c r="Z42" s="1357"/>
      <c r="AA42" s="1357"/>
      <c r="AB42" s="1357"/>
      <c r="AC42" s="1357"/>
    </row>
    <row r="43" spans="1:29" s="1354" customFormat="1" ht="11.25" customHeight="1" x14ac:dyDescent="0.25">
      <c r="A43" s="1368"/>
      <c r="C43" s="1355"/>
      <c r="D43" s="1356"/>
      <c r="E43" s="1356"/>
      <c r="F43" s="1356"/>
      <c r="G43" s="1356"/>
      <c r="H43" s="1356"/>
      <c r="I43" s="1356"/>
      <c r="J43" s="1356"/>
      <c r="K43" s="1356"/>
      <c r="L43" s="1356"/>
      <c r="M43" s="1356"/>
      <c r="N43" s="1356"/>
      <c r="O43" s="995"/>
      <c r="P43" s="995"/>
      <c r="Q43" s="995"/>
      <c r="R43" s="995"/>
      <c r="S43" s="995"/>
      <c r="T43" s="995"/>
      <c r="U43" s="995"/>
      <c r="V43" s="995"/>
      <c r="W43" s="995"/>
      <c r="X43" s="995"/>
      <c r="Y43" s="995"/>
      <c r="Z43" s="1357"/>
      <c r="AA43" s="1357"/>
      <c r="AB43" s="1357"/>
      <c r="AC43" s="1357"/>
    </row>
    <row r="44" spans="1:29" s="1354" customFormat="1" ht="11.25" customHeight="1" x14ac:dyDescent="0.25">
      <c r="A44" s="1375" t="s">
        <v>1508</v>
      </c>
      <c r="C44" s="1355"/>
      <c r="D44" s="1356"/>
      <c r="E44" s="1356"/>
      <c r="F44" s="1356"/>
      <c r="G44" s="1356"/>
      <c r="H44" s="1356"/>
      <c r="I44" s="1356"/>
      <c r="J44" s="1356"/>
      <c r="K44" s="1356"/>
      <c r="L44" s="1356"/>
      <c r="M44" s="1356"/>
      <c r="N44" s="1356"/>
      <c r="O44" s="995"/>
      <c r="P44" s="995"/>
      <c r="Q44" s="995"/>
      <c r="R44" s="995"/>
      <c r="S44" s="995"/>
      <c r="T44" s="995"/>
      <c r="U44" s="995"/>
      <c r="V44" s="995"/>
      <c r="W44" s="995"/>
      <c r="X44" s="995"/>
      <c r="Y44" s="995"/>
      <c r="Z44" s="1357"/>
      <c r="AA44" s="1357"/>
      <c r="AB44" s="1357"/>
      <c r="AC44" s="1357"/>
    </row>
    <row r="45" spans="1:29" s="1354" customFormat="1" ht="11.25" customHeight="1" x14ac:dyDescent="0.25">
      <c r="A45" s="1022" t="s">
        <v>67</v>
      </c>
      <c r="C45" s="1370">
        <f t="shared" ref="C45:X45" si="21">C31</f>
        <v>19.413</v>
      </c>
      <c r="D45" s="1370">
        <f t="shared" si="21"/>
        <v>31.969000000000001</v>
      </c>
      <c r="E45" s="1370">
        <f t="shared" si="21"/>
        <v>50.807000000000002</v>
      </c>
      <c r="F45" s="1370">
        <f t="shared" si="21"/>
        <v>70.186000000000007</v>
      </c>
      <c r="G45" s="1370">
        <f t="shared" si="21"/>
        <v>92.753</v>
      </c>
      <c r="H45" s="1370">
        <f t="shared" si="21"/>
        <v>114.077</v>
      </c>
      <c r="I45" s="1370">
        <f t="shared" si="21"/>
        <v>161.00299999999999</v>
      </c>
      <c r="J45" s="1370">
        <f t="shared" si="21"/>
        <v>253.852</v>
      </c>
      <c r="K45" s="1370">
        <f t="shared" si="21"/>
        <v>387.25900000000001</v>
      </c>
      <c r="L45" s="1370">
        <f t="shared" si="21"/>
        <v>450.20100000000002</v>
      </c>
      <c r="M45" s="1370">
        <f t="shared" si="21"/>
        <v>697.65200000000004</v>
      </c>
      <c r="N45" s="1370">
        <f t="shared" si="21"/>
        <v>696.23900000000003</v>
      </c>
      <c r="O45" s="1370">
        <f t="shared" si="21"/>
        <v>625.697</v>
      </c>
      <c r="P45" s="1370">
        <f t="shared" si="21"/>
        <v>767.37599999999998</v>
      </c>
      <c r="Q45" s="1370">
        <f t="shared" si="21"/>
        <v>1155.8510000000001</v>
      </c>
      <c r="R45" s="1370">
        <f t="shared" si="21"/>
        <v>1371.2670000000001</v>
      </c>
      <c r="S45" s="1370">
        <f t="shared" si="21"/>
        <v>1186.7470000000001</v>
      </c>
      <c r="T45" s="1370">
        <f t="shared" si="21"/>
        <v>736.57600000000002</v>
      </c>
      <c r="U45" s="1370">
        <f t="shared" si="21"/>
        <v>628.40099999999995</v>
      </c>
      <c r="V45" s="1370">
        <f t="shared" si="21"/>
        <v>474.04399999999998</v>
      </c>
      <c r="W45" s="1370">
        <f t="shared" si="21"/>
        <v>203.04499999999999</v>
      </c>
      <c r="X45" s="1370">
        <f t="shared" si="21"/>
        <v>115.29900000000001</v>
      </c>
      <c r="Y45" s="1370"/>
      <c r="Z45" s="1357"/>
      <c r="AA45" s="1357"/>
      <c r="AB45" s="1357"/>
      <c r="AC45" s="1357"/>
    </row>
    <row r="46" spans="1:29" s="1354" customFormat="1" ht="13" x14ac:dyDescent="0.35">
      <c r="A46" s="1359" t="s">
        <v>692</v>
      </c>
      <c r="C46" s="1360">
        <f t="shared" ref="C46:X46" si="22">C30</f>
        <v>2.7510000000000012</v>
      </c>
      <c r="D46" s="1360">
        <f t="shared" si="22"/>
        <v>6.0929999999999964</v>
      </c>
      <c r="E46" s="1360">
        <f t="shared" si="22"/>
        <v>8.2909999999999968</v>
      </c>
      <c r="F46" s="1360">
        <f t="shared" si="22"/>
        <v>12.785999999999987</v>
      </c>
      <c r="G46" s="1360">
        <f t="shared" si="22"/>
        <v>19.971000000000004</v>
      </c>
      <c r="H46" s="1360">
        <f t="shared" si="22"/>
        <v>27.051999999999992</v>
      </c>
      <c r="I46" s="1360">
        <f t="shared" si="22"/>
        <v>32.740000000000009</v>
      </c>
      <c r="J46" s="1360">
        <f t="shared" si="22"/>
        <v>35.179000000000002</v>
      </c>
      <c r="K46" s="1360">
        <f t="shared" si="22"/>
        <v>40.305000000000007</v>
      </c>
      <c r="L46" s="1360">
        <f t="shared" si="22"/>
        <v>45.786999999999978</v>
      </c>
      <c r="M46" s="1360">
        <f t="shared" si="22"/>
        <v>45.591999999999985</v>
      </c>
      <c r="N46" s="1360">
        <f t="shared" si="22"/>
        <v>64.789999999999964</v>
      </c>
      <c r="O46" s="1360">
        <f t="shared" si="22"/>
        <v>67.08299999999997</v>
      </c>
      <c r="P46" s="1360">
        <f t="shared" si="22"/>
        <v>84.596000000000004</v>
      </c>
      <c r="Q46" s="1360">
        <f t="shared" si="22"/>
        <v>100.84999999999991</v>
      </c>
      <c r="R46" s="1360">
        <f t="shared" si="22"/>
        <v>130.93499999999995</v>
      </c>
      <c r="S46" s="1360">
        <f t="shared" si="22"/>
        <v>144.00599999999986</v>
      </c>
      <c r="T46" s="1360">
        <f t="shared" si="22"/>
        <v>168.13400000000001</v>
      </c>
      <c r="U46" s="1360">
        <f t="shared" si="22"/>
        <v>161.73300000000006</v>
      </c>
      <c r="V46" s="1360">
        <f t="shared" si="22"/>
        <v>150.57500000000005</v>
      </c>
      <c r="W46" s="1360">
        <f t="shared" si="22"/>
        <v>132.01200000000003</v>
      </c>
      <c r="X46" s="1360">
        <f t="shared" si="22"/>
        <v>91.22999999999999</v>
      </c>
      <c r="Y46" s="1360"/>
      <c r="Z46" s="1361"/>
      <c r="AA46" s="1361"/>
      <c r="AB46" s="1361"/>
      <c r="AC46" s="1361"/>
    </row>
    <row r="47" spans="1:29" s="1354" customFormat="1" ht="11.25" customHeight="1" x14ac:dyDescent="0.35">
      <c r="A47" s="1369" t="s">
        <v>64</v>
      </c>
      <c r="C47" s="1370">
        <f t="shared" ref="C47:X47" si="23">C45+C46</f>
        <v>22.164000000000001</v>
      </c>
      <c r="D47" s="1370">
        <f t="shared" si="23"/>
        <v>38.061999999999998</v>
      </c>
      <c r="E47" s="1370">
        <f t="shared" si="23"/>
        <v>59.097999999999999</v>
      </c>
      <c r="F47" s="1370">
        <f t="shared" si="23"/>
        <v>82.971999999999994</v>
      </c>
      <c r="G47" s="1370">
        <f t="shared" si="23"/>
        <v>112.724</v>
      </c>
      <c r="H47" s="1370">
        <f t="shared" si="23"/>
        <v>141.12899999999999</v>
      </c>
      <c r="I47" s="1370">
        <f t="shared" si="23"/>
        <v>193.74299999999999</v>
      </c>
      <c r="J47" s="1370">
        <f t="shared" si="23"/>
        <v>289.03100000000001</v>
      </c>
      <c r="K47" s="1370">
        <f t="shared" si="23"/>
        <v>427.56400000000002</v>
      </c>
      <c r="L47" s="1370">
        <f t="shared" si="23"/>
        <v>495.988</v>
      </c>
      <c r="M47" s="1370">
        <f t="shared" si="23"/>
        <v>743.24400000000003</v>
      </c>
      <c r="N47" s="1370">
        <f t="shared" si="23"/>
        <v>761.029</v>
      </c>
      <c r="O47" s="1370">
        <f t="shared" si="23"/>
        <v>692.78</v>
      </c>
      <c r="P47" s="1370">
        <f t="shared" si="23"/>
        <v>851.97199999999998</v>
      </c>
      <c r="Q47" s="1370">
        <f t="shared" si="23"/>
        <v>1256.701</v>
      </c>
      <c r="R47" s="1370">
        <f t="shared" si="23"/>
        <v>1502.202</v>
      </c>
      <c r="S47" s="1370">
        <f t="shared" si="23"/>
        <v>1330.7529999999999</v>
      </c>
      <c r="T47" s="1370">
        <f t="shared" si="23"/>
        <v>904.71</v>
      </c>
      <c r="U47" s="1370">
        <f t="shared" si="23"/>
        <v>790.13400000000001</v>
      </c>
      <c r="V47" s="1370">
        <f t="shared" si="23"/>
        <v>624.61900000000003</v>
      </c>
      <c r="W47" s="1370">
        <f t="shared" si="23"/>
        <v>335.05700000000002</v>
      </c>
      <c r="X47" s="1370">
        <f t="shared" si="23"/>
        <v>206.529</v>
      </c>
      <c r="Y47" s="1370"/>
      <c r="Z47" s="1357"/>
      <c r="AA47" s="1357"/>
      <c r="AB47" s="1357"/>
      <c r="AC47" s="1357"/>
    </row>
    <row r="48" spans="1:29" s="1354" customFormat="1" ht="13" x14ac:dyDescent="0.35">
      <c r="A48" s="1359" t="s">
        <v>1509</v>
      </c>
      <c r="C48" s="1365">
        <f>+'APOL historicals'!D232*-1+'APOL historicals'!D236*-1</f>
        <v>11.4</v>
      </c>
      <c r="D48" s="1365">
        <f>+'APOL historicals'!E232*-1+'APOL historicals'!E236*-1</f>
        <v>9.9</v>
      </c>
      <c r="E48" s="1365">
        <f>+'APOL historicals'!F232*-1+'APOL historicals'!F236*-1</f>
        <v>12.7</v>
      </c>
      <c r="F48" s="1365">
        <f>+'APOL historicals'!G232*-1+'APOL historicals'!G236*-1</f>
        <v>30.9</v>
      </c>
      <c r="G48" s="1365">
        <f>+'APOL historicals'!H232*-1+'APOL historicals'!H236*-1</f>
        <v>44.7</v>
      </c>
      <c r="H48" s="1365">
        <f>+'APOL historicals'!I232*-1+'APOL historicals'!I236*-1</f>
        <v>34.799999999999997</v>
      </c>
      <c r="I48" s="1365">
        <f>+'APOL historicals'!J232*-1+'APOL historicals'!J236*-1</f>
        <v>52.1</v>
      </c>
      <c r="J48" s="1365">
        <f>+'APOL historicals'!K232*-1+'APOL historicals'!K236*-1</f>
        <v>36.700000000000003</v>
      </c>
      <c r="K48" s="1365">
        <f>+'APOL historicals'!L232*-1+'APOL historicals'!L236*-1</f>
        <v>56.7</v>
      </c>
      <c r="L48" s="1365">
        <f>+'APOL historicals'!M232*-1+'APOL historicals'!M236*-1</f>
        <v>109.5</v>
      </c>
      <c r="M48" s="1365">
        <f>+'APOL historicals'!N232*-1+'APOL historicals'!N236*-1</f>
        <v>94.5</v>
      </c>
      <c r="N48" s="1365">
        <f>+'APOL historicals'!O232*-1+'APOL historicals'!O236*-1</f>
        <v>111.2</v>
      </c>
      <c r="O48" s="1365">
        <f>+'APOL historicals'!P232*-1+'APOL historicals'!P236*-1</f>
        <v>104.6</v>
      </c>
      <c r="P48" s="1365">
        <f>+'APOL historicals'!Q232*-1+'APOL historicals'!Q236*-1</f>
        <v>104.9</v>
      </c>
      <c r="Q48" s="1365">
        <f>+'APOL historicals'!R232*-1+'APOL historicals'!R236*-1</f>
        <v>127.4</v>
      </c>
      <c r="R48" s="1365">
        <f>+'APOL historicals'!S232*-1+'APOL historicals'!S236*-1</f>
        <v>168.2</v>
      </c>
      <c r="S48" s="1365">
        <f>+'APOL historicals'!T232*-1+'APOL historicals'!T236*-1</f>
        <v>162.6</v>
      </c>
      <c r="T48" s="1365">
        <f>+'APOL historicals'!U232*-1+'APOL historicals'!U236*-1</f>
        <v>115.2</v>
      </c>
      <c r="U48" s="1365">
        <f>+'APOL historicals'!V232*-1+'APOL historicals'!V236*-1</f>
        <v>119.3</v>
      </c>
      <c r="V48" s="1365">
        <f>+'APOL historicals'!W232*-1+'APOL historicals'!W236*-1</f>
        <v>100.7</v>
      </c>
      <c r="W48" s="1365">
        <f>+'APOL historicals'!X232*-1+'APOL historicals'!X236*-1</f>
        <v>98</v>
      </c>
      <c r="X48" s="1365">
        <f>+'APOL historicals'!Y232*-1+'APOL historicals'!Y236*-1</f>
        <v>73.099999999999994</v>
      </c>
      <c r="Y48" s="1366"/>
      <c r="Z48" s="1361"/>
      <c r="AA48" s="1361"/>
      <c r="AB48" s="1361"/>
      <c r="AC48" s="1361"/>
    </row>
    <row r="49" spans="1:29" s="1344" customFormat="1" ht="11.25" customHeight="1" x14ac:dyDescent="0.35">
      <c r="A49" s="1362" t="s">
        <v>691</v>
      </c>
      <c r="C49" s="1367">
        <f t="shared" ref="C49:X49" si="24">C47-C48</f>
        <v>10.764000000000001</v>
      </c>
      <c r="D49" s="1367">
        <f t="shared" si="24"/>
        <v>28.161999999999999</v>
      </c>
      <c r="E49" s="1367">
        <f t="shared" si="24"/>
        <v>46.397999999999996</v>
      </c>
      <c r="F49" s="1367">
        <f t="shared" si="24"/>
        <v>52.071999999999996</v>
      </c>
      <c r="G49" s="1367">
        <f t="shared" si="24"/>
        <v>68.024000000000001</v>
      </c>
      <c r="H49" s="1367">
        <f t="shared" si="24"/>
        <v>106.32899999999999</v>
      </c>
      <c r="I49" s="1367">
        <f t="shared" si="24"/>
        <v>141.643</v>
      </c>
      <c r="J49" s="1367">
        <f t="shared" si="24"/>
        <v>252.33100000000002</v>
      </c>
      <c r="K49" s="1367">
        <f t="shared" si="24"/>
        <v>370.86400000000003</v>
      </c>
      <c r="L49" s="1367">
        <f t="shared" si="24"/>
        <v>386.488</v>
      </c>
      <c r="M49" s="1367">
        <f t="shared" si="24"/>
        <v>648.74400000000003</v>
      </c>
      <c r="N49" s="1367">
        <f t="shared" si="24"/>
        <v>649.82899999999995</v>
      </c>
      <c r="O49" s="1367">
        <f t="shared" si="24"/>
        <v>588.17999999999995</v>
      </c>
      <c r="P49" s="1367">
        <f t="shared" si="24"/>
        <v>747.072</v>
      </c>
      <c r="Q49" s="1367">
        <f t="shared" si="24"/>
        <v>1129.3009999999999</v>
      </c>
      <c r="R49" s="1367">
        <f t="shared" si="24"/>
        <v>1334.002</v>
      </c>
      <c r="S49" s="1367">
        <f t="shared" si="24"/>
        <v>1168.153</v>
      </c>
      <c r="T49" s="1367">
        <f t="shared" si="24"/>
        <v>789.51</v>
      </c>
      <c r="U49" s="1367">
        <f t="shared" si="24"/>
        <v>670.83400000000006</v>
      </c>
      <c r="V49" s="1367">
        <f t="shared" si="24"/>
        <v>523.91899999999998</v>
      </c>
      <c r="W49" s="1367">
        <f t="shared" si="24"/>
        <v>237.05700000000002</v>
      </c>
      <c r="X49" s="1367">
        <f t="shared" si="24"/>
        <v>133.429</v>
      </c>
      <c r="Y49" s="1367"/>
      <c r="Z49" s="1348"/>
      <c r="AA49" s="1348"/>
      <c r="AB49" s="1348"/>
      <c r="AC49" s="1348"/>
    </row>
    <row r="50" spans="1:29" s="1354" customFormat="1" ht="11.25" customHeight="1" x14ac:dyDescent="0.35">
      <c r="A50" s="1363" t="s">
        <v>1500</v>
      </c>
      <c r="C50" s="1364"/>
      <c r="D50" s="1364">
        <f t="shared" ref="D50:X50" si="25">IFERROR((D49/C49-1),"n/a")</f>
        <v>1.6163136380527683</v>
      </c>
      <c r="E50" s="1364">
        <f t="shared" si="25"/>
        <v>0.64753923727008011</v>
      </c>
      <c r="F50" s="1364">
        <f t="shared" si="25"/>
        <v>0.12228975386870133</v>
      </c>
      <c r="G50" s="1364">
        <f t="shared" si="25"/>
        <v>0.30634506068520517</v>
      </c>
      <c r="H50" s="1364">
        <f t="shared" si="25"/>
        <v>0.56311007879571906</v>
      </c>
      <c r="I50" s="1364">
        <f t="shared" si="25"/>
        <v>0.3321201177477453</v>
      </c>
      <c r="J50" s="1364">
        <f t="shared" si="25"/>
        <v>0.78145760821219556</v>
      </c>
      <c r="K50" s="1364">
        <f t="shared" si="25"/>
        <v>0.46975203205313654</v>
      </c>
      <c r="L50" s="1364">
        <f t="shared" si="25"/>
        <v>4.2128650934035061E-2</v>
      </c>
      <c r="M50" s="1364">
        <f t="shared" si="25"/>
        <v>0.67856181821945327</v>
      </c>
      <c r="N50" s="1364">
        <f t="shared" si="25"/>
        <v>1.6724624813484468E-3</v>
      </c>
      <c r="O50" s="1364">
        <f t="shared" si="25"/>
        <v>-9.4869573380073846E-2</v>
      </c>
      <c r="P50" s="1364">
        <f t="shared" si="25"/>
        <v>0.27014179332857302</v>
      </c>
      <c r="Q50" s="1364">
        <f t="shared" si="25"/>
        <v>0.51163609397755505</v>
      </c>
      <c r="R50" s="1364">
        <f t="shared" si="25"/>
        <v>0.18126345411896394</v>
      </c>
      <c r="S50" s="1364">
        <f t="shared" si="25"/>
        <v>-0.12432440131274158</v>
      </c>
      <c r="T50" s="1364">
        <f t="shared" si="25"/>
        <v>-0.32413819080206108</v>
      </c>
      <c r="U50" s="1364">
        <f t="shared" si="25"/>
        <v>-0.15031601879646861</v>
      </c>
      <c r="V50" s="1364">
        <f t="shared" si="25"/>
        <v>-0.21900350906483579</v>
      </c>
      <c r="W50" s="1364">
        <f t="shared" si="25"/>
        <v>-0.54753120234234676</v>
      </c>
      <c r="X50" s="1364">
        <f t="shared" si="25"/>
        <v>-0.437143809294811</v>
      </c>
      <c r="Y50" s="1364"/>
      <c r="Z50" s="1357"/>
      <c r="AA50" s="1357"/>
      <c r="AB50" s="1357"/>
      <c r="AC50" s="1357"/>
    </row>
    <row r="51" spans="1:29" s="1354" customFormat="1" ht="11.25" customHeight="1" x14ac:dyDescent="0.35">
      <c r="A51" s="1363" t="s">
        <v>1503</v>
      </c>
      <c r="C51" s="1355">
        <f t="shared" ref="C51:X51" si="26">C49/C$12</f>
        <v>6.6851744890164155E-2</v>
      </c>
      <c r="D51" s="1355">
        <f t="shared" si="26"/>
        <v>0.13331313580784579</v>
      </c>
      <c r="E51" s="1355">
        <f t="shared" si="26"/>
        <v>0.16618492451512382</v>
      </c>
      <c r="F51" s="1355">
        <f t="shared" si="26"/>
        <v>0.13529517222385332</v>
      </c>
      <c r="G51" s="1355">
        <f t="shared" si="26"/>
        <v>0.13636272516969164</v>
      </c>
      <c r="H51" s="1355">
        <f t="shared" si="26"/>
        <v>0.17431069333127869</v>
      </c>
      <c r="I51" s="1355">
        <f t="shared" si="26"/>
        <v>0.18407769463295706</v>
      </c>
      <c r="J51" s="1355">
        <f t="shared" si="26"/>
        <v>0.24996755675092006</v>
      </c>
      <c r="K51" s="1355">
        <f t="shared" si="26"/>
        <v>0.27686397410409874</v>
      </c>
      <c r="L51" s="1355">
        <f t="shared" si="26"/>
        <v>0.21470994924021428</v>
      </c>
      <c r="M51" s="1355">
        <f t="shared" si="26"/>
        <v>0.28818798159489034</v>
      </c>
      <c r="N51" s="1355">
        <f t="shared" si="26"/>
        <v>0.26228873641642714</v>
      </c>
      <c r="O51" s="1355">
        <f t="shared" si="26"/>
        <v>0.21594151978509377</v>
      </c>
      <c r="P51" s="1355">
        <f t="shared" si="26"/>
        <v>0.23841942200191737</v>
      </c>
      <c r="Q51" s="1355">
        <f t="shared" si="26"/>
        <v>0.28564111488210897</v>
      </c>
      <c r="R51" s="1355">
        <f t="shared" si="26"/>
        <v>0.27187838127849084</v>
      </c>
      <c r="S51" s="1355">
        <f t="shared" si="26"/>
        <v>0.24796027381587413</v>
      </c>
      <c r="T51" s="1355">
        <f t="shared" si="26"/>
        <v>0.18828386025913446</v>
      </c>
      <c r="U51" s="1355">
        <f t="shared" si="26"/>
        <v>0.18562857184759418</v>
      </c>
      <c r="V51" s="1355">
        <f t="shared" si="26"/>
        <v>0.17482235602871668</v>
      </c>
      <c r="W51" s="1355">
        <f t="shared" si="26"/>
        <v>9.2373894166529968E-2</v>
      </c>
      <c r="X51" s="1355">
        <f t="shared" si="26"/>
        <v>6.3481694697528374E-2</v>
      </c>
      <c r="Y51" s="1355"/>
      <c r="Z51" s="1357"/>
      <c r="AA51" s="1357"/>
      <c r="AB51" s="1357"/>
      <c r="AC51" s="1357"/>
    </row>
    <row r="52" spans="1:29" s="1354" customFormat="1" ht="11.25" customHeight="1" x14ac:dyDescent="0.35">
      <c r="A52" s="1368" t="s">
        <v>1551</v>
      </c>
      <c r="C52" s="1355">
        <f t="shared" ref="C52:X52" si="27">C48/C$12</f>
        <v>7.0801736505747989E-2</v>
      </c>
      <c r="D52" s="1355">
        <f t="shared" si="27"/>
        <v>4.6864570857810997E-2</v>
      </c>
      <c r="E52" s="1355">
        <f t="shared" si="27"/>
        <v>4.5487920628951087E-2</v>
      </c>
      <c r="F52" s="1355">
        <f t="shared" si="27"/>
        <v>8.0285389877805105E-2</v>
      </c>
      <c r="G52" s="1355">
        <f t="shared" si="27"/>
        <v>8.9606812523303797E-2</v>
      </c>
      <c r="H52" s="1355">
        <f t="shared" si="27"/>
        <v>5.7049460898988026E-2</v>
      </c>
      <c r="I52" s="1355">
        <f t="shared" si="27"/>
        <v>6.7708590543670094E-2</v>
      </c>
      <c r="J52" s="1355">
        <f t="shared" si="27"/>
        <v>3.6356251640736838E-2</v>
      </c>
      <c r="K52" s="1355">
        <f t="shared" si="27"/>
        <v>4.2328690117407988E-2</v>
      </c>
      <c r="L52" s="1355">
        <f t="shared" si="27"/>
        <v>6.083174494888189E-2</v>
      </c>
      <c r="M52" s="1355">
        <f t="shared" si="27"/>
        <v>4.1979215623908876E-2</v>
      </c>
      <c r="N52" s="1355">
        <f t="shared" si="27"/>
        <v>4.4883357759513194E-2</v>
      </c>
      <c r="O52" s="1355">
        <f t="shared" si="27"/>
        <v>3.84023308672869E-2</v>
      </c>
      <c r="P52" s="1355">
        <f t="shared" si="27"/>
        <v>3.3477626477770729E-2</v>
      </c>
      <c r="Q52" s="1355">
        <f t="shared" si="27"/>
        <v>3.2224073153198911E-2</v>
      </c>
      <c r="R52" s="1355">
        <f t="shared" si="27"/>
        <v>3.4280266244759876E-2</v>
      </c>
      <c r="S52" s="1355">
        <f t="shared" si="27"/>
        <v>3.4514605982659062E-2</v>
      </c>
      <c r="T52" s="1355">
        <f t="shared" si="27"/>
        <v>2.7473117125625123E-2</v>
      </c>
      <c r="U52" s="1355">
        <f t="shared" si="27"/>
        <v>3.3011875697144123E-2</v>
      </c>
      <c r="V52" s="1355">
        <f t="shared" si="27"/>
        <v>3.3601780527317715E-2</v>
      </c>
      <c r="W52" s="1355">
        <f t="shared" si="27"/>
        <v>3.8187615756210262E-2</v>
      </c>
      <c r="X52" s="1355">
        <f t="shared" si="27"/>
        <v>3.4778885267740325E-2</v>
      </c>
      <c r="Y52" s="1355"/>
      <c r="Z52" s="1357"/>
      <c r="AA52" s="1357"/>
      <c r="AB52" s="1357"/>
      <c r="AC52" s="1357"/>
    </row>
    <row r="53" spans="1:29" s="1354" customFormat="1" ht="11.25" customHeight="1" x14ac:dyDescent="0.25">
      <c r="A53" s="1353"/>
      <c r="C53" s="1355"/>
      <c r="D53" s="1356"/>
      <c r="E53" s="1356"/>
      <c r="F53" s="1356"/>
      <c r="G53" s="1356"/>
      <c r="H53" s="1356"/>
      <c r="I53" s="1356"/>
      <c r="J53" s="1356"/>
      <c r="K53" s="1356"/>
      <c r="L53" s="1356"/>
      <c r="M53" s="1356"/>
      <c r="N53" s="1356"/>
      <c r="O53" s="995"/>
      <c r="P53" s="995"/>
      <c r="Q53" s="995"/>
      <c r="R53" s="995"/>
      <c r="S53" s="995"/>
      <c r="T53" s="995"/>
      <c r="U53" s="995"/>
      <c r="V53" s="995"/>
      <c r="W53" s="995"/>
      <c r="X53" s="995"/>
      <c r="Y53" s="995"/>
      <c r="Z53" s="1357"/>
      <c r="AA53" s="1357"/>
      <c r="AB53" s="1357"/>
      <c r="AC53" s="1357"/>
    </row>
    <row r="54" spans="1:29" s="1354" customFormat="1" ht="11.25" customHeight="1" x14ac:dyDescent="0.25">
      <c r="A54" s="1022" t="s">
        <v>1505</v>
      </c>
      <c r="C54" s="1370">
        <f t="shared" ref="C54:X54" si="28">-C36</f>
        <v>2.4159999999999999</v>
      </c>
      <c r="D54" s="1370">
        <f t="shared" si="28"/>
        <v>3.028</v>
      </c>
      <c r="E54" s="1370">
        <f t="shared" si="28"/>
        <v>4.1740000000000004</v>
      </c>
      <c r="F54" s="1370">
        <f t="shared" si="28"/>
        <v>6.0860000000000003</v>
      </c>
      <c r="G54" s="1370">
        <f t="shared" si="28"/>
        <v>5.2290000000000001</v>
      </c>
      <c r="H54" s="1370">
        <f t="shared" si="28"/>
        <v>6.2279999999999998</v>
      </c>
      <c r="I54" s="1370">
        <f t="shared" si="28"/>
        <v>14.106</v>
      </c>
      <c r="J54" s="1370">
        <f t="shared" si="28"/>
        <v>12.071999999999999</v>
      </c>
      <c r="K54" s="1370">
        <f t="shared" si="28"/>
        <v>14.545</v>
      </c>
      <c r="L54" s="1370">
        <f t="shared" si="28"/>
        <v>18.004999999999999</v>
      </c>
      <c r="M54" s="1370">
        <f t="shared" si="28"/>
        <v>16.786999999999999</v>
      </c>
      <c r="N54" s="1370">
        <f t="shared" si="28"/>
        <v>18.2</v>
      </c>
      <c r="O54" s="1370">
        <f t="shared" si="28"/>
        <v>30.94</v>
      </c>
      <c r="P54" s="1370">
        <f t="shared" si="28"/>
        <v>26.628</v>
      </c>
      <c r="Q54" s="1370">
        <f t="shared" si="28"/>
        <v>8.1430000000000007</v>
      </c>
      <c r="R54" s="1370">
        <f t="shared" si="28"/>
        <v>-8.9</v>
      </c>
      <c r="S54" s="1370">
        <f t="shared" si="28"/>
        <v>-6</v>
      </c>
      <c r="T54" s="1370">
        <f t="shared" si="28"/>
        <v>-10.6</v>
      </c>
      <c r="U54" s="1370">
        <f t="shared" si="28"/>
        <v>-6.8</v>
      </c>
      <c r="V54" s="1370">
        <f t="shared" si="28"/>
        <v>-5.7</v>
      </c>
      <c r="W54" s="1370">
        <f t="shared" si="28"/>
        <v>-3.5</v>
      </c>
      <c r="X54" s="1370">
        <f t="shared" si="28"/>
        <v>-2.7</v>
      </c>
      <c r="Y54" s="1370"/>
      <c r="Z54" s="1357"/>
      <c r="AA54" s="1357"/>
      <c r="AB54" s="1357"/>
      <c r="AC54" s="1357"/>
    </row>
    <row r="55" spans="1:29" s="1354" customFormat="1" ht="13" x14ac:dyDescent="0.35">
      <c r="A55" s="1359" t="s">
        <v>1510</v>
      </c>
      <c r="C55" s="1360">
        <f t="shared" ref="C55:X55" si="29">-C38</f>
        <v>-8.7316000000000003</v>
      </c>
      <c r="D55" s="1360">
        <f t="shared" si="29"/>
        <v>-13.998800000000001</v>
      </c>
      <c r="E55" s="1360">
        <f t="shared" si="29"/>
        <v>-21.992400000000004</v>
      </c>
      <c r="F55" s="1360">
        <f t="shared" si="29"/>
        <v>-30.508800000000004</v>
      </c>
      <c r="G55" s="1360">
        <f t="shared" si="29"/>
        <v>-39.192800000000005</v>
      </c>
      <c r="H55" s="1360">
        <f t="shared" si="29"/>
        <v>-48.122</v>
      </c>
      <c r="I55" s="1360">
        <f t="shared" si="29"/>
        <v>-70.043599999999998</v>
      </c>
      <c r="J55" s="1360">
        <f t="shared" si="29"/>
        <v>-106.36959999999999</v>
      </c>
      <c r="K55" s="1360">
        <f t="shared" si="29"/>
        <v>-160.72160000000002</v>
      </c>
      <c r="L55" s="1360">
        <f t="shared" si="29"/>
        <v>-187.28240000000002</v>
      </c>
      <c r="M55" s="1360">
        <f t="shared" si="29"/>
        <v>-285.77560000000005</v>
      </c>
      <c r="N55" s="1360">
        <f t="shared" si="29"/>
        <v>-285.77560000000005</v>
      </c>
      <c r="O55" s="1360">
        <f t="shared" si="29"/>
        <v>-262.65480000000002</v>
      </c>
      <c r="P55" s="1360">
        <f t="shared" si="29"/>
        <v>-317.60160000000002</v>
      </c>
      <c r="Q55" s="1360">
        <f t="shared" si="29"/>
        <v>-465.59760000000006</v>
      </c>
      <c r="R55" s="1360">
        <f t="shared" si="29"/>
        <v>-544.94680000000005</v>
      </c>
      <c r="S55" s="1360">
        <f t="shared" si="29"/>
        <v>-472.29880000000003</v>
      </c>
      <c r="T55" s="1360">
        <f t="shared" si="29"/>
        <v>-290.3904</v>
      </c>
      <c r="U55" s="1360">
        <f t="shared" si="29"/>
        <v>-248.6404</v>
      </c>
      <c r="V55" s="1360">
        <f t="shared" si="29"/>
        <v>-187.33760000000001</v>
      </c>
      <c r="W55" s="1360">
        <f t="shared" si="29"/>
        <v>-79.817999999999998</v>
      </c>
      <c r="X55" s="1360">
        <f t="shared" si="29"/>
        <v>-45.039600000000007</v>
      </c>
      <c r="Y55" s="1360"/>
      <c r="Z55" s="1361"/>
      <c r="AA55" s="1361"/>
      <c r="AB55" s="1361"/>
      <c r="AC55" s="1361"/>
    </row>
    <row r="56" spans="1:29" s="1344" customFormat="1" ht="11.25" customHeight="1" x14ac:dyDescent="0.35">
      <c r="A56" s="1362" t="s">
        <v>699</v>
      </c>
      <c r="C56" s="1367">
        <f t="shared" ref="C56:X56" si="30">C49+C54+C55</f>
        <v>4.4484000000000012</v>
      </c>
      <c r="D56" s="1367">
        <f t="shared" si="30"/>
        <v>17.191199999999995</v>
      </c>
      <c r="E56" s="1367">
        <f t="shared" si="30"/>
        <v>28.579599999999992</v>
      </c>
      <c r="F56" s="1367">
        <f t="shared" si="30"/>
        <v>27.64919999999999</v>
      </c>
      <c r="G56" s="1367">
        <f t="shared" si="30"/>
        <v>34.060199999999995</v>
      </c>
      <c r="H56" s="1367">
        <f t="shared" si="30"/>
        <v>64.434999999999988</v>
      </c>
      <c r="I56" s="1367">
        <f t="shared" si="30"/>
        <v>85.705399999999997</v>
      </c>
      <c r="J56" s="1367">
        <f t="shared" si="30"/>
        <v>158.03340000000003</v>
      </c>
      <c r="K56" s="1367">
        <f t="shared" si="30"/>
        <v>224.68740000000003</v>
      </c>
      <c r="L56" s="1367">
        <f t="shared" si="30"/>
        <v>217.21059999999997</v>
      </c>
      <c r="M56" s="1367">
        <f t="shared" si="30"/>
        <v>379.75540000000001</v>
      </c>
      <c r="N56" s="1367">
        <f t="shared" si="30"/>
        <v>382.25339999999994</v>
      </c>
      <c r="O56" s="1367">
        <f t="shared" si="30"/>
        <v>356.46519999999998</v>
      </c>
      <c r="P56" s="1367">
        <f t="shared" si="30"/>
        <v>456.09840000000003</v>
      </c>
      <c r="Q56" s="1367">
        <f t="shared" si="30"/>
        <v>671.8463999999999</v>
      </c>
      <c r="R56" s="1367">
        <f t="shared" si="30"/>
        <v>780.15519999999981</v>
      </c>
      <c r="S56" s="1367">
        <f t="shared" si="30"/>
        <v>689.85419999999999</v>
      </c>
      <c r="T56" s="1367">
        <f t="shared" si="30"/>
        <v>488.51959999999997</v>
      </c>
      <c r="U56" s="1367">
        <f t="shared" si="30"/>
        <v>415.39360000000011</v>
      </c>
      <c r="V56" s="1367">
        <f t="shared" si="30"/>
        <v>330.88139999999993</v>
      </c>
      <c r="W56" s="1367">
        <f t="shared" si="30"/>
        <v>153.73900000000003</v>
      </c>
      <c r="X56" s="1367">
        <f t="shared" si="30"/>
        <v>85.689400000000006</v>
      </c>
      <c r="Y56" s="1367"/>
      <c r="Z56" s="1348"/>
      <c r="AA56" s="1348"/>
      <c r="AB56" s="1348"/>
      <c r="AC56" s="1348"/>
    </row>
    <row r="57" spans="1:29" s="1354" customFormat="1" ht="11.25" customHeight="1" x14ac:dyDescent="0.35">
      <c r="A57" s="1363" t="s">
        <v>1500</v>
      </c>
      <c r="C57" s="1376"/>
      <c r="D57" s="1364">
        <f t="shared" ref="D57:X57" si="31">IFERROR((D56/C56-1),"n/a")</f>
        <v>2.8645805233342303</v>
      </c>
      <c r="E57" s="1364">
        <f t="shared" si="31"/>
        <v>0.66245520964214255</v>
      </c>
      <c r="F57" s="1364">
        <f t="shared" si="31"/>
        <v>-3.2554689358843425E-2</v>
      </c>
      <c r="G57" s="1364">
        <f t="shared" si="31"/>
        <v>0.23186927650709621</v>
      </c>
      <c r="H57" s="1364">
        <f t="shared" si="31"/>
        <v>0.89179746448934538</v>
      </c>
      <c r="I57" s="1364">
        <f t="shared" si="31"/>
        <v>0.33010630868316926</v>
      </c>
      <c r="J57" s="1364">
        <f t="shared" si="31"/>
        <v>0.84391415243380274</v>
      </c>
      <c r="K57" s="1364">
        <f t="shared" si="31"/>
        <v>0.42177160018072124</v>
      </c>
      <c r="L57" s="1364">
        <f t="shared" si="31"/>
        <v>-3.327645430940962E-2</v>
      </c>
      <c r="M57" s="1364">
        <f t="shared" si="31"/>
        <v>0.74832812026669071</v>
      </c>
      <c r="N57" s="1364">
        <f t="shared" si="31"/>
        <v>6.5779183126821739E-3</v>
      </c>
      <c r="O57" s="1364">
        <f t="shared" si="31"/>
        <v>-6.7463624914781528E-2</v>
      </c>
      <c r="P57" s="1364">
        <f t="shared" si="31"/>
        <v>0.27950330074296192</v>
      </c>
      <c r="Q57" s="1364">
        <f t="shared" si="31"/>
        <v>0.47302950415962841</v>
      </c>
      <c r="R57" s="1364">
        <f t="shared" si="31"/>
        <v>0.16121065767413501</v>
      </c>
      <c r="S57" s="1364">
        <f t="shared" si="31"/>
        <v>-0.11574748203947094</v>
      </c>
      <c r="T57" s="1364">
        <f t="shared" si="31"/>
        <v>-0.29185094473585871</v>
      </c>
      <c r="U57" s="1364">
        <f t="shared" si="31"/>
        <v>-0.14968897870218489</v>
      </c>
      <c r="V57" s="1364">
        <f t="shared" si="31"/>
        <v>-0.20345089572877428</v>
      </c>
      <c r="W57" s="1364">
        <f t="shared" si="31"/>
        <v>-0.53536523962966776</v>
      </c>
      <c r="X57" s="1364">
        <f t="shared" si="31"/>
        <v>-0.44263069227717111</v>
      </c>
      <c r="Y57" s="1364"/>
      <c r="Z57" s="1357"/>
      <c r="AA57" s="1357"/>
      <c r="AB57" s="1357"/>
      <c r="AC57" s="1357"/>
    </row>
    <row r="58" spans="1:29" s="1354" customFormat="1" ht="11.25" customHeight="1" x14ac:dyDescent="0.3">
      <c r="A58" s="1033"/>
      <c r="C58" s="1376"/>
      <c r="D58" s="1356"/>
      <c r="E58" s="1356"/>
      <c r="F58" s="1356"/>
      <c r="G58" s="1356"/>
      <c r="H58" s="1356"/>
      <c r="I58" s="1356"/>
      <c r="J58" s="1356"/>
      <c r="K58" s="1356"/>
      <c r="L58" s="1356"/>
      <c r="M58" s="1356"/>
      <c r="N58" s="1356"/>
      <c r="O58" s="995"/>
      <c r="P58" s="995"/>
      <c r="Q58" s="995"/>
      <c r="R58" s="995"/>
      <c r="S58" s="995"/>
      <c r="T58" s="995"/>
      <c r="U58" s="995"/>
      <c r="V58" s="995"/>
      <c r="W58" s="995"/>
      <c r="X58" s="995"/>
      <c r="Y58" s="995"/>
      <c r="Z58" s="1357"/>
      <c r="AA58" s="1357"/>
      <c r="AB58" s="1357"/>
      <c r="AC58" s="1357"/>
    </row>
    <row r="59" spans="1:29" s="1354" customFormat="1" ht="11.25" customHeight="1" x14ac:dyDescent="0.25">
      <c r="A59" s="1359" t="s">
        <v>658</v>
      </c>
      <c r="C59" s="1377">
        <f>+'APOL historicals'!D116</f>
        <v>0</v>
      </c>
      <c r="D59" s="1377">
        <f>+'APOL historicals'!E116</f>
        <v>0</v>
      </c>
      <c r="E59" s="1377">
        <f>+'APOL historicals'!F116</f>
        <v>0</v>
      </c>
      <c r="F59" s="1377">
        <f>+'APOL historicals'!G116</f>
        <v>0</v>
      </c>
      <c r="G59" s="1377">
        <f>+'APOL historicals'!H116</f>
        <v>0</v>
      </c>
      <c r="H59" s="1377">
        <f>+'APOL historicals'!I116</f>
        <v>0</v>
      </c>
      <c r="I59" s="1377">
        <f>+'APOL historicals'!J116</f>
        <v>0</v>
      </c>
      <c r="J59" s="1377">
        <f>+'APOL historicals'!K116</f>
        <v>0</v>
      </c>
      <c r="K59" s="1377">
        <f>+'APOL historicals'!L116</f>
        <v>0</v>
      </c>
      <c r="L59" s="1377">
        <f>+'APOL historicals'!M116</f>
        <v>108.583</v>
      </c>
      <c r="M59" s="1377">
        <f>+'APOL historicals'!N116</f>
        <v>24.759</v>
      </c>
      <c r="N59" s="1377">
        <f>+'APOL historicals'!O116</f>
        <v>27.734999999999999</v>
      </c>
      <c r="O59" s="1377">
        <f>+'APOL historicals'!P116</f>
        <v>54.027000000000001</v>
      </c>
      <c r="P59" s="1377">
        <f>+'APOL historicals'!Q116</f>
        <v>53.57</v>
      </c>
      <c r="Q59" s="1377">
        <f>+'APOL historicals'!R116</f>
        <v>68.037999999999997</v>
      </c>
      <c r="R59" s="1377">
        <f>+'APOL historicals'!S116</f>
        <v>64.305000000000007</v>
      </c>
      <c r="S59" s="1377">
        <f>+'APOL historicals'!T116</f>
        <v>70.040000000000006</v>
      </c>
      <c r="T59" s="1377">
        <f>+'APOL historicals'!U116</f>
        <v>78.704999999999998</v>
      </c>
      <c r="U59" s="1377">
        <f>+'APOL historicals'!V116</f>
        <v>49.462000000000003</v>
      </c>
      <c r="V59" s="1377">
        <f>+'APOL historicals'!W116</f>
        <v>42.819000000000003</v>
      </c>
      <c r="W59" s="1377">
        <f>+'APOL historicals'!X116</f>
        <v>38.668999999999997</v>
      </c>
      <c r="X59" s="1377">
        <f>+'APOL historicals'!Y116</f>
        <v>32.862000000000002</v>
      </c>
      <c r="Y59" s="1378"/>
      <c r="Z59" s="1357"/>
      <c r="AA59" s="1357"/>
      <c r="AB59" s="1357"/>
      <c r="AC59" s="1357"/>
    </row>
    <row r="60" spans="1:29" s="1354" customFormat="1" ht="13" x14ac:dyDescent="0.25">
      <c r="A60" s="1022" t="s">
        <v>124</v>
      </c>
      <c r="C60" s="1360">
        <f>C61-C59-C56</f>
        <v>6.4775999999999989</v>
      </c>
      <c r="D60" s="1360">
        <f t="shared" ref="D60:X60" si="32">D61-D59-D56</f>
        <v>-1.8421999999999965</v>
      </c>
      <c r="E60" s="1360">
        <f t="shared" si="32"/>
        <v>7.6784000000000034</v>
      </c>
      <c r="F60" s="1360">
        <f t="shared" si="32"/>
        <v>-1.6581999999999901</v>
      </c>
      <c r="G60" s="1360">
        <f t="shared" si="32"/>
        <v>-3.1981999999999999</v>
      </c>
      <c r="H60" s="1360">
        <f t="shared" si="32"/>
        <v>18.866000000000014</v>
      </c>
      <c r="I60" s="1360">
        <f t="shared" si="32"/>
        <v>26.827600000000018</v>
      </c>
      <c r="J60" s="1360">
        <f t="shared" si="32"/>
        <v>65.796599999999955</v>
      </c>
      <c r="K60" s="1360">
        <f t="shared" si="32"/>
        <v>109.9006</v>
      </c>
      <c r="L60" s="1360">
        <f t="shared" si="32"/>
        <v>110.91440000000003</v>
      </c>
      <c r="M60" s="1360">
        <f t="shared" si="32"/>
        <v>50.589600000000019</v>
      </c>
      <c r="N60" s="1360">
        <f t="shared" si="32"/>
        <v>29.819600000000094</v>
      </c>
      <c r="O60" s="1360">
        <f t="shared" si="32"/>
        <v>73.529799999999966</v>
      </c>
      <c r="P60" s="1360">
        <f t="shared" si="32"/>
        <v>111.43759999999992</v>
      </c>
      <c r="Q60" s="1360">
        <f t="shared" si="32"/>
        <v>44.793600000000083</v>
      </c>
      <c r="R60" s="1360">
        <f t="shared" si="32"/>
        <v>20.581800000000044</v>
      </c>
      <c r="S60" s="1360">
        <f t="shared" si="32"/>
        <v>-25.372200000000021</v>
      </c>
      <c r="T60" s="1360">
        <f t="shared" si="32"/>
        <v>-131.12459999999999</v>
      </c>
      <c r="U60" s="1360">
        <f t="shared" si="32"/>
        <v>-106.1076000000001</v>
      </c>
      <c r="V60" s="1360">
        <f t="shared" si="32"/>
        <v>-98.493399999999951</v>
      </c>
      <c r="W60" s="1360">
        <f t="shared" si="32"/>
        <v>-121.82600000000004</v>
      </c>
      <c r="X60" s="1360">
        <f t="shared" si="32"/>
        <v>-146.56739999999999</v>
      </c>
      <c r="Y60" s="1360"/>
      <c r="Z60" s="1361"/>
      <c r="AA60" s="1361"/>
      <c r="AB60" s="1361"/>
      <c r="AC60" s="1361"/>
    </row>
    <row r="61" spans="1:29" s="1344" customFormat="1" ht="11.25" customHeight="1" x14ac:dyDescent="0.25">
      <c r="A61" s="1083" t="s">
        <v>704</v>
      </c>
      <c r="C61" s="1345">
        <f>+'APOL historicals'!D230+'APOL historicals'!D232+'APOL historicals'!D236</f>
        <v>10.926</v>
      </c>
      <c r="D61" s="1345">
        <f>+'APOL historicals'!E230+'APOL historicals'!E232+'APOL historicals'!E236</f>
        <v>15.348999999999998</v>
      </c>
      <c r="E61" s="1345">
        <f>+'APOL historicals'!F230+'APOL historicals'!F232+'APOL historicals'!F236</f>
        <v>36.257999999999996</v>
      </c>
      <c r="F61" s="1345">
        <f>+'APOL historicals'!G230+'APOL historicals'!G232+'APOL historicals'!G236</f>
        <v>25.991</v>
      </c>
      <c r="G61" s="1345">
        <f>+'APOL historicals'!H230+'APOL historicals'!H232+'APOL historicals'!H236</f>
        <v>30.861999999999995</v>
      </c>
      <c r="H61" s="1345">
        <f>+'APOL historicals'!I230+'APOL historicals'!I232+'APOL historicals'!I236</f>
        <v>83.301000000000002</v>
      </c>
      <c r="I61" s="1345">
        <f>+'APOL historicals'!J230+'APOL historicals'!J232+'APOL historicals'!J236</f>
        <v>112.53300000000002</v>
      </c>
      <c r="J61" s="1345">
        <f>+'APOL historicals'!K230+'APOL historicals'!K232+'APOL historicals'!K236</f>
        <v>223.82999999999998</v>
      </c>
      <c r="K61" s="1345">
        <f>+'APOL historicals'!L230+'APOL historicals'!L232+'APOL historicals'!L236</f>
        <v>334.58800000000002</v>
      </c>
      <c r="L61" s="1345">
        <f>+'APOL historicals'!M230+'APOL historicals'!M232+'APOL historicals'!M236</f>
        <v>436.70799999999997</v>
      </c>
      <c r="M61" s="1345">
        <f>+'APOL historicals'!N230+'APOL historicals'!N232+'APOL historicals'!N236</f>
        <v>455.10400000000004</v>
      </c>
      <c r="N61" s="1345">
        <f>+'APOL historicals'!O230+'APOL historicals'!O232+'APOL historicals'!O236</f>
        <v>439.80800000000005</v>
      </c>
      <c r="O61" s="1345">
        <f>+'APOL historicals'!P230+'APOL historicals'!P232+'APOL historicals'!P236</f>
        <v>484.02199999999993</v>
      </c>
      <c r="P61" s="1345">
        <f>+'APOL historicals'!Q230+'APOL historicals'!Q232+'APOL historicals'!Q236</f>
        <v>621.10599999999999</v>
      </c>
      <c r="Q61" s="1345">
        <f>+'APOL historicals'!R230+'APOL historicals'!R232+'APOL historicals'!R236</f>
        <v>784.678</v>
      </c>
      <c r="R61" s="1345">
        <f>+'APOL historicals'!S230+'APOL historicals'!S232+'APOL historicals'!S236</f>
        <v>865.04199999999992</v>
      </c>
      <c r="S61" s="1345">
        <f>+'APOL historicals'!T230+'APOL historicals'!T232+'APOL historicals'!T236</f>
        <v>734.52199999999993</v>
      </c>
      <c r="T61" s="1345">
        <f>+'APOL historicals'!U230+'APOL historicals'!U232+'APOL historicals'!U236</f>
        <v>436.09999999999997</v>
      </c>
      <c r="U61" s="1345">
        <f>+'APOL historicals'!V230+'APOL historicals'!V232+'APOL historicals'!V236</f>
        <v>358.74799999999999</v>
      </c>
      <c r="V61" s="1345">
        <f>+'APOL historicals'!W230+'APOL historicals'!W232+'APOL historicals'!W236</f>
        <v>275.20699999999999</v>
      </c>
      <c r="W61" s="1345">
        <f>+'APOL historicals'!X230+'APOL historicals'!X232+'APOL historicals'!X236</f>
        <v>70.581999999999994</v>
      </c>
      <c r="X61" s="1345">
        <f>+'APOL historicals'!Y230+'APOL historicals'!Y232+'APOL historicals'!Y236</f>
        <v>-28.015999999999991</v>
      </c>
      <c r="Y61" s="1379"/>
      <c r="Z61" s="1348"/>
      <c r="AA61" s="1348"/>
      <c r="AB61" s="1348"/>
      <c r="AC61" s="1348"/>
    </row>
    <row r="62" spans="1:29" s="1354" customFormat="1" ht="11.25" customHeight="1" x14ac:dyDescent="0.25">
      <c r="A62" s="1083"/>
      <c r="C62" s="1355"/>
      <c r="D62" s="1356"/>
      <c r="E62" s="1356"/>
      <c r="F62" s="1356"/>
      <c r="G62" s="1356"/>
      <c r="H62" s="1356"/>
      <c r="I62" s="1356"/>
      <c r="J62" s="1356"/>
      <c r="K62" s="1356"/>
      <c r="L62" s="1356"/>
      <c r="M62" s="1356"/>
      <c r="N62" s="1356"/>
      <c r="O62" s="995"/>
      <c r="P62" s="995"/>
      <c r="Q62" s="995"/>
      <c r="R62" s="995"/>
      <c r="S62" s="995"/>
      <c r="T62" s="995"/>
      <c r="U62" s="995"/>
      <c r="V62" s="995"/>
      <c r="W62" s="995"/>
      <c r="X62" s="995"/>
      <c r="Y62" s="995"/>
      <c r="Z62" s="1357"/>
      <c r="AA62" s="1357"/>
      <c r="AB62" s="1357"/>
      <c r="AC62" s="1357"/>
    </row>
    <row r="63" spans="1:29" s="1354" customFormat="1" ht="11.25" customHeight="1" x14ac:dyDescent="0.25">
      <c r="A63" s="1353" t="s">
        <v>1558</v>
      </c>
      <c r="C63" s="1358">
        <f>+'APOL historicals'!D250+'APOL historicals'!D249</f>
        <v>35.220999999999997</v>
      </c>
      <c r="D63" s="1358">
        <f>+'APOL historicals'!E250+'APOL historicals'!E249</f>
        <v>1.284</v>
      </c>
      <c r="E63" s="1358">
        <f>+'APOL historicals'!F250+'APOL historicals'!F249</f>
        <v>2.8119999999999998</v>
      </c>
      <c r="F63" s="1358">
        <f>+'APOL historicals'!G250+'APOL historicals'!G249</f>
        <v>6</v>
      </c>
      <c r="G63" s="1358">
        <f>+'APOL historicals'!H250+'APOL historicals'!H249</f>
        <v>-37.369</v>
      </c>
      <c r="H63" s="1358">
        <f>+'APOL historicals'!I250+'APOL historicals'!I249</f>
        <v>-46.707000000000001</v>
      </c>
      <c r="I63" s="1358">
        <f>+'APOL historicals'!J250+'APOL historicals'!J249</f>
        <v>13.323</v>
      </c>
      <c r="J63" s="1358">
        <f>+'APOL historicals'!K250+'APOL historicals'!K249</f>
        <v>16.765999999999998</v>
      </c>
      <c r="K63" s="1358">
        <f>+'APOL historicals'!L250+'APOL historicals'!L249</f>
        <v>25.449000000000002</v>
      </c>
      <c r="L63" s="1358">
        <f>+'APOL historicals'!M250+'APOL historicals'!M249</f>
        <v>-407.31700000000001</v>
      </c>
      <c r="M63" s="1358">
        <f>+'APOL historicals'!N250+'APOL historicals'!N249</f>
        <v>-755.44</v>
      </c>
      <c r="N63" s="1358">
        <f>+'APOL historicals'!O250+'APOL historicals'!O249</f>
        <v>-485.92899999999997</v>
      </c>
      <c r="O63" s="1358">
        <f>+'APOL historicals'!P250+'APOL historicals'!P249</f>
        <v>-429.96199999999999</v>
      </c>
      <c r="P63" s="1358">
        <f>+'APOL historicals'!Q250+'APOL historicals'!Q249</f>
        <v>-351.43099999999998</v>
      </c>
      <c r="Q63" s="1358">
        <f>+'APOL historicals'!R250+'APOL historicals'!R249</f>
        <v>-335.42399999999998</v>
      </c>
      <c r="R63" s="1358">
        <f>+'APOL historicals'!S250+'APOL historicals'!S249</f>
        <v>-426.72899999999998</v>
      </c>
      <c r="S63" s="1358">
        <f>+'APOL historicals'!T250+'APOL historicals'!T249</f>
        <v>-758.29700000000003</v>
      </c>
      <c r="T63" s="1358">
        <f>+'APOL historicals'!U250+'APOL historicals'!U249</f>
        <v>-799.95100000000002</v>
      </c>
      <c r="U63" s="1358">
        <f>+'APOL historicals'!V250+'APOL historicals'!V249</f>
        <v>-5.633</v>
      </c>
      <c r="V63" s="1358">
        <f>+'APOL historicals'!W250+'APOL historicals'!W249</f>
        <v>-170.90699999999998</v>
      </c>
      <c r="W63" s="1358">
        <f>+'APOL historicals'!X250+'APOL historicals'!X249</f>
        <v>-43.162000000000006</v>
      </c>
      <c r="X63" s="1358">
        <f>+'APOL historicals'!Y250+'APOL historicals'!Y249</f>
        <v>-3.3260000000000001</v>
      </c>
      <c r="Y63" s="995"/>
      <c r="Z63" s="1357"/>
      <c r="AA63" s="1357"/>
      <c r="AB63" s="1357"/>
      <c r="AC63" s="1357"/>
    </row>
    <row r="64" spans="1:29" s="1354" customFormat="1" ht="11.25" customHeight="1" x14ac:dyDescent="0.25">
      <c r="A64" s="1083"/>
      <c r="C64" s="1355"/>
      <c r="D64" s="1356"/>
      <c r="E64" s="1356"/>
      <c r="F64" s="1356"/>
      <c r="G64" s="1356"/>
      <c r="H64" s="1356"/>
      <c r="I64" s="1356"/>
      <c r="J64" s="1356"/>
      <c r="K64" s="1356"/>
      <c r="L64" s="1356"/>
      <c r="M64" s="1356"/>
      <c r="N64" s="1356"/>
      <c r="O64" s="995"/>
      <c r="P64" s="995"/>
      <c r="Q64" s="995"/>
      <c r="R64" s="995"/>
      <c r="S64" s="995"/>
      <c r="T64" s="995"/>
      <c r="U64" s="995"/>
      <c r="V64" s="995"/>
      <c r="W64" s="995"/>
      <c r="X64" s="995"/>
      <c r="Y64" s="995"/>
      <c r="Z64" s="1357"/>
      <c r="AA64" s="1357"/>
      <c r="AB64" s="1357"/>
      <c r="AC64" s="1357"/>
    </row>
    <row r="65" spans="1:29" s="1354" customFormat="1" ht="11.25" customHeight="1" x14ac:dyDescent="0.25">
      <c r="A65" s="1380" t="s">
        <v>1511</v>
      </c>
      <c r="C65" s="1355"/>
      <c r="D65" s="1356"/>
      <c r="E65" s="1356"/>
      <c r="F65" s="1356"/>
      <c r="G65" s="1356"/>
      <c r="H65" s="1356"/>
      <c r="I65" s="1356"/>
      <c r="J65" s="1356"/>
      <c r="K65" s="1356"/>
      <c r="L65" s="1356"/>
      <c r="M65" s="1356"/>
      <c r="N65" s="1356"/>
      <c r="O65" s="995"/>
      <c r="P65" s="995"/>
      <c r="Q65" s="995"/>
      <c r="R65" s="995"/>
      <c r="S65" s="995"/>
      <c r="T65" s="995"/>
      <c r="U65" s="995"/>
      <c r="V65" s="995"/>
      <c r="W65" s="995"/>
      <c r="X65" s="995"/>
      <c r="Y65" s="995"/>
      <c r="Z65" s="1357"/>
      <c r="AA65" s="1357"/>
      <c r="AB65" s="1357"/>
      <c r="AC65" s="1357"/>
    </row>
    <row r="66" spans="1:29" s="1354" customFormat="1" ht="11.25" customHeight="1" x14ac:dyDescent="0.25">
      <c r="A66" s="1381" t="s">
        <v>1512</v>
      </c>
      <c r="C66" s="1376">
        <f>+'APOL historicals'!D185</f>
        <v>0</v>
      </c>
      <c r="D66" s="1376">
        <f>+'APOL historicals'!E185</f>
        <v>0</v>
      </c>
      <c r="E66" s="1376">
        <f>+'APOL historicals'!F185</f>
        <v>0</v>
      </c>
      <c r="F66" s="1376">
        <f>+'APOL historicals'!G185</f>
        <v>0</v>
      </c>
      <c r="G66" s="1376">
        <f>+'APOL historicals'!H185</f>
        <v>0</v>
      </c>
      <c r="H66" s="1376">
        <f>+'APOL historicals'!I185</f>
        <v>0</v>
      </c>
      <c r="I66" s="1376">
        <f>+'APOL historicals'!J185</f>
        <v>0</v>
      </c>
      <c r="J66" s="1376">
        <f>+'APOL historicals'!K185</f>
        <v>0</v>
      </c>
      <c r="K66" s="1376">
        <f>+'APOL historicals'!L185</f>
        <v>0</v>
      </c>
      <c r="L66" s="1376">
        <f>+'APOL historicals'!M185</f>
        <v>0</v>
      </c>
      <c r="M66" s="1376">
        <f>+'APOL historicals'!N185</f>
        <v>0</v>
      </c>
      <c r="N66" s="1376">
        <f>+'APOL historicals'!O185</f>
        <v>0</v>
      </c>
      <c r="O66" s="1376">
        <f>+'APOL historicals'!P185</f>
        <v>0</v>
      </c>
      <c r="P66" s="1376">
        <f>+'APOL historicals'!Q185</f>
        <v>30.916</v>
      </c>
      <c r="Q66" s="1376">
        <f>+'APOL historicals'!R185</f>
        <v>589.06600000000003</v>
      </c>
      <c r="R66" s="1376">
        <f>+'APOL historicals'!S185</f>
        <v>589.548</v>
      </c>
      <c r="S66" s="1376">
        <f>+'APOL historicals'!T185</f>
        <v>599.00900000000001</v>
      </c>
      <c r="T66" s="1376">
        <f>+'APOL historicals'!U185</f>
        <v>719.91099999999994</v>
      </c>
      <c r="U66" s="1376">
        <f>+'APOL historicals'!V185</f>
        <v>692.05399999999997</v>
      </c>
      <c r="V66" s="1376">
        <f>+'APOL historicals'!W185</f>
        <v>657.096</v>
      </c>
      <c r="W66" s="1376">
        <f>+'APOL historicals'!X185</f>
        <v>45.646000000000001</v>
      </c>
      <c r="X66" s="1376">
        <f>+'APOL historicals'!Y185</f>
        <v>90.795000000000002</v>
      </c>
      <c r="Y66" s="1378"/>
      <c r="Z66" s="1357"/>
      <c r="AA66" s="1357"/>
      <c r="AB66" s="1357"/>
      <c r="AC66" s="1357"/>
    </row>
    <row r="67" spans="1:29" s="1354" customFormat="1" ht="13" x14ac:dyDescent="0.4">
      <c r="A67" s="1381" t="s">
        <v>1513</v>
      </c>
      <c r="C67" s="1365">
        <f>+'APOL historicals'!D124</f>
        <v>50.725999999999999</v>
      </c>
      <c r="D67" s="1365">
        <f>+'APOL historicals'!E124</f>
        <v>65.254999999999995</v>
      </c>
      <c r="E67" s="1365">
        <f>+'APOL historicals'!F124</f>
        <v>86.11</v>
      </c>
      <c r="F67" s="1365">
        <f>+'APOL historicals'!G124</f>
        <v>79.864000000000004</v>
      </c>
      <c r="G67" s="1365">
        <f>+'APOL historicals'!H124</f>
        <v>82.597999999999999</v>
      </c>
      <c r="H67" s="1365">
        <f>+'APOL historicals'!I124</f>
        <v>118.13800000000001</v>
      </c>
      <c r="I67" s="1365">
        <f>+'APOL historicals'!J124</f>
        <v>316.79899999999998</v>
      </c>
      <c r="J67" s="1365">
        <f>+'APOL historicals'!K124</f>
        <v>509.78399999999999</v>
      </c>
      <c r="K67" s="1365">
        <f>+'APOL historicals'!L124</f>
        <v>652.41399999999999</v>
      </c>
      <c r="L67" s="1365">
        <f>+'APOL historicals'!M124</f>
        <v>492.86200000000002</v>
      </c>
      <c r="M67" s="1365">
        <f>+'APOL historicals'!N124</f>
        <v>361.29599999999999</v>
      </c>
      <c r="N67" s="1365">
        <f>+'APOL historicals'!O124</f>
        <v>355.036</v>
      </c>
      <c r="O67" s="1365">
        <f>+'APOL historicals'!P124</f>
        <v>370.59699999999998</v>
      </c>
      <c r="P67" s="1365">
        <f>+'APOL historicals'!Q124</f>
        <v>486.255</v>
      </c>
      <c r="Q67" s="1365">
        <f>+'APOL historicals'!R124</f>
        <v>968.24599999999998</v>
      </c>
      <c r="R67" s="1365">
        <f>+'APOL historicals'!S124</f>
        <v>1284.769</v>
      </c>
      <c r="S67" s="1365">
        <f>+'APOL historicals'!T124</f>
        <v>1571.664</v>
      </c>
      <c r="T67" s="1365">
        <f>+'APOL historicals'!U124</f>
        <v>1276.375</v>
      </c>
      <c r="U67" s="1365">
        <f>+'APOL historicals'!V124</f>
        <v>1520.2940000000001</v>
      </c>
      <c r="V67" s="1365">
        <f>+'APOL historicals'!W124</f>
        <v>1416.2850000000001</v>
      </c>
      <c r="W67" s="1365">
        <f>+'APOL historicals'!X124</f>
        <v>698.38099999999997</v>
      </c>
      <c r="X67" s="1365">
        <f>+'APOL historicals'!Y124</f>
        <v>661.91</v>
      </c>
      <c r="Y67" s="1371"/>
      <c r="Z67" s="1361"/>
      <c r="AA67" s="1361"/>
      <c r="AB67" s="1361"/>
      <c r="AC67" s="1361"/>
    </row>
    <row r="68" spans="1:29" s="1354" customFormat="1" ht="11.25" customHeight="1" x14ac:dyDescent="0.35">
      <c r="A68" s="1382" t="s">
        <v>1514</v>
      </c>
      <c r="C68" s="1370">
        <f t="shared" ref="C68" si="33">C66-C67</f>
        <v>-50.725999999999999</v>
      </c>
      <c r="D68" s="1370">
        <f t="shared" ref="D68:X68" si="34">D66-D67</f>
        <v>-65.254999999999995</v>
      </c>
      <c r="E68" s="1370">
        <f t="shared" si="34"/>
        <v>-86.11</v>
      </c>
      <c r="F68" s="1370">
        <f t="shared" si="34"/>
        <v>-79.864000000000004</v>
      </c>
      <c r="G68" s="1370">
        <f t="shared" si="34"/>
        <v>-82.597999999999999</v>
      </c>
      <c r="H68" s="1370">
        <f t="shared" si="34"/>
        <v>-118.13800000000001</v>
      </c>
      <c r="I68" s="1370">
        <f t="shared" si="34"/>
        <v>-316.79899999999998</v>
      </c>
      <c r="J68" s="1370">
        <f t="shared" si="34"/>
        <v>-509.78399999999999</v>
      </c>
      <c r="K68" s="1370">
        <f t="shared" si="34"/>
        <v>-652.41399999999999</v>
      </c>
      <c r="L68" s="1370">
        <f t="shared" si="34"/>
        <v>-492.86200000000002</v>
      </c>
      <c r="M68" s="1370">
        <f t="shared" si="34"/>
        <v>-361.29599999999999</v>
      </c>
      <c r="N68" s="1370">
        <f t="shared" si="34"/>
        <v>-355.036</v>
      </c>
      <c r="O68" s="1370">
        <f t="shared" si="34"/>
        <v>-370.59699999999998</v>
      </c>
      <c r="P68" s="1370">
        <f t="shared" si="34"/>
        <v>-455.339</v>
      </c>
      <c r="Q68" s="1370">
        <f t="shared" si="34"/>
        <v>-379.17999999999995</v>
      </c>
      <c r="R68" s="1370">
        <f t="shared" si="34"/>
        <v>-695.221</v>
      </c>
      <c r="S68" s="1370">
        <f t="shared" si="34"/>
        <v>-972.65499999999997</v>
      </c>
      <c r="T68" s="1370">
        <f t="shared" si="34"/>
        <v>-556.46400000000006</v>
      </c>
      <c r="U68" s="1370">
        <f t="shared" si="34"/>
        <v>-828.24000000000012</v>
      </c>
      <c r="V68" s="1370">
        <f t="shared" si="34"/>
        <v>-759.18900000000008</v>
      </c>
      <c r="W68" s="1370">
        <f t="shared" si="34"/>
        <v>-652.73500000000001</v>
      </c>
      <c r="X68" s="1370">
        <f t="shared" si="34"/>
        <v>-571.11500000000001</v>
      </c>
      <c r="Y68" s="1370"/>
      <c r="Z68" s="1357"/>
      <c r="AA68" s="1357"/>
      <c r="AB68" s="1357"/>
      <c r="AC68" s="1357"/>
    </row>
    <row r="69" spans="1:29" s="1354" customFormat="1" ht="11.25" customHeight="1" x14ac:dyDescent="0.35">
      <c r="A69" s="1363" t="s">
        <v>1515</v>
      </c>
      <c r="C69" s="1383">
        <f t="shared" ref="C69:X69" si="35">C68/C47</f>
        <v>-2.2886663057209886</v>
      </c>
      <c r="D69" s="1383">
        <f t="shared" si="35"/>
        <v>-1.7144395985497347</v>
      </c>
      <c r="E69" s="1383">
        <f t="shared" si="35"/>
        <v>-1.4570713052895192</v>
      </c>
      <c r="F69" s="1383">
        <f t="shared" si="35"/>
        <v>-0.96254158029214687</v>
      </c>
      <c r="G69" s="1383">
        <f t="shared" si="35"/>
        <v>-0.73274546680387487</v>
      </c>
      <c r="H69" s="1383">
        <f t="shared" si="35"/>
        <v>-0.83709230562109849</v>
      </c>
      <c r="I69" s="1383">
        <f t="shared" si="35"/>
        <v>-1.6351506893152268</v>
      </c>
      <c r="J69" s="1383">
        <f t="shared" si="35"/>
        <v>-1.7637692842636257</v>
      </c>
      <c r="K69" s="1383">
        <f t="shared" si="35"/>
        <v>-1.5258861831211232</v>
      </c>
      <c r="L69" s="1383">
        <f t="shared" si="35"/>
        <v>-0.99369742816358464</v>
      </c>
      <c r="M69" s="1383">
        <f t="shared" si="35"/>
        <v>-0.48610685050938857</v>
      </c>
      <c r="N69" s="1383">
        <f t="shared" si="35"/>
        <v>-0.46652098671666914</v>
      </c>
      <c r="O69" s="1383">
        <f t="shared" si="35"/>
        <v>-0.53494182857472794</v>
      </c>
      <c r="P69" s="1383">
        <f t="shared" si="35"/>
        <v>-0.53445301019282321</v>
      </c>
      <c r="Q69" s="1383">
        <f t="shared" si="35"/>
        <v>-0.30172650455438482</v>
      </c>
      <c r="R69" s="1383">
        <f t="shared" si="35"/>
        <v>-0.46280127439585356</v>
      </c>
      <c r="S69" s="1383">
        <f t="shared" si="35"/>
        <v>-0.73090573532428638</v>
      </c>
      <c r="T69" s="1383">
        <f t="shared" si="35"/>
        <v>-0.61507444374440434</v>
      </c>
      <c r="U69" s="1383">
        <f t="shared" si="35"/>
        <v>-1.0482272627174634</v>
      </c>
      <c r="V69" s="1383">
        <f t="shared" si="35"/>
        <v>-1.2154433342565629</v>
      </c>
      <c r="W69" s="1383">
        <f t="shared" si="35"/>
        <v>-1.9481312134950173</v>
      </c>
      <c r="X69" s="1383">
        <f t="shared" si="35"/>
        <v>-2.7653017251814518</v>
      </c>
      <c r="Y69" s="1383"/>
      <c r="Z69" s="1384"/>
      <c r="AA69" s="1384"/>
      <c r="AB69" s="1384"/>
      <c r="AC69" s="1384"/>
    </row>
    <row r="70" spans="1:29" s="1354" customFormat="1" ht="11.25" customHeight="1" x14ac:dyDescent="0.35">
      <c r="A70" s="1363"/>
      <c r="C70" s="1383"/>
      <c r="D70" s="1383"/>
      <c r="E70" s="1383"/>
      <c r="F70" s="1383"/>
      <c r="G70" s="1383"/>
      <c r="H70" s="1383"/>
      <c r="I70" s="1383"/>
      <c r="J70" s="1383"/>
      <c r="K70" s="1383"/>
      <c r="L70" s="1383"/>
      <c r="M70" s="1383"/>
      <c r="N70" s="1383"/>
      <c r="O70" s="1383"/>
      <c r="P70" s="1383"/>
      <c r="Q70" s="1383"/>
      <c r="R70" s="1383"/>
      <c r="S70" s="1383"/>
      <c r="T70" s="1383"/>
      <c r="U70" s="1383"/>
      <c r="V70" s="1383"/>
      <c r="W70" s="1383"/>
      <c r="X70" s="1383"/>
      <c r="Y70" s="1383"/>
      <c r="Z70" s="1384"/>
      <c r="AA70" s="1384"/>
      <c r="AB70" s="1384"/>
      <c r="AC70" s="1384"/>
    </row>
    <row r="71" spans="1:29" ht="11.25" customHeight="1" x14ac:dyDescent="0.25">
      <c r="A71" s="1340" t="s">
        <v>1548</v>
      </c>
      <c r="B71" s="1341"/>
    </row>
    <row r="72" spans="1:29" ht="11.25" customHeight="1" x14ac:dyDescent="0.3">
      <c r="E72" s="1342"/>
      <c r="F72" s="1342"/>
      <c r="G72" s="1342"/>
      <c r="H72" s="1342"/>
      <c r="I72" s="1342"/>
      <c r="J72" s="1342"/>
      <c r="L72" s="1342"/>
      <c r="M72" s="1342"/>
      <c r="O72" s="1342"/>
      <c r="P72" s="1342"/>
      <c r="U72" s="1342"/>
      <c r="V72" s="1342"/>
      <c r="W72" s="1342"/>
    </row>
    <row r="73" spans="1:29" ht="11.25" customHeight="1" x14ac:dyDescent="0.3">
      <c r="A73" s="995" t="s">
        <v>1470</v>
      </c>
      <c r="E73" s="1342"/>
      <c r="F73" s="1342"/>
      <c r="G73" s="1342"/>
      <c r="H73" s="1370"/>
      <c r="I73" s="1376"/>
      <c r="J73" s="1376">
        <f>+'APOL historicals'!K300</f>
        <v>930.98699999999997</v>
      </c>
      <c r="K73" s="1376">
        <f>+'APOL historicals'!L300</f>
        <v>1251.405</v>
      </c>
      <c r="L73" s="1376">
        <f>+'APOL historicals'!M300</f>
        <v>1699.0050000000001</v>
      </c>
      <c r="M73" s="1376">
        <f>+'APOL historicals'!N300</f>
        <v>2014.124</v>
      </c>
      <c r="N73" s="1376">
        <f>+'APOL historicals'!O300</f>
        <v>2074.4430000000002</v>
      </c>
      <c r="O73" s="1376">
        <f>+'APOL historicals'!P300</f>
        <v>2537.8150000000001</v>
      </c>
      <c r="P73" s="1376">
        <f>+'APOL historicals'!Q300</f>
        <v>2987.6559999999999</v>
      </c>
      <c r="Q73" s="1376">
        <f>+'APOL historicals'!R300</f>
        <v>3766.6</v>
      </c>
      <c r="R73" s="1376">
        <f>+'APOL historicals'!S300</f>
        <v>4498.3249999999998</v>
      </c>
      <c r="S73" s="1376">
        <f>+'APOL historicals'!T300</f>
        <v>4322.67</v>
      </c>
      <c r="T73" s="1376">
        <f>+'APOL historicals'!U300</f>
        <v>3873.098</v>
      </c>
      <c r="U73" s="1376">
        <f>+'APOL historicals'!V300</f>
        <v>3304.4639999999999</v>
      </c>
      <c r="V73" s="1376">
        <f>+'APOL historicals'!W300</f>
        <v>2632.9490000000001</v>
      </c>
      <c r="W73" s="1376">
        <f>+'APOL historicals'!X300</f>
        <v>2148.3119999999999</v>
      </c>
      <c r="X73" s="1376">
        <f>+'APOL historicals'!Y300</f>
        <v>1631.412</v>
      </c>
      <c r="Z73" s="1357"/>
      <c r="AA73" s="1357"/>
      <c r="AB73" s="1357"/>
      <c r="AC73" s="1357"/>
    </row>
    <row r="74" spans="1:29" ht="13" x14ac:dyDescent="0.3">
      <c r="A74" s="995" t="s">
        <v>124</v>
      </c>
      <c r="E74" s="1342"/>
      <c r="F74" s="1342"/>
      <c r="G74" s="1342"/>
      <c r="H74" s="1360"/>
      <c r="I74" s="1360"/>
      <c r="J74" s="1360">
        <f t="shared" ref="J74" si="36">+J75-J73</f>
        <v>78.468000000000075</v>
      </c>
      <c r="K74" s="1360">
        <f t="shared" ref="K74" si="37">+K75-K73</f>
        <v>88.11200000000008</v>
      </c>
      <c r="L74" s="1360">
        <f t="shared" ref="L74" si="38">+L75-L73</f>
        <v>101.04199999999992</v>
      </c>
      <c r="M74" s="1360">
        <f t="shared" ref="M74" si="39">+M75-M73</f>
        <v>236.99</v>
      </c>
      <c r="N74" s="1360">
        <f t="shared" ref="N74:W74" si="40">+N75-N73</f>
        <v>403.08999999999969</v>
      </c>
      <c r="O74" s="1360">
        <f t="shared" si="40"/>
        <v>185.97800000000007</v>
      </c>
      <c r="P74" s="1360">
        <f t="shared" si="40"/>
        <v>145.7800000000002</v>
      </c>
      <c r="Q74" s="1360">
        <f t="shared" si="40"/>
        <v>186.96599999999989</v>
      </c>
      <c r="R74" s="1360">
        <f t="shared" si="40"/>
        <v>408.28800000000047</v>
      </c>
      <c r="S74" s="1360">
        <f t="shared" si="40"/>
        <v>388.37899999999991</v>
      </c>
      <c r="T74" s="1360">
        <f t="shared" si="40"/>
        <v>320.09199999999964</v>
      </c>
      <c r="U74" s="1360">
        <f t="shared" si="40"/>
        <v>309.38700000000017</v>
      </c>
      <c r="V74" s="1360">
        <f t="shared" si="40"/>
        <v>363.91599999999971</v>
      </c>
      <c r="W74" s="1360">
        <f t="shared" si="40"/>
        <v>417.96500000000015</v>
      </c>
      <c r="X74" s="1360">
        <f>+X75-X73</f>
        <v>470.43799999999987</v>
      </c>
      <c r="Z74" s="1361"/>
      <c r="AA74" s="1361"/>
      <c r="AB74" s="1361"/>
      <c r="AC74" s="1361"/>
    </row>
    <row r="75" spans="1:29" ht="11.25" customHeight="1" x14ac:dyDescent="0.25">
      <c r="A75" s="1036" t="s">
        <v>1516</v>
      </c>
      <c r="C75" s="1011">
        <f>+C12</f>
        <v>161.01300000000001</v>
      </c>
      <c r="D75" s="1011">
        <f t="shared" ref="D75:X75" si="41">+D12</f>
        <v>211.24700000000001</v>
      </c>
      <c r="E75" s="1011">
        <f t="shared" si="41"/>
        <v>279.19499999999999</v>
      </c>
      <c r="F75" s="1011">
        <f t="shared" si="41"/>
        <v>384.87700000000001</v>
      </c>
      <c r="G75" s="1011">
        <f t="shared" si="41"/>
        <v>498.846</v>
      </c>
      <c r="H75" s="1011">
        <f t="shared" si="41"/>
        <v>609.99699999999996</v>
      </c>
      <c r="I75" s="1011">
        <f t="shared" si="41"/>
        <v>769.47400000000005</v>
      </c>
      <c r="J75" s="1011">
        <f t="shared" si="41"/>
        <v>1009.455</v>
      </c>
      <c r="K75" s="1011">
        <f t="shared" si="41"/>
        <v>1339.5170000000001</v>
      </c>
      <c r="L75" s="1011">
        <f t="shared" si="41"/>
        <v>1800.047</v>
      </c>
      <c r="M75" s="1011">
        <f t="shared" si="41"/>
        <v>2251.114</v>
      </c>
      <c r="N75" s="1011">
        <f t="shared" si="41"/>
        <v>2477.5329999999999</v>
      </c>
      <c r="O75" s="1011">
        <f t="shared" si="41"/>
        <v>2723.7930000000001</v>
      </c>
      <c r="P75" s="1011">
        <f t="shared" si="41"/>
        <v>3133.4360000000001</v>
      </c>
      <c r="Q75" s="1011">
        <f t="shared" si="41"/>
        <v>3953.5659999999998</v>
      </c>
      <c r="R75" s="1011">
        <f t="shared" si="41"/>
        <v>4906.6130000000003</v>
      </c>
      <c r="S75" s="1011">
        <f t="shared" si="41"/>
        <v>4711.049</v>
      </c>
      <c r="T75" s="1011">
        <f t="shared" si="41"/>
        <v>4193.1899999999996</v>
      </c>
      <c r="U75" s="1011">
        <f t="shared" si="41"/>
        <v>3613.8510000000001</v>
      </c>
      <c r="V75" s="1011">
        <f t="shared" si="41"/>
        <v>2996.8649999999998</v>
      </c>
      <c r="W75" s="1011">
        <f t="shared" si="41"/>
        <v>2566.277</v>
      </c>
      <c r="X75" s="1011">
        <f t="shared" si="41"/>
        <v>2101.85</v>
      </c>
      <c r="Z75" s="1357"/>
      <c r="AA75" s="1357"/>
      <c r="AB75" s="1357"/>
      <c r="AC75" s="1357"/>
    </row>
    <row r="76" spans="1:29" ht="11.25" customHeight="1" x14ac:dyDescent="0.3">
      <c r="A76" s="1033"/>
      <c r="E76" s="1342"/>
      <c r="F76" s="1342"/>
      <c r="G76" s="1342"/>
      <c r="H76" s="1342"/>
      <c r="I76" s="1342"/>
      <c r="J76" s="1342"/>
      <c r="L76" s="1342"/>
      <c r="M76" s="1342"/>
      <c r="O76" s="1342"/>
      <c r="P76" s="1342"/>
      <c r="U76" s="1342"/>
      <c r="V76" s="1342"/>
      <c r="W76" s="1342"/>
    </row>
    <row r="77" spans="1:29" ht="11.25" customHeight="1" x14ac:dyDescent="0.3">
      <c r="A77" s="1385" t="s">
        <v>657</v>
      </c>
      <c r="E77" s="1342"/>
      <c r="F77" s="1342"/>
      <c r="G77" s="1342"/>
      <c r="H77" s="1342"/>
      <c r="I77" s="1342"/>
      <c r="J77" s="1342"/>
      <c r="L77" s="1342"/>
      <c r="M77" s="1342"/>
      <c r="O77" s="1342"/>
      <c r="P77" s="1342"/>
      <c r="U77" s="1342"/>
      <c r="V77" s="1342"/>
      <c r="W77" s="1342"/>
    </row>
    <row r="78" spans="1:29" s="1082" customFormat="1" ht="11.25" customHeight="1" x14ac:dyDescent="0.3">
      <c r="A78" s="1015" t="str">
        <f>+A73</f>
        <v>University of Phoenix</v>
      </c>
      <c r="E78" s="1342"/>
      <c r="F78" s="1342"/>
      <c r="G78" s="1342"/>
      <c r="H78" s="1386"/>
      <c r="I78" s="1386"/>
      <c r="J78" s="1387"/>
      <c r="K78" s="1387">
        <f>+K73/J73-1</f>
        <v>0.34417021934785352</v>
      </c>
      <c r="L78" s="1387">
        <f t="shared" ref="L78:X78" si="42">+L73/K73-1</f>
        <v>0.35767796996176315</v>
      </c>
      <c r="M78" s="1387">
        <f t="shared" si="42"/>
        <v>0.18547267371196674</v>
      </c>
      <c r="N78" s="1387">
        <f t="shared" si="42"/>
        <v>2.9948007173342006E-2</v>
      </c>
      <c r="O78" s="1387">
        <f t="shared" si="42"/>
        <v>0.22337176774681189</v>
      </c>
      <c r="P78" s="1387">
        <f t="shared" si="42"/>
        <v>0.17725523728088932</v>
      </c>
      <c r="Q78" s="1387">
        <f t="shared" si="42"/>
        <v>0.26072077909906621</v>
      </c>
      <c r="R78" s="1387">
        <f t="shared" si="42"/>
        <v>0.19426671268518025</v>
      </c>
      <c r="S78" s="1387">
        <f t="shared" si="42"/>
        <v>-3.9048979342310663E-2</v>
      </c>
      <c r="T78" s="1387">
        <f t="shared" si="42"/>
        <v>-0.10400331276734054</v>
      </c>
      <c r="U78" s="1387">
        <f t="shared" si="42"/>
        <v>-0.14681632119817267</v>
      </c>
      <c r="V78" s="1387">
        <f t="shared" si="42"/>
        <v>-0.20321450014283704</v>
      </c>
      <c r="W78" s="1387">
        <f t="shared" si="42"/>
        <v>-0.18406623143858847</v>
      </c>
      <c r="X78" s="1387">
        <f t="shared" si="42"/>
        <v>-0.24060750952375631</v>
      </c>
    </row>
    <row r="79" spans="1:29" s="1082" customFormat="1" ht="13.5" x14ac:dyDescent="0.3">
      <c r="A79" s="1015" t="str">
        <f t="shared" ref="A79:A80" si="43">+A74</f>
        <v>Other</v>
      </c>
      <c r="E79" s="1342"/>
      <c r="F79" s="1342"/>
      <c r="G79" s="1342"/>
      <c r="H79" s="1388"/>
      <c r="I79" s="1388"/>
      <c r="J79" s="1389"/>
      <c r="K79" s="1389">
        <f t="shared" ref="K79:X79" si="44">+K74/J74-1</f>
        <v>0.12290360401692402</v>
      </c>
      <c r="L79" s="1389">
        <f t="shared" si="44"/>
        <v>0.14674505175231323</v>
      </c>
      <c r="M79" s="1389">
        <f t="shared" si="44"/>
        <v>1.3454603036361137</v>
      </c>
      <c r="N79" s="1389">
        <f t="shared" si="44"/>
        <v>0.70087345457614103</v>
      </c>
      <c r="O79" s="1389">
        <f t="shared" si="44"/>
        <v>-0.53861916693542333</v>
      </c>
      <c r="P79" s="1389">
        <f t="shared" si="44"/>
        <v>-0.21614384497090977</v>
      </c>
      <c r="Q79" s="1389">
        <f t="shared" si="44"/>
        <v>0.28252160790231606</v>
      </c>
      <c r="R79" s="1389">
        <f t="shared" si="44"/>
        <v>1.1837553351946379</v>
      </c>
      <c r="S79" s="1389">
        <f t="shared" si="44"/>
        <v>-4.8762148287484708E-2</v>
      </c>
      <c r="T79" s="1389">
        <f t="shared" si="44"/>
        <v>-0.17582567543559324</v>
      </c>
      <c r="U79" s="1389">
        <f t="shared" si="44"/>
        <v>-3.3443509990875975E-2</v>
      </c>
      <c r="V79" s="1389">
        <f t="shared" si="44"/>
        <v>0.17624851722922918</v>
      </c>
      <c r="W79" s="1389">
        <f t="shared" si="44"/>
        <v>0.14852053770650508</v>
      </c>
      <c r="X79" s="1389">
        <f t="shared" si="44"/>
        <v>0.12554400488079076</v>
      </c>
    </row>
    <row r="80" spans="1:29" s="1082" customFormat="1" ht="11.25" customHeight="1" x14ac:dyDescent="0.3">
      <c r="A80" s="1033" t="str">
        <f t="shared" si="43"/>
        <v>Total revenue</v>
      </c>
      <c r="E80" s="1342"/>
      <c r="F80" s="1342"/>
      <c r="G80" s="1342"/>
      <c r="H80" s="1387"/>
      <c r="I80" s="1387"/>
      <c r="J80" s="1387"/>
      <c r="K80" s="1387">
        <f t="shared" ref="K80:X80" si="45">+K75/J75-1</f>
        <v>0.32697049397942446</v>
      </c>
      <c r="L80" s="1387">
        <f t="shared" si="45"/>
        <v>0.34380302750916925</v>
      </c>
      <c r="M80" s="1387">
        <f t="shared" si="45"/>
        <v>0.25058623469276076</v>
      </c>
      <c r="N80" s="1387">
        <f t="shared" si="45"/>
        <v>0.10058086796137378</v>
      </c>
      <c r="O80" s="1387">
        <f t="shared" si="45"/>
        <v>9.9397263326058694E-2</v>
      </c>
      <c r="P80" s="1387">
        <f t="shared" si="45"/>
        <v>0.15039432144806897</v>
      </c>
      <c r="Q80" s="1387">
        <f t="shared" si="45"/>
        <v>0.26173504102206002</v>
      </c>
      <c r="R80" s="1387">
        <f t="shared" si="45"/>
        <v>0.24106009612587731</v>
      </c>
      <c r="S80" s="1387">
        <f t="shared" si="45"/>
        <v>-3.9857229416707662E-2</v>
      </c>
      <c r="T80" s="1387">
        <f t="shared" si="45"/>
        <v>-0.10992435018188107</v>
      </c>
      <c r="U80" s="1387">
        <f t="shared" si="45"/>
        <v>-0.13816187675731351</v>
      </c>
      <c r="V80" s="1387">
        <f t="shared" si="45"/>
        <v>-0.17072812354466205</v>
      </c>
      <c r="W80" s="1387">
        <f t="shared" si="45"/>
        <v>-0.14367947838824902</v>
      </c>
      <c r="X80" s="1387">
        <f t="shared" si="45"/>
        <v>-0.18097305941642317</v>
      </c>
    </row>
    <row r="81" spans="1:32" ht="11.25" customHeight="1" x14ac:dyDescent="0.3">
      <c r="A81" s="1033"/>
      <c r="E81" s="1342"/>
      <c r="F81" s="1342"/>
      <c r="G81" s="1342"/>
      <c r="H81" s="1342"/>
      <c r="I81" s="1342"/>
      <c r="J81" s="1342"/>
      <c r="L81" s="1342"/>
      <c r="M81" s="1342"/>
      <c r="O81" s="1342"/>
      <c r="P81" s="1342"/>
      <c r="U81" s="1342"/>
      <c r="V81" s="1342"/>
      <c r="W81" s="1342"/>
    </row>
    <row r="82" spans="1:32" ht="11.25" customHeight="1" x14ac:dyDescent="0.3">
      <c r="A82" s="1385" t="s">
        <v>1517</v>
      </c>
      <c r="E82" s="1342"/>
      <c r="F82" s="1342"/>
      <c r="G82" s="1342"/>
      <c r="H82" s="1342"/>
      <c r="I82" s="1342"/>
      <c r="J82" s="1342"/>
      <c r="L82" s="1342"/>
      <c r="M82" s="1342"/>
      <c r="O82" s="1342"/>
      <c r="P82" s="1342"/>
      <c r="U82" s="1342"/>
      <c r="V82" s="1342"/>
      <c r="W82" s="1342"/>
    </row>
    <row r="83" spans="1:32" s="1082" customFormat="1" ht="11.25" customHeight="1" x14ac:dyDescent="0.3">
      <c r="A83" s="1015" t="str">
        <f>+A73</f>
        <v>University of Phoenix</v>
      </c>
      <c r="E83" s="1342"/>
      <c r="F83" s="1342"/>
      <c r="G83" s="1342"/>
      <c r="H83" s="1386"/>
      <c r="I83" s="1386"/>
      <c r="J83" s="1387">
        <f t="shared" ref="J83:W83" si="46">J73/J$75</f>
        <v>0.92226696583800161</v>
      </c>
      <c r="K83" s="1387">
        <f t="shared" si="46"/>
        <v>0.93422106624999901</v>
      </c>
      <c r="L83" s="1387">
        <f t="shared" si="46"/>
        <v>0.94386702125000077</v>
      </c>
      <c r="M83" s="1387">
        <f t="shared" si="46"/>
        <v>0.89472323480729987</v>
      </c>
      <c r="N83" s="1387">
        <f t="shared" si="46"/>
        <v>0.83730186439494458</v>
      </c>
      <c r="O83" s="1387">
        <f t="shared" si="46"/>
        <v>0.93172094942603934</v>
      </c>
      <c r="P83" s="1387">
        <f t="shared" si="46"/>
        <v>0.9534759924887567</v>
      </c>
      <c r="Q83" s="1387">
        <f t="shared" si="46"/>
        <v>0.95270952856231561</v>
      </c>
      <c r="R83" s="1387">
        <f t="shared" si="46"/>
        <v>0.91678822030594209</v>
      </c>
      <c r="S83" s="1387">
        <f t="shared" si="46"/>
        <v>0.9175599744345686</v>
      </c>
      <c r="T83" s="1387">
        <f t="shared" si="46"/>
        <v>0.92366384542555913</v>
      </c>
      <c r="U83" s="1387">
        <f t="shared" si="46"/>
        <v>0.91438855669478347</v>
      </c>
      <c r="V83" s="1387">
        <f t="shared" si="46"/>
        <v>0.87856776998630248</v>
      </c>
      <c r="W83" s="1387">
        <f t="shared" si="46"/>
        <v>0.83713176714750581</v>
      </c>
      <c r="X83" s="1387">
        <f>X73/X$75</f>
        <v>0.77617908033399152</v>
      </c>
    </row>
    <row r="84" spans="1:32" s="1082" customFormat="1" ht="13.5" x14ac:dyDescent="0.3">
      <c r="A84" s="1015" t="str">
        <f>A74</f>
        <v>Other</v>
      </c>
      <c r="E84" s="1342"/>
      <c r="F84" s="1342"/>
      <c r="G84" s="1342"/>
      <c r="H84" s="1388"/>
      <c r="I84" s="1388"/>
      <c r="J84" s="1389">
        <f t="shared" ref="J84:W84" si="47">J74/J$75</f>
        <v>7.7733034161998379E-2</v>
      </c>
      <c r="K84" s="1389">
        <f t="shared" si="47"/>
        <v>6.577893375000099E-2</v>
      </c>
      <c r="L84" s="1389">
        <f t="shared" si="47"/>
        <v>5.6132978749999257E-2</v>
      </c>
      <c r="M84" s="1389">
        <f t="shared" si="47"/>
        <v>0.10527676519270016</v>
      </c>
      <c r="N84" s="1389">
        <f t="shared" si="47"/>
        <v>0.16269813560505539</v>
      </c>
      <c r="O84" s="1389">
        <f t="shared" si="47"/>
        <v>6.8279050573960665E-2</v>
      </c>
      <c r="P84" s="1389">
        <f t="shared" si="47"/>
        <v>4.6524007511243311E-2</v>
      </c>
      <c r="Q84" s="1389">
        <f t="shared" si="47"/>
        <v>4.7290471437684334E-2</v>
      </c>
      <c r="R84" s="1389">
        <f t="shared" si="47"/>
        <v>8.321177969405788E-2</v>
      </c>
      <c r="S84" s="1389">
        <f t="shared" si="47"/>
        <v>8.2440025565431369E-2</v>
      </c>
      <c r="T84" s="1389">
        <f t="shared" si="47"/>
        <v>7.6336154574440859E-2</v>
      </c>
      <c r="U84" s="1389">
        <f t="shared" si="47"/>
        <v>8.5611443305216556E-2</v>
      </c>
      <c r="V84" s="1389">
        <f t="shared" si="47"/>
        <v>0.12143223001369756</v>
      </c>
      <c r="W84" s="1389">
        <f t="shared" si="47"/>
        <v>0.16286823285249416</v>
      </c>
      <c r="X84" s="1389">
        <f>X74/X$75</f>
        <v>0.22382091966600848</v>
      </c>
    </row>
    <row r="85" spans="1:32" s="1082" customFormat="1" ht="11.25" customHeight="1" x14ac:dyDescent="0.3">
      <c r="A85" s="1033" t="str">
        <f>A75</f>
        <v>Total revenue</v>
      </c>
      <c r="E85" s="1342"/>
      <c r="F85" s="1342"/>
      <c r="G85" s="1342"/>
      <c r="H85" s="1387"/>
      <c r="I85" s="1387"/>
      <c r="J85" s="1387">
        <f t="shared" ref="J85:W85" si="48">J75/J$75</f>
        <v>1</v>
      </c>
      <c r="K85" s="1387">
        <f t="shared" si="48"/>
        <v>1</v>
      </c>
      <c r="L85" s="1387">
        <f t="shared" si="48"/>
        <v>1</v>
      </c>
      <c r="M85" s="1387">
        <f t="shared" si="48"/>
        <v>1</v>
      </c>
      <c r="N85" s="1387">
        <f t="shared" si="48"/>
        <v>1</v>
      </c>
      <c r="O85" s="1387">
        <f t="shared" si="48"/>
        <v>1</v>
      </c>
      <c r="P85" s="1387">
        <f t="shared" si="48"/>
        <v>1</v>
      </c>
      <c r="Q85" s="1387">
        <f t="shared" si="48"/>
        <v>1</v>
      </c>
      <c r="R85" s="1387">
        <f t="shared" si="48"/>
        <v>1</v>
      </c>
      <c r="S85" s="1387">
        <f t="shared" si="48"/>
        <v>1</v>
      </c>
      <c r="T85" s="1387">
        <f t="shared" si="48"/>
        <v>1</v>
      </c>
      <c r="U85" s="1387">
        <f t="shared" si="48"/>
        <v>1</v>
      </c>
      <c r="V85" s="1387">
        <f t="shared" si="48"/>
        <v>1</v>
      </c>
      <c r="W85" s="1387">
        <f t="shared" si="48"/>
        <v>1</v>
      </c>
      <c r="X85" s="1387">
        <f>X75/X$75</f>
        <v>1</v>
      </c>
    </row>
    <row r="86" spans="1:32" s="1082" customFormat="1" ht="11.25" customHeight="1" x14ac:dyDescent="0.3">
      <c r="A86" s="1390"/>
      <c r="E86" s="1342"/>
      <c r="F86" s="1342"/>
      <c r="G86" s="1342"/>
      <c r="H86" s="1342"/>
      <c r="I86" s="1342"/>
      <c r="J86" s="1342"/>
      <c r="L86" s="1342"/>
      <c r="M86" s="1342"/>
      <c r="O86" s="1342"/>
      <c r="P86" s="1342"/>
      <c r="S86" s="1386"/>
      <c r="T86" s="1386"/>
      <c r="U86" s="1342"/>
      <c r="V86" s="1342"/>
      <c r="W86" s="1342"/>
    </row>
    <row r="87" spans="1:32" ht="11.25" customHeight="1" x14ac:dyDescent="0.25">
      <c r="A87" s="1391" t="s">
        <v>1518</v>
      </c>
      <c r="B87" s="1341"/>
      <c r="C87" s="1392"/>
      <c r="D87" s="1392"/>
      <c r="E87" s="1392"/>
      <c r="F87" s="1392"/>
      <c r="G87" s="1392"/>
      <c r="H87" s="1392"/>
      <c r="I87" s="1392"/>
      <c r="J87" s="1392"/>
      <c r="K87" s="1392"/>
    </row>
    <row r="88" spans="1:32" ht="11.25" customHeight="1" x14ac:dyDescent="0.25">
      <c r="A88" s="997"/>
      <c r="C88" s="1392"/>
      <c r="D88" s="1392"/>
      <c r="E88" s="1392"/>
      <c r="F88" s="1392"/>
      <c r="G88" s="1392"/>
      <c r="H88" s="1392"/>
      <c r="I88" s="1392"/>
      <c r="J88" s="1392"/>
      <c r="K88" s="1392"/>
    </row>
    <row r="89" spans="1:32" ht="11.25" customHeight="1" x14ac:dyDescent="0.25">
      <c r="A89" s="995" t="s">
        <v>1458</v>
      </c>
      <c r="C89" s="1393">
        <f>+'APOL historicals'!D279</f>
        <v>2.46</v>
      </c>
      <c r="D89" s="1393">
        <f>+'APOL historicals'!E279</f>
        <v>7.7</v>
      </c>
      <c r="E89" s="1393">
        <f>+'APOL historicals'!F279</f>
        <v>10.44</v>
      </c>
      <c r="F89" s="1393">
        <f>+'APOL historicals'!G279</f>
        <v>14.74</v>
      </c>
      <c r="G89" s="1393">
        <f>+'APOL historicals'!H279</f>
        <v>11.14</v>
      </c>
      <c r="H89" s="1393">
        <f>+'APOL historicals'!I279</f>
        <v>14.36</v>
      </c>
      <c r="I89" s="1393">
        <f>+'APOL historicals'!J279</f>
        <v>28.33</v>
      </c>
      <c r="J89" s="1393">
        <f>+'APOL historicals'!K279</f>
        <v>37.49</v>
      </c>
      <c r="K89" s="1393">
        <f>+'APOL historicals'!L279</f>
        <v>65.36</v>
      </c>
      <c r="L89" s="1393">
        <f>+'APOL historicals'!M279</f>
        <v>93.86</v>
      </c>
      <c r="M89" s="1393">
        <f>+'APOL historicals'!N279</f>
        <v>74.319999999999993</v>
      </c>
      <c r="N89" s="1393">
        <f>+'APOL historicals'!O279</f>
        <v>52.85</v>
      </c>
      <c r="O89" s="1393">
        <f>+'APOL historicals'!P279</f>
        <v>50.78</v>
      </c>
      <c r="P89" s="1393">
        <f>+'APOL historicals'!Q279</f>
        <v>46.26</v>
      </c>
      <c r="Q89" s="1393">
        <f>+'APOL historicals'!R279</f>
        <v>65.989999999999995</v>
      </c>
      <c r="R89" s="1393">
        <f>+'APOL historicals'!S279</f>
        <v>42.47</v>
      </c>
      <c r="S89" s="1393">
        <f>+'APOL historicals'!T279</f>
        <v>43.68</v>
      </c>
      <c r="T89" s="1393">
        <f>+'APOL historicals'!U279</f>
        <v>32.47</v>
      </c>
      <c r="U89" s="1393">
        <f>+'APOL historicals'!V279</f>
        <v>19.38</v>
      </c>
      <c r="V89" s="1393">
        <f>+'APOL historicals'!W279</f>
        <v>31.08</v>
      </c>
      <c r="W89" s="1393">
        <f>+'APOL historicals'!X279</f>
        <v>15.54</v>
      </c>
      <c r="X89" s="1393">
        <f>+'APOL historicals'!Y279</f>
        <v>9.0500000000000007</v>
      </c>
      <c r="Y89" s="1393"/>
      <c r="Z89" s="1348">
        <f>+(L89/C89)^(0.1)-1</f>
        <v>0.43931066777952976</v>
      </c>
      <c r="AA89" s="1357"/>
      <c r="AB89" s="1357"/>
      <c r="AC89" s="1357"/>
    </row>
    <row r="90" spans="1:32" ht="13" x14ac:dyDescent="0.25">
      <c r="A90" s="1394" t="s">
        <v>1519</v>
      </c>
      <c r="C90" s="1372">
        <f>+C40</f>
        <v>155.55375000000001</v>
      </c>
      <c r="D90" s="1372">
        <f t="shared" ref="D90:X90" si="49">+D40</f>
        <v>172.71674999999999</v>
      </c>
      <c r="E90" s="1372">
        <f t="shared" si="49"/>
        <v>174.8835</v>
      </c>
      <c r="F90" s="1372">
        <f t="shared" si="49"/>
        <v>177.9435</v>
      </c>
      <c r="G90" s="1372">
        <f t="shared" si="49"/>
        <v>177.38550000000001</v>
      </c>
      <c r="H90" s="1372">
        <f t="shared" si="49"/>
        <v>172.447</v>
      </c>
      <c r="I90" s="1372">
        <f t="shared" si="49"/>
        <v>174.001</v>
      </c>
      <c r="J90" s="1372">
        <f t="shared" si="49"/>
        <v>175.697</v>
      </c>
      <c r="K90" s="1372">
        <f t="shared" si="49"/>
        <v>177.637</v>
      </c>
      <c r="L90" s="1372">
        <f t="shared" si="49"/>
        <v>178.91399999999999</v>
      </c>
      <c r="M90" s="1372">
        <f t="shared" si="49"/>
        <v>186.066</v>
      </c>
      <c r="N90" s="1372">
        <f t="shared" si="49"/>
        <v>176.20500000000001</v>
      </c>
      <c r="O90" s="1372">
        <f t="shared" si="49"/>
        <v>173.60300000000001</v>
      </c>
      <c r="P90" s="1372">
        <f t="shared" si="49"/>
        <v>165.87</v>
      </c>
      <c r="Q90" s="1372">
        <f t="shared" si="49"/>
        <v>159.51400000000001</v>
      </c>
      <c r="R90" s="1372">
        <f t="shared" si="49"/>
        <v>152.90600000000001</v>
      </c>
      <c r="S90" s="1372">
        <f t="shared" si="49"/>
        <v>141.75</v>
      </c>
      <c r="T90" s="1372">
        <f t="shared" si="49"/>
        <v>122.357</v>
      </c>
      <c r="U90" s="1372">
        <f t="shared" si="49"/>
        <v>113.285</v>
      </c>
      <c r="V90" s="1372">
        <f t="shared" si="49"/>
        <v>112.61</v>
      </c>
      <c r="W90" s="1372">
        <f t="shared" si="49"/>
        <v>109.038</v>
      </c>
      <c r="X90" s="1372">
        <f t="shared" si="49"/>
        <v>108.66</v>
      </c>
      <c r="Y90" s="1373"/>
      <c r="Z90" s="1361"/>
      <c r="AA90" s="1361"/>
      <c r="AB90" s="1361"/>
      <c r="AC90" s="1361"/>
    </row>
    <row r="91" spans="1:32" ht="11.25" customHeight="1" x14ac:dyDescent="0.25">
      <c r="A91" s="1036" t="s">
        <v>1520</v>
      </c>
      <c r="C91" s="1370">
        <f t="shared" ref="C91" si="50">IFERROR(C89*C90,"n/a")</f>
        <v>382.66222500000003</v>
      </c>
      <c r="D91" s="1370">
        <f t="shared" ref="D91:X91" si="51">IFERROR(D89*D90,"n/a")</f>
        <v>1329.918975</v>
      </c>
      <c r="E91" s="1370">
        <f t="shared" si="51"/>
        <v>1825.7837399999999</v>
      </c>
      <c r="F91" s="1370">
        <f t="shared" si="51"/>
        <v>2622.8871899999999</v>
      </c>
      <c r="G91" s="1370">
        <f t="shared" si="51"/>
        <v>1976.0744700000002</v>
      </c>
      <c r="H91" s="1370">
        <f t="shared" si="51"/>
        <v>2476.3389200000001</v>
      </c>
      <c r="I91" s="1370">
        <f t="shared" si="51"/>
        <v>4929.4483300000002</v>
      </c>
      <c r="J91" s="1370">
        <f t="shared" si="51"/>
        <v>6586.8805300000004</v>
      </c>
      <c r="K91" s="1370">
        <f t="shared" si="51"/>
        <v>11610.35432</v>
      </c>
      <c r="L91" s="1370">
        <f t="shared" si="51"/>
        <v>16792.868039999998</v>
      </c>
      <c r="M91" s="1370">
        <f t="shared" si="51"/>
        <v>13828.425119999998</v>
      </c>
      <c r="N91" s="1370">
        <f t="shared" si="51"/>
        <v>9312.4342500000002</v>
      </c>
      <c r="O91" s="1370">
        <f t="shared" si="51"/>
        <v>8815.56034</v>
      </c>
      <c r="P91" s="1370">
        <f t="shared" si="51"/>
        <v>7673.1462000000001</v>
      </c>
      <c r="Q91" s="1370">
        <f t="shared" si="51"/>
        <v>10526.32886</v>
      </c>
      <c r="R91" s="1370">
        <f t="shared" si="51"/>
        <v>6493.9178199999997</v>
      </c>
      <c r="S91" s="1370">
        <f t="shared" si="51"/>
        <v>6191.64</v>
      </c>
      <c r="T91" s="1370">
        <f t="shared" si="51"/>
        <v>3972.9317899999996</v>
      </c>
      <c r="U91" s="1370">
        <f t="shared" si="51"/>
        <v>2195.4632999999999</v>
      </c>
      <c r="V91" s="1370">
        <f t="shared" si="51"/>
        <v>3499.9187999999999</v>
      </c>
      <c r="W91" s="1370">
        <f t="shared" si="51"/>
        <v>1694.4505199999999</v>
      </c>
      <c r="X91" s="1370">
        <f t="shared" si="51"/>
        <v>983.37300000000005</v>
      </c>
      <c r="Y91" s="1370"/>
      <c r="Z91" s="1357"/>
      <c r="AA91" s="1357"/>
      <c r="AB91" s="1357"/>
      <c r="AC91" s="1357"/>
    </row>
    <row r="92" spans="1:32" ht="11.25" customHeight="1" x14ac:dyDescent="0.25">
      <c r="A92" s="1395" t="s">
        <v>1521</v>
      </c>
      <c r="C92" s="1370">
        <f>C68</f>
        <v>-50.725999999999999</v>
      </c>
      <c r="D92" s="1370">
        <f t="shared" ref="D92:X92" si="52">D68</f>
        <v>-65.254999999999995</v>
      </c>
      <c r="E92" s="1370">
        <f t="shared" si="52"/>
        <v>-86.11</v>
      </c>
      <c r="F92" s="1370">
        <f t="shared" si="52"/>
        <v>-79.864000000000004</v>
      </c>
      <c r="G92" s="1370">
        <f t="shared" si="52"/>
        <v>-82.597999999999999</v>
      </c>
      <c r="H92" s="1370">
        <f t="shared" si="52"/>
        <v>-118.13800000000001</v>
      </c>
      <c r="I92" s="1370">
        <f t="shared" si="52"/>
        <v>-316.79899999999998</v>
      </c>
      <c r="J92" s="1370">
        <f t="shared" si="52"/>
        <v>-509.78399999999999</v>
      </c>
      <c r="K92" s="1370">
        <f t="shared" si="52"/>
        <v>-652.41399999999999</v>
      </c>
      <c r="L92" s="1370">
        <f t="shared" si="52"/>
        <v>-492.86200000000002</v>
      </c>
      <c r="M92" s="1370">
        <f t="shared" si="52"/>
        <v>-361.29599999999999</v>
      </c>
      <c r="N92" s="1370">
        <f t="shared" si="52"/>
        <v>-355.036</v>
      </c>
      <c r="O92" s="1370">
        <f t="shared" si="52"/>
        <v>-370.59699999999998</v>
      </c>
      <c r="P92" s="1370">
        <f t="shared" si="52"/>
        <v>-455.339</v>
      </c>
      <c r="Q92" s="1370">
        <f t="shared" si="52"/>
        <v>-379.17999999999995</v>
      </c>
      <c r="R92" s="1370">
        <f t="shared" si="52"/>
        <v>-695.221</v>
      </c>
      <c r="S92" s="1370">
        <f t="shared" si="52"/>
        <v>-972.65499999999997</v>
      </c>
      <c r="T92" s="1370">
        <f t="shared" si="52"/>
        <v>-556.46400000000006</v>
      </c>
      <c r="U92" s="1370">
        <f t="shared" si="52"/>
        <v>-828.24000000000012</v>
      </c>
      <c r="V92" s="1370">
        <f t="shared" si="52"/>
        <v>-759.18900000000008</v>
      </c>
      <c r="W92" s="1370">
        <f t="shared" si="52"/>
        <v>-652.73500000000001</v>
      </c>
      <c r="X92" s="1370">
        <f t="shared" si="52"/>
        <v>-571.11500000000001</v>
      </c>
      <c r="Y92" s="1396"/>
      <c r="Z92" s="1357"/>
      <c r="AA92" s="1357"/>
      <c r="AB92" s="1357"/>
      <c r="AC92" s="1357"/>
    </row>
    <row r="93" spans="1:32" ht="13" x14ac:dyDescent="0.25">
      <c r="A93" s="1395" t="s">
        <v>1522</v>
      </c>
      <c r="C93" s="1397">
        <v>0</v>
      </c>
      <c r="D93" s="1397">
        <v>0</v>
      </c>
      <c r="E93" s="1397">
        <v>0</v>
      </c>
      <c r="F93" s="1397">
        <v>0</v>
      </c>
      <c r="G93" s="1397">
        <v>0</v>
      </c>
      <c r="H93" s="1397">
        <v>0</v>
      </c>
      <c r="I93" s="1397">
        <v>0</v>
      </c>
      <c r="J93" s="1397">
        <v>0</v>
      </c>
      <c r="K93" s="1397">
        <v>0</v>
      </c>
      <c r="L93" s="1397">
        <v>0</v>
      </c>
      <c r="M93" s="1397">
        <v>0</v>
      </c>
      <c r="N93" s="1397">
        <v>0</v>
      </c>
      <c r="O93" s="1397">
        <v>0</v>
      </c>
      <c r="P93" s="1397">
        <v>0</v>
      </c>
      <c r="Q93" s="1397">
        <v>0</v>
      </c>
      <c r="R93" s="1397">
        <v>0</v>
      </c>
      <c r="S93" s="1397">
        <v>0</v>
      </c>
      <c r="T93" s="1397">
        <v>0</v>
      </c>
      <c r="U93" s="1397">
        <v>0</v>
      </c>
      <c r="V93" s="1397">
        <v>0</v>
      </c>
      <c r="W93" s="1397">
        <v>0</v>
      </c>
      <c r="X93" s="1397">
        <v>0</v>
      </c>
      <c r="Y93" s="1365"/>
      <c r="Z93" s="1361"/>
      <c r="AA93" s="1361"/>
      <c r="AB93" s="1361"/>
      <c r="AC93" s="1361"/>
    </row>
    <row r="94" spans="1:32" ht="11.25" customHeight="1" x14ac:dyDescent="0.25">
      <c r="A94" s="1036" t="s">
        <v>715</v>
      </c>
      <c r="C94" s="1398">
        <f t="shared" ref="C94" si="53">IFERROR(C91+C92+C93,"n/a")</f>
        <v>331.93622500000004</v>
      </c>
      <c r="D94" s="1398">
        <f t="shared" ref="D94:X94" si="54">IFERROR(D91+D92+D93,"n/a")</f>
        <v>1264.6639749999999</v>
      </c>
      <c r="E94" s="1398">
        <f t="shared" si="54"/>
        <v>1739.67374</v>
      </c>
      <c r="F94" s="1398">
        <f t="shared" si="54"/>
        <v>2543.0231899999999</v>
      </c>
      <c r="G94" s="1398">
        <f t="shared" si="54"/>
        <v>1893.4764700000003</v>
      </c>
      <c r="H94" s="1398">
        <f t="shared" si="54"/>
        <v>2358.2009200000002</v>
      </c>
      <c r="I94" s="1398">
        <f t="shared" si="54"/>
        <v>4612.6493300000002</v>
      </c>
      <c r="J94" s="1398">
        <f t="shared" si="54"/>
        <v>6077.0965300000007</v>
      </c>
      <c r="K94" s="1398">
        <f t="shared" si="54"/>
        <v>10957.94032</v>
      </c>
      <c r="L94" s="1398">
        <f t="shared" si="54"/>
        <v>16300.006039999998</v>
      </c>
      <c r="M94" s="1398">
        <f t="shared" si="54"/>
        <v>13467.129119999998</v>
      </c>
      <c r="N94" s="1398">
        <f t="shared" si="54"/>
        <v>8957.3982500000002</v>
      </c>
      <c r="O94" s="1398">
        <f t="shared" si="54"/>
        <v>8444.9633400000002</v>
      </c>
      <c r="P94" s="1398">
        <f t="shared" si="54"/>
        <v>7217.8072000000002</v>
      </c>
      <c r="Q94" s="1398">
        <f t="shared" si="54"/>
        <v>10147.148859999999</v>
      </c>
      <c r="R94" s="1398">
        <f t="shared" si="54"/>
        <v>5798.6968199999992</v>
      </c>
      <c r="S94" s="1398">
        <f t="shared" si="54"/>
        <v>5218.9850000000006</v>
      </c>
      <c r="T94" s="1398">
        <f t="shared" si="54"/>
        <v>3416.4677899999997</v>
      </c>
      <c r="U94" s="1398">
        <f t="shared" si="54"/>
        <v>1367.2232999999997</v>
      </c>
      <c r="V94" s="1398">
        <f t="shared" si="54"/>
        <v>2740.7298000000001</v>
      </c>
      <c r="W94" s="1398">
        <f t="shared" si="54"/>
        <v>1041.7155199999997</v>
      </c>
      <c r="X94" s="1398">
        <f t="shared" si="54"/>
        <v>412.25800000000004</v>
      </c>
      <c r="Y94" s="1398"/>
      <c r="Z94" s="1357"/>
      <c r="AA94" s="1357"/>
      <c r="AB94" s="1357"/>
      <c r="AC94" s="1357"/>
    </row>
    <row r="95" spans="1:32" ht="11.25" customHeight="1" x14ac:dyDescent="0.25">
      <c r="C95" s="1392"/>
      <c r="D95" s="1392"/>
      <c r="E95" s="1392"/>
      <c r="F95" s="1392"/>
      <c r="G95" s="1392"/>
      <c r="H95" s="1392"/>
      <c r="I95" s="1392"/>
      <c r="J95" s="1392"/>
      <c r="K95" s="1392"/>
      <c r="L95" s="1392"/>
      <c r="M95" s="1392"/>
      <c r="N95" s="1392"/>
      <c r="O95" s="1392"/>
      <c r="P95" s="1392"/>
      <c r="Q95" s="1392"/>
      <c r="R95" s="1392"/>
      <c r="S95" s="1392"/>
      <c r="T95" s="1392"/>
      <c r="U95" s="1392"/>
      <c r="V95" s="1392"/>
      <c r="W95" s="1392"/>
      <c r="X95" s="1392"/>
    </row>
    <row r="96" spans="1:32" ht="11.25" customHeight="1" x14ac:dyDescent="0.25">
      <c r="A96" s="1399" t="s">
        <v>1523</v>
      </c>
      <c r="C96" s="1392"/>
      <c r="D96" s="1392"/>
      <c r="E96" s="1392"/>
      <c r="F96" s="1392"/>
      <c r="G96" s="1392"/>
      <c r="H96" s="1392"/>
      <c r="I96" s="1392"/>
      <c r="J96" s="1392"/>
      <c r="K96" s="1392"/>
      <c r="L96" s="1392"/>
      <c r="M96" s="1392"/>
      <c r="N96" s="1392"/>
      <c r="O96" s="1392"/>
      <c r="P96" s="1392"/>
      <c r="Q96" s="1392"/>
      <c r="R96" s="1392"/>
      <c r="S96" s="1392"/>
      <c r="T96" s="1392"/>
      <c r="U96" s="1392"/>
      <c r="V96" s="1392"/>
      <c r="W96" s="1392"/>
      <c r="X96" s="1392"/>
      <c r="AE96" s="1400" t="s">
        <v>1524</v>
      </c>
      <c r="AF96" s="1400" t="s">
        <v>1525</v>
      </c>
    </row>
    <row r="97" spans="1:32" ht="11.25" customHeight="1" x14ac:dyDescent="0.25">
      <c r="A97" s="1022" t="s">
        <v>745</v>
      </c>
      <c r="C97" s="1401">
        <f t="shared" ref="C97:X97" si="55">IF(AND(C$94/C$47&gt;=$AE97,C$94/C$47&lt;=$AF97),C$94/C$47,"n/m")</f>
        <v>14.97636820970944</v>
      </c>
      <c r="D97" s="1401">
        <f t="shared" si="55"/>
        <v>33.226419394671851</v>
      </c>
      <c r="E97" s="1401">
        <f t="shared" si="55"/>
        <v>29.437100071068393</v>
      </c>
      <c r="F97" s="1401">
        <f t="shared" si="55"/>
        <v>30.649173094537918</v>
      </c>
      <c r="G97" s="1401">
        <f t="shared" si="55"/>
        <v>16.797456353571558</v>
      </c>
      <c r="H97" s="1401">
        <f t="shared" si="55"/>
        <v>16.709541766752405</v>
      </c>
      <c r="I97" s="1401">
        <f t="shared" si="55"/>
        <v>23.808082511368156</v>
      </c>
      <c r="J97" s="1401">
        <f t="shared" si="55"/>
        <v>21.02576031636745</v>
      </c>
      <c r="K97" s="1401">
        <f t="shared" si="55"/>
        <v>25.628772113648481</v>
      </c>
      <c r="L97" s="1401">
        <f t="shared" si="55"/>
        <v>32.863710492995793</v>
      </c>
      <c r="M97" s="1401">
        <f t="shared" si="55"/>
        <v>18.119391639892143</v>
      </c>
      <c r="N97" s="1401">
        <f t="shared" si="55"/>
        <v>11.770114213781603</v>
      </c>
      <c r="O97" s="1401">
        <f t="shared" si="55"/>
        <v>12.189964115592252</v>
      </c>
      <c r="P97" s="1401">
        <f t="shared" si="55"/>
        <v>8.4718831135295538</v>
      </c>
      <c r="Q97" s="1401">
        <f t="shared" si="55"/>
        <v>8.074433664013954</v>
      </c>
      <c r="R97" s="1401">
        <f t="shared" si="55"/>
        <v>3.8601312073875547</v>
      </c>
      <c r="S97" s="1401">
        <f t="shared" si="55"/>
        <v>3.9218284685437501</v>
      </c>
      <c r="T97" s="1401">
        <f t="shared" si="55"/>
        <v>3.7763126195134347</v>
      </c>
      <c r="U97" s="1401">
        <f t="shared" si="55"/>
        <v>1.7303688994524975</v>
      </c>
      <c r="V97" s="1401">
        <f t="shared" si="55"/>
        <v>4.3878425087933604</v>
      </c>
      <c r="W97" s="1401">
        <f t="shared" si="55"/>
        <v>3.1090695612985244</v>
      </c>
      <c r="X97" s="1401">
        <f t="shared" si="55"/>
        <v>1.9961264519752677</v>
      </c>
      <c r="Y97" s="1401"/>
      <c r="Z97" s="1357"/>
      <c r="AA97" s="1357"/>
      <c r="AB97" s="1357"/>
      <c r="AC97" s="1357"/>
      <c r="AE97" s="1402">
        <v>0</v>
      </c>
      <c r="AF97" s="1402">
        <v>150</v>
      </c>
    </row>
    <row r="98" spans="1:32" ht="11.25" customHeight="1" x14ac:dyDescent="0.25">
      <c r="A98" s="1022" t="s">
        <v>1526</v>
      </c>
      <c r="C98" s="1401">
        <f t="shared" ref="C98:X98" si="56">IF(AND(C$91/C$39&gt;=$AE98,C$91/C$39&lt;=$AF98),C$91/C$39,"n/m")</f>
        <v>29.216655595767101</v>
      </c>
      <c r="D98" s="1401">
        <f t="shared" si="56"/>
        <v>63.334903706031959</v>
      </c>
      <c r="E98" s="1401">
        <f t="shared" si="56"/>
        <v>55.345899492551972</v>
      </c>
      <c r="F98" s="1401">
        <f t="shared" si="56"/>
        <v>57.314330947136568</v>
      </c>
      <c r="G98" s="1401">
        <f t="shared" si="56"/>
        <v>33.612882468208454</v>
      </c>
      <c r="H98" s="1401">
        <f t="shared" si="56"/>
        <v>34.306400676059468</v>
      </c>
      <c r="I98" s="1401">
        <f t="shared" si="56"/>
        <v>46.917903800870704</v>
      </c>
      <c r="J98" s="1401">
        <f t="shared" si="56"/>
        <v>41.28297640177896</v>
      </c>
      <c r="K98" s="1401">
        <f t="shared" si="56"/>
        <v>48.159277989600234</v>
      </c>
      <c r="L98" s="1401">
        <f t="shared" si="56"/>
        <v>59.777348859262801</v>
      </c>
      <c r="M98" s="1401">
        <f t="shared" si="56"/>
        <v>32.259402412242324</v>
      </c>
      <c r="N98" s="1401">
        <f t="shared" si="56"/>
        <v>21.724351204231571</v>
      </c>
      <c r="O98" s="1401">
        <f t="shared" si="56"/>
        <v>22.375529503617166</v>
      </c>
      <c r="P98" s="1401">
        <f t="shared" si="56"/>
        <v>16.106439010382818</v>
      </c>
      <c r="Q98" s="1401">
        <f t="shared" si="56"/>
        <v>15.072140778503437</v>
      </c>
      <c r="R98" s="1401">
        <f t="shared" si="56"/>
        <v>7.9444058514825064</v>
      </c>
      <c r="S98" s="1401">
        <f t="shared" si="56"/>
        <v>8.7397215491548987</v>
      </c>
      <c r="T98" s="1401">
        <f t="shared" si="56"/>
        <v>9.120897913062322</v>
      </c>
      <c r="U98" s="1401">
        <f t="shared" si="56"/>
        <v>5.8865823896679697</v>
      </c>
      <c r="V98" s="1401">
        <f t="shared" si="56"/>
        <v>12.454943374955162</v>
      </c>
      <c r="W98" s="1401">
        <f t="shared" si="56"/>
        <v>14.152618206419605</v>
      </c>
      <c r="X98" s="1401">
        <f t="shared" si="56"/>
        <v>14.555679890585175</v>
      </c>
      <c r="Y98" s="1401"/>
      <c r="Z98" s="1357"/>
      <c r="AA98" s="1357"/>
      <c r="AB98" s="1357"/>
      <c r="AC98" s="1357"/>
      <c r="AE98" s="1403">
        <f t="shared" ref="AE98:AF100" si="57">AE97</f>
        <v>0</v>
      </c>
      <c r="AF98" s="1403">
        <f t="shared" si="57"/>
        <v>150</v>
      </c>
    </row>
    <row r="99" spans="1:32" ht="11.25" customHeight="1" x14ac:dyDescent="0.25">
      <c r="A99" s="1022" t="s">
        <v>1527</v>
      </c>
      <c r="C99" s="1401">
        <f t="shared" ref="C99:X99" si="58">IF(AND(C$91/C$56&gt;=$AE99,C$91/C$56&lt;=$AF99),C$91/C$56,"n/m")</f>
        <v>86.022440652818972</v>
      </c>
      <c r="D99" s="1401">
        <f t="shared" si="58"/>
        <v>77.360450404858327</v>
      </c>
      <c r="E99" s="1401">
        <f t="shared" si="58"/>
        <v>63.884160030231364</v>
      </c>
      <c r="F99" s="1401">
        <f t="shared" si="58"/>
        <v>94.863040883642242</v>
      </c>
      <c r="G99" s="1401">
        <f t="shared" si="58"/>
        <v>58.017112935332165</v>
      </c>
      <c r="H99" s="1401">
        <f t="shared" si="58"/>
        <v>38.43158097307365</v>
      </c>
      <c r="I99" s="1401">
        <f t="shared" si="58"/>
        <v>57.516193028677307</v>
      </c>
      <c r="J99" s="1401">
        <f t="shared" si="58"/>
        <v>41.680306378271929</v>
      </c>
      <c r="K99" s="1401">
        <f t="shared" si="58"/>
        <v>51.673366285781931</v>
      </c>
      <c r="L99" s="1401">
        <f t="shared" si="58"/>
        <v>77.311457359815776</v>
      </c>
      <c r="M99" s="1401">
        <f t="shared" si="58"/>
        <v>36.414031558208251</v>
      </c>
      <c r="N99" s="1401">
        <f t="shared" si="58"/>
        <v>24.361939619111308</v>
      </c>
      <c r="O99" s="1401">
        <f t="shared" si="58"/>
        <v>24.730493579737939</v>
      </c>
      <c r="P99" s="1401">
        <f t="shared" si="58"/>
        <v>16.823444677727437</v>
      </c>
      <c r="Q99" s="1401">
        <f t="shared" si="58"/>
        <v>15.667761053717042</v>
      </c>
      <c r="R99" s="1401">
        <f t="shared" si="58"/>
        <v>8.3238794280932833</v>
      </c>
      <c r="S99" s="1401">
        <f t="shared" si="58"/>
        <v>8.9752878216875391</v>
      </c>
      <c r="T99" s="1401">
        <f t="shared" si="58"/>
        <v>8.132594454756779</v>
      </c>
      <c r="U99" s="1401">
        <f t="shared" si="58"/>
        <v>5.285260292888478</v>
      </c>
      <c r="V99" s="1401">
        <f t="shared" si="58"/>
        <v>10.577562836714305</v>
      </c>
      <c r="W99" s="1401">
        <f t="shared" si="58"/>
        <v>11.021604927832232</v>
      </c>
      <c r="X99" s="1401">
        <f t="shared" si="58"/>
        <v>11.476016870231323</v>
      </c>
      <c r="Y99" s="1401"/>
      <c r="Z99" s="1357"/>
      <c r="AA99" s="1357"/>
      <c r="AB99" s="1357"/>
      <c r="AC99" s="1357"/>
      <c r="AE99" s="1403">
        <f t="shared" si="57"/>
        <v>0</v>
      </c>
      <c r="AF99" s="1403">
        <f t="shared" si="57"/>
        <v>150</v>
      </c>
    </row>
    <row r="100" spans="1:32" ht="11.25" customHeight="1" x14ac:dyDescent="0.25">
      <c r="A100" s="1022" t="s">
        <v>1528</v>
      </c>
      <c r="C100" s="1401">
        <f t="shared" ref="C100:X100" si="59">IF(AND(C$91/C$61&gt;=$AE100,C$91/C$61&lt;=$AF100),C$91/C$61,"n/m")</f>
        <v>35.02308484349259</v>
      </c>
      <c r="D100" s="1401">
        <f t="shared" si="59"/>
        <v>86.645317284513666</v>
      </c>
      <c r="E100" s="1401">
        <f t="shared" si="59"/>
        <v>50.355335098461033</v>
      </c>
      <c r="F100" s="1401">
        <f t="shared" si="59"/>
        <v>100.91520872609749</v>
      </c>
      <c r="G100" s="1401">
        <f t="shared" si="59"/>
        <v>64.029371719266436</v>
      </c>
      <c r="H100" s="1401">
        <f t="shared" si="59"/>
        <v>29.727601349323539</v>
      </c>
      <c r="I100" s="1401">
        <f t="shared" si="59"/>
        <v>43.804469177930024</v>
      </c>
      <c r="J100" s="1401">
        <f t="shared" si="59"/>
        <v>29.428050440066126</v>
      </c>
      <c r="K100" s="1401">
        <f t="shared" si="59"/>
        <v>34.700450464451805</v>
      </c>
      <c r="L100" s="1401">
        <f t="shared" si="59"/>
        <v>38.453309854639713</v>
      </c>
      <c r="M100" s="1401">
        <f t="shared" si="59"/>
        <v>30.385197932780194</v>
      </c>
      <c r="N100" s="1401">
        <f t="shared" si="59"/>
        <v>21.173862799221478</v>
      </c>
      <c r="O100" s="1401">
        <f t="shared" si="59"/>
        <v>18.213139774638346</v>
      </c>
      <c r="P100" s="1401">
        <f t="shared" si="59"/>
        <v>12.354004308443326</v>
      </c>
      <c r="Q100" s="1401">
        <f t="shared" si="59"/>
        <v>13.414838774631122</v>
      </c>
      <c r="R100" s="1401">
        <f t="shared" si="59"/>
        <v>7.5070549406849612</v>
      </c>
      <c r="S100" s="1401">
        <f t="shared" si="59"/>
        <v>8.4294820304905791</v>
      </c>
      <c r="T100" s="1401">
        <f t="shared" si="59"/>
        <v>9.1101393946342579</v>
      </c>
      <c r="U100" s="1401">
        <f t="shared" si="59"/>
        <v>6.1197924448359293</v>
      </c>
      <c r="V100" s="1401">
        <f t="shared" si="59"/>
        <v>12.717404717176525</v>
      </c>
      <c r="W100" s="1401">
        <f t="shared" si="59"/>
        <v>24.006836303873509</v>
      </c>
      <c r="X100" s="1401" t="str">
        <f t="shared" si="59"/>
        <v>n/m</v>
      </c>
      <c r="Y100" s="1401"/>
      <c r="Z100" s="1357"/>
      <c r="AA100" s="1357"/>
      <c r="AB100" s="1357"/>
      <c r="AC100" s="1357"/>
      <c r="AE100" s="1403">
        <f t="shared" si="57"/>
        <v>0</v>
      </c>
      <c r="AF100" s="1403">
        <f t="shared" si="57"/>
        <v>150</v>
      </c>
    </row>
    <row r="101" spans="1:32" ht="11.25" customHeight="1" x14ac:dyDescent="0.25">
      <c r="A101" s="1036"/>
      <c r="C101" s="1401"/>
      <c r="D101" s="1401"/>
      <c r="E101" s="1401"/>
      <c r="F101" s="1401"/>
      <c r="G101" s="1401"/>
      <c r="H101" s="1401"/>
      <c r="I101" s="1401"/>
      <c r="J101" s="1401"/>
      <c r="K101" s="1401"/>
      <c r="L101" s="1401"/>
      <c r="M101" s="1401"/>
      <c r="N101" s="1401"/>
      <c r="O101" s="1401"/>
      <c r="P101" s="1401"/>
      <c r="Q101" s="1401"/>
      <c r="R101" s="1401"/>
      <c r="S101" s="1401"/>
      <c r="T101" s="1401"/>
      <c r="U101" s="1401"/>
      <c r="V101" s="1401"/>
      <c r="W101" s="1401"/>
      <c r="X101" s="1401"/>
      <c r="AE101" s="1403"/>
      <c r="AF101" s="1403"/>
    </row>
    <row r="102" spans="1:32" ht="11.25" customHeight="1" x14ac:dyDescent="0.25">
      <c r="A102" s="1399" t="s">
        <v>1529</v>
      </c>
      <c r="C102" s="1401"/>
      <c r="D102" s="1401"/>
      <c r="E102" s="1401"/>
      <c r="F102" s="1401"/>
      <c r="G102" s="1401"/>
      <c r="H102" s="1401"/>
      <c r="I102" s="1401"/>
      <c r="J102" s="1401"/>
      <c r="K102" s="1401"/>
      <c r="L102" s="1401"/>
      <c r="M102" s="1401"/>
      <c r="N102" s="1401"/>
      <c r="O102" s="1401"/>
      <c r="P102" s="1401"/>
      <c r="Q102" s="1401"/>
      <c r="R102" s="1401"/>
      <c r="S102" s="1401"/>
      <c r="T102" s="1401"/>
      <c r="U102" s="1401"/>
      <c r="V102" s="1401"/>
      <c r="W102" s="1401"/>
      <c r="X102" s="1401"/>
      <c r="AE102" s="1403"/>
      <c r="AF102" s="1403"/>
    </row>
    <row r="103" spans="1:32" ht="11.25" customHeight="1" x14ac:dyDescent="0.25">
      <c r="A103" s="1022" t="s">
        <v>745</v>
      </c>
      <c r="C103" s="1401">
        <f t="shared" ref="C103:W103" si="60">IF(AND(C$94/D$47&gt;=$AE103,C$94/D$47&lt;=$AF103),C$94/D$47,"n/m")</f>
        <v>8.7209349219694197</v>
      </c>
      <c r="D103" s="1401">
        <f t="shared" si="60"/>
        <v>21.399437798233443</v>
      </c>
      <c r="E103" s="1401">
        <f t="shared" si="60"/>
        <v>20.966997782384421</v>
      </c>
      <c r="F103" s="1401">
        <f t="shared" si="60"/>
        <v>22.559731645434866</v>
      </c>
      <c r="G103" s="1401">
        <f t="shared" si="60"/>
        <v>13.416636339802595</v>
      </c>
      <c r="H103" s="1401">
        <f t="shared" si="60"/>
        <v>12.171799342427857</v>
      </c>
      <c r="I103" s="1401">
        <f t="shared" si="60"/>
        <v>15.959012458871195</v>
      </c>
      <c r="J103" s="1401">
        <f t="shared" si="60"/>
        <v>14.213302640072598</v>
      </c>
      <c r="K103" s="1401">
        <f t="shared" si="60"/>
        <v>22.093156124744954</v>
      </c>
      <c r="L103" s="1401">
        <f t="shared" si="60"/>
        <v>21.930894887816113</v>
      </c>
      <c r="M103" s="1401">
        <f t="shared" si="60"/>
        <v>17.695947355488421</v>
      </c>
      <c r="N103" s="1401">
        <f t="shared" si="60"/>
        <v>12.929643248939058</v>
      </c>
      <c r="O103" s="1401">
        <f t="shared" si="60"/>
        <v>9.9122545576615195</v>
      </c>
      <c r="P103" s="1401">
        <f t="shared" si="60"/>
        <v>5.7434562397897349</v>
      </c>
      <c r="Q103" s="1401">
        <f t="shared" si="60"/>
        <v>6.7548497871790874</v>
      </c>
      <c r="R103" s="1401">
        <f t="shared" si="60"/>
        <v>4.3574553805251606</v>
      </c>
      <c r="S103" s="1401">
        <f t="shared" si="60"/>
        <v>5.7686827823280389</v>
      </c>
      <c r="T103" s="1401">
        <f t="shared" si="60"/>
        <v>4.3239093495533663</v>
      </c>
      <c r="U103" s="1401">
        <f t="shared" si="60"/>
        <v>2.1888916283366333</v>
      </c>
      <c r="V103" s="1401">
        <f t="shared" si="60"/>
        <v>8.1798911826942877</v>
      </c>
      <c r="W103" s="1401">
        <f t="shared" si="60"/>
        <v>5.043918868536621</v>
      </c>
      <c r="X103" s="1401"/>
      <c r="Z103" s="1357"/>
      <c r="AA103" s="1357"/>
      <c r="AB103" s="1357"/>
      <c r="AC103" s="1357"/>
      <c r="AE103" s="1403">
        <f>AE100</f>
        <v>0</v>
      </c>
      <c r="AF103" s="1403">
        <f>AF100</f>
        <v>150</v>
      </c>
    </row>
    <row r="104" spans="1:32" ht="11.25" customHeight="1" x14ac:dyDescent="0.25">
      <c r="A104" s="1022" t="s">
        <v>1526</v>
      </c>
      <c r="C104" s="1401">
        <f t="shared" ref="C104:W104" si="61">IF(AND(C$91/D$39&gt;=$AE104,C$91/D$39&lt;=$AF104),C$91/D$39,"n/m")</f>
        <v>18.223572734805845</v>
      </c>
      <c r="D104" s="1401">
        <f t="shared" si="61"/>
        <v>40.314501827904188</v>
      </c>
      <c r="E104" s="1401">
        <f t="shared" si="61"/>
        <v>39.896330239144113</v>
      </c>
      <c r="F104" s="1401">
        <f t="shared" si="61"/>
        <v>44.61511961380662</v>
      </c>
      <c r="G104" s="1401">
        <f t="shared" si="61"/>
        <v>27.375898341714816</v>
      </c>
      <c r="H104" s="1401">
        <f t="shared" si="61"/>
        <v>23.569499759197608</v>
      </c>
      <c r="I104" s="1401">
        <f t="shared" si="61"/>
        <v>30.895094901801521</v>
      </c>
      <c r="J104" s="1401">
        <f t="shared" si="61"/>
        <v>27.322112812880576</v>
      </c>
      <c r="K104" s="1401">
        <f t="shared" si="61"/>
        <v>41.329223746242754</v>
      </c>
      <c r="L104" s="1401">
        <f t="shared" si="61"/>
        <v>39.174951815340421</v>
      </c>
      <c r="M104" s="1401">
        <f t="shared" si="61"/>
        <v>32.259402412242324</v>
      </c>
      <c r="N104" s="1401">
        <f t="shared" si="61"/>
        <v>23.63668777421924</v>
      </c>
      <c r="O104" s="1401">
        <f t="shared" si="61"/>
        <v>18.504441497356016</v>
      </c>
      <c r="P104" s="1401">
        <f t="shared" si="61"/>
        <v>10.98680663302388</v>
      </c>
      <c r="Q104" s="1401">
        <f t="shared" si="61"/>
        <v>12.877500286878158</v>
      </c>
      <c r="R104" s="1401">
        <f t="shared" si="61"/>
        <v>9.1663975150194457</v>
      </c>
      <c r="S104" s="1401">
        <f t="shared" si="61"/>
        <v>14.214519488247547</v>
      </c>
      <c r="T104" s="1401">
        <f t="shared" si="61"/>
        <v>10.652416877278725</v>
      </c>
      <c r="U104" s="1401">
        <f t="shared" si="61"/>
        <v>7.8128587106912866</v>
      </c>
      <c r="V104" s="1401">
        <f t="shared" si="61"/>
        <v>29.232493923676365</v>
      </c>
      <c r="W104" s="1401">
        <f t="shared" si="61"/>
        <v>25.080899475128554</v>
      </c>
      <c r="X104" s="1401"/>
      <c r="Z104" s="1357"/>
      <c r="AA104" s="1357"/>
      <c r="AB104" s="1357"/>
      <c r="AC104" s="1357"/>
      <c r="AE104" s="1403">
        <f t="shared" ref="AE104:AF106" si="62">AE103</f>
        <v>0</v>
      </c>
      <c r="AF104" s="1403">
        <f t="shared" si="62"/>
        <v>150</v>
      </c>
    </row>
    <row r="105" spans="1:32" ht="11.25" customHeight="1" x14ac:dyDescent="0.25">
      <c r="A105" s="1022" t="s">
        <v>1527</v>
      </c>
      <c r="C105" s="1401">
        <f t="shared" ref="C105:W105" si="63">IF(AND(C$91/D$56&gt;=$AE105,C$91/D$56&lt;=$AF105),C$91/D$56,"n/m")</f>
        <v>22.259192202987585</v>
      </c>
      <c r="D105" s="1401">
        <f t="shared" si="63"/>
        <v>46.533855442343501</v>
      </c>
      <c r="E105" s="1401">
        <f t="shared" si="63"/>
        <v>66.033872227767915</v>
      </c>
      <c r="F105" s="1401">
        <f t="shared" si="63"/>
        <v>77.007392499163259</v>
      </c>
      <c r="G105" s="1401">
        <f t="shared" si="63"/>
        <v>30.667718941569031</v>
      </c>
      <c r="H105" s="1401">
        <f t="shared" si="63"/>
        <v>28.893616038195962</v>
      </c>
      <c r="I105" s="1401">
        <f t="shared" si="63"/>
        <v>31.192446217065502</v>
      </c>
      <c r="J105" s="1401">
        <f t="shared" si="63"/>
        <v>29.315753931907171</v>
      </c>
      <c r="K105" s="1401">
        <f t="shared" si="63"/>
        <v>53.452061363487793</v>
      </c>
      <c r="L105" s="1401">
        <f t="shared" si="63"/>
        <v>44.220221858596339</v>
      </c>
      <c r="M105" s="1401">
        <f t="shared" si="63"/>
        <v>36.176068335821213</v>
      </c>
      <c r="N105" s="1401">
        <f t="shared" si="63"/>
        <v>26.124385353745613</v>
      </c>
      <c r="O105" s="1401">
        <f t="shared" si="63"/>
        <v>19.328198344918551</v>
      </c>
      <c r="P105" s="1401">
        <f t="shared" si="63"/>
        <v>11.420982831790125</v>
      </c>
      <c r="Q105" s="1401">
        <f t="shared" si="63"/>
        <v>13.49260872708405</v>
      </c>
      <c r="R105" s="1401">
        <f t="shared" si="63"/>
        <v>9.413464207364397</v>
      </c>
      <c r="S105" s="1401">
        <f t="shared" si="63"/>
        <v>12.674291881021766</v>
      </c>
      <c r="T105" s="1401">
        <f t="shared" si="63"/>
        <v>9.5642585490002698</v>
      </c>
      <c r="U105" s="1401">
        <f t="shared" si="63"/>
        <v>6.635197082700933</v>
      </c>
      <c r="V105" s="1401">
        <f t="shared" si="63"/>
        <v>22.765328251126906</v>
      </c>
      <c r="W105" s="1401">
        <f t="shared" si="63"/>
        <v>19.774330547302231</v>
      </c>
      <c r="X105" s="1401"/>
      <c r="Z105" s="1357"/>
      <c r="AA105" s="1357"/>
      <c r="AB105" s="1357"/>
      <c r="AC105" s="1357"/>
      <c r="AE105" s="1403">
        <f t="shared" si="62"/>
        <v>0</v>
      </c>
      <c r="AF105" s="1403">
        <f t="shared" si="62"/>
        <v>150</v>
      </c>
    </row>
    <row r="106" spans="1:32" ht="11.25" customHeight="1" x14ac:dyDescent="0.25">
      <c r="A106" s="1022" t="s">
        <v>1528</v>
      </c>
      <c r="C106" s="1401">
        <f t="shared" ref="C106:W106" si="64">IF(AND(C$91/D$61&gt;=$AE106,C$91/D$61&lt;=$AF106),C$91/D$61,"n/m")</f>
        <v>24.930759332855565</v>
      </c>
      <c r="D106" s="1401">
        <f t="shared" si="64"/>
        <v>36.679325252358105</v>
      </c>
      <c r="E106" s="1401">
        <f t="shared" si="64"/>
        <v>70.246767727290205</v>
      </c>
      <c r="F106" s="1401">
        <f t="shared" si="64"/>
        <v>84.987596072840404</v>
      </c>
      <c r="G106" s="1401">
        <f t="shared" si="64"/>
        <v>23.722097813951816</v>
      </c>
      <c r="H106" s="1401">
        <f t="shared" si="64"/>
        <v>22.005446580114278</v>
      </c>
      <c r="I106" s="1401">
        <f t="shared" si="64"/>
        <v>22.02317977929679</v>
      </c>
      <c r="J106" s="1401">
        <f t="shared" si="64"/>
        <v>19.686541447989768</v>
      </c>
      <c r="K106" s="1401">
        <f t="shared" si="64"/>
        <v>26.586081134304848</v>
      </c>
      <c r="L106" s="1401">
        <f t="shared" si="64"/>
        <v>36.898968235831802</v>
      </c>
      <c r="M106" s="1401">
        <f t="shared" si="64"/>
        <v>31.441959036670539</v>
      </c>
      <c r="N106" s="1401">
        <f t="shared" si="64"/>
        <v>19.239692100772281</v>
      </c>
      <c r="O106" s="1401">
        <f t="shared" si="64"/>
        <v>14.19332664633734</v>
      </c>
      <c r="P106" s="1401">
        <f t="shared" si="64"/>
        <v>9.7787196786452526</v>
      </c>
      <c r="Q106" s="1401">
        <f t="shared" si="64"/>
        <v>12.168575468011959</v>
      </c>
      <c r="R106" s="1401">
        <f t="shared" si="64"/>
        <v>8.8410120050863021</v>
      </c>
      <c r="S106" s="1401">
        <f t="shared" si="64"/>
        <v>14.197752808988765</v>
      </c>
      <c r="T106" s="1401">
        <f t="shared" si="64"/>
        <v>11.07443606654253</v>
      </c>
      <c r="U106" s="1401">
        <f t="shared" si="64"/>
        <v>7.9774980287565356</v>
      </c>
      <c r="V106" s="1401">
        <f t="shared" si="64"/>
        <v>49.586563146411272</v>
      </c>
      <c r="W106" s="1401" t="str">
        <f t="shared" si="64"/>
        <v>n/m</v>
      </c>
      <c r="X106" s="1401"/>
      <c r="Z106" s="1357"/>
      <c r="AA106" s="1357"/>
      <c r="AB106" s="1357"/>
      <c r="AC106" s="1357"/>
      <c r="AE106" s="1403">
        <f t="shared" si="62"/>
        <v>0</v>
      </c>
      <c r="AF106" s="1403">
        <f t="shared" si="62"/>
        <v>150</v>
      </c>
    </row>
    <row r="107" spans="1:32" ht="11.25" customHeight="1" x14ac:dyDescent="0.25">
      <c r="C107" s="1392"/>
      <c r="D107" s="1392"/>
      <c r="E107" s="1392"/>
      <c r="F107" s="1392"/>
      <c r="G107" s="1392"/>
      <c r="H107" s="1392"/>
      <c r="I107" s="1392"/>
      <c r="J107" s="1392"/>
      <c r="K107" s="1392"/>
      <c r="L107" s="1392"/>
      <c r="M107" s="1392"/>
      <c r="N107" s="1392"/>
      <c r="O107" s="1392"/>
      <c r="P107" s="1392"/>
      <c r="Q107" s="1392"/>
      <c r="R107" s="1392"/>
      <c r="S107" s="1392"/>
      <c r="T107" s="1392"/>
      <c r="U107" s="1392"/>
      <c r="V107" s="1392"/>
      <c r="W107" s="1392"/>
      <c r="X107" s="1392"/>
      <c r="AC107" s="1404"/>
    </row>
    <row r="108" spans="1:32" ht="11.25" hidden="1" customHeight="1" outlineLevel="1" x14ac:dyDescent="0.3">
      <c r="A108" s="1385" t="s">
        <v>1530</v>
      </c>
      <c r="C108" s="1392"/>
      <c r="D108" s="1392"/>
      <c r="E108" s="1392"/>
      <c r="F108" s="1392"/>
      <c r="G108" s="1392"/>
      <c r="H108" s="1392"/>
      <c r="I108" s="1392"/>
      <c r="J108" s="1392"/>
      <c r="K108" s="1392"/>
      <c r="L108" s="1392"/>
      <c r="M108" s="1392"/>
      <c r="N108" s="1392"/>
      <c r="O108" s="1392"/>
      <c r="P108" s="1392"/>
      <c r="Q108" s="1392"/>
      <c r="R108" s="1392"/>
      <c r="S108" s="1392"/>
      <c r="T108" s="1392"/>
      <c r="U108" s="1392"/>
      <c r="V108" s="1392"/>
      <c r="W108" s="1392"/>
      <c r="X108" s="1392"/>
      <c r="AC108" s="1405"/>
    </row>
    <row r="109" spans="1:32" ht="11.25" hidden="1" customHeight="1" outlineLevel="1" x14ac:dyDescent="0.3">
      <c r="A109" s="1015" t="s">
        <v>1531</v>
      </c>
      <c r="B109" s="1082"/>
      <c r="C109" s="1406"/>
      <c r="D109" s="1406"/>
      <c r="E109" s="1406"/>
      <c r="F109" s="1406"/>
      <c r="G109" s="1406"/>
      <c r="H109" s="1407"/>
      <c r="I109" s="1406"/>
      <c r="J109" s="1406"/>
      <c r="K109" s="1406"/>
      <c r="L109" s="1406"/>
      <c r="M109" s="1406">
        <f>_xll.ciqfunctions.udf.CIQ("^SPX", "IQ_PE_EXCL_FWD", IQ_NTM,M$8)</f>
        <v>15.141265000000001</v>
      </c>
      <c r="N109" s="1406">
        <f>_xll.ciqfunctions.udf.CIQ("^SPX", "IQ_PE_EXCL_FWD", IQ_NTM,N$8)</f>
        <v>14.280092</v>
      </c>
      <c r="O109" s="1406">
        <f>_xll.ciqfunctions.udf.CIQ("^SPX", "IQ_PE_EXCL_FWD", IQ_NTM,O$8)</f>
        <v>14.683752999999999</v>
      </c>
      <c r="P109" s="1406">
        <f>_xll.ciqfunctions.udf.CIQ("^SPX", "IQ_PE_EXCL_FWD", IQ_NTM,P$8)</f>
        <v>13.167641</v>
      </c>
      <c r="Q109" s="1406">
        <f>_xll.ciqfunctions.udf.CIQ("^SPX", "IQ_PE_EXCL_FWD", IQ_NTM,Q$8)</f>
        <v>15.314943</v>
      </c>
      <c r="R109" s="1406">
        <f>_xll.ciqfunctions.udf.CIQ("^SPX", "IQ_PE_EXCL_FWD", IQ_NTM,R$8)</f>
        <v>11.888861</v>
      </c>
      <c r="S109" s="1406">
        <f>_xll.ciqfunctions.udf.CIQ("^SPX", "IQ_PE_EXCL_FWD", IQ_NTM,S$8)</f>
        <v>11.582941</v>
      </c>
      <c r="T109" s="1406">
        <f>_xll.ciqfunctions.udf.CIQ("^SPX", "IQ_PE_EXCL_FWD", IQ_NTM,T$8)</f>
        <v>13.072701</v>
      </c>
      <c r="U109" s="1406">
        <f>_xll.ciqfunctions.udf.CIQ("^SPX", "IQ_PE_EXCL_FWD", IQ_NTM,U$8)</f>
        <v>14.228688999999999</v>
      </c>
      <c r="V109" s="1406">
        <f>_xll.ciqfunctions.udf.CIQ("^SPX", "IQ_PE_EXCL_FWD", IQ_NTM,V$8)</f>
        <v>16.121513</v>
      </c>
      <c r="W109" s="1406">
        <f>_xll.ciqfunctions.udf.CIQ("^SPX", "IQ_PE_EXCL_FWD", IQ_NTM,W$8)</f>
        <v>16.182755</v>
      </c>
      <c r="X109" s="1406"/>
      <c r="Y109" s="1406"/>
      <c r="Z109" s="1357"/>
      <c r="AA109" s="1357"/>
      <c r="AB109" s="1357"/>
      <c r="AC109" s="1357"/>
    </row>
    <row r="110" spans="1:32" ht="11.25" hidden="1" customHeight="1" outlineLevel="1" x14ac:dyDescent="0.3">
      <c r="A110" s="1033" t="str">
        <f>A1&amp;" Premium / (Discount) %"</f>
        <v>LRN Premium / (Discount) %</v>
      </c>
      <c r="B110" s="1082"/>
      <c r="C110" s="1408"/>
      <c r="D110" s="1408"/>
      <c r="E110" s="1408"/>
      <c r="F110" s="1408"/>
      <c r="G110" s="1408"/>
      <c r="H110" s="1408"/>
      <c r="I110" s="1408"/>
      <c r="J110" s="1408"/>
      <c r="K110" s="1408"/>
      <c r="L110" s="1408"/>
      <c r="M110" s="1408">
        <f t="shared" ref="M110:W110" si="65">+IFERROR(M104/M109-1,"n/a")</f>
        <v>1.1305619056427796</v>
      </c>
      <c r="N110" s="1408">
        <f t="shared" si="65"/>
        <v>0.65521957241026452</v>
      </c>
      <c r="O110" s="1408">
        <f t="shared" si="65"/>
        <v>0.26019836327647416</v>
      </c>
      <c r="P110" s="1408">
        <f t="shared" si="65"/>
        <v>-0.16562073396260724</v>
      </c>
      <c r="Q110" s="1408">
        <f t="shared" si="65"/>
        <v>-0.15915454031541887</v>
      </c>
      <c r="R110" s="1408">
        <f t="shared" si="65"/>
        <v>-0.22899279291603747</v>
      </c>
      <c r="S110" s="1408">
        <f t="shared" si="65"/>
        <v>0.22719432726520372</v>
      </c>
      <c r="T110" s="1408">
        <f t="shared" si="65"/>
        <v>-0.18514032583788731</v>
      </c>
      <c r="U110" s="1408">
        <f t="shared" si="65"/>
        <v>-0.4509080414442056</v>
      </c>
      <c r="V110" s="1408">
        <f t="shared" si="65"/>
        <v>0.81325995417901309</v>
      </c>
      <c r="W110" s="1408">
        <f t="shared" si="65"/>
        <v>0.54985349992189536</v>
      </c>
      <c r="X110" s="1408"/>
      <c r="Y110" s="1408"/>
      <c r="Z110" s="1409"/>
      <c r="AA110" s="1409"/>
      <c r="AB110" s="1409"/>
      <c r="AC110" s="1409"/>
    </row>
    <row r="111" spans="1:32" ht="11.25" hidden="1" customHeight="1" outlineLevel="1" x14ac:dyDescent="0.25">
      <c r="C111" s="1392"/>
      <c r="D111" s="1392"/>
      <c r="E111" s="1392"/>
      <c r="F111" s="1392"/>
      <c r="G111" s="1392"/>
      <c r="H111" s="1392"/>
      <c r="I111" s="1392"/>
      <c r="J111" s="1392"/>
      <c r="K111" s="1392"/>
      <c r="L111" s="1392"/>
      <c r="M111" s="1392"/>
      <c r="N111" s="1392"/>
      <c r="O111" s="1392"/>
      <c r="P111" s="1392"/>
      <c r="Q111" s="1392"/>
      <c r="R111" s="1392"/>
      <c r="S111" s="1392"/>
      <c r="T111" s="1392"/>
      <c r="U111" s="1392"/>
      <c r="V111" s="1392"/>
      <c r="W111" s="1392"/>
      <c r="X111" s="1392"/>
    </row>
    <row r="112" spans="1:32" ht="11.25" customHeight="1" collapsed="1" x14ac:dyDescent="0.25">
      <c r="A112" s="1391" t="s">
        <v>1532</v>
      </c>
      <c r="B112" s="1341"/>
      <c r="C112" s="1392"/>
      <c r="D112" s="1392"/>
      <c r="E112" s="1392"/>
      <c r="F112" s="1392"/>
      <c r="G112" s="1392"/>
      <c r="H112" s="1392"/>
      <c r="I112" s="1392"/>
      <c r="J112" s="1392"/>
      <c r="K112" s="1392"/>
      <c r="L112" s="1392"/>
      <c r="M112" s="1392"/>
      <c r="N112" s="1392"/>
      <c r="O112" s="1392"/>
      <c r="P112" s="1392"/>
      <c r="Q112" s="1392"/>
      <c r="R112" s="1392"/>
      <c r="S112" s="1392"/>
      <c r="T112" s="1392"/>
      <c r="U112" s="1392"/>
      <c r="V112" s="1392"/>
      <c r="W112" s="1392"/>
      <c r="X112" s="1392"/>
    </row>
    <row r="113" spans="1:29" ht="11.25" customHeight="1" x14ac:dyDescent="0.25">
      <c r="A113" s="997"/>
      <c r="C113" s="1392"/>
      <c r="D113" s="1392"/>
      <c r="E113" s="1392"/>
      <c r="F113" s="1392"/>
      <c r="G113" s="1392"/>
      <c r="H113" s="1392"/>
      <c r="I113" s="1392"/>
      <c r="J113" s="1392"/>
      <c r="K113" s="1392"/>
      <c r="L113" s="1392"/>
      <c r="M113" s="1392"/>
      <c r="N113" s="1392"/>
      <c r="O113" s="1392"/>
      <c r="P113" s="1392"/>
      <c r="Q113" s="1392"/>
      <c r="R113" s="1392"/>
      <c r="S113" s="1392"/>
      <c r="T113" s="1392"/>
      <c r="U113" s="1392"/>
      <c r="V113" s="1392"/>
      <c r="W113" s="1392"/>
      <c r="X113" s="1392"/>
    </row>
    <row r="114" spans="1:29" ht="11.25" hidden="1" customHeight="1" outlineLevel="1" x14ac:dyDescent="0.25">
      <c r="A114" s="995" t="s">
        <v>1458</v>
      </c>
      <c r="C114" s="1410">
        <f t="shared" ref="C114:X114" si="66">C89</f>
        <v>2.46</v>
      </c>
      <c r="D114" s="1410">
        <f t="shared" si="66"/>
        <v>7.7</v>
      </c>
      <c r="E114" s="1410">
        <f t="shared" si="66"/>
        <v>10.44</v>
      </c>
      <c r="F114" s="1410">
        <f t="shared" si="66"/>
        <v>14.74</v>
      </c>
      <c r="G114" s="1410">
        <f t="shared" si="66"/>
        <v>11.14</v>
      </c>
      <c r="H114" s="1410">
        <f t="shared" si="66"/>
        <v>14.36</v>
      </c>
      <c r="I114" s="1410">
        <f t="shared" si="66"/>
        <v>28.33</v>
      </c>
      <c r="J114" s="1410">
        <f t="shared" si="66"/>
        <v>37.49</v>
      </c>
      <c r="K114" s="1410">
        <f t="shared" si="66"/>
        <v>65.36</v>
      </c>
      <c r="L114" s="1410">
        <f t="shared" si="66"/>
        <v>93.86</v>
      </c>
      <c r="M114" s="1410">
        <f t="shared" si="66"/>
        <v>74.319999999999993</v>
      </c>
      <c r="N114" s="1410">
        <f t="shared" si="66"/>
        <v>52.85</v>
      </c>
      <c r="O114" s="1410">
        <f t="shared" si="66"/>
        <v>50.78</v>
      </c>
      <c r="P114" s="1410">
        <f t="shared" si="66"/>
        <v>46.26</v>
      </c>
      <c r="Q114" s="1410">
        <f t="shared" si="66"/>
        <v>65.989999999999995</v>
      </c>
      <c r="R114" s="1410">
        <f t="shared" si="66"/>
        <v>42.47</v>
      </c>
      <c r="S114" s="1410">
        <f t="shared" si="66"/>
        <v>43.68</v>
      </c>
      <c r="T114" s="1410">
        <f t="shared" si="66"/>
        <v>32.47</v>
      </c>
      <c r="U114" s="1410">
        <f t="shared" si="66"/>
        <v>19.38</v>
      </c>
      <c r="V114" s="1410">
        <f t="shared" si="66"/>
        <v>31.08</v>
      </c>
      <c r="W114" s="1410">
        <f t="shared" si="66"/>
        <v>15.54</v>
      </c>
      <c r="X114" s="1410">
        <f t="shared" si="66"/>
        <v>9.0500000000000007</v>
      </c>
      <c r="Y114" s="1410"/>
      <c r="Z114" s="1357"/>
      <c r="AA114" s="1357"/>
      <c r="AB114" s="1357"/>
      <c r="AC114" s="1357"/>
    </row>
    <row r="115" spans="1:29" ht="11.25" hidden="1" customHeight="1" outlineLevel="1" x14ac:dyDescent="0.3">
      <c r="A115" s="1015" t="s">
        <v>1533</v>
      </c>
      <c r="C115" s="1392"/>
      <c r="D115" s="1392">
        <f t="shared" ref="D115:X115" si="67">IFERROR(D114/C114-1,"n/a")</f>
        <v>2.1300813008130084</v>
      </c>
      <c r="E115" s="1392">
        <f t="shared" si="67"/>
        <v>0.35584415584415585</v>
      </c>
      <c r="F115" s="1392">
        <f t="shared" si="67"/>
        <v>0.41187739463601547</v>
      </c>
      <c r="G115" s="1392">
        <f t="shared" si="67"/>
        <v>-0.24423337856173677</v>
      </c>
      <c r="H115" s="1392">
        <f t="shared" si="67"/>
        <v>0.28904847396768396</v>
      </c>
      <c r="I115" s="1392">
        <f t="shared" si="67"/>
        <v>0.97284122562674091</v>
      </c>
      <c r="J115" s="1392">
        <f t="shared" si="67"/>
        <v>0.32333215672432059</v>
      </c>
      <c r="K115" s="1392">
        <f t="shared" si="67"/>
        <v>0.7433982395305414</v>
      </c>
      <c r="L115" s="1392">
        <f t="shared" si="67"/>
        <v>0.43604651162790709</v>
      </c>
      <c r="M115" s="1392">
        <f t="shared" si="67"/>
        <v>-0.20818239931813343</v>
      </c>
      <c r="N115" s="1392">
        <f t="shared" si="67"/>
        <v>-0.28888589881593107</v>
      </c>
      <c r="O115" s="1392">
        <f t="shared" si="67"/>
        <v>-3.9167455061494771E-2</v>
      </c>
      <c r="P115" s="1392">
        <f t="shared" si="67"/>
        <v>-8.9011421819614078E-2</v>
      </c>
      <c r="Q115" s="1392">
        <f t="shared" si="67"/>
        <v>0.42650237786424561</v>
      </c>
      <c r="R115" s="1392">
        <f t="shared" si="67"/>
        <v>-0.35641763903621759</v>
      </c>
      <c r="S115" s="1392">
        <f t="shared" si="67"/>
        <v>2.8490699317164969E-2</v>
      </c>
      <c r="T115" s="1392">
        <f t="shared" si="67"/>
        <v>-0.25663919413919412</v>
      </c>
      <c r="U115" s="1392">
        <f t="shared" si="67"/>
        <v>-0.40314136125654454</v>
      </c>
      <c r="V115" s="1392">
        <f t="shared" si="67"/>
        <v>0.60371517027863786</v>
      </c>
      <c r="W115" s="1392">
        <f t="shared" si="67"/>
        <v>-0.5</v>
      </c>
      <c r="X115" s="1392">
        <f t="shared" si="67"/>
        <v>-0.41763191763191754</v>
      </c>
      <c r="Y115" s="1392"/>
      <c r="Z115" s="1357"/>
      <c r="AA115" s="1357"/>
      <c r="AB115" s="1357"/>
      <c r="AC115" s="1357"/>
    </row>
    <row r="116" spans="1:29" ht="11.25" hidden="1" customHeight="1" outlineLevel="1" x14ac:dyDescent="0.3">
      <c r="A116" s="1015"/>
      <c r="C116" s="1392"/>
      <c r="D116" s="1392"/>
      <c r="E116" s="1392"/>
      <c r="F116" s="1392"/>
      <c r="G116" s="1392"/>
      <c r="H116" s="1392"/>
      <c r="I116" s="1392"/>
      <c r="J116" s="1392"/>
      <c r="K116" s="1392"/>
      <c r="L116" s="1392"/>
      <c r="M116" s="1392"/>
      <c r="N116" s="1392"/>
      <c r="O116" s="1392"/>
      <c r="P116" s="1392"/>
      <c r="Q116" s="1392"/>
      <c r="R116" s="1392"/>
      <c r="S116" s="1392"/>
      <c r="T116" s="1392"/>
      <c r="U116" s="1392"/>
      <c r="V116" s="1392"/>
      <c r="W116" s="1392"/>
      <c r="X116" s="1392"/>
      <c r="Y116" s="1392"/>
      <c r="Z116" s="1357"/>
      <c r="AA116" s="1357"/>
      <c r="AB116" s="1357"/>
      <c r="AC116" s="1357"/>
    </row>
    <row r="117" spans="1:29" ht="11.25" customHeight="1" collapsed="1" x14ac:dyDescent="0.25">
      <c r="A117" s="995" t="str">
        <f>+A114</f>
        <v>Share Price</v>
      </c>
      <c r="C117" s="1393">
        <f>+C114</f>
        <v>2.46</v>
      </c>
      <c r="D117" s="1393">
        <f t="shared" ref="D117:X117" si="68">+D114</f>
        <v>7.7</v>
      </c>
      <c r="E117" s="1393">
        <f t="shared" si="68"/>
        <v>10.44</v>
      </c>
      <c r="F117" s="1393">
        <f t="shared" si="68"/>
        <v>14.74</v>
      </c>
      <c r="G117" s="1393">
        <f t="shared" si="68"/>
        <v>11.14</v>
      </c>
      <c r="H117" s="1393">
        <f t="shared" si="68"/>
        <v>14.36</v>
      </c>
      <c r="I117" s="1393">
        <f t="shared" si="68"/>
        <v>28.33</v>
      </c>
      <c r="J117" s="1393">
        <f t="shared" si="68"/>
        <v>37.49</v>
      </c>
      <c r="K117" s="1393">
        <f t="shared" si="68"/>
        <v>65.36</v>
      </c>
      <c r="L117" s="1393">
        <f t="shared" si="68"/>
        <v>93.86</v>
      </c>
      <c r="M117" s="1393">
        <f t="shared" si="68"/>
        <v>74.319999999999993</v>
      </c>
      <c r="N117" s="1393">
        <f t="shared" si="68"/>
        <v>52.85</v>
      </c>
      <c r="O117" s="1393">
        <f t="shared" si="68"/>
        <v>50.78</v>
      </c>
      <c r="P117" s="1393">
        <f t="shared" si="68"/>
        <v>46.26</v>
      </c>
      <c r="Q117" s="1393">
        <f t="shared" si="68"/>
        <v>65.989999999999995</v>
      </c>
      <c r="R117" s="1393">
        <f t="shared" si="68"/>
        <v>42.47</v>
      </c>
      <c r="S117" s="1393">
        <f t="shared" si="68"/>
        <v>43.68</v>
      </c>
      <c r="T117" s="1393">
        <f t="shared" si="68"/>
        <v>32.47</v>
      </c>
      <c r="U117" s="1393">
        <f t="shared" si="68"/>
        <v>19.38</v>
      </c>
      <c r="V117" s="1393">
        <f t="shared" si="68"/>
        <v>31.08</v>
      </c>
      <c r="W117" s="1393">
        <f t="shared" si="68"/>
        <v>15.54</v>
      </c>
      <c r="X117" s="1393">
        <f t="shared" si="68"/>
        <v>9.0500000000000007</v>
      </c>
      <c r="Y117" s="1393"/>
      <c r="Z117" s="1357"/>
      <c r="AA117" s="1357"/>
      <c r="AB117" s="1357"/>
      <c r="AC117" s="1357"/>
    </row>
    <row r="118" spans="1:29" ht="11.25" customHeight="1" x14ac:dyDescent="0.3">
      <c r="A118" s="1015" t="s">
        <v>1533</v>
      </c>
      <c r="C118" s="1392"/>
      <c r="D118" s="1392">
        <f t="shared" ref="D118:X118" si="69">IFERROR(D117/C117-1,"n/a")</f>
        <v>2.1300813008130084</v>
      </c>
      <c r="E118" s="1392">
        <f t="shared" si="69"/>
        <v>0.35584415584415585</v>
      </c>
      <c r="F118" s="1392">
        <f t="shared" si="69"/>
        <v>0.41187739463601547</v>
      </c>
      <c r="G118" s="1392">
        <f t="shared" si="69"/>
        <v>-0.24423337856173677</v>
      </c>
      <c r="H118" s="1392">
        <f t="shared" si="69"/>
        <v>0.28904847396768396</v>
      </c>
      <c r="I118" s="1392">
        <f t="shared" si="69"/>
        <v>0.97284122562674091</v>
      </c>
      <c r="J118" s="1392">
        <f t="shared" si="69"/>
        <v>0.32333215672432059</v>
      </c>
      <c r="K118" s="1392">
        <f t="shared" si="69"/>
        <v>0.7433982395305414</v>
      </c>
      <c r="L118" s="1392">
        <f t="shared" si="69"/>
        <v>0.43604651162790709</v>
      </c>
      <c r="M118" s="1392">
        <f t="shared" si="69"/>
        <v>-0.20818239931813343</v>
      </c>
      <c r="N118" s="1392">
        <f t="shared" si="69"/>
        <v>-0.28888589881593107</v>
      </c>
      <c r="O118" s="1392">
        <f t="shared" si="69"/>
        <v>-3.9167455061494771E-2</v>
      </c>
      <c r="P118" s="1392">
        <f t="shared" si="69"/>
        <v>-8.9011421819614078E-2</v>
      </c>
      <c r="Q118" s="1392">
        <f t="shared" si="69"/>
        <v>0.42650237786424561</v>
      </c>
      <c r="R118" s="1392">
        <f t="shared" si="69"/>
        <v>-0.35641763903621759</v>
      </c>
      <c r="S118" s="1392">
        <f t="shared" si="69"/>
        <v>2.8490699317164969E-2</v>
      </c>
      <c r="T118" s="1392">
        <f t="shared" si="69"/>
        <v>-0.25663919413919412</v>
      </c>
      <c r="U118" s="1392">
        <f t="shared" si="69"/>
        <v>-0.40314136125654454</v>
      </c>
      <c r="V118" s="1392">
        <f t="shared" si="69"/>
        <v>0.60371517027863786</v>
      </c>
      <c r="W118" s="1392">
        <f t="shared" si="69"/>
        <v>-0.5</v>
      </c>
      <c r="X118" s="1392">
        <f t="shared" si="69"/>
        <v>-0.41763191763191754</v>
      </c>
      <c r="Y118" s="1392"/>
      <c r="Z118" s="1357"/>
      <c r="AA118" s="1357"/>
      <c r="AB118" s="1357"/>
      <c r="AC118" s="1357"/>
    </row>
    <row r="119" spans="1:29" ht="11.25" customHeight="1" x14ac:dyDescent="0.25">
      <c r="C119" s="1392"/>
      <c r="D119" s="1392"/>
      <c r="E119" s="1392"/>
      <c r="F119" s="1392"/>
      <c r="G119" s="1392"/>
      <c r="H119" s="1392"/>
      <c r="I119" s="1392"/>
      <c r="J119" s="1392"/>
      <c r="K119" s="1392"/>
      <c r="L119" s="1392"/>
      <c r="M119" s="1392"/>
      <c r="N119" s="1392"/>
      <c r="O119" s="1392"/>
      <c r="P119" s="1392"/>
      <c r="Q119" s="1392"/>
      <c r="R119" s="1392"/>
      <c r="S119" s="1392"/>
      <c r="T119" s="1392"/>
      <c r="U119" s="1392"/>
      <c r="V119" s="1392"/>
      <c r="W119" s="1392"/>
      <c r="X119" s="1392"/>
    </row>
    <row r="120" spans="1:29" ht="11.25" customHeight="1" x14ac:dyDescent="0.3">
      <c r="A120" s="1385" t="s">
        <v>1530</v>
      </c>
      <c r="C120" s="1392"/>
      <c r="D120" s="1392"/>
      <c r="E120" s="1392"/>
      <c r="F120" s="1392"/>
      <c r="G120" s="1392"/>
      <c r="H120" s="1392"/>
      <c r="I120" s="1392"/>
      <c r="J120" s="1392"/>
      <c r="K120" s="1392"/>
      <c r="L120" s="1392"/>
      <c r="M120" s="1392"/>
      <c r="N120" s="1392"/>
      <c r="O120" s="1392"/>
      <c r="P120" s="1392"/>
      <c r="Q120" s="1392"/>
      <c r="R120" s="1392"/>
      <c r="S120" s="1392"/>
      <c r="T120" s="1392"/>
      <c r="U120" s="1392"/>
      <c r="V120" s="1392"/>
      <c r="W120" s="1392"/>
      <c r="X120" s="1392"/>
    </row>
    <row r="121" spans="1:29" ht="11.25" customHeight="1" x14ac:dyDescent="0.3">
      <c r="A121" s="1015" t="s">
        <v>1534</v>
      </c>
      <c r="B121" s="1082"/>
      <c r="C121" s="1411">
        <f>_xll.ciqfunctions.udf.CIQ("IQT46156517", "IQ_LASTSALEPRICE",C$8)</f>
        <v>716.81529796248697</v>
      </c>
      <c r="D121" s="1411">
        <f>_xll.ciqfunctions.udf.CIQ("IQT46156517", "IQ_LASTSALEPRICE",D$8)</f>
        <v>851.064013748457</v>
      </c>
      <c r="E121" s="1411">
        <f>_xll.ciqfunctions.udf.CIQ("IQT46156517", "IQ_LASTSALEPRICE",E$8)</f>
        <v>1197.0070467519599</v>
      </c>
      <c r="F121" s="1411">
        <f>_xll.ciqfunctions.udf.CIQ("IQT46156517", "IQ_LASTSALEPRICE",F$8)</f>
        <v>1293.9035724177099</v>
      </c>
      <c r="G121" s="1411">
        <f>_xll.ciqfunctions.udf.CIQ("IQT46156517", "IQ_LASTSALEPRICE",G$8)</f>
        <v>1809.1859896716301</v>
      </c>
      <c r="H121" s="1411">
        <f>_xll.ciqfunctions.udf.CIQ("IQT46156517", "IQ_LASTSALEPRICE",H$8)</f>
        <v>2104.4322974838301</v>
      </c>
      <c r="I121" s="1411">
        <f>_xll.ciqfunctions.udf.CIQ("IQT46156517", "IQ_LASTSALEPRICE",I$8)</f>
        <v>1591.18193080129</v>
      </c>
      <c r="J121" s="1411">
        <f>_xll.ciqfunctions.udf.CIQ("IQT46156517", "IQ_LASTSALEPRICE",J$8)</f>
        <v>1304.85527951567</v>
      </c>
      <c r="K121" s="1411">
        <f>_xll.ciqfunctions.udf.CIQ("IQT46156517", "IQ_LASTSALEPRICE",K$8)</f>
        <v>1462.3015310072899</v>
      </c>
      <c r="L121" s="1411">
        <f>_xll.ciqfunctions.udf.CIQ("IQT46156517", "IQ_LASTSALEPRICE",L$8)</f>
        <v>1629.8280194076201</v>
      </c>
      <c r="M121" s="1411">
        <f>_xll.ciqfunctions.udf.CIQ("IQT46156517", "IQ_LASTSALEPRICE",M$8)</f>
        <v>1834.47598496455</v>
      </c>
      <c r="N121" s="1411">
        <f>_xll.ciqfunctions.udf.CIQ("IQT46156517", "IQ_LASTSALEPRICE",N$8)</f>
        <v>1997.41526302173</v>
      </c>
      <c r="O121" s="1411">
        <f>_xll.ciqfunctions.udf.CIQ("IQT46156517", "IQ_LASTSALEPRICE",O$8)</f>
        <v>2299.7135523361098</v>
      </c>
      <c r="P121" s="1411">
        <f>_xll.ciqfunctions.udf.CIQ("IQT46156517", "IQ_LASTSALEPRICE",P$8)</f>
        <v>2043.5319494631899</v>
      </c>
      <c r="Q121" s="1411">
        <f>_xll.ciqfunctions.udf.CIQ("IQT46156517", "IQ_LASTSALEPRICE",Q$8)</f>
        <v>1670.52332065985</v>
      </c>
      <c r="R121" s="1411">
        <f>_xll.ciqfunctions.udf.CIQ("IQT46156517", "IQ_LASTSALEPRICE",R$8)</f>
        <v>1752.5458831308499</v>
      </c>
      <c r="S121" s="1411">
        <f>_xll.ciqfunctions.udf.CIQ("IQT46156517", "IQ_LASTSALEPRICE",S$8)</f>
        <v>2076.7841692920902</v>
      </c>
      <c r="T121" s="1411">
        <f>_xll.ciqfunctions.udf.CIQ("IQT46156517", "IQ_LASTSALEPRICE",T$8)</f>
        <v>2450.5981464176102</v>
      </c>
      <c r="U121" s="1411">
        <f>_xll.ciqfunctions.udf.CIQ("IQT46156517", "IQ_LASTSALEPRICE",U$8)</f>
        <v>2908.9552150088002</v>
      </c>
      <c r="V121" s="1411">
        <f>_xll.ciqfunctions.udf.CIQ("IQT46156517", "IQ_LASTSALEPRICE",V$8)</f>
        <v>3643.3392824913599</v>
      </c>
      <c r="W121" s="1411">
        <f>_xll.ciqfunctions.udf.CIQ("IQT46156517", "IQ_LASTSALEPRICE",W$8)</f>
        <v>3660.7511493502102</v>
      </c>
      <c r="X121" s="1411">
        <f>_xll.ciqfunctions.udf.CIQ("IQT46156517", "IQ_LASTSALEPRICE",X$8)</f>
        <v>4120.2854114381898</v>
      </c>
      <c r="Y121" s="1411"/>
      <c r="Z121" s="1357"/>
      <c r="AA121" s="1357"/>
      <c r="AB121" s="1357"/>
      <c r="AC121" s="1357"/>
    </row>
    <row r="122" spans="1:29" ht="11.25" customHeight="1" x14ac:dyDescent="0.3">
      <c r="A122" s="1033" t="s">
        <v>1533</v>
      </c>
      <c r="B122" s="1082"/>
      <c r="C122" s="1392"/>
      <c r="D122" s="1392">
        <f t="shared" ref="D122:X122" si="70">IFERROR(D121/C121-1,"n/a")</f>
        <v>0.18728494797413719</v>
      </c>
      <c r="E122" s="1392">
        <f t="shared" si="70"/>
        <v>0.40648297591601712</v>
      </c>
      <c r="F122" s="1392">
        <f t="shared" si="70"/>
        <v>8.0949001869851545E-2</v>
      </c>
      <c r="G122" s="1392">
        <f t="shared" si="70"/>
        <v>0.39823865413022586</v>
      </c>
      <c r="H122" s="1392">
        <f t="shared" si="70"/>
        <v>0.16319289973375684</v>
      </c>
      <c r="I122" s="1392">
        <f t="shared" si="70"/>
        <v>-0.24389017755344722</v>
      </c>
      <c r="J122" s="1392">
        <f t="shared" si="70"/>
        <v>-0.17994589163128016</v>
      </c>
      <c r="K122" s="1392">
        <f t="shared" si="70"/>
        <v>0.12066184960378146</v>
      </c>
      <c r="L122" s="1392">
        <f t="shared" si="70"/>
        <v>0.11456357314002918</v>
      </c>
      <c r="M122" s="1392">
        <f t="shared" si="70"/>
        <v>0.12556414733335575</v>
      </c>
      <c r="N122" s="1392">
        <f t="shared" si="70"/>
        <v>8.8820611113275882E-2</v>
      </c>
      <c r="O122" s="1392">
        <f t="shared" si="70"/>
        <v>0.15134473782735447</v>
      </c>
      <c r="P122" s="1392">
        <f t="shared" si="70"/>
        <v>-0.11139717927595105</v>
      </c>
      <c r="Q122" s="1392">
        <f t="shared" si="70"/>
        <v>-0.18253134182772357</v>
      </c>
      <c r="R122" s="1392">
        <f t="shared" si="70"/>
        <v>4.9099920639600114E-2</v>
      </c>
      <c r="S122" s="1392">
        <f t="shared" si="70"/>
        <v>0.18500987008796721</v>
      </c>
      <c r="T122" s="1392">
        <f t="shared" si="70"/>
        <v>0.1799965459352193</v>
      </c>
      <c r="U122" s="1392">
        <f t="shared" si="70"/>
        <v>0.18703885386563113</v>
      </c>
      <c r="V122" s="1392">
        <f t="shared" si="70"/>
        <v>0.25245629898098576</v>
      </c>
      <c r="W122" s="1392">
        <f t="shared" si="70"/>
        <v>4.7790956341962065E-3</v>
      </c>
      <c r="X122" s="1392">
        <f t="shared" si="70"/>
        <v>0.12553004652325184</v>
      </c>
      <c r="Y122" s="1392"/>
      <c r="Z122" s="1357"/>
      <c r="AA122" s="1357"/>
      <c r="AB122" s="1357"/>
      <c r="AC122" s="1357"/>
    </row>
    <row r="123" spans="1:29" ht="11.25" customHeight="1" x14ac:dyDescent="0.25">
      <c r="C123" s="1392"/>
      <c r="D123" s="1392"/>
      <c r="E123" s="1392"/>
      <c r="F123" s="1392"/>
      <c r="G123" s="1392"/>
      <c r="H123" s="1392"/>
      <c r="I123" s="1392"/>
      <c r="J123" s="1392"/>
      <c r="K123" s="1392"/>
      <c r="L123" s="1392"/>
      <c r="M123" s="1392"/>
      <c r="N123" s="1392"/>
      <c r="O123" s="1392"/>
      <c r="P123" s="1392"/>
      <c r="Q123" s="1392"/>
      <c r="R123" s="1392"/>
      <c r="S123" s="1392"/>
      <c r="T123" s="1392"/>
      <c r="U123" s="1392"/>
      <c r="V123" s="1392"/>
      <c r="W123" s="1392"/>
      <c r="X123" s="1392"/>
    </row>
    <row r="124" spans="1:29" ht="11.25" customHeight="1" x14ac:dyDescent="0.25">
      <c r="A124" s="995" t="s">
        <v>1535</v>
      </c>
      <c r="C124" s="1392"/>
      <c r="D124" s="1392"/>
      <c r="E124" s="1392"/>
      <c r="F124" s="1392"/>
      <c r="G124" s="1392"/>
      <c r="H124" s="1392"/>
      <c r="I124" s="1392"/>
      <c r="J124" s="1392"/>
      <c r="K124" s="1392"/>
      <c r="L124" s="1392"/>
      <c r="M124" s="1392"/>
      <c r="N124" s="1392"/>
      <c r="O124" s="1392"/>
      <c r="P124" s="1392"/>
      <c r="Q124" s="1392"/>
      <c r="R124" s="1392"/>
      <c r="S124" s="1392"/>
      <c r="T124" s="1392"/>
      <c r="U124" s="1392"/>
      <c r="V124" s="1392"/>
      <c r="W124" s="1392"/>
      <c r="X124" s="1392"/>
    </row>
    <row r="125" spans="1:29" ht="11.25" customHeight="1" x14ac:dyDescent="0.25">
      <c r="A125" s="1036" t="s">
        <v>1536</v>
      </c>
      <c r="C125" s="1357">
        <f t="shared" ref="C125:W125" si="71">+IFERROR((D117/C117)^(1/1)-1,"n/a ")</f>
        <v>2.1300813008130084</v>
      </c>
      <c r="D125" s="1357">
        <f t="shared" si="71"/>
        <v>0.35584415584415585</v>
      </c>
      <c r="E125" s="1357">
        <f t="shared" si="71"/>
        <v>0.41187739463601547</v>
      </c>
      <c r="F125" s="1357">
        <f t="shared" si="71"/>
        <v>-0.24423337856173677</v>
      </c>
      <c r="G125" s="1357">
        <f t="shared" si="71"/>
        <v>0.28904847396768396</v>
      </c>
      <c r="H125" s="1357">
        <f t="shared" si="71"/>
        <v>0.97284122562674091</v>
      </c>
      <c r="I125" s="1357">
        <f t="shared" si="71"/>
        <v>0.32333215672432059</v>
      </c>
      <c r="J125" s="1357">
        <f t="shared" si="71"/>
        <v>0.7433982395305414</v>
      </c>
      <c r="K125" s="1357">
        <f t="shared" si="71"/>
        <v>0.43604651162790709</v>
      </c>
      <c r="L125" s="1357">
        <f t="shared" si="71"/>
        <v>-0.20818239931813343</v>
      </c>
      <c r="M125" s="1357">
        <f t="shared" si="71"/>
        <v>-0.28888589881593107</v>
      </c>
      <c r="N125" s="1357">
        <f t="shared" si="71"/>
        <v>-3.9167455061494771E-2</v>
      </c>
      <c r="O125" s="1357">
        <f t="shared" si="71"/>
        <v>-8.9011421819614078E-2</v>
      </c>
      <c r="P125" s="1357">
        <f t="shared" si="71"/>
        <v>0.42650237786424561</v>
      </c>
      <c r="Q125" s="1357">
        <f t="shared" si="71"/>
        <v>-0.35641763903621759</v>
      </c>
      <c r="R125" s="1357">
        <f t="shared" si="71"/>
        <v>2.8490699317164969E-2</v>
      </c>
      <c r="S125" s="1357">
        <f t="shared" si="71"/>
        <v>-0.25663919413919412</v>
      </c>
      <c r="T125" s="1357">
        <f t="shared" si="71"/>
        <v>-0.40314136125654454</v>
      </c>
      <c r="U125" s="1357">
        <f t="shared" si="71"/>
        <v>0.60371517027863786</v>
      </c>
      <c r="V125" s="1357">
        <f t="shared" si="71"/>
        <v>-0.5</v>
      </c>
      <c r="W125" s="1357">
        <f t="shared" si="71"/>
        <v>-0.41763191763191754</v>
      </c>
      <c r="X125" s="1357" t="str">
        <f>+IFERROR((#REF!/X117)^(1/1)-1,"n/a ")</f>
        <v xml:space="preserve">n/a </v>
      </c>
      <c r="Y125" s="1357"/>
      <c r="Z125" s="1357"/>
      <c r="AA125" s="1357"/>
      <c r="AB125" s="1357"/>
      <c r="AC125" s="1357"/>
    </row>
    <row r="126" spans="1:29" ht="11.25" customHeight="1" x14ac:dyDescent="0.25">
      <c r="A126" s="1036" t="s">
        <v>1537</v>
      </c>
      <c r="C126" s="1357">
        <f t="shared" ref="C126:U126" si="72">+IFERROR((F117/C117)^(1/3)-1,"n/a ")</f>
        <v>0.81629948083925741</v>
      </c>
      <c r="D126" s="1357">
        <f t="shared" si="72"/>
        <v>0.13100577348229225</v>
      </c>
      <c r="E126" s="1357">
        <f t="shared" si="72"/>
        <v>0.11211913630570192</v>
      </c>
      <c r="F126" s="1357">
        <f t="shared" si="72"/>
        <v>0.2433203165794271</v>
      </c>
      <c r="G126" s="1357">
        <f t="shared" si="72"/>
        <v>0.49856901896542083</v>
      </c>
      <c r="H126" s="1357">
        <f t="shared" si="72"/>
        <v>0.65724175824753606</v>
      </c>
      <c r="I126" s="1357">
        <f t="shared" si="72"/>
        <v>0.49077233630346928</v>
      </c>
      <c r="J126" s="1357">
        <f t="shared" si="72"/>
        <v>0.25621339562014023</v>
      </c>
      <c r="K126" s="1357">
        <f t="shared" si="72"/>
        <v>-6.8368174546994065E-2</v>
      </c>
      <c r="L126" s="1357">
        <f t="shared" si="72"/>
        <v>-0.18516304803678951</v>
      </c>
      <c r="M126" s="1357">
        <f t="shared" si="72"/>
        <v>-0.14617937300367589</v>
      </c>
      <c r="N126" s="1357">
        <f t="shared" si="72"/>
        <v>7.6823138295160964E-2</v>
      </c>
      <c r="O126" s="1357">
        <f t="shared" si="72"/>
        <v>-5.782873471547767E-2</v>
      </c>
      <c r="P126" s="1357">
        <f t="shared" si="72"/>
        <v>-1.8947308131984308E-2</v>
      </c>
      <c r="Q126" s="1357">
        <f t="shared" si="72"/>
        <v>-0.21053165658400952</v>
      </c>
      <c r="R126" s="1357">
        <f t="shared" si="72"/>
        <v>-0.23011858253590844</v>
      </c>
      <c r="S126" s="1357">
        <f t="shared" si="72"/>
        <v>-0.1072439674936233</v>
      </c>
      <c r="T126" s="1357">
        <f t="shared" si="72"/>
        <v>-0.21779081983653958</v>
      </c>
      <c r="U126" s="1357">
        <f t="shared" si="72"/>
        <v>-0.22417291811348183</v>
      </c>
      <c r="V126" s="1357" t="str">
        <f>+IFERROR((#REF!/V117)^(1/3)-1,"n/a ")</f>
        <v xml:space="preserve">n/a </v>
      </c>
      <c r="W126" s="1357" t="str">
        <f>+IFERROR((#REF!/W117)^(1/3)-1,"n/a ")</f>
        <v xml:space="preserve">n/a </v>
      </c>
      <c r="X126" s="1357" t="str">
        <f>+IFERROR((#REF!/X117)^(1/3)-1,"n/a ")</f>
        <v xml:space="preserve">n/a </v>
      </c>
      <c r="Y126" s="1357"/>
      <c r="Z126" s="1357"/>
      <c r="AA126" s="1357"/>
      <c r="AB126" s="1357"/>
      <c r="AC126" s="1357"/>
    </row>
    <row r="127" spans="1:29" ht="11.25" customHeight="1" x14ac:dyDescent="0.25">
      <c r="A127" s="1036" t="s">
        <v>1538</v>
      </c>
      <c r="C127" s="1357">
        <f t="shared" ref="C127:S127" si="73">+IFERROR((H117/C117)^(1/5)-1,"n/a ")</f>
        <v>0.42312768244983645</v>
      </c>
      <c r="D127" s="1357">
        <f t="shared" si="73"/>
        <v>0.29763087366780883</v>
      </c>
      <c r="E127" s="1357">
        <f t="shared" si="73"/>
        <v>0.29134709042221152</v>
      </c>
      <c r="F127" s="1357">
        <f t="shared" si="73"/>
        <v>0.34698547312768824</v>
      </c>
      <c r="G127" s="1357">
        <f t="shared" si="73"/>
        <v>0.53150730202981444</v>
      </c>
      <c r="H127" s="1357">
        <f t="shared" si="73"/>
        <v>0.38928149882123408</v>
      </c>
      <c r="I127" s="1357">
        <f t="shared" si="73"/>
        <v>0.13281680604804369</v>
      </c>
      <c r="J127" s="1357">
        <f t="shared" si="73"/>
        <v>6.2564864724776958E-2</v>
      </c>
      <c r="K127" s="1357">
        <f t="shared" si="73"/>
        <v>-6.6791433105195752E-2</v>
      </c>
      <c r="L127" s="1357">
        <f t="shared" si="73"/>
        <v>-6.8035186713966689E-2</v>
      </c>
      <c r="M127" s="1357">
        <f t="shared" si="73"/>
        <v>-0.1058810241312389</v>
      </c>
      <c r="N127" s="1357">
        <f t="shared" si="73"/>
        <v>-3.7396297893723895E-2</v>
      </c>
      <c r="O127" s="1357">
        <f t="shared" si="73"/>
        <v>-8.5554307690203446E-2</v>
      </c>
      <c r="P127" s="1357">
        <f t="shared" si="73"/>
        <v>-0.15970916091761256</v>
      </c>
      <c r="Q127" s="1357">
        <f t="shared" si="73"/>
        <v>-0.13979774571105652</v>
      </c>
      <c r="R127" s="1357">
        <f t="shared" si="73"/>
        <v>-0.1821498254704097</v>
      </c>
      <c r="S127" s="1357">
        <f t="shared" si="73"/>
        <v>-0.27008348525665038</v>
      </c>
      <c r="T127" s="1357" t="str">
        <f>+IFERROR((#REF!/T117)^(1/5)-1,"n/a ")</f>
        <v xml:space="preserve">n/a </v>
      </c>
      <c r="U127" s="1357" t="str">
        <f>+IFERROR((#REF!/U117)^(1/5)-1,"n/a ")</f>
        <v xml:space="preserve">n/a </v>
      </c>
      <c r="V127" s="1357" t="str">
        <f>+IFERROR((#REF!/V117)^(1/5)-1,"n/a ")</f>
        <v xml:space="preserve">n/a </v>
      </c>
      <c r="W127" s="1357" t="str">
        <f>+IFERROR((#REF!/W117)^(1/5)-1,"n/a ")</f>
        <v xml:space="preserve">n/a </v>
      </c>
      <c r="X127" s="1357" t="str">
        <f>+IFERROR((#REF!/X117)^(1/5)-1,"n/a ")</f>
        <v xml:space="preserve">n/a </v>
      </c>
      <c r="Y127" s="1357"/>
      <c r="Z127" s="1357"/>
      <c r="AA127" s="1357"/>
      <c r="AB127" s="1357"/>
      <c r="AC127" s="1357"/>
    </row>
    <row r="128" spans="1:29" ht="11.25" customHeight="1" x14ac:dyDescent="0.25">
      <c r="A128" s="1036" t="s">
        <v>1539</v>
      </c>
      <c r="C128" s="1357">
        <f t="shared" ref="C128:N128" si="74">+IFERROR((M117/C117)^(1/10)-1,"n/a ")</f>
        <v>0.40610275573583077</v>
      </c>
      <c r="D128" s="1357">
        <f t="shared" si="74"/>
        <v>0.21242651807756974</v>
      </c>
      <c r="E128" s="1357">
        <f t="shared" si="74"/>
        <v>0.17138381687951076</v>
      </c>
      <c r="F128" s="1357">
        <f t="shared" si="74"/>
        <v>0.1211683116310458</v>
      </c>
      <c r="G128" s="1357">
        <f t="shared" si="74"/>
        <v>0.19470118305056205</v>
      </c>
      <c r="H128" s="1357">
        <f t="shared" si="74"/>
        <v>0.11453261545791427</v>
      </c>
      <c r="I128" s="1357">
        <f t="shared" si="74"/>
        <v>4.4247887864780067E-2</v>
      </c>
      <c r="J128" s="1357">
        <f t="shared" si="74"/>
        <v>-1.4272926542385211E-2</v>
      </c>
      <c r="K128" s="1357">
        <f t="shared" si="74"/>
        <v>-0.11446817690446198</v>
      </c>
      <c r="L128" s="1357">
        <f t="shared" si="74"/>
        <v>-0.10463513956230097</v>
      </c>
      <c r="M128" s="1357">
        <f t="shared" si="74"/>
        <v>-0.14486529688914807</v>
      </c>
      <c r="N128" s="1357">
        <f t="shared" si="74"/>
        <v>-0.16177548394212504</v>
      </c>
      <c r="O128" s="1357" t="str">
        <f>+IFERROR((#REF!/O117)^(1/10)-1,"n/a ")</f>
        <v xml:space="preserve">n/a </v>
      </c>
      <c r="P128" s="1357" t="str">
        <f>+IFERROR((#REF!/P117)^(1/10)-1,"n/a ")</f>
        <v xml:space="preserve">n/a </v>
      </c>
      <c r="Q128" s="1357" t="str">
        <f>+IFERROR((#REF!/Q117)^(1/10)-1,"n/a ")</f>
        <v xml:space="preserve">n/a </v>
      </c>
      <c r="R128" s="1357" t="str">
        <f>+IFERROR((#REF!/R117)^(1/10)-1,"n/a ")</f>
        <v xml:space="preserve">n/a </v>
      </c>
      <c r="S128" s="1357" t="str">
        <f>+IFERROR((#REF!/S117)^(1/10)-1,"n/a ")</f>
        <v xml:space="preserve">n/a </v>
      </c>
      <c r="T128" s="1357"/>
      <c r="U128" s="1357"/>
      <c r="V128" s="1357"/>
      <c r="W128" s="1357"/>
      <c r="X128" s="1357"/>
      <c r="Y128" s="1357"/>
      <c r="Z128" s="1357"/>
      <c r="AA128" s="1357"/>
      <c r="AB128" s="1357"/>
      <c r="AC128" s="1357"/>
    </row>
    <row r="129" spans="1:29" ht="11.25" customHeight="1" x14ac:dyDescent="0.25">
      <c r="A129" s="1036"/>
      <c r="C129" s="1357"/>
      <c r="D129" s="1357"/>
      <c r="E129" s="1357"/>
      <c r="F129" s="1357"/>
      <c r="G129" s="1357"/>
      <c r="H129" s="1357"/>
      <c r="I129" s="1357"/>
      <c r="J129" s="1357"/>
      <c r="K129" s="1357"/>
      <c r="L129" s="1357"/>
      <c r="M129" s="1357"/>
      <c r="N129" s="1357"/>
      <c r="O129" s="1357"/>
      <c r="P129" s="1357"/>
      <c r="Q129" s="1357"/>
      <c r="R129" s="1357"/>
      <c r="S129" s="1357"/>
      <c r="T129" s="1357"/>
      <c r="U129" s="1357"/>
      <c r="V129" s="1357"/>
      <c r="W129" s="1357"/>
      <c r="X129" s="1357"/>
      <c r="Y129" s="1357"/>
      <c r="Z129" s="1357"/>
      <c r="AA129" s="1357"/>
      <c r="AB129" s="1357"/>
      <c r="AC129" s="1357"/>
    </row>
    <row r="130" spans="1:29" ht="11.25" customHeight="1" x14ac:dyDescent="0.25">
      <c r="A130" s="1399" t="s">
        <v>1613</v>
      </c>
      <c r="C130" s="1357"/>
      <c r="D130" s="1357"/>
      <c r="E130" s="1357"/>
      <c r="F130" s="1357"/>
      <c r="G130" s="1357"/>
      <c r="H130" s="1357"/>
      <c r="I130" s="1357"/>
      <c r="J130" s="1357"/>
      <c r="K130" s="1357"/>
      <c r="L130" s="1357"/>
      <c r="M130" s="1357"/>
      <c r="N130" s="1357"/>
      <c r="O130" s="1357"/>
      <c r="P130" s="1357"/>
      <c r="Q130" s="1357"/>
      <c r="R130" s="1357"/>
      <c r="S130" s="1357"/>
      <c r="T130" s="1357"/>
      <c r="U130" s="1357"/>
      <c r="V130" s="1357"/>
      <c r="W130" s="1357"/>
      <c r="X130" s="1357"/>
      <c r="Y130" s="1357"/>
      <c r="Z130" s="1357"/>
      <c r="AA130" s="1357"/>
      <c r="AB130" s="1357"/>
      <c r="AC130" s="1357"/>
    </row>
    <row r="131" spans="1:29" x14ac:dyDescent="0.25">
      <c r="A131" s="995" t="s">
        <v>1609</v>
      </c>
      <c r="L131" s="995">
        <v>12</v>
      </c>
      <c r="N131" s="995">
        <v>64</v>
      </c>
      <c r="O131" s="995">
        <v>50</v>
      </c>
      <c r="P131" s="995">
        <v>85</v>
      </c>
      <c r="R131" s="995">
        <v>100</v>
      </c>
    </row>
    <row r="132" spans="1:29" x14ac:dyDescent="0.25">
      <c r="A132" s="995" t="s">
        <v>1611</v>
      </c>
    </row>
    <row r="133" spans="1:29" x14ac:dyDescent="0.25">
      <c r="A133" s="995" t="s">
        <v>1610</v>
      </c>
      <c r="O133" s="995">
        <v>107</v>
      </c>
      <c r="P133" s="995">
        <v>445</v>
      </c>
      <c r="Q133" s="995">
        <v>68</v>
      </c>
    </row>
    <row r="134" spans="1:29" x14ac:dyDescent="0.25">
      <c r="A134" s="995" t="s">
        <v>1612</v>
      </c>
      <c r="R134" s="995">
        <v>58</v>
      </c>
    </row>
    <row r="135" spans="1:29" ht="11.25" customHeight="1" x14ac:dyDescent="0.3">
      <c r="A135" s="1334"/>
      <c r="B135" s="1412"/>
      <c r="C135" s="1412"/>
      <c r="D135" s="1412"/>
      <c r="E135" s="1413"/>
      <c r="F135" s="1413"/>
      <c r="G135" s="1413"/>
      <c r="H135" s="1413"/>
      <c r="I135" s="1413"/>
      <c r="J135" s="1413"/>
      <c r="K135" s="1412"/>
      <c r="L135" s="1413"/>
      <c r="M135" s="1413"/>
      <c r="N135" s="1412"/>
      <c r="O135" s="1413"/>
      <c r="P135" s="1413"/>
      <c r="Q135" s="1412"/>
      <c r="R135" s="1412"/>
      <c r="S135" s="1412"/>
      <c r="T135" s="1412"/>
      <c r="U135" s="1413"/>
      <c r="V135" s="1413"/>
      <c r="W135" s="1413"/>
      <c r="X135" s="1412"/>
      <c r="Y135" s="1412"/>
      <c r="Z135" s="1412"/>
      <c r="AA135" s="1412"/>
      <c r="AB135" s="1412"/>
      <c r="AC135" s="1412"/>
    </row>
    <row r="136" spans="1:29" ht="11.25" customHeight="1" x14ac:dyDescent="0.3">
      <c r="A136" s="1082"/>
    </row>
  </sheetData>
  <printOptions horizontalCentered="1"/>
  <pageMargins left="0.3" right="0.3" top="0.3" bottom="0.3" header="0.3" footer="0.3"/>
  <pageSetup scale="50"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AC131-0D68-4BA9-AD3D-6B917F8EC39A}">
  <dimension ref="A1:D20"/>
  <sheetViews>
    <sheetView zoomScale="70" zoomScaleNormal="70" workbookViewId="0">
      <selection activeCell="D26" sqref="D26"/>
    </sheetView>
  </sheetViews>
  <sheetFormatPr defaultColWidth="9.1796875" defaultRowHeight="14.5" x14ac:dyDescent="0.35"/>
  <cols>
    <col min="1" max="1" width="11.7265625" style="1260" customWidth="1"/>
    <col min="2" max="2" width="50.26953125" style="1261" customWidth="1"/>
    <col min="3" max="3" width="69.81640625" style="1261" customWidth="1"/>
    <col min="4" max="4" width="118.54296875" style="1260" bestFit="1" customWidth="1"/>
    <col min="5" max="16384" width="9.1796875" style="1260"/>
  </cols>
  <sheetData>
    <row r="1" spans="1:4" x14ac:dyDescent="0.35">
      <c r="A1" s="1260" t="s">
        <v>1176</v>
      </c>
      <c r="D1" s="1268">
        <f ca="1">TODAY()</f>
        <v>45797</v>
      </c>
    </row>
    <row r="2" spans="1:4" s="1264" customFormat="1" x14ac:dyDescent="0.35">
      <c r="A2" s="1262" t="s">
        <v>1177</v>
      </c>
      <c r="B2" s="1263"/>
      <c r="C2" s="1263"/>
    </row>
    <row r="4" spans="1:4" ht="16" x14ac:dyDescent="0.35">
      <c r="A4" s="1265" t="s">
        <v>291</v>
      </c>
      <c r="B4" s="1266" t="s">
        <v>1140</v>
      </c>
      <c r="C4" s="1266" t="s">
        <v>1141</v>
      </c>
      <c r="D4" s="1265" t="s">
        <v>1142</v>
      </c>
    </row>
    <row r="5" spans="1:4" ht="29" x14ac:dyDescent="0.35">
      <c r="A5" s="1268">
        <v>39828</v>
      </c>
      <c r="B5" s="1261" t="s">
        <v>1143</v>
      </c>
      <c r="C5" s="1261" t="s">
        <v>1144</v>
      </c>
      <c r="D5" s="1267" t="s">
        <v>1145</v>
      </c>
    </row>
    <row r="6" spans="1:4" ht="29" x14ac:dyDescent="0.35">
      <c r="A6" s="1268">
        <v>39882</v>
      </c>
      <c r="B6" s="1261" t="s">
        <v>1146</v>
      </c>
      <c r="C6" s="1261" t="s">
        <v>1147</v>
      </c>
      <c r="D6" s="1267" t="s">
        <v>1148</v>
      </c>
    </row>
    <row r="7" spans="1:4" ht="29" x14ac:dyDescent="0.35">
      <c r="A7" s="1268">
        <v>39995</v>
      </c>
      <c r="B7" s="1261" t="s">
        <v>1149</v>
      </c>
      <c r="C7" s="1261" t="s">
        <v>1182</v>
      </c>
      <c r="D7" s="1267" t="s">
        <v>1150</v>
      </c>
    </row>
    <row r="8" spans="1:4" ht="29" x14ac:dyDescent="0.35">
      <c r="A8" s="1268">
        <v>40086</v>
      </c>
      <c r="B8" s="1261" t="s">
        <v>1151</v>
      </c>
      <c r="C8" s="1261" t="s">
        <v>1152</v>
      </c>
      <c r="D8" s="1267" t="s">
        <v>1153</v>
      </c>
    </row>
    <row r="9" spans="1:4" ht="29" x14ac:dyDescent="0.35">
      <c r="A9" s="1268">
        <v>40106</v>
      </c>
      <c r="B9" s="1261" t="s">
        <v>1154</v>
      </c>
    </row>
    <row r="10" spans="1:4" ht="29" x14ac:dyDescent="0.35">
      <c r="A10" s="1268">
        <v>40394</v>
      </c>
      <c r="B10" s="1261" t="s">
        <v>1155</v>
      </c>
      <c r="C10" s="1261" t="s">
        <v>1156</v>
      </c>
      <c r="D10" s="1267" t="s">
        <v>1157</v>
      </c>
    </row>
    <row r="11" spans="1:4" ht="29" x14ac:dyDescent="0.35">
      <c r="A11" s="1268">
        <v>40400</v>
      </c>
      <c r="B11" s="1261" t="s">
        <v>1158</v>
      </c>
      <c r="C11" s="1261" t="s">
        <v>1159</v>
      </c>
      <c r="D11" s="1267" t="s">
        <v>1160</v>
      </c>
    </row>
    <row r="12" spans="1:4" ht="29" x14ac:dyDescent="0.35">
      <c r="A12" s="1268">
        <v>40801</v>
      </c>
      <c r="B12" s="1261" t="s">
        <v>1178</v>
      </c>
      <c r="C12" s="1261" t="s">
        <v>1161</v>
      </c>
      <c r="D12" s="1267" t="s">
        <v>1162</v>
      </c>
    </row>
    <row r="13" spans="1:4" ht="29" x14ac:dyDescent="0.35">
      <c r="A13" s="1268">
        <v>41120</v>
      </c>
      <c r="B13" s="1261" t="s">
        <v>1553</v>
      </c>
      <c r="C13" s="1261" t="s">
        <v>1555</v>
      </c>
      <c r="D13" s="1267" t="s">
        <v>1554</v>
      </c>
    </row>
    <row r="14" spans="1:4" x14ac:dyDescent="0.35">
      <c r="A14" s="1268">
        <v>41147</v>
      </c>
      <c r="B14" s="1261" t="s">
        <v>1181</v>
      </c>
    </row>
    <row r="15" spans="1:4" ht="29" x14ac:dyDescent="0.35">
      <c r="A15" s="1268">
        <v>41585</v>
      </c>
      <c r="B15" s="1261" t="s">
        <v>1163</v>
      </c>
      <c r="C15" s="1261" t="s">
        <v>1164</v>
      </c>
      <c r="D15" s="1267" t="s">
        <v>1165</v>
      </c>
    </row>
    <row r="16" spans="1:4" ht="29" x14ac:dyDescent="0.35">
      <c r="A16" s="1268">
        <v>41810</v>
      </c>
      <c r="B16" s="1261" t="s">
        <v>1166</v>
      </c>
      <c r="C16" s="1261" t="s">
        <v>1183</v>
      </c>
      <c r="D16" s="1267" t="s">
        <v>1167</v>
      </c>
    </row>
    <row r="17" spans="1:4" ht="29" x14ac:dyDescent="0.35">
      <c r="A17" s="1268">
        <v>42226</v>
      </c>
      <c r="B17" s="1261" t="s">
        <v>1179</v>
      </c>
      <c r="C17" s="1261" t="s">
        <v>1168</v>
      </c>
      <c r="D17" s="1267" t="s">
        <v>1169</v>
      </c>
    </row>
    <row r="18" spans="1:4" ht="29" x14ac:dyDescent="0.35">
      <c r="A18" s="1268">
        <v>42408</v>
      </c>
      <c r="B18" s="1261" t="s">
        <v>1180</v>
      </c>
      <c r="C18" s="1261" t="s">
        <v>1170</v>
      </c>
      <c r="D18" s="1267" t="s">
        <v>1171</v>
      </c>
    </row>
    <row r="19" spans="1:4" ht="29" x14ac:dyDescent="0.35">
      <c r="A19" s="1268">
        <v>42767</v>
      </c>
      <c r="B19" s="1261" t="s">
        <v>1172</v>
      </c>
      <c r="D19" s="1267" t="s">
        <v>1173</v>
      </c>
    </row>
    <row r="20" spans="1:4" ht="29" x14ac:dyDescent="0.35">
      <c r="A20" s="1268">
        <v>43809</v>
      </c>
      <c r="B20" s="1261" t="s">
        <v>1174</v>
      </c>
      <c r="C20" s="1261" t="s">
        <v>1175</v>
      </c>
      <c r="D20" s="1267" t="s">
        <v>1184</v>
      </c>
    </row>
  </sheetData>
  <hyperlinks>
    <hyperlink ref="D11" r:id="rId1" xr:uid="{4DD4BACB-8BC9-43BD-B310-79BA74BEA0E3}"/>
    <hyperlink ref="D12" r:id="rId2" xr:uid="{BA640218-0FDE-4E9C-A9E2-CE71785C5B2C}"/>
    <hyperlink ref="D5" r:id="rId3" xr:uid="{0D1D34B1-6DD4-4783-BBAD-960AC58F64C4}"/>
    <hyperlink ref="D6" r:id="rId4" xr:uid="{0B7F5979-B1F5-4BE8-BB05-B43CC50E0D29}"/>
    <hyperlink ref="D7" r:id="rId5" xr:uid="{4469E72A-AD40-41AE-A28A-94B007DF9BED}"/>
    <hyperlink ref="D8" r:id="rId6" xr:uid="{42304738-DF96-4FF7-9690-8A93393B4193}"/>
    <hyperlink ref="D10" r:id="rId7" xr:uid="{2BE22FE7-1C03-4F97-8D35-4B6095348B44}"/>
    <hyperlink ref="D15" r:id="rId8" xr:uid="{E02365A8-6AA0-4028-9645-F3F6718235F5}"/>
    <hyperlink ref="D16" r:id="rId9" xr:uid="{02F62675-6057-40FF-8E72-D9401465940C}"/>
    <hyperlink ref="D17" r:id="rId10" xr:uid="{C132435B-C604-4FC3-9394-73CC7B5F154E}"/>
    <hyperlink ref="D18" r:id="rId11" xr:uid="{A83229CE-69B1-4F3B-B71E-1BE5C93448B6}"/>
    <hyperlink ref="D19" r:id="rId12" xr:uid="{26A96CE3-61C8-4E33-BE7B-6A37C1EE7E18}"/>
    <hyperlink ref="D20" r:id="rId13" xr:uid="{A8D52210-8ABC-4FBE-A899-4FA1536AEB78}"/>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34C1-3FC7-4C6C-83B7-1002B9BE59A3}">
  <sheetPr>
    <pageSetUpPr fitToPage="1"/>
  </sheetPr>
  <dimension ref="A43:B5622"/>
  <sheetViews>
    <sheetView view="pageBreakPreview" topLeftCell="A10" zoomScaleNormal="100" zoomScaleSheetLayoutView="100" workbookViewId="0">
      <selection activeCell="K46" sqref="K46"/>
    </sheetView>
  </sheetViews>
  <sheetFormatPr defaultColWidth="9.1796875" defaultRowHeight="12.5" x14ac:dyDescent="0.35"/>
  <cols>
    <col min="1" max="1" width="11.7265625" style="1414" bestFit="1" customWidth="1"/>
    <col min="2" max="2" width="54.453125" style="1414" bestFit="1" customWidth="1"/>
    <col min="3" max="12" width="9.1796875" style="1414"/>
    <col min="13" max="13" width="3.1796875" style="1414" customWidth="1"/>
    <col min="14" max="16384" width="9.1796875" style="1414"/>
  </cols>
  <sheetData>
    <row r="43" spans="1:2" ht="14.5" x14ac:dyDescent="0.35">
      <c r="A43" s="1414" t="s">
        <v>1557</v>
      </c>
      <c r="B43" s="1414" t="s">
        <v>1556</v>
      </c>
    </row>
    <row r="44" spans="1:2" x14ac:dyDescent="0.35">
      <c r="A44" s="1416">
        <v>34674</v>
      </c>
      <c r="B44" s="1415">
        <v>0.78188999999999997</v>
      </c>
    </row>
    <row r="45" spans="1:2" x14ac:dyDescent="0.35">
      <c r="A45" s="1416">
        <v>34675</v>
      </c>
      <c r="B45" s="1415">
        <v>0.77366000000000001</v>
      </c>
    </row>
    <row r="46" spans="1:2" x14ac:dyDescent="0.35">
      <c r="A46" s="1416">
        <v>34676</v>
      </c>
      <c r="B46" s="1415">
        <v>0.74897000000000002</v>
      </c>
    </row>
    <row r="47" spans="1:2" x14ac:dyDescent="0.35">
      <c r="A47" s="1416">
        <v>34677</v>
      </c>
      <c r="B47" s="1415">
        <v>0.74897000000000002</v>
      </c>
    </row>
    <row r="48" spans="1:2" x14ac:dyDescent="0.35">
      <c r="A48" s="1416">
        <v>34680</v>
      </c>
      <c r="B48" s="1415">
        <v>0.73250999999999999</v>
      </c>
    </row>
    <row r="49" spans="1:2" x14ac:dyDescent="0.35">
      <c r="A49" s="1416">
        <v>34681</v>
      </c>
      <c r="B49" s="1415">
        <v>0.72428000000000003</v>
      </c>
    </row>
    <row r="50" spans="1:2" x14ac:dyDescent="0.35">
      <c r="A50" s="1416">
        <v>34682</v>
      </c>
      <c r="B50" s="1415">
        <v>0.72428000000000003</v>
      </c>
    </row>
    <row r="51" spans="1:2" x14ac:dyDescent="0.35">
      <c r="A51" s="1416">
        <v>34683</v>
      </c>
      <c r="B51" s="1415">
        <v>0.72428000000000003</v>
      </c>
    </row>
    <row r="52" spans="1:2" x14ac:dyDescent="0.35">
      <c r="A52" s="1416">
        <v>34684</v>
      </c>
      <c r="B52" s="1415">
        <v>0.72428000000000003</v>
      </c>
    </row>
    <row r="53" spans="1:2" x14ac:dyDescent="0.35">
      <c r="A53" s="1416">
        <v>34687</v>
      </c>
      <c r="B53" s="1415">
        <v>0.73250999999999999</v>
      </c>
    </row>
    <row r="54" spans="1:2" x14ac:dyDescent="0.35">
      <c r="A54" s="1416">
        <v>34688</v>
      </c>
      <c r="B54" s="1415">
        <v>0.73250999999999999</v>
      </c>
    </row>
    <row r="55" spans="1:2" x14ac:dyDescent="0.35">
      <c r="A55" s="1416">
        <v>34689</v>
      </c>
      <c r="B55" s="1415">
        <v>0.74897000000000002</v>
      </c>
    </row>
    <row r="56" spans="1:2" x14ac:dyDescent="0.35">
      <c r="A56" s="1416">
        <v>34690</v>
      </c>
      <c r="B56" s="1415">
        <v>0.74073999999999995</v>
      </c>
    </row>
    <row r="57" spans="1:2" x14ac:dyDescent="0.35">
      <c r="A57" s="1416">
        <v>34691</v>
      </c>
      <c r="B57" s="1415">
        <v>0.74897000000000002</v>
      </c>
    </row>
    <row r="58" spans="1:2" x14ac:dyDescent="0.35">
      <c r="A58" s="1416">
        <v>34695</v>
      </c>
      <c r="B58" s="1415">
        <v>0.74897000000000002</v>
      </c>
    </row>
    <row r="59" spans="1:2" x14ac:dyDescent="0.35">
      <c r="A59" s="1416">
        <v>34696</v>
      </c>
      <c r="B59" s="1415">
        <v>0.76543000000000005</v>
      </c>
    </row>
    <row r="60" spans="1:2" x14ac:dyDescent="0.35">
      <c r="A60" s="1416">
        <v>34697</v>
      </c>
      <c r="B60" s="1415">
        <v>0.80659000000000003</v>
      </c>
    </row>
    <row r="61" spans="1:2" x14ac:dyDescent="0.35">
      <c r="A61" s="1416">
        <v>34698</v>
      </c>
      <c r="B61" s="1415">
        <v>0.78188999999999997</v>
      </c>
    </row>
    <row r="62" spans="1:2" x14ac:dyDescent="0.35">
      <c r="A62" s="1416">
        <v>34702</v>
      </c>
      <c r="B62" s="1415">
        <v>0.86419999999999997</v>
      </c>
    </row>
    <row r="63" spans="1:2" x14ac:dyDescent="0.35">
      <c r="A63" s="1416">
        <v>34703</v>
      </c>
      <c r="B63" s="1415">
        <v>0.86419999999999997</v>
      </c>
    </row>
    <row r="64" spans="1:2" x14ac:dyDescent="0.35">
      <c r="A64" s="1416">
        <v>34704</v>
      </c>
      <c r="B64" s="1415">
        <v>0.86419999999999997</v>
      </c>
    </row>
    <row r="65" spans="1:2" x14ac:dyDescent="0.35">
      <c r="A65" s="1416">
        <v>34705</v>
      </c>
      <c r="B65" s="1415">
        <v>0.98765999999999998</v>
      </c>
    </row>
    <row r="66" spans="1:2" x14ac:dyDescent="0.35">
      <c r="A66" s="1416">
        <v>34708</v>
      </c>
      <c r="B66" s="1415">
        <v>1.16873</v>
      </c>
    </row>
    <row r="67" spans="1:2" x14ac:dyDescent="0.35">
      <c r="A67" s="1416">
        <v>34709</v>
      </c>
      <c r="B67" s="1415">
        <v>1.11934</v>
      </c>
    </row>
    <row r="68" spans="1:2" x14ac:dyDescent="0.35">
      <c r="A68" s="1416">
        <v>34710</v>
      </c>
      <c r="B68" s="1415">
        <v>1.1028800000000001</v>
      </c>
    </row>
    <row r="69" spans="1:2" x14ac:dyDescent="0.35">
      <c r="A69" s="1416">
        <v>34711</v>
      </c>
      <c r="B69" s="1415">
        <v>1.1028800000000001</v>
      </c>
    </row>
    <row r="70" spans="1:2" x14ac:dyDescent="0.35">
      <c r="A70" s="1416">
        <v>34712</v>
      </c>
      <c r="B70" s="1415">
        <v>1.13581</v>
      </c>
    </row>
    <row r="71" spans="1:2" x14ac:dyDescent="0.35">
      <c r="A71" s="1416">
        <v>34715</v>
      </c>
      <c r="B71" s="1415">
        <v>1.2427999999999999</v>
      </c>
    </row>
    <row r="72" spans="1:2" x14ac:dyDescent="0.35">
      <c r="A72" s="1416">
        <v>34716</v>
      </c>
      <c r="B72" s="1415">
        <v>1.2510300000000001</v>
      </c>
    </row>
    <row r="73" spans="1:2" x14ac:dyDescent="0.35">
      <c r="A73" s="1416">
        <v>34717</v>
      </c>
      <c r="B73" s="1415">
        <v>1.22634</v>
      </c>
    </row>
    <row r="74" spans="1:2" x14ac:dyDescent="0.35">
      <c r="A74" s="1416">
        <v>34718</v>
      </c>
      <c r="B74" s="1415">
        <v>1.18519</v>
      </c>
    </row>
    <row r="75" spans="1:2" x14ac:dyDescent="0.35">
      <c r="A75" s="1416">
        <v>34719</v>
      </c>
      <c r="B75" s="1415">
        <v>1.18519</v>
      </c>
    </row>
    <row r="76" spans="1:2" x14ac:dyDescent="0.35">
      <c r="A76" s="1416">
        <v>34722</v>
      </c>
      <c r="B76" s="1415">
        <v>1.1605000000000001</v>
      </c>
    </row>
    <row r="77" spans="1:2" x14ac:dyDescent="0.35">
      <c r="A77" s="1416">
        <v>34723</v>
      </c>
      <c r="B77" s="1415">
        <v>1.22634</v>
      </c>
    </row>
    <row r="78" spans="1:2" x14ac:dyDescent="0.35">
      <c r="A78" s="1416">
        <v>34724</v>
      </c>
      <c r="B78" s="1415">
        <v>1.2345699999999999</v>
      </c>
    </row>
    <row r="79" spans="1:2" x14ac:dyDescent="0.35">
      <c r="A79" s="1416">
        <v>34725</v>
      </c>
      <c r="B79" s="1415">
        <v>1.2427999999999999</v>
      </c>
    </row>
    <row r="80" spans="1:2" x14ac:dyDescent="0.35">
      <c r="A80" s="1416">
        <v>34726</v>
      </c>
      <c r="B80" s="1415">
        <v>1.27572</v>
      </c>
    </row>
    <row r="81" spans="1:2" x14ac:dyDescent="0.35">
      <c r="A81" s="1416">
        <v>34729</v>
      </c>
      <c r="B81" s="1415">
        <v>1.2427999999999999</v>
      </c>
    </row>
    <row r="82" spans="1:2" x14ac:dyDescent="0.35">
      <c r="A82" s="1416">
        <v>34730</v>
      </c>
      <c r="B82" s="1415">
        <v>1.36626</v>
      </c>
    </row>
    <row r="83" spans="1:2" x14ac:dyDescent="0.35">
      <c r="A83" s="1416">
        <v>34731</v>
      </c>
      <c r="B83" s="1415">
        <v>1.3168800000000001</v>
      </c>
    </row>
    <row r="84" spans="1:2" x14ac:dyDescent="0.35">
      <c r="A84" s="1416">
        <v>34732</v>
      </c>
      <c r="B84" s="1415">
        <v>1.32511</v>
      </c>
    </row>
    <row r="85" spans="1:2" x14ac:dyDescent="0.35">
      <c r="A85" s="1416">
        <v>34733</v>
      </c>
      <c r="B85" s="1415">
        <v>1.41564</v>
      </c>
    </row>
    <row r="86" spans="1:2" x14ac:dyDescent="0.35">
      <c r="A86" s="1416">
        <v>34736</v>
      </c>
      <c r="B86" s="1415">
        <v>1.4403300000000001</v>
      </c>
    </row>
    <row r="87" spans="1:2" x14ac:dyDescent="0.35">
      <c r="A87" s="1416">
        <v>34737</v>
      </c>
      <c r="B87" s="1415">
        <v>1.45679</v>
      </c>
    </row>
    <row r="88" spans="1:2" x14ac:dyDescent="0.35">
      <c r="A88" s="1416">
        <v>34738</v>
      </c>
      <c r="B88" s="1415">
        <v>1.4320999999999999</v>
      </c>
    </row>
    <row r="89" spans="1:2" x14ac:dyDescent="0.35">
      <c r="A89" s="1416">
        <v>34739</v>
      </c>
      <c r="B89" s="1415">
        <v>1.3991800000000001</v>
      </c>
    </row>
    <row r="90" spans="1:2" x14ac:dyDescent="0.35">
      <c r="A90" s="1416">
        <v>34740</v>
      </c>
      <c r="B90" s="1415">
        <v>1.3827199999999999</v>
      </c>
    </row>
    <row r="91" spans="1:2" x14ac:dyDescent="0.35">
      <c r="A91" s="1416">
        <v>34743</v>
      </c>
      <c r="B91" s="1415">
        <v>1.30864</v>
      </c>
    </row>
    <row r="92" spans="1:2" x14ac:dyDescent="0.35">
      <c r="A92" s="1416">
        <v>34744</v>
      </c>
      <c r="B92" s="1415">
        <v>1.21811</v>
      </c>
    </row>
    <row r="93" spans="1:2" x14ac:dyDescent="0.35">
      <c r="A93" s="1416">
        <v>34745</v>
      </c>
      <c r="B93" s="1415">
        <v>1.2427999999999999</v>
      </c>
    </row>
    <row r="94" spans="1:2" x14ac:dyDescent="0.35">
      <c r="A94" s="1416">
        <v>34746</v>
      </c>
      <c r="B94" s="1415">
        <v>1.3580300000000001</v>
      </c>
    </row>
    <row r="95" spans="1:2" x14ac:dyDescent="0.35">
      <c r="A95" s="1416">
        <v>34747</v>
      </c>
      <c r="B95" s="1415">
        <v>1.4403300000000001</v>
      </c>
    </row>
    <row r="96" spans="1:2" x14ac:dyDescent="0.35">
      <c r="A96" s="1416">
        <v>34751</v>
      </c>
      <c r="B96" s="1415">
        <v>1.4814799999999999</v>
      </c>
    </row>
    <row r="97" spans="1:2" x14ac:dyDescent="0.35">
      <c r="A97" s="1416">
        <v>34752</v>
      </c>
      <c r="B97" s="1415">
        <v>1.4814799999999999</v>
      </c>
    </row>
    <row r="98" spans="1:2" x14ac:dyDescent="0.35">
      <c r="A98" s="1416">
        <v>34753</v>
      </c>
      <c r="B98" s="1415">
        <v>1.4485600000000001</v>
      </c>
    </row>
    <row r="99" spans="1:2" x14ac:dyDescent="0.35">
      <c r="A99" s="1416">
        <v>34754</v>
      </c>
      <c r="B99" s="1415">
        <v>1.42387</v>
      </c>
    </row>
    <row r="100" spans="1:2" x14ac:dyDescent="0.35">
      <c r="A100" s="1416">
        <v>34757</v>
      </c>
      <c r="B100" s="1415">
        <v>1.36626</v>
      </c>
    </row>
    <row r="101" spans="1:2" x14ac:dyDescent="0.35">
      <c r="A101" s="1416">
        <v>34758</v>
      </c>
      <c r="B101" s="1415">
        <v>1.37449</v>
      </c>
    </row>
    <row r="102" spans="1:2" x14ac:dyDescent="0.35">
      <c r="A102" s="1416">
        <v>34759</v>
      </c>
      <c r="B102" s="1415">
        <v>1.32511</v>
      </c>
    </row>
    <row r="103" spans="1:2" x14ac:dyDescent="0.35">
      <c r="A103" s="1416">
        <v>34760</v>
      </c>
      <c r="B103" s="1415">
        <v>1.26749</v>
      </c>
    </row>
    <row r="104" spans="1:2" x14ac:dyDescent="0.35">
      <c r="A104" s="1416">
        <v>34761</v>
      </c>
      <c r="B104" s="1415">
        <v>1.3168800000000001</v>
      </c>
    </row>
    <row r="105" spans="1:2" x14ac:dyDescent="0.35">
      <c r="A105" s="1416">
        <v>34764</v>
      </c>
      <c r="B105" s="1415">
        <v>1.2921800000000001</v>
      </c>
    </row>
    <row r="106" spans="1:2" x14ac:dyDescent="0.35">
      <c r="A106" s="1416">
        <v>34765</v>
      </c>
      <c r="B106" s="1415">
        <v>1.2839499999999999</v>
      </c>
    </row>
    <row r="107" spans="1:2" x14ac:dyDescent="0.35">
      <c r="A107" s="1416">
        <v>34766</v>
      </c>
      <c r="B107" s="1415">
        <v>1.30864</v>
      </c>
    </row>
    <row r="108" spans="1:2" x14ac:dyDescent="0.35">
      <c r="A108" s="1416">
        <v>34767</v>
      </c>
      <c r="B108" s="1415">
        <v>1.3415699999999999</v>
      </c>
    </row>
    <row r="109" spans="1:2" x14ac:dyDescent="0.35">
      <c r="A109" s="1416">
        <v>34768</v>
      </c>
      <c r="B109" s="1415">
        <v>1.33334</v>
      </c>
    </row>
    <row r="110" spans="1:2" x14ac:dyDescent="0.35">
      <c r="A110" s="1416">
        <v>34771</v>
      </c>
      <c r="B110" s="1415">
        <v>1.3415699999999999</v>
      </c>
    </row>
    <row r="111" spans="1:2" x14ac:dyDescent="0.35">
      <c r="A111" s="1416">
        <v>34772</v>
      </c>
      <c r="B111" s="1415">
        <v>1.32511</v>
      </c>
    </row>
    <row r="112" spans="1:2" x14ac:dyDescent="0.35">
      <c r="A112" s="1416">
        <v>34773</v>
      </c>
      <c r="B112" s="1415">
        <v>1.3415699999999999</v>
      </c>
    </row>
    <row r="113" spans="1:2" x14ac:dyDescent="0.35">
      <c r="A113" s="1416">
        <v>34774</v>
      </c>
      <c r="B113" s="1415">
        <v>1.3498000000000001</v>
      </c>
    </row>
    <row r="114" spans="1:2" x14ac:dyDescent="0.35">
      <c r="A114" s="1416">
        <v>34775</v>
      </c>
      <c r="B114" s="1415">
        <v>1.42387</v>
      </c>
    </row>
    <row r="115" spans="1:2" x14ac:dyDescent="0.35">
      <c r="A115" s="1416">
        <v>34778</v>
      </c>
      <c r="B115" s="1415">
        <v>1.56379</v>
      </c>
    </row>
    <row r="116" spans="1:2" x14ac:dyDescent="0.35">
      <c r="A116" s="1416">
        <v>34779</v>
      </c>
      <c r="B116" s="1415">
        <v>1.5967100000000001</v>
      </c>
    </row>
    <row r="117" spans="1:2" x14ac:dyDescent="0.35">
      <c r="A117" s="1416">
        <v>34780</v>
      </c>
      <c r="B117" s="1415">
        <v>1.5967100000000001</v>
      </c>
    </row>
    <row r="118" spans="1:2" x14ac:dyDescent="0.35">
      <c r="A118" s="1416">
        <v>34781</v>
      </c>
      <c r="B118" s="1415">
        <v>1.5967100000000001</v>
      </c>
    </row>
    <row r="119" spans="1:2" x14ac:dyDescent="0.35">
      <c r="A119" s="1416">
        <v>34782</v>
      </c>
      <c r="B119" s="1415">
        <v>1.60494</v>
      </c>
    </row>
    <row r="120" spans="1:2" x14ac:dyDescent="0.35">
      <c r="A120" s="1416">
        <v>34785</v>
      </c>
      <c r="B120" s="1415">
        <v>1.5802499999999999</v>
      </c>
    </row>
    <row r="121" spans="1:2" x14ac:dyDescent="0.35">
      <c r="A121" s="1416">
        <v>34786</v>
      </c>
      <c r="B121" s="1415">
        <v>1.5802499999999999</v>
      </c>
    </row>
    <row r="122" spans="1:2" x14ac:dyDescent="0.35">
      <c r="A122" s="1416">
        <v>34787</v>
      </c>
      <c r="B122" s="1415">
        <v>1.6460900000000001</v>
      </c>
    </row>
    <row r="123" spans="1:2" x14ac:dyDescent="0.35">
      <c r="A123" s="1416">
        <v>34788</v>
      </c>
      <c r="B123" s="1415">
        <v>1.71194</v>
      </c>
    </row>
    <row r="124" spans="1:2" x14ac:dyDescent="0.35">
      <c r="A124" s="1416">
        <v>34789</v>
      </c>
      <c r="B124" s="1415">
        <v>1.75309</v>
      </c>
    </row>
    <row r="125" spans="1:2" x14ac:dyDescent="0.35">
      <c r="A125" s="1416">
        <v>34792</v>
      </c>
      <c r="B125" s="1415">
        <v>1.75309</v>
      </c>
    </row>
    <row r="126" spans="1:2" x14ac:dyDescent="0.35">
      <c r="A126" s="1416">
        <v>34793</v>
      </c>
      <c r="B126" s="1415">
        <v>1.75309</v>
      </c>
    </row>
    <row r="127" spans="1:2" x14ac:dyDescent="0.35">
      <c r="A127" s="1416">
        <v>34794</v>
      </c>
      <c r="B127" s="1415">
        <v>1.80247</v>
      </c>
    </row>
    <row r="128" spans="1:2" x14ac:dyDescent="0.35">
      <c r="A128" s="1416">
        <v>34795</v>
      </c>
      <c r="B128" s="1415">
        <v>1.8518600000000001</v>
      </c>
    </row>
    <row r="129" spans="1:2" x14ac:dyDescent="0.35">
      <c r="A129" s="1416">
        <v>34796</v>
      </c>
      <c r="B129" s="1415">
        <v>1.8765499999999999</v>
      </c>
    </row>
    <row r="130" spans="1:2" x14ac:dyDescent="0.35">
      <c r="A130" s="1416">
        <v>34799</v>
      </c>
      <c r="B130" s="1415">
        <v>1.8765499999999999</v>
      </c>
    </row>
    <row r="131" spans="1:2" x14ac:dyDescent="0.35">
      <c r="A131" s="1416">
        <v>34800</v>
      </c>
      <c r="B131" s="1415">
        <v>1.8436300000000001</v>
      </c>
    </row>
    <row r="132" spans="1:2" x14ac:dyDescent="0.35">
      <c r="A132" s="1416">
        <v>34801</v>
      </c>
      <c r="B132" s="1415">
        <v>1.8107</v>
      </c>
    </row>
    <row r="133" spans="1:2" x14ac:dyDescent="0.35">
      <c r="A133" s="1416">
        <v>34802</v>
      </c>
      <c r="B133" s="1415">
        <v>1.8189299999999999</v>
      </c>
    </row>
    <row r="134" spans="1:2" x14ac:dyDescent="0.35">
      <c r="A134" s="1416">
        <v>34806</v>
      </c>
      <c r="B134" s="1415">
        <v>1.8107</v>
      </c>
    </row>
    <row r="135" spans="1:2" x14ac:dyDescent="0.35">
      <c r="A135" s="1416">
        <v>34807</v>
      </c>
      <c r="B135" s="1415">
        <v>1.7448600000000001</v>
      </c>
    </row>
    <row r="136" spans="1:2" x14ac:dyDescent="0.35">
      <c r="A136" s="1416">
        <v>34808</v>
      </c>
      <c r="B136" s="1415">
        <v>1.66255</v>
      </c>
    </row>
    <row r="137" spans="1:2" x14ac:dyDescent="0.35">
      <c r="A137" s="1416">
        <v>34809</v>
      </c>
      <c r="B137" s="1415">
        <v>1.66255</v>
      </c>
    </row>
    <row r="138" spans="1:2" x14ac:dyDescent="0.35">
      <c r="A138" s="1416">
        <v>34810</v>
      </c>
      <c r="B138" s="1415">
        <v>1.6954800000000001</v>
      </c>
    </row>
    <row r="139" spans="1:2" x14ac:dyDescent="0.35">
      <c r="A139" s="1416">
        <v>34813</v>
      </c>
      <c r="B139" s="1415">
        <v>1.76132</v>
      </c>
    </row>
    <row r="140" spans="1:2" x14ac:dyDescent="0.35">
      <c r="A140" s="1416">
        <v>34814</v>
      </c>
      <c r="B140" s="1415">
        <v>1.7777799999999999</v>
      </c>
    </row>
    <row r="141" spans="1:2" x14ac:dyDescent="0.35">
      <c r="A141" s="1416">
        <v>34815</v>
      </c>
      <c r="B141" s="1415">
        <v>1.76955</v>
      </c>
    </row>
    <row r="142" spans="1:2" x14ac:dyDescent="0.35">
      <c r="A142" s="1416">
        <v>34816</v>
      </c>
      <c r="B142" s="1415">
        <v>1.80247</v>
      </c>
    </row>
    <row r="143" spans="1:2" x14ac:dyDescent="0.35">
      <c r="A143" s="1416">
        <v>34817</v>
      </c>
      <c r="B143" s="1415">
        <v>1.80247</v>
      </c>
    </row>
    <row r="144" spans="1:2" x14ac:dyDescent="0.35">
      <c r="A144" s="1416">
        <v>34820</v>
      </c>
      <c r="B144" s="1415">
        <v>1.8107</v>
      </c>
    </row>
    <row r="145" spans="1:2" x14ac:dyDescent="0.35">
      <c r="A145" s="1416">
        <v>34821</v>
      </c>
      <c r="B145" s="1415">
        <v>1.7887500000000001</v>
      </c>
    </row>
    <row r="146" spans="1:2" x14ac:dyDescent="0.35">
      <c r="A146" s="1416">
        <v>34822</v>
      </c>
      <c r="B146" s="1415">
        <v>1.7887500000000001</v>
      </c>
    </row>
    <row r="147" spans="1:2" x14ac:dyDescent="0.35">
      <c r="A147" s="1416">
        <v>34823</v>
      </c>
      <c r="B147" s="1415">
        <v>1.7887500000000001</v>
      </c>
    </row>
    <row r="148" spans="1:2" x14ac:dyDescent="0.35">
      <c r="A148" s="1416">
        <v>34824</v>
      </c>
      <c r="B148" s="1415">
        <v>1.7338800000000001</v>
      </c>
    </row>
    <row r="149" spans="1:2" x14ac:dyDescent="0.35">
      <c r="A149" s="1416">
        <v>34827</v>
      </c>
      <c r="B149" s="1415">
        <v>1.71193</v>
      </c>
    </row>
    <row r="150" spans="1:2" x14ac:dyDescent="0.35">
      <c r="A150" s="1416">
        <v>34828</v>
      </c>
      <c r="B150" s="1415">
        <v>1.7229099999999999</v>
      </c>
    </row>
    <row r="151" spans="1:2" x14ac:dyDescent="0.35">
      <c r="A151" s="1416">
        <v>34829</v>
      </c>
      <c r="B151" s="1415">
        <v>1.71193</v>
      </c>
    </row>
    <row r="152" spans="1:2" x14ac:dyDescent="0.35">
      <c r="A152" s="1416">
        <v>34830</v>
      </c>
      <c r="B152" s="1415">
        <v>1.6899900000000001</v>
      </c>
    </row>
    <row r="153" spans="1:2" x14ac:dyDescent="0.35">
      <c r="A153" s="1416">
        <v>34831</v>
      </c>
      <c r="B153" s="1415">
        <v>1.6899900000000001</v>
      </c>
    </row>
    <row r="154" spans="1:2" x14ac:dyDescent="0.35">
      <c r="A154" s="1416">
        <v>34834</v>
      </c>
      <c r="B154" s="1415">
        <v>1.7229099999999999</v>
      </c>
    </row>
    <row r="155" spans="1:2" x14ac:dyDescent="0.35">
      <c r="A155" s="1416">
        <v>34835</v>
      </c>
      <c r="B155" s="1415">
        <v>1.7229099999999999</v>
      </c>
    </row>
    <row r="156" spans="1:2" x14ac:dyDescent="0.35">
      <c r="A156" s="1416">
        <v>34836</v>
      </c>
      <c r="B156" s="1415">
        <v>1.8216699999999999</v>
      </c>
    </row>
    <row r="157" spans="1:2" x14ac:dyDescent="0.35">
      <c r="A157" s="1416">
        <v>34837</v>
      </c>
      <c r="B157" s="1415">
        <v>1.8765400000000001</v>
      </c>
    </row>
    <row r="158" spans="1:2" x14ac:dyDescent="0.35">
      <c r="A158" s="1416">
        <v>34838</v>
      </c>
      <c r="B158" s="1415">
        <v>1.95336</v>
      </c>
    </row>
    <row r="159" spans="1:2" x14ac:dyDescent="0.35">
      <c r="A159" s="1416">
        <v>34841</v>
      </c>
      <c r="B159" s="1415">
        <v>2.04115</v>
      </c>
    </row>
    <row r="160" spans="1:2" x14ac:dyDescent="0.35">
      <c r="A160" s="1416">
        <v>34842</v>
      </c>
      <c r="B160" s="1415">
        <v>2.1618599999999999</v>
      </c>
    </row>
    <row r="161" spans="1:2" x14ac:dyDescent="0.35">
      <c r="A161" s="1416">
        <v>34843</v>
      </c>
      <c r="B161" s="1415">
        <v>2.13992</v>
      </c>
    </row>
    <row r="162" spans="1:2" x14ac:dyDescent="0.35">
      <c r="A162" s="1416">
        <v>34844</v>
      </c>
      <c r="B162" s="1415">
        <v>2.1947899999999998</v>
      </c>
    </row>
    <row r="163" spans="1:2" x14ac:dyDescent="0.35">
      <c r="A163" s="1416">
        <v>34845</v>
      </c>
      <c r="B163" s="1415">
        <v>2.24966</v>
      </c>
    </row>
    <row r="164" spans="1:2" x14ac:dyDescent="0.35">
      <c r="A164" s="1416">
        <v>34849</v>
      </c>
      <c r="B164" s="1415">
        <v>2.3813399999999998</v>
      </c>
    </row>
    <row r="165" spans="1:2" x14ac:dyDescent="0.35">
      <c r="A165" s="1416">
        <v>34850</v>
      </c>
      <c r="B165" s="1415">
        <v>2.4581599999999999</v>
      </c>
    </row>
    <row r="166" spans="1:2" x14ac:dyDescent="0.35">
      <c r="A166" s="1416">
        <v>34851</v>
      </c>
      <c r="B166" s="1415">
        <v>2.3923199999999998</v>
      </c>
    </row>
    <row r="167" spans="1:2" x14ac:dyDescent="0.35">
      <c r="A167" s="1416">
        <v>34852</v>
      </c>
      <c r="B167" s="1415">
        <v>2.3593999999999999</v>
      </c>
    </row>
    <row r="168" spans="1:2" x14ac:dyDescent="0.35">
      <c r="A168" s="1416">
        <v>34855</v>
      </c>
      <c r="B168" s="1415">
        <v>2.3045300000000002</v>
      </c>
    </row>
    <row r="169" spans="1:2" x14ac:dyDescent="0.35">
      <c r="A169" s="1416">
        <v>34856</v>
      </c>
      <c r="B169" s="1415">
        <v>2.2935500000000002</v>
      </c>
    </row>
    <row r="170" spans="1:2" x14ac:dyDescent="0.35">
      <c r="A170" s="1416">
        <v>34857</v>
      </c>
      <c r="B170" s="1415">
        <v>2.4032900000000001</v>
      </c>
    </row>
    <row r="171" spans="1:2" x14ac:dyDescent="0.35">
      <c r="A171" s="1416">
        <v>34858</v>
      </c>
      <c r="B171" s="1415">
        <v>2.5130300000000001</v>
      </c>
    </row>
    <row r="172" spans="1:2" x14ac:dyDescent="0.35">
      <c r="A172" s="1416">
        <v>34859</v>
      </c>
      <c r="B172" s="1415">
        <v>2.4801099999999998</v>
      </c>
    </row>
    <row r="173" spans="1:2" x14ac:dyDescent="0.35">
      <c r="A173" s="1416">
        <v>34862</v>
      </c>
      <c r="B173" s="1415">
        <v>2.4581599999999999</v>
      </c>
    </row>
    <row r="174" spans="1:2" x14ac:dyDescent="0.35">
      <c r="A174" s="1416">
        <v>34863</v>
      </c>
      <c r="B174" s="1415">
        <v>2.53498</v>
      </c>
    </row>
    <row r="175" spans="1:2" x14ac:dyDescent="0.35">
      <c r="A175" s="1416">
        <v>34864</v>
      </c>
      <c r="B175" s="1415">
        <v>2.4691299999999998</v>
      </c>
    </row>
    <row r="176" spans="1:2" x14ac:dyDescent="0.35">
      <c r="A176" s="1416">
        <v>34865</v>
      </c>
      <c r="B176" s="1415">
        <v>2.4691299999999998</v>
      </c>
    </row>
    <row r="177" spans="1:2" x14ac:dyDescent="0.35">
      <c r="A177" s="1416">
        <v>34866</v>
      </c>
      <c r="B177" s="1415">
        <v>2.3813399999999998</v>
      </c>
    </row>
    <row r="178" spans="1:2" x14ac:dyDescent="0.35">
      <c r="A178" s="1416">
        <v>34869</v>
      </c>
      <c r="B178" s="1415">
        <v>2.3593999999999999</v>
      </c>
    </row>
    <row r="179" spans="1:2" x14ac:dyDescent="0.35">
      <c r="A179" s="1416">
        <v>34870</v>
      </c>
      <c r="B179" s="1415">
        <v>2.3813399999999998</v>
      </c>
    </row>
    <row r="180" spans="1:2" x14ac:dyDescent="0.35">
      <c r="A180" s="1416">
        <v>34871</v>
      </c>
      <c r="B180" s="1415">
        <v>2.34842</v>
      </c>
    </row>
    <row r="181" spans="1:2" x14ac:dyDescent="0.35">
      <c r="A181" s="1416">
        <v>34872</v>
      </c>
      <c r="B181" s="1415">
        <v>2.3593999999999999</v>
      </c>
    </row>
    <row r="182" spans="1:2" x14ac:dyDescent="0.35">
      <c r="A182" s="1416">
        <v>34873</v>
      </c>
      <c r="B182" s="1415">
        <v>2.3703699999999999</v>
      </c>
    </row>
    <row r="183" spans="1:2" x14ac:dyDescent="0.35">
      <c r="A183" s="1416">
        <v>34876</v>
      </c>
      <c r="B183" s="1415">
        <v>2.3923199999999998</v>
      </c>
    </row>
    <row r="184" spans="1:2" x14ac:dyDescent="0.35">
      <c r="A184" s="1416">
        <v>34877</v>
      </c>
      <c r="B184" s="1415">
        <v>2.44719</v>
      </c>
    </row>
    <row r="185" spans="1:2" x14ac:dyDescent="0.35">
      <c r="A185" s="1416">
        <v>34878</v>
      </c>
      <c r="B185" s="1415">
        <v>2.4581599999999999</v>
      </c>
    </row>
    <row r="186" spans="1:2" x14ac:dyDescent="0.35">
      <c r="A186" s="1416">
        <v>34879</v>
      </c>
      <c r="B186" s="1415">
        <v>2.3923199999999998</v>
      </c>
    </row>
    <row r="187" spans="1:2" x14ac:dyDescent="0.35">
      <c r="A187" s="1416">
        <v>34880</v>
      </c>
      <c r="B187" s="1415">
        <v>2.32647</v>
      </c>
    </row>
    <row r="188" spans="1:2" x14ac:dyDescent="0.35">
      <c r="A188" s="1416">
        <v>34883</v>
      </c>
      <c r="B188" s="1415">
        <v>2.33745</v>
      </c>
    </row>
    <row r="189" spans="1:2" x14ac:dyDescent="0.35">
      <c r="A189" s="1416">
        <v>34885</v>
      </c>
      <c r="B189" s="1415">
        <v>2.2825799999999998</v>
      </c>
    </row>
    <row r="190" spans="1:2" x14ac:dyDescent="0.35">
      <c r="A190" s="1416">
        <v>34886</v>
      </c>
      <c r="B190" s="1415">
        <v>2.2715999999999998</v>
      </c>
    </row>
    <row r="191" spans="1:2" x14ac:dyDescent="0.35">
      <c r="A191" s="1416">
        <v>34887</v>
      </c>
      <c r="B191" s="1415">
        <v>2.3045300000000002</v>
      </c>
    </row>
    <row r="192" spans="1:2" x14ac:dyDescent="0.35">
      <c r="A192" s="1416">
        <v>34890</v>
      </c>
      <c r="B192" s="1415">
        <v>2.24966</v>
      </c>
    </row>
    <row r="193" spans="1:2" x14ac:dyDescent="0.35">
      <c r="A193" s="1416">
        <v>34891</v>
      </c>
      <c r="B193" s="1415">
        <v>2.1728399999999999</v>
      </c>
    </row>
    <row r="194" spans="1:2" x14ac:dyDescent="0.35">
      <c r="A194" s="1416">
        <v>34892</v>
      </c>
      <c r="B194" s="1415">
        <v>2.1289400000000001</v>
      </c>
    </row>
    <row r="195" spans="1:2" x14ac:dyDescent="0.35">
      <c r="A195" s="1416">
        <v>34893</v>
      </c>
      <c r="B195" s="1415">
        <v>2.3045300000000002</v>
      </c>
    </row>
    <row r="196" spans="1:2" x14ac:dyDescent="0.35">
      <c r="A196" s="1416">
        <v>34894</v>
      </c>
      <c r="B196" s="1415">
        <v>2.2771300000000001</v>
      </c>
    </row>
    <row r="197" spans="1:2" x14ac:dyDescent="0.35">
      <c r="A197" s="1416">
        <v>34897</v>
      </c>
      <c r="B197" s="1415">
        <v>2.2825799999999998</v>
      </c>
    </row>
    <row r="198" spans="1:2" x14ac:dyDescent="0.35">
      <c r="A198" s="1416">
        <v>34898</v>
      </c>
      <c r="B198" s="1415">
        <v>2.2715999999999998</v>
      </c>
    </row>
    <row r="199" spans="1:2" x14ac:dyDescent="0.35">
      <c r="A199" s="1416">
        <v>34899</v>
      </c>
      <c r="B199" s="1415">
        <v>2.2606299999999999</v>
      </c>
    </row>
    <row r="200" spans="1:2" x14ac:dyDescent="0.35">
      <c r="A200" s="1416">
        <v>34900</v>
      </c>
      <c r="B200" s="1415">
        <v>2.2606299999999999</v>
      </c>
    </row>
    <row r="201" spans="1:2" x14ac:dyDescent="0.35">
      <c r="A201" s="1416">
        <v>34901</v>
      </c>
      <c r="B201" s="1415">
        <v>2.2606299999999999</v>
      </c>
    </row>
    <row r="202" spans="1:2" x14ac:dyDescent="0.35">
      <c r="A202" s="1416">
        <v>34904</v>
      </c>
      <c r="B202" s="1415">
        <v>2.3813399999999998</v>
      </c>
    </row>
    <row r="203" spans="1:2" x14ac:dyDescent="0.35">
      <c r="A203" s="1416">
        <v>34905</v>
      </c>
      <c r="B203" s="1415">
        <v>2.5459499999999999</v>
      </c>
    </row>
    <row r="204" spans="1:2" x14ac:dyDescent="0.35">
      <c r="A204" s="1416">
        <v>34906</v>
      </c>
      <c r="B204" s="1415">
        <v>2.6556899999999999</v>
      </c>
    </row>
    <row r="205" spans="1:2" x14ac:dyDescent="0.35">
      <c r="A205" s="1416">
        <v>34907</v>
      </c>
      <c r="B205" s="1415">
        <v>2.6008200000000001</v>
      </c>
    </row>
    <row r="206" spans="1:2" x14ac:dyDescent="0.35">
      <c r="A206" s="1416">
        <v>34908</v>
      </c>
      <c r="B206" s="1415">
        <v>2.6008200000000001</v>
      </c>
    </row>
    <row r="207" spans="1:2" x14ac:dyDescent="0.35">
      <c r="A207" s="1416">
        <v>34911</v>
      </c>
      <c r="B207" s="1415">
        <v>2.4801099999999998</v>
      </c>
    </row>
    <row r="208" spans="1:2" x14ac:dyDescent="0.35">
      <c r="A208" s="1416">
        <v>34912</v>
      </c>
      <c r="B208" s="1415">
        <v>2.4252400000000001</v>
      </c>
    </row>
    <row r="209" spans="1:2" x14ac:dyDescent="0.35">
      <c r="A209" s="1416">
        <v>34913</v>
      </c>
      <c r="B209" s="1415">
        <v>2.4910800000000002</v>
      </c>
    </row>
    <row r="210" spans="1:2" x14ac:dyDescent="0.35">
      <c r="A210" s="1416">
        <v>34914</v>
      </c>
      <c r="B210" s="1415">
        <v>2.43621</v>
      </c>
    </row>
    <row r="211" spans="1:2" x14ac:dyDescent="0.35">
      <c r="A211" s="1416">
        <v>34915</v>
      </c>
      <c r="B211" s="1415">
        <v>2.5459499999999999</v>
      </c>
    </row>
    <row r="212" spans="1:2" x14ac:dyDescent="0.35">
      <c r="A212" s="1416">
        <v>34918</v>
      </c>
      <c r="B212" s="1415">
        <v>2.4801099999999998</v>
      </c>
    </row>
    <row r="213" spans="1:2" x14ac:dyDescent="0.35">
      <c r="A213" s="1416">
        <v>34919</v>
      </c>
      <c r="B213" s="1415">
        <v>2.43621</v>
      </c>
    </row>
    <row r="214" spans="1:2" x14ac:dyDescent="0.35">
      <c r="A214" s="1416">
        <v>34920</v>
      </c>
      <c r="B214" s="1415">
        <v>2.43621</v>
      </c>
    </row>
    <row r="215" spans="1:2" x14ac:dyDescent="0.35">
      <c r="A215" s="1416">
        <v>34921</v>
      </c>
      <c r="B215" s="1415">
        <v>2.5020600000000002</v>
      </c>
    </row>
    <row r="216" spans="1:2" x14ac:dyDescent="0.35">
      <c r="A216" s="1416">
        <v>34922</v>
      </c>
      <c r="B216" s="1415">
        <v>2.5020600000000002</v>
      </c>
    </row>
    <row r="217" spans="1:2" x14ac:dyDescent="0.35">
      <c r="A217" s="1416">
        <v>34925</v>
      </c>
      <c r="B217" s="1415">
        <v>2.5678999999999998</v>
      </c>
    </row>
    <row r="218" spans="1:2" x14ac:dyDescent="0.35">
      <c r="A218" s="1416">
        <v>34926</v>
      </c>
      <c r="B218" s="1415">
        <v>2.5020600000000002</v>
      </c>
    </row>
    <row r="219" spans="1:2" x14ac:dyDescent="0.35">
      <c r="A219" s="1416">
        <v>34927</v>
      </c>
      <c r="B219" s="1415">
        <v>2.5788700000000002</v>
      </c>
    </row>
    <row r="220" spans="1:2" x14ac:dyDescent="0.35">
      <c r="A220" s="1416">
        <v>34928</v>
      </c>
      <c r="B220" s="1415">
        <v>2.6118000000000001</v>
      </c>
    </row>
    <row r="221" spans="1:2" x14ac:dyDescent="0.35">
      <c r="A221" s="1416">
        <v>34929</v>
      </c>
      <c r="B221" s="1415">
        <v>3.0068600000000001</v>
      </c>
    </row>
    <row r="222" spans="1:2" x14ac:dyDescent="0.35">
      <c r="A222" s="1416">
        <v>34932</v>
      </c>
      <c r="B222" s="1415">
        <v>2.9849100000000002</v>
      </c>
    </row>
    <row r="223" spans="1:2" x14ac:dyDescent="0.35">
      <c r="A223" s="1416">
        <v>34933</v>
      </c>
      <c r="B223" s="1415">
        <v>2.9904000000000002</v>
      </c>
    </row>
    <row r="224" spans="1:2" x14ac:dyDescent="0.35">
      <c r="A224" s="1416">
        <v>34934</v>
      </c>
      <c r="B224" s="1415">
        <v>2.9629599999999998</v>
      </c>
    </row>
    <row r="225" spans="1:2" x14ac:dyDescent="0.35">
      <c r="A225" s="1416">
        <v>34935</v>
      </c>
      <c r="B225" s="1415">
        <v>3.0068600000000001</v>
      </c>
    </row>
    <row r="226" spans="1:2" x14ac:dyDescent="0.35">
      <c r="A226" s="1416">
        <v>34936</v>
      </c>
      <c r="B226" s="1415">
        <v>2.8093300000000001</v>
      </c>
    </row>
    <row r="227" spans="1:2" x14ac:dyDescent="0.35">
      <c r="A227" s="1416">
        <v>34939</v>
      </c>
      <c r="B227" s="1415">
        <v>2.72153</v>
      </c>
    </row>
    <row r="228" spans="1:2" x14ac:dyDescent="0.35">
      <c r="A228" s="1416">
        <v>34940</v>
      </c>
      <c r="B228" s="1415">
        <v>2.5678999999999998</v>
      </c>
    </row>
    <row r="229" spans="1:2" x14ac:dyDescent="0.35">
      <c r="A229" s="1416">
        <v>34941</v>
      </c>
      <c r="B229" s="1415">
        <v>2.5898500000000002</v>
      </c>
    </row>
    <row r="230" spans="1:2" x14ac:dyDescent="0.35">
      <c r="A230" s="1416">
        <v>34942</v>
      </c>
      <c r="B230" s="1415">
        <v>2.63374</v>
      </c>
    </row>
    <row r="231" spans="1:2" x14ac:dyDescent="0.35">
      <c r="A231" s="1416">
        <v>34943</v>
      </c>
      <c r="B231" s="1415">
        <v>2.6556899999999999</v>
      </c>
    </row>
    <row r="232" spans="1:2" x14ac:dyDescent="0.35">
      <c r="A232" s="1416">
        <v>34947</v>
      </c>
      <c r="B232" s="1415">
        <v>2.6995900000000002</v>
      </c>
    </row>
    <row r="233" spans="1:2" x14ac:dyDescent="0.35">
      <c r="A233" s="1416">
        <v>34948</v>
      </c>
      <c r="B233" s="1415">
        <v>2.6995900000000002</v>
      </c>
    </row>
    <row r="234" spans="1:2" x14ac:dyDescent="0.35">
      <c r="A234" s="1416">
        <v>34949</v>
      </c>
      <c r="B234" s="1415">
        <v>2.8532199999999999</v>
      </c>
    </row>
    <row r="235" spans="1:2" x14ac:dyDescent="0.35">
      <c r="A235" s="1416">
        <v>34950</v>
      </c>
      <c r="B235" s="1415">
        <v>2.9629599999999998</v>
      </c>
    </row>
    <row r="236" spans="1:2" x14ac:dyDescent="0.35">
      <c r="A236" s="1416">
        <v>34953</v>
      </c>
      <c r="B236" s="1415">
        <v>2.9849100000000002</v>
      </c>
    </row>
    <row r="237" spans="1:2" x14ac:dyDescent="0.35">
      <c r="A237" s="1416">
        <v>34954</v>
      </c>
      <c r="B237" s="1415">
        <v>3.0287999999999999</v>
      </c>
    </row>
    <row r="238" spans="1:2" x14ac:dyDescent="0.35">
      <c r="A238" s="1416">
        <v>34955</v>
      </c>
      <c r="B238" s="1415">
        <v>3.0287999999999999</v>
      </c>
    </row>
    <row r="239" spans="1:2" x14ac:dyDescent="0.35">
      <c r="A239" s="1416">
        <v>34956</v>
      </c>
      <c r="B239" s="1415">
        <v>3.0287999999999999</v>
      </c>
    </row>
    <row r="240" spans="1:2" x14ac:dyDescent="0.35">
      <c r="A240" s="1416">
        <v>34957</v>
      </c>
      <c r="B240" s="1415">
        <v>3.22634</v>
      </c>
    </row>
    <row r="241" spans="1:2" x14ac:dyDescent="0.35">
      <c r="A241" s="1416">
        <v>34960</v>
      </c>
      <c r="B241" s="1415">
        <v>3.3799700000000001</v>
      </c>
    </row>
    <row r="242" spans="1:2" x14ac:dyDescent="0.35">
      <c r="A242" s="1416">
        <v>34961</v>
      </c>
      <c r="B242" s="1415">
        <v>3.3580199999999998</v>
      </c>
    </row>
    <row r="243" spans="1:2" x14ac:dyDescent="0.35">
      <c r="A243" s="1416">
        <v>34962</v>
      </c>
      <c r="B243" s="1415">
        <v>3.2921800000000001</v>
      </c>
    </row>
    <row r="244" spans="1:2" x14ac:dyDescent="0.35">
      <c r="A244" s="1416">
        <v>34963</v>
      </c>
      <c r="B244" s="1415">
        <v>3.3470499999999999</v>
      </c>
    </row>
    <row r="245" spans="1:2" x14ac:dyDescent="0.35">
      <c r="A245" s="1416">
        <v>34964</v>
      </c>
      <c r="B245" s="1415">
        <v>3.3360699999999999</v>
      </c>
    </row>
    <row r="246" spans="1:2" x14ac:dyDescent="0.35">
      <c r="A246" s="1416">
        <v>34967</v>
      </c>
      <c r="B246" s="1415">
        <v>3.5226299999999999</v>
      </c>
    </row>
    <row r="247" spans="1:2" x14ac:dyDescent="0.35">
      <c r="A247" s="1416">
        <v>34968</v>
      </c>
      <c r="B247" s="1415">
        <v>3.7860100000000001</v>
      </c>
    </row>
    <row r="248" spans="1:2" x14ac:dyDescent="0.35">
      <c r="A248" s="1416">
        <v>34969</v>
      </c>
      <c r="B248" s="1415">
        <v>3.4567899999999998</v>
      </c>
    </row>
    <row r="249" spans="1:2" x14ac:dyDescent="0.35">
      <c r="A249" s="1416">
        <v>34970</v>
      </c>
      <c r="B249" s="1415">
        <v>3.3580199999999998</v>
      </c>
    </row>
    <row r="250" spans="1:2" x14ac:dyDescent="0.35">
      <c r="A250" s="1416">
        <v>34971</v>
      </c>
      <c r="B250" s="1415">
        <v>3.4567899999999998</v>
      </c>
    </row>
    <row r="251" spans="1:2" x14ac:dyDescent="0.35">
      <c r="A251" s="1416">
        <v>34974</v>
      </c>
      <c r="B251" s="1415">
        <v>2.93004</v>
      </c>
    </row>
    <row r="252" spans="1:2" x14ac:dyDescent="0.35">
      <c r="A252" s="1416">
        <v>34975</v>
      </c>
      <c r="B252" s="1415">
        <v>2.9629599999999998</v>
      </c>
    </row>
    <row r="253" spans="1:2" x14ac:dyDescent="0.35">
      <c r="A253" s="1416">
        <v>34976</v>
      </c>
      <c r="B253" s="1415">
        <v>2.93004</v>
      </c>
    </row>
    <row r="254" spans="1:2" x14ac:dyDescent="0.35">
      <c r="A254" s="1416">
        <v>34977</v>
      </c>
      <c r="B254" s="1415">
        <v>3.0946500000000001</v>
      </c>
    </row>
    <row r="255" spans="1:2" x14ac:dyDescent="0.35">
      <c r="A255" s="1416">
        <v>34978</v>
      </c>
      <c r="B255" s="1415">
        <v>3.2427999999999999</v>
      </c>
    </row>
    <row r="256" spans="1:2" x14ac:dyDescent="0.35">
      <c r="A256" s="1416">
        <v>34981</v>
      </c>
      <c r="B256" s="1415">
        <v>3.2427999999999999</v>
      </c>
    </row>
    <row r="257" spans="1:2" x14ac:dyDescent="0.35">
      <c r="A257" s="1416">
        <v>34982</v>
      </c>
      <c r="B257" s="1415">
        <v>3.5555599999999998</v>
      </c>
    </row>
    <row r="258" spans="1:2" x14ac:dyDescent="0.35">
      <c r="A258" s="1416">
        <v>34983</v>
      </c>
      <c r="B258" s="1415">
        <v>3.5555599999999998</v>
      </c>
    </row>
    <row r="259" spans="1:2" x14ac:dyDescent="0.35">
      <c r="A259" s="1416">
        <v>34984</v>
      </c>
      <c r="B259" s="1415">
        <v>3.5226299999999999</v>
      </c>
    </row>
    <row r="260" spans="1:2" x14ac:dyDescent="0.35">
      <c r="A260" s="1416">
        <v>34985</v>
      </c>
      <c r="B260" s="1415">
        <v>3.5555599999999998</v>
      </c>
    </row>
    <row r="261" spans="1:2" x14ac:dyDescent="0.35">
      <c r="A261" s="1416">
        <v>34988</v>
      </c>
      <c r="B261" s="1415">
        <v>3.6707800000000002</v>
      </c>
    </row>
    <row r="262" spans="1:2" x14ac:dyDescent="0.35">
      <c r="A262" s="1416">
        <v>34989</v>
      </c>
      <c r="B262" s="1415">
        <v>3.7201599999999999</v>
      </c>
    </row>
    <row r="263" spans="1:2" x14ac:dyDescent="0.35">
      <c r="A263" s="1416">
        <v>34990</v>
      </c>
      <c r="B263" s="1415">
        <v>3.6707800000000002</v>
      </c>
    </row>
    <row r="264" spans="1:2" x14ac:dyDescent="0.35">
      <c r="A264" s="1416">
        <v>34991</v>
      </c>
      <c r="B264" s="1415">
        <v>3.4567899999999998</v>
      </c>
    </row>
    <row r="265" spans="1:2" x14ac:dyDescent="0.35">
      <c r="A265" s="1416">
        <v>34992</v>
      </c>
      <c r="B265" s="1415">
        <v>3.4732500000000002</v>
      </c>
    </row>
    <row r="266" spans="1:2" x14ac:dyDescent="0.35">
      <c r="A266" s="1416">
        <v>34995</v>
      </c>
      <c r="B266" s="1415">
        <v>3.3909500000000001</v>
      </c>
    </row>
    <row r="267" spans="1:2" x14ac:dyDescent="0.35">
      <c r="A267" s="1416">
        <v>34996</v>
      </c>
      <c r="B267" s="1415">
        <v>3.12757</v>
      </c>
    </row>
    <row r="268" spans="1:2" x14ac:dyDescent="0.35">
      <c r="A268" s="1416">
        <v>34997</v>
      </c>
      <c r="B268" s="1415">
        <v>3.2921800000000001</v>
      </c>
    </row>
    <row r="269" spans="1:2" x14ac:dyDescent="0.35">
      <c r="A269" s="1416">
        <v>34998</v>
      </c>
      <c r="B269" s="1415">
        <v>3.2757200000000002</v>
      </c>
    </row>
    <row r="270" spans="1:2" x14ac:dyDescent="0.35">
      <c r="A270" s="1416">
        <v>34999</v>
      </c>
      <c r="B270" s="1415">
        <v>3.2757200000000002</v>
      </c>
    </row>
    <row r="271" spans="1:2" x14ac:dyDescent="0.35">
      <c r="A271" s="1416">
        <v>35002</v>
      </c>
      <c r="B271" s="1415">
        <v>3.40741</v>
      </c>
    </row>
    <row r="272" spans="1:2" x14ac:dyDescent="0.35">
      <c r="A272" s="1416">
        <v>35003</v>
      </c>
      <c r="B272" s="1415">
        <v>3.4567899999999998</v>
      </c>
    </row>
    <row r="273" spans="1:2" x14ac:dyDescent="0.35">
      <c r="A273" s="1416">
        <v>35004</v>
      </c>
      <c r="B273" s="1415">
        <v>3.4403299999999999</v>
      </c>
    </row>
    <row r="274" spans="1:2" x14ac:dyDescent="0.35">
      <c r="A274" s="1416">
        <v>35005</v>
      </c>
      <c r="B274" s="1415">
        <v>3.4567899999999998</v>
      </c>
    </row>
    <row r="275" spans="1:2" x14ac:dyDescent="0.35">
      <c r="A275" s="1416">
        <v>35006</v>
      </c>
      <c r="B275" s="1415">
        <v>3.4897100000000001</v>
      </c>
    </row>
    <row r="276" spans="1:2" x14ac:dyDescent="0.35">
      <c r="A276" s="1416">
        <v>35009</v>
      </c>
      <c r="B276" s="1415">
        <v>3.50617</v>
      </c>
    </row>
    <row r="277" spans="1:2" x14ac:dyDescent="0.35">
      <c r="A277" s="1416">
        <v>35010</v>
      </c>
      <c r="B277" s="1415">
        <v>3.3580199999999998</v>
      </c>
    </row>
    <row r="278" spans="1:2" x14ac:dyDescent="0.35">
      <c r="A278" s="1416">
        <v>35011</v>
      </c>
      <c r="B278" s="1415">
        <v>3.3250999999999999</v>
      </c>
    </row>
    <row r="279" spans="1:2" x14ac:dyDescent="0.35">
      <c r="A279" s="1416">
        <v>35012</v>
      </c>
      <c r="B279" s="1415">
        <v>3.2592599999999998</v>
      </c>
    </row>
    <row r="280" spans="1:2" x14ac:dyDescent="0.35">
      <c r="A280" s="1416">
        <v>35013</v>
      </c>
      <c r="B280" s="1415">
        <v>3.3580199999999998</v>
      </c>
    </row>
    <row r="281" spans="1:2" x14ac:dyDescent="0.35">
      <c r="A281" s="1416">
        <v>35016</v>
      </c>
      <c r="B281" s="1415">
        <v>3.3580199999999998</v>
      </c>
    </row>
    <row r="282" spans="1:2" x14ac:dyDescent="0.35">
      <c r="A282" s="1416">
        <v>35017</v>
      </c>
      <c r="B282" s="1415">
        <v>3.2427999999999999</v>
      </c>
    </row>
    <row r="283" spans="1:2" x14ac:dyDescent="0.35">
      <c r="A283" s="1416">
        <v>35018</v>
      </c>
      <c r="B283" s="1415">
        <v>3.1604899999999998</v>
      </c>
    </row>
    <row r="284" spans="1:2" x14ac:dyDescent="0.35">
      <c r="A284" s="1416">
        <v>35019</v>
      </c>
      <c r="B284" s="1415">
        <v>3.2592599999999998</v>
      </c>
    </row>
    <row r="285" spans="1:2" x14ac:dyDescent="0.35">
      <c r="A285" s="1416">
        <v>35020</v>
      </c>
      <c r="B285" s="1415">
        <v>3.3250999999999999</v>
      </c>
    </row>
    <row r="286" spans="1:2" x14ac:dyDescent="0.35">
      <c r="A286" s="1416">
        <v>35023</v>
      </c>
      <c r="B286" s="1415">
        <v>3.42387</v>
      </c>
    </row>
    <row r="287" spans="1:2" x14ac:dyDescent="0.35">
      <c r="A287" s="1416">
        <v>35024</v>
      </c>
      <c r="B287" s="1415">
        <v>3.42387</v>
      </c>
    </row>
    <row r="288" spans="1:2" x14ac:dyDescent="0.35">
      <c r="A288" s="1416">
        <v>35025</v>
      </c>
      <c r="B288" s="1415">
        <v>3.5884800000000001</v>
      </c>
    </row>
    <row r="289" spans="1:2" x14ac:dyDescent="0.35">
      <c r="A289" s="1416">
        <v>35027</v>
      </c>
      <c r="B289" s="1415">
        <v>3.5884800000000001</v>
      </c>
    </row>
    <row r="290" spans="1:2" x14ac:dyDescent="0.35">
      <c r="A290" s="1416">
        <v>35030</v>
      </c>
      <c r="B290" s="1415">
        <v>3.5555599999999998</v>
      </c>
    </row>
    <row r="291" spans="1:2" x14ac:dyDescent="0.35">
      <c r="A291" s="1416">
        <v>35031</v>
      </c>
      <c r="B291" s="1415">
        <v>3.7530899999999998</v>
      </c>
    </row>
    <row r="292" spans="1:2" x14ac:dyDescent="0.35">
      <c r="A292" s="1416">
        <v>35032</v>
      </c>
      <c r="B292" s="1415">
        <v>3.8847700000000001</v>
      </c>
    </row>
    <row r="293" spans="1:2" x14ac:dyDescent="0.35">
      <c r="A293" s="1416">
        <v>35033</v>
      </c>
      <c r="B293" s="1415">
        <v>4.0493800000000002</v>
      </c>
    </row>
    <row r="294" spans="1:2" x14ac:dyDescent="0.35">
      <c r="A294" s="1416">
        <v>35034</v>
      </c>
      <c r="B294" s="1415">
        <v>4.1810700000000001</v>
      </c>
    </row>
    <row r="295" spans="1:2" x14ac:dyDescent="0.35">
      <c r="A295" s="1416">
        <v>35037</v>
      </c>
      <c r="B295" s="1415">
        <v>4.3456799999999998</v>
      </c>
    </row>
    <row r="296" spans="1:2" x14ac:dyDescent="0.35">
      <c r="A296" s="1416">
        <v>35038</v>
      </c>
      <c r="B296" s="1415">
        <v>4.2798299999999996</v>
      </c>
    </row>
    <row r="297" spans="1:2" x14ac:dyDescent="0.35">
      <c r="A297" s="1416">
        <v>35039</v>
      </c>
      <c r="B297" s="1415">
        <v>4.2469099999999997</v>
      </c>
    </row>
    <row r="298" spans="1:2" x14ac:dyDescent="0.35">
      <c r="A298" s="1416">
        <v>35040</v>
      </c>
      <c r="B298" s="1415">
        <v>4.3127599999999999</v>
      </c>
    </row>
    <row r="299" spans="1:2" x14ac:dyDescent="0.35">
      <c r="A299" s="1416">
        <v>35041</v>
      </c>
      <c r="B299" s="1415">
        <v>4.2139899999999999</v>
      </c>
    </row>
    <row r="300" spans="1:2" x14ac:dyDescent="0.35">
      <c r="A300" s="1416">
        <v>35044</v>
      </c>
      <c r="B300" s="1415">
        <v>4.4115200000000003</v>
      </c>
    </row>
    <row r="301" spans="1:2" x14ac:dyDescent="0.35">
      <c r="A301" s="1416">
        <v>35045</v>
      </c>
      <c r="B301" s="1415">
        <v>4.3292200000000003</v>
      </c>
    </row>
    <row r="302" spans="1:2" x14ac:dyDescent="0.35">
      <c r="A302" s="1416">
        <v>35046</v>
      </c>
      <c r="B302" s="1415">
        <v>4.6749000000000001</v>
      </c>
    </row>
    <row r="303" spans="1:2" x14ac:dyDescent="0.35">
      <c r="A303" s="1416">
        <v>35047</v>
      </c>
      <c r="B303" s="1415">
        <v>4.4773699999999996</v>
      </c>
    </row>
    <row r="304" spans="1:2" x14ac:dyDescent="0.35">
      <c r="A304" s="1416">
        <v>35048</v>
      </c>
      <c r="B304" s="1415">
        <v>4.39506</v>
      </c>
    </row>
    <row r="305" spans="1:2" x14ac:dyDescent="0.35">
      <c r="A305" s="1416">
        <v>35051</v>
      </c>
      <c r="B305" s="1415">
        <v>4.4609100000000002</v>
      </c>
    </row>
    <row r="306" spans="1:2" x14ac:dyDescent="0.35">
      <c r="A306" s="1416">
        <v>35052</v>
      </c>
      <c r="B306" s="1415">
        <v>4.4773699999999996</v>
      </c>
    </row>
    <row r="307" spans="1:2" x14ac:dyDescent="0.35">
      <c r="A307" s="1416">
        <v>35053</v>
      </c>
      <c r="B307" s="1415">
        <v>4.5596699999999997</v>
      </c>
    </row>
    <row r="308" spans="1:2" x14ac:dyDescent="0.35">
      <c r="A308" s="1416">
        <v>35054</v>
      </c>
      <c r="B308" s="1415">
        <v>4.6419699999999997</v>
      </c>
    </row>
    <row r="309" spans="1:2" x14ac:dyDescent="0.35">
      <c r="A309" s="1416">
        <v>35055</v>
      </c>
      <c r="B309" s="1415">
        <v>4.9382700000000002</v>
      </c>
    </row>
    <row r="310" spans="1:2" x14ac:dyDescent="0.35">
      <c r="A310" s="1416">
        <v>35059</v>
      </c>
      <c r="B310" s="1415">
        <v>4.9876500000000004</v>
      </c>
    </row>
    <row r="311" spans="1:2" x14ac:dyDescent="0.35">
      <c r="A311" s="1416">
        <v>35060</v>
      </c>
      <c r="B311" s="1415">
        <v>4.8395099999999998</v>
      </c>
    </row>
    <row r="312" spans="1:2" x14ac:dyDescent="0.35">
      <c r="A312" s="1416">
        <v>35061</v>
      </c>
      <c r="B312" s="1415">
        <v>5.3333300000000001</v>
      </c>
    </row>
    <row r="313" spans="1:2" x14ac:dyDescent="0.35">
      <c r="A313" s="1416">
        <v>35062</v>
      </c>
      <c r="B313" s="1415">
        <v>5.1522600000000001</v>
      </c>
    </row>
    <row r="314" spans="1:2" x14ac:dyDescent="0.35">
      <c r="A314" s="1416">
        <v>35066</v>
      </c>
      <c r="B314" s="1415">
        <v>4.8395099999999998</v>
      </c>
    </row>
    <row r="315" spans="1:2" x14ac:dyDescent="0.35">
      <c r="A315" s="1416">
        <v>35067</v>
      </c>
      <c r="B315" s="1415">
        <v>4.5432100000000002</v>
      </c>
    </row>
    <row r="316" spans="1:2" x14ac:dyDescent="0.35">
      <c r="A316" s="1416">
        <v>35068</v>
      </c>
      <c r="B316" s="1415">
        <v>4.8065800000000003</v>
      </c>
    </row>
    <row r="317" spans="1:2" x14ac:dyDescent="0.35">
      <c r="A317" s="1416">
        <v>35069</v>
      </c>
      <c r="B317" s="1415">
        <v>5.0370400000000002</v>
      </c>
    </row>
    <row r="318" spans="1:2" x14ac:dyDescent="0.35">
      <c r="A318" s="1416">
        <v>35072</v>
      </c>
      <c r="B318" s="1415">
        <v>5.0041099999999998</v>
      </c>
    </row>
    <row r="319" spans="1:2" x14ac:dyDescent="0.35">
      <c r="A319" s="1416">
        <v>35073</v>
      </c>
      <c r="B319" s="1415">
        <v>4.9053500000000003</v>
      </c>
    </row>
    <row r="320" spans="1:2" x14ac:dyDescent="0.35">
      <c r="A320" s="1416">
        <v>35074</v>
      </c>
      <c r="B320" s="1415">
        <v>4.2798299999999996</v>
      </c>
    </row>
    <row r="321" spans="1:2" x14ac:dyDescent="0.35">
      <c r="A321" s="1416">
        <v>35075</v>
      </c>
      <c r="B321" s="1415">
        <v>4.6749000000000001</v>
      </c>
    </row>
    <row r="322" spans="1:2" x14ac:dyDescent="0.35">
      <c r="A322" s="1416">
        <v>35076</v>
      </c>
      <c r="B322" s="1415">
        <v>4.4444400000000002</v>
      </c>
    </row>
    <row r="323" spans="1:2" x14ac:dyDescent="0.35">
      <c r="A323" s="1416">
        <v>35079</v>
      </c>
      <c r="B323" s="1415">
        <v>4.3785999999999996</v>
      </c>
    </row>
    <row r="324" spans="1:2" x14ac:dyDescent="0.35">
      <c r="A324" s="1416">
        <v>35080</v>
      </c>
      <c r="B324" s="1415">
        <v>4.4444400000000002</v>
      </c>
    </row>
    <row r="325" spans="1:2" x14ac:dyDescent="0.35">
      <c r="A325" s="1416">
        <v>35081</v>
      </c>
      <c r="B325" s="1415">
        <v>4.1481500000000002</v>
      </c>
    </row>
    <row r="326" spans="1:2" x14ac:dyDescent="0.35">
      <c r="A326" s="1416">
        <v>35082</v>
      </c>
      <c r="B326" s="1415">
        <v>4.1481500000000002</v>
      </c>
    </row>
    <row r="327" spans="1:2" x14ac:dyDescent="0.35">
      <c r="A327" s="1416">
        <v>35083</v>
      </c>
      <c r="B327" s="1415">
        <v>4.3456799999999998</v>
      </c>
    </row>
    <row r="328" spans="1:2" x14ac:dyDescent="0.35">
      <c r="A328" s="1416">
        <v>35086</v>
      </c>
      <c r="B328" s="1415">
        <v>4.4115200000000003</v>
      </c>
    </row>
    <row r="329" spans="1:2" x14ac:dyDescent="0.35">
      <c r="A329" s="1416">
        <v>35087</v>
      </c>
      <c r="B329" s="1415">
        <v>4.3785999999999996</v>
      </c>
    </row>
    <row r="330" spans="1:2" x14ac:dyDescent="0.35">
      <c r="A330" s="1416">
        <v>35088</v>
      </c>
      <c r="B330" s="1415">
        <v>4.3456799999999998</v>
      </c>
    </row>
    <row r="331" spans="1:2" x14ac:dyDescent="0.35">
      <c r="A331" s="1416">
        <v>35089</v>
      </c>
      <c r="B331" s="1415">
        <v>4.5432100000000002</v>
      </c>
    </row>
    <row r="332" spans="1:2" x14ac:dyDescent="0.35">
      <c r="A332" s="1416">
        <v>35090</v>
      </c>
      <c r="B332" s="1415">
        <v>4.6255100000000002</v>
      </c>
    </row>
    <row r="333" spans="1:2" x14ac:dyDescent="0.35">
      <c r="A333" s="1416">
        <v>35093</v>
      </c>
      <c r="B333" s="1415">
        <v>4.6749000000000001</v>
      </c>
    </row>
    <row r="334" spans="1:2" x14ac:dyDescent="0.35">
      <c r="A334" s="1416">
        <v>35094</v>
      </c>
      <c r="B334" s="1415">
        <v>4.6749000000000001</v>
      </c>
    </row>
    <row r="335" spans="1:2" x14ac:dyDescent="0.35">
      <c r="A335" s="1416">
        <v>35095</v>
      </c>
      <c r="B335" s="1415">
        <v>4.9053500000000003</v>
      </c>
    </row>
    <row r="336" spans="1:2" x14ac:dyDescent="0.35">
      <c r="A336" s="1416">
        <v>35096</v>
      </c>
      <c r="B336" s="1415">
        <v>4.8065800000000003</v>
      </c>
    </row>
    <row r="337" spans="1:2" x14ac:dyDescent="0.35">
      <c r="A337" s="1416">
        <v>35097</v>
      </c>
      <c r="B337" s="1415">
        <v>5.06996</v>
      </c>
    </row>
    <row r="338" spans="1:2" x14ac:dyDescent="0.35">
      <c r="A338" s="1416">
        <v>35100</v>
      </c>
      <c r="B338" s="1415">
        <v>5.2016400000000003</v>
      </c>
    </row>
    <row r="339" spans="1:2" x14ac:dyDescent="0.35">
      <c r="A339" s="1416">
        <v>35101</v>
      </c>
      <c r="B339" s="1415">
        <v>5.46502</v>
      </c>
    </row>
    <row r="340" spans="1:2" x14ac:dyDescent="0.35">
      <c r="A340" s="1416">
        <v>35102</v>
      </c>
      <c r="B340" s="1415">
        <v>5.3004100000000003</v>
      </c>
    </row>
    <row r="341" spans="1:2" x14ac:dyDescent="0.35">
      <c r="A341" s="1416">
        <v>35103</v>
      </c>
      <c r="B341" s="1415">
        <v>5.4321000000000002</v>
      </c>
    </row>
    <row r="342" spans="1:2" x14ac:dyDescent="0.35">
      <c r="A342" s="1416">
        <v>35104</v>
      </c>
      <c r="B342" s="1415">
        <v>5.7613200000000004</v>
      </c>
    </row>
    <row r="343" spans="1:2" x14ac:dyDescent="0.35">
      <c r="A343" s="1416">
        <v>35107</v>
      </c>
      <c r="B343" s="1415">
        <v>5.4979399999999998</v>
      </c>
    </row>
    <row r="344" spans="1:2" x14ac:dyDescent="0.35">
      <c r="A344" s="1416">
        <v>35108</v>
      </c>
      <c r="B344" s="1415">
        <v>5.1357999999999997</v>
      </c>
    </row>
    <row r="345" spans="1:2" x14ac:dyDescent="0.35">
      <c r="A345" s="1416">
        <v>35109</v>
      </c>
      <c r="B345" s="1415">
        <v>5.1357999999999997</v>
      </c>
    </row>
    <row r="346" spans="1:2" x14ac:dyDescent="0.35">
      <c r="A346" s="1416">
        <v>35110</v>
      </c>
      <c r="B346" s="1415">
        <v>5.1687200000000004</v>
      </c>
    </row>
    <row r="347" spans="1:2" x14ac:dyDescent="0.35">
      <c r="A347" s="1416">
        <v>35111</v>
      </c>
      <c r="B347" s="1415">
        <v>5.1687200000000004</v>
      </c>
    </row>
    <row r="348" spans="1:2" x14ac:dyDescent="0.35">
      <c r="A348" s="1416">
        <v>35115</v>
      </c>
      <c r="B348" s="1415">
        <v>5.06996</v>
      </c>
    </row>
    <row r="349" spans="1:2" x14ac:dyDescent="0.35">
      <c r="A349" s="1416">
        <v>35116</v>
      </c>
      <c r="B349" s="1415">
        <v>4.9382700000000002</v>
      </c>
    </row>
    <row r="350" spans="1:2" x14ac:dyDescent="0.35">
      <c r="A350" s="1416">
        <v>35117</v>
      </c>
      <c r="B350" s="1415">
        <v>5.1357999999999997</v>
      </c>
    </row>
    <row r="351" spans="1:2" x14ac:dyDescent="0.35">
      <c r="A351" s="1416">
        <v>35118</v>
      </c>
      <c r="B351" s="1415">
        <v>5.0534999999999997</v>
      </c>
    </row>
    <row r="352" spans="1:2" x14ac:dyDescent="0.35">
      <c r="A352" s="1416">
        <v>35121</v>
      </c>
      <c r="B352" s="1415">
        <v>5.1357999999999997</v>
      </c>
    </row>
    <row r="353" spans="1:2" x14ac:dyDescent="0.35">
      <c r="A353" s="1416">
        <v>35122</v>
      </c>
      <c r="B353" s="1415">
        <v>5.3004100000000003</v>
      </c>
    </row>
    <row r="354" spans="1:2" x14ac:dyDescent="0.35">
      <c r="A354" s="1416">
        <v>35123</v>
      </c>
      <c r="B354" s="1415">
        <v>5.3004100000000003</v>
      </c>
    </row>
    <row r="355" spans="1:2" x14ac:dyDescent="0.35">
      <c r="A355" s="1416">
        <v>35124</v>
      </c>
      <c r="B355" s="1415">
        <v>5.2674899999999996</v>
      </c>
    </row>
    <row r="356" spans="1:2" x14ac:dyDescent="0.35">
      <c r="A356" s="1416">
        <v>35125</v>
      </c>
      <c r="B356" s="1415">
        <v>5.5802500000000004</v>
      </c>
    </row>
    <row r="357" spans="1:2" x14ac:dyDescent="0.35">
      <c r="A357" s="1416">
        <v>35128</v>
      </c>
      <c r="B357" s="1415">
        <v>5.6296299999999997</v>
      </c>
    </row>
    <row r="358" spans="1:2" x14ac:dyDescent="0.35">
      <c r="A358" s="1416">
        <v>35129</v>
      </c>
      <c r="B358" s="1415">
        <v>5.7530900000000003</v>
      </c>
    </row>
    <row r="359" spans="1:2" x14ac:dyDescent="0.35">
      <c r="A359" s="1416">
        <v>35130</v>
      </c>
      <c r="B359" s="1415">
        <v>5.7407399999999997</v>
      </c>
    </row>
    <row r="360" spans="1:2" x14ac:dyDescent="0.35">
      <c r="A360" s="1416">
        <v>35131</v>
      </c>
      <c r="B360" s="1415">
        <v>5.4567899999999998</v>
      </c>
    </row>
    <row r="361" spans="1:2" x14ac:dyDescent="0.35">
      <c r="A361" s="1416">
        <v>35132</v>
      </c>
      <c r="B361" s="1415">
        <v>5.1604900000000002</v>
      </c>
    </row>
    <row r="362" spans="1:2" x14ac:dyDescent="0.35">
      <c r="A362" s="1416">
        <v>35135</v>
      </c>
      <c r="B362" s="1415">
        <v>5.5802500000000004</v>
      </c>
    </row>
    <row r="363" spans="1:2" x14ac:dyDescent="0.35">
      <c r="A363" s="1416">
        <v>35136</v>
      </c>
      <c r="B363" s="1415">
        <v>5.2839499999999999</v>
      </c>
    </row>
    <row r="364" spans="1:2" x14ac:dyDescent="0.35">
      <c r="A364" s="1416">
        <v>35137</v>
      </c>
      <c r="B364" s="1415">
        <v>5.1851799999999999</v>
      </c>
    </row>
    <row r="365" spans="1:2" x14ac:dyDescent="0.35">
      <c r="A365" s="1416">
        <v>35138</v>
      </c>
      <c r="B365" s="1415">
        <v>5.6543200000000002</v>
      </c>
    </row>
    <row r="366" spans="1:2" x14ac:dyDescent="0.35">
      <c r="A366" s="1416">
        <v>35139</v>
      </c>
      <c r="B366" s="1415">
        <v>6.1728399999999999</v>
      </c>
    </row>
    <row r="367" spans="1:2" x14ac:dyDescent="0.35">
      <c r="A367" s="1416">
        <v>35142</v>
      </c>
      <c r="B367" s="1415">
        <v>7.1357999999999997</v>
      </c>
    </row>
    <row r="368" spans="1:2" x14ac:dyDescent="0.35">
      <c r="A368" s="1416">
        <v>35143</v>
      </c>
      <c r="B368" s="1415">
        <v>7.9259199999999996</v>
      </c>
    </row>
    <row r="369" spans="1:2" x14ac:dyDescent="0.35">
      <c r="A369" s="1416">
        <v>35144</v>
      </c>
      <c r="B369" s="1415">
        <v>7.4814800000000004</v>
      </c>
    </row>
    <row r="370" spans="1:2" x14ac:dyDescent="0.35">
      <c r="A370" s="1416">
        <v>35145</v>
      </c>
      <c r="B370" s="1415">
        <v>7.2592600000000003</v>
      </c>
    </row>
    <row r="371" spans="1:2" x14ac:dyDescent="0.35">
      <c r="A371" s="1416">
        <v>35146</v>
      </c>
      <c r="B371" s="1415">
        <v>7.2716000000000003</v>
      </c>
    </row>
    <row r="372" spans="1:2" x14ac:dyDescent="0.35">
      <c r="A372" s="1416">
        <v>35149</v>
      </c>
      <c r="B372" s="1415">
        <v>6.7901199999999999</v>
      </c>
    </row>
    <row r="373" spans="1:2" x14ac:dyDescent="0.35">
      <c r="A373" s="1416">
        <v>35150</v>
      </c>
      <c r="B373" s="1415">
        <v>6.9629599999999998</v>
      </c>
    </row>
    <row r="374" spans="1:2" x14ac:dyDescent="0.35">
      <c r="A374" s="1416">
        <v>35151</v>
      </c>
      <c r="B374" s="1415">
        <v>7.1357999999999997</v>
      </c>
    </row>
    <row r="375" spans="1:2" x14ac:dyDescent="0.35">
      <c r="A375" s="1416">
        <v>35152</v>
      </c>
      <c r="B375" s="1415">
        <v>7.4567899999999998</v>
      </c>
    </row>
    <row r="376" spans="1:2" x14ac:dyDescent="0.35">
      <c r="A376" s="1416">
        <v>35153</v>
      </c>
      <c r="B376" s="1415">
        <v>7.7037000000000004</v>
      </c>
    </row>
    <row r="377" spans="1:2" x14ac:dyDescent="0.35">
      <c r="A377" s="1416">
        <v>35156</v>
      </c>
      <c r="B377" s="1415">
        <v>7.5678999999999998</v>
      </c>
    </row>
    <row r="378" spans="1:2" x14ac:dyDescent="0.35">
      <c r="A378" s="1416">
        <v>35157</v>
      </c>
      <c r="B378" s="1415">
        <v>7.50617</v>
      </c>
    </row>
    <row r="379" spans="1:2" x14ac:dyDescent="0.35">
      <c r="A379" s="1416">
        <v>35158</v>
      </c>
      <c r="B379" s="1415">
        <v>7.3086399999999996</v>
      </c>
    </row>
    <row r="380" spans="1:2" x14ac:dyDescent="0.35">
      <c r="A380" s="1416">
        <v>35159</v>
      </c>
      <c r="B380" s="1415">
        <v>7.6543200000000002</v>
      </c>
    </row>
    <row r="381" spans="1:2" x14ac:dyDescent="0.35">
      <c r="A381" s="1416">
        <v>35163</v>
      </c>
      <c r="B381" s="1415">
        <v>7.5802500000000004</v>
      </c>
    </row>
    <row r="382" spans="1:2" x14ac:dyDescent="0.35">
      <c r="A382" s="1416">
        <v>35164</v>
      </c>
      <c r="B382" s="1415">
        <v>8</v>
      </c>
    </row>
    <row r="383" spans="1:2" x14ac:dyDescent="0.35">
      <c r="A383" s="1416">
        <v>35165</v>
      </c>
      <c r="B383" s="1415">
        <v>7.8518499999999998</v>
      </c>
    </row>
    <row r="384" spans="1:2" x14ac:dyDescent="0.35">
      <c r="A384" s="1416">
        <v>35166</v>
      </c>
      <c r="B384" s="1415">
        <v>7.9506100000000002</v>
      </c>
    </row>
    <row r="385" spans="1:2" x14ac:dyDescent="0.35">
      <c r="A385" s="1416">
        <v>35167</v>
      </c>
      <c r="B385" s="1415">
        <v>8</v>
      </c>
    </row>
    <row r="386" spans="1:2" x14ac:dyDescent="0.35">
      <c r="A386" s="1416">
        <v>35170</v>
      </c>
      <c r="B386" s="1415">
        <v>8.2222200000000001</v>
      </c>
    </row>
    <row r="387" spans="1:2" x14ac:dyDescent="0.35">
      <c r="A387" s="1416">
        <v>35171</v>
      </c>
      <c r="B387" s="1415">
        <v>8.1975300000000004</v>
      </c>
    </row>
    <row r="388" spans="1:2" x14ac:dyDescent="0.35">
      <c r="A388" s="1416">
        <v>35172</v>
      </c>
      <c r="B388" s="1415">
        <v>8.0740700000000007</v>
      </c>
    </row>
    <row r="389" spans="1:2" x14ac:dyDescent="0.35">
      <c r="A389" s="1416">
        <v>35173</v>
      </c>
      <c r="B389" s="1415">
        <v>8.0246899999999997</v>
      </c>
    </row>
    <row r="390" spans="1:2" x14ac:dyDescent="0.35">
      <c r="A390" s="1416">
        <v>35174</v>
      </c>
      <c r="B390" s="1415">
        <v>7.8024699999999996</v>
      </c>
    </row>
    <row r="391" spans="1:2" x14ac:dyDescent="0.35">
      <c r="A391" s="1416">
        <v>35177</v>
      </c>
      <c r="B391" s="1415">
        <v>8.1975300000000004</v>
      </c>
    </row>
    <row r="392" spans="1:2" x14ac:dyDescent="0.35">
      <c r="A392" s="1416">
        <v>35178</v>
      </c>
      <c r="B392" s="1415">
        <v>8.4938199999999995</v>
      </c>
    </row>
    <row r="393" spans="1:2" x14ac:dyDescent="0.35">
      <c r="A393" s="1416">
        <v>35179</v>
      </c>
      <c r="B393" s="1415">
        <v>8.2962900000000008</v>
      </c>
    </row>
    <row r="394" spans="1:2" x14ac:dyDescent="0.35">
      <c r="A394" s="1416">
        <v>35180</v>
      </c>
      <c r="B394" s="1415">
        <v>8.2469099999999997</v>
      </c>
    </row>
    <row r="395" spans="1:2" x14ac:dyDescent="0.35">
      <c r="A395" s="1416">
        <v>35181</v>
      </c>
      <c r="B395" s="1415">
        <v>8.2962900000000008</v>
      </c>
    </row>
    <row r="396" spans="1:2" x14ac:dyDescent="0.35">
      <c r="A396" s="1416">
        <v>35184</v>
      </c>
      <c r="B396" s="1415">
        <v>8.5432100000000002</v>
      </c>
    </row>
    <row r="397" spans="1:2" x14ac:dyDescent="0.35">
      <c r="A397" s="1416">
        <v>35185</v>
      </c>
      <c r="B397" s="1415">
        <v>8.6913599999999995</v>
      </c>
    </row>
    <row r="398" spans="1:2" x14ac:dyDescent="0.35">
      <c r="A398" s="1416">
        <v>35186</v>
      </c>
      <c r="B398" s="1415">
        <v>8.3456799999999998</v>
      </c>
    </row>
    <row r="399" spans="1:2" x14ac:dyDescent="0.35">
      <c r="A399" s="1416">
        <v>35187</v>
      </c>
      <c r="B399" s="1415">
        <v>7.5555500000000002</v>
      </c>
    </row>
    <row r="400" spans="1:2" x14ac:dyDescent="0.35">
      <c r="A400" s="1416">
        <v>35188</v>
      </c>
      <c r="B400" s="1415">
        <v>7.8024699999999996</v>
      </c>
    </row>
    <row r="401" spans="1:2" x14ac:dyDescent="0.35">
      <c r="A401" s="1416">
        <v>35191</v>
      </c>
      <c r="B401" s="1415">
        <v>7.8765400000000003</v>
      </c>
    </row>
    <row r="402" spans="1:2" x14ac:dyDescent="0.35">
      <c r="A402" s="1416">
        <v>35192</v>
      </c>
      <c r="B402" s="1415">
        <v>8.2469099999999997</v>
      </c>
    </row>
    <row r="403" spans="1:2" x14ac:dyDescent="0.35">
      <c r="A403" s="1416">
        <v>35193</v>
      </c>
      <c r="B403" s="1415">
        <v>8.1975300000000004</v>
      </c>
    </row>
    <row r="404" spans="1:2" x14ac:dyDescent="0.35">
      <c r="A404" s="1416">
        <v>35194</v>
      </c>
      <c r="B404" s="1415">
        <v>8.2715999999999994</v>
      </c>
    </row>
    <row r="405" spans="1:2" x14ac:dyDescent="0.35">
      <c r="A405" s="1416">
        <v>35195</v>
      </c>
      <c r="B405" s="1415">
        <v>8.4444400000000002</v>
      </c>
    </row>
    <row r="406" spans="1:2" x14ac:dyDescent="0.35">
      <c r="A406" s="1416">
        <v>35198</v>
      </c>
      <c r="B406" s="1415">
        <v>8.6913599999999995</v>
      </c>
    </row>
    <row r="407" spans="1:2" x14ac:dyDescent="0.35">
      <c r="A407" s="1416">
        <v>35199</v>
      </c>
      <c r="B407" s="1415">
        <v>8.4938199999999995</v>
      </c>
    </row>
    <row r="408" spans="1:2" x14ac:dyDescent="0.35">
      <c r="A408" s="1416">
        <v>35200</v>
      </c>
      <c r="B408" s="1415">
        <v>8.7654300000000003</v>
      </c>
    </row>
    <row r="409" spans="1:2" x14ac:dyDescent="0.35">
      <c r="A409" s="1416">
        <v>35201</v>
      </c>
      <c r="B409" s="1415">
        <v>9.3333300000000001</v>
      </c>
    </row>
    <row r="410" spans="1:2" x14ac:dyDescent="0.35">
      <c r="A410" s="1416">
        <v>35202</v>
      </c>
      <c r="B410" s="1415">
        <v>8.88889</v>
      </c>
    </row>
    <row r="411" spans="1:2" x14ac:dyDescent="0.35">
      <c r="A411" s="1416">
        <v>35205</v>
      </c>
      <c r="B411" s="1415">
        <v>8.9876500000000004</v>
      </c>
    </row>
    <row r="412" spans="1:2" x14ac:dyDescent="0.35">
      <c r="A412" s="1416">
        <v>35206</v>
      </c>
      <c r="B412" s="1415">
        <v>8.7901199999999999</v>
      </c>
    </row>
    <row r="413" spans="1:2" x14ac:dyDescent="0.35">
      <c r="A413" s="1416">
        <v>35207</v>
      </c>
      <c r="B413" s="1415">
        <v>8.5925899999999995</v>
      </c>
    </row>
    <row r="414" spans="1:2" x14ac:dyDescent="0.35">
      <c r="A414" s="1416">
        <v>35208</v>
      </c>
      <c r="B414" s="1415">
        <v>8.3456799999999998</v>
      </c>
    </row>
    <row r="415" spans="1:2" x14ac:dyDescent="0.35">
      <c r="A415" s="1416">
        <v>35209</v>
      </c>
      <c r="B415" s="1415">
        <v>8.4938199999999995</v>
      </c>
    </row>
    <row r="416" spans="1:2" x14ac:dyDescent="0.35">
      <c r="A416" s="1416">
        <v>35213</v>
      </c>
      <c r="B416" s="1415">
        <v>8.7901199999999999</v>
      </c>
    </row>
    <row r="417" spans="1:2" x14ac:dyDescent="0.35">
      <c r="A417" s="1416">
        <v>35214</v>
      </c>
      <c r="B417" s="1415">
        <v>9.2345600000000001</v>
      </c>
    </row>
    <row r="418" spans="1:2" x14ac:dyDescent="0.35">
      <c r="A418" s="1416">
        <v>35215</v>
      </c>
      <c r="B418" s="1415">
        <v>9.1357999999999997</v>
      </c>
    </row>
    <row r="419" spans="1:2" x14ac:dyDescent="0.35">
      <c r="A419" s="1416">
        <v>35216</v>
      </c>
      <c r="B419" s="1415">
        <v>9.3827099999999994</v>
      </c>
    </row>
    <row r="420" spans="1:2" x14ac:dyDescent="0.35">
      <c r="A420" s="1416">
        <v>35219</v>
      </c>
      <c r="B420" s="1415">
        <v>9.1851800000000008</v>
      </c>
    </row>
    <row r="421" spans="1:2" x14ac:dyDescent="0.35">
      <c r="A421" s="1416">
        <v>35220</v>
      </c>
      <c r="B421" s="1415">
        <v>9.11111</v>
      </c>
    </row>
    <row r="422" spans="1:2" x14ac:dyDescent="0.35">
      <c r="A422" s="1416">
        <v>35221</v>
      </c>
      <c r="B422" s="1415">
        <v>9.11111</v>
      </c>
    </row>
    <row r="423" spans="1:2" x14ac:dyDescent="0.35">
      <c r="A423" s="1416">
        <v>35222</v>
      </c>
      <c r="B423" s="1415">
        <v>8.9629600000000007</v>
      </c>
    </row>
    <row r="424" spans="1:2" x14ac:dyDescent="0.35">
      <c r="A424" s="1416">
        <v>35223</v>
      </c>
      <c r="B424" s="1415">
        <v>9.3333300000000001</v>
      </c>
    </row>
    <row r="425" spans="1:2" x14ac:dyDescent="0.35">
      <c r="A425" s="1416">
        <v>35226</v>
      </c>
      <c r="B425" s="1415">
        <v>9.5185200000000005</v>
      </c>
    </row>
    <row r="426" spans="1:2" x14ac:dyDescent="0.35">
      <c r="A426" s="1416">
        <v>35227</v>
      </c>
      <c r="B426" s="1415">
        <v>9.2222200000000001</v>
      </c>
    </row>
    <row r="427" spans="1:2" x14ac:dyDescent="0.35">
      <c r="A427" s="1416">
        <v>35228</v>
      </c>
      <c r="B427" s="1415">
        <v>9.3333300000000001</v>
      </c>
    </row>
    <row r="428" spans="1:2" x14ac:dyDescent="0.35">
      <c r="A428" s="1416">
        <v>35229</v>
      </c>
      <c r="B428" s="1415">
        <v>9.2592599999999994</v>
      </c>
    </row>
    <row r="429" spans="1:2" x14ac:dyDescent="0.35">
      <c r="A429" s="1416">
        <v>35230</v>
      </c>
      <c r="B429" s="1415">
        <v>9.1481499999999993</v>
      </c>
    </row>
    <row r="430" spans="1:2" x14ac:dyDescent="0.35">
      <c r="A430" s="1416">
        <v>35233</v>
      </c>
      <c r="B430" s="1415">
        <v>7.8518499999999998</v>
      </c>
    </row>
    <row r="431" spans="1:2" x14ac:dyDescent="0.35">
      <c r="A431" s="1416">
        <v>35234</v>
      </c>
      <c r="B431" s="1415">
        <v>8.7407400000000006</v>
      </c>
    </row>
    <row r="432" spans="1:2" x14ac:dyDescent="0.35">
      <c r="A432" s="1416">
        <v>35235</v>
      </c>
      <c r="B432" s="1415">
        <v>8.6666699999999999</v>
      </c>
    </row>
    <row r="433" spans="1:2" x14ac:dyDescent="0.35">
      <c r="A433" s="1416">
        <v>35236</v>
      </c>
      <c r="B433" s="1415">
        <v>8.3703699999999994</v>
      </c>
    </row>
    <row r="434" spans="1:2" x14ac:dyDescent="0.35">
      <c r="A434" s="1416">
        <v>35237</v>
      </c>
      <c r="B434" s="1415">
        <v>9.0370299999999997</v>
      </c>
    </row>
    <row r="435" spans="1:2" x14ac:dyDescent="0.35">
      <c r="A435" s="1416">
        <v>35240</v>
      </c>
      <c r="B435" s="1415">
        <v>9.0370299999999997</v>
      </c>
    </row>
    <row r="436" spans="1:2" x14ac:dyDescent="0.35">
      <c r="A436" s="1416">
        <v>35241</v>
      </c>
      <c r="B436" s="1415">
        <v>8.4444400000000002</v>
      </c>
    </row>
    <row r="437" spans="1:2" x14ac:dyDescent="0.35">
      <c r="A437" s="1416">
        <v>35242</v>
      </c>
      <c r="B437" s="1415">
        <v>7.7037000000000004</v>
      </c>
    </row>
    <row r="438" spans="1:2" x14ac:dyDescent="0.35">
      <c r="A438" s="1416">
        <v>35243</v>
      </c>
      <c r="B438" s="1415">
        <v>7.9259199999999996</v>
      </c>
    </row>
    <row r="439" spans="1:2" x14ac:dyDescent="0.35">
      <c r="A439" s="1416">
        <v>35244</v>
      </c>
      <c r="B439" s="1415">
        <v>8.2963000000000005</v>
      </c>
    </row>
    <row r="440" spans="1:2" x14ac:dyDescent="0.35">
      <c r="A440" s="1416">
        <v>35247</v>
      </c>
      <c r="B440" s="1415">
        <v>8.7407400000000006</v>
      </c>
    </row>
    <row r="441" spans="1:2" x14ac:dyDescent="0.35">
      <c r="A441" s="1416">
        <v>35248</v>
      </c>
      <c r="B441" s="1415">
        <v>7.8518499999999998</v>
      </c>
    </row>
    <row r="442" spans="1:2" x14ac:dyDescent="0.35">
      <c r="A442" s="1416">
        <v>35249</v>
      </c>
      <c r="B442" s="1415">
        <v>8.5185200000000005</v>
      </c>
    </row>
    <row r="443" spans="1:2" x14ac:dyDescent="0.35">
      <c r="A443" s="1416">
        <v>35251</v>
      </c>
      <c r="B443" s="1415">
        <v>8</v>
      </c>
    </row>
    <row r="444" spans="1:2" x14ac:dyDescent="0.35">
      <c r="A444" s="1416">
        <v>35254</v>
      </c>
      <c r="B444" s="1415">
        <v>7.9259199999999996</v>
      </c>
    </row>
    <row r="445" spans="1:2" x14ac:dyDescent="0.35">
      <c r="A445" s="1416">
        <v>35255</v>
      </c>
      <c r="B445" s="1415">
        <v>8.4444400000000002</v>
      </c>
    </row>
    <row r="446" spans="1:2" x14ac:dyDescent="0.35">
      <c r="A446" s="1416">
        <v>35256</v>
      </c>
      <c r="B446" s="1415">
        <v>8.4074100000000005</v>
      </c>
    </row>
    <row r="447" spans="1:2" x14ac:dyDescent="0.35">
      <c r="A447" s="1416">
        <v>35257</v>
      </c>
      <c r="B447" s="1415">
        <v>7.9259199999999996</v>
      </c>
    </row>
    <row r="448" spans="1:2" x14ac:dyDescent="0.35">
      <c r="A448" s="1416">
        <v>35258</v>
      </c>
      <c r="B448" s="1415">
        <v>8.2963000000000005</v>
      </c>
    </row>
    <row r="449" spans="1:2" x14ac:dyDescent="0.35">
      <c r="A449" s="1416">
        <v>35261</v>
      </c>
      <c r="B449" s="1415">
        <v>7.6296299999999997</v>
      </c>
    </row>
    <row r="450" spans="1:2" x14ac:dyDescent="0.35">
      <c r="A450" s="1416">
        <v>35262</v>
      </c>
      <c r="B450" s="1415">
        <v>7.9259199999999996</v>
      </c>
    </row>
    <row r="451" spans="1:2" x14ac:dyDescent="0.35">
      <c r="A451" s="1416">
        <v>35263</v>
      </c>
      <c r="B451" s="1415">
        <v>7.3333300000000001</v>
      </c>
    </row>
    <row r="452" spans="1:2" x14ac:dyDescent="0.35">
      <c r="A452" s="1416">
        <v>35264</v>
      </c>
      <c r="B452" s="1415">
        <v>7.6296299999999997</v>
      </c>
    </row>
    <row r="453" spans="1:2" x14ac:dyDescent="0.35">
      <c r="A453" s="1416">
        <v>35265</v>
      </c>
      <c r="B453" s="1415">
        <v>7.7407399999999997</v>
      </c>
    </row>
    <row r="454" spans="1:2" x14ac:dyDescent="0.35">
      <c r="A454" s="1416">
        <v>35268</v>
      </c>
      <c r="B454" s="1415">
        <v>7.4814800000000004</v>
      </c>
    </row>
    <row r="455" spans="1:2" x14ac:dyDescent="0.35">
      <c r="A455" s="1416">
        <v>35269</v>
      </c>
      <c r="B455" s="1415">
        <v>7.4814800000000004</v>
      </c>
    </row>
    <row r="456" spans="1:2" x14ac:dyDescent="0.35">
      <c r="A456" s="1416">
        <v>35270</v>
      </c>
      <c r="B456" s="1415">
        <v>7.6666699999999999</v>
      </c>
    </row>
    <row r="457" spans="1:2" x14ac:dyDescent="0.35">
      <c r="A457" s="1416">
        <v>35271</v>
      </c>
      <c r="B457" s="1415">
        <v>8</v>
      </c>
    </row>
    <row r="458" spans="1:2" x14ac:dyDescent="0.35">
      <c r="A458" s="1416">
        <v>35272</v>
      </c>
      <c r="B458" s="1415">
        <v>8.1481499999999993</v>
      </c>
    </row>
    <row r="459" spans="1:2" x14ac:dyDescent="0.35">
      <c r="A459" s="1416">
        <v>35275</v>
      </c>
      <c r="B459" s="1415">
        <v>8.1481499999999993</v>
      </c>
    </row>
    <row r="460" spans="1:2" x14ac:dyDescent="0.35">
      <c r="A460" s="1416">
        <v>35276</v>
      </c>
      <c r="B460" s="1415">
        <v>8.11111</v>
      </c>
    </row>
    <row r="461" spans="1:2" x14ac:dyDescent="0.35">
      <c r="A461" s="1416">
        <v>35277</v>
      </c>
      <c r="B461" s="1415">
        <v>8.1481499999999993</v>
      </c>
    </row>
    <row r="462" spans="1:2" x14ac:dyDescent="0.35">
      <c r="A462" s="1416">
        <v>35278</v>
      </c>
      <c r="B462" s="1415">
        <v>8.2222200000000001</v>
      </c>
    </row>
    <row r="463" spans="1:2" x14ac:dyDescent="0.35">
      <c r="A463" s="1416">
        <v>35279</v>
      </c>
      <c r="B463" s="1415">
        <v>8.1481499999999993</v>
      </c>
    </row>
    <row r="464" spans="1:2" x14ac:dyDescent="0.35">
      <c r="A464" s="1416">
        <v>35282</v>
      </c>
      <c r="B464" s="1415">
        <v>7.8518499999999998</v>
      </c>
    </row>
    <row r="465" spans="1:2" x14ac:dyDescent="0.35">
      <c r="A465" s="1416">
        <v>35283</v>
      </c>
      <c r="B465" s="1415">
        <v>8.1481499999999993</v>
      </c>
    </row>
    <row r="466" spans="1:2" x14ac:dyDescent="0.35">
      <c r="A466" s="1416">
        <v>35284</v>
      </c>
      <c r="B466" s="1415">
        <v>8.2963000000000005</v>
      </c>
    </row>
    <row r="467" spans="1:2" x14ac:dyDescent="0.35">
      <c r="A467" s="1416">
        <v>35285</v>
      </c>
      <c r="B467" s="1415">
        <v>8.2222200000000001</v>
      </c>
    </row>
    <row r="468" spans="1:2" x14ac:dyDescent="0.35">
      <c r="A468" s="1416">
        <v>35286</v>
      </c>
      <c r="B468" s="1415">
        <v>7.7407399999999997</v>
      </c>
    </row>
    <row r="469" spans="1:2" x14ac:dyDescent="0.35">
      <c r="A469" s="1416">
        <v>35289</v>
      </c>
      <c r="B469" s="1415">
        <v>7.5925900000000004</v>
      </c>
    </row>
    <row r="470" spans="1:2" x14ac:dyDescent="0.35">
      <c r="A470" s="1416">
        <v>35290</v>
      </c>
      <c r="B470" s="1415">
        <v>7.5925900000000004</v>
      </c>
    </row>
    <row r="471" spans="1:2" x14ac:dyDescent="0.35">
      <c r="A471" s="1416">
        <v>35291</v>
      </c>
      <c r="B471" s="1415">
        <v>7.9259199999999996</v>
      </c>
    </row>
    <row r="472" spans="1:2" x14ac:dyDescent="0.35">
      <c r="A472" s="1416">
        <v>35292</v>
      </c>
      <c r="B472" s="1415">
        <v>7.6666699999999999</v>
      </c>
    </row>
    <row r="473" spans="1:2" x14ac:dyDescent="0.35">
      <c r="A473" s="1416">
        <v>35293</v>
      </c>
      <c r="B473" s="1415">
        <v>7.7407399999999997</v>
      </c>
    </row>
    <row r="474" spans="1:2" x14ac:dyDescent="0.35">
      <c r="A474" s="1416">
        <v>35296</v>
      </c>
      <c r="B474" s="1415">
        <v>7.6296299999999997</v>
      </c>
    </row>
    <row r="475" spans="1:2" x14ac:dyDescent="0.35">
      <c r="A475" s="1416">
        <v>35297</v>
      </c>
      <c r="B475" s="1415">
        <v>7.6296299999999997</v>
      </c>
    </row>
    <row r="476" spans="1:2" x14ac:dyDescent="0.35">
      <c r="A476" s="1416">
        <v>35298</v>
      </c>
      <c r="B476" s="1415">
        <v>7.3333300000000001</v>
      </c>
    </row>
    <row r="477" spans="1:2" x14ac:dyDescent="0.35">
      <c r="A477" s="1416">
        <v>35299</v>
      </c>
      <c r="B477" s="1415">
        <v>7.11111</v>
      </c>
    </row>
    <row r="478" spans="1:2" x14ac:dyDescent="0.35">
      <c r="A478" s="1416">
        <v>35300</v>
      </c>
      <c r="B478" s="1415">
        <v>7.1481500000000002</v>
      </c>
    </row>
    <row r="479" spans="1:2" x14ac:dyDescent="0.35">
      <c r="A479" s="1416">
        <v>35303</v>
      </c>
      <c r="B479" s="1415">
        <v>7.2222200000000001</v>
      </c>
    </row>
    <row r="480" spans="1:2" x14ac:dyDescent="0.35">
      <c r="A480" s="1416">
        <v>35304</v>
      </c>
      <c r="B480" s="1415">
        <v>6.88889</v>
      </c>
    </row>
    <row r="481" spans="1:2" x14ac:dyDescent="0.35">
      <c r="A481" s="1416">
        <v>35305</v>
      </c>
      <c r="B481" s="1415">
        <v>7.4074099999999996</v>
      </c>
    </row>
    <row r="482" spans="1:2" x14ac:dyDescent="0.35">
      <c r="A482" s="1416">
        <v>35306</v>
      </c>
      <c r="B482" s="1415">
        <v>7.4444400000000002</v>
      </c>
    </row>
    <row r="483" spans="1:2" x14ac:dyDescent="0.35">
      <c r="A483" s="1416">
        <v>35307</v>
      </c>
      <c r="B483" s="1415">
        <v>7.5555500000000002</v>
      </c>
    </row>
    <row r="484" spans="1:2" x14ac:dyDescent="0.35">
      <c r="A484" s="1416">
        <v>35311</v>
      </c>
      <c r="B484" s="1415">
        <v>7.4814800000000004</v>
      </c>
    </row>
    <row r="485" spans="1:2" x14ac:dyDescent="0.35">
      <c r="A485" s="1416">
        <v>35312</v>
      </c>
      <c r="B485" s="1415">
        <v>7.2407399999999997</v>
      </c>
    </row>
    <row r="486" spans="1:2" x14ac:dyDescent="0.35">
      <c r="A486" s="1416">
        <v>35313</v>
      </c>
      <c r="B486" s="1415">
        <v>6.6666699999999999</v>
      </c>
    </row>
    <row r="487" spans="1:2" x14ac:dyDescent="0.35">
      <c r="A487" s="1416">
        <v>35314</v>
      </c>
      <c r="B487" s="1415">
        <v>6.7777799999999999</v>
      </c>
    </row>
    <row r="488" spans="1:2" x14ac:dyDescent="0.35">
      <c r="A488" s="1416">
        <v>35317</v>
      </c>
      <c r="B488" s="1415">
        <v>6.88889</v>
      </c>
    </row>
    <row r="489" spans="1:2" x14ac:dyDescent="0.35">
      <c r="A489" s="1416">
        <v>35318</v>
      </c>
      <c r="B489" s="1415">
        <v>7.3703700000000003</v>
      </c>
    </row>
    <row r="490" spans="1:2" x14ac:dyDescent="0.35">
      <c r="A490" s="1416">
        <v>35319</v>
      </c>
      <c r="B490" s="1415">
        <v>8.0740700000000007</v>
      </c>
    </row>
    <row r="491" spans="1:2" x14ac:dyDescent="0.35">
      <c r="A491" s="1416">
        <v>35320</v>
      </c>
      <c r="B491" s="1415">
        <v>9.11111</v>
      </c>
    </row>
    <row r="492" spans="1:2" x14ac:dyDescent="0.35">
      <c r="A492" s="1416">
        <v>35321</v>
      </c>
      <c r="B492" s="1415">
        <v>8.6666699999999999</v>
      </c>
    </row>
    <row r="493" spans="1:2" x14ac:dyDescent="0.35">
      <c r="A493" s="1416">
        <v>35324</v>
      </c>
      <c r="B493" s="1415">
        <v>8.6666699999999999</v>
      </c>
    </row>
    <row r="494" spans="1:2" x14ac:dyDescent="0.35">
      <c r="A494" s="1416">
        <v>35325</v>
      </c>
      <c r="B494" s="1415">
        <v>8.5925899999999995</v>
      </c>
    </row>
    <row r="495" spans="1:2" x14ac:dyDescent="0.35">
      <c r="A495" s="1416">
        <v>35326</v>
      </c>
      <c r="B495" s="1415">
        <v>9.2592599999999994</v>
      </c>
    </row>
    <row r="496" spans="1:2" x14ac:dyDescent="0.35">
      <c r="A496" s="1416">
        <v>35327</v>
      </c>
      <c r="B496" s="1415">
        <v>9.3703699999999994</v>
      </c>
    </row>
    <row r="497" spans="1:2" x14ac:dyDescent="0.35">
      <c r="A497" s="1416">
        <v>35328</v>
      </c>
      <c r="B497" s="1415">
        <v>9.4074100000000005</v>
      </c>
    </row>
    <row r="498" spans="1:2" x14ac:dyDescent="0.35">
      <c r="A498" s="1416">
        <v>35331</v>
      </c>
      <c r="B498" s="1415">
        <v>8.88889</v>
      </c>
    </row>
    <row r="499" spans="1:2" x14ac:dyDescent="0.35">
      <c r="A499" s="1416">
        <v>35332</v>
      </c>
      <c r="B499" s="1415">
        <v>8.8148099999999996</v>
      </c>
    </row>
    <row r="500" spans="1:2" x14ac:dyDescent="0.35">
      <c r="A500" s="1416">
        <v>35333</v>
      </c>
      <c r="B500" s="1415">
        <v>8.8518500000000007</v>
      </c>
    </row>
    <row r="501" spans="1:2" x14ac:dyDescent="0.35">
      <c r="A501" s="1416">
        <v>35334</v>
      </c>
      <c r="B501" s="1415">
        <v>8.7777799999999999</v>
      </c>
    </row>
    <row r="502" spans="1:2" x14ac:dyDescent="0.35">
      <c r="A502" s="1416">
        <v>35335</v>
      </c>
      <c r="B502" s="1415">
        <v>8.4444400000000002</v>
      </c>
    </row>
    <row r="503" spans="1:2" x14ac:dyDescent="0.35">
      <c r="A503" s="1416">
        <v>35338</v>
      </c>
      <c r="B503" s="1415">
        <v>7.9259199999999996</v>
      </c>
    </row>
    <row r="504" spans="1:2" x14ac:dyDescent="0.35">
      <c r="A504" s="1416">
        <v>35339</v>
      </c>
      <c r="B504" s="1415">
        <v>8.2963000000000005</v>
      </c>
    </row>
    <row r="505" spans="1:2" x14ac:dyDescent="0.35">
      <c r="A505" s="1416">
        <v>35340</v>
      </c>
      <c r="B505" s="1415">
        <v>8.4444400000000002</v>
      </c>
    </row>
    <row r="506" spans="1:2" x14ac:dyDescent="0.35">
      <c r="A506" s="1416">
        <v>35341</v>
      </c>
      <c r="B506" s="1415">
        <v>8.3703699999999994</v>
      </c>
    </row>
    <row r="507" spans="1:2" x14ac:dyDescent="0.35">
      <c r="A507" s="1416">
        <v>35342</v>
      </c>
      <c r="B507" s="1415">
        <v>8.4444400000000002</v>
      </c>
    </row>
    <row r="508" spans="1:2" x14ac:dyDescent="0.35">
      <c r="A508" s="1416">
        <v>35345</v>
      </c>
      <c r="B508" s="1415">
        <v>7.9259199999999996</v>
      </c>
    </row>
    <row r="509" spans="1:2" x14ac:dyDescent="0.35">
      <c r="A509" s="1416">
        <v>35346</v>
      </c>
      <c r="B509" s="1415">
        <v>8</v>
      </c>
    </row>
    <row r="510" spans="1:2" x14ac:dyDescent="0.35">
      <c r="A510" s="1416">
        <v>35347</v>
      </c>
      <c r="B510" s="1415">
        <v>7.9259199999999996</v>
      </c>
    </row>
    <row r="511" spans="1:2" x14ac:dyDescent="0.35">
      <c r="A511" s="1416">
        <v>35348</v>
      </c>
      <c r="B511" s="1415">
        <v>8.0740700000000007</v>
      </c>
    </row>
    <row r="512" spans="1:2" x14ac:dyDescent="0.35">
      <c r="A512" s="1416">
        <v>35349</v>
      </c>
      <c r="B512" s="1415">
        <v>7.7407399999999997</v>
      </c>
    </row>
    <row r="513" spans="1:2" x14ac:dyDescent="0.35">
      <c r="A513" s="1416">
        <v>35352</v>
      </c>
      <c r="B513" s="1415">
        <v>7.8148099999999996</v>
      </c>
    </row>
    <row r="514" spans="1:2" x14ac:dyDescent="0.35">
      <c r="A514" s="1416">
        <v>35353</v>
      </c>
      <c r="B514" s="1415">
        <v>7.7777799999999999</v>
      </c>
    </row>
    <row r="515" spans="1:2" x14ac:dyDescent="0.35">
      <c r="A515" s="1416">
        <v>35354</v>
      </c>
      <c r="B515" s="1415">
        <v>8.3703699999999994</v>
      </c>
    </row>
    <row r="516" spans="1:2" x14ac:dyDescent="0.35">
      <c r="A516" s="1416">
        <v>35355</v>
      </c>
      <c r="B516" s="1415">
        <v>8</v>
      </c>
    </row>
    <row r="517" spans="1:2" x14ac:dyDescent="0.35">
      <c r="A517" s="1416">
        <v>35356</v>
      </c>
      <c r="B517" s="1415">
        <v>7.9259199999999996</v>
      </c>
    </row>
    <row r="518" spans="1:2" x14ac:dyDescent="0.35">
      <c r="A518" s="1416">
        <v>35359</v>
      </c>
      <c r="B518" s="1415">
        <v>8.4629600000000007</v>
      </c>
    </row>
    <row r="519" spans="1:2" x14ac:dyDescent="0.35">
      <c r="A519" s="1416">
        <v>35360</v>
      </c>
      <c r="B519" s="1415">
        <v>8.9074100000000005</v>
      </c>
    </row>
    <row r="520" spans="1:2" x14ac:dyDescent="0.35">
      <c r="A520" s="1416">
        <v>35361</v>
      </c>
      <c r="B520" s="1415">
        <v>8.9259199999999996</v>
      </c>
    </row>
    <row r="521" spans="1:2" x14ac:dyDescent="0.35">
      <c r="A521" s="1416">
        <v>35362</v>
      </c>
      <c r="B521" s="1415">
        <v>8.0740700000000007</v>
      </c>
    </row>
    <row r="522" spans="1:2" x14ac:dyDescent="0.35">
      <c r="A522" s="1416">
        <v>35363</v>
      </c>
      <c r="B522" s="1415">
        <v>8</v>
      </c>
    </row>
    <row r="523" spans="1:2" x14ac:dyDescent="0.35">
      <c r="A523" s="1416">
        <v>35366</v>
      </c>
      <c r="B523" s="1415">
        <v>8.2222200000000001</v>
      </c>
    </row>
    <row r="524" spans="1:2" x14ac:dyDescent="0.35">
      <c r="A524" s="1416">
        <v>35367</v>
      </c>
      <c r="B524" s="1415">
        <v>8.11111</v>
      </c>
    </row>
    <row r="525" spans="1:2" x14ac:dyDescent="0.35">
      <c r="A525" s="1416">
        <v>35368</v>
      </c>
      <c r="B525" s="1415">
        <v>8.2592599999999994</v>
      </c>
    </row>
    <row r="526" spans="1:2" x14ac:dyDescent="0.35">
      <c r="A526" s="1416">
        <v>35369</v>
      </c>
      <c r="B526" s="1415">
        <v>8.1481499999999993</v>
      </c>
    </row>
    <row r="527" spans="1:2" x14ac:dyDescent="0.35">
      <c r="A527" s="1416">
        <v>35370</v>
      </c>
      <c r="B527" s="1415">
        <v>8.1481499999999993</v>
      </c>
    </row>
    <row r="528" spans="1:2" x14ac:dyDescent="0.35">
      <c r="A528" s="1416">
        <v>35373</v>
      </c>
      <c r="B528" s="1415">
        <v>7.9629599999999998</v>
      </c>
    </row>
    <row r="529" spans="1:2" x14ac:dyDescent="0.35">
      <c r="A529" s="1416">
        <v>35374</v>
      </c>
      <c r="B529" s="1415">
        <v>7.8518499999999998</v>
      </c>
    </row>
    <row r="530" spans="1:2" x14ac:dyDescent="0.35">
      <c r="A530" s="1416">
        <v>35375</v>
      </c>
      <c r="B530" s="1415">
        <v>8.3333300000000001</v>
      </c>
    </row>
    <row r="531" spans="1:2" x14ac:dyDescent="0.35">
      <c r="A531" s="1416">
        <v>35376</v>
      </c>
      <c r="B531" s="1415">
        <v>8.3703699999999994</v>
      </c>
    </row>
    <row r="532" spans="1:2" x14ac:dyDescent="0.35">
      <c r="A532" s="1416">
        <v>35377</v>
      </c>
      <c r="B532" s="1415">
        <v>8.5185200000000005</v>
      </c>
    </row>
    <row r="533" spans="1:2" x14ac:dyDescent="0.35">
      <c r="A533" s="1416">
        <v>35380</v>
      </c>
      <c r="B533" s="1415">
        <v>8.3703699999999994</v>
      </c>
    </row>
    <row r="534" spans="1:2" x14ac:dyDescent="0.35">
      <c r="A534" s="1416">
        <v>35381</v>
      </c>
      <c r="B534" s="1415">
        <v>8.0740700000000007</v>
      </c>
    </row>
    <row r="535" spans="1:2" x14ac:dyDescent="0.35">
      <c r="A535" s="1416">
        <v>35382</v>
      </c>
      <c r="B535" s="1415">
        <v>8.0370399999999993</v>
      </c>
    </row>
    <row r="536" spans="1:2" x14ac:dyDescent="0.35">
      <c r="A536" s="1416">
        <v>35383</v>
      </c>
      <c r="B536" s="1415">
        <v>8.1851800000000008</v>
      </c>
    </row>
    <row r="537" spans="1:2" x14ac:dyDescent="0.35">
      <c r="A537" s="1416">
        <v>35384</v>
      </c>
      <c r="B537" s="1415">
        <v>8.1481499999999993</v>
      </c>
    </row>
    <row r="538" spans="1:2" x14ac:dyDescent="0.35">
      <c r="A538" s="1416">
        <v>35387</v>
      </c>
      <c r="B538" s="1415">
        <v>7.88889</v>
      </c>
    </row>
    <row r="539" spans="1:2" x14ac:dyDescent="0.35">
      <c r="A539" s="1416">
        <v>35388</v>
      </c>
      <c r="B539" s="1415">
        <v>7.8518499999999998</v>
      </c>
    </row>
    <row r="540" spans="1:2" x14ac:dyDescent="0.35">
      <c r="A540" s="1416">
        <v>35389</v>
      </c>
      <c r="B540" s="1415">
        <v>8.0740700000000007</v>
      </c>
    </row>
    <row r="541" spans="1:2" x14ac:dyDescent="0.35">
      <c r="A541" s="1416">
        <v>35390</v>
      </c>
      <c r="B541" s="1415">
        <v>7.6666699999999999</v>
      </c>
    </row>
    <row r="542" spans="1:2" x14ac:dyDescent="0.35">
      <c r="A542" s="1416">
        <v>35391</v>
      </c>
      <c r="B542" s="1415">
        <v>7.7037000000000004</v>
      </c>
    </row>
    <row r="543" spans="1:2" x14ac:dyDescent="0.35">
      <c r="A543" s="1416">
        <v>35394</v>
      </c>
      <c r="B543" s="1415">
        <v>7.5185199999999996</v>
      </c>
    </row>
    <row r="544" spans="1:2" x14ac:dyDescent="0.35">
      <c r="A544" s="1416">
        <v>35395</v>
      </c>
      <c r="B544" s="1415">
        <v>7.3333300000000001</v>
      </c>
    </row>
    <row r="545" spans="1:2" x14ac:dyDescent="0.35">
      <c r="A545" s="1416">
        <v>35396</v>
      </c>
      <c r="B545" s="1415">
        <v>7.4814800000000004</v>
      </c>
    </row>
    <row r="546" spans="1:2" x14ac:dyDescent="0.35">
      <c r="A546" s="1416">
        <v>35398</v>
      </c>
      <c r="B546" s="1415">
        <v>7.6666699999999999</v>
      </c>
    </row>
    <row r="547" spans="1:2" x14ac:dyDescent="0.35">
      <c r="A547" s="1416">
        <v>35401</v>
      </c>
      <c r="B547" s="1415">
        <v>7.5555500000000002</v>
      </c>
    </row>
    <row r="548" spans="1:2" x14ac:dyDescent="0.35">
      <c r="A548" s="1416">
        <v>35402</v>
      </c>
      <c r="B548" s="1415">
        <v>7.7777799999999999</v>
      </c>
    </row>
    <row r="549" spans="1:2" x14ac:dyDescent="0.35">
      <c r="A549" s="1416">
        <v>35403</v>
      </c>
      <c r="B549" s="1415">
        <v>7.7407399999999997</v>
      </c>
    </row>
    <row r="550" spans="1:2" x14ac:dyDescent="0.35">
      <c r="A550" s="1416">
        <v>35404</v>
      </c>
      <c r="B550" s="1415">
        <v>7.7037000000000004</v>
      </c>
    </row>
    <row r="551" spans="1:2" x14ac:dyDescent="0.35">
      <c r="A551" s="1416">
        <v>35405</v>
      </c>
      <c r="B551" s="1415">
        <v>7.7037000000000004</v>
      </c>
    </row>
    <row r="552" spans="1:2" x14ac:dyDescent="0.35">
      <c r="A552" s="1416">
        <v>35408</v>
      </c>
      <c r="B552" s="1415">
        <v>8.1851800000000008</v>
      </c>
    </row>
    <row r="553" spans="1:2" x14ac:dyDescent="0.35">
      <c r="A553" s="1416">
        <v>35409</v>
      </c>
      <c r="B553" s="1415">
        <v>8.3333300000000001</v>
      </c>
    </row>
    <row r="554" spans="1:2" x14ac:dyDescent="0.35">
      <c r="A554" s="1416">
        <v>35410</v>
      </c>
      <c r="B554" s="1415">
        <v>8.1481499999999993</v>
      </c>
    </row>
    <row r="555" spans="1:2" x14ac:dyDescent="0.35">
      <c r="A555" s="1416">
        <v>35411</v>
      </c>
      <c r="B555" s="1415">
        <v>8.0370399999999993</v>
      </c>
    </row>
    <row r="556" spans="1:2" x14ac:dyDescent="0.35">
      <c r="A556" s="1416">
        <v>35412</v>
      </c>
      <c r="B556" s="1415">
        <v>8.0370399999999993</v>
      </c>
    </row>
    <row r="557" spans="1:2" x14ac:dyDescent="0.35">
      <c r="A557" s="1416">
        <v>35415</v>
      </c>
      <c r="B557" s="1415">
        <v>7.6666699999999999</v>
      </c>
    </row>
    <row r="558" spans="1:2" x14ac:dyDescent="0.35">
      <c r="A558" s="1416">
        <v>35416</v>
      </c>
      <c r="B558" s="1415">
        <v>8.2963000000000005</v>
      </c>
    </row>
    <row r="559" spans="1:2" x14ac:dyDescent="0.35">
      <c r="A559" s="1416">
        <v>35417</v>
      </c>
      <c r="B559" s="1415">
        <v>8.7407400000000006</v>
      </c>
    </row>
    <row r="560" spans="1:2" x14ac:dyDescent="0.35">
      <c r="A560" s="1416">
        <v>35418</v>
      </c>
      <c r="B560" s="1415">
        <v>8.9074100000000005</v>
      </c>
    </row>
    <row r="561" spans="1:2" x14ac:dyDescent="0.35">
      <c r="A561" s="1416">
        <v>35419</v>
      </c>
      <c r="B561" s="1415">
        <v>8.6296300000000006</v>
      </c>
    </row>
    <row r="562" spans="1:2" x14ac:dyDescent="0.35">
      <c r="A562" s="1416">
        <v>35422</v>
      </c>
      <c r="B562" s="1415">
        <v>8.5185200000000005</v>
      </c>
    </row>
    <row r="563" spans="1:2" x14ac:dyDescent="0.35">
      <c r="A563" s="1416">
        <v>35423</v>
      </c>
      <c r="B563" s="1415">
        <v>8.4444400000000002</v>
      </c>
    </row>
    <row r="564" spans="1:2" x14ac:dyDescent="0.35">
      <c r="A564" s="1416">
        <v>35425</v>
      </c>
      <c r="B564" s="1415">
        <v>8.8148099999999996</v>
      </c>
    </row>
    <row r="565" spans="1:2" x14ac:dyDescent="0.35">
      <c r="A565" s="1416">
        <v>35426</v>
      </c>
      <c r="B565" s="1415">
        <v>9.3333300000000001</v>
      </c>
    </row>
    <row r="566" spans="1:2" x14ac:dyDescent="0.35">
      <c r="A566" s="1416">
        <v>35429</v>
      </c>
      <c r="B566" s="1415">
        <v>10.148149999999999</v>
      </c>
    </row>
    <row r="567" spans="1:2" x14ac:dyDescent="0.35">
      <c r="A567" s="1416">
        <v>35430</v>
      </c>
      <c r="B567" s="1415">
        <v>9.9074100000000005</v>
      </c>
    </row>
    <row r="568" spans="1:2" x14ac:dyDescent="0.35">
      <c r="A568" s="1416">
        <v>35432</v>
      </c>
      <c r="B568" s="1415">
        <v>9.5555500000000002</v>
      </c>
    </row>
    <row r="569" spans="1:2" x14ac:dyDescent="0.35">
      <c r="A569" s="1416">
        <v>35433</v>
      </c>
      <c r="B569" s="1415">
        <v>10.370369999999999</v>
      </c>
    </row>
    <row r="570" spans="1:2" x14ac:dyDescent="0.35">
      <c r="A570" s="1416">
        <v>35436</v>
      </c>
      <c r="B570" s="1415">
        <v>10.851850000000001</v>
      </c>
    </row>
    <row r="571" spans="1:2" x14ac:dyDescent="0.35">
      <c r="A571" s="1416">
        <v>35437</v>
      </c>
      <c r="B571" s="1415">
        <v>10.518520000000001</v>
      </c>
    </row>
    <row r="572" spans="1:2" x14ac:dyDescent="0.35">
      <c r="A572" s="1416">
        <v>35438</v>
      </c>
      <c r="B572" s="1415">
        <v>10.481479999999999</v>
      </c>
    </row>
    <row r="573" spans="1:2" x14ac:dyDescent="0.35">
      <c r="A573" s="1416">
        <v>35439</v>
      </c>
      <c r="B573" s="1415">
        <v>10.66667</v>
      </c>
    </row>
    <row r="574" spans="1:2" x14ac:dyDescent="0.35">
      <c r="A574" s="1416">
        <v>35440</v>
      </c>
      <c r="B574" s="1415">
        <v>10.518520000000001</v>
      </c>
    </row>
    <row r="575" spans="1:2" x14ac:dyDescent="0.35">
      <c r="A575" s="1416">
        <v>35443</v>
      </c>
      <c r="B575" s="1415">
        <v>10.148149999999999</v>
      </c>
    </row>
    <row r="576" spans="1:2" x14ac:dyDescent="0.35">
      <c r="A576" s="1416">
        <v>35444</v>
      </c>
      <c r="B576" s="1415">
        <v>10.03703</v>
      </c>
    </row>
    <row r="577" spans="1:2" x14ac:dyDescent="0.35">
      <c r="A577" s="1416">
        <v>35445</v>
      </c>
      <c r="B577" s="1415">
        <v>9.9259199999999996</v>
      </c>
    </row>
    <row r="578" spans="1:2" x14ac:dyDescent="0.35">
      <c r="A578" s="1416">
        <v>35446</v>
      </c>
      <c r="B578" s="1415">
        <v>10.11111</v>
      </c>
    </row>
    <row r="579" spans="1:2" x14ac:dyDescent="0.35">
      <c r="A579" s="1416">
        <v>35447</v>
      </c>
      <c r="B579" s="1415">
        <v>10.66667</v>
      </c>
    </row>
    <row r="580" spans="1:2" x14ac:dyDescent="0.35">
      <c r="A580" s="1416">
        <v>35450</v>
      </c>
      <c r="B580" s="1415">
        <v>10.81481</v>
      </c>
    </row>
    <row r="581" spans="1:2" x14ac:dyDescent="0.35">
      <c r="A581" s="1416">
        <v>35451</v>
      </c>
      <c r="B581" s="1415">
        <v>10.962960000000001</v>
      </c>
    </row>
    <row r="582" spans="1:2" x14ac:dyDescent="0.35">
      <c r="A582" s="1416">
        <v>35452</v>
      </c>
      <c r="B582" s="1415">
        <v>10.740740000000001</v>
      </c>
    </row>
    <row r="583" spans="1:2" x14ac:dyDescent="0.35">
      <c r="A583" s="1416">
        <v>35453</v>
      </c>
      <c r="B583" s="1415">
        <v>10.66667</v>
      </c>
    </row>
    <row r="584" spans="1:2" x14ac:dyDescent="0.35">
      <c r="A584" s="1416">
        <v>35454</v>
      </c>
      <c r="B584" s="1415">
        <v>10.55555</v>
      </c>
    </row>
    <row r="585" spans="1:2" x14ac:dyDescent="0.35">
      <c r="A585" s="1416">
        <v>35457</v>
      </c>
      <c r="B585" s="1415">
        <v>10.33333</v>
      </c>
    </row>
    <row r="586" spans="1:2" x14ac:dyDescent="0.35">
      <c r="A586" s="1416">
        <v>35458</v>
      </c>
      <c r="B586" s="1415">
        <v>9.8148099999999996</v>
      </c>
    </row>
    <row r="587" spans="1:2" x14ac:dyDescent="0.35">
      <c r="A587" s="1416">
        <v>35459</v>
      </c>
      <c r="B587" s="1415">
        <v>9.2222200000000001</v>
      </c>
    </row>
    <row r="588" spans="1:2" x14ac:dyDescent="0.35">
      <c r="A588" s="1416">
        <v>35460</v>
      </c>
      <c r="B588" s="1415">
        <v>9.7777799999999999</v>
      </c>
    </row>
    <row r="589" spans="1:2" x14ac:dyDescent="0.35">
      <c r="A589" s="1416">
        <v>35461</v>
      </c>
      <c r="B589" s="1415">
        <v>9.8518500000000007</v>
      </c>
    </row>
    <row r="590" spans="1:2" x14ac:dyDescent="0.35">
      <c r="A590" s="1416">
        <v>35464</v>
      </c>
      <c r="B590" s="1415">
        <v>9.2592599999999994</v>
      </c>
    </row>
    <row r="591" spans="1:2" x14ac:dyDescent="0.35">
      <c r="A591" s="1416">
        <v>35465</v>
      </c>
      <c r="B591" s="1415">
        <v>9.11111</v>
      </c>
    </row>
    <row r="592" spans="1:2" x14ac:dyDescent="0.35">
      <c r="A592" s="1416">
        <v>35466</v>
      </c>
      <c r="B592" s="1415">
        <v>8.7407400000000006</v>
      </c>
    </row>
    <row r="593" spans="1:2" x14ac:dyDescent="0.35">
      <c r="A593" s="1416">
        <v>35467</v>
      </c>
      <c r="B593" s="1415">
        <v>8.7407400000000006</v>
      </c>
    </row>
    <row r="594" spans="1:2" x14ac:dyDescent="0.35">
      <c r="A594" s="1416">
        <v>35468</v>
      </c>
      <c r="B594" s="1415">
        <v>8.9629600000000007</v>
      </c>
    </row>
    <row r="595" spans="1:2" x14ac:dyDescent="0.35">
      <c r="A595" s="1416">
        <v>35471</v>
      </c>
      <c r="B595" s="1415">
        <v>8.9259199999999996</v>
      </c>
    </row>
    <row r="596" spans="1:2" x14ac:dyDescent="0.35">
      <c r="A596" s="1416">
        <v>35472</v>
      </c>
      <c r="B596" s="1415">
        <v>8.8518500000000007</v>
      </c>
    </row>
    <row r="597" spans="1:2" x14ac:dyDescent="0.35">
      <c r="A597" s="1416">
        <v>35473</v>
      </c>
      <c r="B597" s="1415">
        <v>8.8518500000000007</v>
      </c>
    </row>
    <row r="598" spans="1:2" x14ac:dyDescent="0.35">
      <c r="A598" s="1416">
        <v>35474</v>
      </c>
      <c r="B598" s="1415">
        <v>8.7777799999999999</v>
      </c>
    </row>
    <row r="599" spans="1:2" x14ac:dyDescent="0.35">
      <c r="A599" s="1416">
        <v>35475</v>
      </c>
      <c r="B599" s="1415">
        <v>8.9259199999999996</v>
      </c>
    </row>
    <row r="600" spans="1:2" x14ac:dyDescent="0.35">
      <c r="A600" s="1416">
        <v>35479</v>
      </c>
      <c r="B600" s="1415">
        <v>8.88889</v>
      </c>
    </row>
    <row r="601" spans="1:2" x14ac:dyDescent="0.35">
      <c r="A601" s="1416">
        <v>35480</v>
      </c>
      <c r="B601" s="1415">
        <v>8.8518500000000007</v>
      </c>
    </row>
    <row r="602" spans="1:2" x14ac:dyDescent="0.35">
      <c r="A602" s="1416">
        <v>35481</v>
      </c>
      <c r="B602" s="1415">
        <v>8.4074100000000005</v>
      </c>
    </row>
    <row r="603" spans="1:2" x14ac:dyDescent="0.35">
      <c r="A603" s="1416">
        <v>35482</v>
      </c>
      <c r="B603" s="1415">
        <v>7.8518499999999998</v>
      </c>
    </row>
    <row r="604" spans="1:2" x14ac:dyDescent="0.35">
      <c r="A604" s="1416">
        <v>35485</v>
      </c>
      <c r="B604" s="1415">
        <v>7.8518499999999998</v>
      </c>
    </row>
    <row r="605" spans="1:2" x14ac:dyDescent="0.35">
      <c r="A605" s="1416">
        <v>35486</v>
      </c>
      <c r="B605" s="1415">
        <v>8.2592599999999994</v>
      </c>
    </row>
    <row r="606" spans="1:2" x14ac:dyDescent="0.35">
      <c r="A606" s="1416">
        <v>35487</v>
      </c>
      <c r="B606" s="1415">
        <v>8.4444400000000002</v>
      </c>
    </row>
    <row r="607" spans="1:2" x14ac:dyDescent="0.35">
      <c r="A607" s="1416">
        <v>35488</v>
      </c>
      <c r="B607" s="1415">
        <v>8.2592599999999994</v>
      </c>
    </row>
    <row r="608" spans="1:2" x14ac:dyDescent="0.35">
      <c r="A608" s="1416">
        <v>35489</v>
      </c>
      <c r="B608" s="1415">
        <v>8</v>
      </c>
    </row>
    <row r="609" spans="1:2" x14ac:dyDescent="0.35">
      <c r="A609" s="1416">
        <v>35492</v>
      </c>
      <c r="B609" s="1415">
        <v>7.9259199999999996</v>
      </c>
    </row>
    <row r="610" spans="1:2" x14ac:dyDescent="0.35">
      <c r="A610" s="1416">
        <v>35493</v>
      </c>
      <c r="B610" s="1415">
        <v>7.8518499999999998</v>
      </c>
    </row>
    <row r="611" spans="1:2" x14ac:dyDescent="0.35">
      <c r="A611" s="1416">
        <v>35494</v>
      </c>
      <c r="B611" s="1415">
        <v>8.2222200000000001</v>
      </c>
    </row>
    <row r="612" spans="1:2" x14ac:dyDescent="0.35">
      <c r="A612" s="1416">
        <v>35495</v>
      </c>
      <c r="B612" s="1415">
        <v>7.88889</v>
      </c>
    </row>
    <row r="613" spans="1:2" x14ac:dyDescent="0.35">
      <c r="A613" s="1416">
        <v>35496</v>
      </c>
      <c r="B613" s="1415">
        <v>8.0370399999999993</v>
      </c>
    </row>
    <row r="614" spans="1:2" x14ac:dyDescent="0.35">
      <c r="A614" s="1416">
        <v>35499</v>
      </c>
      <c r="B614" s="1415">
        <v>7.2592600000000003</v>
      </c>
    </row>
    <row r="615" spans="1:2" x14ac:dyDescent="0.35">
      <c r="A615" s="1416">
        <v>35500</v>
      </c>
      <c r="B615" s="1415">
        <v>7.1481500000000002</v>
      </c>
    </row>
    <row r="616" spans="1:2" x14ac:dyDescent="0.35">
      <c r="A616" s="1416">
        <v>35501</v>
      </c>
      <c r="B616" s="1415">
        <v>7.2962999999999996</v>
      </c>
    </row>
    <row r="617" spans="1:2" x14ac:dyDescent="0.35">
      <c r="A617" s="1416">
        <v>35502</v>
      </c>
      <c r="B617" s="1415">
        <v>6.8518499999999998</v>
      </c>
    </row>
    <row r="618" spans="1:2" x14ac:dyDescent="0.35">
      <c r="A618" s="1416">
        <v>35503</v>
      </c>
      <c r="B618" s="1415">
        <v>7.0370400000000002</v>
      </c>
    </row>
    <row r="619" spans="1:2" x14ac:dyDescent="0.35">
      <c r="A619" s="1416">
        <v>35506</v>
      </c>
      <c r="B619" s="1415">
        <v>7.5185199999999996</v>
      </c>
    </row>
    <row r="620" spans="1:2" x14ac:dyDescent="0.35">
      <c r="A620" s="1416">
        <v>35507</v>
      </c>
      <c r="B620" s="1415">
        <v>8.1666699999999999</v>
      </c>
    </row>
    <row r="621" spans="1:2" x14ac:dyDescent="0.35">
      <c r="A621" s="1416">
        <v>35508</v>
      </c>
      <c r="B621" s="1415">
        <v>7.6666699999999999</v>
      </c>
    </row>
    <row r="622" spans="1:2" x14ac:dyDescent="0.35">
      <c r="A622" s="1416">
        <v>35509</v>
      </c>
      <c r="B622" s="1415">
        <v>8.1481499999999993</v>
      </c>
    </row>
    <row r="623" spans="1:2" x14ac:dyDescent="0.35">
      <c r="A623" s="1416">
        <v>35510</v>
      </c>
      <c r="B623" s="1415">
        <v>8.0740700000000007</v>
      </c>
    </row>
    <row r="624" spans="1:2" x14ac:dyDescent="0.35">
      <c r="A624" s="1416">
        <v>35513</v>
      </c>
      <c r="B624" s="1415">
        <v>7.4444400000000002</v>
      </c>
    </row>
    <row r="625" spans="1:2" x14ac:dyDescent="0.35">
      <c r="A625" s="1416">
        <v>35514</v>
      </c>
      <c r="B625" s="1415">
        <v>7.6296299999999997</v>
      </c>
    </row>
    <row r="626" spans="1:2" x14ac:dyDescent="0.35">
      <c r="A626" s="1416">
        <v>35515</v>
      </c>
      <c r="B626" s="1415">
        <v>7.4444400000000002</v>
      </c>
    </row>
    <row r="627" spans="1:2" x14ac:dyDescent="0.35">
      <c r="A627" s="1416">
        <v>35516</v>
      </c>
      <c r="B627" s="1415">
        <v>7.3703700000000003</v>
      </c>
    </row>
    <row r="628" spans="1:2" x14ac:dyDescent="0.35">
      <c r="A628" s="1416">
        <v>35520</v>
      </c>
      <c r="B628" s="1415">
        <v>7.2592600000000003</v>
      </c>
    </row>
    <row r="629" spans="1:2" x14ac:dyDescent="0.35">
      <c r="A629" s="1416">
        <v>35521</v>
      </c>
      <c r="B629" s="1415">
        <v>7.2222200000000001</v>
      </c>
    </row>
    <row r="630" spans="1:2" x14ac:dyDescent="0.35">
      <c r="A630" s="1416">
        <v>35522</v>
      </c>
      <c r="B630" s="1415">
        <v>7.4444400000000002</v>
      </c>
    </row>
    <row r="631" spans="1:2" x14ac:dyDescent="0.35">
      <c r="A631" s="1416">
        <v>35523</v>
      </c>
      <c r="B631" s="1415">
        <v>7.4444400000000002</v>
      </c>
    </row>
    <row r="632" spans="1:2" x14ac:dyDescent="0.35">
      <c r="A632" s="1416">
        <v>35524</v>
      </c>
      <c r="B632" s="1415">
        <v>7.9259199999999996</v>
      </c>
    </row>
    <row r="633" spans="1:2" x14ac:dyDescent="0.35">
      <c r="A633" s="1416">
        <v>35527</v>
      </c>
      <c r="B633" s="1415">
        <v>8.8518500000000007</v>
      </c>
    </row>
    <row r="634" spans="1:2" x14ac:dyDescent="0.35">
      <c r="A634" s="1416">
        <v>35528</v>
      </c>
      <c r="B634" s="1415">
        <v>8.8518500000000007</v>
      </c>
    </row>
    <row r="635" spans="1:2" x14ac:dyDescent="0.35">
      <c r="A635" s="1416">
        <v>35529</v>
      </c>
      <c r="B635" s="1415">
        <v>8.6296300000000006</v>
      </c>
    </row>
    <row r="636" spans="1:2" x14ac:dyDescent="0.35">
      <c r="A636" s="1416">
        <v>35530</v>
      </c>
      <c r="B636" s="1415">
        <v>8.5185200000000005</v>
      </c>
    </row>
    <row r="637" spans="1:2" x14ac:dyDescent="0.35">
      <c r="A637" s="1416">
        <v>35531</v>
      </c>
      <c r="B637" s="1415">
        <v>8.0185200000000005</v>
      </c>
    </row>
    <row r="638" spans="1:2" x14ac:dyDescent="0.35">
      <c r="A638" s="1416">
        <v>35534</v>
      </c>
      <c r="B638" s="1415">
        <v>8.2592599999999994</v>
      </c>
    </row>
    <row r="639" spans="1:2" x14ac:dyDescent="0.35">
      <c r="A639" s="1416">
        <v>35535</v>
      </c>
      <c r="B639" s="1415">
        <v>8.4444400000000002</v>
      </c>
    </row>
    <row r="640" spans="1:2" x14ac:dyDescent="0.35">
      <c r="A640" s="1416">
        <v>35536</v>
      </c>
      <c r="B640" s="1415">
        <v>8.4444400000000002</v>
      </c>
    </row>
    <row r="641" spans="1:2" x14ac:dyDescent="0.35">
      <c r="A641" s="1416">
        <v>35537</v>
      </c>
      <c r="B641" s="1415">
        <v>8.2592599999999994</v>
      </c>
    </row>
    <row r="642" spans="1:2" x14ac:dyDescent="0.35">
      <c r="A642" s="1416">
        <v>35538</v>
      </c>
      <c r="B642" s="1415">
        <v>8.11111</v>
      </c>
    </row>
    <row r="643" spans="1:2" x14ac:dyDescent="0.35">
      <c r="A643" s="1416">
        <v>35541</v>
      </c>
      <c r="B643" s="1415">
        <v>7.7407399999999997</v>
      </c>
    </row>
    <row r="644" spans="1:2" x14ac:dyDescent="0.35">
      <c r="A644" s="1416">
        <v>35542</v>
      </c>
      <c r="B644" s="1415">
        <v>7.6296299999999997</v>
      </c>
    </row>
    <row r="645" spans="1:2" x14ac:dyDescent="0.35">
      <c r="A645" s="1416">
        <v>35543</v>
      </c>
      <c r="B645" s="1415">
        <v>7.5555500000000002</v>
      </c>
    </row>
    <row r="646" spans="1:2" x14ac:dyDescent="0.35">
      <c r="A646" s="1416">
        <v>35544</v>
      </c>
      <c r="B646" s="1415">
        <v>7.5555500000000002</v>
      </c>
    </row>
    <row r="647" spans="1:2" x14ac:dyDescent="0.35">
      <c r="A647" s="1416">
        <v>35545</v>
      </c>
      <c r="B647" s="1415">
        <v>7.2592600000000003</v>
      </c>
    </row>
    <row r="648" spans="1:2" x14ac:dyDescent="0.35">
      <c r="A648" s="1416">
        <v>35548</v>
      </c>
      <c r="B648" s="1415">
        <v>7.2777799999999999</v>
      </c>
    </row>
    <row r="649" spans="1:2" x14ac:dyDescent="0.35">
      <c r="A649" s="1416">
        <v>35549</v>
      </c>
      <c r="B649" s="1415">
        <v>7.5185199999999996</v>
      </c>
    </row>
    <row r="650" spans="1:2" x14ac:dyDescent="0.35">
      <c r="A650" s="1416">
        <v>35550</v>
      </c>
      <c r="B650" s="1415">
        <v>7.9629599999999998</v>
      </c>
    </row>
    <row r="651" spans="1:2" x14ac:dyDescent="0.35">
      <c r="A651" s="1416">
        <v>35551</v>
      </c>
      <c r="B651" s="1415">
        <v>7.7777799999999999</v>
      </c>
    </row>
    <row r="652" spans="1:2" x14ac:dyDescent="0.35">
      <c r="A652" s="1416">
        <v>35552</v>
      </c>
      <c r="B652" s="1415">
        <v>8.6666699999999999</v>
      </c>
    </row>
    <row r="653" spans="1:2" x14ac:dyDescent="0.35">
      <c r="A653" s="1416">
        <v>35555</v>
      </c>
      <c r="B653" s="1415">
        <v>9.4814799999999995</v>
      </c>
    </row>
    <row r="654" spans="1:2" x14ac:dyDescent="0.35">
      <c r="A654" s="1416">
        <v>35556</v>
      </c>
      <c r="B654" s="1415">
        <v>8.88889</v>
      </c>
    </row>
    <row r="655" spans="1:2" x14ac:dyDescent="0.35">
      <c r="A655" s="1416">
        <v>35557</v>
      </c>
      <c r="B655" s="1415">
        <v>8.88889</v>
      </c>
    </row>
    <row r="656" spans="1:2" x14ac:dyDescent="0.35">
      <c r="A656" s="1416">
        <v>35558</v>
      </c>
      <c r="B656" s="1415">
        <v>9.3703699999999994</v>
      </c>
    </row>
    <row r="657" spans="1:2" x14ac:dyDescent="0.35">
      <c r="A657" s="1416">
        <v>35559</v>
      </c>
      <c r="B657" s="1415">
        <v>9.5925899999999995</v>
      </c>
    </row>
    <row r="658" spans="1:2" x14ac:dyDescent="0.35">
      <c r="A658" s="1416">
        <v>35562</v>
      </c>
      <c r="B658" s="1415">
        <v>9.5925899999999995</v>
      </c>
    </row>
    <row r="659" spans="1:2" x14ac:dyDescent="0.35">
      <c r="A659" s="1416">
        <v>35563</v>
      </c>
      <c r="B659" s="1415">
        <v>9.4074100000000005</v>
      </c>
    </row>
    <row r="660" spans="1:2" x14ac:dyDescent="0.35">
      <c r="A660" s="1416">
        <v>35564</v>
      </c>
      <c r="B660" s="1415">
        <v>9.7777799999999999</v>
      </c>
    </row>
    <row r="661" spans="1:2" x14ac:dyDescent="0.35">
      <c r="A661" s="1416">
        <v>35565</v>
      </c>
      <c r="B661" s="1415">
        <v>9.7777799999999999</v>
      </c>
    </row>
    <row r="662" spans="1:2" x14ac:dyDescent="0.35">
      <c r="A662" s="1416">
        <v>35566</v>
      </c>
      <c r="B662" s="1415">
        <v>9.38889</v>
      </c>
    </row>
    <row r="663" spans="1:2" x14ac:dyDescent="0.35">
      <c r="A663" s="1416">
        <v>35569</v>
      </c>
      <c r="B663" s="1415">
        <v>9.2592599999999994</v>
      </c>
    </row>
    <row r="664" spans="1:2" x14ac:dyDescent="0.35">
      <c r="A664" s="1416">
        <v>35570</v>
      </c>
      <c r="B664" s="1415">
        <v>9.8148099999999996</v>
      </c>
    </row>
    <row r="665" spans="1:2" x14ac:dyDescent="0.35">
      <c r="A665" s="1416">
        <v>35571</v>
      </c>
      <c r="B665" s="1415">
        <v>10.370369999999999</v>
      </c>
    </row>
    <row r="666" spans="1:2" x14ac:dyDescent="0.35">
      <c r="A666" s="1416">
        <v>35572</v>
      </c>
      <c r="B666" s="1415">
        <v>10.259259999999999</v>
      </c>
    </row>
    <row r="667" spans="1:2" x14ac:dyDescent="0.35">
      <c r="A667" s="1416">
        <v>35573</v>
      </c>
      <c r="B667" s="1415">
        <v>10.481479999999999</v>
      </c>
    </row>
    <row r="668" spans="1:2" x14ac:dyDescent="0.35">
      <c r="A668" s="1416">
        <v>35577</v>
      </c>
      <c r="B668" s="1415">
        <v>10.518520000000001</v>
      </c>
    </row>
    <row r="669" spans="1:2" x14ac:dyDescent="0.35">
      <c r="A669" s="1416">
        <v>35578</v>
      </c>
      <c r="B669" s="1415">
        <v>10.40741</v>
      </c>
    </row>
    <row r="670" spans="1:2" x14ac:dyDescent="0.35">
      <c r="A670" s="1416">
        <v>35579</v>
      </c>
      <c r="B670" s="1415">
        <v>10.33333</v>
      </c>
    </row>
    <row r="671" spans="1:2" x14ac:dyDescent="0.35">
      <c r="A671" s="1416">
        <v>35580</v>
      </c>
      <c r="B671" s="1415">
        <v>10.481479999999999</v>
      </c>
    </row>
    <row r="672" spans="1:2" x14ac:dyDescent="0.35">
      <c r="A672" s="1416">
        <v>35583</v>
      </c>
      <c r="B672" s="1415">
        <v>10.81481</v>
      </c>
    </row>
    <row r="673" spans="1:2" x14ac:dyDescent="0.35">
      <c r="A673" s="1416">
        <v>35584</v>
      </c>
      <c r="B673" s="1415">
        <v>11</v>
      </c>
    </row>
    <row r="674" spans="1:2" x14ac:dyDescent="0.35">
      <c r="A674" s="1416">
        <v>35585</v>
      </c>
      <c r="B674" s="1415">
        <v>11</v>
      </c>
    </row>
    <row r="675" spans="1:2" x14ac:dyDescent="0.35">
      <c r="A675" s="1416">
        <v>35586</v>
      </c>
      <c r="B675" s="1415">
        <v>10.851850000000001</v>
      </c>
    </row>
    <row r="676" spans="1:2" x14ac:dyDescent="0.35">
      <c r="A676" s="1416">
        <v>35587</v>
      </c>
      <c r="B676" s="1415">
        <v>10.740740000000001</v>
      </c>
    </row>
    <row r="677" spans="1:2" x14ac:dyDescent="0.35">
      <c r="A677" s="1416">
        <v>35590</v>
      </c>
      <c r="B677" s="1415">
        <v>10.55555</v>
      </c>
    </row>
    <row r="678" spans="1:2" x14ac:dyDescent="0.35">
      <c r="A678" s="1416">
        <v>35591</v>
      </c>
      <c r="B678" s="1415">
        <v>10.518520000000001</v>
      </c>
    </row>
    <row r="679" spans="1:2" x14ac:dyDescent="0.35">
      <c r="A679" s="1416">
        <v>35592</v>
      </c>
      <c r="B679" s="1415">
        <v>10.59259</v>
      </c>
    </row>
    <row r="680" spans="1:2" x14ac:dyDescent="0.35">
      <c r="A680" s="1416">
        <v>35593</v>
      </c>
      <c r="B680" s="1415">
        <v>11.03703</v>
      </c>
    </row>
    <row r="681" spans="1:2" x14ac:dyDescent="0.35">
      <c r="A681" s="1416">
        <v>35594</v>
      </c>
      <c r="B681" s="1415">
        <v>11.185180000000001</v>
      </c>
    </row>
    <row r="682" spans="1:2" x14ac:dyDescent="0.35">
      <c r="A682" s="1416">
        <v>35597</v>
      </c>
      <c r="B682" s="1415">
        <v>11.740740000000001</v>
      </c>
    </row>
    <row r="683" spans="1:2" x14ac:dyDescent="0.35">
      <c r="A683" s="1416">
        <v>35598</v>
      </c>
      <c r="B683" s="1415">
        <v>11.574070000000001</v>
      </c>
    </row>
    <row r="684" spans="1:2" x14ac:dyDescent="0.35">
      <c r="A684" s="1416">
        <v>35599</v>
      </c>
      <c r="B684" s="1415">
        <v>11.16666</v>
      </c>
    </row>
    <row r="685" spans="1:2" x14ac:dyDescent="0.35">
      <c r="A685" s="1416">
        <v>35600</v>
      </c>
      <c r="B685" s="1415">
        <v>10.962960000000001</v>
      </c>
    </row>
    <row r="686" spans="1:2" x14ac:dyDescent="0.35">
      <c r="A686" s="1416">
        <v>35601</v>
      </c>
      <c r="B686" s="1415">
        <v>10.370369999999999</v>
      </c>
    </row>
    <row r="687" spans="1:2" x14ac:dyDescent="0.35">
      <c r="A687" s="1416">
        <v>35604</v>
      </c>
      <c r="B687" s="1415">
        <v>10.370369999999999</v>
      </c>
    </row>
    <row r="688" spans="1:2" x14ac:dyDescent="0.35">
      <c r="A688" s="1416">
        <v>35605</v>
      </c>
      <c r="B688" s="1415">
        <v>10.740740000000001</v>
      </c>
    </row>
    <row r="689" spans="1:2" x14ac:dyDescent="0.35">
      <c r="A689" s="1416">
        <v>35606</v>
      </c>
      <c r="B689" s="1415">
        <v>10.92592</v>
      </c>
    </row>
    <row r="690" spans="1:2" x14ac:dyDescent="0.35">
      <c r="A690" s="1416">
        <v>35607</v>
      </c>
      <c r="B690" s="1415">
        <v>11.11111</v>
      </c>
    </row>
    <row r="691" spans="1:2" x14ac:dyDescent="0.35">
      <c r="A691" s="1416">
        <v>35608</v>
      </c>
      <c r="B691" s="1415">
        <v>11.44444</v>
      </c>
    </row>
    <row r="692" spans="1:2" x14ac:dyDescent="0.35">
      <c r="A692" s="1416">
        <v>35611</v>
      </c>
      <c r="B692" s="1415">
        <v>10.44444</v>
      </c>
    </row>
    <row r="693" spans="1:2" x14ac:dyDescent="0.35">
      <c r="A693" s="1416">
        <v>35612</v>
      </c>
      <c r="B693" s="1415">
        <v>10.962960000000001</v>
      </c>
    </row>
    <row r="694" spans="1:2" x14ac:dyDescent="0.35">
      <c r="A694" s="1416">
        <v>35613</v>
      </c>
      <c r="B694" s="1415">
        <v>11.259259999999999</v>
      </c>
    </row>
    <row r="695" spans="1:2" x14ac:dyDescent="0.35">
      <c r="A695" s="1416">
        <v>35614</v>
      </c>
      <c r="B695" s="1415">
        <v>10.962960000000001</v>
      </c>
    </row>
    <row r="696" spans="1:2" x14ac:dyDescent="0.35">
      <c r="A696" s="1416">
        <v>35618</v>
      </c>
      <c r="B696" s="1415">
        <v>10.7037</v>
      </c>
    </row>
    <row r="697" spans="1:2" x14ac:dyDescent="0.35">
      <c r="A697" s="1416">
        <v>35619</v>
      </c>
      <c r="B697" s="1415">
        <v>10.88889</v>
      </c>
    </row>
    <row r="698" spans="1:2" x14ac:dyDescent="0.35">
      <c r="A698" s="1416">
        <v>35620</v>
      </c>
      <c r="B698" s="1415">
        <v>11.259259999999999</v>
      </c>
    </row>
    <row r="699" spans="1:2" x14ac:dyDescent="0.35">
      <c r="A699" s="1416">
        <v>35621</v>
      </c>
      <c r="B699" s="1415">
        <v>11.629630000000001</v>
      </c>
    </row>
    <row r="700" spans="1:2" x14ac:dyDescent="0.35">
      <c r="A700" s="1416">
        <v>35622</v>
      </c>
      <c r="B700" s="1415">
        <v>11.185180000000001</v>
      </c>
    </row>
    <row r="701" spans="1:2" x14ac:dyDescent="0.35">
      <c r="A701" s="1416">
        <v>35625</v>
      </c>
      <c r="B701" s="1415">
        <v>11</v>
      </c>
    </row>
    <row r="702" spans="1:2" x14ac:dyDescent="0.35">
      <c r="A702" s="1416">
        <v>35626</v>
      </c>
      <c r="B702" s="1415">
        <v>10.962960000000001</v>
      </c>
    </row>
    <row r="703" spans="1:2" x14ac:dyDescent="0.35">
      <c r="A703" s="1416">
        <v>35627</v>
      </c>
      <c r="B703" s="1415">
        <v>10.81481</v>
      </c>
    </row>
    <row r="704" spans="1:2" x14ac:dyDescent="0.35">
      <c r="A704" s="1416">
        <v>35628</v>
      </c>
      <c r="B704" s="1415">
        <v>10.462960000000001</v>
      </c>
    </row>
    <row r="705" spans="1:2" x14ac:dyDescent="0.35">
      <c r="A705" s="1416">
        <v>35629</v>
      </c>
      <c r="B705" s="1415">
        <v>10.40741</v>
      </c>
    </row>
    <row r="706" spans="1:2" x14ac:dyDescent="0.35">
      <c r="A706" s="1416">
        <v>35632</v>
      </c>
      <c r="B706" s="1415">
        <v>10.44444</v>
      </c>
    </row>
    <row r="707" spans="1:2" x14ac:dyDescent="0.35">
      <c r="A707" s="1416">
        <v>35633</v>
      </c>
      <c r="B707" s="1415">
        <v>11.03703</v>
      </c>
    </row>
    <row r="708" spans="1:2" x14ac:dyDescent="0.35">
      <c r="A708" s="1416">
        <v>35634</v>
      </c>
      <c r="B708" s="1415">
        <v>10.66667</v>
      </c>
    </row>
    <row r="709" spans="1:2" x14ac:dyDescent="0.35">
      <c r="A709" s="1416">
        <v>35635</v>
      </c>
      <c r="B709" s="1415">
        <v>10.370369999999999</v>
      </c>
    </row>
    <row r="710" spans="1:2" x14ac:dyDescent="0.35">
      <c r="A710" s="1416">
        <v>35636</v>
      </c>
      <c r="B710" s="1415">
        <v>10.22222</v>
      </c>
    </row>
    <row r="711" spans="1:2" x14ac:dyDescent="0.35">
      <c r="A711" s="1416">
        <v>35639</v>
      </c>
      <c r="B711" s="1415">
        <v>10.03703</v>
      </c>
    </row>
    <row r="712" spans="1:2" x14ac:dyDescent="0.35">
      <c r="A712" s="1416">
        <v>35640</v>
      </c>
      <c r="B712" s="1415">
        <v>9.9814799999999995</v>
      </c>
    </row>
    <row r="713" spans="1:2" x14ac:dyDescent="0.35">
      <c r="A713" s="1416">
        <v>35641</v>
      </c>
      <c r="B713" s="1415">
        <v>10.88889</v>
      </c>
    </row>
    <row r="714" spans="1:2" x14ac:dyDescent="0.35">
      <c r="A714" s="1416">
        <v>35642</v>
      </c>
      <c r="B714" s="1415">
        <v>11</v>
      </c>
    </row>
    <row r="715" spans="1:2" x14ac:dyDescent="0.35">
      <c r="A715" s="1416">
        <v>35643</v>
      </c>
      <c r="B715" s="1415">
        <v>10.629630000000001</v>
      </c>
    </row>
    <row r="716" spans="1:2" x14ac:dyDescent="0.35">
      <c r="A716" s="1416">
        <v>35646</v>
      </c>
      <c r="B716" s="1415">
        <v>10.92592</v>
      </c>
    </row>
    <row r="717" spans="1:2" x14ac:dyDescent="0.35">
      <c r="A717" s="1416">
        <v>35647</v>
      </c>
      <c r="B717" s="1415">
        <v>10.92592</v>
      </c>
    </row>
    <row r="718" spans="1:2" x14ac:dyDescent="0.35">
      <c r="A718" s="1416">
        <v>35648</v>
      </c>
      <c r="B718" s="1415">
        <v>11</v>
      </c>
    </row>
    <row r="719" spans="1:2" x14ac:dyDescent="0.35">
      <c r="A719" s="1416">
        <v>35649</v>
      </c>
      <c r="B719" s="1415">
        <v>11.518520000000001</v>
      </c>
    </row>
    <row r="720" spans="1:2" x14ac:dyDescent="0.35">
      <c r="A720" s="1416">
        <v>35650</v>
      </c>
      <c r="B720" s="1415">
        <v>11.03703</v>
      </c>
    </row>
    <row r="721" spans="1:2" x14ac:dyDescent="0.35">
      <c r="A721" s="1416">
        <v>35653</v>
      </c>
      <c r="B721" s="1415">
        <v>10.66667</v>
      </c>
    </row>
    <row r="722" spans="1:2" x14ac:dyDescent="0.35">
      <c r="A722" s="1416">
        <v>35654</v>
      </c>
      <c r="B722" s="1415">
        <v>10.481479999999999</v>
      </c>
    </row>
    <row r="723" spans="1:2" x14ac:dyDescent="0.35">
      <c r="A723" s="1416">
        <v>35655</v>
      </c>
      <c r="B723" s="1415">
        <v>10.518520000000001</v>
      </c>
    </row>
    <row r="724" spans="1:2" x14ac:dyDescent="0.35">
      <c r="A724" s="1416">
        <v>35656</v>
      </c>
      <c r="B724" s="1415">
        <v>10.259259999999999</v>
      </c>
    </row>
    <row r="725" spans="1:2" x14ac:dyDescent="0.35">
      <c r="A725" s="1416">
        <v>35657</v>
      </c>
      <c r="B725" s="1415">
        <v>10.22222</v>
      </c>
    </row>
    <row r="726" spans="1:2" x14ac:dyDescent="0.35">
      <c r="A726" s="1416">
        <v>35660</v>
      </c>
      <c r="B726" s="1415">
        <v>10.27778</v>
      </c>
    </row>
    <row r="727" spans="1:2" x14ac:dyDescent="0.35">
      <c r="A727" s="1416">
        <v>35661</v>
      </c>
      <c r="B727" s="1415">
        <v>10.7037</v>
      </c>
    </row>
    <row r="728" spans="1:2" x14ac:dyDescent="0.35">
      <c r="A728" s="1416">
        <v>35662</v>
      </c>
      <c r="B728" s="1415">
        <v>11.185180000000001</v>
      </c>
    </row>
    <row r="729" spans="1:2" x14ac:dyDescent="0.35">
      <c r="A729" s="1416">
        <v>35663</v>
      </c>
      <c r="B729" s="1415">
        <v>11.31481</v>
      </c>
    </row>
    <row r="730" spans="1:2" x14ac:dyDescent="0.35">
      <c r="A730" s="1416">
        <v>35664</v>
      </c>
      <c r="B730" s="1415">
        <v>11.259259999999999</v>
      </c>
    </row>
    <row r="731" spans="1:2" x14ac:dyDescent="0.35">
      <c r="A731" s="1416">
        <v>35667</v>
      </c>
      <c r="B731" s="1415">
        <v>11</v>
      </c>
    </row>
    <row r="732" spans="1:2" x14ac:dyDescent="0.35">
      <c r="A732" s="1416">
        <v>35668</v>
      </c>
      <c r="B732" s="1415">
        <v>10.92592</v>
      </c>
    </row>
    <row r="733" spans="1:2" x14ac:dyDescent="0.35">
      <c r="A733" s="1416">
        <v>35669</v>
      </c>
      <c r="B733" s="1415">
        <v>10.629630000000001</v>
      </c>
    </row>
    <row r="734" spans="1:2" x14ac:dyDescent="0.35">
      <c r="A734" s="1416">
        <v>35670</v>
      </c>
      <c r="B734" s="1415">
        <v>10.574070000000001</v>
      </c>
    </row>
    <row r="735" spans="1:2" x14ac:dyDescent="0.35">
      <c r="A735" s="1416">
        <v>35671</v>
      </c>
      <c r="B735" s="1415">
        <v>10.574070000000001</v>
      </c>
    </row>
    <row r="736" spans="1:2" x14ac:dyDescent="0.35">
      <c r="A736" s="1416">
        <v>35675</v>
      </c>
      <c r="B736" s="1415">
        <v>10.740740000000001</v>
      </c>
    </row>
    <row r="737" spans="1:2" x14ac:dyDescent="0.35">
      <c r="A737" s="1416">
        <v>35676</v>
      </c>
      <c r="B737" s="1415">
        <v>10.740740000000001</v>
      </c>
    </row>
    <row r="738" spans="1:2" x14ac:dyDescent="0.35">
      <c r="A738" s="1416">
        <v>35677</v>
      </c>
      <c r="B738" s="1415">
        <v>10.518520000000001</v>
      </c>
    </row>
    <row r="739" spans="1:2" x14ac:dyDescent="0.35">
      <c r="A739" s="1416">
        <v>35678</v>
      </c>
      <c r="B739" s="1415">
        <v>10.148149999999999</v>
      </c>
    </row>
    <row r="740" spans="1:2" x14ac:dyDescent="0.35">
      <c r="A740" s="1416">
        <v>35681</v>
      </c>
      <c r="B740" s="1415">
        <v>10.259259999999999</v>
      </c>
    </row>
    <row r="741" spans="1:2" x14ac:dyDescent="0.35">
      <c r="A741" s="1416">
        <v>35682</v>
      </c>
      <c r="B741" s="1415">
        <v>10.66667</v>
      </c>
    </row>
    <row r="742" spans="1:2" x14ac:dyDescent="0.35">
      <c r="A742" s="1416">
        <v>35683</v>
      </c>
      <c r="B742" s="1415">
        <v>10.44444</v>
      </c>
    </row>
    <row r="743" spans="1:2" x14ac:dyDescent="0.35">
      <c r="A743" s="1416">
        <v>35684</v>
      </c>
      <c r="B743" s="1415">
        <v>10.55555</v>
      </c>
    </row>
    <row r="744" spans="1:2" x14ac:dyDescent="0.35">
      <c r="A744" s="1416">
        <v>35685</v>
      </c>
      <c r="B744" s="1415">
        <v>11.518520000000001</v>
      </c>
    </row>
    <row r="745" spans="1:2" x14ac:dyDescent="0.35">
      <c r="A745" s="1416">
        <v>35688</v>
      </c>
      <c r="B745" s="1415">
        <v>11.81481</v>
      </c>
    </row>
    <row r="746" spans="1:2" x14ac:dyDescent="0.35">
      <c r="A746" s="1416">
        <v>35689</v>
      </c>
      <c r="B746" s="1415">
        <v>11.7037</v>
      </c>
    </row>
    <row r="747" spans="1:2" x14ac:dyDescent="0.35">
      <c r="A747" s="1416">
        <v>35690</v>
      </c>
      <c r="B747" s="1415">
        <v>11.77778</v>
      </c>
    </row>
    <row r="748" spans="1:2" x14ac:dyDescent="0.35">
      <c r="A748" s="1416">
        <v>35691</v>
      </c>
      <c r="B748" s="1415">
        <v>11.66666</v>
      </c>
    </row>
    <row r="749" spans="1:2" x14ac:dyDescent="0.35">
      <c r="A749" s="1416">
        <v>35692</v>
      </c>
      <c r="B749" s="1415">
        <v>11.629630000000001</v>
      </c>
    </row>
    <row r="750" spans="1:2" x14ac:dyDescent="0.35">
      <c r="A750" s="1416">
        <v>35695</v>
      </c>
      <c r="B750" s="1415">
        <v>11.518520000000001</v>
      </c>
    </row>
    <row r="751" spans="1:2" x14ac:dyDescent="0.35">
      <c r="A751" s="1416">
        <v>35696</v>
      </c>
      <c r="B751" s="1415">
        <v>10.81481</v>
      </c>
    </row>
    <row r="752" spans="1:2" x14ac:dyDescent="0.35">
      <c r="A752" s="1416">
        <v>35697</v>
      </c>
      <c r="B752" s="1415">
        <v>11.185180000000001</v>
      </c>
    </row>
    <row r="753" spans="1:2" x14ac:dyDescent="0.35">
      <c r="A753" s="1416">
        <v>35698</v>
      </c>
      <c r="B753" s="1415">
        <v>11.407400000000001</v>
      </c>
    </row>
    <row r="754" spans="1:2" x14ac:dyDescent="0.35">
      <c r="A754" s="1416">
        <v>35699</v>
      </c>
      <c r="B754" s="1415">
        <v>11.92592</v>
      </c>
    </row>
    <row r="755" spans="1:2" x14ac:dyDescent="0.35">
      <c r="A755" s="1416">
        <v>35702</v>
      </c>
      <c r="B755" s="1415">
        <v>12.259259999999999</v>
      </c>
    </row>
    <row r="756" spans="1:2" x14ac:dyDescent="0.35">
      <c r="A756" s="1416">
        <v>35703</v>
      </c>
      <c r="B756" s="1415">
        <v>12.55555</v>
      </c>
    </row>
    <row r="757" spans="1:2" x14ac:dyDescent="0.35">
      <c r="A757" s="1416">
        <v>35704</v>
      </c>
      <c r="B757" s="1415">
        <v>12.740740000000001</v>
      </c>
    </row>
    <row r="758" spans="1:2" x14ac:dyDescent="0.35">
      <c r="A758" s="1416">
        <v>35705</v>
      </c>
      <c r="B758" s="1415">
        <v>13.185180000000001</v>
      </c>
    </row>
    <row r="759" spans="1:2" x14ac:dyDescent="0.35">
      <c r="A759" s="1416">
        <v>35706</v>
      </c>
      <c r="B759" s="1415">
        <v>12.851850000000001</v>
      </c>
    </row>
    <row r="760" spans="1:2" x14ac:dyDescent="0.35">
      <c r="A760" s="1416">
        <v>35709</v>
      </c>
      <c r="B760" s="1415">
        <v>12.518520000000001</v>
      </c>
    </row>
    <row r="761" spans="1:2" x14ac:dyDescent="0.35">
      <c r="A761" s="1416">
        <v>35710</v>
      </c>
      <c r="B761" s="1415">
        <v>12.88889</v>
      </c>
    </row>
    <row r="762" spans="1:2" x14ac:dyDescent="0.35">
      <c r="A762" s="1416">
        <v>35711</v>
      </c>
      <c r="B762" s="1415">
        <v>12.740740000000001</v>
      </c>
    </row>
    <row r="763" spans="1:2" x14ac:dyDescent="0.35">
      <c r="A763" s="1416">
        <v>35712</v>
      </c>
      <c r="B763" s="1415">
        <v>13.38889</v>
      </c>
    </row>
    <row r="764" spans="1:2" x14ac:dyDescent="0.35">
      <c r="A764" s="1416">
        <v>35713</v>
      </c>
      <c r="B764" s="1415">
        <v>13.481479999999999</v>
      </c>
    </row>
    <row r="765" spans="1:2" x14ac:dyDescent="0.35">
      <c r="A765" s="1416">
        <v>35716</v>
      </c>
      <c r="B765" s="1415">
        <v>13.185180000000001</v>
      </c>
    </row>
    <row r="766" spans="1:2" x14ac:dyDescent="0.35">
      <c r="A766" s="1416">
        <v>35717</v>
      </c>
      <c r="B766" s="1415">
        <v>13.481479999999999</v>
      </c>
    </row>
    <row r="767" spans="1:2" x14ac:dyDescent="0.35">
      <c r="A767" s="1416">
        <v>35718</v>
      </c>
      <c r="B767" s="1415">
        <v>13.92592</v>
      </c>
    </row>
    <row r="768" spans="1:2" x14ac:dyDescent="0.35">
      <c r="A768" s="1416">
        <v>35719</v>
      </c>
      <c r="B768" s="1415">
        <v>13.59259</v>
      </c>
    </row>
    <row r="769" spans="1:2" x14ac:dyDescent="0.35">
      <c r="A769" s="1416">
        <v>35720</v>
      </c>
      <c r="B769" s="1415">
        <v>12.81481</v>
      </c>
    </row>
    <row r="770" spans="1:2" x14ac:dyDescent="0.35">
      <c r="A770" s="1416">
        <v>35723</v>
      </c>
      <c r="B770" s="1415">
        <v>13.481479999999999</v>
      </c>
    </row>
    <row r="771" spans="1:2" x14ac:dyDescent="0.35">
      <c r="A771" s="1416">
        <v>35724</v>
      </c>
      <c r="B771" s="1415">
        <v>13.92592</v>
      </c>
    </row>
    <row r="772" spans="1:2" x14ac:dyDescent="0.35">
      <c r="A772" s="1416">
        <v>35725</v>
      </c>
      <c r="B772" s="1415">
        <v>13.88889</v>
      </c>
    </row>
    <row r="773" spans="1:2" x14ac:dyDescent="0.35">
      <c r="A773" s="1416">
        <v>35726</v>
      </c>
      <c r="B773" s="1415">
        <v>13.148149999999999</v>
      </c>
    </row>
    <row r="774" spans="1:2" x14ac:dyDescent="0.35">
      <c r="A774" s="1416">
        <v>35727</v>
      </c>
      <c r="B774" s="1415">
        <v>12.518520000000001</v>
      </c>
    </row>
    <row r="775" spans="1:2" x14ac:dyDescent="0.35">
      <c r="A775" s="1416">
        <v>35730</v>
      </c>
      <c r="B775" s="1415">
        <v>11.481479999999999</v>
      </c>
    </row>
    <row r="776" spans="1:2" x14ac:dyDescent="0.35">
      <c r="A776" s="1416">
        <v>35731</v>
      </c>
      <c r="B776" s="1415">
        <v>12.44444</v>
      </c>
    </row>
    <row r="777" spans="1:2" x14ac:dyDescent="0.35">
      <c r="A777" s="1416">
        <v>35732</v>
      </c>
      <c r="B777" s="1415">
        <v>12.629630000000001</v>
      </c>
    </row>
    <row r="778" spans="1:2" x14ac:dyDescent="0.35">
      <c r="A778" s="1416">
        <v>35733</v>
      </c>
      <c r="B778" s="1415">
        <v>12.22222</v>
      </c>
    </row>
    <row r="779" spans="1:2" x14ac:dyDescent="0.35">
      <c r="A779" s="1416">
        <v>35734</v>
      </c>
      <c r="B779" s="1415">
        <v>12.518520000000001</v>
      </c>
    </row>
    <row r="780" spans="1:2" x14ac:dyDescent="0.35">
      <c r="A780" s="1416">
        <v>35737</v>
      </c>
      <c r="B780" s="1415">
        <v>12.44444</v>
      </c>
    </row>
    <row r="781" spans="1:2" x14ac:dyDescent="0.35">
      <c r="A781" s="1416">
        <v>35738</v>
      </c>
      <c r="B781" s="1415">
        <v>12.518520000000001</v>
      </c>
    </row>
    <row r="782" spans="1:2" x14ac:dyDescent="0.35">
      <c r="A782" s="1416">
        <v>35739</v>
      </c>
      <c r="B782" s="1415">
        <v>12.481479999999999</v>
      </c>
    </row>
    <row r="783" spans="1:2" x14ac:dyDescent="0.35">
      <c r="A783" s="1416">
        <v>35740</v>
      </c>
      <c r="B783" s="1415">
        <v>11.962960000000001</v>
      </c>
    </row>
    <row r="784" spans="1:2" x14ac:dyDescent="0.35">
      <c r="A784" s="1416">
        <v>35741</v>
      </c>
      <c r="B784" s="1415">
        <v>11.851850000000001</v>
      </c>
    </row>
    <row r="785" spans="1:2" x14ac:dyDescent="0.35">
      <c r="A785" s="1416">
        <v>35744</v>
      </c>
      <c r="B785" s="1415">
        <v>11.55555</v>
      </c>
    </row>
    <row r="786" spans="1:2" x14ac:dyDescent="0.35">
      <c r="A786" s="1416">
        <v>35745</v>
      </c>
      <c r="B786" s="1415">
        <v>11.81481</v>
      </c>
    </row>
    <row r="787" spans="1:2" x14ac:dyDescent="0.35">
      <c r="A787" s="1416">
        <v>35746</v>
      </c>
      <c r="B787" s="1415">
        <v>11.81481</v>
      </c>
    </row>
    <row r="788" spans="1:2" x14ac:dyDescent="0.35">
      <c r="A788" s="1416">
        <v>35747</v>
      </c>
      <c r="B788" s="1415">
        <v>12.296290000000001</v>
      </c>
    </row>
    <row r="789" spans="1:2" x14ac:dyDescent="0.35">
      <c r="A789" s="1416">
        <v>35748</v>
      </c>
      <c r="B789" s="1415">
        <v>12.44444</v>
      </c>
    </row>
    <row r="790" spans="1:2" x14ac:dyDescent="0.35">
      <c r="A790" s="1416">
        <v>35751</v>
      </c>
      <c r="B790" s="1415">
        <v>12.81481</v>
      </c>
    </row>
    <row r="791" spans="1:2" x14ac:dyDescent="0.35">
      <c r="A791" s="1416">
        <v>35752</v>
      </c>
      <c r="B791" s="1415">
        <v>12.7037</v>
      </c>
    </row>
    <row r="792" spans="1:2" x14ac:dyDescent="0.35">
      <c r="A792" s="1416">
        <v>35753</v>
      </c>
      <c r="B792" s="1415">
        <v>12.77778</v>
      </c>
    </row>
    <row r="793" spans="1:2" x14ac:dyDescent="0.35">
      <c r="A793" s="1416">
        <v>35754</v>
      </c>
      <c r="B793" s="1415">
        <v>12.629630000000001</v>
      </c>
    </row>
    <row r="794" spans="1:2" x14ac:dyDescent="0.35">
      <c r="A794" s="1416">
        <v>35755</v>
      </c>
      <c r="B794" s="1415">
        <v>13</v>
      </c>
    </row>
    <row r="795" spans="1:2" x14ac:dyDescent="0.35">
      <c r="A795" s="1416">
        <v>35758</v>
      </c>
      <c r="B795" s="1415">
        <v>12.42592</v>
      </c>
    </row>
    <row r="796" spans="1:2" x14ac:dyDescent="0.35">
      <c r="A796" s="1416">
        <v>35759</v>
      </c>
      <c r="B796" s="1415">
        <v>12.851850000000001</v>
      </c>
    </row>
    <row r="797" spans="1:2" x14ac:dyDescent="0.35">
      <c r="A797" s="1416">
        <v>35760</v>
      </c>
      <c r="B797" s="1415">
        <v>12.851850000000001</v>
      </c>
    </row>
    <row r="798" spans="1:2" x14ac:dyDescent="0.35">
      <c r="A798" s="1416">
        <v>35762</v>
      </c>
      <c r="B798" s="1415">
        <v>12.629630000000001</v>
      </c>
    </row>
    <row r="799" spans="1:2" x14ac:dyDescent="0.35">
      <c r="A799" s="1416">
        <v>35765</v>
      </c>
      <c r="B799" s="1415">
        <v>13</v>
      </c>
    </row>
    <row r="800" spans="1:2" x14ac:dyDescent="0.35">
      <c r="A800" s="1416">
        <v>35766</v>
      </c>
      <c r="B800" s="1415">
        <v>12.407400000000001</v>
      </c>
    </row>
    <row r="801" spans="1:2" x14ac:dyDescent="0.35">
      <c r="A801" s="1416">
        <v>35767</v>
      </c>
      <c r="B801" s="1415">
        <v>12.55555</v>
      </c>
    </row>
    <row r="802" spans="1:2" x14ac:dyDescent="0.35">
      <c r="A802" s="1416">
        <v>35768</v>
      </c>
      <c r="B802" s="1415">
        <v>12.962960000000001</v>
      </c>
    </row>
    <row r="803" spans="1:2" x14ac:dyDescent="0.35">
      <c r="A803" s="1416">
        <v>35769</v>
      </c>
      <c r="B803" s="1415">
        <v>13.33333</v>
      </c>
    </row>
    <row r="804" spans="1:2" x14ac:dyDescent="0.35">
      <c r="A804" s="1416">
        <v>35772</v>
      </c>
      <c r="B804" s="1415">
        <v>13.574070000000001</v>
      </c>
    </row>
    <row r="805" spans="1:2" x14ac:dyDescent="0.35">
      <c r="A805" s="1416">
        <v>35773</v>
      </c>
      <c r="B805" s="1415">
        <v>13.59259</v>
      </c>
    </row>
    <row r="806" spans="1:2" x14ac:dyDescent="0.35">
      <c r="A806" s="1416">
        <v>35774</v>
      </c>
      <c r="B806" s="1415">
        <v>13.77777</v>
      </c>
    </row>
    <row r="807" spans="1:2" x14ac:dyDescent="0.35">
      <c r="A807" s="1416">
        <v>35775</v>
      </c>
      <c r="B807" s="1415">
        <v>13.59259</v>
      </c>
    </row>
    <row r="808" spans="1:2" x14ac:dyDescent="0.35">
      <c r="A808" s="1416">
        <v>35776</v>
      </c>
      <c r="B808" s="1415">
        <v>12.851850000000001</v>
      </c>
    </row>
    <row r="809" spans="1:2" x14ac:dyDescent="0.35">
      <c r="A809" s="1416">
        <v>35779</v>
      </c>
      <c r="B809" s="1415">
        <v>13.03703</v>
      </c>
    </row>
    <row r="810" spans="1:2" x14ac:dyDescent="0.35">
      <c r="A810" s="1416">
        <v>35780</v>
      </c>
      <c r="B810" s="1415">
        <v>13.31481</v>
      </c>
    </row>
    <row r="811" spans="1:2" x14ac:dyDescent="0.35">
      <c r="A811" s="1416">
        <v>35781</v>
      </c>
      <c r="B811" s="1415">
        <v>13.33333</v>
      </c>
    </row>
    <row r="812" spans="1:2" x14ac:dyDescent="0.35">
      <c r="A812" s="1416">
        <v>35782</v>
      </c>
      <c r="B812" s="1415">
        <v>12.81481</v>
      </c>
    </row>
    <row r="813" spans="1:2" x14ac:dyDescent="0.35">
      <c r="A813" s="1416">
        <v>35783</v>
      </c>
      <c r="B813" s="1415">
        <v>12.962960000000001</v>
      </c>
    </row>
    <row r="814" spans="1:2" x14ac:dyDescent="0.35">
      <c r="A814" s="1416">
        <v>35786</v>
      </c>
      <c r="B814" s="1415">
        <v>12.92592</v>
      </c>
    </row>
    <row r="815" spans="1:2" x14ac:dyDescent="0.35">
      <c r="A815" s="1416">
        <v>35787</v>
      </c>
      <c r="B815" s="1415">
        <v>13.03703</v>
      </c>
    </row>
    <row r="816" spans="1:2" x14ac:dyDescent="0.35">
      <c r="A816" s="1416">
        <v>35788</v>
      </c>
      <c r="B816" s="1415">
        <v>13.11111</v>
      </c>
    </row>
    <row r="817" spans="1:2" x14ac:dyDescent="0.35">
      <c r="A817" s="1416">
        <v>35790</v>
      </c>
      <c r="B817" s="1415">
        <v>13.03703</v>
      </c>
    </row>
    <row r="818" spans="1:2" x14ac:dyDescent="0.35">
      <c r="A818" s="1416">
        <v>35793</v>
      </c>
      <c r="B818" s="1415">
        <v>13.481479999999999</v>
      </c>
    </row>
    <row r="819" spans="1:2" x14ac:dyDescent="0.35">
      <c r="A819" s="1416">
        <v>35794</v>
      </c>
      <c r="B819" s="1415">
        <v>14.22222</v>
      </c>
    </row>
    <row r="820" spans="1:2" x14ac:dyDescent="0.35">
      <c r="A820" s="1416">
        <v>35795</v>
      </c>
      <c r="B820" s="1415">
        <v>14</v>
      </c>
    </row>
    <row r="821" spans="1:2" x14ac:dyDescent="0.35">
      <c r="A821" s="1416">
        <v>35797</v>
      </c>
      <c r="B821" s="1415">
        <v>13.59259</v>
      </c>
    </row>
    <row r="822" spans="1:2" x14ac:dyDescent="0.35">
      <c r="A822" s="1416">
        <v>35800</v>
      </c>
      <c r="B822" s="1415">
        <v>13.55555</v>
      </c>
    </row>
    <row r="823" spans="1:2" x14ac:dyDescent="0.35">
      <c r="A823" s="1416">
        <v>35801</v>
      </c>
      <c r="B823" s="1415">
        <v>13.77777</v>
      </c>
    </row>
    <row r="824" spans="1:2" x14ac:dyDescent="0.35">
      <c r="A824" s="1416">
        <v>35802</v>
      </c>
      <c r="B824" s="1415">
        <v>13.11111</v>
      </c>
    </row>
    <row r="825" spans="1:2" x14ac:dyDescent="0.35">
      <c r="A825" s="1416">
        <v>35803</v>
      </c>
      <c r="B825" s="1415">
        <v>13.074070000000001</v>
      </c>
    </row>
    <row r="826" spans="1:2" x14ac:dyDescent="0.35">
      <c r="A826" s="1416">
        <v>35804</v>
      </c>
      <c r="B826" s="1415">
        <v>12</v>
      </c>
    </row>
    <row r="827" spans="1:2" x14ac:dyDescent="0.35">
      <c r="A827" s="1416">
        <v>35807</v>
      </c>
      <c r="B827" s="1415">
        <v>12</v>
      </c>
    </row>
    <row r="828" spans="1:2" x14ac:dyDescent="0.35">
      <c r="A828" s="1416">
        <v>35808</v>
      </c>
      <c r="B828" s="1415">
        <v>12.259259999999999</v>
      </c>
    </row>
    <row r="829" spans="1:2" x14ac:dyDescent="0.35">
      <c r="A829" s="1416">
        <v>35809</v>
      </c>
      <c r="B829" s="1415">
        <v>12.518520000000001</v>
      </c>
    </row>
    <row r="830" spans="1:2" x14ac:dyDescent="0.35">
      <c r="A830" s="1416">
        <v>35810</v>
      </c>
      <c r="B830" s="1415">
        <v>12.7037</v>
      </c>
    </row>
    <row r="831" spans="1:2" x14ac:dyDescent="0.35">
      <c r="A831" s="1416">
        <v>35811</v>
      </c>
      <c r="B831" s="1415">
        <v>12.81481</v>
      </c>
    </row>
    <row r="832" spans="1:2" x14ac:dyDescent="0.35">
      <c r="A832" s="1416">
        <v>35815</v>
      </c>
      <c r="B832" s="1415">
        <v>12.77778</v>
      </c>
    </row>
    <row r="833" spans="1:2" x14ac:dyDescent="0.35">
      <c r="A833" s="1416">
        <v>35816</v>
      </c>
      <c r="B833" s="1415">
        <v>12.7037</v>
      </c>
    </row>
    <row r="834" spans="1:2" x14ac:dyDescent="0.35">
      <c r="A834" s="1416">
        <v>35817</v>
      </c>
      <c r="B834" s="1415">
        <v>12.7037</v>
      </c>
    </row>
    <row r="835" spans="1:2" x14ac:dyDescent="0.35">
      <c r="A835" s="1416">
        <v>35818</v>
      </c>
      <c r="B835" s="1415">
        <v>12.77778</v>
      </c>
    </row>
    <row r="836" spans="1:2" x14ac:dyDescent="0.35">
      <c r="A836" s="1416">
        <v>35821</v>
      </c>
      <c r="B836" s="1415">
        <v>12.481479999999999</v>
      </c>
    </row>
    <row r="837" spans="1:2" x14ac:dyDescent="0.35">
      <c r="A837" s="1416">
        <v>35822</v>
      </c>
      <c r="B837" s="1415">
        <v>12.7037</v>
      </c>
    </row>
    <row r="838" spans="1:2" x14ac:dyDescent="0.35">
      <c r="A838" s="1416">
        <v>35823</v>
      </c>
      <c r="B838" s="1415">
        <v>13.16666</v>
      </c>
    </row>
    <row r="839" spans="1:2" x14ac:dyDescent="0.35">
      <c r="A839" s="1416">
        <v>35824</v>
      </c>
      <c r="B839" s="1415">
        <v>13.407400000000001</v>
      </c>
    </row>
    <row r="840" spans="1:2" x14ac:dyDescent="0.35">
      <c r="A840" s="1416">
        <v>35825</v>
      </c>
      <c r="B840" s="1415">
        <v>13.407400000000001</v>
      </c>
    </row>
    <row r="841" spans="1:2" x14ac:dyDescent="0.35">
      <c r="A841" s="1416">
        <v>35828</v>
      </c>
      <c r="B841" s="1415">
        <v>13.81481</v>
      </c>
    </row>
    <row r="842" spans="1:2" x14ac:dyDescent="0.35">
      <c r="A842" s="1416">
        <v>35829</v>
      </c>
      <c r="B842" s="1415">
        <v>13.759259999999999</v>
      </c>
    </row>
    <row r="843" spans="1:2" x14ac:dyDescent="0.35">
      <c r="A843" s="1416">
        <v>35830</v>
      </c>
      <c r="B843" s="1415">
        <v>12.88889</v>
      </c>
    </row>
    <row r="844" spans="1:2" x14ac:dyDescent="0.35">
      <c r="A844" s="1416">
        <v>35831</v>
      </c>
      <c r="B844" s="1415">
        <v>13.259259999999999</v>
      </c>
    </row>
    <row r="845" spans="1:2" x14ac:dyDescent="0.35">
      <c r="A845" s="1416">
        <v>35832</v>
      </c>
      <c r="B845" s="1415">
        <v>13.27777</v>
      </c>
    </row>
    <row r="846" spans="1:2" x14ac:dyDescent="0.35">
      <c r="A846" s="1416">
        <v>35835</v>
      </c>
      <c r="B846" s="1415">
        <v>13.648149999999999</v>
      </c>
    </row>
    <row r="847" spans="1:2" x14ac:dyDescent="0.35">
      <c r="A847" s="1416">
        <v>35836</v>
      </c>
      <c r="B847" s="1415">
        <v>13.7037</v>
      </c>
    </row>
    <row r="848" spans="1:2" x14ac:dyDescent="0.35">
      <c r="A848" s="1416">
        <v>35837</v>
      </c>
      <c r="B848" s="1415">
        <v>13.59259</v>
      </c>
    </row>
    <row r="849" spans="1:2" x14ac:dyDescent="0.35">
      <c r="A849" s="1416">
        <v>35838</v>
      </c>
      <c r="B849" s="1415">
        <v>13.11111</v>
      </c>
    </row>
    <row r="850" spans="1:2" x14ac:dyDescent="0.35">
      <c r="A850" s="1416">
        <v>35839</v>
      </c>
      <c r="B850" s="1415">
        <v>12.851850000000001</v>
      </c>
    </row>
    <row r="851" spans="1:2" x14ac:dyDescent="0.35">
      <c r="A851" s="1416">
        <v>35843</v>
      </c>
      <c r="B851" s="1415">
        <v>12.44444</v>
      </c>
    </row>
    <row r="852" spans="1:2" x14ac:dyDescent="0.35">
      <c r="A852" s="1416">
        <v>35844</v>
      </c>
      <c r="B852" s="1415">
        <v>11.61111</v>
      </c>
    </row>
    <row r="853" spans="1:2" x14ac:dyDescent="0.35">
      <c r="A853" s="1416">
        <v>35845</v>
      </c>
      <c r="B853" s="1415">
        <v>12.61111</v>
      </c>
    </row>
    <row r="854" spans="1:2" x14ac:dyDescent="0.35">
      <c r="A854" s="1416">
        <v>35846</v>
      </c>
      <c r="B854" s="1415">
        <v>12.61111</v>
      </c>
    </row>
    <row r="855" spans="1:2" x14ac:dyDescent="0.35">
      <c r="A855" s="1416">
        <v>35849</v>
      </c>
      <c r="B855" s="1415">
        <v>12.44444</v>
      </c>
    </row>
    <row r="856" spans="1:2" x14ac:dyDescent="0.35">
      <c r="A856" s="1416">
        <v>35850</v>
      </c>
      <c r="B856" s="1415">
        <v>12.38889</v>
      </c>
    </row>
    <row r="857" spans="1:2" x14ac:dyDescent="0.35">
      <c r="A857" s="1416">
        <v>35851</v>
      </c>
      <c r="B857" s="1415">
        <v>12.59259</v>
      </c>
    </row>
    <row r="858" spans="1:2" x14ac:dyDescent="0.35">
      <c r="A858" s="1416">
        <v>35852</v>
      </c>
      <c r="B858" s="1415">
        <v>12.740740000000001</v>
      </c>
    </row>
    <row r="859" spans="1:2" x14ac:dyDescent="0.35">
      <c r="A859" s="1416">
        <v>35853</v>
      </c>
      <c r="B859" s="1415">
        <v>12.55555</v>
      </c>
    </row>
    <row r="860" spans="1:2" x14ac:dyDescent="0.35">
      <c r="A860" s="1416">
        <v>35856</v>
      </c>
      <c r="B860" s="1415">
        <v>12.740740000000001</v>
      </c>
    </row>
    <row r="861" spans="1:2" x14ac:dyDescent="0.35">
      <c r="A861" s="1416">
        <v>35857</v>
      </c>
      <c r="B861" s="1415">
        <v>12.851850000000001</v>
      </c>
    </row>
    <row r="862" spans="1:2" x14ac:dyDescent="0.35">
      <c r="A862" s="1416">
        <v>35858</v>
      </c>
      <c r="B862" s="1415">
        <v>12.92592</v>
      </c>
    </row>
    <row r="863" spans="1:2" x14ac:dyDescent="0.35">
      <c r="A863" s="1416">
        <v>35859</v>
      </c>
      <c r="B863" s="1415">
        <v>13.22222</v>
      </c>
    </row>
    <row r="864" spans="1:2" x14ac:dyDescent="0.35">
      <c r="A864" s="1416">
        <v>35860</v>
      </c>
      <c r="B864" s="1415">
        <v>13.518520000000001</v>
      </c>
    </row>
    <row r="865" spans="1:2" x14ac:dyDescent="0.35">
      <c r="A865" s="1416">
        <v>35863</v>
      </c>
      <c r="B865" s="1415">
        <v>13.88889</v>
      </c>
    </row>
    <row r="866" spans="1:2" x14ac:dyDescent="0.35">
      <c r="A866" s="1416">
        <v>35864</v>
      </c>
      <c r="B866" s="1415">
        <v>14</v>
      </c>
    </row>
    <row r="867" spans="1:2" x14ac:dyDescent="0.35">
      <c r="A867" s="1416">
        <v>35865</v>
      </c>
      <c r="B867" s="1415">
        <v>13.629630000000001</v>
      </c>
    </row>
    <row r="868" spans="1:2" x14ac:dyDescent="0.35">
      <c r="A868" s="1416">
        <v>35866</v>
      </c>
      <c r="B868" s="1415">
        <v>13.42592</v>
      </c>
    </row>
    <row r="869" spans="1:2" x14ac:dyDescent="0.35">
      <c r="A869" s="1416">
        <v>35867</v>
      </c>
      <c r="B869" s="1415">
        <v>13.296290000000001</v>
      </c>
    </row>
    <row r="870" spans="1:2" x14ac:dyDescent="0.35">
      <c r="A870" s="1416">
        <v>35870</v>
      </c>
      <c r="B870" s="1415">
        <v>13.7037</v>
      </c>
    </row>
    <row r="871" spans="1:2" x14ac:dyDescent="0.35">
      <c r="A871" s="1416">
        <v>35871</v>
      </c>
      <c r="B871" s="1415">
        <v>13.518520000000001</v>
      </c>
    </row>
    <row r="872" spans="1:2" x14ac:dyDescent="0.35">
      <c r="A872" s="1416">
        <v>35872</v>
      </c>
      <c r="B872" s="1415">
        <v>13.481479999999999</v>
      </c>
    </row>
    <row r="873" spans="1:2" x14ac:dyDescent="0.35">
      <c r="A873" s="1416">
        <v>35873</v>
      </c>
      <c r="B873" s="1415">
        <v>13.851850000000001</v>
      </c>
    </row>
    <row r="874" spans="1:2" x14ac:dyDescent="0.35">
      <c r="A874" s="1416">
        <v>35874</v>
      </c>
      <c r="B874" s="1415">
        <v>13.851850000000001</v>
      </c>
    </row>
    <row r="875" spans="1:2" x14ac:dyDescent="0.35">
      <c r="A875" s="1416">
        <v>35877</v>
      </c>
      <c r="B875" s="1415">
        <v>13.907400000000001</v>
      </c>
    </row>
    <row r="876" spans="1:2" x14ac:dyDescent="0.35">
      <c r="A876" s="1416">
        <v>35878</v>
      </c>
      <c r="B876" s="1415">
        <v>14.129630000000001</v>
      </c>
    </row>
    <row r="877" spans="1:2" x14ac:dyDescent="0.35">
      <c r="A877" s="1416">
        <v>35879</v>
      </c>
      <c r="B877" s="1415">
        <v>14.370369999999999</v>
      </c>
    </row>
    <row r="878" spans="1:2" x14ac:dyDescent="0.35">
      <c r="A878" s="1416">
        <v>35880</v>
      </c>
      <c r="B878" s="1415">
        <v>14.259259999999999</v>
      </c>
    </row>
    <row r="879" spans="1:2" x14ac:dyDescent="0.35">
      <c r="A879" s="1416">
        <v>35881</v>
      </c>
      <c r="B879" s="1415">
        <v>14.2037</v>
      </c>
    </row>
    <row r="880" spans="1:2" x14ac:dyDescent="0.35">
      <c r="A880" s="1416">
        <v>35884</v>
      </c>
      <c r="B880" s="1415">
        <v>14.22222</v>
      </c>
    </row>
    <row r="881" spans="1:2" x14ac:dyDescent="0.35">
      <c r="A881" s="1416">
        <v>35885</v>
      </c>
      <c r="B881" s="1415">
        <v>14.259259999999999</v>
      </c>
    </row>
    <row r="882" spans="1:2" x14ac:dyDescent="0.35">
      <c r="A882" s="1416">
        <v>35886</v>
      </c>
      <c r="B882" s="1415">
        <v>14.22222</v>
      </c>
    </row>
    <row r="883" spans="1:2" x14ac:dyDescent="0.35">
      <c r="A883" s="1416">
        <v>35887</v>
      </c>
      <c r="B883" s="1415">
        <v>14.870369999999999</v>
      </c>
    </row>
    <row r="884" spans="1:2" x14ac:dyDescent="0.35">
      <c r="A884" s="1416">
        <v>35888</v>
      </c>
      <c r="B884" s="1415">
        <v>15.481479999999999</v>
      </c>
    </row>
    <row r="885" spans="1:2" x14ac:dyDescent="0.35">
      <c r="A885" s="1416">
        <v>35891</v>
      </c>
      <c r="B885" s="1415">
        <v>15.370369999999999</v>
      </c>
    </row>
    <row r="886" spans="1:2" x14ac:dyDescent="0.35">
      <c r="A886" s="1416">
        <v>35892</v>
      </c>
      <c r="B886" s="1415">
        <v>15.05555</v>
      </c>
    </row>
    <row r="887" spans="1:2" x14ac:dyDescent="0.35">
      <c r="A887" s="1416">
        <v>35893</v>
      </c>
      <c r="B887" s="1415">
        <v>14.981479999999999</v>
      </c>
    </row>
    <row r="888" spans="1:2" x14ac:dyDescent="0.35">
      <c r="A888" s="1416">
        <v>35894</v>
      </c>
      <c r="B888" s="1415">
        <v>14.981479999999999</v>
      </c>
    </row>
    <row r="889" spans="1:2" x14ac:dyDescent="0.35">
      <c r="A889" s="1416">
        <v>35898</v>
      </c>
      <c r="B889" s="1415">
        <v>14.55555</v>
      </c>
    </row>
    <row r="890" spans="1:2" x14ac:dyDescent="0.35">
      <c r="A890" s="1416">
        <v>35899</v>
      </c>
      <c r="B890" s="1415">
        <v>14.77777</v>
      </c>
    </row>
    <row r="891" spans="1:2" x14ac:dyDescent="0.35">
      <c r="A891" s="1416">
        <v>35900</v>
      </c>
      <c r="B891" s="1415">
        <v>14.629630000000001</v>
      </c>
    </row>
    <row r="892" spans="1:2" x14ac:dyDescent="0.35">
      <c r="A892" s="1416">
        <v>35901</v>
      </c>
      <c r="B892" s="1415">
        <v>14.740740000000001</v>
      </c>
    </row>
    <row r="893" spans="1:2" x14ac:dyDescent="0.35">
      <c r="A893" s="1416">
        <v>35902</v>
      </c>
      <c r="B893" s="1415">
        <v>14.83333</v>
      </c>
    </row>
    <row r="894" spans="1:2" x14ac:dyDescent="0.35">
      <c r="A894" s="1416">
        <v>35905</v>
      </c>
      <c r="B894" s="1415">
        <v>14.962960000000001</v>
      </c>
    </row>
    <row r="895" spans="1:2" x14ac:dyDescent="0.35">
      <c r="A895" s="1416">
        <v>35906</v>
      </c>
      <c r="B895" s="1415">
        <v>15.851850000000001</v>
      </c>
    </row>
    <row r="896" spans="1:2" x14ac:dyDescent="0.35">
      <c r="A896" s="1416">
        <v>35907</v>
      </c>
      <c r="B896" s="1415">
        <v>15.629630000000001</v>
      </c>
    </row>
    <row r="897" spans="1:2" x14ac:dyDescent="0.35">
      <c r="A897" s="1416">
        <v>35908</v>
      </c>
      <c r="B897" s="1415">
        <v>15.11111</v>
      </c>
    </row>
    <row r="898" spans="1:2" x14ac:dyDescent="0.35">
      <c r="A898" s="1416">
        <v>35909</v>
      </c>
      <c r="B898" s="1415">
        <v>15.370369999999999</v>
      </c>
    </row>
    <row r="899" spans="1:2" x14ac:dyDescent="0.35">
      <c r="A899" s="1416">
        <v>35912</v>
      </c>
      <c r="B899" s="1415">
        <v>14.55555</v>
      </c>
    </row>
    <row r="900" spans="1:2" x14ac:dyDescent="0.35">
      <c r="A900" s="1416">
        <v>35913</v>
      </c>
      <c r="B900" s="1415">
        <v>14.66667</v>
      </c>
    </row>
    <row r="901" spans="1:2" x14ac:dyDescent="0.35">
      <c r="A901" s="1416">
        <v>35914</v>
      </c>
      <c r="B901" s="1415">
        <v>15.33333</v>
      </c>
    </row>
    <row r="902" spans="1:2" x14ac:dyDescent="0.35">
      <c r="A902" s="1416">
        <v>35915</v>
      </c>
      <c r="B902" s="1415">
        <v>15.22222</v>
      </c>
    </row>
    <row r="903" spans="1:2" x14ac:dyDescent="0.35">
      <c r="A903" s="1416">
        <v>35916</v>
      </c>
      <c r="B903" s="1415">
        <v>15.38889</v>
      </c>
    </row>
    <row r="904" spans="1:2" x14ac:dyDescent="0.35">
      <c r="A904" s="1416">
        <v>35919</v>
      </c>
      <c r="B904" s="1415">
        <v>15.27778</v>
      </c>
    </row>
    <row r="905" spans="1:2" x14ac:dyDescent="0.35">
      <c r="A905" s="1416">
        <v>35920</v>
      </c>
      <c r="B905" s="1415">
        <v>14.88889</v>
      </c>
    </row>
    <row r="906" spans="1:2" x14ac:dyDescent="0.35">
      <c r="A906" s="1416">
        <v>35921</v>
      </c>
      <c r="B906" s="1415">
        <v>14.16667</v>
      </c>
    </row>
    <row r="907" spans="1:2" x14ac:dyDescent="0.35">
      <c r="A907" s="1416">
        <v>35922</v>
      </c>
      <c r="B907" s="1415">
        <v>14.38889</v>
      </c>
    </row>
    <row r="908" spans="1:2" x14ac:dyDescent="0.35">
      <c r="A908" s="1416">
        <v>35923</v>
      </c>
      <c r="B908" s="1415">
        <v>14.66667</v>
      </c>
    </row>
    <row r="909" spans="1:2" x14ac:dyDescent="0.35">
      <c r="A909" s="1416">
        <v>35926</v>
      </c>
      <c r="B909" s="1415">
        <v>14.61111</v>
      </c>
    </row>
    <row r="910" spans="1:2" x14ac:dyDescent="0.35">
      <c r="A910" s="1416">
        <v>35927</v>
      </c>
      <c r="B910" s="1415">
        <v>14.72222</v>
      </c>
    </row>
    <row r="911" spans="1:2" x14ac:dyDescent="0.35">
      <c r="A911" s="1416">
        <v>35928</v>
      </c>
      <c r="B911" s="1415">
        <v>14.61111</v>
      </c>
    </row>
    <row r="912" spans="1:2" x14ac:dyDescent="0.35">
      <c r="A912" s="1416">
        <v>35929</v>
      </c>
      <c r="B912" s="1415">
        <v>14.63889</v>
      </c>
    </row>
    <row r="913" spans="1:2" x14ac:dyDescent="0.35">
      <c r="A913" s="1416">
        <v>35930</v>
      </c>
      <c r="B913" s="1415">
        <v>14.63889</v>
      </c>
    </row>
    <row r="914" spans="1:2" x14ac:dyDescent="0.35">
      <c r="A914" s="1416">
        <v>35933</v>
      </c>
      <c r="B914" s="1415">
        <v>14.22222</v>
      </c>
    </row>
    <row r="915" spans="1:2" x14ac:dyDescent="0.35">
      <c r="A915" s="1416">
        <v>35934</v>
      </c>
      <c r="B915" s="1415">
        <v>14.22222</v>
      </c>
    </row>
    <row r="916" spans="1:2" x14ac:dyDescent="0.35">
      <c r="A916" s="1416">
        <v>35935</v>
      </c>
      <c r="B916" s="1415">
        <v>14.11111</v>
      </c>
    </row>
    <row r="917" spans="1:2" x14ac:dyDescent="0.35">
      <c r="A917" s="1416">
        <v>35936</v>
      </c>
      <c r="B917" s="1415">
        <v>14.30555</v>
      </c>
    </row>
    <row r="918" spans="1:2" x14ac:dyDescent="0.35">
      <c r="A918" s="1416">
        <v>35937</v>
      </c>
      <c r="B918" s="1415">
        <v>13.83333</v>
      </c>
    </row>
    <row r="919" spans="1:2" x14ac:dyDescent="0.35">
      <c r="A919" s="1416">
        <v>35941</v>
      </c>
      <c r="B919" s="1415">
        <v>13.72222</v>
      </c>
    </row>
    <row r="920" spans="1:2" x14ac:dyDescent="0.35">
      <c r="A920" s="1416">
        <v>35942</v>
      </c>
      <c r="B920" s="1415">
        <v>14.77778</v>
      </c>
    </row>
    <row r="921" spans="1:2" x14ac:dyDescent="0.35">
      <c r="A921" s="1416">
        <v>35943</v>
      </c>
      <c r="B921" s="1415">
        <v>13.88889</v>
      </c>
    </row>
    <row r="922" spans="1:2" x14ac:dyDescent="0.35">
      <c r="A922" s="1416">
        <v>35944</v>
      </c>
      <c r="B922" s="1415">
        <v>14.19444</v>
      </c>
    </row>
    <row r="923" spans="1:2" x14ac:dyDescent="0.35">
      <c r="A923" s="1416">
        <v>35947</v>
      </c>
      <c r="B923" s="1415">
        <v>13.75</v>
      </c>
    </row>
    <row r="924" spans="1:2" x14ac:dyDescent="0.35">
      <c r="A924" s="1416">
        <v>35948</v>
      </c>
      <c r="B924" s="1415">
        <v>13.72222</v>
      </c>
    </row>
    <row r="925" spans="1:2" x14ac:dyDescent="0.35">
      <c r="A925" s="1416">
        <v>35949</v>
      </c>
      <c r="B925" s="1415">
        <v>13.27778</v>
      </c>
    </row>
    <row r="926" spans="1:2" x14ac:dyDescent="0.35">
      <c r="A926" s="1416">
        <v>35950</v>
      </c>
      <c r="B926" s="1415">
        <v>13.16667</v>
      </c>
    </row>
    <row r="927" spans="1:2" x14ac:dyDescent="0.35">
      <c r="A927" s="1416">
        <v>35951</v>
      </c>
      <c r="B927" s="1415">
        <v>13.33333</v>
      </c>
    </row>
    <row r="928" spans="1:2" x14ac:dyDescent="0.35">
      <c r="A928" s="1416">
        <v>35954</v>
      </c>
      <c r="B928" s="1415">
        <v>13.66667</v>
      </c>
    </row>
    <row r="929" spans="1:2" x14ac:dyDescent="0.35">
      <c r="A929" s="1416">
        <v>35955</v>
      </c>
      <c r="B929" s="1415">
        <v>14.38889</v>
      </c>
    </row>
    <row r="930" spans="1:2" x14ac:dyDescent="0.35">
      <c r="A930" s="1416">
        <v>35956</v>
      </c>
      <c r="B930" s="1415">
        <v>13.77778</v>
      </c>
    </row>
    <row r="931" spans="1:2" x14ac:dyDescent="0.35">
      <c r="A931" s="1416">
        <v>35957</v>
      </c>
      <c r="B931" s="1415">
        <v>13.77778</v>
      </c>
    </row>
    <row r="932" spans="1:2" x14ac:dyDescent="0.35">
      <c r="A932" s="1416">
        <v>35958</v>
      </c>
      <c r="B932" s="1415">
        <v>13.77778</v>
      </c>
    </row>
    <row r="933" spans="1:2" x14ac:dyDescent="0.35">
      <c r="A933" s="1416">
        <v>35961</v>
      </c>
      <c r="B933" s="1415">
        <v>13.55555</v>
      </c>
    </row>
    <row r="934" spans="1:2" x14ac:dyDescent="0.35">
      <c r="A934" s="1416">
        <v>35962</v>
      </c>
      <c r="B934" s="1415">
        <v>14.13889</v>
      </c>
    </row>
    <row r="935" spans="1:2" x14ac:dyDescent="0.35">
      <c r="A935" s="1416">
        <v>35963</v>
      </c>
      <c r="B935" s="1415">
        <v>14.61111</v>
      </c>
    </row>
    <row r="936" spans="1:2" x14ac:dyDescent="0.35">
      <c r="A936" s="1416">
        <v>35964</v>
      </c>
      <c r="B936" s="1415">
        <v>14.44444</v>
      </c>
    </row>
    <row r="937" spans="1:2" x14ac:dyDescent="0.35">
      <c r="A937" s="1416">
        <v>35965</v>
      </c>
      <c r="B937" s="1415">
        <v>14.38889</v>
      </c>
    </row>
    <row r="938" spans="1:2" x14ac:dyDescent="0.35">
      <c r="A938" s="1416">
        <v>35968</v>
      </c>
      <c r="B938" s="1415">
        <v>14.83333</v>
      </c>
    </row>
    <row r="939" spans="1:2" x14ac:dyDescent="0.35">
      <c r="A939" s="1416">
        <v>35969</v>
      </c>
      <c r="B939" s="1415">
        <v>14.736000000000001</v>
      </c>
    </row>
    <row r="940" spans="1:2" x14ac:dyDescent="0.35">
      <c r="A940" s="1416">
        <v>35970</v>
      </c>
      <c r="B940" s="1415">
        <v>14.25</v>
      </c>
    </row>
    <row r="941" spans="1:2" x14ac:dyDescent="0.35">
      <c r="A941" s="1416">
        <v>35971</v>
      </c>
      <c r="B941" s="1415">
        <v>14.33333</v>
      </c>
    </row>
    <row r="942" spans="1:2" x14ac:dyDescent="0.35">
      <c r="A942" s="1416">
        <v>35972</v>
      </c>
      <c r="B942" s="1415">
        <v>14.44444</v>
      </c>
    </row>
    <row r="943" spans="1:2" x14ac:dyDescent="0.35">
      <c r="A943" s="1416">
        <v>35975</v>
      </c>
      <c r="B943" s="1415">
        <v>14.48611</v>
      </c>
    </row>
    <row r="944" spans="1:2" x14ac:dyDescent="0.35">
      <c r="A944" s="1416">
        <v>35976</v>
      </c>
      <c r="B944" s="1415">
        <v>14.69444</v>
      </c>
    </row>
    <row r="945" spans="1:2" x14ac:dyDescent="0.35">
      <c r="A945" s="1416">
        <v>35977</v>
      </c>
      <c r="B945" s="1415">
        <v>14.55555</v>
      </c>
    </row>
    <row r="946" spans="1:2" x14ac:dyDescent="0.35">
      <c r="A946" s="1416">
        <v>35978</v>
      </c>
      <c r="B946" s="1415">
        <v>15.05555</v>
      </c>
    </row>
    <row r="947" spans="1:2" x14ac:dyDescent="0.35">
      <c r="A947" s="1416">
        <v>35982</v>
      </c>
      <c r="B947" s="1415">
        <v>14.91667</v>
      </c>
    </row>
    <row r="948" spans="1:2" x14ac:dyDescent="0.35">
      <c r="A948" s="1416">
        <v>35983</v>
      </c>
      <c r="B948" s="1415">
        <v>15.27778</v>
      </c>
    </row>
    <row r="949" spans="1:2" x14ac:dyDescent="0.35">
      <c r="A949" s="1416">
        <v>35984</v>
      </c>
      <c r="B949" s="1415">
        <v>15.80555</v>
      </c>
    </row>
    <row r="950" spans="1:2" x14ac:dyDescent="0.35">
      <c r="A950" s="1416">
        <v>35985</v>
      </c>
      <c r="B950" s="1415">
        <v>16.08333</v>
      </c>
    </row>
    <row r="951" spans="1:2" x14ac:dyDescent="0.35">
      <c r="A951" s="1416">
        <v>35986</v>
      </c>
      <c r="B951" s="1415">
        <v>16</v>
      </c>
    </row>
    <row r="952" spans="1:2" x14ac:dyDescent="0.35">
      <c r="A952" s="1416">
        <v>35989</v>
      </c>
      <c r="B952" s="1415">
        <v>17.25</v>
      </c>
    </row>
    <row r="953" spans="1:2" x14ac:dyDescent="0.35">
      <c r="A953" s="1416">
        <v>35990</v>
      </c>
      <c r="B953" s="1415">
        <v>17.44444</v>
      </c>
    </row>
    <row r="954" spans="1:2" x14ac:dyDescent="0.35">
      <c r="A954" s="1416">
        <v>35991</v>
      </c>
      <c r="B954" s="1415">
        <v>17.19444</v>
      </c>
    </row>
    <row r="955" spans="1:2" x14ac:dyDescent="0.35">
      <c r="A955" s="1416">
        <v>35992</v>
      </c>
      <c r="B955" s="1415">
        <v>17.22221</v>
      </c>
    </row>
    <row r="956" spans="1:2" x14ac:dyDescent="0.35">
      <c r="A956" s="1416">
        <v>35993</v>
      </c>
      <c r="B956" s="1415">
        <v>17.5</v>
      </c>
    </row>
    <row r="957" spans="1:2" x14ac:dyDescent="0.35">
      <c r="A957" s="1416">
        <v>35996</v>
      </c>
      <c r="B957" s="1415">
        <v>17.77777</v>
      </c>
    </row>
    <row r="958" spans="1:2" x14ac:dyDescent="0.35">
      <c r="A958" s="1416">
        <v>35997</v>
      </c>
      <c r="B958" s="1415">
        <v>16.66667</v>
      </c>
    </row>
    <row r="959" spans="1:2" x14ac:dyDescent="0.35">
      <c r="A959" s="1416">
        <v>35998</v>
      </c>
      <c r="B959" s="1415">
        <v>16.66667</v>
      </c>
    </row>
    <row r="960" spans="1:2" x14ac:dyDescent="0.35">
      <c r="A960" s="1416">
        <v>35999</v>
      </c>
      <c r="B960" s="1415">
        <v>15.94444</v>
      </c>
    </row>
    <row r="961" spans="1:2" x14ac:dyDescent="0.35">
      <c r="A961" s="1416">
        <v>36000</v>
      </c>
      <c r="B961" s="1415">
        <v>16.22221</v>
      </c>
    </row>
    <row r="962" spans="1:2" x14ac:dyDescent="0.35">
      <c r="A962" s="1416">
        <v>36003</v>
      </c>
      <c r="B962" s="1415">
        <v>16.11111</v>
      </c>
    </row>
    <row r="963" spans="1:2" x14ac:dyDescent="0.35">
      <c r="A963" s="1416">
        <v>36004</v>
      </c>
      <c r="B963" s="1415">
        <v>16.38889</v>
      </c>
    </row>
    <row r="964" spans="1:2" x14ac:dyDescent="0.35">
      <c r="A964" s="1416">
        <v>36005</v>
      </c>
      <c r="B964" s="1415">
        <v>16.27777</v>
      </c>
    </row>
    <row r="965" spans="1:2" x14ac:dyDescent="0.35">
      <c r="A965" s="1416">
        <v>36006</v>
      </c>
      <c r="B965" s="1415">
        <v>16.25</v>
      </c>
    </row>
    <row r="966" spans="1:2" x14ac:dyDescent="0.35">
      <c r="A966" s="1416">
        <v>36007</v>
      </c>
      <c r="B966" s="1415">
        <v>15.94444</v>
      </c>
    </row>
    <row r="967" spans="1:2" x14ac:dyDescent="0.35">
      <c r="A967" s="1416">
        <v>36010</v>
      </c>
      <c r="B967" s="1415">
        <v>15.22222</v>
      </c>
    </row>
    <row r="968" spans="1:2" x14ac:dyDescent="0.35">
      <c r="A968" s="1416">
        <v>36011</v>
      </c>
      <c r="B968" s="1415">
        <v>15.38889</v>
      </c>
    </row>
    <row r="969" spans="1:2" x14ac:dyDescent="0.35">
      <c r="A969" s="1416">
        <v>36012</v>
      </c>
      <c r="B969" s="1415">
        <v>14.66667</v>
      </c>
    </row>
    <row r="970" spans="1:2" x14ac:dyDescent="0.35">
      <c r="A970" s="1416">
        <v>36013</v>
      </c>
      <c r="B970" s="1415">
        <v>15.27778</v>
      </c>
    </row>
    <row r="971" spans="1:2" x14ac:dyDescent="0.35">
      <c r="A971" s="1416">
        <v>36014</v>
      </c>
      <c r="B971" s="1415">
        <v>15.75</v>
      </c>
    </row>
    <row r="972" spans="1:2" x14ac:dyDescent="0.35">
      <c r="A972" s="1416">
        <v>36017</v>
      </c>
      <c r="B972" s="1415">
        <v>16.05556</v>
      </c>
    </row>
    <row r="973" spans="1:2" x14ac:dyDescent="0.35">
      <c r="A973" s="1416">
        <v>36018</v>
      </c>
      <c r="B973" s="1415">
        <v>16.02777</v>
      </c>
    </row>
    <row r="974" spans="1:2" x14ac:dyDescent="0.35">
      <c r="A974" s="1416">
        <v>36019</v>
      </c>
      <c r="B974" s="1415">
        <v>17</v>
      </c>
    </row>
    <row r="975" spans="1:2" x14ac:dyDescent="0.35">
      <c r="A975" s="1416">
        <v>36020</v>
      </c>
      <c r="B975" s="1415">
        <v>15.33333</v>
      </c>
    </row>
    <row r="976" spans="1:2" x14ac:dyDescent="0.35">
      <c r="A976" s="1416">
        <v>36021</v>
      </c>
      <c r="B976" s="1415">
        <v>15.55555</v>
      </c>
    </row>
    <row r="977" spans="1:2" x14ac:dyDescent="0.35">
      <c r="A977" s="1416">
        <v>36024</v>
      </c>
      <c r="B977" s="1415">
        <v>16.33333</v>
      </c>
    </row>
    <row r="978" spans="1:2" x14ac:dyDescent="0.35">
      <c r="A978" s="1416">
        <v>36025</v>
      </c>
      <c r="B978" s="1415">
        <v>18.52777</v>
      </c>
    </row>
    <row r="979" spans="1:2" x14ac:dyDescent="0.35">
      <c r="A979" s="1416">
        <v>36026</v>
      </c>
      <c r="B979" s="1415">
        <v>17.72221</v>
      </c>
    </row>
    <row r="980" spans="1:2" x14ac:dyDescent="0.35">
      <c r="A980" s="1416">
        <v>36027</v>
      </c>
      <c r="B980" s="1415">
        <v>17.88889</v>
      </c>
    </row>
    <row r="981" spans="1:2" x14ac:dyDescent="0.35">
      <c r="A981" s="1416">
        <v>36028</v>
      </c>
      <c r="B981" s="1415">
        <v>17.58333</v>
      </c>
    </row>
    <row r="982" spans="1:2" x14ac:dyDescent="0.35">
      <c r="A982" s="1416">
        <v>36031</v>
      </c>
      <c r="B982" s="1415">
        <v>17.61111</v>
      </c>
    </row>
    <row r="983" spans="1:2" x14ac:dyDescent="0.35">
      <c r="A983" s="1416">
        <v>36032</v>
      </c>
      <c r="B983" s="1415">
        <v>18.44444</v>
      </c>
    </row>
    <row r="984" spans="1:2" x14ac:dyDescent="0.35">
      <c r="A984" s="1416">
        <v>36033</v>
      </c>
      <c r="B984" s="1415">
        <v>17</v>
      </c>
    </row>
    <row r="985" spans="1:2" x14ac:dyDescent="0.35">
      <c r="A985" s="1416">
        <v>36034</v>
      </c>
      <c r="B985" s="1415">
        <v>14.86111</v>
      </c>
    </row>
    <row r="986" spans="1:2" x14ac:dyDescent="0.35">
      <c r="A986" s="1416">
        <v>36035</v>
      </c>
      <c r="B986" s="1415">
        <v>15.52778</v>
      </c>
    </row>
    <row r="987" spans="1:2" x14ac:dyDescent="0.35">
      <c r="A987" s="1416">
        <v>36038</v>
      </c>
      <c r="B987" s="1415">
        <v>13.5</v>
      </c>
    </row>
    <row r="988" spans="1:2" x14ac:dyDescent="0.35">
      <c r="A988" s="1416">
        <v>36039</v>
      </c>
      <c r="B988" s="1415">
        <v>14.80555</v>
      </c>
    </row>
    <row r="989" spans="1:2" x14ac:dyDescent="0.35">
      <c r="A989" s="1416">
        <v>36040</v>
      </c>
      <c r="B989" s="1415">
        <v>15.5</v>
      </c>
    </row>
    <row r="990" spans="1:2" x14ac:dyDescent="0.35">
      <c r="A990" s="1416">
        <v>36041</v>
      </c>
      <c r="B990" s="1415">
        <v>15.30555</v>
      </c>
    </row>
    <row r="991" spans="1:2" x14ac:dyDescent="0.35">
      <c r="A991" s="1416">
        <v>36042</v>
      </c>
      <c r="B991" s="1415">
        <v>16.02777</v>
      </c>
    </row>
    <row r="992" spans="1:2" x14ac:dyDescent="0.35">
      <c r="A992" s="1416">
        <v>36046</v>
      </c>
      <c r="B992" s="1415">
        <v>17.44444</v>
      </c>
    </row>
    <row r="993" spans="1:2" x14ac:dyDescent="0.35">
      <c r="A993" s="1416">
        <v>36047</v>
      </c>
      <c r="B993" s="1415">
        <v>16.72221</v>
      </c>
    </row>
    <row r="994" spans="1:2" x14ac:dyDescent="0.35">
      <c r="A994" s="1416">
        <v>36048</v>
      </c>
      <c r="B994" s="1415">
        <v>16.11111</v>
      </c>
    </row>
    <row r="995" spans="1:2" x14ac:dyDescent="0.35">
      <c r="A995" s="1416">
        <v>36049</v>
      </c>
      <c r="B995" s="1415">
        <v>16.11111</v>
      </c>
    </row>
    <row r="996" spans="1:2" x14ac:dyDescent="0.35">
      <c r="A996" s="1416">
        <v>36052</v>
      </c>
      <c r="B996" s="1415">
        <v>16.52777</v>
      </c>
    </row>
    <row r="997" spans="1:2" x14ac:dyDescent="0.35">
      <c r="A997" s="1416">
        <v>36053</v>
      </c>
      <c r="B997" s="1415">
        <v>16.88889</v>
      </c>
    </row>
    <row r="998" spans="1:2" x14ac:dyDescent="0.35">
      <c r="A998" s="1416">
        <v>36054</v>
      </c>
      <c r="B998" s="1415">
        <v>16.33333</v>
      </c>
    </row>
    <row r="999" spans="1:2" x14ac:dyDescent="0.35">
      <c r="A999" s="1416">
        <v>36055</v>
      </c>
      <c r="B999" s="1415">
        <v>12.91667</v>
      </c>
    </row>
    <row r="1000" spans="1:2" x14ac:dyDescent="0.35">
      <c r="A1000" s="1416">
        <v>36056</v>
      </c>
      <c r="B1000" s="1415">
        <v>13.22222</v>
      </c>
    </row>
    <row r="1001" spans="1:2" x14ac:dyDescent="0.35">
      <c r="A1001" s="1416">
        <v>36059</v>
      </c>
      <c r="B1001" s="1415">
        <v>13.5</v>
      </c>
    </row>
    <row r="1002" spans="1:2" x14ac:dyDescent="0.35">
      <c r="A1002" s="1416">
        <v>36060</v>
      </c>
      <c r="B1002" s="1415">
        <v>14.22222</v>
      </c>
    </row>
    <row r="1003" spans="1:2" x14ac:dyDescent="0.35">
      <c r="A1003" s="1416">
        <v>36061</v>
      </c>
      <c r="B1003" s="1415">
        <v>15.11111</v>
      </c>
    </row>
    <row r="1004" spans="1:2" x14ac:dyDescent="0.35">
      <c r="A1004" s="1416">
        <v>36062</v>
      </c>
      <c r="B1004" s="1415">
        <v>13.61111</v>
      </c>
    </row>
    <row r="1005" spans="1:2" x14ac:dyDescent="0.35">
      <c r="A1005" s="1416">
        <v>36063</v>
      </c>
      <c r="B1005" s="1415">
        <v>14.33333</v>
      </c>
    </row>
    <row r="1006" spans="1:2" x14ac:dyDescent="0.35">
      <c r="A1006" s="1416">
        <v>36066</v>
      </c>
      <c r="B1006" s="1415">
        <v>13.83333</v>
      </c>
    </row>
    <row r="1007" spans="1:2" x14ac:dyDescent="0.35">
      <c r="A1007" s="1416">
        <v>36067</v>
      </c>
      <c r="B1007" s="1415">
        <v>12.25</v>
      </c>
    </row>
    <row r="1008" spans="1:2" x14ac:dyDescent="0.35">
      <c r="A1008" s="1416">
        <v>36068</v>
      </c>
      <c r="B1008" s="1415">
        <v>12.38889</v>
      </c>
    </row>
    <row r="1009" spans="1:2" x14ac:dyDescent="0.35">
      <c r="A1009" s="1416">
        <v>36069</v>
      </c>
      <c r="B1009" s="1415">
        <v>11.22222</v>
      </c>
    </row>
    <row r="1010" spans="1:2" x14ac:dyDescent="0.35">
      <c r="A1010" s="1416">
        <v>36070</v>
      </c>
      <c r="B1010" s="1415">
        <v>10.66667</v>
      </c>
    </row>
    <row r="1011" spans="1:2" x14ac:dyDescent="0.35">
      <c r="A1011" s="1416">
        <v>36073</v>
      </c>
      <c r="B1011" s="1415">
        <v>9.2777799999999999</v>
      </c>
    </row>
    <row r="1012" spans="1:2" x14ac:dyDescent="0.35">
      <c r="A1012" s="1416">
        <v>36074</v>
      </c>
      <c r="B1012" s="1415">
        <v>10.16667</v>
      </c>
    </row>
    <row r="1013" spans="1:2" x14ac:dyDescent="0.35">
      <c r="A1013" s="1416">
        <v>36075</v>
      </c>
      <c r="B1013" s="1415">
        <v>10.44444</v>
      </c>
    </row>
    <row r="1014" spans="1:2" x14ac:dyDescent="0.35">
      <c r="A1014" s="1416">
        <v>36076</v>
      </c>
      <c r="B1014" s="1415">
        <v>10.33333</v>
      </c>
    </row>
    <row r="1015" spans="1:2" x14ac:dyDescent="0.35">
      <c r="A1015" s="1416">
        <v>36077</v>
      </c>
      <c r="B1015" s="1415">
        <v>10.63889</v>
      </c>
    </row>
    <row r="1016" spans="1:2" x14ac:dyDescent="0.35">
      <c r="A1016" s="1416">
        <v>36080</v>
      </c>
      <c r="B1016" s="1415">
        <v>11.11111</v>
      </c>
    </row>
    <row r="1017" spans="1:2" x14ac:dyDescent="0.35">
      <c r="A1017" s="1416">
        <v>36081</v>
      </c>
      <c r="B1017" s="1415">
        <v>10.83333</v>
      </c>
    </row>
    <row r="1018" spans="1:2" x14ac:dyDescent="0.35">
      <c r="A1018" s="1416">
        <v>36082</v>
      </c>
      <c r="B1018" s="1415">
        <v>10.83333</v>
      </c>
    </row>
    <row r="1019" spans="1:2" x14ac:dyDescent="0.35">
      <c r="A1019" s="1416">
        <v>36083</v>
      </c>
      <c r="B1019" s="1415">
        <v>10.94444</v>
      </c>
    </row>
    <row r="1020" spans="1:2" x14ac:dyDescent="0.35">
      <c r="A1020" s="1416">
        <v>36084</v>
      </c>
      <c r="B1020" s="1415">
        <v>11.33333</v>
      </c>
    </row>
    <row r="1021" spans="1:2" x14ac:dyDescent="0.35">
      <c r="A1021" s="1416">
        <v>36087</v>
      </c>
      <c r="B1021" s="1415">
        <v>12.38889</v>
      </c>
    </row>
    <row r="1022" spans="1:2" x14ac:dyDescent="0.35">
      <c r="A1022" s="1416">
        <v>36088</v>
      </c>
      <c r="B1022" s="1415">
        <v>12.44444</v>
      </c>
    </row>
    <row r="1023" spans="1:2" x14ac:dyDescent="0.35">
      <c r="A1023" s="1416">
        <v>36089</v>
      </c>
      <c r="B1023" s="1415">
        <v>13.30555</v>
      </c>
    </row>
    <row r="1024" spans="1:2" x14ac:dyDescent="0.35">
      <c r="A1024" s="1416">
        <v>36090</v>
      </c>
      <c r="B1024" s="1415">
        <v>14.22222</v>
      </c>
    </row>
    <row r="1025" spans="1:2" x14ac:dyDescent="0.35">
      <c r="A1025" s="1416">
        <v>36091</v>
      </c>
      <c r="B1025" s="1415">
        <v>14.22222</v>
      </c>
    </row>
    <row r="1026" spans="1:2" x14ac:dyDescent="0.35">
      <c r="A1026" s="1416">
        <v>36094</v>
      </c>
      <c r="B1026" s="1415">
        <v>13.88889</v>
      </c>
    </row>
    <row r="1027" spans="1:2" x14ac:dyDescent="0.35">
      <c r="A1027" s="1416">
        <v>36095</v>
      </c>
      <c r="B1027" s="1415">
        <v>13.22222</v>
      </c>
    </row>
    <row r="1028" spans="1:2" x14ac:dyDescent="0.35">
      <c r="A1028" s="1416">
        <v>36096</v>
      </c>
      <c r="B1028" s="1415">
        <v>12.61111</v>
      </c>
    </row>
    <row r="1029" spans="1:2" x14ac:dyDescent="0.35">
      <c r="A1029" s="1416">
        <v>36097</v>
      </c>
      <c r="B1029" s="1415">
        <v>13.27778</v>
      </c>
    </row>
    <row r="1030" spans="1:2" x14ac:dyDescent="0.35">
      <c r="A1030" s="1416">
        <v>36098</v>
      </c>
      <c r="B1030" s="1415">
        <v>14.27778</v>
      </c>
    </row>
    <row r="1031" spans="1:2" x14ac:dyDescent="0.35">
      <c r="A1031" s="1416">
        <v>36101</v>
      </c>
      <c r="B1031" s="1415">
        <v>14.11111</v>
      </c>
    </row>
    <row r="1032" spans="1:2" x14ac:dyDescent="0.35">
      <c r="A1032" s="1416">
        <v>36102</v>
      </c>
      <c r="B1032" s="1415">
        <v>13.66667</v>
      </c>
    </row>
    <row r="1033" spans="1:2" x14ac:dyDescent="0.35">
      <c r="A1033" s="1416">
        <v>36103</v>
      </c>
      <c r="B1033" s="1415">
        <v>14.19444</v>
      </c>
    </row>
    <row r="1034" spans="1:2" x14ac:dyDescent="0.35">
      <c r="A1034" s="1416">
        <v>36104</v>
      </c>
      <c r="B1034" s="1415">
        <v>15.11111</v>
      </c>
    </row>
    <row r="1035" spans="1:2" x14ac:dyDescent="0.35">
      <c r="A1035" s="1416">
        <v>36105</v>
      </c>
      <c r="B1035" s="1415">
        <v>14.83333</v>
      </c>
    </row>
    <row r="1036" spans="1:2" x14ac:dyDescent="0.35">
      <c r="A1036" s="1416">
        <v>36108</v>
      </c>
      <c r="B1036" s="1415">
        <v>15.16667</v>
      </c>
    </row>
    <row r="1037" spans="1:2" x14ac:dyDescent="0.35">
      <c r="A1037" s="1416">
        <v>36109</v>
      </c>
      <c r="B1037" s="1415">
        <v>14.91667</v>
      </c>
    </row>
    <row r="1038" spans="1:2" x14ac:dyDescent="0.35">
      <c r="A1038" s="1416">
        <v>36110</v>
      </c>
      <c r="B1038" s="1415">
        <v>15</v>
      </c>
    </row>
    <row r="1039" spans="1:2" x14ac:dyDescent="0.35">
      <c r="A1039" s="1416">
        <v>36111</v>
      </c>
      <c r="B1039" s="1415">
        <v>14.86111</v>
      </c>
    </row>
    <row r="1040" spans="1:2" x14ac:dyDescent="0.35">
      <c r="A1040" s="1416">
        <v>36112</v>
      </c>
      <c r="B1040" s="1415">
        <v>14.83333</v>
      </c>
    </row>
    <row r="1041" spans="1:2" x14ac:dyDescent="0.35">
      <c r="A1041" s="1416">
        <v>36115</v>
      </c>
      <c r="B1041" s="1415">
        <v>14.88889</v>
      </c>
    </row>
    <row r="1042" spans="1:2" x14ac:dyDescent="0.35">
      <c r="A1042" s="1416">
        <v>36116</v>
      </c>
      <c r="B1042" s="1415">
        <v>13.80555</v>
      </c>
    </row>
    <row r="1043" spans="1:2" x14ac:dyDescent="0.35">
      <c r="A1043" s="1416">
        <v>36117</v>
      </c>
      <c r="B1043" s="1415">
        <v>13.47222</v>
      </c>
    </row>
    <row r="1044" spans="1:2" x14ac:dyDescent="0.35">
      <c r="A1044" s="1416">
        <v>36118</v>
      </c>
      <c r="B1044" s="1415">
        <v>13.97222</v>
      </c>
    </row>
    <row r="1045" spans="1:2" x14ac:dyDescent="0.35">
      <c r="A1045" s="1416">
        <v>36119</v>
      </c>
      <c r="B1045" s="1415">
        <v>14.27778</v>
      </c>
    </row>
    <row r="1046" spans="1:2" x14ac:dyDescent="0.35">
      <c r="A1046" s="1416">
        <v>36122</v>
      </c>
      <c r="B1046" s="1415">
        <v>14.33333</v>
      </c>
    </row>
    <row r="1047" spans="1:2" x14ac:dyDescent="0.35">
      <c r="A1047" s="1416">
        <v>36123</v>
      </c>
      <c r="B1047" s="1415">
        <v>14.88889</v>
      </c>
    </row>
    <row r="1048" spans="1:2" x14ac:dyDescent="0.35">
      <c r="A1048" s="1416">
        <v>36124</v>
      </c>
      <c r="B1048" s="1415">
        <v>14.66667</v>
      </c>
    </row>
    <row r="1049" spans="1:2" x14ac:dyDescent="0.35">
      <c r="A1049" s="1416">
        <v>36126</v>
      </c>
      <c r="B1049" s="1415">
        <v>14.27778</v>
      </c>
    </row>
    <row r="1050" spans="1:2" x14ac:dyDescent="0.35">
      <c r="A1050" s="1416">
        <v>36129</v>
      </c>
      <c r="B1050" s="1415">
        <v>14.33333</v>
      </c>
    </row>
    <row r="1051" spans="1:2" x14ac:dyDescent="0.35">
      <c r="A1051" s="1416">
        <v>36130</v>
      </c>
      <c r="B1051" s="1415">
        <v>14.11111</v>
      </c>
    </row>
    <row r="1052" spans="1:2" x14ac:dyDescent="0.35">
      <c r="A1052" s="1416">
        <v>36131</v>
      </c>
      <c r="B1052" s="1415">
        <v>13.19444</v>
      </c>
    </row>
    <row r="1053" spans="1:2" x14ac:dyDescent="0.35">
      <c r="A1053" s="1416">
        <v>36132</v>
      </c>
      <c r="B1053" s="1415">
        <v>12.5</v>
      </c>
    </row>
    <row r="1054" spans="1:2" x14ac:dyDescent="0.35">
      <c r="A1054" s="1416">
        <v>36133</v>
      </c>
      <c r="B1054" s="1415">
        <v>12.94444</v>
      </c>
    </row>
    <row r="1055" spans="1:2" x14ac:dyDescent="0.35">
      <c r="A1055" s="1416">
        <v>36136</v>
      </c>
      <c r="B1055" s="1415">
        <v>13.05555</v>
      </c>
    </row>
    <row r="1056" spans="1:2" x14ac:dyDescent="0.35">
      <c r="A1056" s="1416">
        <v>36137</v>
      </c>
      <c r="B1056" s="1415">
        <v>13.66667</v>
      </c>
    </row>
    <row r="1057" spans="1:2" x14ac:dyDescent="0.35">
      <c r="A1057" s="1416">
        <v>36138</v>
      </c>
      <c r="B1057" s="1415">
        <v>14.5</v>
      </c>
    </row>
    <row r="1058" spans="1:2" x14ac:dyDescent="0.35">
      <c r="A1058" s="1416">
        <v>36139</v>
      </c>
      <c r="B1058" s="1415">
        <v>14.44444</v>
      </c>
    </row>
    <row r="1059" spans="1:2" x14ac:dyDescent="0.35">
      <c r="A1059" s="1416">
        <v>36140</v>
      </c>
      <c r="B1059" s="1415">
        <v>14.33333</v>
      </c>
    </row>
    <row r="1060" spans="1:2" x14ac:dyDescent="0.35">
      <c r="A1060" s="1416">
        <v>36143</v>
      </c>
      <c r="B1060" s="1415">
        <v>13.05555</v>
      </c>
    </row>
    <row r="1061" spans="1:2" x14ac:dyDescent="0.35">
      <c r="A1061" s="1416">
        <v>36144</v>
      </c>
      <c r="B1061" s="1415">
        <v>13</v>
      </c>
    </row>
    <row r="1062" spans="1:2" x14ac:dyDescent="0.35">
      <c r="A1062" s="1416">
        <v>36145</v>
      </c>
      <c r="B1062" s="1415">
        <v>13.27778</v>
      </c>
    </row>
    <row r="1063" spans="1:2" x14ac:dyDescent="0.35">
      <c r="A1063" s="1416">
        <v>36146</v>
      </c>
      <c r="B1063" s="1415">
        <v>11.16667</v>
      </c>
    </row>
    <row r="1064" spans="1:2" x14ac:dyDescent="0.35">
      <c r="A1064" s="1416">
        <v>36147</v>
      </c>
      <c r="B1064" s="1415">
        <v>11.38889</v>
      </c>
    </row>
    <row r="1065" spans="1:2" x14ac:dyDescent="0.35">
      <c r="A1065" s="1416">
        <v>36150</v>
      </c>
      <c r="B1065" s="1415">
        <v>10.22222</v>
      </c>
    </row>
    <row r="1066" spans="1:2" x14ac:dyDescent="0.35">
      <c r="A1066" s="1416">
        <v>36151</v>
      </c>
      <c r="B1066" s="1415">
        <v>10.41667</v>
      </c>
    </row>
    <row r="1067" spans="1:2" x14ac:dyDescent="0.35">
      <c r="A1067" s="1416">
        <v>36152</v>
      </c>
      <c r="B1067" s="1415">
        <v>11.27778</v>
      </c>
    </row>
    <row r="1068" spans="1:2" x14ac:dyDescent="0.35">
      <c r="A1068" s="1416">
        <v>36153</v>
      </c>
      <c r="B1068" s="1415">
        <v>10.88889</v>
      </c>
    </row>
    <row r="1069" spans="1:2" x14ac:dyDescent="0.35">
      <c r="A1069" s="1416">
        <v>36157</v>
      </c>
      <c r="B1069" s="1415">
        <v>11.38889</v>
      </c>
    </row>
    <row r="1070" spans="1:2" x14ac:dyDescent="0.35">
      <c r="A1070" s="1416">
        <v>36158</v>
      </c>
      <c r="B1070" s="1415">
        <v>12.88889</v>
      </c>
    </row>
    <row r="1071" spans="1:2" x14ac:dyDescent="0.35">
      <c r="A1071" s="1416">
        <v>36159</v>
      </c>
      <c r="B1071" s="1415">
        <v>13.44444</v>
      </c>
    </row>
    <row r="1072" spans="1:2" x14ac:dyDescent="0.35">
      <c r="A1072" s="1416">
        <v>36160</v>
      </c>
      <c r="B1072" s="1415">
        <v>15.05555</v>
      </c>
    </row>
    <row r="1073" spans="1:2" x14ac:dyDescent="0.35">
      <c r="A1073" s="1416">
        <v>36164</v>
      </c>
      <c r="B1073" s="1415">
        <v>14.97222</v>
      </c>
    </row>
    <row r="1074" spans="1:2" x14ac:dyDescent="0.35">
      <c r="A1074" s="1416">
        <v>36165</v>
      </c>
      <c r="B1074" s="1415">
        <v>14.75</v>
      </c>
    </row>
    <row r="1075" spans="1:2" x14ac:dyDescent="0.35">
      <c r="A1075" s="1416">
        <v>36166</v>
      </c>
      <c r="B1075" s="1415">
        <v>13.77778</v>
      </c>
    </row>
    <row r="1076" spans="1:2" x14ac:dyDescent="0.35">
      <c r="A1076" s="1416">
        <v>36167</v>
      </c>
      <c r="B1076" s="1415">
        <v>13.77778</v>
      </c>
    </row>
    <row r="1077" spans="1:2" x14ac:dyDescent="0.35">
      <c r="A1077" s="1416">
        <v>36168</v>
      </c>
      <c r="B1077" s="1415">
        <v>14.05555</v>
      </c>
    </row>
    <row r="1078" spans="1:2" x14ac:dyDescent="0.35">
      <c r="A1078" s="1416">
        <v>36171</v>
      </c>
      <c r="B1078" s="1415">
        <v>13.61111</v>
      </c>
    </row>
    <row r="1079" spans="1:2" x14ac:dyDescent="0.35">
      <c r="A1079" s="1416">
        <v>36172</v>
      </c>
      <c r="B1079" s="1415">
        <v>13.27778</v>
      </c>
    </row>
    <row r="1080" spans="1:2" x14ac:dyDescent="0.35">
      <c r="A1080" s="1416">
        <v>36173</v>
      </c>
      <c r="B1080" s="1415">
        <v>12.94444</v>
      </c>
    </row>
    <row r="1081" spans="1:2" x14ac:dyDescent="0.35">
      <c r="A1081" s="1416">
        <v>36174</v>
      </c>
      <c r="B1081" s="1415">
        <v>13.11111</v>
      </c>
    </row>
    <row r="1082" spans="1:2" x14ac:dyDescent="0.35">
      <c r="A1082" s="1416">
        <v>36175</v>
      </c>
      <c r="B1082" s="1415">
        <v>13.38889</v>
      </c>
    </row>
    <row r="1083" spans="1:2" x14ac:dyDescent="0.35">
      <c r="A1083" s="1416">
        <v>36179</v>
      </c>
      <c r="B1083" s="1415">
        <v>13.19444</v>
      </c>
    </row>
    <row r="1084" spans="1:2" x14ac:dyDescent="0.35">
      <c r="A1084" s="1416">
        <v>36180</v>
      </c>
      <c r="B1084" s="1415">
        <v>13.77778</v>
      </c>
    </row>
    <row r="1085" spans="1:2" x14ac:dyDescent="0.35">
      <c r="A1085" s="1416">
        <v>36181</v>
      </c>
      <c r="B1085" s="1415">
        <v>13.77778</v>
      </c>
    </row>
    <row r="1086" spans="1:2" x14ac:dyDescent="0.35">
      <c r="A1086" s="1416">
        <v>36182</v>
      </c>
      <c r="B1086" s="1415">
        <v>13.05555</v>
      </c>
    </row>
    <row r="1087" spans="1:2" x14ac:dyDescent="0.35">
      <c r="A1087" s="1416">
        <v>36185</v>
      </c>
      <c r="B1087" s="1415">
        <v>12.77778</v>
      </c>
    </row>
    <row r="1088" spans="1:2" x14ac:dyDescent="0.35">
      <c r="A1088" s="1416">
        <v>36186</v>
      </c>
      <c r="B1088" s="1415">
        <v>12.47222</v>
      </c>
    </row>
    <row r="1089" spans="1:2" x14ac:dyDescent="0.35">
      <c r="A1089" s="1416">
        <v>36187</v>
      </c>
      <c r="B1089" s="1415">
        <v>12.19444</v>
      </c>
    </row>
    <row r="1090" spans="1:2" x14ac:dyDescent="0.35">
      <c r="A1090" s="1416">
        <v>36188</v>
      </c>
      <c r="B1090" s="1415">
        <v>12.25</v>
      </c>
    </row>
    <row r="1091" spans="1:2" x14ac:dyDescent="0.35">
      <c r="A1091" s="1416">
        <v>36189</v>
      </c>
      <c r="B1091" s="1415">
        <v>12.16667</v>
      </c>
    </row>
    <row r="1092" spans="1:2" x14ac:dyDescent="0.35">
      <c r="A1092" s="1416">
        <v>36192</v>
      </c>
      <c r="B1092" s="1415">
        <v>12</v>
      </c>
    </row>
    <row r="1093" spans="1:2" x14ac:dyDescent="0.35">
      <c r="A1093" s="1416">
        <v>36193</v>
      </c>
      <c r="B1093" s="1415">
        <v>11.11111</v>
      </c>
    </row>
    <row r="1094" spans="1:2" x14ac:dyDescent="0.35">
      <c r="A1094" s="1416">
        <v>36194</v>
      </c>
      <c r="B1094" s="1415">
        <v>11.88889</v>
      </c>
    </row>
    <row r="1095" spans="1:2" x14ac:dyDescent="0.35">
      <c r="A1095" s="1416">
        <v>36195</v>
      </c>
      <c r="B1095" s="1415">
        <v>11.41667</v>
      </c>
    </row>
    <row r="1096" spans="1:2" x14ac:dyDescent="0.35">
      <c r="A1096" s="1416">
        <v>36196</v>
      </c>
      <c r="B1096" s="1415">
        <v>11.05556</v>
      </c>
    </row>
    <row r="1097" spans="1:2" x14ac:dyDescent="0.35">
      <c r="A1097" s="1416">
        <v>36199</v>
      </c>
      <c r="B1097" s="1415">
        <v>11.27778</v>
      </c>
    </row>
    <row r="1098" spans="1:2" x14ac:dyDescent="0.35">
      <c r="A1098" s="1416">
        <v>36200</v>
      </c>
      <c r="B1098" s="1415">
        <v>11</v>
      </c>
    </row>
    <row r="1099" spans="1:2" x14ac:dyDescent="0.35">
      <c r="A1099" s="1416">
        <v>36201</v>
      </c>
      <c r="B1099" s="1415">
        <v>11.05556</v>
      </c>
    </row>
    <row r="1100" spans="1:2" x14ac:dyDescent="0.35">
      <c r="A1100" s="1416">
        <v>36202</v>
      </c>
      <c r="B1100" s="1415">
        <v>12.5</v>
      </c>
    </row>
    <row r="1101" spans="1:2" x14ac:dyDescent="0.35">
      <c r="A1101" s="1416">
        <v>36203</v>
      </c>
      <c r="B1101" s="1415">
        <v>12.08333</v>
      </c>
    </row>
    <row r="1102" spans="1:2" x14ac:dyDescent="0.35">
      <c r="A1102" s="1416">
        <v>36207</v>
      </c>
      <c r="B1102" s="1415">
        <v>11.69444</v>
      </c>
    </row>
    <row r="1103" spans="1:2" x14ac:dyDescent="0.35">
      <c r="A1103" s="1416">
        <v>36208</v>
      </c>
      <c r="B1103" s="1415">
        <v>11.94444</v>
      </c>
    </row>
    <row r="1104" spans="1:2" x14ac:dyDescent="0.35">
      <c r="A1104" s="1416">
        <v>36209</v>
      </c>
      <c r="B1104" s="1415">
        <v>12.16667</v>
      </c>
    </row>
    <row r="1105" spans="1:2" x14ac:dyDescent="0.35">
      <c r="A1105" s="1416">
        <v>36210</v>
      </c>
      <c r="B1105" s="1415">
        <v>12.63889</v>
      </c>
    </row>
    <row r="1106" spans="1:2" x14ac:dyDescent="0.35">
      <c r="A1106" s="1416">
        <v>36213</v>
      </c>
      <c r="B1106" s="1415">
        <v>13.22222</v>
      </c>
    </row>
    <row r="1107" spans="1:2" x14ac:dyDescent="0.35">
      <c r="A1107" s="1416">
        <v>36214</v>
      </c>
      <c r="B1107" s="1415">
        <v>13.33333</v>
      </c>
    </row>
    <row r="1108" spans="1:2" x14ac:dyDescent="0.35">
      <c r="A1108" s="1416">
        <v>36215</v>
      </c>
      <c r="B1108" s="1415">
        <v>13.44444</v>
      </c>
    </row>
    <row r="1109" spans="1:2" x14ac:dyDescent="0.35">
      <c r="A1109" s="1416">
        <v>36216</v>
      </c>
      <c r="B1109" s="1415">
        <v>13.27778</v>
      </c>
    </row>
    <row r="1110" spans="1:2" x14ac:dyDescent="0.35">
      <c r="A1110" s="1416">
        <v>36217</v>
      </c>
      <c r="B1110" s="1415">
        <v>13.36111</v>
      </c>
    </row>
    <row r="1111" spans="1:2" x14ac:dyDescent="0.35">
      <c r="A1111" s="1416">
        <v>36220</v>
      </c>
      <c r="B1111" s="1415">
        <v>13.33333</v>
      </c>
    </row>
    <row r="1112" spans="1:2" x14ac:dyDescent="0.35">
      <c r="A1112" s="1416">
        <v>36221</v>
      </c>
      <c r="B1112" s="1415">
        <v>13.30555</v>
      </c>
    </row>
    <row r="1113" spans="1:2" x14ac:dyDescent="0.35">
      <c r="A1113" s="1416">
        <v>36222</v>
      </c>
      <c r="B1113" s="1415">
        <v>13.33333</v>
      </c>
    </row>
    <row r="1114" spans="1:2" x14ac:dyDescent="0.35">
      <c r="A1114" s="1416">
        <v>36223</v>
      </c>
      <c r="B1114" s="1415">
        <v>13.52778</v>
      </c>
    </row>
    <row r="1115" spans="1:2" x14ac:dyDescent="0.35">
      <c r="A1115" s="1416">
        <v>36224</v>
      </c>
      <c r="B1115" s="1415">
        <v>13.61111</v>
      </c>
    </row>
    <row r="1116" spans="1:2" x14ac:dyDescent="0.35">
      <c r="A1116" s="1416">
        <v>36227</v>
      </c>
      <c r="B1116" s="1415">
        <v>13.83333</v>
      </c>
    </row>
    <row r="1117" spans="1:2" x14ac:dyDescent="0.35">
      <c r="A1117" s="1416">
        <v>36228</v>
      </c>
      <c r="B1117" s="1415">
        <v>13.58333</v>
      </c>
    </row>
    <row r="1118" spans="1:2" x14ac:dyDescent="0.35">
      <c r="A1118" s="1416">
        <v>36229</v>
      </c>
      <c r="B1118" s="1415">
        <v>13.94444</v>
      </c>
    </row>
    <row r="1119" spans="1:2" x14ac:dyDescent="0.35">
      <c r="A1119" s="1416">
        <v>36230</v>
      </c>
      <c r="B1119" s="1415">
        <v>13.47222</v>
      </c>
    </row>
    <row r="1120" spans="1:2" x14ac:dyDescent="0.35">
      <c r="A1120" s="1416">
        <v>36231</v>
      </c>
      <c r="B1120" s="1415">
        <v>14.33333</v>
      </c>
    </row>
    <row r="1121" spans="1:2" x14ac:dyDescent="0.35">
      <c r="A1121" s="1416">
        <v>36234</v>
      </c>
      <c r="B1121" s="1415">
        <v>15.22222</v>
      </c>
    </row>
    <row r="1122" spans="1:2" x14ac:dyDescent="0.35">
      <c r="A1122" s="1416">
        <v>36235</v>
      </c>
      <c r="B1122" s="1415">
        <v>14.69444</v>
      </c>
    </row>
    <row r="1123" spans="1:2" x14ac:dyDescent="0.35">
      <c r="A1123" s="1416">
        <v>36236</v>
      </c>
      <c r="B1123" s="1415">
        <v>14.02778</v>
      </c>
    </row>
    <row r="1124" spans="1:2" x14ac:dyDescent="0.35">
      <c r="A1124" s="1416">
        <v>36237</v>
      </c>
      <c r="B1124" s="1415">
        <v>13.33333</v>
      </c>
    </row>
    <row r="1125" spans="1:2" x14ac:dyDescent="0.35">
      <c r="A1125" s="1416">
        <v>36238</v>
      </c>
      <c r="B1125" s="1415">
        <v>12.88889</v>
      </c>
    </row>
    <row r="1126" spans="1:2" x14ac:dyDescent="0.35">
      <c r="A1126" s="1416">
        <v>36241</v>
      </c>
      <c r="B1126" s="1415">
        <v>12.16667</v>
      </c>
    </row>
    <row r="1127" spans="1:2" x14ac:dyDescent="0.35">
      <c r="A1127" s="1416">
        <v>36242</v>
      </c>
      <c r="B1127" s="1415">
        <v>11.91667</v>
      </c>
    </row>
    <row r="1128" spans="1:2" x14ac:dyDescent="0.35">
      <c r="A1128" s="1416">
        <v>36243</v>
      </c>
      <c r="B1128" s="1415">
        <v>12.75</v>
      </c>
    </row>
    <row r="1129" spans="1:2" x14ac:dyDescent="0.35">
      <c r="A1129" s="1416">
        <v>36244</v>
      </c>
      <c r="B1129" s="1415">
        <v>13.27778</v>
      </c>
    </row>
    <row r="1130" spans="1:2" x14ac:dyDescent="0.35">
      <c r="A1130" s="1416">
        <v>36245</v>
      </c>
      <c r="B1130" s="1415">
        <v>12.94444</v>
      </c>
    </row>
    <row r="1131" spans="1:2" x14ac:dyDescent="0.35">
      <c r="A1131" s="1416">
        <v>36248</v>
      </c>
      <c r="B1131" s="1415">
        <v>13.19444</v>
      </c>
    </row>
    <row r="1132" spans="1:2" x14ac:dyDescent="0.35">
      <c r="A1132" s="1416">
        <v>36249</v>
      </c>
      <c r="B1132" s="1415">
        <v>13.22222</v>
      </c>
    </row>
    <row r="1133" spans="1:2" x14ac:dyDescent="0.35">
      <c r="A1133" s="1416">
        <v>36250</v>
      </c>
      <c r="B1133" s="1415">
        <v>13.27778</v>
      </c>
    </row>
    <row r="1134" spans="1:2" x14ac:dyDescent="0.35">
      <c r="A1134" s="1416">
        <v>36251</v>
      </c>
      <c r="B1134" s="1415">
        <v>12.80555</v>
      </c>
    </row>
    <row r="1135" spans="1:2" x14ac:dyDescent="0.35">
      <c r="A1135" s="1416">
        <v>36255</v>
      </c>
      <c r="B1135" s="1415">
        <v>12.91667</v>
      </c>
    </row>
    <row r="1136" spans="1:2" x14ac:dyDescent="0.35">
      <c r="A1136" s="1416">
        <v>36256</v>
      </c>
      <c r="B1136" s="1415">
        <v>12.25</v>
      </c>
    </row>
    <row r="1137" spans="1:2" x14ac:dyDescent="0.35">
      <c r="A1137" s="1416">
        <v>36257</v>
      </c>
      <c r="B1137" s="1415">
        <v>11.63889</v>
      </c>
    </row>
    <row r="1138" spans="1:2" x14ac:dyDescent="0.35">
      <c r="A1138" s="1416">
        <v>36258</v>
      </c>
      <c r="B1138" s="1415">
        <v>10.77778</v>
      </c>
    </row>
    <row r="1139" spans="1:2" x14ac:dyDescent="0.35">
      <c r="A1139" s="1416">
        <v>36259</v>
      </c>
      <c r="B1139" s="1415">
        <v>11.16667</v>
      </c>
    </row>
    <row r="1140" spans="1:2" x14ac:dyDescent="0.35">
      <c r="A1140" s="1416">
        <v>36262</v>
      </c>
      <c r="B1140" s="1415">
        <v>10.75</v>
      </c>
    </row>
    <row r="1141" spans="1:2" x14ac:dyDescent="0.35">
      <c r="A1141" s="1416">
        <v>36263</v>
      </c>
      <c r="B1141" s="1415">
        <v>10.22222</v>
      </c>
    </row>
    <row r="1142" spans="1:2" x14ac:dyDescent="0.35">
      <c r="A1142" s="1416">
        <v>36264</v>
      </c>
      <c r="B1142" s="1415">
        <v>10.61111</v>
      </c>
    </row>
    <row r="1143" spans="1:2" x14ac:dyDescent="0.35">
      <c r="A1143" s="1416">
        <v>36265</v>
      </c>
      <c r="B1143" s="1415">
        <v>10.41667</v>
      </c>
    </row>
    <row r="1144" spans="1:2" x14ac:dyDescent="0.35">
      <c r="A1144" s="1416">
        <v>36266</v>
      </c>
      <c r="B1144" s="1415">
        <v>10.33333</v>
      </c>
    </row>
    <row r="1145" spans="1:2" x14ac:dyDescent="0.35">
      <c r="A1145" s="1416">
        <v>36269</v>
      </c>
      <c r="B1145" s="1415">
        <v>10.22222</v>
      </c>
    </row>
    <row r="1146" spans="1:2" x14ac:dyDescent="0.35">
      <c r="A1146" s="1416">
        <v>36270</v>
      </c>
      <c r="B1146" s="1415">
        <v>10.22222</v>
      </c>
    </row>
    <row r="1147" spans="1:2" x14ac:dyDescent="0.35">
      <c r="A1147" s="1416">
        <v>36271</v>
      </c>
      <c r="B1147" s="1415">
        <v>10.94444</v>
      </c>
    </row>
    <row r="1148" spans="1:2" x14ac:dyDescent="0.35">
      <c r="A1148" s="1416">
        <v>36272</v>
      </c>
      <c r="B1148" s="1415">
        <v>11.44444</v>
      </c>
    </row>
    <row r="1149" spans="1:2" x14ac:dyDescent="0.35">
      <c r="A1149" s="1416">
        <v>36273</v>
      </c>
      <c r="B1149" s="1415">
        <v>11.55556</v>
      </c>
    </row>
    <row r="1150" spans="1:2" x14ac:dyDescent="0.35">
      <c r="A1150" s="1416">
        <v>36276</v>
      </c>
      <c r="B1150" s="1415">
        <v>11</v>
      </c>
    </row>
    <row r="1151" spans="1:2" x14ac:dyDescent="0.35">
      <c r="A1151" s="1416">
        <v>36277</v>
      </c>
      <c r="B1151" s="1415">
        <v>11.22222</v>
      </c>
    </row>
    <row r="1152" spans="1:2" x14ac:dyDescent="0.35">
      <c r="A1152" s="1416">
        <v>36278</v>
      </c>
      <c r="B1152" s="1415">
        <v>10.97222</v>
      </c>
    </row>
    <row r="1153" spans="1:2" x14ac:dyDescent="0.35">
      <c r="A1153" s="1416">
        <v>36279</v>
      </c>
      <c r="B1153" s="1415">
        <v>10.5</v>
      </c>
    </row>
    <row r="1154" spans="1:2" x14ac:dyDescent="0.35">
      <c r="A1154" s="1416">
        <v>36280</v>
      </c>
      <c r="B1154" s="1415">
        <v>11</v>
      </c>
    </row>
    <row r="1155" spans="1:2" x14ac:dyDescent="0.35">
      <c r="A1155" s="1416">
        <v>36283</v>
      </c>
      <c r="B1155" s="1415">
        <v>10.63889</v>
      </c>
    </row>
    <row r="1156" spans="1:2" x14ac:dyDescent="0.35">
      <c r="A1156" s="1416">
        <v>36284</v>
      </c>
      <c r="B1156" s="1415">
        <v>10</v>
      </c>
    </row>
    <row r="1157" spans="1:2" x14ac:dyDescent="0.35">
      <c r="A1157" s="1416">
        <v>36285</v>
      </c>
      <c r="B1157" s="1415">
        <v>10.66667</v>
      </c>
    </row>
    <row r="1158" spans="1:2" x14ac:dyDescent="0.35">
      <c r="A1158" s="1416">
        <v>36286</v>
      </c>
      <c r="B1158" s="1415">
        <v>10.41667</v>
      </c>
    </row>
    <row r="1159" spans="1:2" x14ac:dyDescent="0.35">
      <c r="A1159" s="1416">
        <v>36287</v>
      </c>
      <c r="B1159" s="1415">
        <v>9.9444400000000002</v>
      </c>
    </row>
    <row r="1160" spans="1:2" x14ac:dyDescent="0.35">
      <c r="A1160" s="1416">
        <v>36290</v>
      </c>
      <c r="B1160" s="1415">
        <v>10.36111</v>
      </c>
    </row>
    <row r="1161" spans="1:2" x14ac:dyDescent="0.35">
      <c r="A1161" s="1416">
        <v>36291</v>
      </c>
      <c r="B1161" s="1415">
        <v>10.88889</v>
      </c>
    </row>
    <row r="1162" spans="1:2" x14ac:dyDescent="0.35">
      <c r="A1162" s="1416">
        <v>36292</v>
      </c>
      <c r="B1162" s="1415">
        <v>11.44444</v>
      </c>
    </row>
    <row r="1163" spans="1:2" x14ac:dyDescent="0.35">
      <c r="A1163" s="1416">
        <v>36293</v>
      </c>
      <c r="B1163" s="1415">
        <v>11.27778</v>
      </c>
    </row>
    <row r="1164" spans="1:2" x14ac:dyDescent="0.35">
      <c r="A1164" s="1416">
        <v>36294</v>
      </c>
      <c r="B1164" s="1415">
        <v>10.88889</v>
      </c>
    </row>
    <row r="1165" spans="1:2" x14ac:dyDescent="0.35">
      <c r="A1165" s="1416">
        <v>36297</v>
      </c>
      <c r="B1165" s="1415">
        <v>11.52778</v>
      </c>
    </row>
    <row r="1166" spans="1:2" x14ac:dyDescent="0.35">
      <c r="A1166" s="1416">
        <v>36298</v>
      </c>
      <c r="B1166" s="1415">
        <v>11.72222</v>
      </c>
    </row>
    <row r="1167" spans="1:2" x14ac:dyDescent="0.35">
      <c r="A1167" s="1416">
        <v>36299</v>
      </c>
      <c r="B1167" s="1415">
        <v>12.91667</v>
      </c>
    </row>
    <row r="1168" spans="1:2" x14ac:dyDescent="0.35">
      <c r="A1168" s="1416">
        <v>36300</v>
      </c>
      <c r="B1168" s="1415">
        <v>13.22222</v>
      </c>
    </row>
    <row r="1169" spans="1:2" x14ac:dyDescent="0.35">
      <c r="A1169" s="1416">
        <v>36301</v>
      </c>
      <c r="B1169" s="1415">
        <v>13.33333</v>
      </c>
    </row>
    <row r="1170" spans="1:2" x14ac:dyDescent="0.35">
      <c r="A1170" s="1416">
        <v>36304</v>
      </c>
      <c r="B1170" s="1415">
        <v>12.66667</v>
      </c>
    </row>
    <row r="1171" spans="1:2" x14ac:dyDescent="0.35">
      <c r="A1171" s="1416">
        <v>36305</v>
      </c>
      <c r="B1171" s="1415">
        <v>12.27778</v>
      </c>
    </row>
    <row r="1172" spans="1:2" x14ac:dyDescent="0.35">
      <c r="A1172" s="1416">
        <v>36306</v>
      </c>
      <c r="B1172" s="1415">
        <v>12.27778</v>
      </c>
    </row>
    <row r="1173" spans="1:2" x14ac:dyDescent="0.35">
      <c r="A1173" s="1416">
        <v>36307</v>
      </c>
      <c r="B1173" s="1415">
        <v>12.55555</v>
      </c>
    </row>
    <row r="1174" spans="1:2" x14ac:dyDescent="0.35">
      <c r="A1174" s="1416">
        <v>36308</v>
      </c>
      <c r="B1174" s="1415">
        <v>12.41667</v>
      </c>
    </row>
    <row r="1175" spans="1:2" x14ac:dyDescent="0.35">
      <c r="A1175" s="1416">
        <v>36312</v>
      </c>
      <c r="B1175" s="1415">
        <v>11.80555</v>
      </c>
    </row>
    <row r="1176" spans="1:2" x14ac:dyDescent="0.35">
      <c r="A1176" s="1416">
        <v>36313</v>
      </c>
      <c r="B1176" s="1415">
        <v>12.83333</v>
      </c>
    </row>
    <row r="1177" spans="1:2" x14ac:dyDescent="0.35">
      <c r="A1177" s="1416">
        <v>36314</v>
      </c>
      <c r="B1177" s="1415">
        <v>12.88889</v>
      </c>
    </row>
    <row r="1178" spans="1:2" x14ac:dyDescent="0.35">
      <c r="A1178" s="1416">
        <v>36315</v>
      </c>
      <c r="B1178" s="1415">
        <v>12.97222</v>
      </c>
    </row>
    <row r="1179" spans="1:2" x14ac:dyDescent="0.35">
      <c r="A1179" s="1416">
        <v>36318</v>
      </c>
      <c r="B1179" s="1415">
        <v>13.75</v>
      </c>
    </row>
    <row r="1180" spans="1:2" x14ac:dyDescent="0.35">
      <c r="A1180" s="1416">
        <v>36319</v>
      </c>
      <c r="B1180" s="1415">
        <v>13.16667</v>
      </c>
    </row>
    <row r="1181" spans="1:2" x14ac:dyDescent="0.35">
      <c r="A1181" s="1416">
        <v>36320</v>
      </c>
      <c r="B1181" s="1415">
        <v>12.88889</v>
      </c>
    </row>
    <row r="1182" spans="1:2" x14ac:dyDescent="0.35">
      <c r="A1182" s="1416">
        <v>36321</v>
      </c>
      <c r="B1182" s="1415">
        <v>13.30555</v>
      </c>
    </row>
    <row r="1183" spans="1:2" x14ac:dyDescent="0.35">
      <c r="A1183" s="1416">
        <v>36322</v>
      </c>
      <c r="B1183" s="1415">
        <v>12.80555</v>
      </c>
    </row>
    <row r="1184" spans="1:2" x14ac:dyDescent="0.35">
      <c r="A1184" s="1416">
        <v>36325</v>
      </c>
      <c r="B1184" s="1415">
        <v>13</v>
      </c>
    </row>
    <row r="1185" spans="1:2" x14ac:dyDescent="0.35">
      <c r="A1185" s="1416">
        <v>36326</v>
      </c>
      <c r="B1185" s="1415">
        <v>12.47222</v>
      </c>
    </row>
    <row r="1186" spans="1:2" x14ac:dyDescent="0.35">
      <c r="A1186" s="1416">
        <v>36327</v>
      </c>
      <c r="B1186" s="1415">
        <v>12.05555</v>
      </c>
    </row>
    <row r="1187" spans="1:2" x14ac:dyDescent="0.35">
      <c r="A1187" s="1416">
        <v>36328</v>
      </c>
      <c r="B1187" s="1415">
        <v>12.61111</v>
      </c>
    </row>
    <row r="1188" spans="1:2" x14ac:dyDescent="0.35">
      <c r="A1188" s="1416">
        <v>36329</v>
      </c>
      <c r="B1188" s="1415">
        <v>12.16667</v>
      </c>
    </row>
    <row r="1189" spans="1:2" x14ac:dyDescent="0.35">
      <c r="A1189" s="1416">
        <v>36332</v>
      </c>
      <c r="B1189" s="1415">
        <v>12.58333</v>
      </c>
    </row>
    <row r="1190" spans="1:2" x14ac:dyDescent="0.35">
      <c r="A1190" s="1416">
        <v>36333</v>
      </c>
      <c r="B1190" s="1415">
        <v>11.61111</v>
      </c>
    </row>
    <row r="1191" spans="1:2" x14ac:dyDescent="0.35">
      <c r="A1191" s="1416">
        <v>36334</v>
      </c>
      <c r="B1191" s="1415">
        <v>10.55556</v>
      </c>
    </row>
    <row r="1192" spans="1:2" x14ac:dyDescent="0.35">
      <c r="A1192" s="1416">
        <v>36335</v>
      </c>
      <c r="B1192" s="1415">
        <v>10.75</v>
      </c>
    </row>
    <row r="1193" spans="1:2" x14ac:dyDescent="0.35">
      <c r="A1193" s="1416">
        <v>36336</v>
      </c>
      <c r="B1193" s="1415">
        <v>11.16667</v>
      </c>
    </row>
    <row r="1194" spans="1:2" x14ac:dyDescent="0.35">
      <c r="A1194" s="1416">
        <v>36339</v>
      </c>
      <c r="B1194" s="1415">
        <v>11.25</v>
      </c>
    </row>
    <row r="1195" spans="1:2" x14ac:dyDescent="0.35">
      <c r="A1195" s="1416">
        <v>36340</v>
      </c>
      <c r="B1195" s="1415">
        <v>11.22222</v>
      </c>
    </row>
    <row r="1196" spans="1:2" x14ac:dyDescent="0.35">
      <c r="A1196" s="1416">
        <v>36341</v>
      </c>
      <c r="B1196" s="1415">
        <v>11.80555</v>
      </c>
    </row>
    <row r="1197" spans="1:2" x14ac:dyDescent="0.35">
      <c r="A1197" s="1416">
        <v>36342</v>
      </c>
      <c r="B1197" s="1415">
        <v>11.55556</v>
      </c>
    </row>
    <row r="1198" spans="1:2" x14ac:dyDescent="0.35">
      <c r="A1198" s="1416">
        <v>36343</v>
      </c>
      <c r="B1198" s="1415">
        <v>11.25</v>
      </c>
    </row>
    <row r="1199" spans="1:2" x14ac:dyDescent="0.35">
      <c r="A1199" s="1416">
        <v>36347</v>
      </c>
      <c r="B1199" s="1415">
        <v>11.16667</v>
      </c>
    </row>
    <row r="1200" spans="1:2" x14ac:dyDescent="0.35">
      <c r="A1200" s="1416">
        <v>36348</v>
      </c>
      <c r="B1200" s="1415">
        <v>10.75</v>
      </c>
    </row>
    <row r="1201" spans="1:2" x14ac:dyDescent="0.35">
      <c r="A1201" s="1416">
        <v>36349</v>
      </c>
      <c r="B1201" s="1415">
        <v>11.19444</v>
      </c>
    </row>
    <row r="1202" spans="1:2" x14ac:dyDescent="0.35">
      <c r="A1202" s="1416">
        <v>36350</v>
      </c>
      <c r="B1202" s="1415">
        <v>11.27778</v>
      </c>
    </row>
    <row r="1203" spans="1:2" x14ac:dyDescent="0.35">
      <c r="A1203" s="1416">
        <v>36353</v>
      </c>
      <c r="B1203" s="1415">
        <v>11.08333</v>
      </c>
    </row>
    <row r="1204" spans="1:2" x14ac:dyDescent="0.35">
      <c r="A1204" s="1416">
        <v>36354</v>
      </c>
      <c r="B1204" s="1415">
        <v>11.13889</v>
      </c>
    </row>
    <row r="1205" spans="1:2" x14ac:dyDescent="0.35">
      <c r="A1205" s="1416">
        <v>36355</v>
      </c>
      <c r="B1205" s="1415">
        <v>11.13889</v>
      </c>
    </row>
    <row r="1206" spans="1:2" x14ac:dyDescent="0.35">
      <c r="A1206" s="1416">
        <v>36356</v>
      </c>
      <c r="B1206" s="1415">
        <v>11.11111</v>
      </c>
    </row>
    <row r="1207" spans="1:2" x14ac:dyDescent="0.35">
      <c r="A1207" s="1416">
        <v>36357</v>
      </c>
      <c r="B1207" s="1415">
        <v>10.75</v>
      </c>
    </row>
    <row r="1208" spans="1:2" x14ac:dyDescent="0.35">
      <c r="A1208" s="1416">
        <v>36360</v>
      </c>
      <c r="B1208" s="1415">
        <v>10.63889</v>
      </c>
    </row>
    <row r="1209" spans="1:2" x14ac:dyDescent="0.35">
      <c r="A1209" s="1416">
        <v>36361</v>
      </c>
      <c r="B1209" s="1415">
        <v>10.94444</v>
      </c>
    </row>
    <row r="1210" spans="1:2" x14ac:dyDescent="0.35">
      <c r="A1210" s="1416">
        <v>36362</v>
      </c>
      <c r="B1210" s="1415">
        <v>10.86111</v>
      </c>
    </row>
    <row r="1211" spans="1:2" x14ac:dyDescent="0.35">
      <c r="A1211" s="1416">
        <v>36363</v>
      </c>
      <c r="B1211" s="1415">
        <v>10.91667</v>
      </c>
    </row>
    <row r="1212" spans="1:2" x14ac:dyDescent="0.35">
      <c r="A1212" s="1416">
        <v>36364</v>
      </c>
      <c r="B1212" s="1415">
        <v>10.72222</v>
      </c>
    </row>
    <row r="1213" spans="1:2" x14ac:dyDescent="0.35">
      <c r="A1213" s="1416">
        <v>36367</v>
      </c>
      <c r="B1213" s="1415">
        <v>10.61111</v>
      </c>
    </row>
    <row r="1214" spans="1:2" x14ac:dyDescent="0.35">
      <c r="A1214" s="1416">
        <v>36368</v>
      </c>
      <c r="B1214" s="1415">
        <v>11.13889</v>
      </c>
    </row>
    <row r="1215" spans="1:2" x14ac:dyDescent="0.35">
      <c r="A1215" s="1416">
        <v>36369</v>
      </c>
      <c r="B1215" s="1415">
        <v>10.88889</v>
      </c>
    </row>
    <row r="1216" spans="1:2" x14ac:dyDescent="0.35">
      <c r="A1216" s="1416">
        <v>36370</v>
      </c>
      <c r="B1216" s="1415">
        <v>10.86111</v>
      </c>
    </row>
    <row r="1217" spans="1:2" x14ac:dyDescent="0.35">
      <c r="A1217" s="1416">
        <v>36371</v>
      </c>
      <c r="B1217" s="1415">
        <v>11.44444</v>
      </c>
    </row>
    <row r="1218" spans="1:2" x14ac:dyDescent="0.35">
      <c r="A1218" s="1416">
        <v>36374</v>
      </c>
      <c r="B1218" s="1415">
        <v>11.55556</v>
      </c>
    </row>
    <row r="1219" spans="1:2" x14ac:dyDescent="0.35">
      <c r="A1219" s="1416">
        <v>36375</v>
      </c>
      <c r="B1219" s="1415">
        <v>11.44444</v>
      </c>
    </row>
    <row r="1220" spans="1:2" x14ac:dyDescent="0.35">
      <c r="A1220" s="1416">
        <v>36376</v>
      </c>
      <c r="B1220" s="1415">
        <v>11.19444</v>
      </c>
    </row>
    <row r="1221" spans="1:2" x14ac:dyDescent="0.35">
      <c r="A1221" s="1416">
        <v>36377</v>
      </c>
      <c r="B1221" s="1415">
        <v>11.22222</v>
      </c>
    </row>
    <row r="1222" spans="1:2" x14ac:dyDescent="0.35">
      <c r="A1222" s="1416">
        <v>36378</v>
      </c>
      <c r="B1222" s="1415">
        <v>10.63889</v>
      </c>
    </row>
    <row r="1223" spans="1:2" x14ac:dyDescent="0.35">
      <c r="A1223" s="1416">
        <v>36381</v>
      </c>
      <c r="B1223" s="1415">
        <v>10.66667</v>
      </c>
    </row>
    <row r="1224" spans="1:2" x14ac:dyDescent="0.35">
      <c r="A1224" s="1416">
        <v>36382</v>
      </c>
      <c r="B1224" s="1415">
        <v>10.44444</v>
      </c>
    </row>
    <row r="1225" spans="1:2" x14ac:dyDescent="0.35">
      <c r="A1225" s="1416">
        <v>36383</v>
      </c>
      <c r="B1225" s="1415">
        <v>10.69444</v>
      </c>
    </row>
    <row r="1226" spans="1:2" x14ac:dyDescent="0.35">
      <c r="A1226" s="1416">
        <v>36384</v>
      </c>
      <c r="B1226" s="1415">
        <v>10.52778</v>
      </c>
    </row>
    <row r="1227" spans="1:2" x14ac:dyDescent="0.35">
      <c r="A1227" s="1416">
        <v>36385</v>
      </c>
      <c r="B1227" s="1415">
        <v>10.77778</v>
      </c>
    </row>
    <row r="1228" spans="1:2" x14ac:dyDescent="0.35">
      <c r="A1228" s="1416">
        <v>36388</v>
      </c>
      <c r="B1228" s="1415">
        <v>10.69444</v>
      </c>
    </row>
    <row r="1229" spans="1:2" x14ac:dyDescent="0.35">
      <c r="A1229" s="1416">
        <v>36389</v>
      </c>
      <c r="B1229" s="1415">
        <v>10.5625</v>
      </c>
    </row>
    <row r="1230" spans="1:2" x14ac:dyDescent="0.35">
      <c r="A1230" s="1416">
        <v>36390</v>
      </c>
      <c r="B1230" s="1415">
        <v>10.66667</v>
      </c>
    </row>
    <row r="1231" spans="1:2" x14ac:dyDescent="0.35">
      <c r="A1231" s="1416">
        <v>36391</v>
      </c>
      <c r="B1231" s="1415">
        <v>10.72222</v>
      </c>
    </row>
    <row r="1232" spans="1:2" x14ac:dyDescent="0.35">
      <c r="A1232" s="1416">
        <v>36392</v>
      </c>
      <c r="B1232" s="1415">
        <v>10.83333</v>
      </c>
    </row>
    <row r="1233" spans="1:2" x14ac:dyDescent="0.35">
      <c r="A1233" s="1416">
        <v>36395</v>
      </c>
      <c r="B1233" s="1415">
        <v>10.97222</v>
      </c>
    </row>
    <row r="1234" spans="1:2" x14ac:dyDescent="0.35">
      <c r="A1234" s="1416">
        <v>36396</v>
      </c>
      <c r="B1234" s="1415">
        <v>11</v>
      </c>
    </row>
    <row r="1235" spans="1:2" x14ac:dyDescent="0.35">
      <c r="A1235" s="1416">
        <v>36397</v>
      </c>
      <c r="B1235" s="1415">
        <v>10.94444</v>
      </c>
    </row>
    <row r="1236" spans="1:2" x14ac:dyDescent="0.35">
      <c r="A1236" s="1416">
        <v>36398</v>
      </c>
      <c r="B1236" s="1415">
        <v>10.77778</v>
      </c>
    </row>
    <row r="1237" spans="1:2" x14ac:dyDescent="0.35">
      <c r="A1237" s="1416">
        <v>36399</v>
      </c>
      <c r="B1237" s="1415">
        <v>10.36111</v>
      </c>
    </row>
    <row r="1238" spans="1:2" x14ac:dyDescent="0.35">
      <c r="A1238" s="1416">
        <v>36402</v>
      </c>
      <c r="B1238" s="1415">
        <v>9.9444400000000002</v>
      </c>
    </row>
    <row r="1239" spans="1:2" x14ac:dyDescent="0.35">
      <c r="A1239" s="1416">
        <v>36403</v>
      </c>
      <c r="B1239" s="1415">
        <v>9.75</v>
      </c>
    </row>
    <row r="1240" spans="1:2" x14ac:dyDescent="0.35">
      <c r="A1240" s="1416">
        <v>36404</v>
      </c>
      <c r="B1240" s="1415">
        <v>9.8055599999999998</v>
      </c>
    </row>
    <row r="1241" spans="1:2" x14ac:dyDescent="0.35">
      <c r="A1241" s="1416">
        <v>36405</v>
      </c>
      <c r="B1241" s="1415">
        <v>9.5833300000000001</v>
      </c>
    </row>
    <row r="1242" spans="1:2" x14ac:dyDescent="0.35">
      <c r="A1242" s="1416">
        <v>36406</v>
      </c>
      <c r="B1242" s="1415">
        <v>9.8055599999999998</v>
      </c>
    </row>
    <row r="1243" spans="1:2" x14ac:dyDescent="0.35">
      <c r="A1243" s="1416">
        <v>36410</v>
      </c>
      <c r="B1243" s="1415">
        <v>10.20833</v>
      </c>
    </row>
    <row r="1244" spans="1:2" x14ac:dyDescent="0.35">
      <c r="A1244" s="1416">
        <v>36411</v>
      </c>
      <c r="B1244" s="1415">
        <v>9.88889</v>
      </c>
    </row>
    <row r="1245" spans="1:2" x14ac:dyDescent="0.35">
      <c r="A1245" s="1416">
        <v>36412</v>
      </c>
      <c r="B1245" s="1415">
        <v>9.9722200000000001</v>
      </c>
    </row>
    <row r="1246" spans="1:2" x14ac:dyDescent="0.35">
      <c r="A1246" s="1416">
        <v>36413</v>
      </c>
      <c r="B1246" s="1415">
        <v>9.7777799999999999</v>
      </c>
    </row>
    <row r="1247" spans="1:2" x14ac:dyDescent="0.35">
      <c r="A1247" s="1416">
        <v>36416</v>
      </c>
      <c r="B1247" s="1415">
        <v>9.7222200000000001</v>
      </c>
    </row>
    <row r="1248" spans="1:2" x14ac:dyDescent="0.35">
      <c r="A1248" s="1416">
        <v>36417</v>
      </c>
      <c r="B1248" s="1415">
        <v>10.02778</v>
      </c>
    </row>
    <row r="1249" spans="1:2" x14ac:dyDescent="0.35">
      <c r="A1249" s="1416">
        <v>36418</v>
      </c>
      <c r="B1249" s="1415">
        <v>9.7222200000000001</v>
      </c>
    </row>
    <row r="1250" spans="1:2" x14ac:dyDescent="0.35">
      <c r="A1250" s="1416">
        <v>36419</v>
      </c>
      <c r="B1250" s="1415">
        <v>9.4722200000000001</v>
      </c>
    </row>
    <row r="1251" spans="1:2" x14ac:dyDescent="0.35">
      <c r="A1251" s="1416">
        <v>36420</v>
      </c>
      <c r="B1251" s="1415">
        <v>9.8333300000000001</v>
      </c>
    </row>
    <row r="1252" spans="1:2" x14ac:dyDescent="0.35">
      <c r="A1252" s="1416">
        <v>36423</v>
      </c>
      <c r="B1252" s="1415">
        <v>9.88889</v>
      </c>
    </row>
    <row r="1253" spans="1:2" x14ac:dyDescent="0.35">
      <c r="A1253" s="1416">
        <v>36424</v>
      </c>
      <c r="B1253" s="1415">
        <v>9.63889</v>
      </c>
    </row>
    <row r="1254" spans="1:2" x14ac:dyDescent="0.35">
      <c r="A1254" s="1416">
        <v>36425</v>
      </c>
      <c r="B1254" s="1415">
        <v>9.4444400000000002</v>
      </c>
    </row>
    <row r="1255" spans="1:2" x14ac:dyDescent="0.35">
      <c r="A1255" s="1416">
        <v>36426</v>
      </c>
      <c r="B1255" s="1415">
        <v>8.6666699999999999</v>
      </c>
    </row>
    <row r="1256" spans="1:2" x14ac:dyDescent="0.35">
      <c r="A1256" s="1416">
        <v>36427</v>
      </c>
      <c r="B1256" s="1415">
        <v>9.0833300000000001</v>
      </c>
    </row>
    <row r="1257" spans="1:2" x14ac:dyDescent="0.35">
      <c r="A1257" s="1416">
        <v>36430</v>
      </c>
      <c r="B1257" s="1415">
        <v>9.1944400000000002</v>
      </c>
    </row>
    <row r="1258" spans="1:2" x14ac:dyDescent="0.35">
      <c r="A1258" s="1416">
        <v>36431</v>
      </c>
      <c r="B1258" s="1415">
        <v>9.2222200000000001</v>
      </c>
    </row>
    <row r="1259" spans="1:2" x14ac:dyDescent="0.35">
      <c r="A1259" s="1416">
        <v>36432</v>
      </c>
      <c r="B1259" s="1415">
        <v>9.3333300000000001</v>
      </c>
    </row>
    <row r="1260" spans="1:2" x14ac:dyDescent="0.35">
      <c r="A1260" s="1416">
        <v>36433</v>
      </c>
      <c r="B1260" s="1415">
        <v>9.38889</v>
      </c>
    </row>
    <row r="1261" spans="1:2" x14ac:dyDescent="0.35">
      <c r="A1261" s="1416">
        <v>36434</v>
      </c>
      <c r="B1261" s="1415">
        <v>9.4722200000000001</v>
      </c>
    </row>
    <row r="1262" spans="1:2" x14ac:dyDescent="0.35">
      <c r="A1262" s="1416">
        <v>36437</v>
      </c>
      <c r="B1262" s="1415">
        <v>9.38889</v>
      </c>
    </row>
    <row r="1263" spans="1:2" x14ac:dyDescent="0.35">
      <c r="A1263" s="1416">
        <v>36438</v>
      </c>
      <c r="B1263" s="1415">
        <v>9.4722200000000001</v>
      </c>
    </row>
    <row r="1264" spans="1:2" x14ac:dyDescent="0.35">
      <c r="A1264" s="1416">
        <v>36439</v>
      </c>
      <c r="B1264" s="1415">
        <v>9.1666699999999999</v>
      </c>
    </row>
    <row r="1265" spans="1:2" x14ac:dyDescent="0.35">
      <c r="A1265" s="1416">
        <v>36440</v>
      </c>
      <c r="B1265" s="1415">
        <v>9.2222200000000001</v>
      </c>
    </row>
    <row r="1266" spans="1:2" x14ac:dyDescent="0.35">
      <c r="A1266" s="1416">
        <v>36441</v>
      </c>
      <c r="B1266" s="1415">
        <v>8.7777799999999999</v>
      </c>
    </row>
    <row r="1267" spans="1:2" x14ac:dyDescent="0.35">
      <c r="A1267" s="1416">
        <v>36444</v>
      </c>
      <c r="B1267" s="1415">
        <v>8.36111</v>
      </c>
    </row>
    <row r="1268" spans="1:2" x14ac:dyDescent="0.35">
      <c r="A1268" s="1416">
        <v>36445</v>
      </c>
      <c r="B1268" s="1415">
        <v>8.4444400000000002</v>
      </c>
    </row>
    <row r="1269" spans="1:2" x14ac:dyDescent="0.35">
      <c r="A1269" s="1416">
        <v>36446</v>
      </c>
      <c r="B1269" s="1415">
        <v>8.5555599999999998</v>
      </c>
    </row>
    <row r="1270" spans="1:2" x14ac:dyDescent="0.35">
      <c r="A1270" s="1416">
        <v>36447</v>
      </c>
      <c r="B1270" s="1415">
        <v>9.2222200000000001</v>
      </c>
    </row>
    <row r="1271" spans="1:2" x14ac:dyDescent="0.35">
      <c r="A1271" s="1416">
        <v>36448</v>
      </c>
      <c r="B1271" s="1415">
        <v>10.25</v>
      </c>
    </row>
    <row r="1272" spans="1:2" x14ac:dyDescent="0.35">
      <c r="A1272" s="1416">
        <v>36451</v>
      </c>
      <c r="B1272" s="1415">
        <v>10.41667</v>
      </c>
    </row>
    <row r="1273" spans="1:2" x14ac:dyDescent="0.35">
      <c r="A1273" s="1416">
        <v>36452</v>
      </c>
      <c r="B1273" s="1415">
        <v>10.66667</v>
      </c>
    </row>
    <row r="1274" spans="1:2" x14ac:dyDescent="0.35">
      <c r="A1274" s="1416">
        <v>36453</v>
      </c>
      <c r="B1274" s="1415">
        <v>11.16667</v>
      </c>
    </row>
    <row r="1275" spans="1:2" x14ac:dyDescent="0.35">
      <c r="A1275" s="1416">
        <v>36454</v>
      </c>
      <c r="B1275" s="1415">
        <v>11.19444</v>
      </c>
    </row>
    <row r="1276" spans="1:2" x14ac:dyDescent="0.35">
      <c r="A1276" s="1416">
        <v>36455</v>
      </c>
      <c r="B1276" s="1415">
        <v>10.72222</v>
      </c>
    </row>
    <row r="1277" spans="1:2" x14ac:dyDescent="0.35">
      <c r="A1277" s="1416">
        <v>36458</v>
      </c>
      <c r="B1277" s="1415">
        <v>10.55556</v>
      </c>
    </row>
    <row r="1278" spans="1:2" x14ac:dyDescent="0.35">
      <c r="A1278" s="1416">
        <v>36459</v>
      </c>
      <c r="B1278" s="1415">
        <v>10.30556</v>
      </c>
    </row>
    <row r="1279" spans="1:2" x14ac:dyDescent="0.35">
      <c r="A1279" s="1416">
        <v>36460</v>
      </c>
      <c r="B1279" s="1415">
        <v>10.30556</v>
      </c>
    </row>
    <row r="1280" spans="1:2" x14ac:dyDescent="0.35">
      <c r="A1280" s="1416">
        <v>36461</v>
      </c>
      <c r="B1280" s="1415">
        <v>10.72222</v>
      </c>
    </row>
    <row r="1281" spans="1:2" x14ac:dyDescent="0.35">
      <c r="A1281" s="1416">
        <v>36462</v>
      </c>
      <c r="B1281" s="1415">
        <v>11.69444</v>
      </c>
    </row>
    <row r="1282" spans="1:2" x14ac:dyDescent="0.35">
      <c r="A1282" s="1416">
        <v>36465</v>
      </c>
      <c r="B1282" s="1415">
        <v>11.22222</v>
      </c>
    </row>
    <row r="1283" spans="1:2" x14ac:dyDescent="0.35">
      <c r="A1283" s="1416">
        <v>36466</v>
      </c>
      <c r="B1283" s="1415">
        <v>10.16667</v>
      </c>
    </row>
    <row r="1284" spans="1:2" x14ac:dyDescent="0.35">
      <c r="A1284" s="1416">
        <v>36467</v>
      </c>
      <c r="B1284" s="1415">
        <v>10.66667</v>
      </c>
    </row>
    <row r="1285" spans="1:2" x14ac:dyDescent="0.35">
      <c r="A1285" s="1416">
        <v>36468</v>
      </c>
      <c r="B1285" s="1415">
        <v>10.75</v>
      </c>
    </row>
    <row r="1286" spans="1:2" x14ac:dyDescent="0.35">
      <c r="A1286" s="1416">
        <v>36469</v>
      </c>
      <c r="B1286" s="1415">
        <v>11</v>
      </c>
    </row>
    <row r="1287" spans="1:2" x14ac:dyDescent="0.35">
      <c r="A1287" s="1416">
        <v>36472</v>
      </c>
      <c r="B1287" s="1415">
        <v>11.5</v>
      </c>
    </row>
    <row r="1288" spans="1:2" x14ac:dyDescent="0.35">
      <c r="A1288" s="1416">
        <v>36473</v>
      </c>
      <c r="B1288" s="1415">
        <v>11.36111</v>
      </c>
    </row>
    <row r="1289" spans="1:2" x14ac:dyDescent="0.35">
      <c r="A1289" s="1416">
        <v>36474</v>
      </c>
      <c r="B1289" s="1415">
        <v>10.80556</v>
      </c>
    </row>
    <row r="1290" spans="1:2" x14ac:dyDescent="0.35">
      <c r="A1290" s="1416">
        <v>36475</v>
      </c>
      <c r="B1290" s="1415">
        <v>10.63889</v>
      </c>
    </row>
    <row r="1291" spans="1:2" x14ac:dyDescent="0.35">
      <c r="A1291" s="1416">
        <v>36476</v>
      </c>
      <c r="B1291" s="1415">
        <v>10.72222</v>
      </c>
    </row>
    <row r="1292" spans="1:2" x14ac:dyDescent="0.35">
      <c r="A1292" s="1416">
        <v>36479</v>
      </c>
      <c r="B1292" s="1415">
        <v>10.47222</v>
      </c>
    </row>
    <row r="1293" spans="1:2" x14ac:dyDescent="0.35">
      <c r="A1293" s="1416">
        <v>36480</v>
      </c>
      <c r="B1293" s="1415">
        <v>10.05556</v>
      </c>
    </row>
    <row r="1294" spans="1:2" x14ac:dyDescent="0.35">
      <c r="A1294" s="1416">
        <v>36481</v>
      </c>
      <c r="B1294" s="1415">
        <v>10.52778</v>
      </c>
    </row>
    <row r="1295" spans="1:2" x14ac:dyDescent="0.35">
      <c r="A1295" s="1416">
        <v>36482</v>
      </c>
      <c r="B1295" s="1415">
        <v>11.13889</v>
      </c>
    </row>
    <row r="1296" spans="1:2" x14ac:dyDescent="0.35">
      <c r="A1296" s="1416">
        <v>36483</v>
      </c>
      <c r="B1296" s="1415">
        <v>11.13889</v>
      </c>
    </row>
    <row r="1297" spans="1:2" x14ac:dyDescent="0.35">
      <c r="A1297" s="1416">
        <v>36486</v>
      </c>
      <c r="B1297" s="1415">
        <v>10.80556</v>
      </c>
    </row>
    <row r="1298" spans="1:2" x14ac:dyDescent="0.35">
      <c r="A1298" s="1416">
        <v>36487</v>
      </c>
      <c r="B1298" s="1415">
        <v>10.33333</v>
      </c>
    </row>
    <row r="1299" spans="1:2" x14ac:dyDescent="0.35">
      <c r="A1299" s="1416">
        <v>36488</v>
      </c>
      <c r="B1299" s="1415">
        <v>10.66667</v>
      </c>
    </row>
    <row r="1300" spans="1:2" x14ac:dyDescent="0.35">
      <c r="A1300" s="1416">
        <v>36490</v>
      </c>
      <c r="B1300" s="1415">
        <v>11.83333</v>
      </c>
    </row>
    <row r="1301" spans="1:2" x14ac:dyDescent="0.35">
      <c r="A1301" s="1416">
        <v>36493</v>
      </c>
      <c r="B1301" s="1415">
        <v>12.19444</v>
      </c>
    </row>
    <row r="1302" spans="1:2" x14ac:dyDescent="0.35">
      <c r="A1302" s="1416">
        <v>36494</v>
      </c>
      <c r="B1302" s="1415">
        <v>11.94444</v>
      </c>
    </row>
    <row r="1303" spans="1:2" x14ac:dyDescent="0.35">
      <c r="A1303" s="1416">
        <v>36495</v>
      </c>
      <c r="B1303" s="1415">
        <v>12.11111</v>
      </c>
    </row>
    <row r="1304" spans="1:2" x14ac:dyDescent="0.35">
      <c r="A1304" s="1416">
        <v>36496</v>
      </c>
      <c r="B1304" s="1415">
        <v>12.69444</v>
      </c>
    </row>
    <row r="1305" spans="1:2" x14ac:dyDescent="0.35">
      <c r="A1305" s="1416">
        <v>36497</v>
      </c>
      <c r="B1305" s="1415">
        <v>12.58333</v>
      </c>
    </row>
    <row r="1306" spans="1:2" x14ac:dyDescent="0.35">
      <c r="A1306" s="1416">
        <v>36500</v>
      </c>
      <c r="B1306" s="1415">
        <v>12.44444</v>
      </c>
    </row>
    <row r="1307" spans="1:2" x14ac:dyDescent="0.35">
      <c r="A1307" s="1416">
        <v>36501</v>
      </c>
      <c r="B1307" s="1415">
        <v>12.13889</v>
      </c>
    </row>
    <row r="1308" spans="1:2" x14ac:dyDescent="0.35">
      <c r="A1308" s="1416">
        <v>36502</v>
      </c>
      <c r="B1308" s="1415">
        <v>11.80555</v>
      </c>
    </row>
    <row r="1309" spans="1:2" x14ac:dyDescent="0.35">
      <c r="A1309" s="1416">
        <v>36503</v>
      </c>
      <c r="B1309" s="1415">
        <v>11.55556</v>
      </c>
    </row>
    <row r="1310" spans="1:2" x14ac:dyDescent="0.35">
      <c r="A1310" s="1416">
        <v>36504</v>
      </c>
      <c r="B1310" s="1415">
        <v>11.47222</v>
      </c>
    </row>
    <row r="1311" spans="1:2" x14ac:dyDescent="0.35">
      <c r="A1311" s="1416">
        <v>36507</v>
      </c>
      <c r="B1311" s="1415">
        <v>11.61111</v>
      </c>
    </row>
    <row r="1312" spans="1:2" x14ac:dyDescent="0.35">
      <c r="A1312" s="1416">
        <v>36508</v>
      </c>
      <c r="B1312" s="1415">
        <v>11.36111</v>
      </c>
    </row>
    <row r="1313" spans="1:2" x14ac:dyDescent="0.35">
      <c r="A1313" s="1416">
        <v>36509</v>
      </c>
      <c r="B1313" s="1415">
        <v>11.27778</v>
      </c>
    </row>
    <row r="1314" spans="1:2" x14ac:dyDescent="0.35">
      <c r="A1314" s="1416">
        <v>36510</v>
      </c>
      <c r="B1314" s="1415">
        <v>11.27778</v>
      </c>
    </row>
    <row r="1315" spans="1:2" x14ac:dyDescent="0.35">
      <c r="A1315" s="1416">
        <v>36511</v>
      </c>
      <c r="B1315" s="1415">
        <v>9.1666699999999999</v>
      </c>
    </row>
    <row r="1316" spans="1:2" x14ac:dyDescent="0.35">
      <c r="A1316" s="1416">
        <v>36514</v>
      </c>
      <c r="B1316" s="1415">
        <v>9.3333300000000001</v>
      </c>
    </row>
    <row r="1317" spans="1:2" x14ac:dyDescent="0.35">
      <c r="A1317" s="1416">
        <v>36515</v>
      </c>
      <c r="B1317" s="1415">
        <v>9.7222200000000001</v>
      </c>
    </row>
    <row r="1318" spans="1:2" x14ac:dyDescent="0.35">
      <c r="A1318" s="1416">
        <v>36516</v>
      </c>
      <c r="B1318" s="1415">
        <v>9.25</v>
      </c>
    </row>
    <row r="1319" spans="1:2" x14ac:dyDescent="0.35">
      <c r="A1319" s="1416">
        <v>36517</v>
      </c>
      <c r="B1319" s="1415">
        <v>9.3333300000000001</v>
      </c>
    </row>
    <row r="1320" spans="1:2" x14ac:dyDescent="0.35">
      <c r="A1320" s="1416">
        <v>36521</v>
      </c>
      <c r="B1320" s="1415">
        <v>9.25</v>
      </c>
    </row>
    <row r="1321" spans="1:2" x14ac:dyDescent="0.35">
      <c r="A1321" s="1416">
        <v>36522</v>
      </c>
      <c r="B1321" s="1415">
        <v>9.3055599999999998</v>
      </c>
    </row>
    <row r="1322" spans="1:2" x14ac:dyDescent="0.35">
      <c r="A1322" s="1416">
        <v>36523</v>
      </c>
      <c r="B1322" s="1415">
        <v>9.0555599999999998</v>
      </c>
    </row>
    <row r="1323" spans="1:2" x14ac:dyDescent="0.35">
      <c r="A1323" s="1416">
        <v>36524</v>
      </c>
      <c r="B1323" s="1415">
        <v>8.9444400000000002</v>
      </c>
    </row>
    <row r="1324" spans="1:2" x14ac:dyDescent="0.35">
      <c r="A1324" s="1416">
        <v>36525</v>
      </c>
      <c r="B1324" s="1415">
        <v>8.9166699999999999</v>
      </c>
    </row>
    <row r="1325" spans="1:2" x14ac:dyDescent="0.35">
      <c r="A1325" s="1416">
        <v>36528</v>
      </c>
      <c r="B1325" s="1415">
        <v>8.9166699999999999</v>
      </c>
    </row>
    <row r="1326" spans="1:2" x14ac:dyDescent="0.35">
      <c r="A1326" s="1416">
        <v>36529</v>
      </c>
      <c r="B1326" s="1415">
        <v>8.4722200000000001</v>
      </c>
    </row>
    <row r="1327" spans="1:2" x14ac:dyDescent="0.35">
      <c r="A1327" s="1416">
        <v>36530</v>
      </c>
      <c r="B1327" s="1415">
        <v>8.9166699999999999</v>
      </c>
    </row>
    <row r="1328" spans="1:2" x14ac:dyDescent="0.35">
      <c r="A1328" s="1416">
        <v>36531</v>
      </c>
      <c r="B1328" s="1415">
        <v>9.0833300000000001</v>
      </c>
    </row>
    <row r="1329" spans="1:2" x14ac:dyDescent="0.35">
      <c r="A1329" s="1416">
        <v>36532</v>
      </c>
      <c r="B1329" s="1415">
        <v>8.88889</v>
      </c>
    </row>
    <row r="1330" spans="1:2" x14ac:dyDescent="0.35">
      <c r="A1330" s="1416">
        <v>36535</v>
      </c>
      <c r="B1330" s="1415">
        <v>9.0833300000000001</v>
      </c>
    </row>
    <row r="1331" spans="1:2" x14ac:dyDescent="0.35">
      <c r="A1331" s="1416">
        <v>36536</v>
      </c>
      <c r="B1331" s="1415">
        <v>8.4444400000000002</v>
      </c>
    </row>
    <row r="1332" spans="1:2" x14ac:dyDescent="0.35">
      <c r="A1332" s="1416">
        <v>36537</v>
      </c>
      <c r="B1332" s="1415">
        <v>8.38889</v>
      </c>
    </row>
    <row r="1333" spans="1:2" x14ac:dyDescent="0.35">
      <c r="A1333" s="1416">
        <v>36538</v>
      </c>
      <c r="B1333" s="1415">
        <v>8.9722200000000001</v>
      </c>
    </row>
    <row r="1334" spans="1:2" x14ac:dyDescent="0.35">
      <c r="A1334" s="1416">
        <v>36539</v>
      </c>
      <c r="B1334" s="1415">
        <v>9.0833300000000001</v>
      </c>
    </row>
    <row r="1335" spans="1:2" x14ac:dyDescent="0.35">
      <c r="A1335" s="1416">
        <v>36543</v>
      </c>
      <c r="B1335" s="1415">
        <v>9.9444400000000002</v>
      </c>
    </row>
    <row r="1336" spans="1:2" x14ac:dyDescent="0.35">
      <c r="A1336" s="1416">
        <v>36544</v>
      </c>
      <c r="B1336" s="1415">
        <v>11.33333</v>
      </c>
    </row>
    <row r="1337" spans="1:2" x14ac:dyDescent="0.35">
      <c r="A1337" s="1416">
        <v>36545</v>
      </c>
      <c r="B1337" s="1415">
        <v>10.61111</v>
      </c>
    </row>
    <row r="1338" spans="1:2" x14ac:dyDescent="0.35">
      <c r="A1338" s="1416">
        <v>36546</v>
      </c>
      <c r="B1338" s="1415">
        <v>10.33333</v>
      </c>
    </row>
    <row r="1339" spans="1:2" x14ac:dyDescent="0.35">
      <c r="A1339" s="1416">
        <v>36549</v>
      </c>
      <c r="B1339" s="1415">
        <v>9.7777799999999999</v>
      </c>
    </row>
    <row r="1340" spans="1:2" x14ac:dyDescent="0.35">
      <c r="A1340" s="1416">
        <v>36550</v>
      </c>
      <c r="B1340" s="1415">
        <v>9.0277799999999999</v>
      </c>
    </row>
    <row r="1341" spans="1:2" x14ac:dyDescent="0.35">
      <c r="A1341" s="1416">
        <v>36551</v>
      </c>
      <c r="B1341" s="1415">
        <v>9.625</v>
      </c>
    </row>
    <row r="1342" spans="1:2" x14ac:dyDescent="0.35">
      <c r="A1342" s="1416">
        <v>36552</v>
      </c>
      <c r="B1342" s="1415">
        <v>9.5277799999999999</v>
      </c>
    </row>
    <row r="1343" spans="1:2" x14ac:dyDescent="0.35">
      <c r="A1343" s="1416">
        <v>36553</v>
      </c>
      <c r="B1343" s="1415">
        <v>9.4722200000000001</v>
      </c>
    </row>
    <row r="1344" spans="1:2" x14ac:dyDescent="0.35">
      <c r="A1344" s="1416">
        <v>36556</v>
      </c>
      <c r="B1344" s="1415">
        <v>9.61111</v>
      </c>
    </row>
    <row r="1345" spans="1:2" x14ac:dyDescent="0.35">
      <c r="A1345" s="1416">
        <v>36557</v>
      </c>
      <c r="B1345" s="1415">
        <v>10.75</v>
      </c>
    </row>
    <row r="1346" spans="1:2" x14ac:dyDescent="0.35">
      <c r="A1346" s="1416">
        <v>36558</v>
      </c>
      <c r="B1346" s="1415">
        <v>10.55556</v>
      </c>
    </row>
    <row r="1347" spans="1:2" x14ac:dyDescent="0.35">
      <c r="A1347" s="1416">
        <v>36559</v>
      </c>
      <c r="B1347" s="1415">
        <v>10.61111</v>
      </c>
    </row>
    <row r="1348" spans="1:2" x14ac:dyDescent="0.35">
      <c r="A1348" s="1416">
        <v>36560</v>
      </c>
      <c r="B1348" s="1415">
        <v>10.77778</v>
      </c>
    </row>
    <row r="1349" spans="1:2" x14ac:dyDescent="0.35">
      <c r="A1349" s="1416">
        <v>36563</v>
      </c>
      <c r="B1349" s="1415">
        <v>11.11111</v>
      </c>
    </row>
    <row r="1350" spans="1:2" x14ac:dyDescent="0.35">
      <c r="A1350" s="1416">
        <v>36564</v>
      </c>
      <c r="B1350" s="1415">
        <v>10.66667</v>
      </c>
    </row>
    <row r="1351" spans="1:2" x14ac:dyDescent="0.35">
      <c r="A1351" s="1416">
        <v>36565</v>
      </c>
      <c r="B1351" s="1415">
        <v>10.19444</v>
      </c>
    </row>
    <row r="1352" spans="1:2" x14ac:dyDescent="0.35">
      <c r="A1352" s="1416">
        <v>36566</v>
      </c>
      <c r="B1352" s="1415">
        <v>10.59722</v>
      </c>
    </row>
    <row r="1353" spans="1:2" x14ac:dyDescent="0.35">
      <c r="A1353" s="1416">
        <v>36567</v>
      </c>
      <c r="B1353" s="1415">
        <v>10.11111</v>
      </c>
    </row>
    <row r="1354" spans="1:2" x14ac:dyDescent="0.35">
      <c r="A1354" s="1416">
        <v>36570</v>
      </c>
      <c r="B1354" s="1415">
        <v>10.34722</v>
      </c>
    </row>
    <row r="1355" spans="1:2" x14ac:dyDescent="0.35">
      <c r="A1355" s="1416">
        <v>36571</v>
      </c>
      <c r="B1355" s="1415">
        <v>10.69444</v>
      </c>
    </row>
    <row r="1356" spans="1:2" x14ac:dyDescent="0.35">
      <c r="A1356" s="1416">
        <v>36572</v>
      </c>
      <c r="B1356" s="1415">
        <v>10.36111</v>
      </c>
    </row>
    <row r="1357" spans="1:2" x14ac:dyDescent="0.35">
      <c r="A1357" s="1416">
        <v>36573</v>
      </c>
      <c r="B1357" s="1415">
        <v>10.72222</v>
      </c>
    </row>
    <row r="1358" spans="1:2" x14ac:dyDescent="0.35">
      <c r="A1358" s="1416">
        <v>36574</v>
      </c>
      <c r="B1358" s="1415">
        <v>10.55556</v>
      </c>
    </row>
    <row r="1359" spans="1:2" x14ac:dyDescent="0.35">
      <c r="A1359" s="1416">
        <v>36578</v>
      </c>
      <c r="B1359" s="1415">
        <v>9.9444400000000002</v>
      </c>
    </row>
    <row r="1360" spans="1:2" x14ac:dyDescent="0.35">
      <c r="A1360" s="1416">
        <v>36579</v>
      </c>
      <c r="B1360" s="1415">
        <v>10</v>
      </c>
    </row>
    <row r="1361" spans="1:2" x14ac:dyDescent="0.35">
      <c r="A1361" s="1416">
        <v>36580</v>
      </c>
      <c r="B1361" s="1415">
        <v>10.55556</v>
      </c>
    </row>
    <row r="1362" spans="1:2" x14ac:dyDescent="0.35">
      <c r="A1362" s="1416">
        <v>36581</v>
      </c>
      <c r="B1362" s="1415">
        <v>9.8333300000000001</v>
      </c>
    </row>
    <row r="1363" spans="1:2" x14ac:dyDescent="0.35">
      <c r="A1363" s="1416">
        <v>36584</v>
      </c>
      <c r="B1363" s="1415">
        <v>10.16667</v>
      </c>
    </row>
    <row r="1364" spans="1:2" x14ac:dyDescent="0.35">
      <c r="A1364" s="1416">
        <v>36585</v>
      </c>
      <c r="B1364" s="1415">
        <v>10.13889</v>
      </c>
    </row>
    <row r="1365" spans="1:2" x14ac:dyDescent="0.35">
      <c r="A1365" s="1416">
        <v>36586</v>
      </c>
      <c r="B1365" s="1415">
        <v>10.11111</v>
      </c>
    </row>
    <row r="1366" spans="1:2" x14ac:dyDescent="0.35">
      <c r="A1366" s="1416">
        <v>36587</v>
      </c>
      <c r="B1366" s="1415">
        <v>10.41667</v>
      </c>
    </row>
    <row r="1367" spans="1:2" x14ac:dyDescent="0.35">
      <c r="A1367" s="1416">
        <v>36588</v>
      </c>
      <c r="B1367" s="1415">
        <v>10.52778</v>
      </c>
    </row>
    <row r="1368" spans="1:2" x14ac:dyDescent="0.35">
      <c r="A1368" s="1416">
        <v>36591</v>
      </c>
      <c r="B1368" s="1415">
        <v>10.41667</v>
      </c>
    </row>
    <row r="1369" spans="1:2" x14ac:dyDescent="0.35">
      <c r="A1369" s="1416">
        <v>36592</v>
      </c>
      <c r="B1369" s="1415">
        <v>9.9166699999999999</v>
      </c>
    </row>
    <row r="1370" spans="1:2" x14ac:dyDescent="0.35">
      <c r="A1370" s="1416">
        <v>36593</v>
      </c>
      <c r="B1370" s="1415">
        <v>9.5</v>
      </c>
    </row>
    <row r="1371" spans="1:2" x14ac:dyDescent="0.35">
      <c r="A1371" s="1416">
        <v>36594</v>
      </c>
      <c r="B1371" s="1415">
        <v>9.7222200000000001</v>
      </c>
    </row>
    <row r="1372" spans="1:2" x14ac:dyDescent="0.35">
      <c r="A1372" s="1416">
        <v>36595</v>
      </c>
      <c r="B1372" s="1415">
        <v>9.9166699999999999</v>
      </c>
    </row>
    <row r="1373" spans="1:2" x14ac:dyDescent="0.35">
      <c r="A1373" s="1416">
        <v>36598</v>
      </c>
      <c r="B1373" s="1415">
        <v>9</v>
      </c>
    </row>
    <row r="1374" spans="1:2" x14ac:dyDescent="0.35">
      <c r="A1374" s="1416">
        <v>36599</v>
      </c>
      <c r="B1374" s="1415">
        <v>8.8333300000000001</v>
      </c>
    </row>
    <row r="1375" spans="1:2" x14ac:dyDescent="0.35">
      <c r="A1375" s="1416">
        <v>36600</v>
      </c>
      <c r="B1375" s="1415">
        <v>10.75</v>
      </c>
    </row>
    <row r="1376" spans="1:2" x14ac:dyDescent="0.35">
      <c r="A1376" s="1416">
        <v>36601</v>
      </c>
      <c r="B1376" s="1415">
        <v>11.19444</v>
      </c>
    </row>
    <row r="1377" spans="1:2" x14ac:dyDescent="0.35">
      <c r="A1377" s="1416">
        <v>36602</v>
      </c>
      <c r="B1377" s="1415">
        <v>11.05556</v>
      </c>
    </row>
    <row r="1378" spans="1:2" x14ac:dyDescent="0.35">
      <c r="A1378" s="1416">
        <v>36605</v>
      </c>
      <c r="B1378" s="1415">
        <v>10.02778</v>
      </c>
    </row>
    <row r="1379" spans="1:2" x14ac:dyDescent="0.35">
      <c r="A1379" s="1416">
        <v>36606</v>
      </c>
      <c r="B1379" s="1415">
        <v>10.91667</v>
      </c>
    </row>
    <row r="1380" spans="1:2" x14ac:dyDescent="0.35">
      <c r="A1380" s="1416">
        <v>36607</v>
      </c>
      <c r="B1380" s="1415">
        <v>10.97222</v>
      </c>
    </row>
    <row r="1381" spans="1:2" x14ac:dyDescent="0.35">
      <c r="A1381" s="1416">
        <v>36608</v>
      </c>
      <c r="B1381" s="1415">
        <v>11.08333</v>
      </c>
    </row>
    <row r="1382" spans="1:2" x14ac:dyDescent="0.35">
      <c r="A1382" s="1416">
        <v>36609</v>
      </c>
      <c r="B1382" s="1415">
        <v>10.5</v>
      </c>
    </row>
    <row r="1383" spans="1:2" x14ac:dyDescent="0.35">
      <c r="A1383" s="1416">
        <v>36612</v>
      </c>
      <c r="B1383" s="1415">
        <v>10.88889</v>
      </c>
    </row>
    <row r="1384" spans="1:2" x14ac:dyDescent="0.35">
      <c r="A1384" s="1416">
        <v>36613</v>
      </c>
      <c r="B1384" s="1415">
        <v>11.69444</v>
      </c>
    </row>
    <row r="1385" spans="1:2" x14ac:dyDescent="0.35">
      <c r="A1385" s="1416">
        <v>36614</v>
      </c>
      <c r="B1385" s="1415">
        <v>12.61111</v>
      </c>
    </row>
    <row r="1386" spans="1:2" x14ac:dyDescent="0.35">
      <c r="A1386" s="1416">
        <v>36615</v>
      </c>
      <c r="B1386" s="1415">
        <v>11.86111</v>
      </c>
    </row>
    <row r="1387" spans="1:2" x14ac:dyDescent="0.35">
      <c r="A1387" s="1416">
        <v>36616</v>
      </c>
      <c r="B1387" s="1415">
        <v>12.52778</v>
      </c>
    </row>
    <row r="1388" spans="1:2" x14ac:dyDescent="0.35">
      <c r="A1388" s="1416">
        <v>36619</v>
      </c>
      <c r="B1388" s="1415">
        <v>12.53472</v>
      </c>
    </row>
    <row r="1389" spans="1:2" x14ac:dyDescent="0.35">
      <c r="A1389" s="1416">
        <v>36620</v>
      </c>
      <c r="B1389" s="1415">
        <v>11.86111</v>
      </c>
    </row>
    <row r="1390" spans="1:2" x14ac:dyDescent="0.35">
      <c r="A1390" s="1416">
        <v>36621</v>
      </c>
      <c r="B1390" s="1415">
        <v>11.83333</v>
      </c>
    </row>
    <row r="1391" spans="1:2" x14ac:dyDescent="0.35">
      <c r="A1391" s="1416">
        <v>36622</v>
      </c>
      <c r="B1391" s="1415">
        <v>11.97222</v>
      </c>
    </row>
    <row r="1392" spans="1:2" x14ac:dyDescent="0.35">
      <c r="A1392" s="1416">
        <v>36623</v>
      </c>
      <c r="B1392" s="1415">
        <v>12.02778</v>
      </c>
    </row>
    <row r="1393" spans="1:2" x14ac:dyDescent="0.35">
      <c r="A1393" s="1416">
        <v>36626</v>
      </c>
      <c r="B1393" s="1415">
        <v>11.83333</v>
      </c>
    </row>
    <row r="1394" spans="1:2" x14ac:dyDescent="0.35">
      <c r="A1394" s="1416">
        <v>36627</v>
      </c>
      <c r="B1394" s="1415">
        <v>11.94444</v>
      </c>
    </row>
    <row r="1395" spans="1:2" x14ac:dyDescent="0.35">
      <c r="A1395" s="1416">
        <v>36628</v>
      </c>
      <c r="B1395" s="1415">
        <v>11.94444</v>
      </c>
    </row>
    <row r="1396" spans="1:2" x14ac:dyDescent="0.35">
      <c r="A1396" s="1416">
        <v>36629</v>
      </c>
      <c r="B1396" s="1415">
        <v>11.83333</v>
      </c>
    </row>
    <row r="1397" spans="1:2" x14ac:dyDescent="0.35">
      <c r="A1397" s="1416">
        <v>36630</v>
      </c>
      <c r="B1397" s="1415">
        <v>10.33333</v>
      </c>
    </row>
    <row r="1398" spans="1:2" x14ac:dyDescent="0.35">
      <c r="A1398" s="1416">
        <v>36633</v>
      </c>
      <c r="B1398" s="1415">
        <v>11.33333</v>
      </c>
    </row>
    <row r="1399" spans="1:2" x14ac:dyDescent="0.35">
      <c r="A1399" s="1416">
        <v>36634</v>
      </c>
      <c r="B1399" s="1415">
        <v>11.33333</v>
      </c>
    </row>
    <row r="1400" spans="1:2" x14ac:dyDescent="0.35">
      <c r="A1400" s="1416">
        <v>36635</v>
      </c>
      <c r="B1400" s="1415">
        <v>11.16667</v>
      </c>
    </row>
    <row r="1401" spans="1:2" x14ac:dyDescent="0.35">
      <c r="A1401" s="1416">
        <v>36636</v>
      </c>
      <c r="B1401" s="1415">
        <v>10.91667</v>
      </c>
    </row>
    <row r="1402" spans="1:2" x14ac:dyDescent="0.35">
      <c r="A1402" s="1416">
        <v>36640</v>
      </c>
      <c r="B1402" s="1415">
        <v>10.97222</v>
      </c>
    </row>
    <row r="1403" spans="1:2" x14ac:dyDescent="0.35">
      <c r="A1403" s="1416">
        <v>36641</v>
      </c>
      <c r="B1403" s="1415">
        <v>12.22222</v>
      </c>
    </row>
    <row r="1404" spans="1:2" x14ac:dyDescent="0.35">
      <c r="A1404" s="1416">
        <v>36642</v>
      </c>
      <c r="B1404" s="1415">
        <v>11.86111</v>
      </c>
    </row>
    <row r="1405" spans="1:2" x14ac:dyDescent="0.35">
      <c r="A1405" s="1416">
        <v>36643</v>
      </c>
      <c r="B1405" s="1415">
        <v>12.5</v>
      </c>
    </row>
    <row r="1406" spans="1:2" x14ac:dyDescent="0.35">
      <c r="A1406" s="1416">
        <v>36644</v>
      </c>
      <c r="B1406" s="1415">
        <v>12.88889</v>
      </c>
    </row>
    <row r="1407" spans="1:2" x14ac:dyDescent="0.35">
      <c r="A1407" s="1416">
        <v>36647</v>
      </c>
      <c r="B1407" s="1415">
        <v>13.11111</v>
      </c>
    </row>
    <row r="1408" spans="1:2" x14ac:dyDescent="0.35">
      <c r="A1408" s="1416">
        <v>36648</v>
      </c>
      <c r="B1408" s="1415">
        <v>12.47222</v>
      </c>
    </row>
    <row r="1409" spans="1:2" x14ac:dyDescent="0.35">
      <c r="A1409" s="1416">
        <v>36649</v>
      </c>
      <c r="B1409" s="1415">
        <v>12.16667</v>
      </c>
    </row>
    <row r="1410" spans="1:2" x14ac:dyDescent="0.35">
      <c r="A1410" s="1416">
        <v>36650</v>
      </c>
      <c r="B1410" s="1415">
        <v>12.47222</v>
      </c>
    </row>
    <row r="1411" spans="1:2" x14ac:dyDescent="0.35">
      <c r="A1411" s="1416">
        <v>36651</v>
      </c>
      <c r="B1411" s="1415">
        <v>12.38889</v>
      </c>
    </row>
    <row r="1412" spans="1:2" x14ac:dyDescent="0.35">
      <c r="A1412" s="1416">
        <v>36654</v>
      </c>
      <c r="B1412" s="1415">
        <v>12.16667</v>
      </c>
    </row>
    <row r="1413" spans="1:2" x14ac:dyDescent="0.35">
      <c r="A1413" s="1416">
        <v>36655</v>
      </c>
      <c r="B1413" s="1415">
        <v>12.33333</v>
      </c>
    </row>
    <row r="1414" spans="1:2" x14ac:dyDescent="0.35">
      <c r="A1414" s="1416">
        <v>36656</v>
      </c>
      <c r="B1414" s="1415">
        <v>12.02778</v>
      </c>
    </row>
    <row r="1415" spans="1:2" x14ac:dyDescent="0.35">
      <c r="A1415" s="1416">
        <v>36657</v>
      </c>
      <c r="B1415" s="1415">
        <v>11.77778</v>
      </c>
    </row>
    <row r="1416" spans="1:2" x14ac:dyDescent="0.35">
      <c r="A1416" s="1416">
        <v>36658</v>
      </c>
      <c r="B1416" s="1415">
        <v>11.86111</v>
      </c>
    </row>
    <row r="1417" spans="1:2" x14ac:dyDescent="0.35">
      <c r="A1417" s="1416">
        <v>36661</v>
      </c>
      <c r="B1417" s="1415">
        <v>12.25</v>
      </c>
    </row>
    <row r="1418" spans="1:2" x14ac:dyDescent="0.35">
      <c r="A1418" s="1416">
        <v>36662</v>
      </c>
      <c r="B1418" s="1415">
        <v>13.33333</v>
      </c>
    </row>
    <row r="1419" spans="1:2" x14ac:dyDescent="0.35">
      <c r="A1419" s="1416">
        <v>36663</v>
      </c>
      <c r="B1419" s="1415">
        <v>12.89583</v>
      </c>
    </row>
    <row r="1420" spans="1:2" x14ac:dyDescent="0.35">
      <c r="A1420" s="1416">
        <v>36664</v>
      </c>
      <c r="B1420" s="1415">
        <v>12.75</v>
      </c>
    </row>
    <row r="1421" spans="1:2" x14ac:dyDescent="0.35">
      <c r="A1421" s="1416">
        <v>36665</v>
      </c>
      <c r="B1421" s="1415">
        <v>12.61111</v>
      </c>
    </row>
    <row r="1422" spans="1:2" x14ac:dyDescent="0.35">
      <c r="A1422" s="1416">
        <v>36668</v>
      </c>
      <c r="B1422" s="1415">
        <v>12.44444</v>
      </c>
    </row>
    <row r="1423" spans="1:2" x14ac:dyDescent="0.35">
      <c r="A1423" s="1416">
        <v>36669</v>
      </c>
      <c r="B1423" s="1415">
        <v>11.94444</v>
      </c>
    </row>
    <row r="1424" spans="1:2" x14ac:dyDescent="0.35">
      <c r="A1424" s="1416">
        <v>36670</v>
      </c>
      <c r="B1424" s="1415">
        <v>12.36111</v>
      </c>
    </row>
    <row r="1425" spans="1:2" x14ac:dyDescent="0.35">
      <c r="A1425" s="1416">
        <v>36671</v>
      </c>
      <c r="B1425" s="1415">
        <v>12.25</v>
      </c>
    </row>
    <row r="1426" spans="1:2" x14ac:dyDescent="0.35">
      <c r="A1426" s="1416">
        <v>36672</v>
      </c>
      <c r="B1426" s="1415">
        <v>11.97222</v>
      </c>
    </row>
    <row r="1427" spans="1:2" x14ac:dyDescent="0.35">
      <c r="A1427" s="1416">
        <v>36676</v>
      </c>
      <c r="B1427" s="1415">
        <v>13.30555</v>
      </c>
    </row>
    <row r="1428" spans="1:2" x14ac:dyDescent="0.35">
      <c r="A1428" s="1416">
        <v>36677</v>
      </c>
      <c r="B1428" s="1415">
        <v>12.91667</v>
      </c>
    </row>
    <row r="1429" spans="1:2" x14ac:dyDescent="0.35">
      <c r="A1429" s="1416">
        <v>36678</v>
      </c>
      <c r="B1429" s="1415">
        <v>13.91667</v>
      </c>
    </row>
    <row r="1430" spans="1:2" x14ac:dyDescent="0.35">
      <c r="A1430" s="1416">
        <v>36679</v>
      </c>
      <c r="B1430" s="1415">
        <v>14.25</v>
      </c>
    </row>
    <row r="1431" spans="1:2" x14ac:dyDescent="0.35">
      <c r="A1431" s="1416">
        <v>36682</v>
      </c>
      <c r="B1431" s="1415">
        <v>14.19444</v>
      </c>
    </row>
    <row r="1432" spans="1:2" x14ac:dyDescent="0.35">
      <c r="A1432" s="1416">
        <v>36683</v>
      </c>
      <c r="B1432" s="1415">
        <v>13.55555</v>
      </c>
    </row>
    <row r="1433" spans="1:2" x14ac:dyDescent="0.35">
      <c r="A1433" s="1416">
        <v>36684</v>
      </c>
      <c r="B1433" s="1415">
        <v>13.38889</v>
      </c>
    </row>
    <row r="1434" spans="1:2" x14ac:dyDescent="0.35">
      <c r="A1434" s="1416">
        <v>36685</v>
      </c>
      <c r="B1434" s="1415">
        <v>13.36111</v>
      </c>
    </row>
    <row r="1435" spans="1:2" x14ac:dyDescent="0.35">
      <c r="A1435" s="1416">
        <v>36686</v>
      </c>
      <c r="B1435" s="1415">
        <v>13.52778</v>
      </c>
    </row>
    <row r="1436" spans="1:2" x14ac:dyDescent="0.35">
      <c r="A1436" s="1416">
        <v>36689</v>
      </c>
      <c r="B1436" s="1415">
        <v>13.11111</v>
      </c>
    </row>
    <row r="1437" spans="1:2" x14ac:dyDescent="0.35">
      <c r="A1437" s="1416">
        <v>36690</v>
      </c>
      <c r="B1437" s="1415">
        <v>13.44444</v>
      </c>
    </row>
    <row r="1438" spans="1:2" x14ac:dyDescent="0.35">
      <c r="A1438" s="1416">
        <v>36691</v>
      </c>
      <c r="B1438" s="1415">
        <v>13.33333</v>
      </c>
    </row>
    <row r="1439" spans="1:2" x14ac:dyDescent="0.35">
      <c r="A1439" s="1416">
        <v>36692</v>
      </c>
      <c r="B1439" s="1415">
        <v>13.27778</v>
      </c>
    </row>
    <row r="1440" spans="1:2" x14ac:dyDescent="0.35">
      <c r="A1440" s="1416">
        <v>36693</v>
      </c>
      <c r="B1440" s="1415">
        <v>13.13889</v>
      </c>
    </row>
    <row r="1441" spans="1:2" x14ac:dyDescent="0.35">
      <c r="A1441" s="1416">
        <v>36696</v>
      </c>
      <c r="B1441" s="1415">
        <v>13.25</v>
      </c>
    </row>
    <row r="1442" spans="1:2" x14ac:dyDescent="0.35">
      <c r="A1442" s="1416">
        <v>36697</v>
      </c>
      <c r="B1442" s="1415">
        <v>13.16667</v>
      </c>
    </row>
    <row r="1443" spans="1:2" x14ac:dyDescent="0.35">
      <c r="A1443" s="1416">
        <v>36698</v>
      </c>
      <c r="B1443" s="1415">
        <v>12.88889</v>
      </c>
    </row>
    <row r="1444" spans="1:2" x14ac:dyDescent="0.35">
      <c r="A1444" s="1416">
        <v>36699</v>
      </c>
      <c r="B1444" s="1415">
        <v>12.19444</v>
      </c>
    </row>
    <row r="1445" spans="1:2" x14ac:dyDescent="0.35">
      <c r="A1445" s="1416">
        <v>36700</v>
      </c>
      <c r="B1445" s="1415">
        <v>12.30555</v>
      </c>
    </row>
    <row r="1446" spans="1:2" x14ac:dyDescent="0.35">
      <c r="A1446" s="1416">
        <v>36703</v>
      </c>
      <c r="B1446" s="1415">
        <v>12.97222</v>
      </c>
    </row>
    <row r="1447" spans="1:2" x14ac:dyDescent="0.35">
      <c r="A1447" s="1416">
        <v>36704</v>
      </c>
      <c r="B1447" s="1415">
        <v>12.16667</v>
      </c>
    </row>
    <row r="1448" spans="1:2" x14ac:dyDescent="0.35">
      <c r="A1448" s="1416">
        <v>36705</v>
      </c>
      <c r="B1448" s="1415">
        <v>12.69444</v>
      </c>
    </row>
    <row r="1449" spans="1:2" x14ac:dyDescent="0.35">
      <c r="A1449" s="1416">
        <v>36706</v>
      </c>
      <c r="B1449" s="1415">
        <v>12.72222</v>
      </c>
    </row>
    <row r="1450" spans="1:2" x14ac:dyDescent="0.35">
      <c r="A1450" s="1416">
        <v>36707</v>
      </c>
      <c r="B1450" s="1415">
        <v>12.44444</v>
      </c>
    </row>
    <row r="1451" spans="1:2" x14ac:dyDescent="0.35">
      <c r="A1451" s="1416">
        <v>36710</v>
      </c>
      <c r="B1451" s="1415">
        <v>12.97222</v>
      </c>
    </row>
    <row r="1452" spans="1:2" x14ac:dyDescent="0.35">
      <c r="A1452" s="1416">
        <v>36712</v>
      </c>
      <c r="B1452" s="1415">
        <v>13.41667</v>
      </c>
    </row>
    <row r="1453" spans="1:2" x14ac:dyDescent="0.35">
      <c r="A1453" s="1416">
        <v>36713</v>
      </c>
      <c r="B1453" s="1415">
        <v>13.97222</v>
      </c>
    </row>
    <row r="1454" spans="1:2" x14ac:dyDescent="0.35">
      <c r="A1454" s="1416">
        <v>36714</v>
      </c>
      <c r="B1454" s="1415">
        <v>14.27778</v>
      </c>
    </row>
    <row r="1455" spans="1:2" x14ac:dyDescent="0.35">
      <c r="A1455" s="1416">
        <v>36717</v>
      </c>
      <c r="B1455" s="1415">
        <v>14.41667</v>
      </c>
    </row>
    <row r="1456" spans="1:2" x14ac:dyDescent="0.35">
      <c r="A1456" s="1416">
        <v>36718</v>
      </c>
      <c r="B1456" s="1415">
        <v>14.27778</v>
      </c>
    </row>
    <row r="1457" spans="1:2" x14ac:dyDescent="0.35">
      <c r="A1457" s="1416">
        <v>36719</v>
      </c>
      <c r="B1457" s="1415">
        <v>13.72222</v>
      </c>
    </row>
    <row r="1458" spans="1:2" x14ac:dyDescent="0.35">
      <c r="A1458" s="1416">
        <v>36720</v>
      </c>
      <c r="B1458" s="1415">
        <v>14.11111</v>
      </c>
    </row>
    <row r="1459" spans="1:2" x14ac:dyDescent="0.35">
      <c r="A1459" s="1416">
        <v>36721</v>
      </c>
      <c r="B1459" s="1415">
        <v>14.33333</v>
      </c>
    </row>
    <row r="1460" spans="1:2" x14ac:dyDescent="0.35">
      <c r="A1460" s="1416">
        <v>36724</v>
      </c>
      <c r="B1460" s="1415">
        <v>14.36111</v>
      </c>
    </row>
    <row r="1461" spans="1:2" x14ac:dyDescent="0.35">
      <c r="A1461" s="1416">
        <v>36725</v>
      </c>
      <c r="B1461" s="1415">
        <v>14</v>
      </c>
    </row>
    <row r="1462" spans="1:2" x14ac:dyDescent="0.35">
      <c r="A1462" s="1416">
        <v>36726</v>
      </c>
      <c r="B1462" s="1415">
        <v>14.38889</v>
      </c>
    </row>
    <row r="1463" spans="1:2" x14ac:dyDescent="0.35">
      <c r="A1463" s="1416">
        <v>36727</v>
      </c>
      <c r="B1463" s="1415">
        <v>15.11111</v>
      </c>
    </row>
    <row r="1464" spans="1:2" x14ac:dyDescent="0.35">
      <c r="A1464" s="1416">
        <v>36728</v>
      </c>
      <c r="B1464" s="1415">
        <v>14.08333</v>
      </c>
    </row>
    <row r="1465" spans="1:2" x14ac:dyDescent="0.35">
      <c r="A1465" s="1416">
        <v>36731</v>
      </c>
      <c r="B1465" s="1415">
        <v>14.08333</v>
      </c>
    </row>
    <row r="1466" spans="1:2" x14ac:dyDescent="0.35">
      <c r="A1466" s="1416">
        <v>36732</v>
      </c>
      <c r="B1466" s="1415">
        <v>14.5</v>
      </c>
    </row>
    <row r="1467" spans="1:2" x14ac:dyDescent="0.35">
      <c r="A1467" s="1416">
        <v>36733</v>
      </c>
      <c r="B1467" s="1415">
        <v>14.88889</v>
      </c>
    </row>
    <row r="1468" spans="1:2" x14ac:dyDescent="0.35">
      <c r="A1468" s="1416">
        <v>36734</v>
      </c>
      <c r="B1468" s="1415">
        <v>16.57639</v>
      </c>
    </row>
    <row r="1469" spans="1:2" x14ac:dyDescent="0.35">
      <c r="A1469" s="1416">
        <v>36735</v>
      </c>
      <c r="B1469" s="1415">
        <v>14.72222</v>
      </c>
    </row>
    <row r="1470" spans="1:2" x14ac:dyDescent="0.35">
      <c r="A1470" s="1416">
        <v>36738</v>
      </c>
      <c r="B1470" s="1415">
        <v>16.30556</v>
      </c>
    </row>
    <row r="1471" spans="1:2" x14ac:dyDescent="0.35">
      <c r="A1471" s="1416">
        <v>36739</v>
      </c>
      <c r="B1471" s="1415">
        <v>15.27778</v>
      </c>
    </row>
    <row r="1472" spans="1:2" x14ac:dyDescent="0.35">
      <c r="A1472" s="1416">
        <v>36740</v>
      </c>
      <c r="B1472" s="1415">
        <v>16.83333</v>
      </c>
    </row>
    <row r="1473" spans="1:2" x14ac:dyDescent="0.35">
      <c r="A1473" s="1416">
        <v>36741</v>
      </c>
      <c r="B1473" s="1415">
        <v>16.55556</v>
      </c>
    </row>
    <row r="1474" spans="1:2" x14ac:dyDescent="0.35">
      <c r="A1474" s="1416">
        <v>36742</v>
      </c>
      <c r="B1474" s="1415">
        <v>17.75</v>
      </c>
    </row>
    <row r="1475" spans="1:2" x14ac:dyDescent="0.35">
      <c r="A1475" s="1416">
        <v>36745</v>
      </c>
      <c r="B1475" s="1415">
        <v>18.22221</v>
      </c>
    </row>
    <row r="1476" spans="1:2" x14ac:dyDescent="0.35">
      <c r="A1476" s="1416">
        <v>36746</v>
      </c>
      <c r="B1476" s="1415">
        <v>17.77777</v>
      </c>
    </row>
    <row r="1477" spans="1:2" x14ac:dyDescent="0.35">
      <c r="A1477" s="1416">
        <v>36747</v>
      </c>
      <c r="B1477" s="1415">
        <v>16.61111</v>
      </c>
    </row>
    <row r="1478" spans="1:2" x14ac:dyDescent="0.35">
      <c r="A1478" s="1416">
        <v>36748</v>
      </c>
      <c r="B1478" s="1415">
        <v>16.30556</v>
      </c>
    </row>
    <row r="1479" spans="1:2" x14ac:dyDescent="0.35">
      <c r="A1479" s="1416">
        <v>36749</v>
      </c>
      <c r="B1479" s="1415">
        <v>16</v>
      </c>
    </row>
    <row r="1480" spans="1:2" x14ac:dyDescent="0.35">
      <c r="A1480" s="1416">
        <v>36752</v>
      </c>
      <c r="B1480" s="1415">
        <v>16.86111</v>
      </c>
    </row>
    <row r="1481" spans="1:2" x14ac:dyDescent="0.35">
      <c r="A1481" s="1416">
        <v>36753</v>
      </c>
      <c r="B1481" s="1415">
        <v>16.88889</v>
      </c>
    </row>
    <row r="1482" spans="1:2" x14ac:dyDescent="0.35">
      <c r="A1482" s="1416">
        <v>36754</v>
      </c>
      <c r="B1482" s="1415">
        <v>16.41667</v>
      </c>
    </row>
    <row r="1483" spans="1:2" x14ac:dyDescent="0.35">
      <c r="A1483" s="1416">
        <v>36755</v>
      </c>
      <c r="B1483" s="1415">
        <v>16.94444</v>
      </c>
    </row>
    <row r="1484" spans="1:2" x14ac:dyDescent="0.35">
      <c r="A1484" s="1416">
        <v>36756</v>
      </c>
      <c r="B1484" s="1415">
        <v>17.27777</v>
      </c>
    </row>
    <row r="1485" spans="1:2" x14ac:dyDescent="0.35">
      <c r="A1485" s="1416">
        <v>36759</v>
      </c>
      <c r="B1485" s="1415">
        <v>17.86111</v>
      </c>
    </row>
    <row r="1486" spans="1:2" x14ac:dyDescent="0.35">
      <c r="A1486" s="1416">
        <v>36760</v>
      </c>
      <c r="B1486" s="1415">
        <v>18.08333</v>
      </c>
    </row>
    <row r="1487" spans="1:2" x14ac:dyDescent="0.35">
      <c r="A1487" s="1416">
        <v>36761</v>
      </c>
      <c r="B1487" s="1415">
        <v>17.75</v>
      </c>
    </row>
    <row r="1488" spans="1:2" x14ac:dyDescent="0.35">
      <c r="A1488" s="1416">
        <v>36762</v>
      </c>
      <c r="B1488" s="1415">
        <v>17.80556</v>
      </c>
    </row>
    <row r="1489" spans="1:2" x14ac:dyDescent="0.35">
      <c r="A1489" s="1416">
        <v>36763</v>
      </c>
      <c r="B1489" s="1415">
        <v>17.44444</v>
      </c>
    </row>
    <row r="1490" spans="1:2" x14ac:dyDescent="0.35">
      <c r="A1490" s="1416">
        <v>36766</v>
      </c>
      <c r="B1490" s="1415">
        <v>17.65971</v>
      </c>
    </row>
    <row r="1491" spans="1:2" x14ac:dyDescent="0.35">
      <c r="A1491" s="1416">
        <v>36767</v>
      </c>
      <c r="B1491" s="1415">
        <v>17.88889</v>
      </c>
    </row>
    <row r="1492" spans="1:2" x14ac:dyDescent="0.35">
      <c r="A1492" s="1416">
        <v>36768</v>
      </c>
      <c r="B1492" s="1415">
        <v>18.47221</v>
      </c>
    </row>
    <row r="1493" spans="1:2" x14ac:dyDescent="0.35">
      <c r="A1493" s="1416">
        <v>36769</v>
      </c>
      <c r="B1493" s="1415">
        <v>18.13889</v>
      </c>
    </row>
    <row r="1494" spans="1:2" x14ac:dyDescent="0.35">
      <c r="A1494" s="1416">
        <v>36770</v>
      </c>
      <c r="B1494" s="1415">
        <v>18.80556</v>
      </c>
    </row>
    <row r="1495" spans="1:2" x14ac:dyDescent="0.35">
      <c r="A1495" s="1416">
        <v>36774</v>
      </c>
      <c r="B1495" s="1415">
        <v>19.05556</v>
      </c>
    </row>
    <row r="1496" spans="1:2" x14ac:dyDescent="0.35">
      <c r="A1496" s="1416">
        <v>36775</v>
      </c>
      <c r="B1496" s="1415">
        <v>18.86806</v>
      </c>
    </row>
    <row r="1497" spans="1:2" x14ac:dyDescent="0.35">
      <c r="A1497" s="1416">
        <v>36776</v>
      </c>
      <c r="B1497" s="1415">
        <v>18.61111</v>
      </c>
    </row>
    <row r="1498" spans="1:2" x14ac:dyDescent="0.35">
      <c r="A1498" s="1416">
        <v>36777</v>
      </c>
      <c r="B1498" s="1415">
        <v>18.41667</v>
      </c>
    </row>
    <row r="1499" spans="1:2" x14ac:dyDescent="0.35">
      <c r="A1499" s="1416">
        <v>36780</v>
      </c>
      <c r="B1499" s="1415">
        <v>18.83333</v>
      </c>
    </row>
    <row r="1500" spans="1:2" x14ac:dyDescent="0.35">
      <c r="A1500" s="1416">
        <v>36781</v>
      </c>
      <c r="B1500" s="1415">
        <v>19.33333</v>
      </c>
    </row>
    <row r="1501" spans="1:2" x14ac:dyDescent="0.35">
      <c r="A1501" s="1416">
        <v>36782</v>
      </c>
      <c r="B1501" s="1415">
        <v>20.44444</v>
      </c>
    </row>
    <row r="1502" spans="1:2" x14ac:dyDescent="0.35">
      <c r="A1502" s="1416">
        <v>36783</v>
      </c>
      <c r="B1502" s="1415">
        <v>19.16667</v>
      </c>
    </row>
    <row r="1503" spans="1:2" x14ac:dyDescent="0.35">
      <c r="A1503" s="1416">
        <v>36784</v>
      </c>
      <c r="B1503" s="1415">
        <v>16.77777</v>
      </c>
    </row>
    <row r="1504" spans="1:2" x14ac:dyDescent="0.35">
      <c r="A1504" s="1416">
        <v>36787</v>
      </c>
      <c r="B1504" s="1415">
        <v>15.83333</v>
      </c>
    </row>
    <row r="1505" spans="1:2" x14ac:dyDescent="0.35">
      <c r="A1505" s="1416">
        <v>36788</v>
      </c>
      <c r="B1505" s="1415">
        <v>15.13889</v>
      </c>
    </row>
    <row r="1506" spans="1:2" x14ac:dyDescent="0.35">
      <c r="A1506" s="1416">
        <v>36789</v>
      </c>
      <c r="B1506" s="1415">
        <v>15.66667</v>
      </c>
    </row>
    <row r="1507" spans="1:2" x14ac:dyDescent="0.35">
      <c r="A1507" s="1416">
        <v>36790</v>
      </c>
      <c r="B1507" s="1415">
        <v>16.22221</v>
      </c>
    </row>
    <row r="1508" spans="1:2" x14ac:dyDescent="0.35">
      <c r="A1508" s="1416">
        <v>36791</v>
      </c>
      <c r="B1508" s="1415">
        <v>16.4375</v>
      </c>
    </row>
    <row r="1509" spans="1:2" x14ac:dyDescent="0.35">
      <c r="A1509" s="1416">
        <v>36794</v>
      </c>
      <c r="B1509" s="1415">
        <v>15.97222</v>
      </c>
    </row>
    <row r="1510" spans="1:2" x14ac:dyDescent="0.35">
      <c r="A1510" s="1416">
        <v>36795</v>
      </c>
      <c r="B1510" s="1415">
        <v>17.30556</v>
      </c>
    </row>
    <row r="1511" spans="1:2" x14ac:dyDescent="0.35">
      <c r="A1511" s="1416">
        <v>36796</v>
      </c>
      <c r="B1511" s="1415">
        <v>17.5</v>
      </c>
    </row>
    <row r="1512" spans="1:2" x14ac:dyDescent="0.35">
      <c r="A1512" s="1416">
        <v>36797</v>
      </c>
      <c r="B1512" s="1415">
        <v>16.52777</v>
      </c>
    </row>
    <row r="1513" spans="1:2" x14ac:dyDescent="0.35">
      <c r="A1513" s="1416">
        <v>36798</v>
      </c>
      <c r="B1513" s="1415">
        <v>17.72221</v>
      </c>
    </row>
    <row r="1514" spans="1:2" x14ac:dyDescent="0.35">
      <c r="A1514" s="1416">
        <v>36801</v>
      </c>
      <c r="B1514" s="1415">
        <v>17.69444</v>
      </c>
    </row>
    <row r="1515" spans="1:2" x14ac:dyDescent="0.35">
      <c r="A1515" s="1416">
        <v>36802</v>
      </c>
      <c r="B1515" s="1415">
        <v>17.58333</v>
      </c>
    </row>
    <row r="1516" spans="1:2" x14ac:dyDescent="0.35">
      <c r="A1516" s="1416">
        <v>36803</v>
      </c>
      <c r="B1516" s="1415">
        <v>19.13889</v>
      </c>
    </row>
    <row r="1517" spans="1:2" x14ac:dyDescent="0.35">
      <c r="A1517" s="1416">
        <v>36804</v>
      </c>
      <c r="B1517" s="1415">
        <v>20.05556</v>
      </c>
    </row>
    <row r="1518" spans="1:2" x14ac:dyDescent="0.35">
      <c r="A1518" s="1416">
        <v>36805</v>
      </c>
      <c r="B1518" s="1415">
        <v>19.22221</v>
      </c>
    </row>
    <row r="1519" spans="1:2" x14ac:dyDescent="0.35">
      <c r="A1519" s="1416">
        <v>36808</v>
      </c>
      <c r="B1519" s="1415">
        <v>18.38889</v>
      </c>
    </row>
    <row r="1520" spans="1:2" x14ac:dyDescent="0.35">
      <c r="A1520" s="1416">
        <v>36809</v>
      </c>
      <c r="B1520" s="1415">
        <v>16.77777</v>
      </c>
    </row>
    <row r="1521" spans="1:2" x14ac:dyDescent="0.35">
      <c r="A1521" s="1416">
        <v>36810</v>
      </c>
      <c r="B1521" s="1415">
        <v>16.02777</v>
      </c>
    </row>
    <row r="1522" spans="1:2" x14ac:dyDescent="0.35">
      <c r="A1522" s="1416">
        <v>36811</v>
      </c>
      <c r="B1522" s="1415">
        <v>16.13889</v>
      </c>
    </row>
    <row r="1523" spans="1:2" x14ac:dyDescent="0.35">
      <c r="A1523" s="1416">
        <v>36812</v>
      </c>
      <c r="B1523" s="1415">
        <v>16.05556</v>
      </c>
    </row>
    <row r="1524" spans="1:2" x14ac:dyDescent="0.35">
      <c r="A1524" s="1416">
        <v>36815</v>
      </c>
      <c r="B1524" s="1415">
        <v>16.16667</v>
      </c>
    </row>
    <row r="1525" spans="1:2" x14ac:dyDescent="0.35">
      <c r="A1525" s="1416">
        <v>36816</v>
      </c>
      <c r="B1525" s="1415">
        <v>15.72222</v>
      </c>
    </row>
    <row r="1526" spans="1:2" x14ac:dyDescent="0.35">
      <c r="A1526" s="1416">
        <v>36817</v>
      </c>
      <c r="B1526" s="1415">
        <v>16.13889</v>
      </c>
    </row>
    <row r="1527" spans="1:2" x14ac:dyDescent="0.35">
      <c r="A1527" s="1416">
        <v>36818</v>
      </c>
      <c r="B1527" s="1415">
        <v>16.38889</v>
      </c>
    </row>
    <row r="1528" spans="1:2" x14ac:dyDescent="0.35">
      <c r="A1528" s="1416">
        <v>36819</v>
      </c>
      <c r="B1528" s="1415">
        <v>16.61111</v>
      </c>
    </row>
    <row r="1529" spans="1:2" x14ac:dyDescent="0.35">
      <c r="A1529" s="1416">
        <v>36822</v>
      </c>
      <c r="B1529" s="1415">
        <v>16.55556</v>
      </c>
    </row>
    <row r="1530" spans="1:2" x14ac:dyDescent="0.35">
      <c r="A1530" s="1416">
        <v>36823</v>
      </c>
      <c r="B1530" s="1415">
        <v>16.80556</v>
      </c>
    </row>
    <row r="1531" spans="1:2" x14ac:dyDescent="0.35">
      <c r="A1531" s="1416">
        <v>36824</v>
      </c>
      <c r="B1531" s="1415">
        <v>16.75</v>
      </c>
    </row>
    <row r="1532" spans="1:2" x14ac:dyDescent="0.35">
      <c r="A1532" s="1416">
        <v>36825</v>
      </c>
      <c r="B1532" s="1415">
        <v>17</v>
      </c>
    </row>
    <row r="1533" spans="1:2" x14ac:dyDescent="0.35">
      <c r="A1533" s="1416">
        <v>36826</v>
      </c>
      <c r="B1533" s="1415">
        <v>17.27777</v>
      </c>
    </row>
    <row r="1534" spans="1:2" x14ac:dyDescent="0.35">
      <c r="A1534" s="1416">
        <v>36829</v>
      </c>
      <c r="B1534" s="1415">
        <v>16.78471</v>
      </c>
    </row>
    <row r="1535" spans="1:2" x14ac:dyDescent="0.35">
      <c r="A1535" s="1416">
        <v>36830</v>
      </c>
      <c r="B1535" s="1415">
        <v>17.38889</v>
      </c>
    </row>
    <row r="1536" spans="1:2" x14ac:dyDescent="0.35">
      <c r="A1536" s="1416">
        <v>36831</v>
      </c>
      <c r="B1536" s="1415">
        <v>17.19444</v>
      </c>
    </row>
    <row r="1537" spans="1:2" x14ac:dyDescent="0.35">
      <c r="A1537" s="1416">
        <v>36832</v>
      </c>
      <c r="B1537" s="1415">
        <v>17.77777</v>
      </c>
    </row>
    <row r="1538" spans="1:2" x14ac:dyDescent="0.35">
      <c r="A1538" s="1416">
        <v>36833</v>
      </c>
      <c r="B1538" s="1415">
        <v>17.38889</v>
      </c>
    </row>
    <row r="1539" spans="1:2" x14ac:dyDescent="0.35">
      <c r="A1539" s="1416">
        <v>36836</v>
      </c>
      <c r="B1539" s="1415">
        <v>17.41667</v>
      </c>
    </row>
    <row r="1540" spans="1:2" x14ac:dyDescent="0.35">
      <c r="A1540" s="1416">
        <v>36837</v>
      </c>
      <c r="B1540" s="1415">
        <v>17.30556</v>
      </c>
    </row>
    <row r="1541" spans="1:2" x14ac:dyDescent="0.35">
      <c r="A1541" s="1416">
        <v>36838</v>
      </c>
      <c r="B1541" s="1415">
        <v>17.33333</v>
      </c>
    </row>
    <row r="1542" spans="1:2" x14ac:dyDescent="0.35">
      <c r="A1542" s="1416">
        <v>36839</v>
      </c>
      <c r="B1542" s="1415">
        <v>16.86111</v>
      </c>
    </row>
    <row r="1543" spans="1:2" x14ac:dyDescent="0.35">
      <c r="A1543" s="1416">
        <v>36840</v>
      </c>
      <c r="B1543" s="1415">
        <v>16.80556</v>
      </c>
    </row>
    <row r="1544" spans="1:2" x14ac:dyDescent="0.35">
      <c r="A1544" s="1416">
        <v>36843</v>
      </c>
      <c r="B1544" s="1415">
        <v>16.88889</v>
      </c>
    </row>
    <row r="1545" spans="1:2" x14ac:dyDescent="0.35">
      <c r="A1545" s="1416">
        <v>36844</v>
      </c>
      <c r="B1545" s="1415">
        <v>16.77777</v>
      </c>
    </row>
    <row r="1546" spans="1:2" x14ac:dyDescent="0.35">
      <c r="A1546" s="1416">
        <v>36845</v>
      </c>
      <c r="B1546" s="1415">
        <v>17.44444</v>
      </c>
    </row>
    <row r="1547" spans="1:2" x14ac:dyDescent="0.35">
      <c r="A1547" s="1416">
        <v>36846</v>
      </c>
      <c r="B1547" s="1415">
        <v>16.69444</v>
      </c>
    </row>
    <row r="1548" spans="1:2" x14ac:dyDescent="0.35">
      <c r="A1548" s="1416">
        <v>36847</v>
      </c>
      <c r="B1548" s="1415">
        <v>17.52777</v>
      </c>
    </row>
    <row r="1549" spans="1:2" x14ac:dyDescent="0.35">
      <c r="A1549" s="1416">
        <v>36850</v>
      </c>
      <c r="B1549" s="1415">
        <v>17.77777</v>
      </c>
    </row>
    <row r="1550" spans="1:2" x14ac:dyDescent="0.35">
      <c r="A1550" s="1416">
        <v>36851</v>
      </c>
      <c r="B1550" s="1415">
        <v>18.58333</v>
      </c>
    </row>
    <row r="1551" spans="1:2" x14ac:dyDescent="0.35">
      <c r="A1551" s="1416">
        <v>36852</v>
      </c>
      <c r="B1551" s="1415">
        <v>17.88889</v>
      </c>
    </row>
    <row r="1552" spans="1:2" x14ac:dyDescent="0.35">
      <c r="A1552" s="1416">
        <v>36854</v>
      </c>
      <c r="B1552" s="1415">
        <v>18.72221</v>
      </c>
    </row>
    <row r="1553" spans="1:2" x14ac:dyDescent="0.35">
      <c r="A1553" s="1416">
        <v>36857</v>
      </c>
      <c r="B1553" s="1415">
        <v>17.97221</v>
      </c>
    </row>
    <row r="1554" spans="1:2" x14ac:dyDescent="0.35">
      <c r="A1554" s="1416">
        <v>36858</v>
      </c>
      <c r="B1554" s="1415">
        <v>15.09722</v>
      </c>
    </row>
    <row r="1555" spans="1:2" x14ac:dyDescent="0.35">
      <c r="A1555" s="1416">
        <v>36859</v>
      </c>
      <c r="B1555" s="1415">
        <v>15.77083</v>
      </c>
    </row>
    <row r="1556" spans="1:2" x14ac:dyDescent="0.35">
      <c r="A1556" s="1416">
        <v>36860</v>
      </c>
      <c r="B1556" s="1415">
        <v>15.55555</v>
      </c>
    </row>
    <row r="1557" spans="1:2" x14ac:dyDescent="0.35">
      <c r="A1557" s="1416">
        <v>36861</v>
      </c>
      <c r="B1557" s="1415">
        <v>15.55555</v>
      </c>
    </row>
    <row r="1558" spans="1:2" x14ac:dyDescent="0.35">
      <c r="A1558" s="1416">
        <v>36864</v>
      </c>
      <c r="B1558" s="1415">
        <v>15.66667</v>
      </c>
    </row>
    <row r="1559" spans="1:2" x14ac:dyDescent="0.35">
      <c r="A1559" s="1416">
        <v>36865</v>
      </c>
      <c r="B1559" s="1415">
        <v>15.94444</v>
      </c>
    </row>
    <row r="1560" spans="1:2" x14ac:dyDescent="0.35">
      <c r="A1560" s="1416">
        <v>36866</v>
      </c>
      <c r="B1560" s="1415">
        <v>15.30555</v>
      </c>
    </row>
    <row r="1561" spans="1:2" x14ac:dyDescent="0.35">
      <c r="A1561" s="1416">
        <v>36867</v>
      </c>
      <c r="B1561" s="1415">
        <v>15.27778</v>
      </c>
    </row>
    <row r="1562" spans="1:2" x14ac:dyDescent="0.35">
      <c r="A1562" s="1416">
        <v>36868</v>
      </c>
      <c r="B1562" s="1415">
        <v>16.27777</v>
      </c>
    </row>
    <row r="1563" spans="1:2" x14ac:dyDescent="0.35">
      <c r="A1563" s="1416">
        <v>36871</v>
      </c>
      <c r="B1563" s="1415">
        <v>16.16667</v>
      </c>
    </row>
    <row r="1564" spans="1:2" x14ac:dyDescent="0.35">
      <c r="A1564" s="1416">
        <v>36872</v>
      </c>
      <c r="B1564" s="1415">
        <v>15.38889</v>
      </c>
    </row>
    <row r="1565" spans="1:2" x14ac:dyDescent="0.35">
      <c r="A1565" s="1416">
        <v>36873</v>
      </c>
      <c r="B1565" s="1415">
        <v>15.44444</v>
      </c>
    </row>
    <row r="1566" spans="1:2" x14ac:dyDescent="0.35">
      <c r="A1566" s="1416">
        <v>36874</v>
      </c>
      <c r="B1566" s="1415">
        <v>15.30555</v>
      </c>
    </row>
    <row r="1567" spans="1:2" x14ac:dyDescent="0.35">
      <c r="A1567" s="1416">
        <v>36875</v>
      </c>
      <c r="B1567" s="1415">
        <v>14.84028</v>
      </c>
    </row>
    <row r="1568" spans="1:2" x14ac:dyDescent="0.35">
      <c r="A1568" s="1416">
        <v>36878</v>
      </c>
      <c r="B1568" s="1415">
        <v>15.72222</v>
      </c>
    </row>
    <row r="1569" spans="1:2" x14ac:dyDescent="0.35">
      <c r="A1569" s="1416">
        <v>36879</v>
      </c>
      <c r="B1569" s="1415">
        <v>19.75</v>
      </c>
    </row>
    <row r="1570" spans="1:2" x14ac:dyDescent="0.35">
      <c r="A1570" s="1416">
        <v>36880</v>
      </c>
      <c r="B1570" s="1415">
        <v>20.88889</v>
      </c>
    </row>
    <row r="1571" spans="1:2" x14ac:dyDescent="0.35">
      <c r="A1571" s="1416">
        <v>36881</v>
      </c>
      <c r="B1571" s="1415">
        <v>21.11111</v>
      </c>
    </row>
    <row r="1572" spans="1:2" x14ac:dyDescent="0.35">
      <c r="A1572" s="1416">
        <v>36882</v>
      </c>
      <c r="B1572" s="1415">
        <v>21.22221</v>
      </c>
    </row>
    <row r="1573" spans="1:2" x14ac:dyDescent="0.35">
      <c r="A1573" s="1416">
        <v>36886</v>
      </c>
      <c r="B1573" s="1415">
        <v>22.11111</v>
      </c>
    </row>
    <row r="1574" spans="1:2" x14ac:dyDescent="0.35">
      <c r="A1574" s="1416">
        <v>36887</v>
      </c>
      <c r="B1574" s="1415">
        <v>22.02777</v>
      </c>
    </row>
    <row r="1575" spans="1:2" x14ac:dyDescent="0.35">
      <c r="A1575" s="1416">
        <v>36888</v>
      </c>
      <c r="B1575" s="1415">
        <v>22.13889</v>
      </c>
    </row>
    <row r="1576" spans="1:2" x14ac:dyDescent="0.35">
      <c r="A1576" s="1416">
        <v>36889</v>
      </c>
      <c r="B1576" s="1415">
        <v>21.86111</v>
      </c>
    </row>
    <row r="1577" spans="1:2" x14ac:dyDescent="0.35">
      <c r="A1577" s="1416">
        <v>36893</v>
      </c>
      <c r="B1577" s="1415">
        <v>20.44444</v>
      </c>
    </row>
    <row r="1578" spans="1:2" x14ac:dyDescent="0.35">
      <c r="A1578" s="1416">
        <v>36894</v>
      </c>
      <c r="B1578" s="1415">
        <v>20.86111</v>
      </c>
    </row>
    <row r="1579" spans="1:2" x14ac:dyDescent="0.35">
      <c r="A1579" s="1416">
        <v>36895</v>
      </c>
      <c r="B1579" s="1415">
        <v>21.30556</v>
      </c>
    </row>
    <row r="1580" spans="1:2" x14ac:dyDescent="0.35">
      <c r="A1580" s="1416">
        <v>36896</v>
      </c>
      <c r="B1580" s="1415">
        <v>21.38889</v>
      </c>
    </row>
    <row r="1581" spans="1:2" x14ac:dyDescent="0.35">
      <c r="A1581" s="1416">
        <v>36899</v>
      </c>
      <c r="B1581" s="1415">
        <v>22.02777</v>
      </c>
    </row>
    <row r="1582" spans="1:2" x14ac:dyDescent="0.35">
      <c r="A1582" s="1416">
        <v>36900</v>
      </c>
      <c r="B1582" s="1415">
        <v>23.27777</v>
      </c>
    </row>
    <row r="1583" spans="1:2" x14ac:dyDescent="0.35">
      <c r="A1583" s="1416">
        <v>36901</v>
      </c>
      <c r="B1583" s="1415">
        <v>22.41667</v>
      </c>
    </row>
    <row r="1584" spans="1:2" x14ac:dyDescent="0.35">
      <c r="A1584" s="1416">
        <v>36902</v>
      </c>
      <c r="B1584" s="1415">
        <v>21.80556</v>
      </c>
    </row>
    <row r="1585" spans="1:2" x14ac:dyDescent="0.35">
      <c r="A1585" s="1416">
        <v>36903</v>
      </c>
      <c r="B1585" s="1415">
        <v>21.77777</v>
      </c>
    </row>
    <row r="1586" spans="1:2" x14ac:dyDescent="0.35">
      <c r="A1586" s="1416">
        <v>36907</v>
      </c>
      <c r="B1586" s="1415">
        <v>22.88889</v>
      </c>
    </row>
    <row r="1587" spans="1:2" x14ac:dyDescent="0.35">
      <c r="A1587" s="1416">
        <v>36908</v>
      </c>
      <c r="B1587" s="1415">
        <v>22.86111</v>
      </c>
    </row>
    <row r="1588" spans="1:2" x14ac:dyDescent="0.35">
      <c r="A1588" s="1416">
        <v>36909</v>
      </c>
      <c r="B1588" s="1415">
        <v>21.77777</v>
      </c>
    </row>
    <row r="1589" spans="1:2" x14ac:dyDescent="0.35">
      <c r="A1589" s="1416">
        <v>36910</v>
      </c>
      <c r="B1589" s="1415">
        <v>22.22221</v>
      </c>
    </row>
    <row r="1590" spans="1:2" x14ac:dyDescent="0.35">
      <c r="A1590" s="1416">
        <v>36913</v>
      </c>
      <c r="B1590" s="1415">
        <v>21.5</v>
      </c>
    </row>
    <row r="1591" spans="1:2" x14ac:dyDescent="0.35">
      <c r="A1591" s="1416">
        <v>36914</v>
      </c>
      <c r="B1591" s="1415">
        <v>23.02777</v>
      </c>
    </row>
    <row r="1592" spans="1:2" x14ac:dyDescent="0.35">
      <c r="A1592" s="1416">
        <v>36915</v>
      </c>
      <c r="B1592" s="1415">
        <v>22.75</v>
      </c>
    </row>
    <row r="1593" spans="1:2" x14ac:dyDescent="0.35">
      <c r="A1593" s="1416">
        <v>36916</v>
      </c>
      <c r="B1593" s="1415">
        <v>22.88889</v>
      </c>
    </row>
    <row r="1594" spans="1:2" x14ac:dyDescent="0.35">
      <c r="A1594" s="1416">
        <v>36917</v>
      </c>
      <c r="B1594" s="1415">
        <v>23.94444</v>
      </c>
    </row>
    <row r="1595" spans="1:2" x14ac:dyDescent="0.35">
      <c r="A1595" s="1416">
        <v>36920</v>
      </c>
      <c r="B1595" s="1415">
        <v>24.38889</v>
      </c>
    </row>
    <row r="1596" spans="1:2" x14ac:dyDescent="0.35">
      <c r="A1596" s="1416">
        <v>36921</v>
      </c>
      <c r="B1596" s="1415">
        <v>24.25</v>
      </c>
    </row>
    <row r="1597" spans="1:2" x14ac:dyDescent="0.35">
      <c r="A1597" s="1416">
        <v>36922</v>
      </c>
      <c r="B1597" s="1415">
        <v>24.30556</v>
      </c>
    </row>
    <row r="1598" spans="1:2" x14ac:dyDescent="0.35">
      <c r="A1598" s="1416">
        <v>36923</v>
      </c>
      <c r="B1598" s="1415">
        <v>24.41667</v>
      </c>
    </row>
    <row r="1599" spans="1:2" x14ac:dyDescent="0.35">
      <c r="A1599" s="1416">
        <v>36924</v>
      </c>
      <c r="B1599" s="1415">
        <v>24.33333</v>
      </c>
    </row>
    <row r="1600" spans="1:2" x14ac:dyDescent="0.35">
      <c r="A1600" s="1416">
        <v>36927</v>
      </c>
      <c r="B1600" s="1415">
        <v>23.88889</v>
      </c>
    </row>
    <row r="1601" spans="1:2" x14ac:dyDescent="0.35">
      <c r="A1601" s="1416">
        <v>36928</v>
      </c>
      <c r="B1601" s="1415">
        <v>24.58333</v>
      </c>
    </row>
    <row r="1602" spans="1:2" x14ac:dyDescent="0.35">
      <c r="A1602" s="1416">
        <v>36929</v>
      </c>
      <c r="B1602" s="1415">
        <v>25.625</v>
      </c>
    </row>
    <row r="1603" spans="1:2" x14ac:dyDescent="0.35">
      <c r="A1603" s="1416">
        <v>36930</v>
      </c>
      <c r="B1603" s="1415">
        <v>25.95833</v>
      </c>
    </row>
    <row r="1604" spans="1:2" x14ac:dyDescent="0.35">
      <c r="A1604" s="1416">
        <v>36931</v>
      </c>
      <c r="B1604" s="1415">
        <v>25.25</v>
      </c>
    </row>
    <row r="1605" spans="1:2" x14ac:dyDescent="0.35">
      <c r="A1605" s="1416">
        <v>36934</v>
      </c>
      <c r="B1605" s="1415">
        <v>24.08333</v>
      </c>
    </row>
    <row r="1606" spans="1:2" x14ac:dyDescent="0.35">
      <c r="A1606" s="1416">
        <v>36935</v>
      </c>
      <c r="B1606" s="1415">
        <v>24.58333</v>
      </c>
    </row>
    <row r="1607" spans="1:2" x14ac:dyDescent="0.35">
      <c r="A1607" s="1416">
        <v>36936</v>
      </c>
      <c r="B1607" s="1415">
        <v>24.375</v>
      </c>
    </row>
    <row r="1608" spans="1:2" x14ac:dyDescent="0.35">
      <c r="A1608" s="1416">
        <v>36937</v>
      </c>
      <c r="B1608" s="1415">
        <v>24.58333</v>
      </c>
    </row>
    <row r="1609" spans="1:2" x14ac:dyDescent="0.35">
      <c r="A1609" s="1416">
        <v>36938</v>
      </c>
      <c r="B1609" s="1415">
        <v>24.40625</v>
      </c>
    </row>
    <row r="1610" spans="1:2" x14ac:dyDescent="0.35">
      <c r="A1610" s="1416">
        <v>36942</v>
      </c>
      <c r="B1610" s="1415">
        <v>23.75</v>
      </c>
    </row>
    <row r="1611" spans="1:2" x14ac:dyDescent="0.35">
      <c r="A1611" s="1416">
        <v>36943</v>
      </c>
      <c r="B1611" s="1415">
        <v>23.875</v>
      </c>
    </row>
    <row r="1612" spans="1:2" x14ac:dyDescent="0.35">
      <c r="A1612" s="1416">
        <v>36944</v>
      </c>
      <c r="B1612" s="1415">
        <v>23.20833</v>
      </c>
    </row>
    <row r="1613" spans="1:2" x14ac:dyDescent="0.35">
      <c r="A1613" s="1416">
        <v>36945</v>
      </c>
      <c r="B1613" s="1415">
        <v>23.46875</v>
      </c>
    </row>
    <row r="1614" spans="1:2" x14ac:dyDescent="0.35">
      <c r="A1614" s="1416">
        <v>36948</v>
      </c>
      <c r="B1614" s="1415">
        <v>23.54167</v>
      </c>
    </row>
    <row r="1615" spans="1:2" x14ac:dyDescent="0.35">
      <c r="A1615" s="1416">
        <v>36949</v>
      </c>
      <c r="B1615" s="1415">
        <v>24.70833</v>
      </c>
    </row>
    <row r="1616" spans="1:2" x14ac:dyDescent="0.35">
      <c r="A1616" s="1416">
        <v>36950</v>
      </c>
      <c r="B1616" s="1415">
        <v>23.41667</v>
      </c>
    </row>
    <row r="1617" spans="1:2" x14ac:dyDescent="0.35">
      <c r="A1617" s="1416">
        <v>36951</v>
      </c>
      <c r="B1617" s="1415">
        <v>22.58333</v>
      </c>
    </row>
    <row r="1618" spans="1:2" x14ac:dyDescent="0.35">
      <c r="A1618" s="1416">
        <v>36952</v>
      </c>
      <c r="B1618" s="1415">
        <v>23.25</v>
      </c>
    </row>
    <row r="1619" spans="1:2" x14ac:dyDescent="0.35">
      <c r="A1619" s="1416">
        <v>36955</v>
      </c>
      <c r="B1619" s="1415">
        <v>23.54167</v>
      </c>
    </row>
    <row r="1620" spans="1:2" x14ac:dyDescent="0.35">
      <c r="A1620" s="1416">
        <v>36956</v>
      </c>
      <c r="B1620" s="1415">
        <v>24.25</v>
      </c>
    </row>
    <row r="1621" spans="1:2" x14ac:dyDescent="0.35">
      <c r="A1621" s="1416">
        <v>36957</v>
      </c>
      <c r="B1621" s="1415">
        <v>25.125</v>
      </c>
    </row>
    <row r="1622" spans="1:2" x14ac:dyDescent="0.35">
      <c r="A1622" s="1416">
        <v>36958</v>
      </c>
      <c r="B1622" s="1415">
        <v>24.40625</v>
      </c>
    </row>
    <row r="1623" spans="1:2" x14ac:dyDescent="0.35">
      <c r="A1623" s="1416">
        <v>36959</v>
      </c>
      <c r="B1623" s="1415">
        <v>25.45833</v>
      </c>
    </row>
    <row r="1624" spans="1:2" x14ac:dyDescent="0.35">
      <c r="A1624" s="1416">
        <v>36962</v>
      </c>
      <c r="B1624" s="1415">
        <v>24.83333</v>
      </c>
    </row>
    <row r="1625" spans="1:2" x14ac:dyDescent="0.35">
      <c r="A1625" s="1416">
        <v>36963</v>
      </c>
      <c r="B1625" s="1415">
        <v>22.54167</v>
      </c>
    </row>
    <row r="1626" spans="1:2" x14ac:dyDescent="0.35">
      <c r="A1626" s="1416">
        <v>36964</v>
      </c>
      <c r="B1626" s="1415">
        <v>23</v>
      </c>
    </row>
    <row r="1627" spans="1:2" x14ac:dyDescent="0.35">
      <c r="A1627" s="1416">
        <v>36965</v>
      </c>
      <c r="B1627" s="1415">
        <v>23.4375</v>
      </c>
    </row>
    <row r="1628" spans="1:2" x14ac:dyDescent="0.35">
      <c r="A1628" s="1416">
        <v>36966</v>
      </c>
      <c r="B1628" s="1415">
        <v>22.66667</v>
      </c>
    </row>
    <row r="1629" spans="1:2" x14ac:dyDescent="0.35">
      <c r="A1629" s="1416">
        <v>36969</v>
      </c>
      <c r="B1629" s="1415">
        <v>23.20833</v>
      </c>
    </row>
    <row r="1630" spans="1:2" x14ac:dyDescent="0.35">
      <c r="A1630" s="1416">
        <v>36970</v>
      </c>
      <c r="B1630" s="1415">
        <v>21.41667</v>
      </c>
    </row>
    <row r="1631" spans="1:2" x14ac:dyDescent="0.35">
      <c r="A1631" s="1416">
        <v>36971</v>
      </c>
      <c r="B1631" s="1415">
        <v>21.91667</v>
      </c>
    </row>
    <row r="1632" spans="1:2" x14ac:dyDescent="0.35">
      <c r="A1632" s="1416">
        <v>36972</v>
      </c>
      <c r="B1632" s="1415">
        <v>22.66667</v>
      </c>
    </row>
    <row r="1633" spans="1:2" x14ac:dyDescent="0.35">
      <c r="A1633" s="1416">
        <v>36973</v>
      </c>
      <c r="B1633" s="1415">
        <v>22.58333</v>
      </c>
    </row>
    <row r="1634" spans="1:2" x14ac:dyDescent="0.35">
      <c r="A1634" s="1416">
        <v>36976</v>
      </c>
      <c r="B1634" s="1415">
        <v>23.75</v>
      </c>
    </row>
    <row r="1635" spans="1:2" x14ac:dyDescent="0.35">
      <c r="A1635" s="1416">
        <v>36977</v>
      </c>
      <c r="B1635" s="1415">
        <v>23.66667</v>
      </c>
    </row>
    <row r="1636" spans="1:2" x14ac:dyDescent="0.35">
      <c r="A1636" s="1416">
        <v>36978</v>
      </c>
      <c r="B1636" s="1415">
        <v>22.5</v>
      </c>
    </row>
    <row r="1637" spans="1:2" x14ac:dyDescent="0.35">
      <c r="A1637" s="1416">
        <v>36979</v>
      </c>
      <c r="B1637" s="1415">
        <v>22.20833</v>
      </c>
    </row>
    <row r="1638" spans="1:2" x14ac:dyDescent="0.35">
      <c r="A1638" s="1416">
        <v>36980</v>
      </c>
      <c r="B1638" s="1415">
        <v>21.875</v>
      </c>
    </row>
    <row r="1639" spans="1:2" x14ac:dyDescent="0.35">
      <c r="A1639" s="1416">
        <v>36983</v>
      </c>
      <c r="B1639" s="1415">
        <v>21.16667</v>
      </c>
    </row>
    <row r="1640" spans="1:2" x14ac:dyDescent="0.35">
      <c r="A1640" s="1416">
        <v>36984</v>
      </c>
      <c r="B1640" s="1415">
        <v>20.42708</v>
      </c>
    </row>
    <row r="1641" spans="1:2" x14ac:dyDescent="0.35">
      <c r="A1641" s="1416">
        <v>36985</v>
      </c>
      <c r="B1641" s="1415">
        <v>20.66667</v>
      </c>
    </row>
    <row r="1642" spans="1:2" x14ac:dyDescent="0.35">
      <c r="A1642" s="1416">
        <v>36986</v>
      </c>
      <c r="B1642" s="1415">
        <v>21.33333</v>
      </c>
    </row>
    <row r="1643" spans="1:2" x14ac:dyDescent="0.35">
      <c r="A1643" s="1416">
        <v>36987</v>
      </c>
      <c r="B1643" s="1415">
        <v>21.33333</v>
      </c>
    </row>
    <row r="1644" spans="1:2" x14ac:dyDescent="0.35">
      <c r="A1644" s="1416">
        <v>36990</v>
      </c>
      <c r="B1644" s="1415">
        <v>20.959990000000001</v>
      </c>
    </row>
    <row r="1645" spans="1:2" x14ac:dyDescent="0.35">
      <c r="A1645" s="1416">
        <v>36991</v>
      </c>
      <c r="B1645" s="1415">
        <v>20.7</v>
      </c>
    </row>
    <row r="1646" spans="1:2" x14ac:dyDescent="0.35">
      <c r="A1646" s="1416">
        <v>36992</v>
      </c>
      <c r="B1646" s="1415">
        <v>20.8</v>
      </c>
    </row>
    <row r="1647" spans="1:2" x14ac:dyDescent="0.35">
      <c r="A1647" s="1416">
        <v>36993</v>
      </c>
      <c r="B1647" s="1415">
        <v>22.073329999999999</v>
      </c>
    </row>
    <row r="1648" spans="1:2" x14ac:dyDescent="0.35">
      <c r="A1648" s="1416">
        <v>36997</v>
      </c>
      <c r="B1648" s="1415">
        <v>21.34666</v>
      </c>
    </row>
    <row r="1649" spans="1:2" x14ac:dyDescent="0.35">
      <c r="A1649" s="1416">
        <v>36998</v>
      </c>
      <c r="B1649" s="1415">
        <v>21.733339999999998</v>
      </c>
    </row>
    <row r="1650" spans="1:2" x14ac:dyDescent="0.35">
      <c r="A1650" s="1416">
        <v>36999</v>
      </c>
      <c r="B1650" s="1415">
        <v>22.3</v>
      </c>
    </row>
    <row r="1651" spans="1:2" x14ac:dyDescent="0.35">
      <c r="A1651" s="1416">
        <v>37000</v>
      </c>
      <c r="B1651" s="1415">
        <v>22.600010000000001</v>
      </c>
    </row>
    <row r="1652" spans="1:2" x14ac:dyDescent="0.35">
      <c r="A1652" s="1416">
        <v>37001</v>
      </c>
      <c r="B1652" s="1415">
        <v>21.393329999999999</v>
      </c>
    </row>
    <row r="1653" spans="1:2" x14ac:dyDescent="0.35">
      <c r="A1653" s="1416">
        <v>37004</v>
      </c>
      <c r="B1653" s="1415">
        <v>21.766660000000002</v>
      </c>
    </row>
    <row r="1654" spans="1:2" x14ac:dyDescent="0.35">
      <c r="A1654" s="1416">
        <v>37005</v>
      </c>
      <c r="B1654" s="1415">
        <v>21.94</v>
      </c>
    </row>
    <row r="1655" spans="1:2" x14ac:dyDescent="0.35">
      <c r="A1655" s="1416">
        <v>37006</v>
      </c>
      <c r="B1655" s="1415">
        <v>22.16667</v>
      </c>
    </row>
    <row r="1656" spans="1:2" x14ac:dyDescent="0.35">
      <c r="A1656" s="1416">
        <v>37007</v>
      </c>
      <c r="B1656" s="1415">
        <v>21.866669999999999</v>
      </c>
    </row>
    <row r="1657" spans="1:2" x14ac:dyDescent="0.35">
      <c r="A1657" s="1416">
        <v>37008</v>
      </c>
      <c r="B1657" s="1415">
        <v>22.033329999999999</v>
      </c>
    </row>
    <row r="1658" spans="1:2" x14ac:dyDescent="0.35">
      <c r="A1658" s="1416">
        <v>37011</v>
      </c>
      <c r="B1658" s="1415">
        <v>20.733339999999998</v>
      </c>
    </row>
    <row r="1659" spans="1:2" x14ac:dyDescent="0.35">
      <c r="A1659" s="1416">
        <v>37012</v>
      </c>
      <c r="B1659" s="1415">
        <v>21.273330000000001</v>
      </c>
    </row>
    <row r="1660" spans="1:2" x14ac:dyDescent="0.35">
      <c r="A1660" s="1416">
        <v>37013</v>
      </c>
      <c r="B1660" s="1415">
        <v>23.44</v>
      </c>
    </row>
    <row r="1661" spans="1:2" x14ac:dyDescent="0.35">
      <c r="A1661" s="1416">
        <v>37014</v>
      </c>
      <c r="B1661" s="1415">
        <v>23.553329999999999</v>
      </c>
    </row>
    <row r="1662" spans="1:2" x14ac:dyDescent="0.35">
      <c r="A1662" s="1416">
        <v>37015</v>
      </c>
      <c r="B1662" s="1415">
        <v>24.413329999999998</v>
      </c>
    </row>
    <row r="1663" spans="1:2" x14ac:dyDescent="0.35">
      <c r="A1663" s="1416">
        <v>37018</v>
      </c>
      <c r="B1663" s="1415">
        <v>25</v>
      </c>
    </row>
    <row r="1664" spans="1:2" x14ac:dyDescent="0.35">
      <c r="A1664" s="1416">
        <v>37019</v>
      </c>
      <c r="B1664" s="1415">
        <v>24.64</v>
      </c>
    </row>
    <row r="1665" spans="1:2" x14ac:dyDescent="0.35">
      <c r="A1665" s="1416">
        <v>37020</v>
      </c>
      <c r="B1665" s="1415">
        <v>24.773330000000001</v>
      </c>
    </row>
    <row r="1666" spans="1:2" x14ac:dyDescent="0.35">
      <c r="A1666" s="1416">
        <v>37021</v>
      </c>
      <c r="B1666" s="1415">
        <v>24.593340000000001</v>
      </c>
    </row>
    <row r="1667" spans="1:2" x14ac:dyDescent="0.35">
      <c r="A1667" s="1416">
        <v>37022</v>
      </c>
      <c r="B1667" s="1415">
        <v>24.68666</v>
      </c>
    </row>
    <row r="1668" spans="1:2" x14ac:dyDescent="0.35">
      <c r="A1668" s="1416">
        <v>37025</v>
      </c>
      <c r="B1668" s="1415">
        <v>24.759989999999998</v>
      </c>
    </row>
    <row r="1669" spans="1:2" x14ac:dyDescent="0.35">
      <c r="A1669" s="1416">
        <v>37026</v>
      </c>
      <c r="B1669" s="1415">
        <v>24.413329999999998</v>
      </c>
    </row>
    <row r="1670" spans="1:2" x14ac:dyDescent="0.35">
      <c r="A1670" s="1416">
        <v>37027</v>
      </c>
      <c r="B1670" s="1415">
        <v>26.066669999999998</v>
      </c>
    </row>
    <row r="1671" spans="1:2" x14ac:dyDescent="0.35">
      <c r="A1671" s="1416">
        <v>37028</v>
      </c>
      <c r="B1671" s="1415">
        <v>24.14</v>
      </c>
    </row>
    <row r="1672" spans="1:2" x14ac:dyDescent="0.35">
      <c r="A1672" s="1416">
        <v>37029</v>
      </c>
      <c r="B1672" s="1415">
        <v>23.66667</v>
      </c>
    </row>
    <row r="1673" spans="1:2" x14ac:dyDescent="0.35">
      <c r="A1673" s="1416">
        <v>37032</v>
      </c>
      <c r="B1673" s="1415">
        <v>22.319990000000001</v>
      </c>
    </row>
    <row r="1674" spans="1:2" x14ac:dyDescent="0.35">
      <c r="A1674" s="1416">
        <v>37033</v>
      </c>
      <c r="B1674" s="1415">
        <v>22.733339999999998</v>
      </c>
    </row>
    <row r="1675" spans="1:2" x14ac:dyDescent="0.35">
      <c r="A1675" s="1416">
        <v>37034</v>
      </c>
      <c r="B1675" s="1415">
        <v>21.84</v>
      </c>
    </row>
    <row r="1676" spans="1:2" x14ac:dyDescent="0.35">
      <c r="A1676" s="1416">
        <v>37035</v>
      </c>
      <c r="B1676" s="1415">
        <v>22.68666</v>
      </c>
    </row>
    <row r="1677" spans="1:2" x14ac:dyDescent="0.35">
      <c r="A1677" s="1416">
        <v>37036</v>
      </c>
      <c r="B1677" s="1415">
        <v>22.633330000000001</v>
      </c>
    </row>
    <row r="1678" spans="1:2" x14ac:dyDescent="0.35">
      <c r="A1678" s="1416">
        <v>37040</v>
      </c>
      <c r="B1678" s="1415">
        <v>21.83333</v>
      </c>
    </row>
    <row r="1679" spans="1:2" x14ac:dyDescent="0.35">
      <c r="A1679" s="1416">
        <v>37041</v>
      </c>
      <c r="B1679" s="1415">
        <v>21.973330000000001</v>
      </c>
    </row>
    <row r="1680" spans="1:2" x14ac:dyDescent="0.35">
      <c r="A1680" s="1416">
        <v>37042</v>
      </c>
      <c r="B1680" s="1415">
        <v>22.66</v>
      </c>
    </row>
    <row r="1681" spans="1:2" x14ac:dyDescent="0.35">
      <c r="A1681" s="1416">
        <v>37043</v>
      </c>
      <c r="B1681" s="1415">
        <v>22.533329999999999</v>
      </c>
    </row>
    <row r="1682" spans="1:2" x14ac:dyDescent="0.35">
      <c r="A1682" s="1416">
        <v>37046</v>
      </c>
      <c r="B1682" s="1415">
        <v>23.17999</v>
      </c>
    </row>
    <row r="1683" spans="1:2" x14ac:dyDescent="0.35">
      <c r="A1683" s="1416">
        <v>37047</v>
      </c>
      <c r="B1683" s="1415">
        <v>23.3</v>
      </c>
    </row>
    <row r="1684" spans="1:2" x14ac:dyDescent="0.35">
      <c r="A1684" s="1416">
        <v>37048</v>
      </c>
      <c r="B1684" s="1415">
        <v>23.16667</v>
      </c>
    </row>
    <row r="1685" spans="1:2" x14ac:dyDescent="0.35">
      <c r="A1685" s="1416">
        <v>37049</v>
      </c>
      <c r="B1685" s="1415">
        <v>23.5</v>
      </c>
    </row>
    <row r="1686" spans="1:2" x14ac:dyDescent="0.35">
      <c r="A1686" s="1416">
        <v>37050</v>
      </c>
      <c r="B1686" s="1415">
        <v>23.786670000000001</v>
      </c>
    </row>
    <row r="1687" spans="1:2" x14ac:dyDescent="0.35">
      <c r="A1687" s="1416">
        <v>37053</v>
      </c>
      <c r="B1687" s="1415">
        <v>23.433330000000002</v>
      </c>
    </row>
    <row r="1688" spans="1:2" x14ac:dyDescent="0.35">
      <c r="A1688" s="1416">
        <v>37054</v>
      </c>
      <c r="B1688" s="1415">
        <v>23.3</v>
      </c>
    </row>
    <row r="1689" spans="1:2" x14ac:dyDescent="0.35">
      <c r="A1689" s="1416">
        <v>37055</v>
      </c>
      <c r="B1689" s="1415">
        <v>23.713329999999999</v>
      </c>
    </row>
    <row r="1690" spans="1:2" x14ac:dyDescent="0.35">
      <c r="A1690" s="1416">
        <v>37056</v>
      </c>
      <c r="B1690" s="1415">
        <v>24.273330000000001</v>
      </c>
    </row>
    <row r="1691" spans="1:2" x14ac:dyDescent="0.35">
      <c r="A1691" s="1416">
        <v>37057</v>
      </c>
      <c r="B1691" s="1415">
        <v>24.899989999999999</v>
      </c>
    </row>
    <row r="1692" spans="1:2" x14ac:dyDescent="0.35">
      <c r="A1692" s="1416">
        <v>37060</v>
      </c>
      <c r="B1692" s="1415">
        <v>25</v>
      </c>
    </row>
    <row r="1693" spans="1:2" x14ac:dyDescent="0.35">
      <c r="A1693" s="1416">
        <v>37061</v>
      </c>
      <c r="B1693" s="1415">
        <v>24.5</v>
      </c>
    </row>
    <row r="1694" spans="1:2" x14ac:dyDescent="0.35">
      <c r="A1694" s="1416">
        <v>37062</v>
      </c>
      <c r="B1694" s="1415">
        <v>25.373339999999999</v>
      </c>
    </row>
    <row r="1695" spans="1:2" x14ac:dyDescent="0.35">
      <c r="A1695" s="1416">
        <v>37063</v>
      </c>
      <c r="B1695" s="1415">
        <v>26.17999</v>
      </c>
    </row>
    <row r="1696" spans="1:2" x14ac:dyDescent="0.35">
      <c r="A1696" s="1416">
        <v>37064</v>
      </c>
      <c r="B1696" s="1415">
        <v>25.740010000000002</v>
      </c>
    </row>
    <row r="1697" spans="1:2" x14ac:dyDescent="0.35">
      <c r="A1697" s="1416">
        <v>37067</v>
      </c>
      <c r="B1697" s="1415">
        <v>27.373339999999999</v>
      </c>
    </row>
    <row r="1698" spans="1:2" x14ac:dyDescent="0.35">
      <c r="A1698" s="1416">
        <v>37068</v>
      </c>
      <c r="B1698" s="1415">
        <v>28.033329999999999</v>
      </c>
    </row>
    <row r="1699" spans="1:2" x14ac:dyDescent="0.35">
      <c r="A1699" s="1416">
        <v>37069</v>
      </c>
      <c r="B1699" s="1415">
        <v>27.866669999999999</v>
      </c>
    </row>
    <row r="1700" spans="1:2" x14ac:dyDescent="0.35">
      <c r="A1700" s="1416">
        <v>37070</v>
      </c>
      <c r="B1700" s="1415">
        <v>26.7</v>
      </c>
    </row>
    <row r="1701" spans="1:2" x14ac:dyDescent="0.35">
      <c r="A1701" s="1416">
        <v>37071</v>
      </c>
      <c r="B1701" s="1415">
        <v>28.3</v>
      </c>
    </row>
    <row r="1702" spans="1:2" x14ac:dyDescent="0.35">
      <c r="A1702" s="1416">
        <v>37074</v>
      </c>
      <c r="B1702" s="1415">
        <v>28.126660000000001</v>
      </c>
    </row>
    <row r="1703" spans="1:2" x14ac:dyDescent="0.35">
      <c r="A1703" s="1416">
        <v>37075</v>
      </c>
      <c r="B1703" s="1415">
        <v>28.966660000000001</v>
      </c>
    </row>
    <row r="1704" spans="1:2" x14ac:dyDescent="0.35">
      <c r="A1704" s="1416">
        <v>37077</v>
      </c>
      <c r="B1704" s="1415">
        <v>28.66667</v>
      </c>
    </row>
    <row r="1705" spans="1:2" x14ac:dyDescent="0.35">
      <c r="A1705" s="1416">
        <v>37078</v>
      </c>
      <c r="B1705" s="1415">
        <v>27.94</v>
      </c>
    </row>
    <row r="1706" spans="1:2" x14ac:dyDescent="0.35">
      <c r="A1706" s="1416">
        <v>37081</v>
      </c>
      <c r="B1706" s="1415">
        <v>28.52</v>
      </c>
    </row>
    <row r="1707" spans="1:2" x14ac:dyDescent="0.35">
      <c r="A1707" s="1416">
        <v>37082</v>
      </c>
      <c r="B1707" s="1415">
        <v>29.399989999999999</v>
      </c>
    </row>
    <row r="1708" spans="1:2" x14ac:dyDescent="0.35">
      <c r="A1708" s="1416">
        <v>37083</v>
      </c>
      <c r="B1708" s="1415">
        <v>28.266660000000002</v>
      </c>
    </row>
    <row r="1709" spans="1:2" x14ac:dyDescent="0.35">
      <c r="A1709" s="1416">
        <v>37084</v>
      </c>
      <c r="B1709" s="1415">
        <v>28.553329999999999</v>
      </c>
    </row>
    <row r="1710" spans="1:2" x14ac:dyDescent="0.35">
      <c r="A1710" s="1416">
        <v>37085</v>
      </c>
      <c r="B1710" s="1415">
        <v>28.33333</v>
      </c>
    </row>
    <row r="1711" spans="1:2" x14ac:dyDescent="0.35">
      <c r="A1711" s="1416">
        <v>37088</v>
      </c>
      <c r="B1711" s="1415">
        <v>28.573329999999999</v>
      </c>
    </row>
    <row r="1712" spans="1:2" x14ac:dyDescent="0.35">
      <c r="A1712" s="1416">
        <v>37089</v>
      </c>
      <c r="B1712" s="1415">
        <v>28.06</v>
      </c>
    </row>
    <row r="1713" spans="1:2" x14ac:dyDescent="0.35">
      <c r="A1713" s="1416">
        <v>37090</v>
      </c>
      <c r="B1713" s="1415">
        <v>28.613330000000001</v>
      </c>
    </row>
    <row r="1714" spans="1:2" x14ac:dyDescent="0.35">
      <c r="A1714" s="1416">
        <v>37091</v>
      </c>
      <c r="B1714" s="1415">
        <v>28.473330000000001</v>
      </c>
    </row>
    <row r="1715" spans="1:2" x14ac:dyDescent="0.35">
      <c r="A1715" s="1416">
        <v>37092</v>
      </c>
      <c r="B1715" s="1415">
        <v>29.066669999999998</v>
      </c>
    </row>
    <row r="1716" spans="1:2" x14ac:dyDescent="0.35">
      <c r="A1716" s="1416">
        <v>37095</v>
      </c>
      <c r="B1716" s="1415">
        <v>28.7</v>
      </c>
    </row>
    <row r="1717" spans="1:2" x14ac:dyDescent="0.35">
      <c r="A1717" s="1416">
        <v>37096</v>
      </c>
      <c r="B1717" s="1415">
        <v>28.66667</v>
      </c>
    </row>
    <row r="1718" spans="1:2" x14ac:dyDescent="0.35">
      <c r="A1718" s="1416">
        <v>37097</v>
      </c>
      <c r="B1718" s="1415">
        <v>28.113330000000001</v>
      </c>
    </row>
    <row r="1719" spans="1:2" x14ac:dyDescent="0.35">
      <c r="A1719" s="1416">
        <v>37098</v>
      </c>
      <c r="B1719" s="1415">
        <v>29.2</v>
      </c>
    </row>
    <row r="1720" spans="1:2" x14ac:dyDescent="0.35">
      <c r="A1720" s="1416">
        <v>37099</v>
      </c>
      <c r="B1720" s="1415">
        <v>29.959990000000001</v>
      </c>
    </row>
    <row r="1721" spans="1:2" x14ac:dyDescent="0.35">
      <c r="A1721" s="1416">
        <v>37102</v>
      </c>
      <c r="B1721" s="1415">
        <v>29.08</v>
      </c>
    </row>
    <row r="1722" spans="1:2" x14ac:dyDescent="0.35">
      <c r="A1722" s="1416">
        <v>37103</v>
      </c>
      <c r="B1722" s="1415">
        <v>29.026669999999999</v>
      </c>
    </row>
    <row r="1723" spans="1:2" x14ac:dyDescent="0.35">
      <c r="A1723" s="1416">
        <v>37104</v>
      </c>
      <c r="B1723" s="1415">
        <v>29.373339999999999</v>
      </c>
    </row>
    <row r="1724" spans="1:2" x14ac:dyDescent="0.35">
      <c r="A1724" s="1416">
        <v>37105</v>
      </c>
      <c r="B1724" s="1415">
        <v>29.906659999999999</v>
      </c>
    </row>
    <row r="1725" spans="1:2" x14ac:dyDescent="0.35">
      <c r="A1725" s="1416">
        <v>37106</v>
      </c>
      <c r="B1725" s="1415">
        <v>30.16</v>
      </c>
    </row>
    <row r="1726" spans="1:2" x14ac:dyDescent="0.35">
      <c r="A1726" s="1416">
        <v>37109</v>
      </c>
      <c r="B1726" s="1415">
        <v>29.253329999999998</v>
      </c>
    </row>
    <row r="1727" spans="1:2" x14ac:dyDescent="0.35">
      <c r="A1727" s="1416">
        <v>37110</v>
      </c>
      <c r="B1727" s="1415">
        <v>29.226669999999999</v>
      </c>
    </row>
    <row r="1728" spans="1:2" x14ac:dyDescent="0.35">
      <c r="A1728" s="1416">
        <v>37111</v>
      </c>
      <c r="B1728" s="1415">
        <v>28.033329999999999</v>
      </c>
    </row>
    <row r="1729" spans="1:2" x14ac:dyDescent="0.35">
      <c r="A1729" s="1416">
        <v>37112</v>
      </c>
      <c r="B1729" s="1415">
        <v>27.240010000000002</v>
      </c>
    </row>
    <row r="1730" spans="1:2" x14ac:dyDescent="0.35">
      <c r="A1730" s="1416">
        <v>37113</v>
      </c>
      <c r="B1730" s="1415">
        <v>27.34</v>
      </c>
    </row>
    <row r="1731" spans="1:2" x14ac:dyDescent="0.35">
      <c r="A1731" s="1416">
        <v>37116</v>
      </c>
      <c r="B1731" s="1415">
        <v>25.766660000000002</v>
      </c>
    </row>
    <row r="1732" spans="1:2" x14ac:dyDescent="0.35">
      <c r="A1732" s="1416">
        <v>37117</v>
      </c>
      <c r="B1732" s="1415">
        <v>26.78</v>
      </c>
    </row>
    <row r="1733" spans="1:2" x14ac:dyDescent="0.35">
      <c r="A1733" s="1416">
        <v>37118</v>
      </c>
      <c r="B1733" s="1415">
        <v>26.733339999999998</v>
      </c>
    </row>
    <row r="1734" spans="1:2" x14ac:dyDescent="0.35">
      <c r="A1734" s="1416">
        <v>37119</v>
      </c>
      <c r="B1734" s="1415">
        <v>27.086670000000002</v>
      </c>
    </row>
    <row r="1735" spans="1:2" x14ac:dyDescent="0.35">
      <c r="A1735" s="1416">
        <v>37120</v>
      </c>
      <c r="B1735" s="1415">
        <v>25.78</v>
      </c>
    </row>
    <row r="1736" spans="1:2" x14ac:dyDescent="0.35">
      <c r="A1736" s="1416">
        <v>37123</v>
      </c>
      <c r="B1736" s="1415">
        <v>26.953340000000001</v>
      </c>
    </row>
    <row r="1737" spans="1:2" x14ac:dyDescent="0.35">
      <c r="A1737" s="1416">
        <v>37124</v>
      </c>
      <c r="B1737" s="1415">
        <v>26.82666</v>
      </c>
    </row>
    <row r="1738" spans="1:2" x14ac:dyDescent="0.35">
      <c r="A1738" s="1416">
        <v>37125</v>
      </c>
      <c r="B1738" s="1415">
        <v>27.67999</v>
      </c>
    </row>
    <row r="1739" spans="1:2" x14ac:dyDescent="0.35">
      <c r="A1739" s="1416">
        <v>37126</v>
      </c>
      <c r="B1739" s="1415">
        <v>28.00667</v>
      </c>
    </row>
    <row r="1740" spans="1:2" x14ac:dyDescent="0.35">
      <c r="A1740" s="1416">
        <v>37127</v>
      </c>
      <c r="B1740" s="1415">
        <v>26.726669999999999</v>
      </c>
    </row>
    <row r="1741" spans="1:2" x14ac:dyDescent="0.35">
      <c r="A1741" s="1416">
        <v>37130</v>
      </c>
      <c r="B1741" s="1415">
        <v>27.19333</v>
      </c>
    </row>
    <row r="1742" spans="1:2" x14ac:dyDescent="0.35">
      <c r="A1742" s="1416">
        <v>37131</v>
      </c>
      <c r="B1742" s="1415">
        <v>27.16</v>
      </c>
    </row>
    <row r="1743" spans="1:2" x14ac:dyDescent="0.35">
      <c r="A1743" s="1416">
        <v>37132</v>
      </c>
      <c r="B1743" s="1415">
        <v>27.473330000000001</v>
      </c>
    </row>
    <row r="1744" spans="1:2" x14ac:dyDescent="0.35">
      <c r="A1744" s="1416">
        <v>37133</v>
      </c>
      <c r="B1744" s="1415">
        <v>28.33333</v>
      </c>
    </row>
    <row r="1745" spans="1:2" x14ac:dyDescent="0.35">
      <c r="A1745" s="1416">
        <v>37134</v>
      </c>
      <c r="B1745" s="1415">
        <v>26.246659999999999</v>
      </c>
    </row>
    <row r="1746" spans="1:2" x14ac:dyDescent="0.35">
      <c r="A1746" s="1416">
        <v>37138</v>
      </c>
      <c r="B1746" s="1415">
        <v>26.373339999999999</v>
      </c>
    </row>
    <row r="1747" spans="1:2" x14ac:dyDescent="0.35">
      <c r="A1747" s="1416">
        <v>37139</v>
      </c>
      <c r="B1747" s="1415">
        <v>23.98</v>
      </c>
    </row>
    <row r="1748" spans="1:2" x14ac:dyDescent="0.35">
      <c r="A1748" s="1416">
        <v>37140</v>
      </c>
      <c r="B1748" s="1415">
        <v>24.86</v>
      </c>
    </row>
    <row r="1749" spans="1:2" x14ac:dyDescent="0.35">
      <c r="A1749" s="1416">
        <v>37141</v>
      </c>
      <c r="B1749" s="1415">
        <v>24.88</v>
      </c>
    </row>
    <row r="1750" spans="1:2" x14ac:dyDescent="0.35">
      <c r="A1750" s="1416">
        <v>37144</v>
      </c>
      <c r="B1750" s="1415">
        <v>24.086670000000002</v>
      </c>
    </row>
    <row r="1751" spans="1:2" x14ac:dyDescent="0.35">
      <c r="A1751" s="1416">
        <v>37151</v>
      </c>
      <c r="B1751" s="1415">
        <v>24.766660000000002</v>
      </c>
    </row>
    <row r="1752" spans="1:2" x14ac:dyDescent="0.35">
      <c r="A1752" s="1416">
        <v>37152</v>
      </c>
      <c r="B1752" s="1415">
        <v>25.00667</v>
      </c>
    </row>
    <row r="1753" spans="1:2" x14ac:dyDescent="0.35">
      <c r="A1753" s="1416">
        <v>37153</v>
      </c>
      <c r="B1753" s="1415">
        <v>25.066669999999998</v>
      </c>
    </row>
    <row r="1754" spans="1:2" x14ac:dyDescent="0.35">
      <c r="A1754" s="1416">
        <v>37154</v>
      </c>
      <c r="B1754" s="1415">
        <v>24.100010000000001</v>
      </c>
    </row>
    <row r="1755" spans="1:2" x14ac:dyDescent="0.35">
      <c r="A1755" s="1416">
        <v>37155</v>
      </c>
      <c r="B1755" s="1415">
        <v>23.33333</v>
      </c>
    </row>
    <row r="1756" spans="1:2" x14ac:dyDescent="0.35">
      <c r="A1756" s="1416">
        <v>37158</v>
      </c>
      <c r="B1756" s="1415">
        <v>25.233339999999998</v>
      </c>
    </row>
    <row r="1757" spans="1:2" x14ac:dyDescent="0.35">
      <c r="A1757" s="1416">
        <v>37159</v>
      </c>
      <c r="B1757" s="1415">
        <v>25.82666</v>
      </c>
    </row>
    <row r="1758" spans="1:2" x14ac:dyDescent="0.35">
      <c r="A1758" s="1416">
        <v>37160</v>
      </c>
      <c r="B1758" s="1415">
        <v>25.65334</v>
      </c>
    </row>
    <row r="1759" spans="1:2" x14ac:dyDescent="0.35">
      <c r="A1759" s="1416">
        <v>37161</v>
      </c>
      <c r="B1759" s="1415">
        <v>26.599989999999998</v>
      </c>
    </row>
    <row r="1760" spans="1:2" x14ac:dyDescent="0.35">
      <c r="A1760" s="1416">
        <v>37162</v>
      </c>
      <c r="B1760" s="1415">
        <v>28.02</v>
      </c>
    </row>
    <row r="1761" spans="1:2" x14ac:dyDescent="0.35">
      <c r="A1761" s="1416">
        <v>37165</v>
      </c>
      <c r="B1761" s="1415">
        <v>28.293330000000001</v>
      </c>
    </row>
    <row r="1762" spans="1:2" x14ac:dyDescent="0.35">
      <c r="A1762" s="1416">
        <v>37166</v>
      </c>
      <c r="B1762" s="1415">
        <v>28.206669999999999</v>
      </c>
    </row>
    <row r="1763" spans="1:2" x14ac:dyDescent="0.35">
      <c r="A1763" s="1416">
        <v>37167</v>
      </c>
      <c r="B1763" s="1415">
        <v>29.473330000000001</v>
      </c>
    </row>
    <row r="1764" spans="1:2" x14ac:dyDescent="0.35">
      <c r="A1764" s="1416">
        <v>37168</v>
      </c>
      <c r="B1764" s="1415">
        <v>30.413329999999998</v>
      </c>
    </row>
    <row r="1765" spans="1:2" x14ac:dyDescent="0.35">
      <c r="A1765" s="1416">
        <v>37169</v>
      </c>
      <c r="B1765" s="1415">
        <v>29.753329999999998</v>
      </c>
    </row>
    <row r="1766" spans="1:2" x14ac:dyDescent="0.35">
      <c r="A1766" s="1416">
        <v>37172</v>
      </c>
      <c r="B1766" s="1415">
        <v>29.5</v>
      </c>
    </row>
    <row r="1767" spans="1:2" x14ac:dyDescent="0.35">
      <c r="A1767" s="1416">
        <v>37173</v>
      </c>
      <c r="B1767" s="1415">
        <v>28.593340000000001</v>
      </c>
    </row>
    <row r="1768" spans="1:2" x14ac:dyDescent="0.35">
      <c r="A1768" s="1416">
        <v>37174</v>
      </c>
      <c r="B1768" s="1415">
        <v>28.746659999999999</v>
      </c>
    </row>
    <row r="1769" spans="1:2" x14ac:dyDescent="0.35">
      <c r="A1769" s="1416">
        <v>37175</v>
      </c>
      <c r="B1769" s="1415">
        <v>28.34</v>
      </c>
    </row>
    <row r="1770" spans="1:2" x14ac:dyDescent="0.35">
      <c r="A1770" s="1416">
        <v>37176</v>
      </c>
      <c r="B1770" s="1415">
        <v>27.84666</v>
      </c>
    </row>
    <row r="1771" spans="1:2" x14ac:dyDescent="0.35">
      <c r="A1771" s="1416">
        <v>37179</v>
      </c>
      <c r="B1771" s="1415">
        <v>27.893329999999999</v>
      </c>
    </row>
    <row r="1772" spans="1:2" x14ac:dyDescent="0.35">
      <c r="A1772" s="1416">
        <v>37180</v>
      </c>
      <c r="B1772" s="1415">
        <v>27.986660000000001</v>
      </c>
    </row>
    <row r="1773" spans="1:2" x14ac:dyDescent="0.35">
      <c r="A1773" s="1416">
        <v>37181</v>
      </c>
      <c r="B1773" s="1415">
        <v>26.459990000000001</v>
      </c>
    </row>
    <row r="1774" spans="1:2" x14ac:dyDescent="0.35">
      <c r="A1774" s="1416">
        <v>37182</v>
      </c>
      <c r="B1774" s="1415">
        <v>27.126660000000001</v>
      </c>
    </row>
    <row r="1775" spans="1:2" x14ac:dyDescent="0.35">
      <c r="A1775" s="1416">
        <v>37183</v>
      </c>
      <c r="B1775" s="1415">
        <v>26.81334</v>
      </c>
    </row>
    <row r="1776" spans="1:2" x14ac:dyDescent="0.35">
      <c r="A1776" s="1416">
        <v>37186</v>
      </c>
      <c r="B1776" s="1415">
        <v>26.473330000000001</v>
      </c>
    </row>
    <row r="1777" spans="1:2" x14ac:dyDescent="0.35">
      <c r="A1777" s="1416">
        <v>37187</v>
      </c>
      <c r="B1777" s="1415">
        <v>26.81334</v>
      </c>
    </row>
    <row r="1778" spans="1:2" x14ac:dyDescent="0.35">
      <c r="A1778" s="1416">
        <v>37188</v>
      </c>
      <c r="B1778" s="1415">
        <v>26.586670000000002</v>
      </c>
    </row>
    <row r="1779" spans="1:2" x14ac:dyDescent="0.35">
      <c r="A1779" s="1416">
        <v>37189</v>
      </c>
      <c r="B1779" s="1415">
        <v>27.399989999999999</v>
      </c>
    </row>
    <row r="1780" spans="1:2" x14ac:dyDescent="0.35">
      <c r="A1780" s="1416">
        <v>37190</v>
      </c>
      <c r="B1780" s="1415">
        <v>27.33333</v>
      </c>
    </row>
    <row r="1781" spans="1:2" x14ac:dyDescent="0.35">
      <c r="A1781" s="1416">
        <v>37193</v>
      </c>
      <c r="B1781" s="1415">
        <v>27.33333</v>
      </c>
    </row>
    <row r="1782" spans="1:2" x14ac:dyDescent="0.35">
      <c r="A1782" s="1416">
        <v>37194</v>
      </c>
      <c r="B1782" s="1415">
        <v>27.073329999999999</v>
      </c>
    </row>
    <row r="1783" spans="1:2" x14ac:dyDescent="0.35">
      <c r="A1783" s="1416">
        <v>37195</v>
      </c>
      <c r="B1783" s="1415">
        <v>27.099989999999998</v>
      </c>
    </row>
    <row r="1784" spans="1:2" x14ac:dyDescent="0.35">
      <c r="A1784" s="1416">
        <v>37196</v>
      </c>
      <c r="B1784" s="1415">
        <v>27.786670000000001</v>
      </c>
    </row>
    <row r="1785" spans="1:2" x14ac:dyDescent="0.35">
      <c r="A1785" s="1416">
        <v>37197</v>
      </c>
      <c r="B1785" s="1415">
        <v>27.726669999999999</v>
      </c>
    </row>
    <row r="1786" spans="1:2" x14ac:dyDescent="0.35">
      <c r="A1786" s="1416">
        <v>37200</v>
      </c>
      <c r="B1786" s="1415">
        <v>28.18666</v>
      </c>
    </row>
    <row r="1787" spans="1:2" x14ac:dyDescent="0.35">
      <c r="A1787" s="1416">
        <v>37201</v>
      </c>
      <c r="B1787" s="1415">
        <v>28.599989999999998</v>
      </c>
    </row>
    <row r="1788" spans="1:2" x14ac:dyDescent="0.35">
      <c r="A1788" s="1416">
        <v>37202</v>
      </c>
      <c r="B1788" s="1415">
        <v>28.526669999999999</v>
      </c>
    </row>
    <row r="1789" spans="1:2" x14ac:dyDescent="0.35">
      <c r="A1789" s="1416">
        <v>37203</v>
      </c>
      <c r="B1789" s="1415">
        <v>28.3</v>
      </c>
    </row>
    <row r="1790" spans="1:2" x14ac:dyDescent="0.35">
      <c r="A1790" s="1416">
        <v>37204</v>
      </c>
      <c r="B1790" s="1415">
        <v>28.013339999999999</v>
      </c>
    </row>
    <row r="1791" spans="1:2" x14ac:dyDescent="0.35">
      <c r="A1791" s="1416">
        <v>37207</v>
      </c>
      <c r="B1791" s="1415">
        <v>28.459990000000001</v>
      </c>
    </row>
    <row r="1792" spans="1:2" x14ac:dyDescent="0.35">
      <c r="A1792" s="1416">
        <v>37208</v>
      </c>
      <c r="B1792" s="1415">
        <v>27.34666</v>
      </c>
    </row>
    <row r="1793" spans="1:2" x14ac:dyDescent="0.35">
      <c r="A1793" s="1416">
        <v>37209</v>
      </c>
      <c r="B1793" s="1415">
        <v>26.413329999999998</v>
      </c>
    </row>
    <row r="1794" spans="1:2" x14ac:dyDescent="0.35">
      <c r="A1794" s="1416">
        <v>37210</v>
      </c>
      <c r="B1794" s="1415">
        <v>27.22</v>
      </c>
    </row>
    <row r="1795" spans="1:2" x14ac:dyDescent="0.35">
      <c r="A1795" s="1416">
        <v>37211</v>
      </c>
      <c r="B1795" s="1415">
        <v>27.38</v>
      </c>
    </row>
    <row r="1796" spans="1:2" x14ac:dyDescent="0.35">
      <c r="A1796" s="1416">
        <v>37214</v>
      </c>
      <c r="B1796" s="1415">
        <v>27.273330000000001</v>
      </c>
    </row>
    <row r="1797" spans="1:2" x14ac:dyDescent="0.35">
      <c r="A1797" s="1416">
        <v>37215</v>
      </c>
      <c r="B1797" s="1415">
        <v>27.273330000000001</v>
      </c>
    </row>
    <row r="1798" spans="1:2" x14ac:dyDescent="0.35">
      <c r="A1798" s="1416">
        <v>37216</v>
      </c>
      <c r="B1798" s="1415">
        <v>27.33333</v>
      </c>
    </row>
    <row r="1799" spans="1:2" x14ac:dyDescent="0.35">
      <c r="A1799" s="1416">
        <v>37218</v>
      </c>
      <c r="B1799" s="1415">
        <v>27.56</v>
      </c>
    </row>
    <row r="1800" spans="1:2" x14ac:dyDescent="0.35">
      <c r="A1800" s="1416">
        <v>37221</v>
      </c>
      <c r="B1800" s="1415">
        <v>27.213329999999999</v>
      </c>
    </row>
    <row r="1801" spans="1:2" x14ac:dyDescent="0.35">
      <c r="A1801" s="1416">
        <v>37222</v>
      </c>
      <c r="B1801" s="1415">
        <v>27.80667</v>
      </c>
    </row>
    <row r="1802" spans="1:2" x14ac:dyDescent="0.35">
      <c r="A1802" s="1416">
        <v>37223</v>
      </c>
      <c r="B1802" s="1415">
        <v>28.866669999999999</v>
      </c>
    </row>
    <row r="1803" spans="1:2" x14ac:dyDescent="0.35">
      <c r="A1803" s="1416">
        <v>37224</v>
      </c>
      <c r="B1803" s="1415">
        <v>29.50667</v>
      </c>
    </row>
    <row r="1804" spans="1:2" x14ac:dyDescent="0.35">
      <c r="A1804" s="1416">
        <v>37225</v>
      </c>
      <c r="B1804" s="1415">
        <v>29.92</v>
      </c>
    </row>
    <row r="1805" spans="1:2" x14ac:dyDescent="0.35">
      <c r="A1805" s="1416">
        <v>37228</v>
      </c>
      <c r="B1805" s="1415">
        <v>29.713329999999999</v>
      </c>
    </row>
    <row r="1806" spans="1:2" x14ac:dyDescent="0.35">
      <c r="A1806" s="1416">
        <v>37229</v>
      </c>
      <c r="B1806" s="1415">
        <v>30</v>
      </c>
    </row>
    <row r="1807" spans="1:2" x14ac:dyDescent="0.35">
      <c r="A1807" s="1416">
        <v>37230</v>
      </c>
      <c r="B1807" s="1415">
        <v>30.766660000000002</v>
      </c>
    </row>
    <row r="1808" spans="1:2" x14ac:dyDescent="0.35">
      <c r="A1808" s="1416">
        <v>37231</v>
      </c>
      <c r="B1808" s="1415">
        <v>30.553329999999999</v>
      </c>
    </row>
    <row r="1809" spans="1:2" x14ac:dyDescent="0.35">
      <c r="A1809" s="1416">
        <v>37232</v>
      </c>
      <c r="B1809" s="1415">
        <v>30.69333</v>
      </c>
    </row>
    <row r="1810" spans="1:2" x14ac:dyDescent="0.35">
      <c r="A1810" s="1416">
        <v>37235</v>
      </c>
      <c r="B1810" s="1415">
        <v>31.42</v>
      </c>
    </row>
    <row r="1811" spans="1:2" x14ac:dyDescent="0.35">
      <c r="A1811" s="1416">
        <v>37236</v>
      </c>
      <c r="B1811" s="1415">
        <v>30.49333</v>
      </c>
    </row>
    <row r="1812" spans="1:2" x14ac:dyDescent="0.35">
      <c r="A1812" s="1416">
        <v>37237</v>
      </c>
      <c r="B1812" s="1415">
        <v>30.99333</v>
      </c>
    </row>
    <row r="1813" spans="1:2" x14ac:dyDescent="0.35">
      <c r="A1813" s="1416">
        <v>37238</v>
      </c>
      <c r="B1813" s="1415">
        <v>31.52</v>
      </c>
    </row>
    <row r="1814" spans="1:2" x14ac:dyDescent="0.35">
      <c r="A1814" s="1416">
        <v>37239</v>
      </c>
      <c r="B1814" s="1415">
        <v>32.026670000000003</v>
      </c>
    </row>
    <row r="1815" spans="1:2" x14ac:dyDescent="0.35">
      <c r="A1815" s="1416">
        <v>37242</v>
      </c>
      <c r="B1815" s="1415">
        <v>31.82666</v>
      </c>
    </row>
    <row r="1816" spans="1:2" x14ac:dyDescent="0.35">
      <c r="A1816" s="1416">
        <v>37243</v>
      </c>
      <c r="B1816" s="1415">
        <v>30.83333</v>
      </c>
    </row>
    <row r="1817" spans="1:2" x14ac:dyDescent="0.35">
      <c r="A1817" s="1416">
        <v>37244</v>
      </c>
      <c r="B1817" s="1415">
        <v>30.65334</v>
      </c>
    </row>
    <row r="1818" spans="1:2" x14ac:dyDescent="0.35">
      <c r="A1818" s="1416">
        <v>37245</v>
      </c>
      <c r="B1818" s="1415">
        <v>30.773330000000001</v>
      </c>
    </row>
    <row r="1819" spans="1:2" x14ac:dyDescent="0.35">
      <c r="A1819" s="1416">
        <v>37246</v>
      </c>
      <c r="B1819" s="1415">
        <v>29.899989999999999</v>
      </c>
    </row>
    <row r="1820" spans="1:2" x14ac:dyDescent="0.35">
      <c r="A1820" s="1416">
        <v>37249</v>
      </c>
      <c r="B1820" s="1415">
        <v>30</v>
      </c>
    </row>
    <row r="1821" spans="1:2" x14ac:dyDescent="0.35">
      <c r="A1821" s="1416">
        <v>37251</v>
      </c>
      <c r="B1821" s="1415">
        <v>30.226669999999999</v>
      </c>
    </row>
    <row r="1822" spans="1:2" x14ac:dyDescent="0.35">
      <c r="A1822" s="1416">
        <v>37252</v>
      </c>
      <c r="B1822" s="1415">
        <v>30.3</v>
      </c>
    </row>
    <row r="1823" spans="1:2" x14ac:dyDescent="0.35">
      <c r="A1823" s="1416">
        <v>37253</v>
      </c>
      <c r="B1823" s="1415">
        <v>30.03999</v>
      </c>
    </row>
    <row r="1824" spans="1:2" x14ac:dyDescent="0.35">
      <c r="A1824" s="1416">
        <v>37256</v>
      </c>
      <c r="B1824" s="1415">
        <v>30.00667</v>
      </c>
    </row>
    <row r="1825" spans="1:2" x14ac:dyDescent="0.35">
      <c r="A1825" s="1416">
        <v>37258</v>
      </c>
      <c r="B1825" s="1415">
        <v>29.32666</v>
      </c>
    </row>
    <row r="1826" spans="1:2" x14ac:dyDescent="0.35">
      <c r="A1826" s="1416">
        <v>37259</v>
      </c>
      <c r="B1826" s="1415">
        <v>29.5</v>
      </c>
    </row>
    <row r="1827" spans="1:2" x14ac:dyDescent="0.35">
      <c r="A1827" s="1416">
        <v>37260</v>
      </c>
      <c r="B1827" s="1415">
        <v>30.086670000000002</v>
      </c>
    </row>
    <row r="1828" spans="1:2" x14ac:dyDescent="0.35">
      <c r="A1828" s="1416">
        <v>37263</v>
      </c>
      <c r="B1828" s="1415">
        <v>29.50667</v>
      </c>
    </row>
    <row r="1829" spans="1:2" x14ac:dyDescent="0.35">
      <c r="A1829" s="1416">
        <v>37264</v>
      </c>
      <c r="B1829" s="1415">
        <v>30.213329999999999</v>
      </c>
    </row>
    <row r="1830" spans="1:2" x14ac:dyDescent="0.35">
      <c r="A1830" s="1416">
        <v>37265</v>
      </c>
      <c r="B1830" s="1415">
        <v>29.933330000000002</v>
      </c>
    </row>
    <row r="1831" spans="1:2" x14ac:dyDescent="0.35">
      <c r="A1831" s="1416">
        <v>37266</v>
      </c>
      <c r="B1831" s="1415">
        <v>30.446670000000001</v>
      </c>
    </row>
    <row r="1832" spans="1:2" x14ac:dyDescent="0.35">
      <c r="A1832" s="1416">
        <v>37267</v>
      </c>
      <c r="B1832" s="1415">
        <v>30.34</v>
      </c>
    </row>
    <row r="1833" spans="1:2" x14ac:dyDescent="0.35">
      <c r="A1833" s="1416">
        <v>37270</v>
      </c>
      <c r="B1833" s="1415">
        <v>29.973330000000001</v>
      </c>
    </row>
    <row r="1834" spans="1:2" x14ac:dyDescent="0.35">
      <c r="A1834" s="1416">
        <v>37271</v>
      </c>
      <c r="B1834" s="1415">
        <v>29.886659999999999</v>
      </c>
    </row>
    <row r="1835" spans="1:2" x14ac:dyDescent="0.35">
      <c r="A1835" s="1416">
        <v>37272</v>
      </c>
      <c r="B1835" s="1415">
        <v>29.293330000000001</v>
      </c>
    </row>
    <row r="1836" spans="1:2" x14ac:dyDescent="0.35">
      <c r="A1836" s="1416">
        <v>37273</v>
      </c>
      <c r="B1836" s="1415">
        <v>29.133330000000001</v>
      </c>
    </row>
    <row r="1837" spans="1:2" x14ac:dyDescent="0.35">
      <c r="A1837" s="1416">
        <v>37274</v>
      </c>
      <c r="B1837" s="1415">
        <v>28.926670000000001</v>
      </c>
    </row>
    <row r="1838" spans="1:2" x14ac:dyDescent="0.35">
      <c r="A1838" s="1416">
        <v>37278</v>
      </c>
      <c r="B1838" s="1415">
        <v>28.573329999999999</v>
      </c>
    </row>
    <row r="1839" spans="1:2" x14ac:dyDescent="0.35">
      <c r="A1839" s="1416">
        <v>37279</v>
      </c>
      <c r="B1839" s="1415">
        <v>29.413329999999998</v>
      </c>
    </row>
    <row r="1840" spans="1:2" x14ac:dyDescent="0.35">
      <c r="A1840" s="1416">
        <v>37280</v>
      </c>
      <c r="B1840" s="1415">
        <v>29.433330000000002</v>
      </c>
    </row>
    <row r="1841" spans="1:2" x14ac:dyDescent="0.35">
      <c r="A1841" s="1416">
        <v>37281</v>
      </c>
      <c r="B1841" s="1415">
        <v>29.56</v>
      </c>
    </row>
    <row r="1842" spans="1:2" x14ac:dyDescent="0.35">
      <c r="A1842" s="1416">
        <v>37284</v>
      </c>
      <c r="B1842" s="1415">
        <v>29.88</v>
      </c>
    </row>
    <row r="1843" spans="1:2" x14ac:dyDescent="0.35">
      <c r="A1843" s="1416">
        <v>37285</v>
      </c>
      <c r="B1843" s="1415">
        <v>29.28</v>
      </c>
    </row>
    <row r="1844" spans="1:2" x14ac:dyDescent="0.35">
      <c r="A1844" s="1416">
        <v>37286</v>
      </c>
      <c r="B1844" s="1415">
        <v>30.406659999999999</v>
      </c>
    </row>
    <row r="1845" spans="1:2" x14ac:dyDescent="0.35">
      <c r="A1845" s="1416">
        <v>37287</v>
      </c>
      <c r="B1845" s="1415">
        <v>31.099989999999998</v>
      </c>
    </row>
    <row r="1846" spans="1:2" x14ac:dyDescent="0.35">
      <c r="A1846" s="1416">
        <v>37288</v>
      </c>
      <c r="B1846" s="1415">
        <v>29.959990000000001</v>
      </c>
    </row>
    <row r="1847" spans="1:2" x14ac:dyDescent="0.35">
      <c r="A1847" s="1416">
        <v>37291</v>
      </c>
      <c r="B1847" s="1415">
        <v>29.99333</v>
      </c>
    </row>
    <row r="1848" spans="1:2" x14ac:dyDescent="0.35">
      <c r="A1848" s="1416">
        <v>37292</v>
      </c>
      <c r="B1848" s="1415">
        <v>30.273330000000001</v>
      </c>
    </row>
    <row r="1849" spans="1:2" x14ac:dyDescent="0.35">
      <c r="A1849" s="1416">
        <v>37293</v>
      </c>
      <c r="B1849" s="1415">
        <v>30.28</v>
      </c>
    </row>
    <row r="1850" spans="1:2" x14ac:dyDescent="0.35">
      <c r="A1850" s="1416">
        <v>37294</v>
      </c>
      <c r="B1850" s="1415">
        <v>30.83333</v>
      </c>
    </row>
    <row r="1851" spans="1:2" x14ac:dyDescent="0.35">
      <c r="A1851" s="1416">
        <v>37295</v>
      </c>
      <c r="B1851" s="1415">
        <v>31.3</v>
      </c>
    </row>
    <row r="1852" spans="1:2" x14ac:dyDescent="0.35">
      <c r="A1852" s="1416">
        <v>37298</v>
      </c>
      <c r="B1852" s="1415">
        <v>31.086670000000002</v>
      </c>
    </row>
    <row r="1853" spans="1:2" x14ac:dyDescent="0.35">
      <c r="A1853" s="1416">
        <v>37299</v>
      </c>
      <c r="B1853" s="1415">
        <v>30.35333</v>
      </c>
    </row>
    <row r="1854" spans="1:2" x14ac:dyDescent="0.35">
      <c r="A1854" s="1416">
        <v>37300</v>
      </c>
      <c r="B1854" s="1415">
        <v>30.446670000000001</v>
      </c>
    </row>
    <row r="1855" spans="1:2" x14ac:dyDescent="0.35">
      <c r="A1855" s="1416">
        <v>37301</v>
      </c>
      <c r="B1855" s="1415">
        <v>30.64</v>
      </c>
    </row>
    <row r="1856" spans="1:2" x14ac:dyDescent="0.35">
      <c r="A1856" s="1416">
        <v>37302</v>
      </c>
      <c r="B1856" s="1415">
        <v>29.899989999999999</v>
      </c>
    </row>
    <row r="1857" spans="1:2" x14ac:dyDescent="0.35">
      <c r="A1857" s="1416">
        <v>37306</v>
      </c>
      <c r="B1857" s="1415">
        <v>29.16</v>
      </c>
    </row>
    <row r="1858" spans="1:2" x14ac:dyDescent="0.35">
      <c r="A1858" s="1416">
        <v>37307</v>
      </c>
      <c r="B1858" s="1415">
        <v>30.94</v>
      </c>
    </row>
    <row r="1859" spans="1:2" x14ac:dyDescent="0.35">
      <c r="A1859" s="1416">
        <v>37308</v>
      </c>
      <c r="B1859" s="1415">
        <v>30.213329999999999</v>
      </c>
    </row>
    <row r="1860" spans="1:2" x14ac:dyDescent="0.35">
      <c r="A1860" s="1416">
        <v>37309</v>
      </c>
      <c r="B1860" s="1415">
        <v>31.586670000000002</v>
      </c>
    </row>
    <row r="1861" spans="1:2" x14ac:dyDescent="0.35">
      <c r="A1861" s="1416">
        <v>37312</v>
      </c>
      <c r="B1861" s="1415">
        <v>32.52666</v>
      </c>
    </row>
    <row r="1862" spans="1:2" x14ac:dyDescent="0.35">
      <c r="A1862" s="1416">
        <v>37313</v>
      </c>
      <c r="B1862" s="1415">
        <v>33.046660000000003</v>
      </c>
    </row>
    <row r="1863" spans="1:2" x14ac:dyDescent="0.35">
      <c r="A1863" s="1416">
        <v>37314</v>
      </c>
      <c r="B1863" s="1415">
        <v>32.020000000000003</v>
      </c>
    </row>
    <row r="1864" spans="1:2" x14ac:dyDescent="0.35">
      <c r="A1864" s="1416">
        <v>37315</v>
      </c>
      <c r="B1864" s="1415">
        <v>32.366669999999999</v>
      </c>
    </row>
    <row r="1865" spans="1:2" x14ac:dyDescent="0.35">
      <c r="A1865" s="1416">
        <v>37316</v>
      </c>
      <c r="B1865" s="1415">
        <v>33.159999999999997</v>
      </c>
    </row>
    <row r="1866" spans="1:2" x14ac:dyDescent="0.35">
      <c r="A1866" s="1416">
        <v>37319</v>
      </c>
      <c r="B1866" s="1415">
        <v>34.34666</v>
      </c>
    </row>
    <row r="1867" spans="1:2" x14ac:dyDescent="0.35">
      <c r="A1867" s="1416">
        <v>37320</v>
      </c>
      <c r="B1867" s="1415">
        <v>33.866669999999999</v>
      </c>
    </row>
    <row r="1868" spans="1:2" x14ac:dyDescent="0.35">
      <c r="A1868" s="1416">
        <v>37321</v>
      </c>
      <c r="B1868" s="1415">
        <v>32.866669999999999</v>
      </c>
    </row>
    <row r="1869" spans="1:2" x14ac:dyDescent="0.35">
      <c r="A1869" s="1416">
        <v>37322</v>
      </c>
      <c r="B1869" s="1415">
        <v>31.466660000000001</v>
      </c>
    </row>
    <row r="1870" spans="1:2" x14ac:dyDescent="0.35">
      <c r="A1870" s="1416">
        <v>37323</v>
      </c>
      <c r="B1870" s="1415">
        <v>31.84666</v>
      </c>
    </row>
    <row r="1871" spans="1:2" x14ac:dyDescent="0.35">
      <c r="A1871" s="1416">
        <v>37326</v>
      </c>
      <c r="B1871" s="1415">
        <v>30.7</v>
      </c>
    </row>
    <row r="1872" spans="1:2" x14ac:dyDescent="0.35">
      <c r="A1872" s="1416">
        <v>37327</v>
      </c>
      <c r="B1872" s="1415">
        <v>31.19333</v>
      </c>
    </row>
    <row r="1873" spans="1:2" x14ac:dyDescent="0.35">
      <c r="A1873" s="1416">
        <v>37328</v>
      </c>
      <c r="B1873" s="1415">
        <v>30.52</v>
      </c>
    </row>
    <row r="1874" spans="1:2" x14ac:dyDescent="0.35">
      <c r="A1874" s="1416">
        <v>37329</v>
      </c>
      <c r="B1874" s="1415">
        <v>32.406660000000002</v>
      </c>
    </row>
    <row r="1875" spans="1:2" x14ac:dyDescent="0.35">
      <c r="A1875" s="1416">
        <v>37330</v>
      </c>
      <c r="B1875" s="1415">
        <v>32.593339999999998</v>
      </c>
    </row>
    <row r="1876" spans="1:2" x14ac:dyDescent="0.35">
      <c r="A1876" s="1416">
        <v>37333</v>
      </c>
      <c r="B1876" s="1415">
        <v>32.599989999999998</v>
      </c>
    </row>
    <row r="1877" spans="1:2" x14ac:dyDescent="0.35">
      <c r="A1877" s="1416">
        <v>37334</v>
      </c>
      <c r="B1877" s="1415">
        <v>33.14</v>
      </c>
    </row>
    <row r="1878" spans="1:2" x14ac:dyDescent="0.35">
      <c r="A1878" s="1416">
        <v>37335</v>
      </c>
      <c r="B1878" s="1415">
        <v>32.086669999999998</v>
      </c>
    </row>
    <row r="1879" spans="1:2" x14ac:dyDescent="0.35">
      <c r="A1879" s="1416">
        <v>37336</v>
      </c>
      <c r="B1879" s="1415">
        <v>32.486660000000001</v>
      </c>
    </row>
    <row r="1880" spans="1:2" x14ac:dyDescent="0.35">
      <c r="A1880" s="1416">
        <v>37337</v>
      </c>
      <c r="B1880" s="1415">
        <v>33.046660000000003</v>
      </c>
    </row>
    <row r="1881" spans="1:2" x14ac:dyDescent="0.35">
      <c r="A1881" s="1416">
        <v>37340</v>
      </c>
      <c r="B1881" s="1415">
        <v>31.8</v>
      </c>
    </row>
    <row r="1882" spans="1:2" x14ac:dyDescent="0.35">
      <c r="A1882" s="1416">
        <v>37341</v>
      </c>
      <c r="B1882" s="1415">
        <v>34.413330000000002</v>
      </c>
    </row>
    <row r="1883" spans="1:2" x14ac:dyDescent="0.35">
      <c r="A1883" s="1416">
        <v>37342</v>
      </c>
      <c r="B1883" s="1415">
        <v>35.533329999999999</v>
      </c>
    </row>
    <row r="1884" spans="1:2" x14ac:dyDescent="0.35">
      <c r="A1884" s="1416">
        <v>37343</v>
      </c>
      <c r="B1884" s="1415">
        <v>35.700000000000003</v>
      </c>
    </row>
    <row r="1885" spans="1:2" x14ac:dyDescent="0.35">
      <c r="A1885" s="1416">
        <v>37347</v>
      </c>
      <c r="B1885" s="1415">
        <v>35.093339999999998</v>
      </c>
    </row>
    <row r="1886" spans="1:2" x14ac:dyDescent="0.35">
      <c r="A1886" s="1416">
        <v>37348</v>
      </c>
      <c r="B1886" s="1415">
        <v>35.119999999999997</v>
      </c>
    </row>
    <row r="1887" spans="1:2" x14ac:dyDescent="0.35">
      <c r="A1887" s="1416">
        <v>37349</v>
      </c>
      <c r="B1887" s="1415">
        <v>34.200000000000003</v>
      </c>
    </row>
    <row r="1888" spans="1:2" x14ac:dyDescent="0.35">
      <c r="A1888" s="1416">
        <v>37350</v>
      </c>
      <c r="B1888" s="1415">
        <v>34.726669999999999</v>
      </c>
    </row>
    <row r="1889" spans="1:2" x14ac:dyDescent="0.35">
      <c r="A1889" s="1416">
        <v>37351</v>
      </c>
      <c r="B1889" s="1415">
        <v>34.106659999999998</v>
      </c>
    </row>
    <row r="1890" spans="1:2" x14ac:dyDescent="0.35">
      <c r="A1890" s="1416">
        <v>37354</v>
      </c>
      <c r="B1890" s="1415">
        <v>36.319989999999997</v>
      </c>
    </row>
    <row r="1891" spans="1:2" x14ac:dyDescent="0.35">
      <c r="A1891" s="1416">
        <v>37355</v>
      </c>
      <c r="B1891" s="1415">
        <v>35.700000000000003</v>
      </c>
    </row>
    <row r="1892" spans="1:2" x14ac:dyDescent="0.35">
      <c r="A1892" s="1416">
        <v>37356</v>
      </c>
      <c r="B1892" s="1415">
        <v>37.446669999999997</v>
      </c>
    </row>
    <row r="1893" spans="1:2" x14ac:dyDescent="0.35">
      <c r="A1893" s="1416">
        <v>37357</v>
      </c>
      <c r="B1893" s="1415">
        <v>36.753329999999998</v>
      </c>
    </row>
    <row r="1894" spans="1:2" x14ac:dyDescent="0.35">
      <c r="A1894" s="1416">
        <v>37358</v>
      </c>
      <c r="B1894" s="1415">
        <v>37.36</v>
      </c>
    </row>
    <row r="1895" spans="1:2" x14ac:dyDescent="0.35">
      <c r="A1895" s="1416">
        <v>37361</v>
      </c>
      <c r="B1895" s="1415">
        <v>37.513339999999999</v>
      </c>
    </row>
    <row r="1896" spans="1:2" x14ac:dyDescent="0.35">
      <c r="A1896" s="1416">
        <v>37362</v>
      </c>
      <c r="B1896" s="1415">
        <v>37.56</v>
      </c>
    </row>
    <row r="1897" spans="1:2" x14ac:dyDescent="0.35">
      <c r="A1897" s="1416">
        <v>37363</v>
      </c>
      <c r="B1897" s="1415">
        <v>38.386659999999999</v>
      </c>
    </row>
    <row r="1898" spans="1:2" x14ac:dyDescent="0.35">
      <c r="A1898" s="1416">
        <v>37364</v>
      </c>
      <c r="B1898" s="1415">
        <v>38.213329999999999</v>
      </c>
    </row>
    <row r="1899" spans="1:2" x14ac:dyDescent="0.35">
      <c r="A1899" s="1416">
        <v>37365</v>
      </c>
      <c r="B1899" s="1415">
        <v>37.746659999999999</v>
      </c>
    </row>
    <row r="1900" spans="1:2" x14ac:dyDescent="0.35">
      <c r="A1900" s="1416">
        <v>37368</v>
      </c>
      <c r="B1900" s="1415">
        <v>37.633330000000001</v>
      </c>
    </row>
    <row r="1901" spans="1:2" x14ac:dyDescent="0.35">
      <c r="A1901" s="1416">
        <v>37369</v>
      </c>
      <c r="B1901" s="1415">
        <v>38.485990000000001</v>
      </c>
    </row>
    <row r="1902" spans="1:2" x14ac:dyDescent="0.35">
      <c r="A1902" s="1416">
        <v>37370</v>
      </c>
      <c r="B1902" s="1415">
        <v>38.726669999999999</v>
      </c>
    </row>
    <row r="1903" spans="1:2" x14ac:dyDescent="0.35">
      <c r="A1903" s="1416">
        <v>37371</v>
      </c>
      <c r="B1903" s="1415">
        <v>38.513339999999999</v>
      </c>
    </row>
    <row r="1904" spans="1:2" x14ac:dyDescent="0.35">
      <c r="A1904" s="1416">
        <v>37372</v>
      </c>
      <c r="B1904" s="1415">
        <v>37.58</v>
      </c>
    </row>
    <row r="1905" spans="1:2" x14ac:dyDescent="0.35">
      <c r="A1905" s="1416">
        <v>37375</v>
      </c>
      <c r="B1905" s="1415">
        <v>37.33</v>
      </c>
    </row>
    <row r="1906" spans="1:2" x14ac:dyDescent="0.35">
      <c r="A1906" s="1416">
        <v>37376</v>
      </c>
      <c r="B1906" s="1415">
        <v>38.340000000000003</v>
      </c>
    </row>
    <row r="1907" spans="1:2" x14ac:dyDescent="0.35">
      <c r="A1907" s="1416">
        <v>37377</v>
      </c>
      <c r="B1907" s="1415">
        <v>37.770000000000003</v>
      </c>
    </row>
    <row r="1908" spans="1:2" x14ac:dyDescent="0.35">
      <c r="A1908" s="1416">
        <v>37378</v>
      </c>
      <c r="B1908" s="1415">
        <v>37.289990000000003</v>
      </c>
    </row>
    <row r="1909" spans="1:2" x14ac:dyDescent="0.35">
      <c r="A1909" s="1416">
        <v>37379</v>
      </c>
      <c r="B1909" s="1415">
        <v>36.899990000000003</v>
      </c>
    </row>
    <row r="1910" spans="1:2" x14ac:dyDescent="0.35">
      <c r="A1910" s="1416">
        <v>37382</v>
      </c>
      <c r="B1910" s="1415">
        <v>36.320010000000003</v>
      </c>
    </row>
    <row r="1911" spans="1:2" x14ac:dyDescent="0.35">
      <c r="A1911" s="1416">
        <v>37383</v>
      </c>
      <c r="B1911" s="1415">
        <v>37.47</v>
      </c>
    </row>
    <row r="1912" spans="1:2" x14ac:dyDescent="0.35">
      <c r="A1912" s="1416">
        <v>37384</v>
      </c>
      <c r="B1912" s="1415">
        <v>37.869999999999997</v>
      </c>
    </row>
    <row r="1913" spans="1:2" x14ac:dyDescent="0.35">
      <c r="A1913" s="1416">
        <v>37385</v>
      </c>
      <c r="B1913" s="1415">
        <v>36.47</v>
      </c>
    </row>
    <row r="1914" spans="1:2" x14ac:dyDescent="0.35">
      <c r="A1914" s="1416">
        <v>37386</v>
      </c>
      <c r="B1914" s="1415">
        <v>35.369999999999997</v>
      </c>
    </row>
    <row r="1915" spans="1:2" x14ac:dyDescent="0.35">
      <c r="A1915" s="1416">
        <v>37389</v>
      </c>
      <c r="B1915" s="1415">
        <v>36.649990000000003</v>
      </c>
    </row>
    <row r="1916" spans="1:2" x14ac:dyDescent="0.35">
      <c r="A1916" s="1416">
        <v>37390</v>
      </c>
      <c r="B1916" s="1415">
        <v>37.56</v>
      </c>
    </row>
    <row r="1917" spans="1:2" x14ac:dyDescent="0.35">
      <c r="A1917" s="1416">
        <v>37391</v>
      </c>
      <c r="B1917" s="1415">
        <v>37.950000000000003</v>
      </c>
    </row>
    <row r="1918" spans="1:2" x14ac:dyDescent="0.35">
      <c r="A1918" s="1416">
        <v>37392</v>
      </c>
      <c r="B1918" s="1415">
        <v>37.549999999999997</v>
      </c>
    </row>
    <row r="1919" spans="1:2" x14ac:dyDescent="0.35">
      <c r="A1919" s="1416">
        <v>37393</v>
      </c>
      <c r="B1919" s="1415">
        <v>37.67</v>
      </c>
    </row>
    <row r="1920" spans="1:2" x14ac:dyDescent="0.35">
      <c r="A1920" s="1416">
        <v>37396</v>
      </c>
      <c r="B1920" s="1415">
        <v>36.75</v>
      </c>
    </row>
    <row r="1921" spans="1:2" x14ac:dyDescent="0.35">
      <c r="A1921" s="1416">
        <v>37397</v>
      </c>
      <c r="B1921" s="1415">
        <v>36.649990000000003</v>
      </c>
    </row>
    <row r="1922" spans="1:2" x14ac:dyDescent="0.35">
      <c r="A1922" s="1416">
        <v>37398</v>
      </c>
      <c r="B1922" s="1415">
        <v>35.490009999999998</v>
      </c>
    </row>
    <row r="1923" spans="1:2" x14ac:dyDescent="0.35">
      <c r="A1923" s="1416">
        <v>37399</v>
      </c>
      <c r="B1923" s="1415">
        <v>35.740009999999998</v>
      </c>
    </row>
    <row r="1924" spans="1:2" x14ac:dyDescent="0.35">
      <c r="A1924" s="1416">
        <v>37400</v>
      </c>
      <c r="B1924" s="1415">
        <v>35.350009999999997</v>
      </c>
    </row>
    <row r="1925" spans="1:2" x14ac:dyDescent="0.35">
      <c r="A1925" s="1416">
        <v>37404</v>
      </c>
      <c r="B1925" s="1415">
        <v>35.570010000000003</v>
      </c>
    </row>
    <row r="1926" spans="1:2" x14ac:dyDescent="0.35">
      <c r="A1926" s="1416">
        <v>37405</v>
      </c>
      <c r="B1926" s="1415">
        <v>35.509990000000002</v>
      </c>
    </row>
    <row r="1927" spans="1:2" x14ac:dyDescent="0.35">
      <c r="A1927" s="1416">
        <v>37406</v>
      </c>
      <c r="B1927" s="1415">
        <v>34.630000000000003</v>
      </c>
    </row>
    <row r="1928" spans="1:2" x14ac:dyDescent="0.35">
      <c r="A1928" s="1416">
        <v>37407</v>
      </c>
      <c r="B1928" s="1415">
        <v>34.479999999999997</v>
      </c>
    </row>
    <row r="1929" spans="1:2" x14ac:dyDescent="0.35">
      <c r="A1929" s="1416">
        <v>37410</v>
      </c>
      <c r="B1929" s="1415">
        <v>34.100009999999997</v>
      </c>
    </row>
    <row r="1930" spans="1:2" x14ac:dyDescent="0.35">
      <c r="A1930" s="1416">
        <v>37411</v>
      </c>
      <c r="B1930" s="1415">
        <v>34.240009999999998</v>
      </c>
    </row>
    <row r="1931" spans="1:2" x14ac:dyDescent="0.35">
      <c r="A1931" s="1416">
        <v>37412</v>
      </c>
      <c r="B1931" s="1415">
        <v>34.450000000000003</v>
      </c>
    </row>
    <row r="1932" spans="1:2" x14ac:dyDescent="0.35">
      <c r="A1932" s="1416">
        <v>37413</v>
      </c>
      <c r="B1932" s="1415">
        <v>34.399990000000003</v>
      </c>
    </row>
    <row r="1933" spans="1:2" x14ac:dyDescent="0.35">
      <c r="A1933" s="1416">
        <v>37414</v>
      </c>
      <c r="B1933" s="1415">
        <v>34.81</v>
      </c>
    </row>
    <row r="1934" spans="1:2" x14ac:dyDescent="0.35">
      <c r="A1934" s="1416">
        <v>37417</v>
      </c>
      <c r="B1934" s="1415">
        <v>34.820010000000003</v>
      </c>
    </row>
    <row r="1935" spans="1:2" x14ac:dyDescent="0.35">
      <c r="A1935" s="1416">
        <v>37418</v>
      </c>
      <c r="B1935" s="1415">
        <v>36</v>
      </c>
    </row>
    <row r="1936" spans="1:2" x14ac:dyDescent="0.35">
      <c r="A1936" s="1416">
        <v>37419</v>
      </c>
      <c r="B1936" s="1415">
        <v>35.520000000000003</v>
      </c>
    </row>
    <row r="1937" spans="1:2" x14ac:dyDescent="0.35">
      <c r="A1937" s="1416">
        <v>37420</v>
      </c>
      <c r="B1937" s="1415">
        <v>35.210009999999997</v>
      </c>
    </row>
    <row r="1938" spans="1:2" x14ac:dyDescent="0.35">
      <c r="A1938" s="1416">
        <v>37421</v>
      </c>
      <c r="B1938" s="1415">
        <v>35.22</v>
      </c>
    </row>
    <row r="1939" spans="1:2" x14ac:dyDescent="0.35">
      <c r="A1939" s="1416">
        <v>37424</v>
      </c>
      <c r="B1939" s="1415">
        <v>36.17</v>
      </c>
    </row>
    <row r="1940" spans="1:2" x14ac:dyDescent="0.35">
      <c r="A1940" s="1416">
        <v>37425</v>
      </c>
      <c r="B1940" s="1415">
        <v>35.950000000000003</v>
      </c>
    </row>
    <row r="1941" spans="1:2" x14ac:dyDescent="0.35">
      <c r="A1941" s="1416">
        <v>37426</v>
      </c>
      <c r="B1941" s="1415">
        <v>35.799999999999997</v>
      </c>
    </row>
    <row r="1942" spans="1:2" x14ac:dyDescent="0.35">
      <c r="A1942" s="1416">
        <v>37427</v>
      </c>
      <c r="B1942" s="1415">
        <v>36.240009999999998</v>
      </c>
    </row>
    <row r="1943" spans="1:2" x14ac:dyDescent="0.35">
      <c r="A1943" s="1416">
        <v>37428</v>
      </c>
      <c r="B1943" s="1415">
        <v>37.100009999999997</v>
      </c>
    </row>
    <row r="1944" spans="1:2" x14ac:dyDescent="0.35">
      <c r="A1944" s="1416">
        <v>37431</v>
      </c>
      <c r="B1944" s="1415">
        <v>36.960009999999997</v>
      </c>
    </row>
    <row r="1945" spans="1:2" x14ac:dyDescent="0.35">
      <c r="A1945" s="1416">
        <v>37432</v>
      </c>
      <c r="B1945" s="1415">
        <v>37.950000000000003</v>
      </c>
    </row>
    <row r="1946" spans="1:2" x14ac:dyDescent="0.35">
      <c r="A1946" s="1416">
        <v>37433</v>
      </c>
      <c r="B1946" s="1415">
        <v>38.619999999999997</v>
      </c>
    </row>
    <row r="1947" spans="1:2" x14ac:dyDescent="0.35">
      <c r="A1947" s="1416">
        <v>37434</v>
      </c>
      <c r="B1947" s="1415">
        <v>39.64</v>
      </c>
    </row>
    <row r="1948" spans="1:2" x14ac:dyDescent="0.35">
      <c r="A1948" s="1416">
        <v>37435</v>
      </c>
      <c r="B1948" s="1415">
        <v>39.42</v>
      </c>
    </row>
    <row r="1949" spans="1:2" x14ac:dyDescent="0.35">
      <c r="A1949" s="1416">
        <v>37438</v>
      </c>
      <c r="B1949" s="1415">
        <v>39.049999999999997</v>
      </c>
    </row>
    <row r="1950" spans="1:2" x14ac:dyDescent="0.35">
      <c r="A1950" s="1416">
        <v>37439</v>
      </c>
      <c r="B1950" s="1415">
        <v>38.19</v>
      </c>
    </row>
    <row r="1951" spans="1:2" x14ac:dyDescent="0.35">
      <c r="A1951" s="1416">
        <v>37440</v>
      </c>
      <c r="B1951" s="1415">
        <v>38.380000000000003</v>
      </c>
    </row>
    <row r="1952" spans="1:2" x14ac:dyDescent="0.35">
      <c r="A1952" s="1416">
        <v>37442</v>
      </c>
      <c r="B1952" s="1415">
        <v>39.11</v>
      </c>
    </row>
    <row r="1953" spans="1:2" x14ac:dyDescent="0.35">
      <c r="A1953" s="1416">
        <v>37445</v>
      </c>
      <c r="B1953" s="1415">
        <v>38.450000000000003</v>
      </c>
    </row>
    <row r="1954" spans="1:2" x14ac:dyDescent="0.35">
      <c r="A1954" s="1416">
        <v>37446</v>
      </c>
      <c r="B1954" s="1415">
        <v>38.24</v>
      </c>
    </row>
    <row r="1955" spans="1:2" x14ac:dyDescent="0.35">
      <c r="A1955" s="1416">
        <v>37447</v>
      </c>
      <c r="B1955" s="1415">
        <v>38.31</v>
      </c>
    </row>
    <row r="1956" spans="1:2" x14ac:dyDescent="0.35">
      <c r="A1956" s="1416">
        <v>37448</v>
      </c>
      <c r="B1956" s="1415">
        <v>37.89</v>
      </c>
    </row>
    <row r="1957" spans="1:2" x14ac:dyDescent="0.35">
      <c r="A1957" s="1416">
        <v>37449</v>
      </c>
      <c r="B1957" s="1415">
        <v>37.49</v>
      </c>
    </row>
    <row r="1958" spans="1:2" x14ac:dyDescent="0.35">
      <c r="A1958" s="1416">
        <v>37452</v>
      </c>
      <c r="B1958" s="1415">
        <v>37.4</v>
      </c>
    </row>
    <row r="1959" spans="1:2" x14ac:dyDescent="0.35">
      <c r="A1959" s="1416">
        <v>37453</v>
      </c>
      <c r="B1959" s="1415">
        <v>35.47</v>
      </c>
    </row>
    <row r="1960" spans="1:2" x14ac:dyDescent="0.35">
      <c r="A1960" s="1416">
        <v>37454</v>
      </c>
      <c r="B1960" s="1415">
        <v>35.07</v>
      </c>
    </row>
    <row r="1961" spans="1:2" x14ac:dyDescent="0.35">
      <c r="A1961" s="1416">
        <v>37455</v>
      </c>
      <c r="B1961" s="1415">
        <v>34.549999999999997</v>
      </c>
    </row>
    <row r="1962" spans="1:2" x14ac:dyDescent="0.35">
      <c r="A1962" s="1416">
        <v>37456</v>
      </c>
      <c r="B1962" s="1415">
        <v>32.799999999999997</v>
      </c>
    </row>
    <row r="1963" spans="1:2" x14ac:dyDescent="0.35">
      <c r="A1963" s="1416">
        <v>37459</v>
      </c>
      <c r="B1963" s="1415">
        <v>32</v>
      </c>
    </row>
    <row r="1964" spans="1:2" x14ac:dyDescent="0.35">
      <c r="A1964" s="1416">
        <v>37460</v>
      </c>
      <c r="B1964" s="1415">
        <v>33.68</v>
      </c>
    </row>
    <row r="1965" spans="1:2" x14ac:dyDescent="0.35">
      <c r="A1965" s="1416">
        <v>37461</v>
      </c>
      <c r="B1965" s="1415">
        <v>36.71</v>
      </c>
    </row>
    <row r="1966" spans="1:2" x14ac:dyDescent="0.35">
      <c r="A1966" s="1416">
        <v>37462</v>
      </c>
      <c r="B1966" s="1415">
        <v>35.75</v>
      </c>
    </row>
    <row r="1967" spans="1:2" x14ac:dyDescent="0.35">
      <c r="A1967" s="1416">
        <v>37463</v>
      </c>
      <c r="B1967" s="1415">
        <v>36.68</v>
      </c>
    </row>
    <row r="1968" spans="1:2" x14ac:dyDescent="0.35">
      <c r="A1968" s="1416">
        <v>37466</v>
      </c>
      <c r="B1968" s="1415">
        <v>39.14</v>
      </c>
    </row>
    <row r="1969" spans="1:2" x14ac:dyDescent="0.35">
      <c r="A1969" s="1416">
        <v>37467</v>
      </c>
      <c r="B1969" s="1415">
        <v>39.299999999999997</v>
      </c>
    </row>
    <row r="1970" spans="1:2" x14ac:dyDescent="0.35">
      <c r="A1970" s="1416">
        <v>37468</v>
      </c>
      <c r="B1970" s="1415">
        <v>39.25</v>
      </c>
    </row>
    <row r="1971" spans="1:2" x14ac:dyDescent="0.35">
      <c r="A1971" s="1416">
        <v>37469</v>
      </c>
      <c r="B1971" s="1415">
        <v>38.24</v>
      </c>
    </row>
    <row r="1972" spans="1:2" x14ac:dyDescent="0.35">
      <c r="A1972" s="1416">
        <v>37470</v>
      </c>
      <c r="B1972" s="1415">
        <v>36.450000000000003</v>
      </c>
    </row>
    <row r="1973" spans="1:2" x14ac:dyDescent="0.35">
      <c r="A1973" s="1416">
        <v>37473</v>
      </c>
      <c r="B1973" s="1415">
        <v>35.159999999999997</v>
      </c>
    </row>
    <row r="1974" spans="1:2" x14ac:dyDescent="0.35">
      <c r="A1974" s="1416">
        <v>37474</v>
      </c>
      <c r="B1974" s="1415">
        <v>37.130000000000003</v>
      </c>
    </row>
    <row r="1975" spans="1:2" x14ac:dyDescent="0.35">
      <c r="A1975" s="1416">
        <v>37475</v>
      </c>
      <c r="B1975" s="1415">
        <v>38.380000000000003</v>
      </c>
    </row>
    <row r="1976" spans="1:2" x14ac:dyDescent="0.35">
      <c r="A1976" s="1416">
        <v>37476</v>
      </c>
      <c r="B1976" s="1415">
        <v>38.82</v>
      </c>
    </row>
    <row r="1977" spans="1:2" x14ac:dyDescent="0.35">
      <c r="A1977" s="1416">
        <v>37477</v>
      </c>
      <c r="B1977" s="1415">
        <v>38.4</v>
      </c>
    </row>
    <row r="1978" spans="1:2" x14ac:dyDescent="0.35">
      <c r="A1978" s="1416">
        <v>37480</v>
      </c>
      <c r="B1978" s="1415">
        <v>38.85</v>
      </c>
    </row>
    <row r="1979" spans="1:2" x14ac:dyDescent="0.35">
      <c r="A1979" s="1416">
        <v>37481</v>
      </c>
      <c r="B1979" s="1415">
        <v>36.909999999999997</v>
      </c>
    </row>
    <row r="1980" spans="1:2" x14ac:dyDescent="0.35">
      <c r="A1980" s="1416">
        <v>37482</v>
      </c>
      <c r="B1980" s="1415">
        <v>39.07</v>
      </c>
    </row>
    <row r="1981" spans="1:2" x14ac:dyDescent="0.35">
      <c r="A1981" s="1416">
        <v>37483</v>
      </c>
      <c r="B1981" s="1415">
        <v>41.19</v>
      </c>
    </row>
    <row r="1982" spans="1:2" x14ac:dyDescent="0.35">
      <c r="A1982" s="1416">
        <v>37484</v>
      </c>
      <c r="B1982" s="1415">
        <v>42.17</v>
      </c>
    </row>
    <row r="1983" spans="1:2" x14ac:dyDescent="0.35">
      <c r="A1983" s="1416">
        <v>37487</v>
      </c>
      <c r="B1983" s="1415">
        <v>42.04</v>
      </c>
    </row>
    <row r="1984" spans="1:2" x14ac:dyDescent="0.35">
      <c r="A1984" s="1416">
        <v>37488</v>
      </c>
      <c r="B1984" s="1415">
        <v>41.13</v>
      </c>
    </row>
    <row r="1985" spans="1:2" x14ac:dyDescent="0.35">
      <c r="A1985" s="1416">
        <v>37489</v>
      </c>
      <c r="B1985" s="1415">
        <v>41.08</v>
      </c>
    </row>
    <row r="1986" spans="1:2" x14ac:dyDescent="0.35">
      <c r="A1986" s="1416">
        <v>37490</v>
      </c>
      <c r="B1986" s="1415">
        <v>41</v>
      </c>
    </row>
    <row r="1987" spans="1:2" x14ac:dyDescent="0.35">
      <c r="A1987" s="1416">
        <v>37491</v>
      </c>
      <c r="B1987" s="1415">
        <v>40.340000000000003</v>
      </c>
    </row>
    <row r="1988" spans="1:2" x14ac:dyDescent="0.35">
      <c r="A1988" s="1416">
        <v>37494</v>
      </c>
      <c r="B1988" s="1415">
        <v>40.49</v>
      </c>
    </row>
    <row r="1989" spans="1:2" x14ac:dyDescent="0.35">
      <c r="A1989" s="1416">
        <v>37495</v>
      </c>
      <c r="B1989" s="1415">
        <v>38.729999999999997</v>
      </c>
    </row>
    <row r="1990" spans="1:2" x14ac:dyDescent="0.35">
      <c r="A1990" s="1416">
        <v>37496</v>
      </c>
      <c r="B1990" s="1415">
        <v>38.42</v>
      </c>
    </row>
    <row r="1991" spans="1:2" x14ac:dyDescent="0.35">
      <c r="A1991" s="1416">
        <v>37497</v>
      </c>
      <c r="B1991" s="1415">
        <v>42.18</v>
      </c>
    </row>
    <row r="1992" spans="1:2" x14ac:dyDescent="0.35">
      <c r="A1992" s="1416">
        <v>37498</v>
      </c>
      <c r="B1992" s="1415">
        <v>41.83</v>
      </c>
    </row>
    <row r="1993" spans="1:2" x14ac:dyDescent="0.35">
      <c r="A1993" s="1416">
        <v>37502</v>
      </c>
      <c r="B1993" s="1415">
        <v>40.43</v>
      </c>
    </row>
    <row r="1994" spans="1:2" x14ac:dyDescent="0.35">
      <c r="A1994" s="1416">
        <v>37503</v>
      </c>
      <c r="B1994" s="1415">
        <v>41.85</v>
      </c>
    </row>
    <row r="1995" spans="1:2" x14ac:dyDescent="0.35">
      <c r="A1995" s="1416">
        <v>37504</v>
      </c>
      <c r="B1995" s="1415">
        <v>40.590000000000003</v>
      </c>
    </row>
    <row r="1996" spans="1:2" x14ac:dyDescent="0.35">
      <c r="A1996" s="1416">
        <v>37505</v>
      </c>
      <c r="B1996" s="1415">
        <v>41.7</v>
      </c>
    </row>
    <row r="1997" spans="1:2" x14ac:dyDescent="0.35">
      <c r="A1997" s="1416">
        <v>37508</v>
      </c>
      <c r="B1997" s="1415">
        <v>42.78</v>
      </c>
    </row>
    <row r="1998" spans="1:2" x14ac:dyDescent="0.35">
      <c r="A1998" s="1416">
        <v>37509</v>
      </c>
      <c r="B1998" s="1415">
        <v>43.4</v>
      </c>
    </row>
    <row r="1999" spans="1:2" x14ac:dyDescent="0.35">
      <c r="A1999" s="1416">
        <v>37510</v>
      </c>
      <c r="B1999" s="1415">
        <v>42.78</v>
      </c>
    </row>
    <row r="2000" spans="1:2" x14ac:dyDescent="0.35">
      <c r="A2000" s="1416">
        <v>37511</v>
      </c>
      <c r="B2000" s="1415">
        <v>41.81</v>
      </c>
    </row>
    <row r="2001" spans="1:2" x14ac:dyDescent="0.35">
      <c r="A2001" s="1416">
        <v>37512</v>
      </c>
      <c r="B2001" s="1415">
        <v>42.7</v>
      </c>
    </row>
    <row r="2002" spans="1:2" x14ac:dyDescent="0.35">
      <c r="A2002" s="1416">
        <v>37515</v>
      </c>
      <c r="B2002" s="1415">
        <v>42.11</v>
      </c>
    </row>
    <row r="2003" spans="1:2" x14ac:dyDescent="0.35">
      <c r="A2003" s="1416">
        <v>37516</v>
      </c>
      <c r="B2003" s="1415">
        <v>42.05</v>
      </c>
    </row>
    <row r="2004" spans="1:2" x14ac:dyDescent="0.35">
      <c r="A2004" s="1416">
        <v>37517</v>
      </c>
      <c r="B2004" s="1415">
        <v>42.8</v>
      </c>
    </row>
    <row r="2005" spans="1:2" x14ac:dyDescent="0.35">
      <c r="A2005" s="1416">
        <v>37518</v>
      </c>
      <c r="B2005" s="1415">
        <v>42.5</v>
      </c>
    </row>
    <row r="2006" spans="1:2" x14ac:dyDescent="0.35">
      <c r="A2006" s="1416">
        <v>37519</v>
      </c>
      <c r="B2006" s="1415">
        <v>42.49</v>
      </c>
    </row>
    <row r="2007" spans="1:2" x14ac:dyDescent="0.35">
      <c r="A2007" s="1416">
        <v>37522</v>
      </c>
      <c r="B2007" s="1415">
        <v>42.87</v>
      </c>
    </row>
    <row r="2008" spans="1:2" x14ac:dyDescent="0.35">
      <c r="A2008" s="1416">
        <v>37523</v>
      </c>
      <c r="B2008" s="1415">
        <v>42.23</v>
      </c>
    </row>
    <row r="2009" spans="1:2" x14ac:dyDescent="0.35">
      <c r="A2009" s="1416">
        <v>37524</v>
      </c>
      <c r="B2009" s="1415">
        <v>43.48</v>
      </c>
    </row>
    <row r="2010" spans="1:2" x14ac:dyDescent="0.35">
      <c r="A2010" s="1416">
        <v>37525</v>
      </c>
      <c r="B2010" s="1415">
        <v>43.991999999999997</v>
      </c>
    </row>
    <row r="2011" spans="1:2" x14ac:dyDescent="0.35">
      <c r="A2011" s="1416">
        <v>37526</v>
      </c>
      <c r="B2011" s="1415">
        <v>43.63</v>
      </c>
    </row>
    <row r="2012" spans="1:2" x14ac:dyDescent="0.35">
      <c r="A2012" s="1416">
        <v>37529</v>
      </c>
      <c r="B2012" s="1415">
        <v>43.43</v>
      </c>
    </row>
    <row r="2013" spans="1:2" x14ac:dyDescent="0.35">
      <c r="A2013" s="1416">
        <v>37530</v>
      </c>
      <c r="B2013" s="1415">
        <v>45.25</v>
      </c>
    </row>
    <row r="2014" spans="1:2" x14ac:dyDescent="0.35">
      <c r="A2014" s="1416">
        <v>37531</v>
      </c>
      <c r="B2014" s="1415">
        <v>43.29</v>
      </c>
    </row>
    <row r="2015" spans="1:2" x14ac:dyDescent="0.35">
      <c r="A2015" s="1416">
        <v>37532</v>
      </c>
      <c r="B2015" s="1415">
        <v>42.78</v>
      </c>
    </row>
    <row r="2016" spans="1:2" x14ac:dyDescent="0.35">
      <c r="A2016" s="1416">
        <v>37533</v>
      </c>
      <c r="B2016" s="1415">
        <v>40.549999999999997</v>
      </c>
    </row>
    <row r="2017" spans="1:2" x14ac:dyDescent="0.35">
      <c r="A2017" s="1416">
        <v>37536</v>
      </c>
      <c r="B2017" s="1415">
        <v>40.18</v>
      </c>
    </row>
    <row r="2018" spans="1:2" x14ac:dyDescent="0.35">
      <c r="A2018" s="1416">
        <v>37537</v>
      </c>
      <c r="B2018" s="1415">
        <v>43.94</v>
      </c>
    </row>
    <row r="2019" spans="1:2" x14ac:dyDescent="0.35">
      <c r="A2019" s="1416">
        <v>37538</v>
      </c>
      <c r="B2019" s="1415">
        <v>43.31</v>
      </c>
    </row>
    <row r="2020" spans="1:2" x14ac:dyDescent="0.35">
      <c r="A2020" s="1416">
        <v>37539</v>
      </c>
      <c r="B2020" s="1415">
        <v>43.32</v>
      </c>
    </row>
    <row r="2021" spans="1:2" x14ac:dyDescent="0.35">
      <c r="A2021" s="1416">
        <v>37540</v>
      </c>
      <c r="B2021" s="1415">
        <v>43.03</v>
      </c>
    </row>
    <row r="2022" spans="1:2" x14ac:dyDescent="0.35">
      <c r="A2022" s="1416">
        <v>37543</v>
      </c>
      <c r="B2022" s="1415">
        <v>44.430999999999997</v>
      </c>
    </row>
    <row r="2023" spans="1:2" x14ac:dyDescent="0.35">
      <c r="A2023" s="1416">
        <v>37544</v>
      </c>
      <c r="B2023" s="1415">
        <v>45.05</v>
      </c>
    </row>
    <row r="2024" spans="1:2" x14ac:dyDescent="0.35">
      <c r="A2024" s="1416">
        <v>37545</v>
      </c>
      <c r="B2024" s="1415">
        <v>45.25</v>
      </c>
    </row>
    <row r="2025" spans="1:2" x14ac:dyDescent="0.35">
      <c r="A2025" s="1416">
        <v>37546</v>
      </c>
      <c r="B2025" s="1415">
        <v>44.13</v>
      </c>
    </row>
    <row r="2026" spans="1:2" x14ac:dyDescent="0.35">
      <c r="A2026" s="1416">
        <v>37547</v>
      </c>
      <c r="B2026" s="1415">
        <v>43.41</v>
      </c>
    </row>
    <row r="2027" spans="1:2" x14ac:dyDescent="0.35">
      <c r="A2027" s="1416">
        <v>37550</v>
      </c>
      <c r="B2027" s="1415">
        <v>45.65</v>
      </c>
    </row>
    <row r="2028" spans="1:2" x14ac:dyDescent="0.35">
      <c r="A2028" s="1416">
        <v>37551</v>
      </c>
      <c r="B2028" s="1415">
        <v>41.92</v>
      </c>
    </row>
    <row r="2029" spans="1:2" x14ac:dyDescent="0.35">
      <c r="A2029" s="1416">
        <v>37552</v>
      </c>
      <c r="B2029" s="1415">
        <v>42.73</v>
      </c>
    </row>
    <row r="2030" spans="1:2" x14ac:dyDescent="0.35">
      <c r="A2030" s="1416">
        <v>37553</v>
      </c>
      <c r="B2030" s="1415">
        <v>40.94</v>
      </c>
    </row>
    <row r="2031" spans="1:2" x14ac:dyDescent="0.35">
      <c r="A2031" s="1416">
        <v>37554</v>
      </c>
      <c r="B2031" s="1415">
        <v>43.09</v>
      </c>
    </row>
    <row r="2032" spans="1:2" x14ac:dyDescent="0.35">
      <c r="A2032" s="1416">
        <v>37557</v>
      </c>
      <c r="B2032" s="1415">
        <v>41.12</v>
      </c>
    </row>
    <row r="2033" spans="1:2" x14ac:dyDescent="0.35">
      <c r="A2033" s="1416">
        <v>37558</v>
      </c>
      <c r="B2033" s="1415">
        <v>41.86</v>
      </c>
    </row>
    <row r="2034" spans="1:2" x14ac:dyDescent="0.35">
      <c r="A2034" s="1416">
        <v>37559</v>
      </c>
      <c r="B2034" s="1415">
        <v>43.02</v>
      </c>
    </row>
    <row r="2035" spans="1:2" x14ac:dyDescent="0.35">
      <c r="A2035" s="1416">
        <v>37560</v>
      </c>
      <c r="B2035" s="1415">
        <v>41.5</v>
      </c>
    </row>
    <row r="2036" spans="1:2" x14ac:dyDescent="0.35">
      <c r="A2036" s="1416">
        <v>37561</v>
      </c>
      <c r="B2036" s="1415">
        <v>42.22</v>
      </c>
    </row>
    <row r="2037" spans="1:2" x14ac:dyDescent="0.35">
      <c r="A2037" s="1416">
        <v>37564</v>
      </c>
      <c r="B2037" s="1415">
        <v>38.11</v>
      </c>
    </row>
    <row r="2038" spans="1:2" x14ac:dyDescent="0.35">
      <c r="A2038" s="1416">
        <v>37565</v>
      </c>
      <c r="B2038" s="1415">
        <v>40.82</v>
      </c>
    </row>
    <row r="2039" spans="1:2" x14ac:dyDescent="0.35">
      <c r="A2039" s="1416">
        <v>37566</v>
      </c>
      <c r="B2039" s="1415">
        <v>41.44</v>
      </c>
    </row>
    <row r="2040" spans="1:2" x14ac:dyDescent="0.35">
      <c r="A2040" s="1416">
        <v>37567</v>
      </c>
      <c r="B2040" s="1415">
        <v>41.51</v>
      </c>
    </row>
    <row r="2041" spans="1:2" x14ac:dyDescent="0.35">
      <c r="A2041" s="1416">
        <v>37568</v>
      </c>
      <c r="B2041" s="1415">
        <v>41.78</v>
      </c>
    </row>
    <row r="2042" spans="1:2" x14ac:dyDescent="0.35">
      <c r="A2042" s="1416">
        <v>37571</v>
      </c>
      <c r="B2042" s="1415">
        <v>40.58</v>
      </c>
    </row>
    <row r="2043" spans="1:2" x14ac:dyDescent="0.35">
      <c r="A2043" s="1416">
        <v>37572</v>
      </c>
      <c r="B2043" s="1415">
        <v>40.92</v>
      </c>
    </row>
    <row r="2044" spans="1:2" x14ac:dyDescent="0.35">
      <c r="A2044" s="1416">
        <v>37573</v>
      </c>
      <c r="B2044" s="1415">
        <v>41.01</v>
      </c>
    </row>
    <row r="2045" spans="1:2" x14ac:dyDescent="0.35">
      <c r="A2045" s="1416">
        <v>37574</v>
      </c>
      <c r="B2045" s="1415">
        <v>42.43</v>
      </c>
    </row>
    <row r="2046" spans="1:2" x14ac:dyDescent="0.35">
      <c r="A2046" s="1416">
        <v>37575</v>
      </c>
      <c r="B2046" s="1415">
        <v>42.4</v>
      </c>
    </row>
    <row r="2047" spans="1:2" x14ac:dyDescent="0.35">
      <c r="A2047" s="1416">
        <v>37578</v>
      </c>
      <c r="B2047" s="1415">
        <v>41.43</v>
      </c>
    </row>
    <row r="2048" spans="1:2" x14ac:dyDescent="0.35">
      <c r="A2048" s="1416">
        <v>37579</v>
      </c>
      <c r="B2048" s="1415">
        <v>41.61</v>
      </c>
    </row>
    <row r="2049" spans="1:2" x14ac:dyDescent="0.35">
      <c r="A2049" s="1416">
        <v>37580</v>
      </c>
      <c r="B2049" s="1415">
        <v>42.63</v>
      </c>
    </row>
    <row r="2050" spans="1:2" x14ac:dyDescent="0.35">
      <c r="A2050" s="1416">
        <v>37581</v>
      </c>
      <c r="B2050" s="1415">
        <v>43.53</v>
      </c>
    </row>
    <row r="2051" spans="1:2" x14ac:dyDescent="0.35">
      <c r="A2051" s="1416">
        <v>37582</v>
      </c>
      <c r="B2051" s="1415">
        <v>43.8</v>
      </c>
    </row>
    <row r="2052" spans="1:2" x14ac:dyDescent="0.35">
      <c r="A2052" s="1416">
        <v>37585</v>
      </c>
      <c r="B2052" s="1415">
        <v>43.69</v>
      </c>
    </row>
    <row r="2053" spans="1:2" x14ac:dyDescent="0.35">
      <c r="A2053" s="1416">
        <v>37586</v>
      </c>
      <c r="B2053" s="1415">
        <v>41.39</v>
      </c>
    </row>
    <row r="2054" spans="1:2" x14ac:dyDescent="0.35">
      <c r="A2054" s="1416">
        <v>37587</v>
      </c>
      <c r="B2054" s="1415">
        <v>42.35</v>
      </c>
    </row>
    <row r="2055" spans="1:2" x14ac:dyDescent="0.35">
      <c r="A2055" s="1416">
        <v>37589</v>
      </c>
      <c r="B2055" s="1415">
        <v>41.25</v>
      </c>
    </row>
    <row r="2056" spans="1:2" x14ac:dyDescent="0.35">
      <c r="A2056" s="1416">
        <v>37592</v>
      </c>
      <c r="B2056" s="1415">
        <v>41.3</v>
      </c>
    </row>
    <row r="2057" spans="1:2" x14ac:dyDescent="0.35">
      <c r="A2057" s="1416">
        <v>37593</v>
      </c>
      <c r="B2057" s="1415">
        <v>40.5</v>
      </c>
    </row>
    <row r="2058" spans="1:2" x14ac:dyDescent="0.35">
      <c r="A2058" s="1416">
        <v>37594</v>
      </c>
      <c r="B2058" s="1415">
        <v>41.83</v>
      </c>
    </row>
    <row r="2059" spans="1:2" x14ac:dyDescent="0.35">
      <c r="A2059" s="1416">
        <v>37595</v>
      </c>
      <c r="B2059" s="1415">
        <v>41.53</v>
      </c>
    </row>
    <row r="2060" spans="1:2" x14ac:dyDescent="0.35">
      <c r="A2060" s="1416">
        <v>37596</v>
      </c>
      <c r="B2060" s="1415">
        <v>42.08</v>
      </c>
    </row>
    <row r="2061" spans="1:2" x14ac:dyDescent="0.35">
      <c r="A2061" s="1416">
        <v>37599</v>
      </c>
      <c r="B2061" s="1415">
        <v>41.26</v>
      </c>
    </row>
    <row r="2062" spans="1:2" x14ac:dyDescent="0.35">
      <c r="A2062" s="1416">
        <v>37600</v>
      </c>
      <c r="B2062" s="1415">
        <v>41.21</v>
      </c>
    </row>
    <row r="2063" spans="1:2" x14ac:dyDescent="0.35">
      <c r="A2063" s="1416">
        <v>37601</v>
      </c>
      <c r="B2063" s="1415">
        <v>40.83</v>
      </c>
    </row>
    <row r="2064" spans="1:2" x14ac:dyDescent="0.35">
      <c r="A2064" s="1416">
        <v>37602</v>
      </c>
      <c r="B2064" s="1415">
        <v>41.04</v>
      </c>
    </row>
    <row r="2065" spans="1:2" x14ac:dyDescent="0.35">
      <c r="A2065" s="1416">
        <v>37603</v>
      </c>
      <c r="B2065" s="1415">
        <v>40.1</v>
      </c>
    </row>
    <row r="2066" spans="1:2" x14ac:dyDescent="0.35">
      <c r="A2066" s="1416">
        <v>37606</v>
      </c>
      <c r="B2066" s="1415">
        <v>41.89</v>
      </c>
    </row>
    <row r="2067" spans="1:2" x14ac:dyDescent="0.35">
      <c r="A2067" s="1416">
        <v>37607</v>
      </c>
      <c r="B2067" s="1415">
        <v>40.840000000000003</v>
      </c>
    </row>
    <row r="2068" spans="1:2" x14ac:dyDescent="0.35">
      <c r="A2068" s="1416">
        <v>37608</v>
      </c>
      <c r="B2068" s="1415">
        <v>43.58</v>
      </c>
    </row>
    <row r="2069" spans="1:2" x14ac:dyDescent="0.35">
      <c r="A2069" s="1416">
        <v>37609</v>
      </c>
      <c r="B2069" s="1415">
        <v>44.5</v>
      </c>
    </row>
    <row r="2070" spans="1:2" x14ac:dyDescent="0.35">
      <c r="A2070" s="1416">
        <v>37610</v>
      </c>
      <c r="B2070" s="1415">
        <v>45.25</v>
      </c>
    </row>
    <row r="2071" spans="1:2" x14ac:dyDescent="0.35">
      <c r="A2071" s="1416">
        <v>37613</v>
      </c>
      <c r="B2071" s="1415">
        <v>44.5</v>
      </c>
    </row>
    <row r="2072" spans="1:2" x14ac:dyDescent="0.35">
      <c r="A2072" s="1416">
        <v>37614</v>
      </c>
      <c r="B2072" s="1415">
        <v>44.27</v>
      </c>
    </row>
    <row r="2073" spans="1:2" x14ac:dyDescent="0.35">
      <c r="A2073" s="1416">
        <v>37616</v>
      </c>
      <c r="B2073" s="1415">
        <v>44.68</v>
      </c>
    </row>
    <row r="2074" spans="1:2" x14ac:dyDescent="0.35">
      <c r="A2074" s="1416">
        <v>37617</v>
      </c>
      <c r="B2074" s="1415">
        <v>44.25</v>
      </c>
    </row>
    <row r="2075" spans="1:2" x14ac:dyDescent="0.35">
      <c r="A2075" s="1416">
        <v>37620</v>
      </c>
      <c r="B2075" s="1415">
        <v>44.74</v>
      </c>
    </row>
    <row r="2076" spans="1:2" x14ac:dyDescent="0.35">
      <c r="A2076" s="1416">
        <v>37621</v>
      </c>
      <c r="B2076" s="1415">
        <v>44</v>
      </c>
    </row>
    <row r="2077" spans="1:2" x14ac:dyDescent="0.35">
      <c r="A2077" s="1416">
        <v>37623</v>
      </c>
      <c r="B2077" s="1415">
        <v>45.26</v>
      </c>
    </row>
    <row r="2078" spans="1:2" x14ac:dyDescent="0.35">
      <c r="A2078" s="1416">
        <v>37624</v>
      </c>
      <c r="B2078" s="1415">
        <v>45.77</v>
      </c>
    </row>
    <row r="2079" spans="1:2" x14ac:dyDescent="0.35">
      <c r="A2079" s="1416">
        <v>37627</v>
      </c>
      <c r="B2079" s="1415">
        <v>45.9</v>
      </c>
    </row>
    <row r="2080" spans="1:2" x14ac:dyDescent="0.35">
      <c r="A2080" s="1416">
        <v>37628</v>
      </c>
      <c r="B2080" s="1415">
        <v>44.68</v>
      </c>
    </row>
    <row r="2081" spans="1:2" x14ac:dyDescent="0.35">
      <c r="A2081" s="1416">
        <v>37629</v>
      </c>
      <c r="B2081" s="1415">
        <v>43.63</v>
      </c>
    </row>
    <row r="2082" spans="1:2" x14ac:dyDescent="0.35">
      <c r="A2082" s="1416">
        <v>37630</v>
      </c>
      <c r="B2082" s="1415">
        <v>43.9</v>
      </c>
    </row>
    <row r="2083" spans="1:2" x14ac:dyDescent="0.35">
      <c r="A2083" s="1416">
        <v>37631</v>
      </c>
      <c r="B2083" s="1415">
        <v>44.43</v>
      </c>
    </row>
    <row r="2084" spans="1:2" x14ac:dyDescent="0.35">
      <c r="A2084" s="1416">
        <v>37634</v>
      </c>
      <c r="B2084" s="1415">
        <v>43.54</v>
      </c>
    </row>
    <row r="2085" spans="1:2" x14ac:dyDescent="0.35">
      <c r="A2085" s="1416">
        <v>37635</v>
      </c>
      <c r="B2085" s="1415">
        <v>43.23</v>
      </c>
    </row>
    <row r="2086" spans="1:2" x14ac:dyDescent="0.35">
      <c r="A2086" s="1416">
        <v>37636</v>
      </c>
      <c r="B2086" s="1415">
        <v>43.24</v>
      </c>
    </row>
    <row r="2087" spans="1:2" x14ac:dyDescent="0.35">
      <c r="A2087" s="1416">
        <v>37637</v>
      </c>
      <c r="B2087" s="1415">
        <v>43.56</v>
      </c>
    </row>
    <row r="2088" spans="1:2" x14ac:dyDescent="0.35">
      <c r="A2088" s="1416">
        <v>37638</v>
      </c>
      <c r="B2088" s="1415">
        <v>42.87</v>
      </c>
    </row>
    <row r="2089" spans="1:2" x14ac:dyDescent="0.35">
      <c r="A2089" s="1416">
        <v>37642</v>
      </c>
      <c r="B2089" s="1415">
        <v>41.64</v>
      </c>
    </row>
    <row r="2090" spans="1:2" x14ac:dyDescent="0.35">
      <c r="A2090" s="1416">
        <v>37643</v>
      </c>
      <c r="B2090" s="1415">
        <v>41.52</v>
      </c>
    </row>
    <row r="2091" spans="1:2" x14ac:dyDescent="0.35">
      <c r="A2091" s="1416">
        <v>37644</v>
      </c>
      <c r="B2091" s="1415">
        <v>42.26</v>
      </c>
    </row>
    <row r="2092" spans="1:2" x14ac:dyDescent="0.35">
      <c r="A2092" s="1416">
        <v>37645</v>
      </c>
      <c r="B2092" s="1415">
        <v>41.25</v>
      </c>
    </row>
    <row r="2093" spans="1:2" x14ac:dyDescent="0.35">
      <c r="A2093" s="1416">
        <v>37648</v>
      </c>
      <c r="B2093" s="1415">
        <v>41.64</v>
      </c>
    </row>
    <row r="2094" spans="1:2" x14ac:dyDescent="0.35">
      <c r="A2094" s="1416">
        <v>37649</v>
      </c>
      <c r="B2094" s="1415">
        <v>41.97</v>
      </c>
    </row>
    <row r="2095" spans="1:2" x14ac:dyDescent="0.35">
      <c r="A2095" s="1416">
        <v>37650</v>
      </c>
      <c r="B2095" s="1415">
        <v>44.08</v>
      </c>
    </row>
    <row r="2096" spans="1:2" x14ac:dyDescent="0.35">
      <c r="A2096" s="1416">
        <v>37651</v>
      </c>
      <c r="B2096" s="1415">
        <v>44.09</v>
      </c>
    </row>
    <row r="2097" spans="1:2" x14ac:dyDescent="0.35">
      <c r="A2097" s="1416">
        <v>37652</v>
      </c>
      <c r="B2097" s="1415">
        <v>44.46</v>
      </c>
    </row>
    <row r="2098" spans="1:2" x14ac:dyDescent="0.35">
      <c r="A2098" s="1416">
        <v>37655</v>
      </c>
      <c r="B2098" s="1415">
        <v>44.9</v>
      </c>
    </row>
    <row r="2099" spans="1:2" x14ac:dyDescent="0.35">
      <c r="A2099" s="1416">
        <v>37656</v>
      </c>
      <c r="B2099" s="1415">
        <v>45.29</v>
      </c>
    </row>
    <row r="2100" spans="1:2" x14ac:dyDescent="0.35">
      <c r="A2100" s="1416">
        <v>37657</v>
      </c>
      <c r="B2100" s="1415">
        <v>44.05</v>
      </c>
    </row>
    <row r="2101" spans="1:2" x14ac:dyDescent="0.35">
      <c r="A2101" s="1416">
        <v>37658</v>
      </c>
      <c r="B2101" s="1415">
        <v>44.21</v>
      </c>
    </row>
    <row r="2102" spans="1:2" x14ac:dyDescent="0.35">
      <c r="A2102" s="1416">
        <v>37659</v>
      </c>
      <c r="B2102" s="1415">
        <v>43.48</v>
      </c>
    </row>
    <row r="2103" spans="1:2" x14ac:dyDescent="0.35">
      <c r="A2103" s="1416">
        <v>37662</v>
      </c>
      <c r="B2103" s="1415">
        <v>44.24</v>
      </c>
    </row>
    <row r="2104" spans="1:2" x14ac:dyDescent="0.35">
      <c r="A2104" s="1416">
        <v>37663</v>
      </c>
      <c r="B2104" s="1415">
        <v>44.66</v>
      </c>
    </row>
    <row r="2105" spans="1:2" x14ac:dyDescent="0.35">
      <c r="A2105" s="1416">
        <v>37664</v>
      </c>
      <c r="B2105" s="1415">
        <v>44.12</v>
      </c>
    </row>
    <row r="2106" spans="1:2" x14ac:dyDescent="0.35">
      <c r="A2106" s="1416">
        <v>37665</v>
      </c>
      <c r="B2106" s="1415">
        <v>44.29</v>
      </c>
    </row>
    <row r="2107" spans="1:2" x14ac:dyDescent="0.35">
      <c r="A2107" s="1416">
        <v>37666</v>
      </c>
      <c r="B2107" s="1415">
        <v>44.73</v>
      </c>
    </row>
    <row r="2108" spans="1:2" x14ac:dyDescent="0.35">
      <c r="A2108" s="1416">
        <v>37670</v>
      </c>
      <c r="B2108" s="1415">
        <v>45.69</v>
      </c>
    </row>
    <row r="2109" spans="1:2" x14ac:dyDescent="0.35">
      <c r="A2109" s="1416">
        <v>37671</v>
      </c>
      <c r="B2109" s="1415">
        <v>44.51</v>
      </c>
    </row>
    <row r="2110" spans="1:2" x14ac:dyDescent="0.35">
      <c r="A2110" s="1416">
        <v>37672</v>
      </c>
      <c r="B2110" s="1415">
        <v>44.37</v>
      </c>
    </row>
    <row r="2111" spans="1:2" x14ac:dyDescent="0.35">
      <c r="A2111" s="1416">
        <v>37673</v>
      </c>
      <c r="B2111" s="1415">
        <v>45.24</v>
      </c>
    </row>
    <row r="2112" spans="1:2" x14ac:dyDescent="0.35">
      <c r="A2112" s="1416">
        <v>37676</v>
      </c>
      <c r="B2112" s="1415">
        <v>44.67</v>
      </c>
    </row>
    <row r="2113" spans="1:2" x14ac:dyDescent="0.35">
      <c r="A2113" s="1416">
        <v>37677</v>
      </c>
      <c r="B2113" s="1415">
        <v>44.88</v>
      </c>
    </row>
    <row r="2114" spans="1:2" x14ac:dyDescent="0.35">
      <c r="A2114" s="1416">
        <v>37678</v>
      </c>
      <c r="B2114" s="1415">
        <v>44.08</v>
      </c>
    </row>
    <row r="2115" spans="1:2" x14ac:dyDescent="0.35">
      <c r="A2115" s="1416">
        <v>37679</v>
      </c>
      <c r="B2115" s="1415">
        <v>45.47</v>
      </c>
    </row>
    <row r="2116" spans="1:2" x14ac:dyDescent="0.35">
      <c r="A2116" s="1416">
        <v>37680</v>
      </c>
      <c r="B2116" s="1415">
        <v>46.34</v>
      </c>
    </row>
    <row r="2117" spans="1:2" x14ac:dyDescent="0.35">
      <c r="A2117" s="1416">
        <v>37683</v>
      </c>
      <c r="B2117" s="1415">
        <v>45.45</v>
      </c>
    </row>
    <row r="2118" spans="1:2" x14ac:dyDescent="0.35">
      <c r="A2118" s="1416">
        <v>37684</v>
      </c>
      <c r="B2118" s="1415">
        <v>45.29</v>
      </c>
    </row>
    <row r="2119" spans="1:2" x14ac:dyDescent="0.35">
      <c r="A2119" s="1416">
        <v>37685</v>
      </c>
      <c r="B2119" s="1415">
        <v>45.68</v>
      </c>
    </row>
    <row r="2120" spans="1:2" x14ac:dyDescent="0.35">
      <c r="A2120" s="1416">
        <v>37686</v>
      </c>
      <c r="B2120" s="1415">
        <v>45.78</v>
      </c>
    </row>
    <row r="2121" spans="1:2" x14ac:dyDescent="0.35">
      <c r="A2121" s="1416">
        <v>37687</v>
      </c>
      <c r="B2121" s="1415">
        <v>46.39</v>
      </c>
    </row>
    <row r="2122" spans="1:2" x14ac:dyDescent="0.35">
      <c r="A2122" s="1416">
        <v>37690</v>
      </c>
      <c r="B2122" s="1415">
        <v>45.92</v>
      </c>
    </row>
    <row r="2123" spans="1:2" x14ac:dyDescent="0.35">
      <c r="A2123" s="1416">
        <v>37691</v>
      </c>
      <c r="B2123" s="1415">
        <v>46.13</v>
      </c>
    </row>
    <row r="2124" spans="1:2" x14ac:dyDescent="0.35">
      <c r="A2124" s="1416">
        <v>37692</v>
      </c>
      <c r="B2124" s="1415">
        <v>46.34</v>
      </c>
    </row>
    <row r="2125" spans="1:2" x14ac:dyDescent="0.35">
      <c r="A2125" s="1416">
        <v>37693</v>
      </c>
      <c r="B2125" s="1415">
        <v>48.01</v>
      </c>
    </row>
    <row r="2126" spans="1:2" x14ac:dyDescent="0.35">
      <c r="A2126" s="1416">
        <v>37694</v>
      </c>
      <c r="B2126" s="1415">
        <v>47.84</v>
      </c>
    </row>
    <row r="2127" spans="1:2" x14ac:dyDescent="0.35">
      <c r="A2127" s="1416">
        <v>37697</v>
      </c>
      <c r="B2127" s="1415">
        <v>48.890999999999998</v>
      </c>
    </row>
    <row r="2128" spans="1:2" x14ac:dyDescent="0.35">
      <c r="A2128" s="1416">
        <v>37698</v>
      </c>
      <c r="B2128" s="1415">
        <v>48.34</v>
      </c>
    </row>
    <row r="2129" spans="1:2" x14ac:dyDescent="0.35">
      <c r="A2129" s="1416">
        <v>37699</v>
      </c>
      <c r="B2129" s="1415">
        <v>49.45</v>
      </c>
    </row>
    <row r="2130" spans="1:2" x14ac:dyDescent="0.35">
      <c r="A2130" s="1416">
        <v>37700</v>
      </c>
      <c r="B2130" s="1415">
        <v>50.05</v>
      </c>
    </row>
    <row r="2131" spans="1:2" x14ac:dyDescent="0.35">
      <c r="A2131" s="1416">
        <v>37701</v>
      </c>
      <c r="B2131" s="1415">
        <v>50.78</v>
      </c>
    </row>
    <row r="2132" spans="1:2" x14ac:dyDescent="0.35">
      <c r="A2132" s="1416">
        <v>37704</v>
      </c>
      <c r="B2132" s="1415">
        <v>48.26</v>
      </c>
    </row>
    <row r="2133" spans="1:2" x14ac:dyDescent="0.35">
      <c r="A2133" s="1416">
        <v>37705</v>
      </c>
      <c r="B2133" s="1415">
        <v>49.93</v>
      </c>
    </row>
    <row r="2134" spans="1:2" x14ac:dyDescent="0.35">
      <c r="A2134" s="1416">
        <v>37706</v>
      </c>
      <c r="B2134" s="1415">
        <v>50.978999999999999</v>
      </c>
    </row>
    <row r="2135" spans="1:2" x14ac:dyDescent="0.35">
      <c r="A2135" s="1416">
        <v>37707</v>
      </c>
      <c r="B2135" s="1415">
        <v>51.97</v>
      </c>
    </row>
    <row r="2136" spans="1:2" x14ac:dyDescent="0.35">
      <c r="A2136" s="1416">
        <v>37708</v>
      </c>
      <c r="B2136" s="1415">
        <v>50.01</v>
      </c>
    </row>
    <row r="2137" spans="1:2" x14ac:dyDescent="0.35">
      <c r="A2137" s="1416">
        <v>37711</v>
      </c>
      <c r="B2137" s="1415">
        <v>49.9</v>
      </c>
    </row>
    <row r="2138" spans="1:2" x14ac:dyDescent="0.35">
      <c r="A2138" s="1416">
        <v>37712</v>
      </c>
      <c r="B2138" s="1415">
        <v>51.32</v>
      </c>
    </row>
    <row r="2139" spans="1:2" x14ac:dyDescent="0.35">
      <c r="A2139" s="1416">
        <v>37713</v>
      </c>
      <c r="B2139" s="1415">
        <v>51.4</v>
      </c>
    </row>
    <row r="2140" spans="1:2" x14ac:dyDescent="0.35">
      <c r="A2140" s="1416">
        <v>37714</v>
      </c>
      <c r="B2140" s="1415">
        <v>50.521000000000001</v>
      </c>
    </row>
    <row r="2141" spans="1:2" x14ac:dyDescent="0.35">
      <c r="A2141" s="1416">
        <v>37715</v>
      </c>
      <c r="B2141" s="1415">
        <v>49.8</v>
      </c>
    </row>
    <row r="2142" spans="1:2" x14ac:dyDescent="0.35">
      <c r="A2142" s="1416">
        <v>37718</v>
      </c>
      <c r="B2142" s="1415">
        <v>50.18</v>
      </c>
    </row>
    <row r="2143" spans="1:2" x14ac:dyDescent="0.35">
      <c r="A2143" s="1416">
        <v>37719</v>
      </c>
      <c r="B2143" s="1415">
        <v>50.72</v>
      </c>
    </row>
    <row r="2144" spans="1:2" x14ac:dyDescent="0.35">
      <c r="A2144" s="1416">
        <v>37720</v>
      </c>
      <c r="B2144" s="1415">
        <v>50.98</v>
      </c>
    </row>
    <row r="2145" spans="1:2" x14ac:dyDescent="0.35">
      <c r="A2145" s="1416">
        <v>37721</v>
      </c>
      <c r="B2145" s="1415">
        <v>51.62</v>
      </c>
    </row>
    <row r="2146" spans="1:2" x14ac:dyDescent="0.35">
      <c r="A2146" s="1416">
        <v>37722</v>
      </c>
      <c r="B2146" s="1415">
        <v>51.52</v>
      </c>
    </row>
    <row r="2147" spans="1:2" x14ac:dyDescent="0.35">
      <c r="A2147" s="1416">
        <v>37725</v>
      </c>
      <c r="B2147" s="1415">
        <v>53.04</v>
      </c>
    </row>
    <row r="2148" spans="1:2" x14ac:dyDescent="0.35">
      <c r="A2148" s="1416">
        <v>37726</v>
      </c>
      <c r="B2148" s="1415">
        <v>53.35</v>
      </c>
    </row>
    <row r="2149" spans="1:2" x14ac:dyDescent="0.35">
      <c r="A2149" s="1416">
        <v>37727</v>
      </c>
      <c r="B2149" s="1415">
        <v>51.44</v>
      </c>
    </row>
    <row r="2150" spans="1:2" x14ac:dyDescent="0.35">
      <c r="A2150" s="1416">
        <v>37728</v>
      </c>
      <c r="B2150" s="1415">
        <v>53.75</v>
      </c>
    </row>
    <row r="2151" spans="1:2" x14ac:dyDescent="0.35">
      <c r="A2151" s="1416">
        <v>37732</v>
      </c>
      <c r="B2151" s="1415">
        <v>52.97</v>
      </c>
    </row>
    <row r="2152" spans="1:2" x14ac:dyDescent="0.35">
      <c r="A2152" s="1416">
        <v>37733</v>
      </c>
      <c r="B2152" s="1415">
        <v>53.7</v>
      </c>
    </row>
    <row r="2153" spans="1:2" x14ac:dyDescent="0.35">
      <c r="A2153" s="1416">
        <v>37734</v>
      </c>
      <c r="B2153" s="1415">
        <v>55.65</v>
      </c>
    </row>
    <row r="2154" spans="1:2" x14ac:dyDescent="0.35">
      <c r="A2154" s="1416">
        <v>37735</v>
      </c>
      <c r="B2154" s="1415">
        <v>53.74</v>
      </c>
    </row>
    <row r="2155" spans="1:2" x14ac:dyDescent="0.35">
      <c r="A2155" s="1416">
        <v>37736</v>
      </c>
      <c r="B2155" s="1415">
        <v>52.39</v>
      </c>
    </row>
    <row r="2156" spans="1:2" x14ac:dyDescent="0.35">
      <c r="A2156" s="1416">
        <v>37739</v>
      </c>
      <c r="B2156" s="1415">
        <v>54.7</v>
      </c>
    </row>
    <row r="2157" spans="1:2" x14ac:dyDescent="0.35">
      <c r="A2157" s="1416">
        <v>37740</v>
      </c>
      <c r="B2157" s="1415">
        <v>54.88</v>
      </c>
    </row>
    <row r="2158" spans="1:2" x14ac:dyDescent="0.35">
      <c r="A2158" s="1416">
        <v>37741</v>
      </c>
      <c r="B2158" s="1415">
        <v>54.14</v>
      </c>
    </row>
    <row r="2159" spans="1:2" x14ac:dyDescent="0.35">
      <c r="A2159" s="1416">
        <v>37742</v>
      </c>
      <c r="B2159" s="1415">
        <v>54.6</v>
      </c>
    </row>
    <row r="2160" spans="1:2" x14ac:dyDescent="0.35">
      <c r="A2160" s="1416">
        <v>37743</v>
      </c>
      <c r="B2160" s="1415">
        <v>56.48</v>
      </c>
    </row>
    <row r="2161" spans="1:2" x14ac:dyDescent="0.35">
      <c r="A2161" s="1416">
        <v>37746</v>
      </c>
      <c r="B2161" s="1415">
        <v>55.86</v>
      </c>
    </row>
    <row r="2162" spans="1:2" x14ac:dyDescent="0.35">
      <c r="A2162" s="1416">
        <v>37747</v>
      </c>
      <c r="B2162" s="1415">
        <v>56.66</v>
      </c>
    </row>
    <row r="2163" spans="1:2" x14ac:dyDescent="0.35">
      <c r="A2163" s="1416">
        <v>37748</v>
      </c>
      <c r="B2163" s="1415">
        <v>56.01</v>
      </c>
    </row>
    <row r="2164" spans="1:2" x14ac:dyDescent="0.35">
      <c r="A2164" s="1416">
        <v>37749</v>
      </c>
      <c r="B2164" s="1415">
        <v>55.43</v>
      </c>
    </row>
    <row r="2165" spans="1:2" x14ac:dyDescent="0.35">
      <c r="A2165" s="1416">
        <v>37750</v>
      </c>
      <c r="B2165" s="1415">
        <v>56.46</v>
      </c>
    </row>
    <row r="2166" spans="1:2" x14ac:dyDescent="0.35">
      <c r="A2166" s="1416">
        <v>37753</v>
      </c>
      <c r="B2166" s="1415">
        <v>57.17</v>
      </c>
    </row>
    <row r="2167" spans="1:2" x14ac:dyDescent="0.35">
      <c r="A2167" s="1416">
        <v>37754</v>
      </c>
      <c r="B2167" s="1415">
        <v>56.11</v>
      </c>
    </row>
    <row r="2168" spans="1:2" x14ac:dyDescent="0.35">
      <c r="A2168" s="1416">
        <v>37755</v>
      </c>
      <c r="B2168" s="1415">
        <v>55.97</v>
      </c>
    </row>
    <row r="2169" spans="1:2" x14ac:dyDescent="0.35">
      <c r="A2169" s="1416">
        <v>37756</v>
      </c>
      <c r="B2169" s="1415">
        <v>57.08</v>
      </c>
    </row>
    <row r="2170" spans="1:2" x14ac:dyDescent="0.35">
      <c r="A2170" s="1416">
        <v>37757</v>
      </c>
      <c r="B2170" s="1415">
        <v>55.32</v>
      </c>
    </row>
    <row r="2171" spans="1:2" x14ac:dyDescent="0.35">
      <c r="A2171" s="1416">
        <v>37760</v>
      </c>
      <c r="B2171" s="1415">
        <v>53.35</v>
      </c>
    </row>
    <row r="2172" spans="1:2" x14ac:dyDescent="0.35">
      <c r="A2172" s="1416">
        <v>37761</v>
      </c>
      <c r="B2172" s="1415">
        <v>53.24</v>
      </c>
    </row>
    <row r="2173" spans="1:2" x14ac:dyDescent="0.35">
      <c r="A2173" s="1416">
        <v>37762</v>
      </c>
      <c r="B2173" s="1415">
        <v>54.12</v>
      </c>
    </row>
    <row r="2174" spans="1:2" x14ac:dyDescent="0.35">
      <c r="A2174" s="1416">
        <v>37763</v>
      </c>
      <c r="B2174" s="1415">
        <v>53.29</v>
      </c>
    </row>
    <row r="2175" spans="1:2" x14ac:dyDescent="0.35">
      <c r="A2175" s="1416">
        <v>37764</v>
      </c>
      <c r="B2175" s="1415">
        <v>52.4</v>
      </c>
    </row>
    <row r="2176" spans="1:2" x14ac:dyDescent="0.35">
      <c r="A2176" s="1416">
        <v>37768</v>
      </c>
      <c r="B2176" s="1415">
        <v>54.95</v>
      </c>
    </row>
    <row r="2177" spans="1:2" x14ac:dyDescent="0.35">
      <c r="A2177" s="1416">
        <v>37769</v>
      </c>
      <c r="B2177" s="1415">
        <v>55.54</v>
      </c>
    </row>
    <row r="2178" spans="1:2" x14ac:dyDescent="0.35">
      <c r="A2178" s="1416">
        <v>37770</v>
      </c>
      <c r="B2178" s="1415">
        <v>56.09</v>
      </c>
    </row>
    <row r="2179" spans="1:2" x14ac:dyDescent="0.35">
      <c r="A2179" s="1416">
        <v>37771</v>
      </c>
      <c r="B2179" s="1415">
        <v>57.84</v>
      </c>
    </row>
    <row r="2180" spans="1:2" x14ac:dyDescent="0.35">
      <c r="A2180" s="1416">
        <v>37774</v>
      </c>
      <c r="B2180" s="1415">
        <v>58</v>
      </c>
    </row>
    <row r="2181" spans="1:2" x14ac:dyDescent="0.35">
      <c r="A2181" s="1416">
        <v>37775</v>
      </c>
      <c r="B2181" s="1415">
        <v>58.76</v>
      </c>
    </row>
    <row r="2182" spans="1:2" x14ac:dyDescent="0.35">
      <c r="A2182" s="1416">
        <v>37776</v>
      </c>
      <c r="B2182" s="1415">
        <v>60</v>
      </c>
    </row>
    <row r="2183" spans="1:2" x14ac:dyDescent="0.35">
      <c r="A2183" s="1416">
        <v>37777</v>
      </c>
      <c r="B2183" s="1415">
        <v>59.88</v>
      </c>
    </row>
    <row r="2184" spans="1:2" x14ac:dyDescent="0.35">
      <c r="A2184" s="1416">
        <v>37778</v>
      </c>
      <c r="B2184" s="1415">
        <v>58.79</v>
      </c>
    </row>
    <row r="2185" spans="1:2" x14ac:dyDescent="0.35">
      <c r="A2185" s="1416">
        <v>37781</v>
      </c>
      <c r="B2185" s="1415">
        <v>58.29</v>
      </c>
    </row>
    <row r="2186" spans="1:2" x14ac:dyDescent="0.35">
      <c r="A2186" s="1416">
        <v>37782</v>
      </c>
      <c r="B2186" s="1415">
        <v>59.09</v>
      </c>
    </row>
    <row r="2187" spans="1:2" x14ac:dyDescent="0.35">
      <c r="A2187" s="1416">
        <v>37783</v>
      </c>
      <c r="B2187" s="1415">
        <v>60.46</v>
      </c>
    </row>
    <row r="2188" spans="1:2" x14ac:dyDescent="0.35">
      <c r="A2188" s="1416">
        <v>37784</v>
      </c>
      <c r="B2188" s="1415">
        <v>59.78</v>
      </c>
    </row>
    <row r="2189" spans="1:2" x14ac:dyDescent="0.35">
      <c r="A2189" s="1416">
        <v>37785</v>
      </c>
      <c r="B2189" s="1415">
        <v>60.34</v>
      </c>
    </row>
    <row r="2190" spans="1:2" x14ac:dyDescent="0.35">
      <c r="A2190" s="1416">
        <v>37788</v>
      </c>
      <c r="B2190" s="1415">
        <v>63.25</v>
      </c>
    </row>
    <row r="2191" spans="1:2" x14ac:dyDescent="0.35">
      <c r="A2191" s="1416">
        <v>37789</v>
      </c>
      <c r="B2191" s="1415">
        <v>62.05</v>
      </c>
    </row>
    <row r="2192" spans="1:2" x14ac:dyDescent="0.35">
      <c r="A2192" s="1416">
        <v>37790</v>
      </c>
      <c r="B2192" s="1415">
        <v>62.92</v>
      </c>
    </row>
    <row r="2193" spans="1:2" x14ac:dyDescent="0.35">
      <c r="A2193" s="1416">
        <v>37791</v>
      </c>
      <c r="B2193" s="1415">
        <v>60.96</v>
      </c>
    </row>
    <row r="2194" spans="1:2" x14ac:dyDescent="0.35">
      <c r="A2194" s="1416">
        <v>37792</v>
      </c>
      <c r="B2194" s="1415">
        <v>61.06</v>
      </c>
    </row>
    <row r="2195" spans="1:2" x14ac:dyDescent="0.35">
      <c r="A2195" s="1416">
        <v>37795</v>
      </c>
      <c r="B2195" s="1415">
        <v>60.42</v>
      </c>
    </row>
    <row r="2196" spans="1:2" x14ac:dyDescent="0.35">
      <c r="A2196" s="1416">
        <v>37796</v>
      </c>
      <c r="B2196" s="1415">
        <v>63.19</v>
      </c>
    </row>
    <row r="2197" spans="1:2" x14ac:dyDescent="0.35">
      <c r="A2197" s="1416">
        <v>37797</v>
      </c>
      <c r="B2197" s="1415">
        <v>63.06</v>
      </c>
    </row>
    <row r="2198" spans="1:2" x14ac:dyDescent="0.35">
      <c r="A2198" s="1416">
        <v>37798</v>
      </c>
      <c r="B2198" s="1415">
        <v>62.46</v>
      </c>
    </row>
    <row r="2199" spans="1:2" x14ac:dyDescent="0.35">
      <c r="A2199" s="1416">
        <v>37799</v>
      </c>
      <c r="B2199" s="1415">
        <v>61.74</v>
      </c>
    </row>
    <row r="2200" spans="1:2" x14ac:dyDescent="0.35">
      <c r="A2200" s="1416">
        <v>37802</v>
      </c>
      <c r="B2200" s="1415">
        <v>61.8</v>
      </c>
    </row>
    <row r="2201" spans="1:2" x14ac:dyDescent="0.35">
      <c r="A2201" s="1416">
        <v>37803</v>
      </c>
      <c r="B2201" s="1415">
        <v>63.45</v>
      </c>
    </row>
    <row r="2202" spans="1:2" x14ac:dyDescent="0.35">
      <c r="A2202" s="1416">
        <v>37804</v>
      </c>
      <c r="B2202" s="1415">
        <v>65.239999999999995</v>
      </c>
    </row>
    <row r="2203" spans="1:2" x14ac:dyDescent="0.35">
      <c r="A2203" s="1416">
        <v>37805</v>
      </c>
      <c r="B2203" s="1415">
        <v>64.75</v>
      </c>
    </row>
    <row r="2204" spans="1:2" x14ac:dyDescent="0.35">
      <c r="A2204" s="1416">
        <v>37809</v>
      </c>
      <c r="B2204" s="1415">
        <v>64.680000000000007</v>
      </c>
    </row>
    <row r="2205" spans="1:2" x14ac:dyDescent="0.35">
      <c r="A2205" s="1416">
        <v>37810</v>
      </c>
      <c r="B2205" s="1415">
        <v>65.67</v>
      </c>
    </row>
    <row r="2206" spans="1:2" x14ac:dyDescent="0.35">
      <c r="A2206" s="1416">
        <v>37811</v>
      </c>
      <c r="B2206" s="1415">
        <v>65</v>
      </c>
    </row>
    <row r="2207" spans="1:2" x14ac:dyDescent="0.35">
      <c r="A2207" s="1416">
        <v>37812</v>
      </c>
      <c r="B2207" s="1415">
        <v>65</v>
      </c>
    </row>
    <row r="2208" spans="1:2" x14ac:dyDescent="0.35">
      <c r="A2208" s="1416">
        <v>37813</v>
      </c>
      <c r="B2208" s="1415">
        <v>65.56</v>
      </c>
    </row>
    <row r="2209" spans="1:2" x14ac:dyDescent="0.35">
      <c r="A2209" s="1416">
        <v>37816</v>
      </c>
      <c r="B2209" s="1415">
        <v>65.16</v>
      </c>
    </row>
    <row r="2210" spans="1:2" x14ac:dyDescent="0.35">
      <c r="A2210" s="1416">
        <v>37817</v>
      </c>
      <c r="B2210" s="1415">
        <v>65.36</v>
      </c>
    </row>
    <row r="2211" spans="1:2" x14ac:dyDescent="0.35">
      <c r="A2211" s="1416">
        <v>37818</v>
      </c>
      <c r="B2211" s="1415">
        <v>64.17</v>
      </c>
    </row>
    <row r="2212" spans="1:2" x14ac:dyDescent="0.35">
      <c r="A2212" s="1416">
        <v>37819</v>
      </c>
      <c r="B2212" s="1415">
        <v>62.67</v>
      </c>
    </row>
    <row r="2213" spans="1:2" x14ac:dyDescent="0.35">
      <c r="A2213" s="1416">
        <v>37820</v>
      </c>
      <c r="B2213" s="1415">
        <v>64.150000000000006</v>
      </c>
    </row>
    <row r="2214" spans="1:2" x14ac:dyDescent="0.35">
      <c r="A2214" s="1416">
        <v>37823</v>
      </c>
      <c r="B2214" s="1415">
        <v>61.98</v>
      </c>
    </row>
    <row r="2215" spans="1:2" x14ac:dyDescent="0.35">
      <c r="A2215" s="1416">
        <v>37824</v>
      </c>
      <c r="B2215" s="1415">
        <v>60.66</v>
      </c>
    </row>
    <row r="2216" spans="1:2" x14ac:dyDescent="0.35">
      <c r="A2216" s="1416">
        <v>37825</v>
      </c>
      <c r="B2216" s="1415">
        <v>64.069999999999993</v>
      </c>
    </row>
    <row r="2217" spans="1:2" x14ac:dyDescent="0.35">
      <c r="A2217" s="1416">
        <v>37826</v>
      </c>
      <c r="B2217" s="1415">
        <v>64.05</v>
      </c>
    </row>
    <row r="2218" spans="1:2" x14ac:dyDescent="0.35">
      <c r="A2218" s="1416">
        <v>37827</v>
      </c>
      <c r="B2218" s="1415">
        <v>63.99</v>
      </c>
    </row>
    <row r="2219" spans="1:2" x14ac:dyDescent="0.35">
      <c r="A2219" s="1416">
        <v>37830</v>
      </c>
      <c r="B2219" s="1415">
        <v>64.790000000000006</v>
      </c>
    </row>
    <row r="2220" spans="1:2" x14ac:dyDescent="0.35">
      <c r="A2220" s="1416">
        <v>37831</v>
      </c>
      <c r="B2220" s="1415">
        <v>65.69</v>
      </c>
    </row>
    <row r="2221" spans="1:2" x14ac:dyDescent="0.35">
      <c r="A2221" s="1416">
        <v>37832</v>
      </c>
      <c r="B2221" s="1415">
        <v>64.95</v>
      </c>
    </row>
    <row r="2222" spans="1:2" x14ac:dyDescent="0.35">
      <c r="A2222" s="1416">
        <v>37833</v>
      </c>
      <c r="B2222" s="1415">
        <v>64.97</v>
      </c>
    </row>
    <row r="2223" spans="1:2" x14ac:dyDescent="0.35">
      <c r="A2223" s="1416">
        <v>37834</v>
      </c>
      <c r="B2223" s="1415">
        <v>64.61</v>
      </c>
    </row>
    <row r="2224" spans="1:2" x14ac:dyDescent="0.35">
      <c r="A2224" s="1416">
        <v>37837</v>
      </c>
      <c r="B2224" s="1415">
        <v>64.13</v>
      </c>
    </row>
    <row r="2225" spans="1:2" x14ac:dyDescent="0.35">
      <c r="A2225" s="1416">
        <v>37838</v>
      </c>
      <c r="B2225" s="1415">
        <v>63.02</v>
      </c>
    </row>
    <row r="2226" spans="1:2" x14ac:dyDescent="0.35">
      <c r="A2226" s="1416">
        <v>37839</v>
      </c>
      <c r="B2226" s="1415">
        <v>61.94</v>
      </c>
    </row>
    <row r="2227" spans="1:2" x14ac:dyDescent="0.35">
      <c r="A2227" s="1416">
        <v>37840</v>
      </c>
      <c r="B2227" s="1415">
        <v>62.35</v>
      </c>
    </row>
    <row r="2228" spans="1:2" x14ac:dyDescent="0.35">
      <c r="A2228" s="1416">
        <v>37841</v>
      </c>
      <c r="B2228" s="1415">
        <v>62.08</v>
      </c>
    </row>
    <row r="2229" spans="1:2" x14ac:dyDescent="0.35">
      <c r="A2229" s="1416">
        <v>37844</v>
      </c>
      <c r="B2229" s="1415">
        <v>62.41</v>
      </c>
    </row>
    <row r="2230" spans="1:2" x14ac:dyDescent="0.35">
      <c r="A2230" s="1416">
        <v>37845</v>
      </c>
      <c r="B2230" s="1415">
        <v>62.45</v>
      </c>
    </row>
    <row r="2231" spans="1:2" x14ac:dyDescent="0.35">
      <c r="A2231" s="1416">
        <v>37846</v>
      </c>
      <c r="B2231" s="1415">
        <v>61.79</v>
      </c>
    </row>
    <row r="2232" spans="1:2" x14ac:dyDescent="0.35">
      <c r="A2232" s="1416">
        <v>37847</v>
      </c>
      <c r="B2232" s="1415">
        <v>63.19</v>
      </c>
    </row>
    <row r="2233" spans="1:2" x14ac:dyDescent="0.35">
      <c r="A2233" s="1416">
        <v>37848</v>
      </c>
      <c r="B2233" s="1415">
        <v>62.84</v>
      </c>
    </row>
    <row r="2234" spans="1:2" x14ac:dyDescent="0.35">
      <c r="A2234" s="1416">
        <v>37851</v>
      </c>
      <c r="B2234" s="1415">
        <v>65.53</v>
      </c>
    </row>
    <row r="2235" spans="1:2" x14ac:dyDescent="0.35">
      <c r="A2235" s="1416">
        <v>37852</v>
      </c>
      <c r="B2235" s="1415">
        <v>66.09</v>
      </c>
    </row>
    <row r="2236" spans="1:2" x14ac:dyDescent="0.35">
      <c r="A2236" s="1416">
        <v>37853</v>
      </c>
      <c r="B2236" s="1415">
        <v>65.489999999999995</v>
      </c>
    </row>
    <row r="2237" spans="1:2" x14ac:dyDescent="0.35">
      <c r="A2237" s="1416">
        <v>37854</v>
      </c>
      <c r="B2237" s="1415">
        <v>65.739999999999995</v>
      </c>
    </row>
    <row r="2238" spans="1:2" x14ac:dyDescent="0.35">
      <c r="A2238" s="1416">
        <v>37855</v>
      </c>
      <c r="B2238" s="1415">
        <v>63.81</v>
      </c>
    </row>
    <row r="2239" spans="1:2" x14ac:dyDescent="0.35">
      <c r="A2239" s="1416">
        <v>37858</v>
      </c>
      <c r="B2239" s="1415">
        <v>62.33</v>
      </c>
    </row>
    <row r="2240" spans="1:2" x14ac:dyDescent="0.35">
      <c r="A2240" s="1416">
        <v>37859</v>
      </c>
      <c r="B2240" s="1415">
        <v>61.83</v>
      </c>
    </row>
    <row r="2241" spans="1:2" x14ac:dyDescent="0.35">
      <c r="A2241" s="1416">
        <v>37860</v>
      </c>
      <c r="B2241" s="1415">
        <v>60.52</v>
      </c>
    </row>
    <row r="2242" spans="1:2" x14ac:dyDescent="0.35">
      <c r="A2242" s="1416">
        <v>37861</v>
      </c>
      <c r="B2242" s="1415">
        <v>63.64</v>
      </c>
    </row>
    <row r="2243" spans="1:2" x14ac:dyDescent="0.35">
      <c r="A2243" s="1416">
        <v>37862</v>
      </c>
      <c r="B2243" s="1415">
        <v>64.069999999999993</v>
      </c>
    </row>
    <row r="2244" spans="1:2" x14ac:dyDescent="0.35">
      <c r="A2244" s="1416">
        <v>37866</v>
      </c>
      <c r="B2244" s="1415">
        <v>64.44</v>
      </c>
    </row>
    <row r="2245" spans="1:2" x14ac:dyDescent="0.35">
      <c r="A2245" s="1416">
        <v>37867</v>
      </c>
      <c r="B2245" s="1415">
        <v>63.74</v>
      </c>
    </row>
    <row r="2246" spans="1:2" x14ac:dyDescent="0.35">
      <c r="A2246" s="1416">
        <v>37868</v>
      </c>
      <c r="B2246" s="1415">
        <v>64.19</v>
      </c>
    </row>
    <row r="2247" spans="1:2" x14ac:dyDescent="0.35">
      <c r="A2247" s="1416">
        <v>37869</v>
      </c>
      <c r="B2247" s="1415">
        <v>62.37</v>
      </c>
    </row>
    <row r="2248" spans="1:2" x14ac:dyDescent="0.35">
      <c r="A2248" s="1416">
        <v>37872</v>
      </c>
      <c r="B2248" s="1415">
        <v>63.16</v>
      </c>
    </row>
    <row r="2249" spans="1:2" x14ac:dyDescent="0.35">
      <c r="A2249" s="1416">
        <v>37873</v>
      </c>
      <c r="B2249" s="1415">
        <v>62.67</v>
      </c>
    </row>
    <row r="2250" spans="1:2" x14ac:dyDescent="0.35">
      <c r="A2250" s="1416">
        <v>37874</v>
      </c>
      <c r="B2250" s="1415">
        <v>62.49</v>
      </c>
    </row>
    <row r="2251" spans="1:2" x14ac:dyDescent="0.35">
      <c r="A2251" s="1416">
        <v>37875</v>
      </c>
      <c r="B2251" s="1415">
        <v>63.11</v>
      </c>
    </row>
    <row r="2252" spans="1:2" x14ac:dyDescent="0.35">
      <c r="A2252" s="1416">
        <v>37876</v>
      </c>
      <c r="B2252" s="1415">
        <v>66.39</v>
      </c>
    </row>
    <row r="2253" spans="1:2" x14ac:dyDescent="0.35">
      <c r="A2253" s="1416">
        <v>37879</v>
      </c>
      <c r="B2253" s="1415">
        <v>65.900000000000006</v>
      </c>
    </row>
    <row r="2254" spans="1:2" x14ac:dyDescent="0.35">
      <c r="A2254" s="1416">
        <v>37880</v>
      </c>
      <c r="B2254" s="1415">
        <v>68.45</v>
      </c>
    </row>
    <row r="2255" spans="1:2" x14ac:dyDescent="0.35">
      <c r="A2255" s="1416">
        <v>37881</v>
      </c>
      <c r="B2255" s="1415">
        <v>68.48</v>
      </c>
    </row>
    <row r="2256" spans="1:2" x14ac:dyDescent="0.35">
      <c r="A2256" s="1416">
        <v>37882</v>
      </c>
      <c r="B2256" s="1415">
        <v>69</v>
      </c>
    </row>
    <row r="2257" spans="1:2" x14ac:dyDescent="0.35">
      <c r="A2257" s="1416">
        <v>37883</v>
      </c>
      <c r="B2257" s="1415">
        <v>68.03</v>
      </c>
    </row>
    <row r="2258" spans="1:2" x14ac:dyDescent="0.35">
      <c r="A2258" s="1416">
        <v>37886</v>
      </c>
      <c r="B2258" s="1415">
        <v>68.400000000000006</v>
      </c>
    </row>
    <row r="2259" spans="1:2" x14ac:dyDescent="0.35">
      <c r="A2259" s="1416">
        <v>37887</v>
      </c>
      <c r="B2259" s="1415">
        <v>67.34</v>
      </c>
    </row>
    <row r="2260" spans="1:2" x14ac:dyDescent="0.35">
      <c r="A2260" s="1416">
        <v>37888</v>
      </c>
      <c r="B2260" s="1415">
        <v>66.69</v>
      </c>
    </row>
    <row r="2261" spans="1:2" x14ac:dyDescent="0.35">
      <c r="A2261" s="1416">
        <v>37889</v>
      </c>
      <c r="B2261" s="1415">
        <v>65.59</v>
      </c>
    </row>
    <row r="2262" spans="1:2" x14ac:dyDescent="0.35">
      <c r="A2262" s="1416">
        <v>37890</v>
      </c>
      <c r="B2262" s="1415">
        <v>65.900000000000006</v>
      </c>
    </row>
    <row r="2263" spans="1:2" x14ac:dyDescent="0.35">
      <c r="A2263" s="1416">
        <v>37893</v>
      </c>
      <c r="B2263" s="1415">
        <v>66.84</v>
      </c>
    </row>
    <row r="2264" spans="1:2" x14ac:dyDescent="0.35">
      <c r="A2264" s="1416">
        <v>37894</v>
      </c>
      <c r="B2264" s="1415">
        <v>66.03</v>
      </c>
    </row>
    <row r="2265" spans="1:2" x14ac:dyDescent="0.35">
      <c r="A2265" s="1416">
        <v>37895</v>
      </c>
      <c r="B2265" s="1415">
        <v>68.17</v>
      </c>
    </row>
    <row r="2266" spans="1:2" x14ac:dyDescent="0.35">
      <c r="A2266" s="1416">
        <v>37896</v>
      </c>
      <c r="B2266" s="1415">
        <v>67.95</v>
      </c>
    </row>
    <row r="2267" spans="1:2" x14ac:dyDescent="0.35">
      <c r="A2267" s="1416">
        <v>37897</v>
      </c>
      <c r="B2267" s="1415">
        <v>67.64</v>
      </c>
    </row>
    <row r="2268" spans="1:2" x14ac:dyDescent="0.35">
      <c r="A2268" s="1416">
        <v>37900</v>
      </c>
      <c r="B2268" s="1415">
        <v>68.510000000000005</v>
      </c>
    </row>
    <row r="2269" spans="1:2" x14ac:dyDescent="0.35">
      <c r="A2269" s="1416">
        <v>37901</v>
      </c>
      <c r="B2269" s="1415">
        <v>67.59</v>
      </c>
    </row>
    <row r="2270" spans="1:2" x14ac:dyDescent="0.35">
      <c r="A2270" s="1416">
        <v>37902</v>
      </c>
      <c r="B2270" s="1415">
        <v>66.33</v>
      </c>
    </row>
    <row r="2271" spans="1:2" x14ac:dyDescent="0.35">
      <c r="A2271" s="1416">
        <v>37903</v>
      </c>
      <c r="B2271" s="1415">
        <v>65.69</v>
      </c>
    </row>
    <row r="2272" spans="1:2" x14ac:dyDescent="0.35">
      <c r="A2272" s="1416">
        <v>37904</v>
      </c>
      <c r="B2272" s="1415">
        <v>65.72</v>
      </c>
    </row>
    <row r="2273" spans="1:2" x14ac:dyDescent="0.35">
      <c r="A2273" s="1416">
        <v>37907</v>
      </c>
      <c r="B2273" s="1415">
        <v>66.400000000000006</v>
      </c>
    </row>
    <row r="2274" spans="1:2" x14ac:dyDescent="0.35">
      <c r="A2274" s="1416">
        <v>37908</v>
      </c>
      <c r="B2274" s="1415">
        <v>65.3</v>
      </c>
    </row>
    <row r="2275" spans="1:2" x14ac:dyDescent="0.35">
      <c r="A2275" s="1416">
        <v>37909</v>
      </c>
      <c r="B2275" s="1415">
        <v>62.5</v>
      </c>
    </row>
    <row r="2276" spans="1:2" x14ac:dyDescent="0.35">
      <c r="A2276" s="1416">
        <v>37910</v>
      </c>
      <c r="B2276" s="1415">
        <v>61.83</v>
      </c>
    </row>
    <row r="2277" spans="1:2" x14ac:dyDescent="0.35">
      <c r="A2277" s="1416">
        <v>37911</v>
      </c>
      <c r="B2277" s="1415">
        <v>61.08</v>
      </c>
    </row>
    <row r="2278" spans="1:2" x14ac:dyDescent="0.35">
      <c r="A2278" s="1416">
        <v>37914</v>
      </c>
      <c r="B2278" s="1415">
        <v>60.9</v>
      </c>
    </row>
    <row r="2279" spans="1:2" x14ac:dyDescent="0.35">
      <c r="A2279" s="1416">
        <v>37915</v>
      </c>
      <c r="B2279" s="1415">
        <v>63.31</v>
      </c>
    </row>
    <row r="2280" spans="1:2" x14ac:dyDescent="0.35">
      <c r="A2280" s="1416">
        <v>37916</v>
      </c>
      <c r="B2280" s="1415">
        <v>63.95</v>
      </c>
    </row>
    <row r="2281" spans="1:2" x14ac:dyDescent="0.35">
      <c r="A2281" s="1416">
        <v>37917</v>
      </c>
      <c r="B2281" s="1415">
        <v>63.74</v>
      </c>
    </row>
    <row r="2282" spans="1:2" x14ac:dyDescent="0.35">
      <c r="A2282" s="1416">
        <v>37918</v>
      </c>
      <c r="B2282" s="1415">
        <v>63.63</v>
      </c>
    </row>
    <row r="2283" spans="1:2" x14ac:dyDescent="0.35">
      <c r="A2283" s="1416">
        <v>37921</v>
      </c>
      <c r="B2283" s="1415">
        <v>62.92</v>
      </c>
    </row>
    <row r="2284" spans="1:2" x14ac:dyDescent="0.35">
      <c r="A2284" s="1416">
        <v>37922</v>
      </c>
      <c r="B2284" s="1415">
        <v>63.87</v>
      </c>
    </row>
    <row r="2285" spans="1:2" x14ac:dyDescent="0.35">
      <c r="A2285" s="1416">
        <v>37923</v>
      </c>
      <c r="B2285" s="1415">
        <v>64.400000000000006</v>
      </c>
    </row>
    <row r="2286" spans="1:2" x14ac:dyDescent="0.35">
      <c r="A2286" s="1416">
        <v>37924</v>
      </c>
      <c r="B2286" s="1415">
        <v>63.94</v>
      </c>
    </row>
    <row r="2287" spans="1:2" x14ac:dyDescent="0.35">
      <c r="A2287" s="1416">
        <v>37925</v>
      </c>
      <c r="B2287" s="1415">
        <v>63.5</v>
      </c>
    </row>
    <row r="2288" spans="1:2" x14ac:dyDescent="0.35">
      <c r="A2288" s="1416">
        <v>37928</v>
      </c>
      <c r="B2288" s="1415">
        <v>66.11</v>
      </c>
    </row>
    <row r="2289" spans="1:2" x14ac:dyDescent="0.35">
      <c r="A2289" s="1416">
        <v>37929</v>
      </c>
      <c r="B2289" s="1415">
        <v>65.39</v>
      </c>
    </row>
    <row r="2290" spans="1:2" x14ac:dyDescent="0.35">
      <c r="A2290" s="1416">
        <v>37930</v>
      </c>
      <c r="B2290" s="1415">
        <v>64.819999999999993</v>
      </c>
    </row>
    <row r="2291" spans="1:2" x14ac:dyDescent="0.35">
      <c r="A2291" s="1416">
        <v>37931</v>
      </c>
      <c r="B2291" s="1415">
        <v>63.79</v>
      </c>
    </row>
    <row r="2292" spans="1:2" x14ac:dyDescent="0.35">
      <c r="A2292" s="1416">
        <v>37932</v>
      </c>
      <c r="B2292" s="1415">
        <v>63.37</v>
      </c>
    </row>
    <row r="2293" spans="1:2" x14ac:dyDescent="0.35">
      <c r="A2293" s="1416">
        <v>37935</v>
      </c>
      <c r="B2293" s="1415">
        <v>62.51</v>
      </c>
    </row>
    <row r="2294" spans="1:2" x14ac:dyDescent="0.35">
      <c r="A2294" s="1416">
        <v>37936</v>
      </c>
      <c r="B2294" s="1415">
        <v>62.41</v>
      </c>
    </row>
    <row r="2295" spans="1:2" x14ac:dyDescent="0.35">
      <c r="A2295" s="1416">
        <v>37937</v>
      </c>
      <c r="B2295" s="1415">
        <v>64.290000000000006</v>
      </c>
    </row>
    <row r="2296" spans="1:2" x14ac:dyDescent="0.35">
      <c r="A2296" s="1416">
        <v>37938</v>
      </c>
      <c r="B2296" s="1415">
        <v>65.319999999999993</v>
      </c>
    </row>
    <row r="2297" spans="1:2" x14ac:dyDescent="0.35">
      <c r="A2297" s="1416">
        <v>37939</v>
      </c>
      <c r="B2297" s="1415">
        <v>66.540000000000006</v>
      </c>
    </row>
    <row r="2298" spans="1:2" x14ac:dyDescent="0.35">
      <c r="A2298" s="1416">
        <v>37942</v>
      </c>
      <c r="B2298" s="1415">
        <v>65.39</v>
      </c>
    </row>
    <row r="2299" spans="1:2" x14ac:dyDescent="0.35">
      <c r="A2299" s="1416">
        <v>37943</v>
      </c>
      <c r="B2299" s="1415">
        <v>65.040000000000006</v>
      </c>
    </row>
    <row r="2300" spans="1:2" x14ac:dyDescent="0.35">
      <c r="A2300" s="1416">
        <v>37944</v>
      </c>
      <c r="B2300" s="1415">
        <v>65.44</v>
      </c>
    </row>
    <row r="2301" spans="1:2" x14ac:dyDescent="0.35">
      <c r="A2301" s="1416">
        <v>37945</v>
      </c>
      <c r="B2301" s="1415">
        <v>64.86</v>
      </c>
    </row>
    <row r="2302" spans="1:2" x14ac:dyDescent="0.35">
      <c r="A2302" s="1416">
        <v>37946</v>
      </c>
      <c r="B2302" s="1415">
        <v>65.89</v>
      </c>
    </row>
    <row r="2303" spans="1:2" x14ac:dyDescent="0.35">
      <c r="A2303" s="1416">
        <v>37949</v>
      </c>
      <c r="B2303" s="1415">
        <v>69.569999999999993</v>
      </c>
    </row>
    <row r="2304" spans="1:2" x14ac:dyDescent="0.35">
      <c r="A2304" s="1416">
        <v>37950</v>
      </c>
      <c r="B2304" s="1415">
        <v>69.05</v>
      </c>
    </row>
    <row r="2305" spans="1:2" x14ac:dyDescent="0.35">
      <c r="A2305" s="1416">
        <v>37951</v>
      </c>
      <c r="B2305" s="1415">
        <v>69.23</v>
      </c>
    </row>
    <row r="2306" spans="1:2" x14ac:dyDescent="0.35">
      <c r="A2306" s="1416">
        <v>37953</v>
      </c>
      <c r="B2306" s="1415">
        <v>69.36</v>
      </c>
    </row>
    <row r="2307" spans="1:2" x14ac:dyDescent="0.35">
      <c r="A2307" s="1416">
        <v>37956</v>
      </c>
      <c r="B2307" s="1415">
        <v>71.599999999999994</v>
      </c>
    </row>
    <row r="2308" spans="1:2" x14ac:dyDescent="0.35">
      <c r="A2308" s="1416">
        <v>37957</v>
      </c>
      <c r="B2308" s="1415">
        <v>72.72</v>
      </c>
    </row>
    <row r="2309" spans="1:2" x14ac:dyDescent="0.35">
      <c r="A2309" s="1416">
        <v>37958</v>
      </c>
      <c r="B2309" s="1415">
        <v>69.3</v>
      </c>
    </row>
    <row r="2310" spans="1:2" x14ac:dyDescent="0.35">
      <c r="A2310" s="1416">
        <v>37959</v>
      </c>
      <c r="B2310" s="1415">
        <v>69.099999999999994</v>
      </c>
    </row>
    <row r="2311" spans="1:2" x14ac:dyDescent="0.35">
      <c r="A2311" s="1416">
        <v>37960</v>
      </c>
      <c r="B2311" s="1415">
        <v>66.489999999999995</v>
      </c>
    </row>
    <row r="2312" spans="1:2" x14ac:dyDescent="0.35">
      <c r="A2312" s="1416">
        <v>37963</v>
      </c>
      <c r="B2312" s="1415">
        <v>67.569999999999993</v>
      </c>
    </row>
    <row r="2313" spans="1:2" x14ac:dyDescent="0.35">
      <c r="A2313" s="1416">
        <v>37964</v>
      </c>
      <c r="B2313" s="1415">
        <v>66.91</v>
      </c>
    </row>
    <row r="2314" spans="1:2" x14ac:dyDescent="0.35">
      <c r="A2314" s="1416">
        <v>37965</v>
      </c>
      <c r="B2314" s="1415">
        <v>66.73</v>
      </c>
    </row>
    <row r="2315" spans="1:2" x14ac:dyDescent="0.35">
      <c r="A2315" s="1416">
        <v>37966</v>
      </c>
      <c r="B2315" s="1415">
        <v>68</v>
      </c>
    </row>
    <row r="2316" spans="1:2" x14ac:dyDescent="0.35">
      <c r="A2316" s="1416">
        <v>37967</v>
      </c>
      <c r="B2316" s="1415">
        <v>68</v>
      </c>
    </row>
    <row r="2317" spans="1:2" x14ac:dyDescent="0.35">
      <c r="A2317" s="1416">
        <v>37970</v>
      </c>
      <c r="B2317" s="1415">
        <v>67.61</v>
      </c>
    </row>
    <row r="2318" spans="1:2" x14ac:dyDescent="0.35">
      <c r="A2318" s="1416">
        <v>37971</v>
      </c>
      <c r="B2318" s="1415">
        <v>67.39</v>
      </c>
    </row>
    <row r="2319" spans="1:2" x14ac:dyDescent="0.35">
      <c r="A2319" s="1416">
        <v>37972</v>
      </c>
      <c r="B2319" s="1415">
        <v>67.44</v>
      </c>
    </row>
    <row r="2320" spans="1:2" x14ac:dyDescent="0.35">
      <c r="A2320" s="1416">
        <v>37973</v>
      </c>
      <c r="B2320" s="1415">
        <v>67.66</v>
      </c>
    </row>
    <row r="2321" spans="1:2" x14ac:dyDescent="0.35">
      <c r="A2321" s="1416">
        <v>37974</v>
      </c>
      <c r="B2321" s="1415">
        <v>68.3</v>
      </c>
    </row>
    <row r="2322" spans="1:2" x14ac:dyDescent="0.35">
      <c r="A2322" s="1416">
        <v>37977</v>
      </c>
      <c r="B2322" s="1415">
        <v>68.459999999999994</v>
      </c>
    </row>
    <row r="2323" spans="1:2" x14ac:dyDescent="0.35">
      <c r="A2323" s="1416">
        <v>37978</v>
      </c>
      <c r="B2323" s="1415">
        <v>68.900000000000006</v>
      </c>
    </row>
    <row r="2324" spans="1:2" x14ac:dyDescent="0.35">
      <c r="A2324" s="1416">
        <v>37979</v>
      </c>
      <c r="B2324" s="1415">
        <v>68.83</v>
      </c>
    </row>
    <row r="2325" spans="1:2" x14ac:dyDescent="0.35">
      <c r="A2325" s="1416">
        <v>37981</v>
      </c>
      <c r="B2325" s="1415">
        <v>68.17</v>
      </c>
    </row>
    <row r="2326" spans="1:2" x14ac:dyDescent="0.35">
      <c r="A2326" s="1416">
        <v>37984</v>
      </c>
      <c r="B2326" s="1415">
        <v>68.87</v>
      </c>
    </row>
    <row r="2327" spans="1:2" x14ac:dyDescent="0.35">
      <c r="A2327" s="1416">
        <v>37985</v>
      </c>
      <c r="B2327" s="1415">
        <v>68</v>
      </c>
    </row>
    <row r="2328" spans="1:2" x14ac:dyDescent="0.35">
      <c r="A2328" s="1416">
        <v>37986</v>
      </c>
      <c r="B2328" s="1415">
        <v>67.81</v>
      </c>
    </row>
    <row r="2329" spans="1:2" x14ac:dyDescent="0.35">
      <c r="A2329" s="1416">
        <v>37988</v>
      </c>
      <c r="B2329" s="1415">
        <v>69.400000000000006</v>
      </c>
    </row>
    <row r="2330" spans="1:2" x14ac:dyDescent="0.35">
      <c r="A2330" s="1416">
        <v>37991</v>
      </c>
      <c r="B2330" s="1415">
        <v>70.55</v>
      </c>
    </row>
    <row r="2331" spans="1:2" x14ac:dyDescent="0.35">
      <c r="A2331" s="1416">
        <v>37992</v>
      </c>
      <c r="B2331" s="1415">
        <v>72.040000000000006</v>
      </c>
    </row>
    <row r="2332" spans="1:2" x14ac:dyDescent="0.35">
      <c r="A2332" s="1416">
        <v>37993</v>
      </c>
      <c r="B2332" s="1415">
        <v>71.77</v>
      </c>
    </row>
    <row r="2333" spans="1:2" x14ac:dyDescent="0.35">
      <c r="A2333" s="1416">
        <v>37994</v>
      </c>
      <c r="B2333" s="1415">
        <v>70.84</v>
      </c>
    </row>
    <row r="2334" spans="1:2" x14ac:dyDescent="0.35">
      <c r="A2334" s="1416">
        <v>37995</v>
      </c>
      <c r="B2334" s="1415">
        <v>70.84</v>
      </c>
    </row>
    <row r="2335" spans="1:2" x14ac:dyDescent="0.35">
      <c r="A2335" s="1416">
        <v>37998</v>
      </c>
      <c r="B2335" s="1415">
        <v>72.14</v>
      </c>
    </row>
    <row r="2336" spans="1:2" x14ac:dyDescent="0.35">
      <c r="A2336" s="1416">
        <v>37999</v>
      </c>
      <c r="B2336" s="1415">
        <v>72.63</v>
      </c>
    </row>
    <row r="2337" spans="1:2" x14ac:dyDescent="0.35">
      <c r="A2337" s="1416">
        <v>38000</v>
      </c>
      <c r="B2337" s="1415">
        <v>73.010000000000005</v>
      </c>
    </row>
    <row r="2338" spans="1:2" x14ac:dyDescent="0.35">
      <c r="A2338" s="1416">
        <v>38001</v>
      </c>
      <c r="B2338" s="1415">
        <v>73.97</v>
      </c>
    </row>
    <row r="2339" spans="1:2" x14ac:dyDescent="0.35">
      <c r="A2339" s="1416">
        <v>38002</v>
      </c>
      <c r="B2339" s="1415">
        <v>74.14</v>
      </c>
    </row>
    <row r="2340" spans="1:2" x14ac:dyDescent="0.35">
      <c r="A2340" s="1416">
        <v>38006</v>
      </c>
      <c r="B2340" s="1415">
        <v>75.099999999999994</v>
      </c>
    </row>
    <row r="2341" spans="1:2" x14ac:dyDescent="0.35">
      <c r="A2341" s="1416">
        <v>38007</v>
      </c>
      <c r="B2341" s="1415">
        <v>74.599999999999994</v>
      </c>
    </row>
    <row r="2342" spans="1:2" x14ac:dyDescent="0.35">
      <c r="A2342" s="1416">
        <v>38008</v>
      </c>
      <c r="B2342" s="1415">
        <v>72.78</v>
      </c>
    </row>
    <row r="2343" spans="1:2" x14ac:dyDescent="0.35">
      <c r="A2343" s="1416">
        <v>38009</v>
      </c>
      <c r="B2343" s="1415">
        <v>72.56</v>
      </c>
    </row>
    <row r="2344" spans="1:2" x14ac:dyDescent="0.35">
      <c r="A2344" s="1416">
        <v>38012</v>
      </c>
      <c r="B2344" s="1415">
        <v>73.44</v>
      </c>
    </row>
    <row r="2345" spans="1:2" x14ac:dyDescent="0.35">
      <c r="A2345" s="1416">
        <v>38013</v>
      </c>
      <c r="B2345" s="1415">
        <v>72.569999999999993</v>
      </c>
    </row>
    <row r="2346" spans="1:2" x14ac:dyDescent="0.35">
      <c r="A2346" s="1416">
        <v>38014</v>
      </c>
      <c r="B2346" s="1415">
        <v>71.3</v>
      </c>
    </row>
    <row r="2347" spans="1:2" x14ac:dyDescent="0.35">
      <c r="A2347" s="1416">
        <v>38015</v>
      </c>
      <c r="B2347" s="1415">
        <v>72.41</v>
      </c>
    </row>
    <row r="2348" spans="1:2" x14ac:dyDescent="0.35">
      <c r="A2348" s="1416">
        <v>38016</v>
      </c>
      <c r="B2348" s="1415">
        <v>74.510000000000005</v>
      </c>
    </row>
    <row r="2349" spans="1:2" x14ac:dyDescent="0.35">
      <c r="A2349" s="1416">
        <v>38019</v>
      </c>
      <c r="B2349" s="1415">
        <v>74.959999999999994</v>
      </c>
    </row>
    <row r="2350" spans="1:2" x14ac:dyDescent="0.35">
      <c r="A2350" s="1416">
        <v>38020</v>
      </c>
      <c r="B2350" s="1415">
        <v>74.92</v>
      </c>
    </row>
    <row r="2351" spans="1:2" x14ac:dyDescent="0.35">
      <c r="A2351" s="1416">
        <v>38021</v>
      </c>
      <c r="B2351" s="1415">
        <v>76.44</v>
      </c>
    </row>
    <row r="2352" spans="1:2" x14ac:dyDescent="0.35">
      <c r="A2352" s="1416">
        <v>38022</v>
      </c>
      <c r="B2352" s="1415">
        <v>76.03</v>
      </c>
    </row>
    <row r="2353" spans="1:2" x14ac:dyDescent="0.35">
      <c r="A2353" s="1416">
        <v>38023</v>
      </c>
      <c r="B2353" s="1415">
        <v>77.44</v>
      </c>
    </row>
    <row r="2354" spans="1:2" x14ac:dyDescent="0.35">
      <c r="A2354" s="1416">
        <v>38026</v>
      </c>
      <c r="B2354" s="1415">
        <v>76.5</v>
      </c>
    </row>
    <row r="2355" spans="1:2" x14ac:dyDescent="0.35">
      <c r="A2355" s="1416">
        <v>38027</v>
      </c>
      <c r="B2355" s="1415">
        <v>77.180000000000007</v>
      </c>
    </row>
    <row r="2356" spans="1:2" x14ac:dyDescent="0.35">
      <c r="A2356" s="1416">
        <v>38028</v>
      </c>
      <c r="B2356" s="1415">
        <v>78.760000000000005</v>
      </c>
    </row>
    <row r="2357" spans="1:2" x14ac:dyDescent="0.35">
      <c r="A2357" s="1416">
        <v>38029</v>
      </c>
      <c r="B2357" s="1415">
        <v>78.459999999999994</v>
      </c>
    </row>
    <row r="2358" spans="1:2" x14ac:dyDescent="0.35">
      <c r="A2358" s="1416">
        <v>38030</v>
      </c>
      <c r="B2358" s="1415">
        <v>77.37</v>
      </c>
    </row>
    <row r="2359" spans="1:2" x14ac:dyDescent="0.35">
      <c r="A2359" s="1416">
        <v>38034</v>
      </c>
      <c r="B2359" s="1415">
        <v>77.25</v>
      </c>
    </row>
    <row r="2360" spans="1:2" x14ac:dyDescent="0.35">
      <c r="A2360" s="1416">
        <v>38035</v>
      </c>
      <c r="B2360" s="1415">
        <v>77.14</v>
      </c>
    </row>
    <row r="2361" spans="1:2" x14ac:dyDescent="0.35">
      <c r="A2361" s="1416">
        <v>38036</v>
      </c>
      <c r="B2361" s="1415">
        <v>77.61</v>
      </c>
    </row>
    <row r="2362" spans="1:2" x14ac:dyDescent="0.35">
      <c r="A2362" s="1416">
        <v>38037</v>
      </c>
      <c r="B2362" s="1415">
        <v>77.63</v>
      </c>
    </row>
    <row r="2363" spans="1:2" x14ac:dyDescent="0.35">
      <c r="A2363" s="1416">
        <v>38040</v>
      </c>
      <c r="B2363" s="1415">
        <v>76.58</v>
      </c>
    </row>
    <row r="2364" spans="1:2" x14ac:dyDescent="0.35">
      <c r="A2364" s="1416">
        <v>38041</v>
      </c>
      <c r="B2364" s="1415">
        <v>76.150000000000006</v>
      </c>
    </row>
    <row r="2365" spans="1:2" x14ac:dyDescent="0.35">
      <c r="A2365" s="1416">
        <v>38042</v>
      </c>
      <c r="B2365" s="1415">
        <v>75.739999999999995</v>
      </c>
    </row>
    <row r="2366" spans="1:2" x14ac:dyDescent="0.35">
      <c r="A2366" s="1416">
        <v>38043</v>
      </c>
      <c r="B2366" s="1415">
        <v>75.819999999999993</v>
      </c>
    </row>
    <row r="2367" spans="1:2" x14ac:dyDescent="0.35">
      <c r="A2367" s="1416">
        <v>38044</v>
      </c>
      <c r="B2367" s="1415">
        <v>76.23</v>
      </c>
    </row>
    <row r="2368" spans="1:2" x14ac:dyDescent="0.35">
      <c r="A2368" s="1416">
        <v>38047</v>
      </c>
      <c r="B2368" s="1415">
        <v>79.67</v>
      </c>
    </row>
    <row r="2369" spans="1:2" x14ac:dyDescent="0.35">
      <c r="A2369" s="1416">
        <v>38048</v>
      </c>
      <c r="B2369" s="1415">
        <v>77.709999999999994</v>
      </c>
    </row>
    <row r="2370" spans="1:2" x14ac:dyDescent="0.35">
      <c r="A2370" s="1416">
        <v>38049</v>
      </c>
      <c r="B2370" s="1415">
        <v>77.819999999999993</v>
      </c>
    </row>
    <row r="2371" spans="1:2" x14ac:dyDescent="0.35">
      <c r="A2371" s="1416">
        <v>38050</v>
      </c>
      <c r="B2371" s="1415">
        <v>80.085800000000006</v>
      </c>
    </row>
    <row r="2372" spans="1:2" x14ac:dyDescent="0.35">
      <c r="A2372" s="1416">
        <v>38051</v>
      </c>
      <c r="B2372" s="1415">
        <v>80.540000000000006</v>
      </c>
    </row>
    <row r="2373" spans="1:2" x14ac:dyDescent="0.35">
      <c r="A2373" s="1416">
        <v>38054</v>
      </c>
      <c r="B2373" s="1415">
        <v>80.41</v>
      </c>
    </row>
    <row r="2374" spans="1:2" x14ac:dyDescent="0.35">
      <c r="A2374" s="1416">
        <v>38055</v>
      </c>
      <c r="B2374" s="1415">
        <v>80.77</v>
      </c>
    </row>
    <row r="2375" spans="1:2" x14ac:dyDescent="0.35">
      <c r="A2375" s="1416">
        <v>38056</v>
      </c>
      <c r="B2375" s="1415">
        <v>80.099999999999994</v>
      </c>
    </row>
    <row r="2376" spans="1:2" x14ac:dyDescent="0.35">
      <c r="A2376" s="1416">
        <v>38057</v>
      </c>
      <c r="B2376" s="1415">
        <v>77.75</v>
      </c>
    </row>
    <row r="2377" spans="1:2" x14ac:dyDescent="0.35">
      <c r="A2377" s="1416">
        <v>38058</v>
      </c>
      <c r="B2377" s="1415">
        <v>80.77</v>
      </c>
    </row>
    <row r="2378" spans="1:2" x14ac:dyDescent="0.35">
      <c r="A2378" s="1416">
        <v>38061</v>
      </c>
      <c r="B2378" s="1415">
        <v>81.569999999999993</v>
      </c>
    </row>
    <row r="2379" spans="1:2" x14ac:dyDescent="0.35">
      <c r="A2379" s="1416">
        <v>38062</v>
      </c>
      <c r="B2379" s="1415">
        <v>81.78</v>
      </c>
    </row>
    <row r="2380" spans="1:2" x14ac:dyDescent="0.35">
      <c r="A2380" s="1416">
        <v>38063</v>
      </c>
      <c r="B2380" s="1415">
        <v>83.76</v>
      </c>
    </row>
    <row r="2381" spans="1:2" x14ac:dyDescent="0.35">
      <c r="A2381" s="1416">
        <v>38064</v>
      </c>
      <c r="B2381" s="1415">
        <v>83.93</v>
      </c>
    </row>
    <row r="2382" spans="1:2" x14ac:dyDescent="0.35">
      <c r="A2382" s="1416">
        <v>38065</v>
      </c>
      <c r="B2382" s="1415">
        <v>84.11</v>
      </c>
    </row>
    <row r="2383" spans="1:2" x14ac:dyDescent="0.35">
      <c r="A2383" s="1416">
        <v>38068</v>
      </c>
      <c r="B2383" s="1415">
        <v>83.57</v>
      </c>
    </row>
    <row r="2384" spans="1:2" x14ac:dyDescent="0.35">
      <c r="A2384" s="1416">
        <v>38069</v>
      </c>
      <c r="B2384" s="1415">
        <v>83.99</v>
      </c>
    </row>
    <row r="2385" spans="1:2" x14ac:dyDescent="0.35">
      <c r="A2385" s="1416">
        <v>38070</v>
      </c>
      <c r="B2385" s="1415">
        <v>84.83</v>
      </c>
    </row>
    <row r="2386" spans="1:2" x14ac:dyDescent="0.35">
      <c r="A2386" s="1416">
        <v>38071</v>
      </c>
      <c r="B2386" s="1415">
        <v>85.65</v>
      </c>
    </row>
    <row r="2387" spans="1:2" x14ac:dyDescent="0.35">
      <c r="A2387" s="1416">
        <v>38072</v>
      </c>
      <c r="B2387" s="1415">
        <v>85.94</v>
      </c>
    </row>
    <row r="2388" spans="1:2" x14ac:dyDescent="0.35">
      <c r="A2388" s="1416">
        <v>38075</v>
      </c>
      <c r="B2388" s="1415">
        <v>85.45</v>
      </c>
    </row>
    <row r="2389" spans="1:2" x14ac:dyDescent="0.35">
      <c r="A2389" s="1416">
        <v>38076</v>
      </c>
      <c r="B2389" s="1415">
        <v>86.19</v>
      </c>
    </row>
    <row r="2390" spans="1:2" x14ac:dyDescent="0.35">
      <c r="A2390" s="1416">
        <v>38077</v>
      </c>
      <c r="B2390" s="1415">
        <v>86.16</v>
      </c>
    </row>
    <row r="2391" spans="1:2" x14ac:dyDescent="0.35">
      <c r="A2391" s="1416">
        <v>38078</v>
      </c>
      <c r="B2391" s="1415">
        <v>89.14</v>
      </c>
    </row>
    <row r="2392" spans="1:2" x14ac:dyDescent="0.35">
      <c r="A2392" s="1416">
        <v>38079</v>
      </c>
      <c r="B2392" s="1415">
        <v>90.97</v>
      </c>
    </row>
    <row r="2393" spans="1:2" x14ac:dyDescent="0.35">
      <c r="A2393" s="1416">
        <v>38082</v>
      </c>
      <c r="B2393" s="1415">
        <v>90</v>
      </c>
    </row>
    <row r="2394" spans="1:2" x14ac:dyDescent="0.35">
      <c r="A2394" s="1416">
        <v>38083</v>
      </c>
      <c r="B2394" s="1415">
        <v>89.91</v>
      </c>
    </row>
    <row r="2395" spans="1:2" x14ac:dyDescent="0.35">
      <c r="A2395" s="1416">
        <v>38084</v>
      </c>
      <c r="B2395" s="1415">
        <v>90.45</v>
      </c>
    </row>
    <row r="2396" spans="1:2" x14ac:dyDescent="0.35">
      <c r="A2396" s="1416">
        <v>38085</v>
      </c>
      <c r="B2396" s="1415">
        <v>91.77</v>
      </c>
    </row>
    <row r="2397" spans="1:2" x14ac:dyDescent="0.35">
      <c r="A2397" s="1416">
        <v>38089</v>
      </c>
      <c r="B2397" s="1415">
        <v>92.61</v>
      </c>
    </row>
    <row r="2398" spans="1:2" x14ac:dyDescent="0.35">
      <c r="A2398" s="1416">
        <v>38090</v>
      </c>
      <c r="B2398" s="1415">
        <v>91.87</v>
      </c>
    </row>
    <row r="2399" spans="1:2" x14ac:dyDescent="0.35">
      <c r="A2399" s="1416">
        <v>38091</v>
      </c>
      <c r="B2399" s="1415">
        <v>92.1</v>
      </c>
    </row>
    <row r="2400" spans="1:2" x14ac:dyDescent="0.35">
      <c r="A2400" s="1416">
        <v>38092</v>
      </c>
      <c r="B2400" s="1415">
        <v>92.07</v>
      </c>
    </row>
    <row r="2401" spans="1:2" x14ac:dyDescent="0.35">
      <c r="A2401" s="1416">
        <v>38093</v>
      </c>
      <c r="B2401" s="1415">
        <v>91.86</v>
      </c>
    </row>
    <row r="2402" spans="1:2" x14ac:dyDescent="0.35">
      <c r="A2402" s="1416">
        <v>38096</v>
      </c>
      <c r="B2402" s="1415">
        <v>92.22</v>
      </c>
    </row>
    <row r="2403" spans="1:2" x14ac:dyDescent="0.35">
      <c r="A2403" s="1416">
        <v>38097</v>
      </c>
      <c r="B2403" s="1415">
        <v>91.33</v>
      </c>
    </row>
    <row r="2404" spans="1:2" x14ac:dyDescent="0.35">
      <c r="A2404" s="1416">
        <v>38098</v>
      </c>
      <c r="B2404" s="1415">
        <v>94.5</v>
      </c>
    </row>
    <row r="2405" spans="1:2" x14ac:dyDescent="0.35">
      <c r="A2405" s="1416">
        <v>38099</v>
      </c>
      <c r="B2405" s="1415">
        <v>95.95</v>
      </c>
    </row>
    <row r="2406" spans="1:2" x14ac:dyDescent="0.35">
      <c r="A2406" s="1416">
        <v>38100</v>
      </c>
      <c r="B2406" s="1415">
        <v>95.91</v>
      </c>
    </row>
    <row r="2407" spans="1:2" x14ac:dyDescent="0.35">
      <c r="A2407" s="1416">
        <v>38103</v>
      </c>
      <c r="B2407" s="1415">
        <v>95.1</v>
      </c>
    </row>
    <row r="2408" spans="1:2" x14ac:dyDescent="0.35">
      <c r="A2408" s="1416">
        <v>38104</v>
      </c>
      <c r="B2408" s="1415">
        <v>93.25</v>
      </c>
    </row>
    <row r="2409" spans="1:2" x14ac:dyDescent="0.35">
      <c r="A2409" s="1416">
        <v>38105</v>
      </c>
      <c r="B2409" s="1415">
        <v>92.38</v>
      </c>
    </row>
    <row r="2410" spans="1:2" x14ac:dyDescent="0.35">
      <c r="A2410" s="1416">
        <v>38106</v>
      </c>
      <c r="B2410" s="1415">
        <v>93.15</v>
      </c>
    </row>
    <row r="2411" spans="1:2" x14ac:dyDescent="0.35">
      <c r="A2411" s="1416">
        <v>38107</v>
      </c>
      <c r="B2411" s="1415">
        <v>91</v>
      </c>
    </row>
    <row r="2412" spans="1:2" x14ac:dyDescent="0.35">
      <c r="A2412" s="1416">
        <v>38110</v>
      </c>
      <c r="B2412" s="1415">
        <v>92.55</v>
      </c>
    </row>
    <row r="2413" spans="1:2" x14ac:dyDescent="0.35">
      <c r="A2413" s="1416">
        <v>38111</v>
      </c>
      <c r="B2413" s="1415">
        <v>91.71</v>
      </c>
    </row>
    <row r="2414" spans="1:2" x14ac:dyDescent="0.35">
      <c r="A2414" s="1416">
        <v>38112</v>
      </c>
      <c r="B2414" s="1415">
        <v>92.39</v>
      </c>
    </row>
    <row r="2415" spans="1:2" x14ac:dyDescent="0.35">
      <c r="A2415" s="1416">
        <v>38113</v>
      </c>
      <c r="B2415" s="1415">
        <v>93.55</v>
      </c>
    </row>
    <row r="2416" spans="1:2" x14ac:dyDescent="0.35">
      <c r="A2416" s="1416">
        <v>38114</v>
      </c>
      <c r="B2416" s="1415">
        <v>91.97</v>
      </c>
    </row>
    <row r="2417" spans="1:2" x14ac:dyDescent="0.35">
      <c r="A2417" s="1416">
        <v>38117</v>
      </c>
      <c r="B2417" s="1415">
        <v>88.45</v>
      </c>
    </row>
    <row r="2418" spans="1:2" x14ac:dyDescent="0.35">
      <c r="A2418" s="1416">
        <v>38118</v>
      </c>
      <c r="B2418" s="1415">
        <v>90.32</v>
      </c>
    </row>
    <row r="2419" spans="1:2" x14ac:dyDescent="0.35">
      <c r="A2419" s="1416">
        <v>38119</v>
      </c>
      <c r="B2419" s="1415">
        <v>89.6</v>
      </c>
    </row>
    <row r="2420" spans="1:2" x14ac:dyDescent="0.35">
      <c r="A2420" s="1416">
        <v>38120</v>
      </c>
      <c r="B2420" s="1415">
        <v>90.78</v>
      </c>
    </row>
    <row r="2421" spans="1:2" x14ac:dyDescent="0.35">
      <c r="A2421" s="1416">
        <v>38121</v>
      </c>
      <c r="B2421" s="1415">
        <v>90.46</v>
      </c>
    </row>
    <row r="2422" spans="1:2" x14ac:dyDescent="0.35">
      <c r="A2422" s="1416">
        <v>38124</v>
      </c>
      <c r="B2422" s="1415">
        <v>88.92</v>
      </c>
    </row>
    <row r="2423" spans="1:2" x14ac:dyDescent="0.35">
      <c r="A2423" s="1416">
        <v>38125</v>
      </c>
      <c r="B2423" s="1415">
        <v>89.6</v>
      </c>
    </row>
    <row r="2424" spans="1:2" x14ac:dyDescent="0.35">
      <c r="A2424" s="1416">
        <v>38126</v>
      </c>
      <c r="B2424" s="1415">
        <v>89.25</v>
      </c>
    </row>
    <row r="2425" spans="1:2" x14ac:dyDescent="0.35">
      <c r="A2425" s="1416">
        <v>38127</v>
      </c>
      <c r="B2425" s="1415">
        <v>88.25</v>
      </c>
    </row>
    <row r="2426" spans="1:2" x14ac:dyDescent="0.35">
      <c r="A2426" s="1416">
        <v>38128</v>
      </c>
      <c r="B2426" s="1415">
        <v>89.67</v>
      </c>
    </row>
    <row r="2427" spans="1:2" x14ac:dyDescent="0.35">
      <c r="A2427" s="1416">
        <v>38131</v>
      </c>
      <c r="B2427" s="1415">
        <v>89.25</v>
      </c>
    </row>
    <row r="2428" spans="1:2" x14ac:dyDescent="0.35">
      <c r="A2428" s="1416">
        <v>38132</v>
      </c>
      <c r="B2428" s="1415">
        <v>91.87</v>
      </c>
    </row>
    <row r="2429" spans="1:2" x14ac:dyDescent="0.35">
      <c r="A2429" s="1416">
        <v>38133</v>
      </c>
      <c r="B2429" s="1415">
        <v>93.19</v>
      </c>
    </row>
    <row r="2430" spans="1:2" x14ac:dyDescent="0.35">
      <c r="A2430" s="1416">
        <v>38134</v>
      </c>
      <c r="B2430" s="1415">
        <v>93.7</v>
      </c>
    </row>
    <row r="2431" spans="1:2" x14ac:dyDescent="0.35">
      <c r="A2431" s="1416">
        <v>38135</v>
      </c>
      <c r="B2431" s="1415">
        <v>93.49</v>
      </c>
    </row>
    <row r="2432" spans="1:2" x14ac:dyDescent="0.35">
      <c r="A2432" s="1416">
        <v>38139</v>
      </c>
      <c r="B2432" s="1415">
        <v>94.73</v>
      </c>
    </row>
    <row r="2433" spans="1:2" x14ac:dyDescent="0.35">
      <c r="A2433" s="1416">
        <v>38140</v>
      </c>
      <c r="B2433" s="1415">
        <v>95.38</v>
      </c>
    </row>
    <row r="2434" spans="1:2" x14ac:dyDescent="0.35">
      <c r="A2434" s="1416">
        <v>38141</v>
      </c>
      <c r="B2434" s="1415">
        <v>94.01</v>
      </c>
    </row>
    <row r="2435" spans="1:2" x14ac:dyDescent="0.35">
      <c r="A2435" s="1416">
        <v>38142</v>
      </c>
      <c r="B2435" s="1415">
        <v>94.36</v>
      </c>
    </row>
    <row r="2436" spans="1:2" x14ac:dyDescent="0.35">
      <c r="A2436" s="1416">
        <v>38145</v>
      </c>
      <c r="B2436" s="1415">
        <v>95.68</v>
      </c>
    </row>
    <row r="2437" spans="1:2" x14ac:dyDescent="0.35">
      <c r="A2437" s="1416">
        <v>38146</v>
      </c>
      <c r="B2437" s="1415">
        <v>97.93</v>
      </c>
    </row>
    <row r="2438" spans="1:2" x14ac:dyDescent="0.35">
      <c r="A2438" s="1416">
        <v>38147</v>
      </c>
      <c r="B2438" s="1415">
        <v>93.57</v>
      </c>
    </row>
    <row r="2439" spans="1:2" x14ac:dyDescent="0.35">
      <c r="A2439" s="1416">
        <v>38148</v>
      </c>
      <c r="B2439" s="1415">
        <v>93.84</v>
      </c>
    </row>
    <row r="2440" spans="1:2" x14ac:dyDescent="0.35">
      <c r="A2440" s="1416">
        <v>38152</v>
      </c>
      <c r="B2440" s="1415">
        <v>94.165000000000006</v>
      </c>
    </row>
    <row r="2441" spans="1:2" x14ac:dyDescent="0.35">
      <c r="A2441" s="1416">
        <v>38153</v>
      </c>
      <c r="B2441" s="1415">
        <v>95.11</v>
      </c>
    </row>
    <row r="2442" spans="1:2" x14ac:dyDescent="0.35">
      <c r="A2442" s="1416">
        <v>38154</v>
      </c>
      <c r="B2442" s="1415">
        <v>95.84</v>
      </c>
    </row>
    <row r="2443" spans="1:2" x14ac:dyDescent="0.35">
      <c r="A2443" s="1416">
        <v>38155</v>
      </c>
      <c r="B2443" s="1415">
        <v>95.21</v>
      </c>
    </row>
    <row r="2444" spans="1:2" x14ac:dyDescent="0.35">
      <c r="A2444" s="1416">
        <v>38156</v>
      </c>
      <c r="B2444" s="1415">
        <v>94.44</v>
      </c>
    </row>
    <row r="2445" spans="1:2" x14ac:dyDescent="0.35">
      <c r="A2445" s="1416">
        <v>38159</v>
      </c>
      <c r="B2445" s="1415">
        <v>91.85</v>
      </c>
    </row>
    <row r="2446" spans="1:2" x14ac:dyDescent="0.35">
      <c r="A2446" s="1416">
        <v>38160</v>
      </c>
      <c r="B2446" s="1415">
        <v>94.17</v>
      </c>
    </row>
    <row r="2447" spans="1:2" x14ac:dyDescent="0.35">
      <c r="A2447" s="1416">
        <v>38161</v>
      </c>
      <c r="B2447" s="1415">
        <v>90.62</v>
      </c>
    </row>
    <row r="2448" spans="1:2" x14ac:dyDescent="0.35">
      <c r="A2448" s="1416">
        <v>38162</v>
      </c>
      <c r="B2448" s="1415">
        <v>85.85</v>
      </c>
    </row>
    <row r="2449" spans="1:2" x14ac:dyDescent="0.35">
      <c r="A2449" s="1416">
        <v>38163</v>
      </c>
      <c r="B2449" s="1415">
        <v>87.42</v>
      </c>
    </row>
    <row r="2450" spans="1:2" x14ac:dyDescent="0.35">
      <c r="A2450" s="1416">
        <v>38166</v>
      </c>
      <c r="B2450" s="1415">
        <v>88.5</v>
      </c>
    </row>
    <row r="2451" spans="1:2" x14ac:dyDescent="0.35">
      <c r="A2451" s="1416">
        <v>38167</v>
      </c>
      <c r="B2451" s="1415">
        <v>86.99</v>
      </c>
    </row>
    <row r="2452" spans="1:2" x14ac:dyDescent="0.35">
      <c r="A2452" s="1416">
        <v>38168</v>
      </c>
      <c r="B2452" s="1415">
        <v>88.29</v>
      </c>
    </row>
    <row r="2453" spans="1:2" x14ac:dyDescent="0.35">
      <c r="A2453" s="1416">
        <v>38169</v>
      </c>
      <c r="B2453" s="1415">
        <v>88.91</v>
      </c>
    </row>
    <row r="2454" spans="1:2" x14ac:dyDescent="0.35">
      <c r="A2454" s="1416">
        <v>38170</v>
      </c>
      <c r="B2454" s="1415">
        <v>87.4</v>
      </c>
    </row>
    <row r="2455" spans="1:2" x14ac:dyDescent="0.35">
      <c r="A2455" s="1416">
        <v>38174</v>
      </c>
      <c r="B2455" s="1415">
        <v>87.12</v>
      </c>
    </row>
    <row r="2456" spans="1:2" x14ac:dyDescent="0.35">
      <c r="A2456" s="1416">
        <v>38175</v>
      </c>
      <c r="B2456" s="1415">
        <v>88.41</v>
      </c>
    </row>
    <row r="2457" spans="1:2" x14ac:dyDescent="0.35">
      <c r="A2457" s="1416">
        <v>38176</v>
      </c>
      <c r="B2457" s="1415">
        <v>89.42</v>
      </c>
    </row>
    <row r="2458" spans="1:2" x14ac:dyDescent="0.35">
      <c r="A2458" s="1416">
        <v>38177</v>
      </c>
      <c r="B2458" s="1415">
        <v>89.37</v>
      </c>
    </row>
    <row r="2459" spans="1:2" x14ac:dyDescent="0.35">
      <c r="A2459" s="1416">
        <v>38180</v>
      </c>
      <c r="B2459" s="1415">
        <v>90.03</v>
      </c>
    </row>
    <row r="2460" spans="1:2" x14ac:dyDescent="0.35">
      <c r="A2460" s="1416">
        <v>38181</v>
      </c>
      <c r="B2460" s="1415">
        <v>91</v>
      </c>
    </row>
    <row r="2461" spans="1:2" x14ac:dyDescent="0.35">
      <c r="A2461" s="1416">
        <v>38182</v>
      </c>
      <c r="B2461" s="1415">
        <v>93.17</v>
      </c>
    </row>
    <row r="2462" spans="1:2" x14ac:dyDescent="0.35">
      <c r="A2462" s="1416">
        <v>38183</v>
      </c>
      <c r="B2462" s="1415">
        <v>93.86</v>
      </c>
    </row>
    <row r="2463" spans="1:2" x14ac:dyDescent="0.35">
      <c r="A2463" s="1416">
        <v>38184</v>
      </c>
      <c r="B2463" s="1415">
        <v>91.39</v>
      </c>
    </row>
    <row r="2464" spans="1:2" x14ac:dyDescent="0.35">
      <c r="A2464" s="1416">
        <v>38187</v>
      </c>
      <c r="B2464" s="1415">
        <v>91.6</v>
      </c>
    </row>
    <row r="2465" spans="1:2" x14ac:dyDescent="0.35">
      <c r="A2465" s="1416">
        <v>38188</v>
      </c>
      <c r="B2465" s="1415">
        <v>92.49</v>
      </c>
    </row>
    <row r="2466" spans="1:2" x14ac:dyDescent="0.35">
      <c r="A2466" s="1416">
        <v>38189</v>
      </c>
      <c r="B2466" s="1415">
        <v>92.37</v>
      </c>
    </row>
    <row r="2467" spans="1:2" x14ac:dyDescent="0.35">
      <c r="A2467" s="1416">
        <v>38190</v>
      </c>
      <c r="B2467" s="1415">
        <v>90.26</v>
      </c>
    </row>
    <row r="2468" spans="1:2" x14ac:dyDescent="0.35">
      <c r="A2468" s="1416">
        <v>38191</v>
      </c>
      <c r="B2468" s="1415">
        <v>88.74</v>
      </c>
    </row>
    <row r="2469" spans="1:2" x14ac:dyDescent="0.35">
      <c r="A2469" s="1416">
        <v>38194</v>
      </c>
      <c r="B2469" s="1415">
        <v>87.66</v>
      </c>
    </row>
    <row r="2470" spans="1:2" x14ac:dyDescent="0.35">
      <c r="A2470" s="1416">
        <v>38195</v>
      </c>
      <c r="B2470" s="1415">
        <v>89.8</v>
      </c>
    </row>
    <row r="2471" spans="1:2" x14ac:dyDescent="0.35">
      <c r="A2471" s="1416">
        <v>38196</v>
      </c>
      <c r="B2471" s="1415">
        <v>85.58</v>
      </c>
    </row>
    <row r="2472" spans="1:2" x14ac:dyDescent="0.35">
      <c r="A2472" s="1416">
        <v>38197</v>
      </c>
      <c r="B2472" s="1415">
        <v>84.79</v>
      </c>
    </row>
    <row r="2473" spans="1:2" x14ac:dyDescent="0.35">
      <c r="A2473" s="1416">
        <v>38198</v>
      </c>
      <c r="B2473" s="1415">
        <v>83.55</v>
      </c>
    </row>
    <row r="2474" spans="1:2" x14ac:dyDescent="0.35">
      <c r="A2474" s="1416">
        <v>38201</v>
      </c>
      <c r="B2474" s="1415">
        <v>77.33</v>
      </c>
    </row>
    <row r="2475" spans="1:2" x14ac:dyDescent="0.35">
      <c r="A2475" s="1416">
        <v>38202</v>
      </c>
      <c r="B2475" s="1415">
        <v>77.02</v>
      </c>
    </row>
    <row r="2476" spans="1:2" x14ac:dyDescent="0.35">
      <c r="A2476" s="1416">
        <v>38203</v>
      </c>
      <c r="B2476" s="1415">
        <v>74.28</v>
      </c>
    </row>
    <row r="2477" spans="1:2" x14ac:dyDescent="0.35">
      <c r="A2477" s="1416">
        <v>38204</v>
      </c>
      <c r="B2477" s="1415">
        <v>71.959999999999994</v>
      </c>
    </row>
    <row r="2478" spans="1:2" x14ac:dyDescent="0.35">
      <c r="A2478" s="1416">
        <v>38205</v>
      </c>
      <c r="B2478" s="1415">
        <v>71.23</v>
      </c>
    </row>
    <row r="2479" spans="1:2" x14ac:dyDescent="0.35">
      <c r="A2479" s="1416">
        <v>38208</v>
      </c>
      <c r="B2479" s="1415">
        <v>71.81</v>
      </c>
    </row>
    <row r="2480" spans="1:2" x14ac:dyDescent="0.35">
      <c r="A2480" s="1416">
        <v>38209</v>
      </c>
      <c r="B2480" s="1415">
        <v>73.28</v>
      </c>
    </row>
    <row r="2481" spans="1:2" x14ac:dyDescent="0.35">
      <c r="A2481" s="1416">
        <v>38210</v>
      </c>
      <c r="B2481" s="1415">
        <v>72.540000000000006</v>
      </c>
    </row>
    <row r="2482" spans="1:2" x14ac:dyDescent="0.35">
      <c r="A2482" s="1416">
        <v>38211</v>
      </c>
      <c r="B2482" s="1415">
        <v>71.319999999999993</v>
      </c>
    </row>
    <row r="2483" spans="1:2" x14ac:dyDescent="0.35">
      <c r="A2483" s="1416">
        <v>38212</v>
      </c>
      <c r="B2483" s="1415">
        <v>70.31</v>
      </c>
    </row>
    <row r="2484" spans="1:2" x14ac:dyDescent="0.35">
      <c r="A2484" s="1416">
        <v>38215</v>
      </c>
      <c r="B2484" s="1415">
        <v>72.010000000000005</v>
      </c>
    </row>
    <row r="2485" spans="1:2" x14ac:dyDescent="0.35">
      <c r="A2485" s="1416">
        <v>38216</v>
      </c>
      <c r="B2485" s="1415">
        <v>71.88</v>
      </c>
    </row>
    <row r="2486" spans="1:2" x14ac:dyDescent="0.35">
      <c r="A2486" s="1416">
        <v>38217</v>
      </c>
      <c r="B2486" s="1415">
        <v>72</v>
      </c>
    </row>
    <row r="2487" spans="1:2" x14ac:dyDescent="0.35">
      <c r="A2487" s="1416">
        <v>38218</v>
      </c>
      <c r="B2487" s="1415">
        <v>70.510000000000005</v>
      </c>
    </row>
    <row r="2488" spans="1:2" x14ac:dyDescent="0.35">
      <c r="A2488" s="1416">
        <v>38219</v>
      </c>
      <c r="B2488" s="1415">
        <v>72.569999999999993</v>
      </c>
    </row>
    <row r="2489" spans="1:2" x14ac:dyDescent="0.35">
      <c r="A2489" s="1416">
        <v>38222</v>
      </c>
      <c r="B2489" s="1415">
        <v>72.53</v>
      </c>
    </row>
    <row r="2490" spans="1:2" x14ac:dyDescent="0.35">
      <c r="A2490" s="1416">
        <v>38223</v>
      </c>
      <c r="B2490" s="1415">
        <v>72.05</v>
      </c>
    </row>
    <row r="2491" spans="1:2" x14ac:dyDescent="0.35">
      <c r="A2491" s="1416">
        <v>38224</v>
      </c>
      <c r="B2491" s="1415">
        <v>73.34</v>
      </c>
    </row>
    <row r="2492" spans="1:2" x14ac:dyDescent="0.35">
      <c r="A2492" s="1416">
        <v>38225</v>
      </c>
      <c r="B2492" s="1415">
        <v>79.42</v>
      </c>
    </row>
    <row r="2493" spans="1:2" x14ac:dyDescent="0.35">
      <c r="A2493" s="1416">
        <v>38226</v>
      </c>
      <c r="B2493" s="1415">
        <v>78.63</v>
      </c>
    </row>
    <row r="2494" spans="1:2" x14ac:dyDescent="0.35">
      <c r="A2494" s="1416">
        <v>38229</v>
      </c>
      <c r="B2494" s="1415">
        <v>78.09</v>
      </c>
    </row>
    <row r="2495" spans="1:2" x14ac:dyDescent="0.35">
      <c r="A2495" s="1416">
        <v>38230</v>
      </c>
      <c r="B2495" s="1415">
        <v>78</v>
      </c>
    </row>
    <row r="2496" spans="1:2" x14ac:dyDescent="0.35">
      <c r="A2496" s="1416">
        <v>38231</v>
      </c>
      <c r="B2496" s="1415">
        <v>81.180000000000007</v>
      </c>
    </row>
    <row r="2497" spans="1:2" x14ac:dyDescent="0.35">
      <c r="A2497" s="1416">
        <v>38232</v>
      </c>
      <c r="B2497" s="1415">
        <v>82.77</v>
      </c>
    </row>
    <row r="2498" spans="1:2" x14ac:dyDescent="0.35">
      <c r="A2498" s="1416">
        <v>38233</v>
      </c>
      <c r="B2498" s="1415">
        <v>83.74</v>
      </c>
    </row>
    <row r="2499" spans="1:2" x14ac:dyDescent="0.35">
      <c r="A2499" s="1416">
        <v>38237</v>
      </c>
      <c r="B2499" s="1415">
        <v>82.72</v>
      </c>
    </row>
    <row r="2500" spans="1:2" x14ac:dyDescent="0.35">
      <c r="A2500" s="1416">
        <v>38238</v>
      </c>
      <c r="B2500" s="1415">
        <v>82.07</v>
      </c>
    </row>
    <row r="2501" spans="1:2" x14ac:dyDescent="0.35">
      <c r="A2501" s="1416">
        <v>38239</v>
      </c>
      <c r="B2501" s="1415">
        <v>80.5</v>
      </c>
    </row>
    <row r="2502" spans="1:2" x14ac:dyDescent="0.35">
      <c r="A2502" s="1416">
        <v>38240</v>
      </c>
      <c r="B2502" s="1415">
        <v>80.430000000000007</v>
      </c>
    </row>
    <row r="2503" spans="1:2" x14ac:dyDescent="0.35">
      <c r="A2503" s="1416">
        <v>38243</v>
      </c>
      <c r="B2503" s="1415">
        <v>80.63</v>
      </c>
    </row>
    <row r="2504" spans="1:2" x14ac:dyDescent="0.35">
      <c r="A2504" s="1416">
        <v>38244</v>
      </c>
      <c r="B2504" s="1415">
        <v>80.09</v>
      </c>
    </row>
    <row r="2505" spans="1:2" x14ac:dyDescent="0.35">
      <c r="A2505" s="1416">
        <v>38245</v>
      </c>
      <c r="B2505" s="1415">
        <v>78.680000000000007</v>
      </c>
    </row>
    <row r="2506" spans="1:2" x14ac:dyDescent="0.35">
      <c r="A2506" s="1416">
        <v>38246</v>
      </c>
      <c r="B2506" s="1415">
        <v>78.819999999999993</v>
      </c>
    </row>
    <row r="2507" spans="1:2" x14ac:dyDescent="0.35">
      <c r="A2507" s="1416">
        <v>38247</v>
      </c>
      <c r="B2507" s="1415">
        <v>78.349999999999994</v>
      </c>
    </row>
    <row r="2508" spans="1:2" x14ac:dyDescent="0.35">
      <c r="A2508" s="1416">
        <v>38250</v>
      </c>
      <c r="B2508" s="1415">
        <v>75.819999999999993</v>
      </c>
    </row>
    <row r="2509" spans="1:2" x14ac:dyDescent="0.35">
      <c r="A2509" s="1416">
        <v>38251</v>
      </c>
      <c r="B2509" s="1415">
        <v>72</v>
      </c>
    </row>
    <row r="2510" spans="1:2" x14ac:dyDescent="0.35">
      <c r="A2510" s="1416">
        <v>38252</v>
      </c>
      <c r="B2510" s="1415">
        <v>73.11</v>
      </c>
    </row>
    <row r="2511" spans="1:2" x14ac:dyDescent="0.35">
      <c r="A2511" s="1416">
        <v>38253</v>
      </c>
      <c r="B2511" s="1415">
        <v>72.48</v>
      </c>
    </row>
    <row r="2512" spans="1:2" x14ac:dyDescent="0.35">
      <c r="A2512" s="1416">
        <v>38254</v>
      </c>
      <c r="B2512" s="1415">
        <v>72.819999999999993</v>
      </c>
    </row>
    <row r="2513" spans="1:2" x14ac:dyDescent="0.35">
      <c r="A2513" s="1416">
        <v>38257</v>
      </c>
      <c r="B2513" s="1415">
        <v>73.11</v>
      </c>
    </row>
    <row r="2514" spans="1:2" x14ac:dyDescent="0.35">
      <c r="A2514" s="1416">
        <v>38258</v>
      </c>
      <c r="B2514" s="1415">
        <v>73.17</v>
      </c>
    </row>
    <row r="2515" spans="1:2" x14ac:dyDescent="0.35">
      <c r="A2515" s="1416">
        <v>38259</v>
      </c>
      <c r="B2515" s="1415">
        <v>73.959999999999994</v>
      </c>
    </row>
    <row r="2516" spans="1:2" x14ac:dyDescent="0.35">
      <c r="A2516" s="1416">
        <v>38260</v>
      </c>
      <c r="B2516" s="1415">
        <v>73.37</v>
      </c>
    </row>
    <row r="2517" spans="1:2" x14ac:dyDescent="0.35">
      <c r="A2517" s="1416">
        <v>38261</v>
      </c>
      <c r="B2517" s="1415">
        <v>76.33</v>
      </c>
    </row>
    <row r="2518" spans="1:2" x14ac:dyDescent="0.35">
      <c r="A2518" s="1416">
        <v>38264</v>
      </c>
      <c r="B2518" s="1415">
        <v>74.430000000000007</v>
      </c>
    </row>
    <row r="2519" spans="1:2" x14ac:dyDescent="0.35">
      <c r="A2519" s="1416">
        <v>38265</v>
      </c>
      <c r="B2519" s="1415">
        <v>76.209999999999994</v>
      </c>
    </row>
    <row r="2520" spans="1:2" x14ac:dyDescent="0.35">
      <c r="A2520" s="1416">
        <v>38266</v>
      </c>
      <c r="B2520" s="1415">
        <v>73.95</v>
      </c>
    </row>
    <row r="2521" spans="1:2" x14ac:dyDescent="0.35">
      <c r="A2521" s="1416">
        <v>38267</v>
      </c>
      <c r="B2521" s="1415">
        <v>71.900000000000006</v>
      </c>
    </row>
    <row r="2522" spans="1:2" x14ac:dyDescent="0.35">
      <c r="A2522" s="1416">
        <v>38268</v>
      </c>
      <c r="B2522" s="1415">
        <v>69.81</v>
      </c>
    </row>
    <row r="2523" spans="1:2" x14ac:dyDescent="0.35">
      <c r="A2523" s="1416">
        <v>38271</v>
      </c>
      <c r="B2523" s="1415">
        <v>69.28</v>
      </c>
    </row>
    <row r="2524" spans="1:2" x14ac:dyDescent="0.35">
      <c r="A2524" s="1416">
        <v>38272</v>
      </c>
      <c r="B2524" s="1415">
        <v>68.06</v>
      </c>
    </row>
    <row r="2525" spans="1:2" x14ac:dyDescent="0.35">
      <c r="A2525" s="1416">
        <v>38273</v>
      </c>
      <c r="B2525" s="1415">
        <v>68.03</v>
      </c>
    </row>
    <row r="2526" spans="1:2" x14ac:dyDescent="0.35">
      <c r="A2526" s="1416">
        <v>38274</v>
      </c>
      <c r="B2526" s="1415">
        <v>68.010000000000005</v>
      </c>
    </row>
    <row r="2527" spans="1:2" x14ac:dyDescent="0.35">
      <c r="A2527" s="1416">
        <v>38275</v>
      </c>
      <c r="B2527" s="1415">
        <v>68.209999999999994</v>
      </c>
    </row>
    <row r="2528" spans="1:2" x14ac:dyDescent="0.35">
      <c r="A2528" s="1416">
        <v>38278</v>
      </c>
      <c r="B2528" s="1415">
        <v>71.319999999999993</v>
      </c>
    </row>
    <row r="2529" spans="1:2" x14ac:dyDescent="0.35">
      <c r="A2529" s="1416">
        <v>38279</v>
      </c>
      <c r="B2529" s="1415">
        <v>70.099999999999994</v>
      </c>
    </row>
    <row r="2530" spans="1:2" x14ac:dyDescent="0.35">
      <c r="A2530" s="1416">
        <v>38280</v>
      </c>
      <c r="B2530" s="1415">
        <v>70.540000000000006</v>
      </c>
    </row>
    <row r="2531" spans="1:2" x14ac:dyDescent="0.35">
      <c r="A2531" s="1416">
        <v>38281</v>
      </c>
      <c r="B2531" s="1415">
        <v>69.989999999999995</v>
      </c>
    </row>
    <row r="2532" spans="1:2" x14ac:dyDescent="0.35">
      <c r="A2532" s="1416">
        <v>38282</v>
      </c>
      <c r="B2532" s="1415">
        <v>70.16</v>
      </c>
    </row>
    <row r="2533" spans="1:2" x14ac:dyDescent="0.35">
      <c r="A2533" s="1416">
        <v>38285</v>
      </c>
      <c r="B2533" s="1415">
        <v>70.95</v>
      </c>
    </row>
    <row r="2534" spans="1:2" x14ac:dyDescent="0.35">
      <c r="A2534" s="1416">
        <v>38286</v>
      </c>
      <c r="B2534" s="1415">
        <v>66.75</v>
      </c>
    </row>
    <row r="2535" spans="1:2" x14ac:dyDescent="0.35">
      <c r="A2535" s="1416">
        <v>38287</v>
      </c>
      <c r="B2535" s="1415">
        <v>68.290000000000006</v>
      </c>
    </row>
    <row r="2536" spans="1:2" x14ac:dyDescent="0.35">
      <c r="A2536" s="1416">
        <v>38288</v>
      </c>
      <c r="B2536" s="1415">
        <v>67.17</v>
      </c>
    </row>
    <row r="2537" spans="1:2" x14ac:dyDescent="0.35">
      <c r="A2537" s="1416">
        <v>38289</v>
      </c>
      <c r="B2537" s="1415">
        <v>66</v>
      </c>
    </row>
    <row r="2538" spans="1:2" x14ac:dyDescent="0.35">
      <c r="A2538" s="1416">
        <v>38292</v>
      </c>
      <c r="B2538" s="1415">
        <v>64.38</v>
      </c>
    </row>
    <row r="2539" spans="1:2" x14ac:dyDescent="0.35">
      <c r="A2539" s="1416">
        <v>38293</v>
      </c>
      <c r="B2539" s="1415">
        <v>64.27</v>
      </c>
    </row>
    <row r="2540" spans="1:2" x14ac:dyDescent="0.35">
      <c r="A2540" s="1416">
        <v>38294</v>
      </c>
      <c r="B2540" s="1415">
        <v>63.87</v>
      </c>
    </row>
    <row r="2541" spans="1:2" x14ac:dyDescent="0.35">
      <c r="A2541" s="1416">
        <v>38295</v>
      </c>
      <c r="B2541" s="1415">
        <v>62.96</v>
      </c>
    </row>
    <row r="2542" spans="1:2" x14ac:dyDescent="0.35">
      <c r="A2542" s="1416">
        <v>38296</v>
      </c>
      <c r="B2542" s="1415">
        <v>65.13</v>
      </c>
    </row>
    <row r="2543" spans="1:2" x14ac:dyDescent="0.35">
      <c r="A2543" s="1416">
        <v>38299</v>
      </c>
      <c r="B2543" s="1415">
        <v>67.14</v>
      </c>
    </row>
    <row r="2544" spans="1:2" x14ac:dyDescent="0.35">
      <c r="A2544" s="1416">
        <v>38300</v>
      </c>
      <c r="B2544" s="1415">
        <v>66.510000000000005</v>
      </c>
    </row>
    <row r="2545" spans="1:2" x14ac:dyDescent="0.35">
      <c r="A2545" s="1416">
        <v>38301</v>
      </c>
      <c r="B2545" s="1415">
        <v>68.599999999999994</v>
      </c>
    </row>
    <row r="2546" spans="1:2" x14ac:dyDescent="0.35">
      <c r="A2546" s="1416">
        <v>38302</v>
      </c>
      <c r="B2546" s="1415">
        <v>73.2</v>
      </c>
    </row>
    <row r="2547" spans="1:2" x14ac:dyDescent="0.35">
      <c r="A2547" s="1416">
        <v>38303</v>
      </c>
      <c r="B2547" s="1415">
        <v>74.2</v>
      </c>
    </row>
    <row r="2548" spans="1:2" x14ac:dyDescent="0.35">
      <c r="A2548" s="1416">
        <v>38306</v>
      </c>
      <c r="B2548" s="1415">
        <v>73.97</v>
      </c>
    </row>
    <row r="2549" spans="1:2" x14ac:dyDescent="0.35">
      <c r="A2549" s="1416">
        <v>38307</v>
      </c>
      <c r="B2549" s="1415">
        <v>74.77</v>
      </c>
    </row>
    <row r="2550" spans="1:2" x14ac:dyDescent="0.35">
      <c r="A2550" s="1416">
        <v>38308</v>
      </c>
      <c r="B2550" s="1415">
        <v>75.45</v>
      </c>
    </row>
    <row r="2551" spans="1:2" x14ac:dyDescent="0.35">
      <c r="A2551" s="1416">
        <v>38309</v>
      </c>
      <c r="B2551" s="1415">
        <v>76.209999999999994</v>
      </c>
    </row>
    <row r="2552" spans="1:2" x14ac:dyDescent="0.35">
      <c r="A2552" s="1416">
        <v>38310</v>
      </c>
      <c r="B2552" s="1415">
        <v>75</v>
      </c>
    </row>
    <row r="2553" spans="1:2" x14ac:dyDescent="0.35">
      <c r="A2553" s="1416">
        <v>38313</v>
      </c>
      <c r="B2553" s="1415">
        <v>75.39</v>
      </c>
    </row>
    <row r="2554" spans="1:2" x14ac:dyDescent="0.35">
      <c r="A2554" s="1416">
        <v>38314</v>
      </c>
      <c r="B2554" s="1415">
        <v>75.53</v>
      </c>
    </row>
    <row r="2555" spans="1:2" x14ac:dyDescent="0.35">
      <c r="A2555" s="1416">
        <v>38315</v>
      </c>
      <c r="B2555" s="1415">
        <v>79.33</v>
      </c>
    </row>
    <row r="2556" spans="1:2" x14ac:dyDescent="0.35">
      <c r="A2556" s="1416">
        <v>38317</v>
      </c>
      <c r="B2556" s="1415">
        <v>78.05</v>
      </c>
    </row>
    <row r="2557" spans="1:2" x14ac:dyDescent="0.35">
      <c r="A2557" s="1416">
        <v>38320</v>
      </c>
      <c r="B2557" s="1415">
        <v>80.180000000000007</v>
      </c>
    </row>
    <row r="2558" spans="1:2" x14ac:dyDescent="0.35">
      <c r="A2558" s="1416">
        <v>38321</v>
      </c>
      <c r="B2558" s="1415">
        <v>79.7</v>
      </c>
    </row>
    <row r="2559" spans="1:2" x14ac:dyDescent="0.35">
      <c r="A2559" s="1416">
        <v>38322</v>
      </c>
      <c r="B2559" s="1415">
        <v>81.41</v>
      </c>
    </row>
    <row r="2560" spans="1:2" x14ac:dyDescent="0.35">
      <c r="A2560" s="1416">
        <v>38323</v>
      </c>
      <c r="B2560" s="1415">
        <v>82.84</v>
      </c>
    </row>
    <row r="2561" spans="1:2" x14ac:dyDescent="0.35">
      <c r="A2561" s="1416">
        <v>38324</v>
      </c>
      <c r="B2561" s="1415">
        <v>83.1</v>
      </c>
    </row>
    <row r="2562" spans="1:2" x14ac:dyDescent="0.35">
      <c r="A2562" s="1416">
        <v>38327</v>
      </c>
      <c r="B2562" s="1415">
        <v>84.83</v>
      </c>
    </row>
    <row r="2563" spans="1:2" x14ac:dyDescent="0.35">
      <c r="A2563" s="1416">
        <v>38328</v>
      </c>
      <c r="B2563" s="1415">
        <v>83.12</v>
      </c>
    </row>
    <row r="2564" spans="1:2" x14ac:dyDescent="0.35">
      <c r="A2564" s="1416">
        <v>38329</v>
      </c>
      <c r="B2564" s="1415">
        <v>83.26</v>
      </c>
    </row>
    <row r="2565" spans="1:2" x14ac:dyDescent="0.35">
      <c r="A2565" s="1416">
        <v>38330</v>
      </c>
      <c r="B2565" s="1415">
        <v>83.86</v>
      </c>
    </row>
    <row r="2566" spans="1:2" x14ac:dyDescent="0.35">
      <c r="A2566" s="1416">
        <v>38331</v>
      </c>
      <c r="B2566" s="1415">
        <v>83.23</v>
      </c>
    </row>
    <row r="2567" spans="1:2" x14ac:dyDescent="0.35">
      <c r="A2567" s="1416">
        <v>38334</v>
      </c>
      <c r="B2567" s="1415">
        <v>83.09</v>
      </c>
    </row>
    <row r="2568" spans="1:2" x14ac:dyDescent="0.35">
      <c r="A2568" s="1416">
        <v>38335</v>
      </c>
      <c r="B2568" s="1415">
        <v>84.84</v>
      </c>
    </row>
    <row r="2569" spans="1:2" x14ac:dyDescent="0.35">
      <c r="A2569" s="1416">
        <v>38336</v>
      </c>
      <c r="B2569" s="1415">
        <v>85.33</v>
      </c>
    </row>
    <row r="2570" spans="1:2" x14ac:dyDescent="0.35">
      <c r="A2570" s="1416">
        <v>38337</v>
      </c>
      <c r="B2570" s="1415">
        <v>79.63</v>
      </c>
    </row>
    <row r="2571" spans="1:2" x14ac:dyDescent="0.35">
      <c r="A2571" s="1416">
        <v>38338</v>
      </c>
      <c r="B2571" s="1415">
        <v>79.510000000000005</v>
      </c>
    </row>
    <row r="2572" spans="1:2" x14ac:dyDescent="0.35">
      <c r="A2572" s="1416">
        <v>38341</v>
      </c>
      <c r="B2572" s="1415">
        <v>79.86</v>
      </c>
    </row>
    <row r="2573" spans="1:2" x14ac:dyDescent="0.35">
      <c r="A2573" s="1416">
        <v>38342</v>
      </c>
      <c r="B2573" s="1415">
        <v>80.25</v>
      </c>
    </row>
    <row r="2574" spans="1:2" x14ac:dyDescent="0.35">
      <c r="A2574" s="1416">
        <v>38343</v>
      </c>
      <c r="B2574" s="1415">
        <v>80.17</v>
      </c>
    </row>
    <row r="2575" spans="1:2" x14ac:dyDescent="0.35">
      <c r="A2575" s="1416">
        <v>38344</v>
      </c>
      <c r="B2575" s="1415">
        <v>80.08</v>
      </c>
    </row>
    <row r="2576" spans="1:2" x14ac:dyDescent="0.35">
      <c r="A2576" s="1416">
        <v>38348</v>
      </c>
      <c r="B2576" s="1415">
        <v>78.849999999999994</v>
      </c>
    </row>
    <row r="2577" spans="1:2" x14ac:dyDescent="0.35">
      <c r="A2577" s="1416">
        <v>38349</v>
      </c>
      <c r="B2577" s="1415">
        <v>80.94</v>
      </c>
    </row>
    <row r="2578" spans="1:2" x14ac:dyDescent="0.35">
      <c r="A2578" s="1416">
        <v>38350</v>
      </c>
      <c r="B2578" s="1415">
        <v>81.599999999999994</v>
      </c>
    </row>
    <row r="2579" spans="1:2" x14ac:dyDescent="0.35">
      <c r="A2579" s="1416">
        <v>38351</v>
      </c>
      <c r="B2579" s="1415">
        <v>80.83</v>
      </c>
    </row>
    <row r="2580" spans="1:2" x14ac:dyDescent="0.35">
      <c r="A2580" s="1416">
        <v>38352</v>
      </c>
      <c r="B2580" s="1415">
        <v>80.709999999999994</v>
      </c>
    </row>
    <row r="2581" spans="1:2" x14ac:dyDescent="0.35">
      <c r="A2581" s="1416">
        <v>38355</v>
      </c>
      <c r="B2581" s="1415">
        <v>81.010000000000005</v>
      </c>
    </row>
    <row r="2582" spans="1:2" x14ac:dyDescent="0.35">
      <c r="A2582" s="1416">
        <v>38356</v>
      </c>
      <c r="B2582" s="1415">
        <v>82.21</v>
      </c>
    </row>
    <row r="2583" spans="1:2" x14ac:dyDescent="0.35">
      <c r="A2583" s="1416">
        <v>38357</v>
      </c>
      <c r="B2583" s="1415">
        <v>81.180000000000007</v>
      </c>
    </row>
    <row r="2584" spans="1:2" x14ac:dyDescent="0.35">
      <c r="A2584" s="1416">
        <v>38358</v>
      </c>
      <c r="B2584" s="1415">
        <v>81.510000000000005</v>
      </c>
    </row>
    <row r="2585" spans="1:2" x14ac:dyDescent="0.35">
      <c r="A2585" s="1416">
        <v>38359</v>
      </c>
      <c r="B2585" s="1415">
        <v>81.55</v>
      </c>
    </row>
    <row r="2586" spans="1:2" x14ac:dyDescent="0.35">
      <c r="A2586" s="1416">
        <v>38362</v>
      </c>
      <c r="B2586" s="1415">
        <v>81.290000000000006</v>
      </c>
    </row>
    <row r="2587" spans="1:2" x14ac:dyDescent="0.35">
      <c r="A2587" s="1416">
        <v>38363</v>
      </c>
      <c r="B2587" s="1415">
        <v>82.08</v>
      </c>
    </row>
    <row r="2588" spans="1:2" x14ac:dyDescent="0.35">
      <c r="A2588" s="1416">
        <v>38364</v>
      </c>
      <c r="B2588" s="1415">
        <v>83.02</v>
      </c>
    </row>
    <row r="2589" spans="1:2" x14ac:dyDescent="0.35">
      <c r="A2589" s="1416">
        <v>38365</v>
      </c>
      <c r="B2589" s="1415">
        <v>79.989999999999995</v>
      </c>
    </row>
    <row r="2590" spans="1:2" x14ac:dyDescent="0.35">
      <c r="A2590" s="1416">
        <v>38366</v>
      </c>
      <c r="B2590" s="1415">
        <v>81.34</v>
      </c>
    </row>
    <row r="2591" spans="1:2" x14ac:dyDescent="0.35">
      <c r="A2591" s="1416">
        <v>38370</v>
      </c>
      <c r="B2591" s="1415">
        <v>81.92</v>
      </c>
    </row>
    <row r="2592" spans="1:2" x14ac:dyDescent="0.35">
      <c r="A2592" s="1416">
        <v>38371</v>
      </c>
      <c r="B2592" s="1415">
        <v>80.38</v>
      </c>
    </row>
    <row r="2593" spans="1:2" x14ac:dyDescent="0.35">
      <c r="A2593" s="1416">
        <v>38372</v>
      </c>
      <c r="B2593" s="1415">
        <v>79.53</v>
      </c>
    </row>
    <row r="2594" spans="1:2" x14ac:dyDescent="0.35">
      <c r="A2594" s="1416">
        <v>38373</v>
      </c>
      <c r="B2594" s="1415">
        <v>77.61</v>
      </c>
    </row>
    <row r="2595" spans="1:2" x14ac:dyDescent="0.35">
      <c r="A2595" s="1416">
        <v>38376</v>
      </c>
      <c r="B2595" s="1415">
        <v>77.150000000000006</v>
      </c>
    </row>
    <row r="2596" spans="1:2" x14ac:dyDescent="0.35">
      <c r="A2596" s="1416">
        <v>38377</v>
      </c>
      <c r="B2596" s="1415">
        <v>77.400000000000006</v>
      </c>
    </row>
    <row r="2597" spans="1:2" x14ac:dyDescent="0.35">
      <c r="A2597" s="1416">
        <v>38378</v>
      </c>
      <c r="B2597" s="1415">
        <v>77.12</v>
      </c>
    </row>
    <row r="2598" spans="1:2" x14ac:dyDescent="0.35">
      <c r="A2598" s="1416">
        <v>38379</v>
      </c>
      <c r="B2598" s="1415">
        <v>77.02</v>
      </c>
    </row>
    <row r="2599" spans="1:2" x14ac:dyDescent="0.35">
      <c r="A2599" s="1416">
        <v>38380</v>
      </c>
      <c r="B2599" s="1415">
        <v>76.98</v>
      </c>
    </row>
    <row r="2600" spans="1:2" x14ac:dyDescent="0.35">
      <c r="A2600" s="1416">
        <v>38383</v>
      </c>
      <c r="B2600" s="1415">
        <v>78.180000000000007</v>
      </c>
    </row>
    <row r="2601" spans="1:2" x14ac:dyDescent="0.35">
      <c r="A2601" s="1416">
        <v>38384</v>
      </c>
      <c r="B2601" s="1415">
        <v>79.739999999999995</v>
      </c>
    </row>
    <row r="2602" spans="1:2" x14ac:dyDescent="0.35">
      <c r="A2602" s="1416">
        <v>38385</v>
      </c>
      <c r="B2602" s="1415">
        <v>78.430000000000007</v>
      </c>
    </row>
    <row r="2603" spans="1:2" x14ac:dyDescent="0.35">
      <c r="A2603" s="1416">
        <v>38386</v>
      </c>
      <c r="B2603" s="1415">
        <v>78.17</v>
      </c>
    </row>
    <row r="2604" spans="1:2" x14ac:dyDescent="0.35">
      <c r="A2604" s="1416">
        <v>38387</v>
      </c>
      <c r="B2604" s="1415">
        <v>78.66</v>
      </c>
    </row>
    <row r="2605" spans="1:2" x14ac:dyDescent="0.35">
      <c r="A2605" s="1416">
        <v>38390</v>
      </c>
      <c r="B2605" s="1415">
        <v>78</v>
      </c>
    </row>
    <row r="2606" spans="1:2" x14ac:dyDescent="0.35">
      <c r="A2606" s="1416">
        <v>38391</v>
      </c>
      <c r="B2606" s="1415">
        <v>78.760000000000005</v>
      </c>
    </row>
    <row r="2607" spans="1:2" x14ac:dyDescent="0.35">
      <c r="A2607" s="1416">
        <v>38392</v>
      </c>
      <c r="B2607" s="1415">
        <v>76.44</v>
      </c>
    </row>
    <row r="2608" spans="1:2" x14ac:dyDescent="0.35">
      <c r="A2608" s="1416">
        <v>38393</v>
      </c>
      <c r="B2608" s="1415">
        <v>74.02</v>
      </c>
    </row>
    <row r="2609" spans="1:2" x14ac:dyDescent="0.35">
      <c r="A2609" s="1416">
        <v>38394</v>
      </c>
      <c r="B2609" s="1415">
        <v>76.430000000000007</v>
      </c>
    </row>
    <row r="2610" spans="1:2" x14ac:dyDescent="0.35">
      <c r="A2610" s="1416">
        <v>38397</v>
      </c>
      <c r="B2610" s="1415">
        <v>76.319999999999993</v>
      </c>
    </row>
    <row r="2611" spans="1:2" x14ac:dyDescent="0.35">
      <c r="A2611" s="1416">
        <v>38398</v>
      </c>
      <c r="B2611" s="1415">
        <v>77.3</v>
      </c>
    </row>
    <row r="2612" spans="1:2" x14ac:dyDescent="0.35">
      <c r="A2612" s="1416">
        <v>38399</v>
      </c>
      <c r="B2612" s="1415">
        <v>76.42</v>
      </c>
    </row>
    <row r="2613" spans="1:2" x14ac:dyDescent="0.35">
      <c r="A2613" s="1416">
        <v>38400</v>
      </c>
      <c r="B2613" s="1415">
        <v>75.8</v>
      </c>
    </row>
    <row r="2614" spans="1:2" x14ac:dyDescent="0.35">
      <c r="A2614" s="1416">
        <v>38401</v>
      </c>
      <c r="B2614" s="1415">
        <v>75.53</v>
      </c>
    </row>
    <row r="2615" spans="1:2" x14ac:dyDescent="0.35">
      <c r="A2615" s="1416">
        <v>38405</v>
      </c>
      <c r="B2615" s="1415">
        <v>74.239999999999995</v>
      </c>
    </row>
    <row r="2616" spans="1:2" x14ac:dyDescent="0.35">
      <c r="A2616" s="1416">
        <v>38406</v>
      </c>
      <c r="B2616" s="1415">
        <v>74.489999999999995</v>
      </c>
    </row>
    <row r="2617" spans="1:2" x14ac:dyDescent="0.35">
      <c r="A2617" s="1416">
        <v>38407</v>
      </c>
      <c r="B2617" s="1415">
        <v>75.22</v>
      </c>
    </row>
    <row r="2618" spans="1:2" x14ac:dyDescent="0.35">
      <c r="A2618" s="1416">
        <v>38408</v>
      </c>
      <c r="B2618" s="1415">
        <v>75</v>
      </c>
    </row>
    <row r="2619" spans="1:2" x14ac:dyDescent="0.35">
      <c r="A2619" s="1416">
        <v>38411</v>
      </c>
      <c r="B2619" s="1415">
        <v>73.64</v>
      </c>
    </row>
    <row r="2620" spans="1:2" x14ac:dyDescent="0.35">
      <c r="A2620" s="1416">
        <v>38412</v>
      </c>
      <c r="B2620" s="1415">
        <v>73.64</v>
      </c>
    </row>
    <row r="2621" spans="1:2" x14ac:dyDescent="0.35">
      <c r="A2621" s="1416">
        <v>38413</v>
      </c>
      <c r="B2621" s="1415">
        <v>74.23</v>
      </c>
    </row>
    <row r="2622" spans="1:2" x14ac:dyDescent="0.35">
      <c r="A2622" s="1416">
        <v>38414</v>
      </c>
      <c r="B2622" s="1415">
        <v>75.03</v>
      </c>
    </row>
    <row r="2623" spans="1:2" x14ac:dyDescent="0.35">
      <c r="A2623" s="1416">
        <v>38415</v>
      </c>
      <c r="B2623" s="1415">
        <v>74.69</v>
      </c>
    </row>
    <row r="2624" spans="1:2" x14ac:dyDescent="0.35">
      <c r="A2624" s="1416">
        <v>38418</v>
      </c>
      <c r="B2624" s="1415">
        <v>77.5</v>
      </c>
    </row>
    <row r="2625" spans="1:2" x14ac:dyDescent="0.35">
      <c r="A2625" s="1416">
        <v>38419</v>
      </c>
      <c r="B2625" s="1415">
        <v>76.44</v>
      </c>
    </row>
    <row r="2626" spans="1:2" x14ac:dyDescent="0.35">
      <c r="A2626" s="1416">
        <v>38420</v>
      </c>
      <c r="B2626" s="1415">
        <v>75.91</v>
      </c>
    </row>
    <row r="2627" spans="1:2" x14ac:dyDescent="0.35">
      <c r="A2627" s="1416">
        <v>38421</v>
      </c>
      <c r="B2627" s="1415">
        <v>75.95</v>
      </c>
    </row>
    <row r="2628" spans="1:2" x14ac:dyDescent="0.35">
      <c r="A2628" s="1416">
        <v>38422</v>
      </c>
      <c r="B2628" s="1415">
        <v>74</v>
      </c>
    </row>
    <row r="2629" spans="1:2" x14ac:dyDescent="0.35">
      <c r="A2629" s="1416">
        <v>38425</v>
      </c>
      <c r="B2629" s="1415">
        <v>74.400000000000006</v>
      </c>
    </row>
    <row r="2630" spans="1:2" x14ac:dyDescent="0.35">
      <c r="A2630" s="1416">
        <v>38426</v>
      </c>
      <c r="B2630" s="1415">
        <v>73.09</v>
      </c>
    </row>
    <row r="2631" spans="1:2" x14ac:dyDescent="0.35">
      <c r="A2631" s="1416">
        <v>38427</v>
      </c>
      <c r="B2631" s="1415">
        <v>74.33</v>
      </c>
    </row>
    <row r="2632" spans="1:2" x14ac:dyDescent="0.35">
      <c r="A2632" s="1416">
        <v>38428</v>
      </c>
      <c r="B2632" s="1415">
        <v>74.84</v>
      </c>
    </row>
    <row r="2633" spans="1:2" x14ac:dyDescent="0.35">
      <c r="A2633" s="1416">
        <v>38429</v>
      </c>
      <c r="B2633" s="1415">
        <v>74.59</v>
      </c>
    </row>
    <row r="2634" spans="1:2" x14ac:dyDescent="0.35">
      <c r="A2634" s="1416">
        <v>38432</v>
      </c>
      <c r="B2634" s="1415">
        <v>75.069999999999993</v>
      </c>
    </row>
    <row r="2635" spans="1:2" x14ac:dyDescent="0.35">
      <c r="A2635" s="1416">
        <v>38433</v>
      </c>
      <c r="B2635" s="1415">
        <v>74.260000000000005</v>
      </c>
    </row>
    <row r="2636" spans="1:2" x14ac:dyDescent="0.35">
      <c r="A2636" s="1416">
        <v>38434</v>
      </c>
      <c r="B2636" s="1415">
        <v>73.13</v>
      </c>
    </row>
    <row r="2637" spans="1:2" x14ac:dyDescent="0.35">
      <c r="A2637" s="1416">
        <v>38435</v>
      </c>
      <c r="B2637" s="1415">
        <v>72.010000000000005</v>
      </c>
    </row>
    <row r="2638" spans="1:2" x14ac:dyDescent="0.35">
      <c r="A2638" s="1416">
        <v>38439</v>
      </c>
      <c r="B2638" s="1415">
        <v>72.91</v>
      </c>
    </row>
    <row r="2639" spans="1:2" x14ac:dyDescent="0.35">
      <c r="A2639" s="1416">
        <v>38440</v>
      </c>
      <c r="B2639" s="1415">
        <v>71.17</v>
      </c>
    </row>
    <row r="2640" spans="1:2" x14ac:dyDescent="0.35">
      <c r="A2640" s="1416">
        <v>38441</v>
      </c>
      <c r="B2640" s="1415">
        <v>74.290000000000006</v>
      </c>
    </row>
    <row r="2641" spans="1:2" x14ac:dyDescent="0.35">
      <c r="A2641" s="1416">
        <v>38442</v>
      </c>
      <c r="B2641" s="1415">
        <v>74.06</v>
      </c>
    </row>
    <row r="2642" spans="1:2" x14ac:dyDescent="0.35">
      <c r="A2642" s="1416">
        <v>38443</v>
      </c>
      <c r="B2642" s="1415">
        <v>73.64</v>
      </c>
    </row>
    <row r="2643" spans="1:2" x14ac:dyDescent="0.35">
      <c r="A2643" s="1416">
        <v>38446</v>
      </c>
      <c r="B2643" s="1415">
        <v>74.099999999999994</v>
      </c>
    </row>
    <row r="2644" spans="1:2" x14ac:dyDescent="0.35">
      <c r="A2644" s="1416">
        <v>38447</v>
      </c>
      <c r="B2644" s="1415">
        <v>75.55</v>
      </c>
    </row>
    <row r="2645" spans="1:2" x14ac:dyDescent="0.35">
      <c r="A2645" s="1416">
        <v>38448</v>
      </c>
      <c r="B2645" s="1415">
        <v>74.97</v>
      </c>
    </row>
    <row r="2646" spans="1:2" x14ac:dyDescent="0.35">
      <c r="A2646" s="1416">
        <v>38449</v>
      </c>
      <c r="B2646" s="1415">
        <v>75.209999999999994</v>
      </c>
    </row>
    <row r="2647" spans="1:2" x14ac:dyDescent="0.35">
      <c r="A2647" s="1416">
        <v>38450</v>
      </c>
      <c r="B2647" s="1415">
        <v>73.78</v>
      </c>
    </row>
    <row r="2648" spans="1:2" x14ac:dyDescent="0.35">
      <c r="A2648" s="1416">
        <v>38453</v>
      </c>
      <c r="B2648" s="1415">
        <v>74.180000000000007</v>
      </c>
    </row>
    <row r="2649" spans="1:2" x14ac:dyDescent="0.35">
      <c r="A2649" s="1416">
        <v>38454</v>
      </c>
      <c r="B2649" s="1415">
        <v>76.02</v>
      </c>
    </row>
    <row r="2650" spans="1:2" x14ac:dyDescent="0.35">
      <c r="A2650" s="1416">
        <v>38455</v>
      </c>
      <c r="B2650" s="1415">
        <v>74.89</v>
      </c>
    </row>
    <row r="2651" spans="1:2" x14ac:dyDescent="0.35">
      <c r="A2651" s="1416">
        <v>38456</v>
      </c>
      <c r="B2651" s="1415">
        <v>74.5</v>
      </c>
    </row>
    <row r="2652" spans="1:2" x14ac:dyDescent="0.35">
      <c r="A2652" s="1416">
        <v>38457</v>
      </c>
      <c r="B2652" s="1415">
        <v>73.34</v>
      </c>
    </row>
    <row r="2653" spans="1:2" x14ac:dyDescent="0.35">
      <c r="A2653" s="1416">
        <v>38460</v>
      </c>
      <c r="B2653" s="1415">
        <v>73.97</v>
      </c>
    </row>
    <row r="2654" spans="1:2" x14ac:dyDescent="0.35">
      <c r="A2654" s="1416">
        <v>38461</v>
      </c>
      <c r="B2654" s="1415">
        <v>74.23</v>
      </c>
    </row>
    <row r="2655" spans="1:2" x14ac:dyDescent="0.35">
      <c r="A2655" s="1416">
        <v>38462</v>
      </c>
      <c r="B2655" s="1415">
        <v>72.680000000000007</v>
      </c>
    </row>
    <row r="2656" spans="1:2" x14ac:dyDescent="0.35">
      <c r="A2656" s="1416">
        <v>38463</v>
      </c>
      <c r="B2656" s="1415">
        <v>74.25</v>
      </c>
    </row>
    <row r="2657" spans="1:2" x14ac:dyDescent="0.35">
      <c r="A2657" s="1416">
        <v>38464</v>
      </c>
      <c r="B2657" s="1415">
        <v>73.12</v>
      </c>
    </row>
    <row r="2658" spans="1:2" x14ac:dyDescent="0.35">
      <c r="A2658" s="1416">
        <v>38467</v>
      </c>
      <c r="B2658" s="1415">
        <v>74.2</v>
      </c>
    </row>
    <row r="2659" spans="1:2" x14ac:dyDescent="0.35">
      <c r="A2659" s="1416">
        <v>38468</v>
      </c>
      <c r="B2659" s="1415">
        <v>73.180000000000007</v>
      </c>
    </row>
    <row r="2660" spans="1:2" x14ac:dyDescent="0.35">
      <c r="A2660" s="1416">
        <v>38469</v>
      </c>
      <c r="B2660" s="1415">
        <v>73.599999999999994</v>
      </c>
    </row>
    <row r="2661" spans="1:2" x14ac:dyDescent="0.35">
      <c r="A2661" s="1416">
        <v>38470</v>
      </c>
      <c r="B2661" s="1415">
        <v>73.39</v>
      </c>
    </row>
    <row r="2662" spans="1:2" x14ac:dyDescent="0.35">
      <c r="A2662" s="1416">
        <v>38471</v>
      </c>
      <c r="B2662" s="1415">
        <v>72.12</v>
      </c>
    </row>
    <row r="2663" spans="1:2" x14ac:dyDescent="0.35">
      <c r="A2663" s="1416">
        <v>38474</v>
      </c>
      <c r="B2663" s="1415">
        <v>73.16</v>
      </c>
    </row>
    <row r="2664" spans="1:2" x14ac:dyDescent="0.35">
      <c r="A2664" s="1416">
        <v>38475</v>
      </c>
      <c r="B2664" s="1415">
        <v>72.2</v>
      </c>
    </row>
    <row r="2665" spans="1:2" x14ac:dyDescent="0.35">
      <c r="A2665" s="1416">
        <v>38476</v>
      </c>
      <c r="B2665" s="1415">
        <v>68.64</v>
      </c>
    </row>
    <row r="2666" spans="1:2" x14ac:dyDescent="0.35">
      <c r="A2666" s="1416">
        <v>38477</v>
      </c>
      <c r="B2666" s="1415">
        <v>69.42</v>
      </c>
    </row>
    <row r="2667" spans="1:2" x14ac:dyDescent="0.35">
      <c r="A2667" s="1416">
        <v>38478</v>
      </c>
      <c r="B2667" s="1415">
        <v>69.47</v>
      </c>
    </row>
    <row r="2668" spans="1:2" x14ac:dyDescent="0.35">
      <c r="A2668" s="1416">
        <v>38481</v>
      </c>
      <c r="B2668" s="1415">
        <v>70.31</v>
      </c>
    </row>
    <row r="2669" spans="1:2" x14ac:dyDescent="0.35">
      <c r="A2669" s="1416">
        <v>38482</v>
      </c>
      <c r="B2669" s="1415">
        <v>70.459999999999994</v>
      </c>
    </row>
    <row r="2670" spans="1:2" x14ac:dyDescent="0.35">
      <c r="A2670" s="1416">
        <v>38483</v>
      </c>
      <c r="B2670" s="1415">
        <v>71.48</v>
      </c>
    </row>
    <row r="2671" spans="1:2" x14ac:dyDescent="0.35">
      <c r="A2671" s="1416">
        <v>38484</v>
      </c>
      <c r="B2671" s="1415">
        <v>70.930000000000007</v>
      </c>
    </row>
    <row r="2672" spans="1:2" x14ac:dyDescent="0.35">
      <c r="A2672" s="1416">
        <v>38485</v>
      </c>
      <c r="B2672" s="1415">
        <v>71.069999999999993</v>
      </c>
    </row>
    <row r="2673" spans="1:2" x14ac:dyDescent="0.35">
      <c r="A2673" s="1416">
        <v>38488</v>
      </c>
      <c r="B2673" s="1415">
        <v>71.430000000000007</v>
      </c>
    </row>
    <row r="2674" spans="1:2" x14ac:dyDescent="0.35">
      <c r="A2674" s="1416">
        <v>38489</v>
      </c>
      <c r="B2674" s="1415">
        <v>71.58</v>
      </c>
    </row>
    <row r="2675" spans="1:2" x14ac:dyDescent="0.35">
      <c r="A2675" s="1416">
        <v>38490</v>
      </c>
      <c r="B2675" s="1415">
        <v>73.95</v>
      </c>
    </row>
    <row r="2676" spans="1:2" x14ac:dyDescent="0.35">
      <c r="A2676" s="1416">
        <v>38491</v>
      </c>
      <c r="B2676" s="1415">
        <v>73.75</v>
      </c>
    </row>
    <row r="2677" spans="1:2" x14ac:dyDescent="0.35">
      <c r="A2677" s="1416">
        <v>38492</v>
      </c>
      <c r="B2677" s="1415">
        <v>75.36</v>
      </c>
    </row>
    <row r="2678" spans="1:2" x14ac:dyDescent="0.35">
      <c r="A2678" s="1416">
        <v>38495</v>
      </c>
      <c r="B2678" s="1415">
        <v>75.87</v>
      </c>
    </row>
    <row r="2679" spans="1:2" x14ac:dyDescent="0.35">
      <c r="A2679" s="1416">
        <v>38496</v>
      </c>
      <c r="B2679" s="1415">
        <v>76.7</v>
      </c>
    </row>
    <row r="2680" spans="1:2" x14ac:dyDescent="0.35">
      <c r="A2680" s="1416">
        <v>38497</v>
      </c>
      <c r="B2680" s="1415">
        <v>76.040000000000006</v>
      </c>
    </row>
    <row r="2681" spans="1:2" x14ac:dyDescent="0.35">
      <c r="A2681" s="1416">
        <v>38498</v>
      </c>
      <c r="B2681" s="1415">
        <v>77.8</v>
      </c>
    </row>
    <row r="2682" spans="1:2" x14ac:dyDescent="0.35">
      <c r="A2682" s="1416">
        <v>38499</v>
      </c>
      <c r="B2682" s="1415">
        <v>78.36</v>
      </c>
    </row>
    <row r="2683" spans="1:2" x14ac:dyDescent="0.35">
      <c r="A2683" s="1416">
        <v>38503</v>
      </c>
      <c r="B2683" s="1415">
        <v>78.430000000000007</v>
      </c>
    </row>
    <row r="2684" spans="1:2" x14ac:dyDescent="0.35">
      <c r="A2684" s="1416">
        <v>38504</v>
      </c>
      <c r="B2684" s="1415">
        <v>78.69</v>
      </c>
    </row>
    <row r="2685" spans="1:2" x14ac:dyDescent="0.35">
      <c r="A2685" s="1416">
        <v>38505</v>
      </c>
      <c r="B2685" s="1415">
        <v>78.95</v>
      </c>
    </row>
    <row r="2686" spans="1:2" x14ac:dyDescent="0.35">
      <c r="A2686" s="1416">
        <v>38506</v>
      </c>
      <c r="B2686" s="1415">
        <v>78.19</v>
      </c>
    </row>
    <row r="2687" spans="1:2" x14ac:dyDescent="0.35">
      <c r="A2687" s="1416">
        <v>38509</v>
      </c>
      <c r="B2687" s="1415">
        <v>78.39</v>
      </c>
    </row>
    <row r="2688" spans="1:2" x14ac:dyDescent="0.35">
      <c r="A2688" s="1416">
        <v>38510</v>
      </c>
      <c r="B2688" s="1415">
        <v>78.599999999999994</v>
      </c>
    </row>
    <row r="2689" spans="1:2" x14ac:dyDescent="0.35">
      <c r="A2689" s="1416">
        <v>38511</v>
      </c>
      <c r="B2689" s="1415">
        <v>77.56</v>
      </c>
    </row>
    <row r="2690" spans="1:2" x14ac:dyDescent="0.35">
      <c r="A2690" s="1416">
        <v>38512</v>
      </c>
      <c r="B2690" s="1415">
        <v>81.209999999999994</v>
      </c>
    </row>
    <row r="2691" spans="1:2" x14ac:dyDescent="0.35">
      <c r="A2691" s="1416">
        <v>38513</v>
      </c>
      <c r="B2691" s="1415">
        <v>80.459999999999994</v>
      </c>
    </row>
    <row r="2692" spans="1:2" x14ac:dyDescent="0.35">
      <c r="A2692" s="1416">
        <v>38516</v>
      </c>
      <c r="B2692" s="1415">
        <v>81.09</v>
      </c>
    </row>
    <row r="2693" spans="1:2" x14ac:dyDescent="0.35">
      <c r="A2693" s="1416">
        <v>38517</v>
      </c>
      <c r="B2693" s="1415">
        <v>79.84</v>
      </c>
    </row>
    <row r="2694" spans="1:2" x14ac:dyDescent="0.35">
      <c r="A2694" s="1416">
        <v>38518</v>
      </c>
      <c r="B2694" s="1415">
        <v>78.88</v>
      </c>
    </row>
    <row r="2695" spans="1:2" x14ac:dyDescent="0.35">
      <c r="A2695" s="1416">
        <v>38519</v>
      </c>
      <c r="B2695" s="1415">
        <v>79.459999999999994</v>
      </c>
    </row>
    <row r="2696" spans="1:2" x14ac:dyDescent="0.35">
      <c r="A2696" s="1416">
        <v>38520</v>
      </c>
      <c r="B2696" s="1415">
        <v>78.540000000000006</v>
      </c>
    </row>
    <row r="2697" spans="1:2" x14ac:dyDescent="0.35">
      <c r="A2697" s="1416">
        <v>38523</v>
      </c>
      <c r="B2697" s="1415">
        <v>78</v>
      </c>
    </row>
    <row r="2698" spans="1:2" x14ac:dyDescent="0.35">
      <c r="A2698" s="1416">
        <v>38524</v>
      </c>
      <c r="B2698" s="1415">
        <v>78.2</v>
      </c>
    </row>
    <row r="2699" spans="1:2" x14ac:dyDescent="0.35">
      <c r="A2699" s="1416">
        <v>38525</v>
      </c>
      <c r="B2699" s="1415">
        <v>78.19</v>
      </c>
    </row>
    <row r="2700" spans="1:2" x14ac:dyDescent="0.35">
      <c r="A2700" s="1416">
        <v>38526</v>
      </c>
      <c r="B2700" s="1415">
        <v>77.14</v>
      </c>
    </row>
    <row r="2701" spans="1:2" x14ac:dyDescent="0.35">
      <c r="A2701" s="1416">
        <v>38527</v>
      </c>
      <c r="B2701" s="1415">
        <v>77.209999999999994</v>
      </c>
    </row>
    <row r="2702" spans="1:2" x14ac:dyDescent="0.35">
      <c r="A2702" s="1416">
        <v>38530</v>
      </c>
      <c r="B2702" s="1415">
        <v>80.23</v>
      </c>
    </row>
    <row r="2703" spans="1:2" x14ac:dyDescent="0.35">
      <c r="A2703" s="1416">
        <v>38531</v>
      </c>
      <c r="B2703" s="1415">
        <v>79.13</v>
      </c>
    </row>
    <row r="2704" spans="1:2" x14ac:dyDescent="0.35">
      <c r="A2704" s="1416">
        <v>38532</v>
      </c>
      <c r="B2704" s="1415">
        <v>78.92</v>
      </c>
    </row>
    <row r="2705" spans="1:2" x14ac:dyDescent="0.35">
      <c r="A2705" s="1416">
        <v>38533</v>
      </c>
      <c r="B2705" s="1415">
        <v>78.22</v>
      </c>
    </row>
    <row r="2706" spans="1:2" x14ac:dyDescent="0.35">
      <c r="A2706" s="1416">
        <v>38534</v>
      </c>
      <c r="B2706" s="1415">
        <v>78</v>
      </c>
    </row>
    <row r="2707" spans="1:2" x14ac:dyDescent="0.35">
      <c r="A2707" s="1416">
        <v>38538</v>
      </c>
      <c r="B2707" s="1415">
        <v>77.66</v>
      </c>
    </row>
    <row r="2708" spans="1:2" x14ac:dyDescent="0.35">
      <c r="A2708" s="1416">
        <v>38539</v>
      </c>
      <c r="B2708" s="1415">
        <v>75.87</v>
      </c>
    </row>
    <row r="2709" spans="1:2" x14ac:dyDescent="0.35">
      <c r="A2709" s="1416">
        <v>38540</v>
      </c>
      <c r="B2709" s="1415">
        <v>74.430000000000007</v>
      </c>
    </row>
    <row r="2710" spans="1:2" x14ac:dyDescent="0.35">
      <c r="A2710" s="1416">
        <v>38541</v>
      </c>
      <c r="B2710" s="1415">
        <v>73.989999999999995</v>
      </c>
    </row>
    <row r="2711" spans="1:2" x14ac:dyDescent="0.35">
      <c r="A2711" s="1416">
        <v>38544</v>
      </c>
      <c r="B2711" s="1415">
        <v>74.319999999999993</v>
      </c>
    </row>
    <row r="2712" spans="1:2" x14ac:dyDescent="0.35">
      <c r="A2712" s="1416">
        <v>38545</v>
      </c>
      <c r="B2712" s="1415">
        <v>73.72</v>
      </c>
    </row>
    <row r="2713" spans="1:2" x14ac:dyDescent="0.35">
      <c r="A2713" s="1416">
        <v>38546</v>
      </c>
      <c r="B2713" s="1415">
        <v>73.650000000000006</v>
      </c>
    </row>
    <row r="2714" spans="1:2" x14ac:dyDescent="0.35">
      <c r="A2714" s="1416">
        <v>38547</v>
      </c>
      <c r="B2714" s="1415">
        <v>73.930000000000007</v>
      </c>
    </row>
    <row r="2715" spans="1:2" x14ac:dyDescent="0.35">
      <c r="A2715" s="1416">
        <v>38548</v>
      </c>
      <c r="B2715" s="1415">
        <v>73.89</v>
      </c>
    </row>
    <row r="2716" spans="1:2" x14ac:dyDescent="0.35">
      <c r="A2716" s="1416">
        <v>38551</v>
      </c>
      <c r="B2716" s="1415">
        <v>72.86</v>
      </c>
    </row>
    <row r="2717" spans="1:2" x14ac:dyDescent="0.35">
      <c r="A2717" s="1416">
        <v>38552</v>
      </c>
      <c r="B2717" s="1415">
        <v>72.540000000000006</v>
      </c>
    </row>
    <row r="2718" spans="1:2" x14ac:dyDescent="0.35">
      <c r="A2718" s="1416">
        <v>38553</v>
      </c>
      <c r="B2718" s="1415">
        <v>73.17</v>
      </c>
    </row>
    <row r="2719" spans="1:2" x14ac:dyDescent="0.35">
      <c r="A2719" s="1416">
        <v>38554</v>
      </c>
      <c r="B2719" s="1415">
        <v>71.83</v>
      </c>
    </row>
    <row r="2720" spans="1:2" x14ac:dyDescent="0.35">
      <c r="A2720" s="1416">
        <v>38555</v>
      </c>
      <c r="B2720" s="1415">
        <v>71.58</v>
      </c>
    </row>
    <row r="2721" spans="1:2" x14ac:dyDescent="0.35">
      <c r="A2721" s="1416">
        <v>38558</v>
      </c>
      <c r="B2721" s="1415">
        <v>72.05</v>
      </c>
    </row>
    <row r="2722" spans="1:2" x14ac:dyDescent="0.35">
      <c r="A2722" s="1416">
        <v>38559</v>
      </c>
      <c r="B2722" s="1415">
        <v>72.8</v>
      </c>
    </row>
    <row r="2723" spans="1:2" x14ac:dyDescent="0.35">
      <c r="A2723" s="1416">
        <v>38560</v>
      </c>
      <c r="B2723" s="1415">
        <v>74.02</v>
      </c>
    </row>
    <row r="2724" spans="1:2" x14ac:dyDescent="0.35">
      <c r="A2724" s="1416">
        <v>38561</v>
      </c>
      <c r="B2724" s="1415">
        <v>75.94</v>
      </c>
    </row>
    <row r="2725" spans="1:2" x14ac:dyDescent="0.35">
      <c r="A2725" s="1416">
        <v>38562</v>
      </c>
      <c r="B2725" s="1415">
        <v>75.150000000000006</v>
      </c>
    </row>
    <row r="2726" spans="1:2" x14ac:dyDescent="0.35">
      <c r="A2726" s="1416">
        <v>38565</v>
      </c>
      <c r="B2726" s="1415">
        <v>75.069999999999993</v>
      </c>
    </row>
    <row r="2727" spans="1:2" x14ac:dyDescent="0.35">
      <c r="A2727" s="1416">
        <v>38566</v>
      </c>
      <c r="B2727" s="1415">
        <v>74.8</v>
      </c>
    </row>
    <row r="2728" spans="1:2" x14ac:dyDescent="0.35">
      <c r="A2728" s="1416">
        <v>38567</v>
      </c>
      <c r="B2728" s="1415">
        <v>74.510000000000005</v>
      </c>
    </row>
    <row r="2729" spans="1:2" x14ac:dyDescent="0.35">
      <c r="A2729" s="1416">
        <v>38568</v>
      </c>
      <c r="B2729" s="1415">
        <v>73.03</v>
      </c>
    </row>
    <row r="2730" spans="1:2" x14ac:dyDescent="0.35">
      <c r="A2730" s="1416">
        <v>38569</v>
      </c>
      <c r="B2730" s="1415">
        <v>72.78</v>
      </c>
    </row>
    <row r="2731" spans="1:2" x14ac:dyDescent="0.35">
      <c r="A2731" s="1416">
        <v>38572</v>
      </c>
      <c r="B2731" s="1415">
        <v>72.72</v>
      </c>
    </row>
    <row r="2732" spans="1:2" x14ac:dyDescent="0.35">
      <c r="A2732" s="1416">
        <v>38573</v>
      </c>
      <c r="B2732" s="1415">
        <v>73.239999999999995</v>
      </c>
    </row>
    <row r="2733" spans="1:2" x14ac:dyDescent="0.35">
      <c r="A2733" s="1416">
        <v>38574</v>
      </c>
      <c r="B2733" s="1415">
        <v>71.989999999999995</v>
      </c>
    </row>
    <row r="2734" spans="1:2" x14ac:dyDescent="0.35">
      <c r="A2734" s="1416">
        <v>38575</v>
      </c>
      <c r="B2734" s="1415">
        <v>73.5</v>
      </c>
    </row>
    <row r="2735" spans="1:2" x14ac:dyDescent="0.35">
      <c r="A2735" s="1416">
        <v>38576</v>
      </c>
      <c r="B2735" s="1415">
        <v>73.12</v>
      </c>
    </row>
    <row r="2736" spans="1:2" x14ac:dyDescent="0.35">
      <c r="A2736" s="1416">
        <v>38579</v>
      </c>
      <c r="B2736" s="1415">
        <v>74.39</v>
      </c>
    </row>
    <row r="2737" spans="1:2" x14ac:dyDescent="0.35">
      <c r="A2737" s="1416">
        <v>38580</v>
      </c>
      <c r="B2737" s="1415">
        <v>73.56</v>
      </c>
    </row>
    <row r="2738" spans="1:2" x14ac:dyDescent="0.35">
      <c r="A2738" s="1416">
        <v>38581</v>
      </c>
      <c r="B2738" s="1415">
        <v>74.540000000000006</v>
      </c>
    </row>
    <row r="2739" spans="1:2" x14ac:dyDescent="0.35">
      <c r="A2739" s="1416">
        <v>38582</v>
      </c>
      <c r="B2739" s="1415">
        <v>75.66</v>
      </c>
    </row>
    <row r="2740" spans="1:2" x14ac:dyDescent="0.35">
      <c r="A2740" s="1416">
        <v>38583</v>
      </c>
      <c r="B2740" s="1415">
        <v>75.89</v>
      </c>
    </row>
    <row r="2741" spans="1:2" x14ac:dyDescent="0.35">
      <c r="A2741" s="1416">
        <v>38586</v>
      </c>
      <c r="B2741" s="1415">
        <v>75.77</v>
      </c>
    </row>
    <row r="2742" spans="1:2" x14ac:dyDescent="0.35">
      <c r="A2742" s="1416">
        <v>38587</v>
      </c>
      <c r="B2742" s="1415">
        <v>75.680000000000007</v>
      </c>
    </row>
    <row r="2743" spans="1:2" x14ac:dyDescent="0.35">
      <c r="A2743" s="1416">
        <v>38588</v>
      </c>
      <c r="B2743" s="1415">
        <v>76.5</v>
      </c>
    </row>
    <row r="2744" spans="1:2" x14ac:dyDescent="0.35">
      <c r="A2744" s="1416">
        <v>38589</v>
      </c>
      <c r="B2744" s="1415">
        <v>77</v>
      </c>
    </row>
    <row r="2745" spans="1:2" x14ac:dyDescent="0.35">
      <c r="A2745" s="1416">
        <v>38590</v>
      </c>
      <c r="B2745" s="1415">
        <v>76.94</v>
      </c>
    </row>
    <row r="2746" spans="1:2" x14ac:dyDescent="0.35">
      <c r="A2746" s="1416">
        <v>38593</v>
      </c>
      <c r="B2746" s="1415">
        <v>77.010000000000005</v>
      </c>
    </row>
    <row r="2747" spans="1:2" x14ac:dyDescent="0.35">
      <c r="A2747" s="1416">
        <v>38594</v>
      </c>
      <c r="B2747" s="1415">
        <v>77.010000000000005</v>
      </c>
    </row>
    <row r="2748" spans="1:2" x14ac:dyDescent="0.35">
      <c r="A2748" s="1416">
        <v>38595</v>
      </c>
      <c r="B2748" s="1415">
        <v>78.66</v>
      </c>
    </row>
    <row r="2749" spans="1:2" x14ac:dyDescent="0.35">
      <c r="A2749" s="1416">
        <v>38596</v>
      </c>
      <c r="B2749" s="1415">
        <v>78.17</v>
      </c>
    </row>
    <row r="2750" spans="1:2" x14ac:dyDescent="0.35">
      <c r="A2750" s="1416">
        <v>38597</v>
      </c>
      <c r="B2750" s="1415">
        <v>77.900000000000006</v>
      </c>
    </row>
    <row r="2751" spans="1:2" x14ac:dyDescent="0.35">
      <c r="A2751" s="1416">
        <v>38601</v>
      </c>
      <c r="B2751" s="1415">
        <v>78.19</v>
      </c>
    </row>
    <row r="2752" spans="1:2" x14ac:dyDescent="0.35">
      <c r="A2752" s="1416">
        <v>38602</v>
      </c>
      <c r="B2752" s="1415">
        <v>77.680000000000007</v>
      </c>
    </row>
    <row r="2753" spans="1:2" x14ac:dyDescent="0.35">
      <c r="A2753" s="1416">
        <v>38603</v>
      </c>
      <c r="B2753" s="1415">
        <v>77.02</v>
      </c>
    </row>
    <row r="2754" spans="1:2" x14ac:dyDescent="0.35">
      <c r="A2754" s="1416">
        <v>38604</v>
      </c>
      <c r="B2754" s="1415">
        <v>76.760000000000005</v>
      </c>
    </row>
    <row r="2755" spans="1:2" x14ac:dyDescent="0.35">
      <c r="A2755" s="1416">
        <v>38607</v>
      </c>
      <c r="B2755" s="1415">
        <v>77.38</v>
      </c>
    </row>
    <row r="2756" spans="1:2" x14ac:dyDescent="0.35">
      <c r="A2756" s="1416">
        <v>38608</v>
      </c>
      <c r="B2756" s="1415">
        <v>75.69</v>
      </c>
    </row>
    <row r="2757" spans="1:2" x14ac:dyDescent="0.35">
      <c r="A2757" s="1416">
        <v>38609</v>
      </c>
      <c r="B2757" s="1415">
        <v>75.27</v>
      </c>
    </row>
    <row r="2758" spans="1:2" x14ac:dyDescent="0.35">
      <c r="A2758" s="1416">
        <v>38610</v>
      </c>
      <c r="B2758" s="1415">
        <v>74.98</v>
      </c>
    </row>
    <row r="2759" spans="1:2" x14ac:dyDescent="0.35">
      <c r="A2759" s="1416">
        <v>38611</v>
      </c>
      <c r="B2759" s="1415">
        <v>73.77</v>
      </c>
    </row>
    <row r="2760" spans="1:2" x14ac:dyDescent="0.35">
      <c r="A2760" s="1416">
        <v>38614</v>
      </c>
      <c r="B2760" s="1415">
        <v>69.930000000000007</v>
      </c>
    </row>
    <row r="2761" spans="1:2" x14ac:dyDescent="0.35">
      <c r="A2761" s="1416">
        <v>38615</v>
      </c>
      <c r="B2761" s="1415">
        <v>67.19</v>
      </c>
    </row>
    <row r="2762" spans="1:2" x14ac:dyDescent="0.35">
      <c r="A2762" s="1416">
        <v>38616</v>
      </c>
      <c r="B2762" s="1415">
        <v>65.459999999999994</v>
      </c>
    </row>
    <row r="2763" spans="1:2" x14ac:dyDescent="0.35">
      <c r="A2763" s="1416">
        <v>38617</v>
      </c>
      <c r="B2763" s="1415">
        <v>65.400000000000006</v>
      </c>
    </row>
    <row r="2764" spans="1:2" x14ac:dyDescent="0.35">
      <c r="A2764" s="1416">
        <v>38618</v>
      </c>
      <c r="B2764" s="1415">
        <v>66.09</v>
      </c>
    </row>
    <row r="2765" spans="1:2" x14ac:dyDescent="0.35">
      <c r="A2765" s="1416">
        <v>38621</v>
      </c>
      <c r="B2765" s="1415">
        <v>66.33</v>
      </c>
    </row>
    <row r="2766" spans="1:2" x14ac:dyDescent="0.35">
      <c r="A2766" s="1416">
        <v>38622</v>
      </c>
      <c r="B2766" s="1415">
        <v>66.81</v>
      </c>
    </row>
    <row r="2767" spans="1:2" x14ac:dyDescent="0.35">
      <c r="A2767" s="1416">
        <v>38623</v>
      </c>
      <c r="B2767" s="1415">
        <v>66.64</v>
      </c>
    </row>
    <row r="2768" spans="1:2" x14ac:dyDescent="0.35">
      <c r="A2768" s="1416">
        <v>38624</v>
      </c>
      <c r="B2768" s="1415">
        <v>66.709999999999994</v>
      </c>
    </row>
    <row r="2769" spans="1:2" x14ac:dyDescent="0.35">
      <c r="A2769" s="1416">
        <v>38625</v>
      </c>
      <c r="B2769" s="1415">
        <v>66.39</v>
      </c>
    </row>
    <row r="2770" spans="1:2" x14ac:dyDescent="0.35">
      <c r="A2770" s="1416">
        <v>38628</v>
      </c>
      <c r="B2770" s="1415">
        <v>65.900000000000006</v>
      </c>
    </row>
    <row r="2771" spans="1:2" x14ac:dyDescent="0.35">
      <c r="A2771" s="1416">
        <v>38629</v>
      </c>
      <c r="B2771" s="1415">
        <v>64.59</v>
      </c>
    </row>
    <row r="2772" spans="1:2" x14ac:dyDescent="0.35">
      <c r="A2772" s="1416">
        <v>38630</v>
      </c>
      <c r="B2772" s="1415">
        <v>62.9</v>
      </c>
    </row>
    <row r="2773" spans="1:2" x14ac:dyDescent="0.35">
      <c r="A2773" s="1416">
        <v>38631</v>
      </c>
      <c r="B2773" s="1415">
        <v>63.03</v>
      </c>
    </row>
    <row r="2774" spans="1:2" x14ac:dyDescent="0.35">
      <c r="A2774" s="1416">
        <v>38632</v>
      </c>
      <c r="B2774" s="1415">
        <v>62.78</v>
      </c>
    </row>
    <row r="2775" spans="1:2" x14ac:dyDescent="0.35">
      <c r="A2775" s="1416">
        <v>38635</v>
      </c>
      <c r="B2775" s="1415">
        <v>62.51</v>
      </c>
    </row>
    <row r="2776" spans="1:2" x14ac:dyDescent="0.35">
      <c r="A2776" s="1416">
        <v>38636</v>
      </c>
      <c r="B2776" s="1415">
        <v>62.63</v>
      </c>
    </row>
    <row r="2777" spans="1:2" x14ac:dyDescent="0.35">
      <c r="A2777" s="1416">
        <v>38637</v>
      </c>
      <c r="B2777" s="1415">
        <v>61.89</v>
      </c>
    </row>
    <row r="2778" spans="1:2" x14ac:dyDescent="0.35">
      <c r="A2778" s="1416">
        <v>38638</v>
      </c>
      <c r="B2778" s="1415">
        <v>61.91</v>
      </c>
    </row>
    <row r="2779" spans="1:2" x14ac:dyDescent="0.35">
      <c r="A2779" s="1416">
        <v>38639</v>
      </c>
      <c r="B2779" s="1415">
        <v>61.26</v>
      </c>
    </row>
    <row r="2780" spans="1:2" x14ac:dyDescent="0.35">
      <c r="A2780" s="1416">
        <v>38642</v>
      </c>
      <c r="B2780" s="1415">
        <v>61.02</v>
      </c>
    </row>
    <row r="2781" spans="1:2" x14ac:dyDescent="0.35">
      <c r="A2781" s="1416">
        <v>38643</v>
      </c>
      <c r="B2781" s="1415">
        <v>59.53</v>
      </c>
    </row>
    <row r="2782" spans="1:2" x14ac:dyDescent="0.35">
      <c r="A2782" s="1416">
        <v>38644</v>
      </c>
      <c r="B2782" s="1415">
        <v>60.7</v>
      </c>
    </row>
    <row r="2783" spans="1:2" x14ac:dyDescent="0.35">
      <c r="A2783" s="1416">
        <v>38645</v>
      </c>
      <c r="B2783" s="1415">
        <v>58.87</v>
      </c>
    </row>
    <row r="2784" spans="1:2" x14ac:dyDescent="0.35">
      <c r="A2784" s="1416">
        <v>38646</v>
      </c>
      <c r="B2784" s="1415">
        <v>59.73</v>
      </c>
    </row>
    <row r="2785" spans="1:2" x14ac:dyDescent="0.35">
      <c r="A2785" s="1416">
        <v>38649</v>
      </c>
      <c r="B2785" s="1415">
        <v>60.55</v>
      </c>
    </row>
    <row r="2786" spans="1:2" x14ac:dyDescent="0.35">
      <c r="A2786" s="1416">
        <v>38650</v>
      </c>
      <c r="B2786" s="1415">
        <v>60.99</v>
      </c>
    </row>
    <row r="2787" spans="1:2" x14ac:dyDescent="0.35">
      <c r="A2787" s="1416">
        <v>38651</v>
      </c>
      <c r="B2787" s="1415">
        <v>61.13</v>
      </c>
    </row>
    <row r="2788" spans="1:2" x14ac:dyDescent="0.35">
      <c r="A2788" s="1416">
        <v>38652</v>
      </c>
      <c r="B2788" s="1415">
        <v>60.86</v>
      </c>
    </row>
    <row r="2789" spans="1:2" x14ac:dyDescent="0.35">
      <c r="A2789" s="1416">
        <v>38653</v>
      </c>
      <c r="B2789" s="1415">
        <v>62.54</v>
      </c>
    </row>
    <row r="2790" spans="1:2" x14ac:dyDescent="0.35">
      <c r="A2790" s="1416">
        <v>38656</v>
      </c>
      <c r="B2790" s="1415">
        <v>62.98</v>
      </c>
    </row>
    <row r="2791" spans="1:2" x14ac:dyDescent="0.35">
      <c r="A2791" s="1416">
        <v>38657</v>
      </c>
      <c r="B2791" s="1415">
        <v>63.79</v>
      </c>
    </row>
    <row r="2792" spans="1:2" x14ac:dyDescent="0.35">
      <c r="A2792" s="1416">
        <v>38658</v>
      </c>
      <c r="B2792" s="1415">
        <v>65.650000000000006</v>
      </c>
    </row>
    <row r="2793" spans="1:2" x14ac:dyDescent="0.35">
      <c r="A2793" s="1416">
        <v>38659</v>
      </c>
      <c r="B2793" s="1415">
        <v>66.819999999999993</v>
      </c>
    </row>
    <row r="2794" spans="1:2" x14ac:dyDescent="0.35">
      <c r="A2794" s="1416">
        <v>38660</v>
      </c>
      <c r="B2794" s="1415">
        <v>66.19</v>
      </c>
    </row>
    <row r="2795" spans="1:2" x14ac:dyDescent="0.35">
      <c r="A2795" s="1416">
        <v>38663</v>
      </c>
      <c r="B2795" s="1415">
        <v>67.03</v>
      </c>
    </row>
    <row r="2796" spans="1:2" x14ac:dyDescent="0.35">
      <c r="A2796" s="1416">
        <v>38664</v>
      </c>
      <c r="B2796" s="1415">
        <v>67.040000000000006</v>
      </c>
    </row>
    <row r="2797" spans="1:2" x14ac:dyDescent="0.35">
      <c r="A2797" s="1416">
        <v>38665</v>
      </c>
      <c r="B2797" s="1415">
        <v>68.44</v>
      </c>
    </row>
    <row r="2798" spans="1:2" x14ac:dyDescent="0.35">
      <c r="A2798" s="1416">
        <v>38666</v>
      </c>
      <c r="B2798" s="1415">
        <v>70.11</v>
      </c>
    </row>
    <row r="2799" spans="1:2" x14ac:dyDescent="0.35">
      <c r="A2799" s="1416">
        <v>38667</v>
      </c>
      <c r="B2799" s="1415">
        <v>70.489999999999995</v>
      </c>
    </row>
    <row r="2800" spans="1:2" x14ac:dyDescent="0.35">
      <c r="A2800" s="1416">
        <v>38670</v>
      </c>
      <c r="B2800" s="1415">
        <v>69.650000000000006</v>
      </c>
    </row>
    <row r="2801" spans="1:2" x14ac:dyDescent="0.35">
      <c r="A2801" s="1416">
        <v>38671</v>
      </c>
      <c r="B2801" s="1415">
        <v>69.27</v>
      </c>
    </row>
    <row r="2802" spans="1:2" x14ac:dyDescent="0.35">
      <c r="A2802" s="1416">
        <v>38672</v>
      </c>
      <c r="B2802" s="1415">
        <v>69.56</v>
      </c>
    </row>
    <row r="2803" spans="1:2" x14ac:dyDescent="0.35">
      <c r="A2803" s="1416">
        <v>38673</v>
      </c>
      <c r="B2803" s="1415">
        <v>71.010000000000005</v>
      </c>
    </row>
    <row r="2804" spans="1:2" x14ac:dyDescent="0.35">
      <c r="A2804" s="1416">
        <v>38674</v>
      </c>
      <c r="B2804" s="1415">
        <v>71.569999999999993</v>
      </c>
    </row>
    <row r="2805" spans="1:2" x14ac:dyDescent="0.35">
      <c r="A2805" s="1416">
        <v>38677</v>
      </c>
      <c r="B2805" s="1415">
        <v>72.040000000000006</v>
      </c>
    </row>
    <row r="2806" spans="1:2" x14ac:dyDescent="0.35">
      <c r="A2806" s="1416">
        <v>38678</v>
      </c>
      <c r="B2806" s="1415">
        <v>71.11</v>
      </c>
    </row>
    <row r="2807" spans="1:2" x14ac:dyDescent="0.35">
      <c r="A2807" s="1416">
        <v>38679</v>
      </c>
      <c r="B2807" s="1415">
        <v>71.66</v>
      </c>
    </row>
    <row r="2808" spans="1:2" x14ac:dyDescent="0.35">
      <c r="A2808" s="1416">
        <v>38681</v>
      </c>
      <c r="B2808" s="1415">
        <v>71.97</v>
      </c>
    </row>
    <row r="2809" spans="1:2" x14ac:dyDescent="0.35">
      <c r="A2809" s="1416">
        <v>38684</v>
      </c>
      <c r="B2809" s="1415">
        <v>71.16</v>
      </c>
    </row>
    <row r="2810" spans="1:2" x14ac:dyDescent="0.35">
      <c r="A2810" s="1416">
        <v>38685</v>
      </c>
      <c r="B2810" s="1415">
        <v>71.650000000000006</v>
      </c>
    </row>
    <row r="2811" spans="1:2" x14ac:dyDescent="0.35">
      <c r="A2811" s="1416">
        <v>38686</v>
      </c>
      <c r="B2811" s="1415">
        <v>71.2</v>
      </c>
    </row>
    <row r="2812" spans="1:2" x14ac:dyDescent="0.35">
      <c r="A2812" s="1416">
        <v>38687</v>
      </c>
      <c r="B2812" s="1415">
        <v>72.61</v>
      </c>
    </row>
    <row r="2813" spans="1:2" x14ac:dyDescent="0.35">
      <c r="A2813" s="1416">
        <v>38688</v>
      </c>
      <c r="B2813" s="1415">
        <v>71.209999999999994</v>
      </c>
    </row>
    <row r="2814" spans="1:2" x14ac:dyDescent="0.35">
      <c r="A2814" s="1416">
        <v>38691</v>
      </c>
      <c r="B2814" s="1415">
        <v>71.58</v>
      </c>
    </row>
    <row r="2815" spans="1:2" x14ac:dyDescent="0.35">
      <c r="A2815" s="1416">
        <v>38692</v>
      </c>
      <c r="B2815" s="1415">
        <v>70.22</v>
      </c>
    </row>
    <row r="2816" spans="1:2" x14ac:dyDescent="0.35">
      <c r="A2816" s="1416">
        <v>38693</v>
      </c>
      <c r="B2816" s="1415">
        <v>70.66</v>
      </c>
    </row>
    <row r="2817" spans="1:2" x14ac:dyDescent="0.35">
      <c r="A2817" s="1416">
        <v>38694</v>
      </c>
      <c r="B2817" s="1415">
        <v>68.5</v>
      </c>
    </row>
    <row r="2818" spans="1:2" x14ac:dyDescent="0.35">
      <c r="A2818" s="1416">
        <v>38695</v>
      </c>
      <c r="B2818" s="1415">
        <v>68.44</v>
      </c>
    </row>
    <row r="2819" spans="1:2" x14ac:dyDescent="0.35">
      <c r="A2819" s="1416">
        <v>38698</v>
      </c>
      <c r="B2819" s="1415">
        <v>67.53</v>
      </c>
    </row>
    <row r="2820" spans="1:2" x14ac:dyDescent="0.35">
      <c r="A2820" s="1416">
        <v>38699</v>
      </c>
      <c r="B2820" s="1415">
        <v>68.150000000000006</v>
      </c>
    </row>
    <row r="2821" spans="1:2" x14ac:dyDescent="0.35">
      <c r="A2821" s="1416">
        <v>38700</v>
      </c>
      <c r="B2821" s="1415">
        <v>67.87</v>
      </c>
    </row>
    <row r="2822" spans="1:2" x14ac:dyDescent="0.35">
      <c r="A2822" s="1416">
        <v>38701</v>
      </c>
      <c r="B2822" s="1415">
        <v>65.92</v>
      </c>
    </row>
    <row r="2823" spans="1:2" x14ac:dyDescent="0.35">
      <c r="A2823" s="1416">
        <v>38702</v>
      </c>
      <c r="B2823" s="1415">
        <v>63.61</v>
      </c>
    </row>
    <row r="2824" spans="1:2" x14ac:dyDescent="0.35">
      <c r="A2824" s="1416">
        <v>38705</v>
      </c>
      <c r="B2824" s="1415">
        <v>62.5</v>
      </c>
    </row>
    <row r="2825" spans="1:2" x14ac:dyDescent="0.35">
      <c r="A2825" s="1416">
        <v>38706</v>
      </c>
      <c r="B2825" s="1415">
        <v>62.3</v>
      </c>
    </row>
    <row r="2826" spans="1:2" x14ac:dyDescent="0.35">
      <c r="A2826" s="1416">
        <v>38707</v>
      </c>
      <c r="B2826" s="1415">
        <v>62.28</v>
      </c>
    </row>
    <row r="2827" spans="1:2" x14ac:dyDescent="0.35">
      <c r="A2827" s="1416">
        <v>38708</v>
      </c>
      <c r="B2827" s="1415">
        <v>61.89</v>
      </c>
    </row>
    <row r="2828" spans="1:2" x14ac:dyDescent="0.35">
      <c r="A2828" s="1416">
        <v>38709</v>
      </c>
      <c r="B2828" s="1415">
        <v>61.66</v>
      </c>
    </row>
    <row r="2829" spans="1:2" x14ac:dyDescent="0.35">
      <c r="A2829" s="1416">
        <v>38713</v>
      </c>
      <c r="B2829" s="1415">
        <v>60.8</v>
      </c>
    </row>
    <row r="2830" spans="1:2" x14ac:dyDescent="0.35">
      <c r="A2830" s="1416">
        <v>38714</v>
      </c>
      <c r="B2830" s="1415">
        <v>60.44</v>
      </c>
    </row>
    <row r="2831" spans="1:2" x14ac:dyDescent="0.35">
      <c r="A2831" s="1416">
        <v>38715</v>
      </c>
      <c r="B2831" s="1415">
        <v>60.29</v>
      </c>
    </row>
    <row r="2832" spans="1:2" x14ac:dyDescent="0.35">
      <c r="A2832" s="1416">
        <v>38716</v>
      </c>
      <c r="B2832" s="1415">
        <v>60.46</v>
      </c>
    </row>
    <row r="2833" spans="1:2" x14ac:dyDescent="0.35">
      <c r="A2833" s="1416">
        <v>38720</v>
      </c>
      <c r="B2833" s="1415">
        <v>60.65</v>
      </c>
    </row>
    <row r="2834" spans="1:2" x14ac:dyDescent="0.35">
      <c r="A2834" s="1416">
        <v>38721</v>
      </c>
      <c r="B2834" s="1415">
        <v>61.27</v>
      </c>
    </row>
    <row r="2835" spans="1:2" x14ac:dyDescent="0.35">
      <c r="A2835" s="1416">
        <v>38722</v>
      </c>
      <c r="B2835" s="1415">
        <v>60.8</v>
      </c>
    </row>
    <row r="2836" spans="1:2" x14ac:dyDescent="0.35">
      <c r="A2836" s="1416">
        <v>38723</v>
      </c>
      <c r="B2836" s="1415">
        <v>62.4</v>
      </c>
    </row>
    <row r="2837" spans="1:2" x14ac:dyDescent="0.35">
      <c r="A2837" s="1416">
        <v>38726</v>
      </c>
      <c r="B2837" s="1415">
        <v>62.81</v>
      </c>
    </row>
    <row r="2838" spans="1:2" x14ac:dyDescent="0.35">
      <c r="A2838" s="1416">
        <v>38727</v>
      </c>
      <c r="B2838" s="1415">
        <v>62.7</v>
      </c>
    </row>
    <row r="2839" spans="1:2" x14ac:dyDescent="0.35">
      <c r="A2839" s="1416">
        <v>38728</v>
      </c>
      <c r="B2839" s="1415">
        <v>62.15</v>
      </c>
    </row>
    <row r="2840" spans="1:2" x14ac:dyDescent="0.35">
      <c r="A2840" s="1416">
        <v>38729</v>
      </c>
      <c r="B2840" s="1415">
        <v>57.54</v>
      </c>
    </row>
    <row r="2841" spans="1:2" x14ac:dyDescent="0.35">
      <c r="A2841" s="1416">
        <v>38730</v>
      </c>
      <c r="B2841" s="1415">
        <v>56.7</v>
      </c>
    </row>
    <row r="2842" spans="1:2" x14ac:dyDescent="0.35">
      <c r="A2842" s="1416">
        <v>38734</v>
      </c>
      <c r="B2842" s="1415">
        <v>55.899000000000001</v>
      </c>
    </row>
    <row r="2843" spans="1:2" x14ac:dyDescent="0.35">
      <c r="A2843" s="1416">
        <v>38735</v>
      </c>
      <c r="B2843" s="1415">
        <v>54.84</v>
      </c>
    </row>
    <row r="2844" spans="1:2" x14ac:dyDescent="0.35">
      <c r="A2844" s="1416">
        <v>38736</v>
      </c>
      <c r="B2844" s="1415">
        <v>55.33</v>
      </c>
    </row>
    <row r="2845" spans="1:2" x14ac:dyDescent="0.35">
      <c r="A2845" s="1416">
        <v>38737</v>
      </c>
      <c r="B2845" s="1415">
        <v>54.51</v>
      </c>
    </row>
    <row r="2846" spans="1:2" x14ac:dyDescent="0.35">
      <c r="A2846" s="1416">
        <v>38740</v>
      </c>
      <c r="B2846" s="1415">
        <v>54.24</v>
      </c>
    </row>
    <row r="2847" spans="1:2" x14ac:dyDescent="0.35">
      <c r="A2847" s="1416">
        <v>38741</v>
      </c>
      <c r="B2847" s="1415">
        <v>54.4</v>
      </c>
    </row>
    <row r="2848" spans="1:2" x14ac:dyDescent="0.35">
      <c r="A2848" s="1416">
        <v>38742</v>
      </c>
      <c r="B2848" s="1415">
        <v>54.12</v>
      </c>
    </row>
    <row r="2849" spans="1:2" x14ac:dyDescent="0.35">
      <c r="A2849" s="1416">
        <v>38743</v>
      </c>
      <c r="B2849" s="1415">
        <v>55.86</v>
      </c>
    </row>
    <row r="2850" spans="1:2" x14ac:dyDescent="0.35">
      <c r="A2850" s="1416">
        <v>38744</v>
      </c>
      <c r="B2850" s="1415">
        <v>55.9</v>
      </c>
    </row>
    <row r="2851" spans="1:2" x14ac:dyDescent="0.35">
      <c r="A2851" s="1416">
        <v>38747</v>
      </c>
      <c r="B2851" s="1415">
        <v>55.52</v>
      </c>
    </row>
    <row r="2852" spans="1:2" x14ac:dyDescent="0.35">
      <c r="A2852" s="1416">
        <v>38748</v>
      </c>
      <c r="B2852" s="1415">
        <v>55.68</v>
      </c>
    </row>
    <row r="2853" spans="1:2" x14ac:dyDescent="0.35">
      <c r="A2853" s="1416">
        <v>38749</v>
      </c>
      <c r="B2853" s="1415">
        <v>55.95</v>
      </c>
    </row>
    <row r="2854" spans="1:2" x14ac:dyDescent="0.35">
      <c r="A2854" s="1416">
        <v>38750</v>
      </c>
      <c r="B2854" s="1415">
        <v>56.87</v>
      </c>
    </row>
    <row r="2855" spans="1:2" x14ac:dyDescent="0.35">
      <c r="A2855" s="1416">
        <v>38751</v>
      </c>
      <c r="B2855" s="1415">
        <v>56.3</v>
      </c>
    </row>
    <row r="2856" spans="1:2" x14ac:dyDescent="0.35">
      <c r="A2856" s="1416">
        <v>38754</v>
      </c>
      <c r="B2856" s="1415">
        <v>56.2</v>
      </c>
    </row>
    <row r="2857" spans="1:2" x14ac:dyDescent="0.35">
      <c r="A2857" s="1416">
        <v>38755</v>
      </c>
      <c r="B2857" s="1415">
        <v>55.45</v>
      </c>
    </row>
    <row r="2858" spans="1:2" x14ac:dyDescent="0.35">
      <c r="A2858" s="1416">
        <v>38756</v>
      </c>
      <c r="B2858" s="1415">
        <v>56.51</v>
      </c>
    </row>
    <row r="2859" spans="1:2" x14ac:dyDescent="0.35">
      <c r="A2859" s="1416">
        <v>38757</v>
      </c>
      <c r="B2859" s="1415">
        <v>56.7</v>
      </c>
    </row>
    <row r="2860" spans="1:2" x14ac:dyDescent="0.35">
      <c r="A2860" s="1416">
        <v>38758</v>
      </c>
      <c r="B2860" s="1415">
        <v>58.89</v>
      </c>
    </row>
    <row r="2861" spans="1:2" x14ac:dyDescent="0.35">
      <c r="A2861" s="1416">
        <v>38761</v>
      </c>
      <c r="B2861" s="1415">
        <v>58.68</v>
      </c>
    </row>
    <row r="2862" spans="1:2" x14ac:dyDescent="0.35">
      <c r="A2862" s="1416">
        <v>38762</v>
      </c>
      <c r="B2862" s="1415">
        <v>59.33</v>
      </c>
    </row>
    <row r="2863" spans="1:2" x14ac:dyDescent="0.35">
      <c r="A2863" s="1416">
        <v>38763</v>
      </c>
      <c r="B2863" s="1415">
        <v>58.67</v>
      </c>
    </row>
    <row r="2864" spans="1:2" x14ac:dyDescent="0.35">
      <c r="A2864" s="1416">
        <v>38764</v>
      </c>
      <c r="B2864" s="1415">
        <v>58.86</v>
      </c>
    </row>
    <row r="2865" spans="1:2" x14ac:dyDescent="0.35">
      <c r="A2865" s="1416">
        <v>38765</v>
      </c>
      <c r="B2865" s="1415">
        <v>58.06</v>
      </c>
    </row>
    <row r="2866" spans="1:2" x14ac:dyDescent="0.35">
      <c r="A2866" s="1416">
        <v>38769</v>
      </c>
      <c r="B2866" s="1415">
        <v>56.96</v>
      </c>
    </row>
    <row r="2867" spans="1:2" x14ac:dyDescent="0.35">
      <c r="A2867" s="1416">
        <v>38770</v>
      </c>
      <c r="B2867" s="1415">
        <v>57.74</v>
      </c>
    </row>
    <row r="2868" spans="1:2" x14ac:dyDescent="0.35">
      <c r="A2868" s="1416">
        <v>38771</v>
      </c>
      <c r="B2868" s="1415">
        <v>57.18</v>
      </c>
    </row>
    <row r="2869" spans="1:2" x14ac:dyDescent="0.35">
      <c r="A2869" s="1416">
        <v>38772</v>
      </c>
      <c r="B2869" s="1415">
        <v>58.09</v>
      </c>
    </row>
    <row r="2870" spans="1:2" x14ac:dyDescent="0.35">
      <c r="A2870" s="1416">
        <v>38775</v>
      </c>
      <c r="B2870" s="1415">
        <v>58.47</v>
      </c>
    </row>
    <row r="2871" spans="1:2" x14ac:dyDescent="0.35">
      <c r="A2871" s="1416">
        <v>38776</v>
      </c>
      <c r="B2871" s="1415">
        <v>49.38</v>
      </c>
    </row>
    <row r="2872" spans="1:2" x14ac:dyDescent="0.35">
      <c r="A2872" s="1416">
        <v>38777</v>
      </c>
      <c r="B2872" s="1415">
        <v>48.88</v>
      </c>
    </row>
    <row r="2873" spans="1:2" x14ac:dyDescent="0.35">
      <c r="A2873" s="1416">
        <v>38778</v>
      </c>
      <c r="B2873" s="1415">
        <v>47.94</v>
      </c>
    </row>
    <row r="2874" spans="1:2" x14ac:dyDescent="0.35">
      <c r="A2874" s="1416">
        <v>38779</v>
      </c>
      <c r="B2874" s="1415">
        <v>48.29</v>
      </c>
    </row>
    <row r="2875" spans="1:2" x14ac:dyDescent="0.35">
      <c r="A2875" s="1416">
        <v>38782</v>
      </c>
      <c r="B2875" s="1415">
        <v>50.59</v>
      </c>
    </row>
    <row r="2876" spans="1:2" x14ac:dyDescent="0.35">
      <c r="A2876" s="1416">
        <v>38783</v>
      </c>
      <c r="B2876" s="1415">
        <v>50.47</v>
      </c>
    </row>
    <row r="2877" spans="1:2" x14ac:dyDescent="0.35">
      <c r="A2877" s="1416">
        <v>38784</v>
      </c>
      <c r="B2877" s="1415">
        <v>49.8</v>
      </c>
    </row>
    <row r="2878" spans="1:2" x14ac:dyDescent="0.35">
      <c r="A2878" s="1416">
        <v>38785</v>
      </c>
      <c r="B2878" s="1415">
        <v>50.97</v>
      </c>
    </row>
    <row r="2879" spans="1:2" x14ac:dyDescent="0.35">
      <c r="A2879" s="1416">
        <v>38786</v>
      </c>
      <c r="B2879" s="1415">
        <v>51.98</v>
      </c>
    </row>
    <row r="2880" spans="1:2" x14ac:dyDescent="0.35">
      <c r="A2880" s="1416">
        <v>38789</v>
      </c>
      <c r="B2880" s="1415">
        <v>52.1</v>
      </c>
    </row>
    <row r="2881" spans="1:2" x14ac:dyDescent="0.35">
      <c r="A2881" s="1416">
        <v>38790</v>
      </c>
      <c r="B2881" s="1415">
        <v>52.49</v>
      </c>
    </row>
    <row r="2882" spans="1:2" x14ac:dyDescent="0.35">
      <c r="A2882" s="1416">
        <v>38791</v>
      </c>
      <c r="B2882" s="1415">
        <v>53.3</v>
      </c>
    </row>
    <row r="2883" spans="1:2" x14ac:dyDescent="0.35">
      <c r="A2883" s="1416">
        <v>38792</v>
      </c>
      <c r="B2883" s="1415">
        <v>51.86</v>
      </c>
    </row>
    <row r="2884" spans="1:2" x14ac:dyDescent="0.35">
      <c r="A2884" s="1416">
        <v>38793</v>
      </c>
      <c r="B2884" s="1415">
        <v>52</v>
      </c>
    </row>
    <row r="2885" spans="1:2" x14ac:dyDescent="0.35">
      <c r="A2885" s="1416">
        <v>38796</v>
      </c>
      <c r="B2885" s="1415">
        <v>52.66</v>
      </c>
    </row>
    <row r="2886" spans="1:2" x14ac:dyDescent="0.35">
      <c r="A2886" s="1416">
        <v>38797</v>
      </c>
      <c r="B2886" s="1415">
        <v>51.53</v>
      </c>
    </row>
    <row r="2887" spans="1:2" x14ac:dyDescent="0.35">
      <c r="A2887" s="1416">
        <v>38798</v>
      </c>
      <c r="B2887" s="1415">
        <v>52.05</v>
      </c>
    </row>
    <row r="2888" spans="1:2" x14ac:dyDescent="0.35">
      <c r="A2888" s="1416">
        <v>38799</v>
      </c>
      <c r="B2888" s="1415">
        <v>53.72</v>
      </c>
    </row>
    <row r="2889" spans="1:2" x14ac:dyDescent="0.35">
      <c r="A2889" s="1416">
        <v>38800</v>
      </c>
      <c r="B2889" s="1415">
        <v>51.6</v>
      </c>
    </row>
    <row r="2890" spans="1:2" x14ac:dyDescent="0.35">
      <c r="A2890" s="1416">
        <v>38803</v>
      </c>
      <c r="B2890" s="1415">
        <v>51.77</v>
      </c>
    </row>
    <row r="2891" spans="1:2" x14ac:dyDescent="0.35">
      <c r="A2891" s="1416">
        <v>38804</v>
      </c>
      <c r="B2891" s="1415">
        <v>51.71</v>
      </c>
    </row>
    <row r="2892" spans="1:2" x14ac:dyDescent="0.35">
      <c r="A2892" s="1416">
        <v>38805</v>
      </c>
      <c r="B2892" s="1415">
        <v>52.64</v>
      </c>
    </row>
    <row r="2893" spans="1:2" x14ac:dyDescent="0.35">
      <c r="A2893" s="1416">
        <v>38806</v>
      </c>
      <c r="B2893" s="1415">
        <v>52.43</v>
      </c>
    </row>
    <row r="2894" spans="1:2" x14ac:dyDescent="0.35">
      <c r="A2894" s="1416">
        <v>38807</v>
      </c>
      <c r="B2894" s="1415">
        <v>52.51</v>
      </c>
    </row>
    <row r="2895" spans="1:2" x14ac:dyDescent="0.35">
      <c r="A2895" s="1416">
        <v>38810</v>
      </c>
      <c r="B2895" s="1415">
        <v>51.55</v>
      </c>
    </row>
    <row r="2896" spans="1:2" x14ac:dyDescent="0.35">
      <c r="A2896" s="1416">
        <v>38811</v>
      </c>
      <c r="B2896" s="1415">
        <v>50.87</v>
      </c>
    </row>
    <row r="2897" spans="1:2" x14ac:dyDescent="0.35">
      <c r="A2897" s="1416">
        <v>38812</v>
      </c>
      <c r="B2897" s="1415">
        <v>51.18</v>
      </c>
    </row>
    <row r="2898" spans="1:2" x14ac:dyDescent="0.35">
      <c r="A2898" s="1416">
        <v>38813</v>
      </c>
      <c r="B2898" s="1415">
        <v>52.9</v>
      </c>
    </row>
    <row r="2899" spans="1:2" x14ac:dyDescent="0.35">
      <c r="A2899" s="1416">
        <v>38814</v>
      </c>
      <c r="B2899" s="1415">
        <v>52.52</v>
      </c>
    </row>
    <row r="2900" spans="1:2" x14ac:dyDescent="0.35">
      <c r="A2900" s="1416">
        <v>38817</v>
      </c>
      <c r="B2900" s="1415">
        <v>52.85</v>
      </c>
    </row>
    <row r="2901" spans="1:2" x14ac:dyDescent="0.35">
      <c r="A2901" s="1416">
        <v>38818</v>
      </c>
      <c r="B2901" s="1415">
        <v>52.78</v>
      </c>
    </row>
    <row r="2902" spans="1:2" x14ac:dyDescent="0.35">
      <c r="A2902" s="1416">
        <v>38819</v>
      </c>
      <c r="B2902" s="1415">
        <v>52.56</v>
      </c>
    </row>
    <row r="2903" spans="1:2" x14ac:dyDescent="0.35">
      <c r="A2903" s="1416">
        <v>38820</v>
      </c>
      <c r="B2903" s="1415">
        <v>52.8</v>
      </c>
    </row>
    <row r="2904" spans="1:2" x14ac:dyDescent="0.35">
      <c r="A2904" s="1416">
        <v>38824</v>
      </c>
      <c r="B2904" s="1415">
        <v>52.64</v>
      </c>
    </row>
    <row r="2905" spans="1:2" x14ac:dyDescent="0.35">
      <c r="A2905" s="1416">
        <v>38825</v>
      </c>
      <c r="B2905" s="1415">
        <v>54.26</v>
      </c>
    </row>
    <row r="2906" spans="1:2" x14ac:dyDescent="0.35">
      <c r="A2906" s="1416">
        <v>38826</v>
      </c>
      <c r="B2906" s="1415">
        <v>54.31</v>
      </c>
    </row>
    <row r="2907" spans="1:2" x14ac:dyDescent="0.35">
      <c r="A2907" s="1416">
        <v>38827</v>
      </c>
      <c r="B2907" s="1415">
        <v>54.29</v>
      </c>
    </row>
    <row r="2908" spans="1:2" x14ac:dyDescent="0.35">
      <c r="A2908" s="1416">
        <v>38828</v>
      </c>
      <c r="B2908" s="1415">
        <v>52.82</v>
      </c>
    </row>
    <row r="2909" spans="1:2" x14ac:dyDescent="0.35">
      <c r="A2909" s="1416">
        <v>38831</v>
      </c>
      <c r="B2909" s="1415">
        <v>53.29</v>
      </c>
    </row>
    <row r="2910" spans="1:2" x14ac:dyDescent="0.35">
      <c r="A2910" s="1416">
        <v>38832</v>
      </c>
      <c r="B2910" s="1415">
        <v>52.86</v>
      </c>
    </row>
    <row r="2911" spans="1:2" x14ac:dyDescent="0.35">
      <c r="A2911" s="1416">
        <v>38833</v>
      </c>
      <c r="B2911" s="1415">
        <v>52.95</v>
      </c>
    </row>
    <row r="2912" spans="1:2" x14ac:dyDescent="0.35">
      <c r="A2912" s="1416">
        <v>38834</v>
      </c>
      <c r="B2912" s="1415">
        <v>56.02</v>
      </c>
    </row>
    <row r="2913" spans="1:2" x14ac:dyDescent="0.35">
      <c r="A2913" s="1416">
        <v>38835</v>
      </c>
      <c r="B2913" s="1415">
        <v>54.64</v>
      </c>
    </row>
    <row r="2914" spans="1:2" x14ac:dyDescent="0.35">
      <c r="A2914" s="1416">
        <v>38838</v>
      </c>
      <c r="B2914" s="1415">
        <v>53.31</v>
      </c>
    </row>
    <row r="2915" spans="1:2" x14ac:dyDescent="0.35">
      <c r="A2915" s="1416">
        <v>38839</v>
      </c>
      <c r="B2915" s="1415">
        <v>52.47</v>
      </c>
    </row>
    <row r="2916" spans="1:2" x14ac:dyDescent="0.35">
      <c r="A2916" s="1416">
        <v>38840</v>
      </c>
      <c r="B2916" s="1415">
        <v>52.7</v>
      </c>
    </row>
    <row r="2917" spans="1:2" x14ac:dyDescent="0.35">
      <c r="A2917" s="1416">
        <v>38841</v>
      </c>
      <c r="B2917" s="1415">
        <v>52.35</v>
      </c>
    </row>
    <row r="2918" spans="1:2" x14ac:dyDescent="0.35">
      <c r="A2918" s="1416">
        <v>38842</v>
      </c>
      <c r="B2918" s="1415">
        <v>52.96</v>
      </c>
    </row>
    <row r="2919" spans="1:2" x14ac:dyDescent="0.35">
      <c r="A2919" s="1416">
        <v>38845</v>
      </c>
      <c r="B2919" s="1415">
        <v>54.23</v>
      </c>
    </row>
    <row r="2920" spans="1:2" x14ac:dyDescent="0.35">
      <c r="A2920" s="1416">
        <v>38846</v>
      </c>
      <c r="B2920" s="1415">
        <v>54.82</v>
      </c>
    </row>
    <row r="2921" spans="1:2" x14ac:dyDescent="0.35">
      <c r="A2921" s="1416">
        <v>38847</v>
      </c>
      <c r="B2921" s="1415">
        <v>54.42</v>
      </c>
    </row>
    <row r="2922" spans="1:2" x14ac:dyDescent="0.35">
      <c r="A2922" s="1416">
        <v>38848</v>
      </c>
      <c r="B2922" s="1415">
        <v>52.58</v>
      </c>
    </row>
    <row r="2923" spans="1:2" x14ac:dyDescent="0.35">
      <c r="A2923" s="1416">
        <v>38849</v>
      </c>
      <c r="B2923" s="1415">
        <v>52.26</v>
      </c>
    </row>
    <row r="2924" spans="1:2" x14ac:dyDescent="0.35">
      <c r="A2924" s="1416">
        <v>38852</v>
      </c>
      <c r="B2924" s="1415">
        <v>52.78</v>
      </c>
    </row>
    <row r="2925" spans="1:2" x14ac:dyDescent="0.35">
      <c r="A2925" s="1416">
        <v>38853</v>
      </c>
      <c r="B2925" s="1415">
        <v>52.69</v>
      </c>
    </row>
    <row r="2926" spans="1:2" x14ac:dyDescent="0.35">
      <c r="A2926" s="1416">
        <v>38854</v>
      </c>
      <c r="B2926" s="1415">
        <v>51.97</v>
      </c>
    </row>
    <row r="2927" spans="1:2" x14ac:dyDescent="0.35">
      <c r="A2927" s="1416">
        <v>38855</v>
      </c>
      <c r="B2927" s="1415">
        <v>51.39</v>
      </c>
    </row>
    <row r="2928" spans="1:2" x14ac:dyDescent="0.35">
      <c r="A2928" s="1416">
        <v>38856</v>
      </c>
      <c r="B2928" s="1415">
        <v>51.26</v>
      </c>
    </row>
    <row r="2929" spans="1:2" x14ac:dyDescent="0.35">
      <c r="A2929" s="1416">
        <v>38859</v>
      </c>
      <c r="B2929" s="1415">
        <v>51.77</v>
      </c>
    </row>
    <row r="2930" spans="1:2" x14ac:dyDescent="0.35">
      <c r="A2930" s="1416">
        <v>38860</v>
      </c>
      <c r="B2930" s="1415">
        <v>51.03</v>
      </c>
    </row>
    <row r="2931" spans="1:2" x14ac:dyDescent="0.35">
      <c r="A2931" s="1416">
        <v>38861</v>
      </c>
      <c r="B2931" s="1415">
        <v>50.92</v>
      </c>
    </row>
    <row r="2932" spans="1:2" x14ac:dyDescent="0.35">
      <c r="A2932" s="1416">
        <v>38862</v>
      </c>
      <c r="B2932" s="1415">
        <v>51.27</v>
      </c>
    </row>
    <row r="2933" spans="1:2" x14ac:dyDescent="0.35">
      <c r="A2933" s="1416">
        <v>38863</v>
      </c>
      <c r="B2933" s="1415">
        <v>51.38</v>
      </c>
    </row>
    <row r="2934" spans="1:2" x14ac:dyDescent="0.35">
      <c r="A2934" s="1416">
        <v>38867</v>
      </c>
      <c r="B2934" s="1415">
        <v>51.86</v>
      </c>
    </row>
    <row r="2935" spans="1:2" x14ac:dyDescent="0.35">
      <c r="A2935" s="1416">
        <v>38868</v>
      </c>
      <c r="B2935" s="1415">
        <v>52.31</v>
      </c>
    </row>
    <row r="2936" spans="1:2" x14ac:dyDescent="0.35">
      <c r="A2936" s="1416">
        <v>38869</v>
      </c>
      <c r="B2936" s="1415">
        <v>53.62</v>
      </c>
    </row>
    <row r="2937" spans="1:2" x14ac:dyDescent="0.35">
      <c r="A2937" s="1416">
        <v>38870</v>
      </c>
      <c r="B2937" s="1415">
        <v>52.64</v>
      </c>
    </row>
    <row r="2938" spans="1:2" x14ac:dyDescent="0.35">
      <c r="A2938" s="1416">
        <v>38873</v>
      </c>
      <c r="B2938" s="1415">
        <v>52.39</v>
      </c>
    </row>
    <row r="2939" spans="1:2" x14ac:dyDescent="0.35">
      <c r="A2939" s="1416">
        <v>38874</v>
      </c>
      <c r="B2939" s="1415">
        <v>52.92</v>
      </c>
    </row>
    <row r="2940" spans="1:2" x14ac:dyDescent="0.35">
      <c r="A2940" s="1416">
        <v>38875</v>
      </c>
      <c r="B2940" s="1415">
        <v>55.47</v>
      </c>
    </row>
    <row r="2941" spans="1:2" x14ac:dyDescent="0.35">
      <c r="A2941" s="1416">
        <v>38876</v>
      </c>
      <c r="B2941" s="1415">
        <v>53.88</v>
      </c>
    </row>
    <row r="2942" spans="1:2" x14ac:dyDescent="0.35">
      <c r="A2942" s="1416">
        <v>38877</v>
      </c>
      <c r="B2942" s="1415">
        <v>53.76</v>
      </c>
    </row>
    <row r="2943" spans="1:2" x14ac:dyDescent="0.35">
      <c r="A2943" s="1416">
        <v>38880</v>
      </c>
      <c r="B2943" s="1415">
        <v>54.62</v>
      </c>
    </row>
    <row r="2944" spans="1:2" x14ac:dyDescent="0.35">
      <c r="A2944" s="1416">
        <v>38881</v>
      </c>
      <c r="B2944" s="1415">
        <v>54.34</v>
      </c>
    </row>
    <row r="2945" spans="1:2" x14ac:dyDescent="0.35">
      <c r="A2945" s="1416">
        <v>38882</v>
      </c>
      <c r="B2945" s="1415">
        <v>52.61</v>
      </c>
    </row>
    <row r="2946" spans="1:2" x14ac:dyDescent="0.35">
      <c r="A2946" s="1416">
        <v>38883</v>
      </c>
      <c r="B2946" s="1415">
        <v>54.55</v>
      </c>
    </row>
    <row r="2947" spans="1:2" x14ac:dyDescent="0.35">
      <c r="A2947" s="1416">
        <v>38884</v>
      </c>
      <c r="B2947" s="1415">
        <v>54.51</v>
      </c>
    </row>
    <row r="2948" spans="1:2" x14ac:dyDescent="0.35">
      <c r="A2948" s="1416">
        <v>38887</v>
      </c>
      <c r="B2948" s="1415">
        <v>54.82</v>
      </c>
    </row>
    <row r="2949" spans="1:2" x14ac:dyDescent="0.35">
      <c r="A2949" s="1416">
        <v>38888</v>
      </c>
      <c r="B2949" s="1415">
        <v>51.91</v>
      </c>
    </row>
    <row r="2950" spans="1:2" x14ac:dyDescent="0.35">
      <c r="A2950" s="1416">
        <v>38889</v>
      </c>
      <c r="B2950" s="1415">
        <v>52.73</v>
      </c>
    </row>
    <row r="2951" spans="1:2" x14ac:dyDescent="0.35">
      <c r="A2951" s="1416">
        <v>38890</v>
      </c>
      <c r="B2951" s="1415">
        <v>51.95</v>
      </c>
    </row>
    <row r="2952" spans="1:2" x14ac:dyDescent="0.35">
      <c r="A2952" s="1416">
        <v>38891</v>
      </c>
      <c r="B2952" s="1415">
        <v>51.33</v>
      </c>
    </row>
    <row r="2953" spans="1:2" x14ac:dyDescent="0.35">
      <c r="A2953" s="1416">
        <v>38894</v>
      </c>
      <c r="B2953" s="1415">
        <v>52.27</v>
      </c>
    </row>
    <row r="2954" spans="1:2" x14ac:dyDescent="0.35">
      <c r="A2954" s="1416">
        <v>38895</v>
      </c>
      <c r="B2954" s="1415">
        <v>51.84</v>
      </c>
    </row>
    <row r="2955" spans="1:2" x14ac:dyDescent="0.35">
      <c r="A2955" s="1416">
        <v>38896</v>
      </c>
      <c r="B2955" s="1415">
        <v>51.76</v>
      </c>
    </row>
    <row r="2956" spans="1:2" x14ac:dyDescent="0.35">
      <c r="A2956" s="1416">
        <v>38897</v>
      </c>
      <c r="B2956" s="1415">
        <v>52.5</v>
      </c>
    </row>
    <row r="2957" spans="1:2" x14ac:dyDescent="0.35">
      <c r="A2957" s="1416">
        <v>38898</v>
      </c>
      <c r="B2957" s="1415">
        <v>51.67</v>
      </c>
    </row>
    <row r="2958" spans="1:2" x14ac:dyDescent="0.35">
      <c r="A2958" s="1416">
        <v>38901</v>
      </c>
      <c r="B2958" s="1415">
        <v>51.78</v>
      </c>
    </row>
    <row r="2959" spans="1:2" x14ac:dyDescent="0.35">
      <c r="A2959" s="1416">
        <v>38903</v>
      </c>
      <c r="B2959" s="1415">
        <v>50.75</v>
      </c>
    </row>
    <row r="2960" spans="1:2" x14ac:dyDescent="0.35">
      <c r="A2960" s="1416">
        <v>38904</v>
      </c>
      <c r="B2960" s="1415">
        <v>50.89</v>
      </c>
    </row>
    <row r="2961" spans="1:2" x14ac:dyDescent="0.35">
      <c r="A2961" s="1416">
        <v>38905</v>
      </c>
      <c r="B2961" s="1415">
        <v>49.92</v>
      </c>
    </row>
    <row r="2962" spans="1:2" x14ac:dyDescent="0.35">
      <c r="A2962" s="1416">
        <v>38908</v>
      </c>
      <c r="B2962" s="1415">
        <v>50.12</v>
      </c>
    </row>
    <row r="2963" spans="1:2" x14ac:dyDescent="0.35">
      <c r="A2963" s="1416">
        <v>38909</v>
      </c>
      <c r="B2963" s="1415">
        <v>50.16</v>
      </c>
    </row>
    <row r="2964" spans="1:2" x14ac:dyDescent="0.35">
      <c r="A2964" s="1416">
        <v>38910</v>
      </c>
      <c r="B2964" s="1415">
        <v>49.47</v>
      </c>
    </row>
    <row r="2965" spans="1:2" x14ac:dyDescent="0.35">
      <c r="A2965" s="1416">
        <v>38911</v>
      </c>
      <c r="B2965" s="1415">
        <v>49.07</v>
      </c>
    </row>
    <row r="2966" spans="1:2" x14ac:dyDescent="0.35">
      <c r="A2966" s="1416">
        <v>38912</v>
      </c>
      <c r="B2966" s="1415">
        <v>48.3</v>
      </c>
    </row>
    <row r="2967" spans="1:2" x14ac:dyDescent="0.35">
      <c r="A2967" s="1416">
        <v>38915</v>
      </c>
      <c r="B2967" s="1415">
        <v>48.84</v>
      </c>
    </row>
    <row r="2968" spans="1:2" x14ac:dyDescent="0.35">
      <c r="A2968" s="1416">
        <v>38916</v>
      </c>
      <c r="B2968" s="1415">
        <v>48.49</v>
      </c>
    </row>
    <row r="2969" spans="1:2" x14ac:dyDescent="0.35">
      <c r="A2969" s="1416">
        <v>38917</v>
      </c>
      <c r="B2969" s="1415">
        <v>49.31</v>
      </c>
    </row>
    <row r="2970" spans="1:2" x14ac:dyDescent="0.35">
      <c r="A2970" s="1416">
        <v>38918</v>
      </c>
      <c r="B2970" s="1415">
        <v>46.63</v>
      </c>
    </row>
    <row r="2971" spans="1:2" x14ac:dyDescent="0.35">
      <c r="A2971" s="1416">
        <v>38919</v>
      </c>
      <c r="B2971" s="1415">
        <v>46.91</v>
      </c>
    </row>
    <row r="2972" spans="1:2" x14ac:dyDescent="0.35">
      <c r="A2972" s="1416">
        <v>38922</v>
      </c>
      <c r="B2972" s="1415">
        <v>47.74</v>
      </c>
    </row>
    <row r="2973" spans="1:2" x14ac:dyDescent="0.35">
      <c r="A2973" s="1416">
        <v>38923</v>
      </c>
      <c r="B2973" s="1415">
        <v>47.59</v>
      </c>
    </row>
    <row r="2974" spans="1:2" x14ac:dyDescent="0.35">
      <c r="A2974" s="1416">
        <v>38924</v>
      </c>
      <c r="B2974" s="1415">
        <v>46.63</v>
      </c>
    </row>
    <row r="2975" spans="1:2" x14ac:dyDescent="0.35">
      <c r="A2975" s="1416">
        <v>38925</v>
      </c>
      <c r="B2975" s="1415">
        <v>46.2</v>
      </c>
    </row>
    <row r="2976" spans="1:2" x14ac:dyDescent="0.35">
      <c r="A2976" s="1416">
        <v>38926</v>
      </c>
      <c r="B2976" s="1415">
        <v>47.25</v>
      </c>
    </row>
    <row r="2977" spans="1:2" x14ac:dyDescent="0.35">
      <c r="A2977" s="1416">
        <v>38929</v>
      </c>
      <c r="B2977" s="1415">
        <v>47.32</v>
      </c>
    </row>
    <row r="2978" spans="1:2" x14ac:dyDescent="0.35">
      <c r="A2978" s="1416">
        <v>38930</v>
      </c>
      <c r="B2978" s="1415">
        <v>45.95</v>
      </c>
    </row>
    <row r="2979" spans="1:2" x14ac:dyDescent="0.35">
      <c r="A2979" s="1416">
        <v>38931</v>
      </c>
      <c r="B2979" s="1415">
        <v>45.18</v>
      </c>
    </row>
    <row r="2980" spans="1:2" x14ac:dyDescent="0.35">
      <c r="A2980" s="1416">
        <v>38932</v>
      </c>
      <c r="B2980" s="1415">
        <v>45.35</v>
      </c>
    </row>
    <row r="2981" spans="1:2" x14ac:dyDescent="0.35">
      <c r="A2981" s="1416">
        <v>38933</v>
      </c>
      <c r="B2981" s="1415">
        <v>44.14</v>
      </c>
    </row>
    <row r="2982" spans="1:2" x14ac:dyDescent="0.35">
      <c r="A2982" s="1416">
        <v>38936</v>
      </c>
      <c r="B2982" s="1415">
        <v>43.12</v>
      </c>
    </row>
    <row r="2983" spans="1:2" x14ac:dyDescent="0.35">
      <c r="A2983" s="1416">
        <v>38937</v>
      </c>
      <c r="B2983" s="1415">
        <v>43.51</v>
      </c>
    </row>
    <row r="2984" spans="1:2" x14ac:dyDescent="0.35">
      <c r="A2984" s="1416">
        <v>38938</v>
      </c>
      <c r="B2984" s="1415">
        <v>43.5</v>
      </c>
    </row>
    <row r="2985" spans="1:2" x14ac:dyDescent="0.35">
      <c r="A2985" s="1416">
        <v>38939</v>
      </c>
      <c r="B2985" s="1415">
        <v>44</v>
      </c>
    </row>
    <row r="2986" spans="1:2" x14ac:dyDescent="0.35">
      <c r="A2986" s="1416">
        <v>38940</v>
      </c>
      <c r="B2986" s="1415">
        <v>43.81</v>
      </c>
    </row>
    <row r="2987" spans="1:2" x14ac:dyDescent="0.35">
      <c r="A2987" s="1416">
        <v>38943</v>
      </c>
      <c r="B2987" s="1415">
        <v>44.16</v>
      </c>
    </row>
    <row r="2988" spans="1:2" x14ac:dyDescent="0.35">
      <c r="A2988" s="1416">
        <v>38944</v>
      </c>
      <c r="B2988" s="1415">
        <v>45.01</v>
      </c>
    </row>
    <row r="2989" spans="1:2" x14ac:dyDescent="0.35">
      <c r="A2989" s="1416">
        <v>38945</v>
      </c>
      <c r="B2989" s="1415">
        <v>45.56</v>
      </c>
    </row>
    <row r="2990" spans="1:2" x14ac:dyDescent="0.35">
      <c r="A2990" s="1416">
        <v>38946</v>
      </c>
      <c r="B2990" s="1415">
        <v>47.79</v>
      </c>
    </row>
    <row r="2991" spans="1:2" x14ac:dyDescent="0.35">
      <c r="A2991" s="1416">
        <v>38947</v>
      </c>
      <c r="B2991" s="1415">
        <v>48.73</v>
      </c>
    </row>
    <row r="2992" spans="1:2" x14ac:dyDescent="0.35">
      <c r="A2992" s="1416">
        <v>38950</v>
      </c>
      <c r="B2992" s="1415">
        <v>49.12</v>
      </c>
    </row>
    <row r="2993" spans="1:2" x14ac:dyDescent="0.35">
      <c r="A2993" s="1416">
        <v>38951</v>
      </c>
      <c r="B2993" s="1415">
        <v>49.18</v>
      </c>
    </row>
    <row r="2994" spans="1:2" x14ac:dyDescent="0.35">
      <c r="A2994" s="1416">
        <v>38952</v>
      </c>
      <c r="B2994" s="1415">
        <v>49.9</v>
      </c>
    </row>
    <row r="2995" spans="1:2" x14ac:dyDescent="0.35">
      <c r="A2995" s="1416">
        <v>38953</v>
      </c>
      <c r="B2995" s="1415">
        <v>50.84</v>
      </c>
    </row>
    <row r="2996" spans="1:2" x14ac:dyDescent="0.35">
      <c r="A2996" s="1416">
        <v>38954</v>
      </c>
      <c r="B2996" s="1415">
        <v>49.86</v>
      </c>
    </row>
    <row r="2997" spans="1:2" x14ac:dyDescent="0.35">
      <c r="A2997" s="1416">
        <v>38957</v>
      </c>
      <c r="B2997" s="1415">
        <v>50.19</v>
      </c>
    </row>
    <row r="2998" spans="1:2" x14ac:dyDescent="0.35">
      <c r="A2998" s="1416">
        <v>38958</v>
      </c>
      <c r="B2998" s="1415">
        <v>50.47</v>
      </c>
    </row>
    <row r="2999" spans="1:2" x14ac:dyDescent="0.35">
      <c r="A2999" s="1416">
        <v>38959</v>
      </c>
      <c r="B2999" s="1415">
        <v>50.32</v>
      </c>
    </row>
    <row r="3000" spans="1:2" x14ac:dyDescent="0.35">
      <c r="A3000" s="1416">
        <v>38960</v>
      </c>
      <c r="B3000" s="1415">
        <v>50.21</v>
      </c>
    </row>
    <row r="3001" spans="1:2" x14ac:dyDescent="0.35">
      <c r="A3001" s="1416">
        <v>38961</v>
      </c>
      <c r="B3001" s="1415">
        <v>50.82</v>
      </c>
    </row>
    <row r="3002" spans="1:2" x14ac:dyDescent="0.35">
      <c r="A3002" s="1416">
        <v>38965</v>
      </c>
      <c r="B3002" s="1415">
        <v>51.12</v>
      </c>
    </row>
    <row r="3003" spans="1:2" x14ac:dyDescent="0.35">
      <c r="A3003" s="1416">
        <v>38966</v>
      </c>
      <c r="B3003" s="1415">
        <v>49.36</v>
      </c>
    </row>
    <row r="3004" spans="1:2" x14ac:dyDescent="0.35">
      <c r="A3004" s="1416">
        <v>38967</v>
      </c>
      <c r="B3004" s="1415">
        <v>48.26</v>
      </c>
    </row>
    <row r="3005" spans="1:2" x14ac:dyDescent="0.35">
      <c r="A3005" s="1416">
        <v>38968</v>
      </c>
      <c r="B3005" s="1415">
        <v>47.87</v>
      </c>
    </row>
    <row r="3006" spans="1:2" x14ac:dyDescent="0.35">
      <c r="A3006" s="1416">
        <v>38971</v>
      </c>
      <c r="B3006" s="1415">
        <v>47.93</v>
      </c>
    </row>
    <row r="3007" spans="1:2" x14ac:dyDescent="0.35">
      <c r="A3007" s="1416">
        <v>38972</v>
      </c>
      <c r="B3007" s="1415">
        <v>49.9</v>
      </c>
    </row>
    <row r="3008" spans="1:2" x14ac:dyDescent="0.35">
      <c r="A3008" s="1416">
        <v>38973</v>
      </c>
      <c r="B3008" s="1415">
        <v>50.62</v>
      </c>
    </row>
    <row r="3009" spans="1:2" x14ac:dyDescent="0.35">
      <c r="A3009" s="1416">
        <v>38974</v>
      </c>
      <c r="B3009" s="1415">
        <v>49.31</v>
      </c>
    </row>
    <row r="3010" spans="1:2" x14ac:dyDescent="0.35">
      <c r="A3010" s="1416">
        <v>38975</v>
      </c>
      <c r="B3010" s="1415">
        <v>49.47</v>
      </c>
    </row>
    <row r="3011" spans="1:2" x14ac:dyDescent="0.35">
      <c r="A3011" s="1416">
        <v>38978</v>
      </c>
      <c r="B3011" s="1415">
        <v>50.1</v>
      </c>
    </row>
    <row r="3012" spans="1:2" x14ac:dyDescent="0.35">
      <c r="A3012" s="1416">
        <v>38979</v>
      </c>
      <c r="B3012" s="1415">
        <v>49.34</v>
      </c>
    </row>
    <row r="3013" spans="1:2" x14ac:dyDescent="0.35">
      <c r="A3013" s="1416">
        <v>38980</v>
      </c>
      <c r="B3013" s="1415">
        <v>50.68</v>
      </c>
    </row>
    <row r="3014" spans="1:2" x14ac:dyDescent="0.35">
      <c r="A3014" s="1416">
        <v>38981</v>
      </c>
      <c r="B3014" s="1415">
        <v>50.3</v>
      </c>
    </row>
    <row r="3015" spans="1:2" x14ac:dyDescent="0.35">
      <c r="A3015" s="1416">
        <v>38982</v>
      </c>
      <c r="B3015" s="1415">
        <v>50.08</v>
      </c>
    </row>
    <row r="3016" spans="1:2" x14ac:dyDescent="0.35">
      <c r="A3016" s="1416">
        <v>38985</v>
      </c>
      <c r="B3016" s="1415">
        <v>50.27</v>
      </c>
    </row>
    <row r="3017" spans="1:2" x14ac:dyDescent="0.35">
      <c r="A3017" s="1416">
        <v>38986</v>
      </c>
      <c r="B3017" s="1415">
        <v>50.17</v>
      </c>
    </row>
    <row r="3018" spans="1:2" x14ac:dyDescent="0.35">
      <c r="A3018" s="1416">
        <v>38987</v>
      </c>
      <c r="B3018" s="1415">
        <v>49.92</v>
      </c>
    </row>
    <row r="3019" spans="1:2" x14ac:dyDescent="0.35">
      <c r="A3019" s="1416">
        <v>38988</v>
      </c>
      <c r="B3019" s="1415">
        <v>50.33</v>
      </c>
    </row>
    <row r="3020" spans="1:2" x14ac:dyDescent="0.35">
      <c r="A3020" s="1416">
        <v>38989</v>
      </c>
      <c r="B3020" s="1415">
        <v>49.24</v>
      </c>
    </row>
    <row r="3021" spans="1:2" x14ac:dyDescent="0.35">
      <c r="A3021" s="1416">
        <v>38992</v>
      </c>
      <c r="B3021" s="1415">
        <v>50.17</v>
      </c>
    </row>
    <row r="3022" spans="1:2" x14ac:dyDescent="0.35">
      <c r="A3022" s="1416">
        <v>38993</v>
      </c>
      <c r="B3022" s="1415">
        <v>50.45</v>
      </c>
    </row>
    <row r="3023" spans="1:2" x14ac:dyDescent="0.35">
      <c r="A3023" s="1416">
        <v>38994</v>
      </c>
      <c r="B3023" s="1415">
        <v>52.89</v>
      </c>
    </row>
    <row r="3024" spans="1:2" x14ac:dyDescent="0.35">
      <c r="A3024" s="1416">
        <v>38995</v>
      </c>
      <c r="B3024" s="1415">
        <v>52</v>
      </c>
    </row>
    <row r="3025" spans="1:2" x14ac:dyDescent="0.35">
      <c r="A3025" s="1416">
        <v>38996</v>
      </c>
      <c r="B3025" s="1415">
        <v>51.51</v>
      </c>
    </row>
    <row r="3026" spans="1:2" x14ac:dyDescent="0.35">
      <c r="A3026" s="1416">
        <v>38999</v>
      </c>
      <c r="B3026" s="1415">
        <v>51.85</v>
      </c>
    </row>
    <row r="3027" spans="1:2" x14ac:dyDescent="0.35">
      <c r="A3027" s="1416">
        <v>39000</v>
      </c>
      <c r="B3027" s="1415">
        <v>51.41</v>
      </c>
    </row>
    <row r="3028" spans="1:2" x14ac:dyDescent="0.35">
      <c r="A3028" s="1416">
        <v>39001</v>
      </c>
      <c r="B3028" s="1415">
        <v>51.12</v>
      </c>
    </row>
    <row r="3029" spans="1:2" x14ac:dyDescent="0.35">
      <c r="A3029" s="1416">
        <v>39002</v>
      </c>
      <c r="B3029" s="1415">
        <v>50.8</v>
      </c>
    </row>
    <row r="3030" spans="1:2" x14ac:dyDescent="0.35">
      <c r="A3030" s="1416">
        <v>39003</v>
      </c>
      <c r="B3030" s="1415">
        <v>49.67</v>
      </c>
    </row>
    <row r="3031" spans="1:2" x14ac:dyDescent="0.35">
      <c r="A3031" s="1416">
        <v>39006</v>
      </c>
      <c r="B3031" s="1415">
        <v>50.3</v>
      </c>
    </row>
    <row r="3032" spans="1:2" x14ac:dyDescent="0.35">
      <c r="A3032" s="1416">
        <v>39007</v>
      </c>
      <c r="B3032" s="1415">
        <v>48.68</v>
      </c>
    </row>
    <row r="3033" spans="1:2" x14ac:dyDescent="0.35">
      <c r="A3033" s="1416">
        <v>39008</v>
      </c>
      <c r="B3033" s="1415">
        <v>37.549999999999997</v>
      </c>
    </row>
    <row r="3034" spans="1:2" x14ac:dyDescent="0.35">
      <c r="A3034" s="1416">
        <v>39009</v>
      </c>
      <c r="B3034" s="1415">
        <v>36.799999999999997</v>
      </c>
    </row>
    <row r="3035" spans="1:2" x14ac:dyDescent="0.35">
      <c r="A3035" s="1416">
        <v>39010</v>
      </c>
      <c r="B3035" s="1415">
        <v>36.28</v>
      </c>
    </row>
    <row r="3036" spans="1:2" x14ac:dyDescent="0.35">
      <c r="A3036" s="1416">
        <v>39013</v>
      </c>
      <c r="B3036" s="1415">
        <v>36.36</v>
      </c>
    </row>
    <row r="3037" spans="1:2" x14ac:dyDescent="0.35">
      <c r="A3037" s="1416">
        <v>39014</v>
      </c>
      <c r="B3037" s="1415">
        <v>35.630000000000003</v>
      </c>
    </row>
    <row r="3038" spans="1:2" x14ac:dyDescent="0.35">
      <c r="A3038" s="1416">
        <v>39015</v>
      </c>
      <c r="B3038" s="1415">
        <v>35.65</v>
      </c>
    </row>
    <row r="3039" spans="1:2" x14ac:dyDescent="0.35">
      <c r="A3039" s="1416">
        <v>39016</v>
      </c>
      <c r="B3039" s="1415">
        <v>35.950000000000003</v>
      </c>
    </row>
    <row r="3040" spans="1:2" x14ac:dyDescent="0.35">
      <c r="A3040" s="1416">
        <v>39017</v>
      </c>
      <c r="B3040" s="1415">
        <v>35.76</v>
      </c>
    </row>
    <row r="3041" spans="1:2" x14ac:dyDescent="0.35">
      <c r="A3041" s="1416">
        <v>39020</v>
      </c>
      <c r="B3041" s="1415">
        <v>36.54</v>
      </c>
    </row>
    <row r="3042" spans="1:2" x14ac:dyDescent="0.35">
      <c r="A3042" s="1416">
        <v>39021</v>
      </c>
      <c r="B3042" s="1415">
        <v>36.96</v>
      </c>
    </row>
    <row r="3043" spans="1:2" x14ac:dyDescent="0.35">
      <c r="A3043" s="1416">
        <v>39022</v>
      </c>
      <c r="B3043" s="1415">
        <v>35.9</v>
      </c>
    </row>
    <row r="3044" spans="1:2" x14ac:dyDescent="0.35">
      <c r="A3044" s="1416">
        <v>39023</v>
      </c>
      <c r="B3044" s="1415">
        <v>36</v>
      </c>
    </row>
    <row r="3045" spans="1:2" x14ac:dyDescent="0.35">
      <c r="A3045" s="1416">
        <v>39024</v>
      </c>
      <c r="B3045" s="1415">
        <v>35.020000000000003</v>
      </c>
    </row>
    <row r="3046" spans="1:2" x14ac:dyDescent="0.35">
      <c r="A3046" s="1416">
        <v>39027</v>
      </c>
      <c r="B3046" s="1415">
        <v>35</v>
      </c>
    </row>
    <row r="3047" spans="1:2" x14ac:dyDescent="0.35">
      <c r="A3047" s="1416">
        <v>39028</v>
      </c>
      <c r="B3047" s="1415">
        <v>35.25</v>
      </c>
    </row>
    <row r="3048" spans="1:2" x14ac:dyDescent="0.35">
      <c r="A3048" s="1416">
        <v>39029</v>
      </c>
      <c r="B3048" s="1415">
        <v>35.65</v>
      </c>
    </row>
    <row r="3049" spans="1:2" x14ac:dyDescent="0.35">
      <c r="A3049" s="1416">
        <v>39030</v>
      </c>
      <c r="B3049" s="1415">
        <v>34.57</v>
      </c>
    </row>
    <row r="3050" spans="1:2" x14ac:dyDescent="0.35">
      <c r="A3050" s="1416">
        <v>39031</v>
      </c>
      <c r="B3050" s="1415">
        <v>33.700000000000003</v>
      </c>
    </row>
    <row r="3051" spans="1:2" x14ac:dyDescent="0.35">
      <c r="A3051" s="1416">
        <v>39034</v>
      </c>
      <c r="B3051" s="1415">
        <v>34.049999999999997</v>
      </c>
    </row>
    <row r="3052" spans="1:2" x14ac:dyDescent="0.35">
      <c r="A3052" s="1416">
        <v>39035</v>
      </c>
      <c r="B3052" s="1415">
        <v>33.799999999999997</v>
      </c>
    </row>
    <row r="3053" spans="1:2" x14ac:dyDescent="0.35">
      <c r="A3053" s="1416">
        <v>39036</v>
      </c>
      <c r="B3053" s="1415">
        <v>33.799999999999997</v>
      </c>
    </row>
    <row r="3054" spans="1:2" x14ac:dyDescent="0.35">
      <c r="A3054" s="1416">
        <v>39037</v>
      </c>
      <c r="B3054" s="1415">
        <v>34.880000000000003</v>
      </c>
    </row>
    <row r="3055" spans="1:2" x14ac:dyDescent="0.35">
      <c r="A3055" s="1416">
        <v>39038</v>
      </c>
      <c r="B3055" s="1415">
        <v>35.36</v>
      </c>
    </row>
    <row r="3056" spans="1:2" x14ac:dyDescent="0.35">
      <c r="A3056" s="1416">
        <v>39041</v>
      </c>
      <c r="B3056" s="1415">
        <v>35.229999999999997</v>
      </c>
    </row>
    <row r="3057" spans="1:2" x14ac:dyDescent="0.35">
      <c r="A3057" s="1416">
        <v>39042</v>
      </c>
      <c r="B3057" s="1415">
        <v>35.68</v>
      </c>
    </row>
    <row r="3058" spans="1:2" x14ac:dyDescent="0.35">
      <c r="A3058" s="1416">
        <v>39043</v>
      </c>
      <c r="B3058" s="1415">
        <v>36.5</v>
      </c>
    </row>
    <row r="3059" spans="1:2" x14ac:dyDescent="0.35">
      <c r="A3059" s="1416">
        <v>39045</v>
      </c>
      <c r="B3059" s="1415">
        <v>36.270000000000003</v>
      </c>
    </row>
    <row r="3060" spans="1:2" x14ac:dyDescent="0.35">
      <c r="A3060" s="1416">
        <v>39048</v>
      </c>
      <c r="B3060" s="1415">
        <v>36.25</v>
      </c>
    </row>
    <row r="3061" spans="1:2" x14ac:dyDescent="0.35">
      <c r="A3061" s="1416">
        <v>39049</v>
      </c>
      <c r="B3061" s="1415">
        <v>37.07</v>
      </c>
    </row>
    <row r="3062" spans="1:2" x14ac:dyDescent="0.35">
      <c r="A3062" s="1416">
        <v>39050</v>
      </c>
      <c r="B3062" s="1415">
        <v>37.65</v>
      </c>
    </row>
    <row r="3063" spans="1:2" x14ac:dyDescent="0.35">
      <c r="A3063" s="1416">
        <v>39051</v>
      </c>
      <c r="B3063" s="1415">
        <v>38.79</v>
      </c>
    </row>
    <row r="3064" spans="1:2" x14ac:dyDescent="0.35">
      <c r="A3064" s="1416">
        <v>39052</v>
      </c>
      <c r="B3064" s="1415">
        <v>39.200000000000003</v>
      </c>
    </row>
    <row r="3065" spans="1:2" x14ac:dyDescent="0.35">
      <c r="A3065" s="1416">
        <v>39055</v>
      </c>
      <c r="B3065" s="1415">
        <v>39.770000000000003</v>
      </c>
    </row>
    <row r="3066" spans="1:2" x14ac:dyDescent="0.35">
      <c r="A3066" s="1416">
        <v>39056</v>
      </c>
      <c r="B3066" s="1415">
        <v>39.6</v>
      </c>
    </row>
    <row r="3067" spans="1:2" x14ac:dyDescent="0.35">
      <c r="A3067" s="1416">
        <v>39057</v>
      </c>
      <c r="B3067" s="1415">
        <v>38.85</v>
      </c>
    </row>
    <row r="3068" spans="1:2" x14ac:dyDescent="0.35">
      <c r="A3068" s="1416">
        <v>39058</v>
      </c>
      <c r="B3068" s="1415">
        <v>38.75</v>
      </c>
    </row>
    <row r="3069" spans="1:2" x14ac:dyDescent="0.35">
      <c r="A3069" s="1416">
        <v>39059</v>
      </c>
      <c r="B3069" s="1415">
        <v>38.97</v>
      </c>
    </row>
    <row r="3070" spans="1:2" x14ac:dyDescent="0.35">
      <c r="A3070" s="1416">
        <v>39062</v>
      </c>
      <c r="B3070" s="1415">
        <v>39.32</v>
      </c>
    </row>
    <row r="3071" spans="1:2" x14ac:dyDescent="0.35">
      <c r="A3071" s="1416">
        <v>39063</v>
      </c>
      <c r="B3071" s="1415">
        <v>38.74</v>
      </c>
    </row>
    <row r="3072" spans="1:2" x14ac:dyDescent="0.35">
      <c r="A3072" s="1416">
        <v>39064</v>
      </c>
      <c r="B3072" s="1415">
        <v>39.08</v>
      </c>
    </row>
    <row r="3073" spans="1:2" x14ac:dyDescent="0.35">
      <c r="A3073" s="1416">
        <v>39065</v>
      </c>
      <c r="B3073" s="1415">
        <v>40.04</v>
      </c>
    </row>
    <row r="3074" spans="1:2" x14ac:dyDescent="0.35">
      <c r="A3074" s="1416">
        <v>39066</v>
      </c>
      <c r="B3074" s="1415">
        <v>39.049999999999997</v>
      </c>
    </row>
    <row r="3075" spans="1:2" x14ac:dyDescent="0.35">
      <c r="A3075" s="1416">
        <v>39069</v>
      </c>
      <c r="B3075" s="1415">
        <v>38.6</v>
      </c>
    </row>
    <row r="3076" spans="1:2" x14ac:dyDescent="0.35">
      <c r="A3076" s="1416">
        <v>39070</v>
      </c>
      <c r="B3076" s="1415">
        <v>38.26</v>
      </c>
    </row>
    <row r="3077" spans="1:2" x14ac:dyDescent="0.35">
      <c r="A3077" s="1416">
        <v>39071</v>
      </c>
      <c r="B3077" s="1415">
        <v>38.840000000000003</v>
      </c>
    </row>
    <row r="3078" spans="1:2" x14ac:dyDescent="0.35">
      <c r="A3078" s="1416">
        <v>39072</v>
      </c>
      <c r="B3078" s="1415">
        <v>38.520000000000003</v>
      </c>
    </row>
    <row r="3079" spans="1:2" x14ac:dyDescent="0.35">
      <c r="A3079" s="1416">
        <v>39073</v>
      </c>
      <c r="B3079" s="1415">
        <v>38.47</v>
      </c>
    </row>
    <row r="3080" spans="1:2" x14ac:dyDescent="0.35">
      <c r="A3080" s="1416">
        <v>39077</v>
      </c>
      <c r="B3080" s="1415">
        <v>38.69</v>
      </c>
    </row>
    <row r="3081" spans="1:2" x14ac:dyDescent="0.35">
      <c r="A3081" s="1416">
        <v>39078</v>
      </c>
      <c r="B3081" s="1415">
        <v>38.630000000000003</v>
      </c>
    </row>
    <row r="3082" spans="1:2" x14ac:dyDescent="0.35">
      <c r="A3082" s="1416">
        <v>39079</v>
      </c>
      <c r="B3082" s="1415">
        <v>38.65</v>
      </c>
    </row>
    <row r="3083" spans="1:2" x14ac:dyDescent="0.35">
      <c r="A3083" s="1416">
        <v>39080</v>
      </c>
      <c r="B3083" s="1415">
        <v>38.97</v>
      </c>
    </row>
    <row r="3084" spans="1:2" x14ac:dyDescent="0.35">
      <c r="A3084" s="1416">
        <v>39085</v>
      </c>
      <c r="B3084" s="1415">
        <v>40.630000000000003</v>
      </c>
    </row>
    <row r="3085" spans="1:2" x14ac:dyDescent="0.35">
      <c r="A3085" s="1416">
        <v>39086</v>
      </c>
      <c r="B3085" s="1415">
        <v>41.43</v>
      </c>
    </row>
    <row r="3086" spans="1:2" x14ac:dyDescent="0.35">
      <c r="A3086" s="1416">
        <v>39087</v>
      </c>
      <c r="B3086" s="1415">
        <v>40.76</v>
      </c>
    </row>
    <row r="3087" spans="1:2" x14ac:dyDescent="0.35">
      <c r="A3087" s="1416">
        <v>39090</v>
      </c>
      <c r="B3087" s="1415">
        <v>40.32</v>
      </c>
    </row>
    <row r="3088" spans="1:2" x14ac:dyDescent="0.35">
      <c r="A3088" s="1416">
        <v>39091</v>
      </c>
      <c r="B3088" s="1415">
        <v>40.159999999999997</v>
      </c>
    </row>
    <row r="3089" spans="1:2" x14ac:dyDescent="0.35">
      <c r="A3089" s="1416">
        <v>39092</v>
      </c>
      <c r="B3089" s="1415">
        <v>40.78</v>
      </c>
    </row>
    <row r="3090" spans="1:2" x14ac:dyDescent="0.35">
      <c r="A3090" s="1416">
        <v>39093</v>
      </c>
      <c r="B3090" s="1415">
        <v>40.64</v>
      </c>
    </row>
    <row r="3091" spans="1:2" x14ac:dyDescent="0.35">
      <c r="A3091" s="1416">
        <v>39094</v>
      </c>
      <c r="B3091" s="1415">
        <v>40.89</v>
      </c>
    </row>
    <row r="3092" spans="1:2" x14ac:dyDescent="0.35">
      <c r="A3092" s="1416">
        <v>39098</v>
      </c>
      <c r="B3092" s="1415">
        <v>41.18</v>
      </c>
    </row>
    <row r="3093" spans="1:2" x14ac:dyDescent="0.35">
      <c r="A3093" s="1416">
        <v>39099</v>
      </c>
      <c r="B3093" s="1415">
        <v>41.29</v>
      </c>
    </row>
    <row r="3094" spans="1:2" x14ac:dyDescent="0.35">
      <c r="A3094" s="1416">
        <v>39100</v>
      </c>
      <c r="B3094" s="1415">
        <v>41.28</v>
      </c>
    </row>
    <row r="3095" spans="1:2" x14ac:dyDescent="0.35">
      <c r="A3095" s="1416">
        <v>39101</v>
      </c>
      <c r="B3095" s="1415">
        <v>41.2</v>
      </c>
    </row>
    <row r="3096" spans="1:2" x14ac:dyDescent="0.35">
      <c r="A3096" s="1416">
        <v>39104</v>
      </c>
      <c r="B3096" s="1415">
        <v>42.32</v>
      </c>
    </row>
    <row r="3097" spans="1:2" x14ac:dyDescent="0.35">
      <c r="A3097" s="1416">
        <v>39105</v>
      </c>
      <c r="B3097" s="1415">
        <v>41.72</v>
      </c>
    </row>
    <row r="3098" spans="1:2" x14ac:dyDescent="0.35">
      <c r="A3098" s="1416">
        <v>39106</v>
      </c>
      <c r="B3098" s="1415">
        <v>41.93</v>
      </c>
    </row>
    <row r="3099" spans="1:2" x14ac:dyDescent="0.35">
      <c r="A3099" s="1416">
        <v>39107</v>
      </c>
      <c r="B3099" s="1415">
        <v>41.21</v>
      </c>
    </row>
    <row r="3100" spans="1:2" x14ac:dyDescent="0.35">
      <c r="A3100" s="1416">
        <v>39108</v>
      </c>
      <c r="B3100" s="1415">
        <v>41.05</v>
      </c>
    </row>
    <row r="3101" spans="1:2" x14ac:dyDescent="0.35">
      <c r="A3101" s="1416">
        <v>39111</v>
      </c>
      <c r="B3101" s="1415">
        <v>41.88</v>
      </c>
    </row>
    <row r="3102" spans="1:2" x14ac:dyDescent="0.35">
      <c r="A3102" s="1416">
        <v>39112</v>
      </c>
      <c r="B3102" s="1415">
        <v>42.99</v>
      </c>
    </row>
    <row r="3103" spans="1:2" x14ac:dyDescent="0.35">
      <c r="A3103" s="1416">
        <v>39113</v>
      </c>
      <c r="B3103" s="1415">
        <v>43.4</v>
      </c>
    </row>
    <row r="3104" spans="1:2" x14ac:dyDescent="0.35">
      <c r="A3104" s="1416">
        <v>39114</v>
      </c>
      <c r="B3104" s="1415">
        <v>42.96</v>
      </c>
    </row>
    <row r="3105" spans="1:2" x14ac:dyDescent="0.35">
      <c r="A3105" s="1416">
        <v>39115</v>
      </c>
      <c r="B3105" s="1415">
        <v>42.91</v>
      </c>
    </row>
    <row r="3106" spans="1:2" x14ac:dyDescent="0.35">
      <c r="A3106" s="1416">
        <v>39118</v>
      </c>
      <c r="B3106" s="1415">
        <v>42.77</v>
      </c>
    </row>
    <row r="3107" spans="1:2" x14ac:dyDescent="0.35">
      <c r="A3107" s="1416">
        <v>39119</v>
      </c>
      <c r="B3107" s="1415">
        <v>42.24</v>
      </c>
    </row>
    <row r="3108" spans="1:2" x14ac:dyDescent="0.35">
      <c r="A3108" s="1416">
        <v>39120</v>
      </c>
      <c r="B3108" s="1415">
        <v>46.27</v>
      </c>
    </row>
    <row r="3109" spans="1:2" x14ac:dyDescent="0.35">
      <c r="A3109" s="1416">
        <v>39121</v>
      </c>
      <c r="B3109" s="1415">
        <v>47.47</v>
      </c>
    </row>
    <row r="3110" spans="1:2" x14ac:dyDescent="0.35">
      <c r="A3110" s="1416">
        <v>39122</v>
      </c>
      <c r="B3110" s="1415">
        <v>46.76</v>
      </c>
    </row>
    <row r="3111" spans="1:2" x14ac:dyDescent="0.35">
      <c r="A3111" s="1416">
        <v>39125</v>
      </c>
      <c r="B3111" s="1415">
        <v>46.7</v>
      </c>
    </row>
    <row r="3112" spans="1:2" x14ac:dyDescent="0.35">
      <c r="A3112" s="1416">
        <v>39126</v>
      </c>
      <c r="B3112" s="1415">
        <v>46.27</v>
      </c>
    </row>
    <row r="3113" spans="1:2" x14ac:dyDescent="0.35">
      <c r="A3113" s="1416">
        <v>39127</v>
      </c>
      <c r="B3113" s="1415">
        <v>46.34</v>
      </c>
    </row>
    <row r="3114" spans="1:2" x14ac:dyDescent="0.35">
      <c r="A3114" s="1416">
        <v>39128</v>
      </c>
      <c r="B3114" s="1415">
        <v>46.29</v>
      </c>
    </row>
    <row r="3115" spans="1:2" x14ac:dyDescent="0.35">
      <c r="A3115" s="1416">
        <v>39129</v>
      </c>
      <c r="B3115" s="1415">
        <v>46.47</v>
      </c>
    </row>
    <row r="3116" spans="1:2" x14ac:dyDescent="0.35">
      <c r="A3116" s="1416">
        <v>39133</v>
      </c>
      <c r="B3116" s="1415">
        <v>46.93</v>
      </c>
    </row>
    <row r="3117" spans="1:2" x14ac:dyDescent="0.35">
      <c r="A3117" s="1416">
        <v>39134</v>
      </c>
      <c r="B3117" s="1415">
        <v>46.16</v>
      </c>
    </row>
    <row r="3118" spans="1:2" x14ac:dyDescent="0.35">
      <c r="A3118" s="1416">
        <v>39135</v>
      </c>
      <c r="B3118" s="1415">
        <v>47.2</v>
      </c>
    </row>
    <row r="3119" spans="1:2" x14ac:dyDescent="0.35">
      <c r="A3119" s="1416">
        <v>39136</v>
      </c>
      <c r="B3119" s="1415">
        <v>48.05</v>
      </c>
    </row>
    <row r="3120" spans="1:2" x14ac:dyDescent="0.35">
      <c r="A3120" s="1416">
        <v>39139</v>
      </c>
      <c r="B3120" s="1415">
        <v>48.56</v>
      </c>
    </row>
    <row r="3121" spans="1:2" x14ac:dyDescent="0.35">
      <c r="A3121" s="1416">
        <v>39140</v>
      </c>
      <c r="B3121" s="1415">
        <v>47.64</v>
      </c>
    </row>
    <row r="3122" spans="1:2" x14ac:dyDescent="0.35">
      <c r="A3122" s="1416">
        <v>39141</v>
      </c>
      <c r="B3122" s="1415">
        <v>47.29</v>
      </c>
    </row>
    <row r="3123" spans="1:2" x14ac:dyDescent="0.35">
      <c r="A3123" s="1416">
        <v>39142</v>
      </c>
      <c r="B3123" s="1415">
        <v>47.05</v>
      </c>
    </row>
    <row r="3124" spans="1:2" x14ac:dyDescent="0.35">
      <c r="A3124" s="1416">
        <v>39143</v>
      </c>
      <c r="B3124" s="1415">
        <v>46.25</v>
      </c>
    </row>
    <row r="3125" spans="1:2" x14ac:dyDescent="0.35">
      <c r="A3125" s="1416">
        <v>39146</v>
      </c>
      <c r="B3125" s="1415">
        <v>46.43</v>
      </c>
    </row>
    <row r="3126" spans="1:2" x14ac:dyDescent="0.35">
      <c r="A3126" s="1416">
        <v>39147</v>
      </c>
      <c r="B3126" s="1415">
        <v>47.07</v>
      </c>
    </row>
    <row r="3127" spans="1:2" x14ac:dyDescent="0.35">
      <c r="A3127" s="1416">
        <v>39148</v>
      </c>
      <c r="B3127" s="1415">
        <v>46.55</v>
      </c>
    </row>
    <row r="3128" spans="1:2" x14ac:dyDescent="0.35">
      <c r="A3128" s="1416">
        <v>39149</v>
      </c>
      <c r="B3128" s="1415">
        <v>46.84</v>
      </c>
    </row>
    <row r="3129" spans="1:2" x14ac:dyDescent="0.35">
      <c r="A3129" s="1416">
        <v>39150</v>
      </c>
      <c r="B3129" s="1415">
        <v>46.93</v>
      </c>
    </row>
    <row r="3130" spans="1:2" x14ac:dyDescent="0.35">
      <c r="A3130" s="1416">
        <v>39153</v>
      </c>
      <c r="B3130" s="1415">
        <v>46.24</v>
      </c>
    </row>
    <row r="3131" spans="1:2" x14ac:dyDescent="0.35">
      <c r="A3131" s="1416">
        <v>39154</v>
      </c>
      <c r="B3131" s="1415">
        <v>44.96</v>
      </c>
    </row>
    <row r="3132" spans="1:2" x14ac:dyDescent="0.35">
      <c r="A3132" s="1416">
        <v>39155</v>
      </c>
      <c r="B3132" s="1415">
        <v>45.26</v>
      </c>
    </row>
    <row r="3133" spans="1:2" x14ac:dyDescent="0.35">
      <c r="A3133" s="1416">
        <v>39156</v>
      </c>
      <c r="B3133" s="1415">
        <v>46.03</v>
      </c>
    </row>
    <row r="3134" spans="1:2" x14ac:dyDescent="0.35">
      <c r="A3134" s="1416">
        <v>39157</v>
      </c>
      <c r="B3134" s="1415">
        <v>44.94</v>
      </c>
    </row>
    <row r="3135" spans="1:2" x14ac:dyDescent="0.35">
      <c r="A3135" s="1416">
        <v>39160</v>
      </c>
      <c r="B3135" s="1415">
        <v>45.15</v>
      </c>
    </row>
    <row r="3136" spans="1:2" x14ac:dyDescent="0.35">
      <c r="A3136" s="1416">
        <v>39161</v>
      </c>
      <c r="B3136" s="1415">
        <v>45.55</v>
      </c>
    </row>
    <row r="3137" spans="1:2" x14ac:dyDescent="0.35">
      <c r="A3137" s="1416">
        <v>39162</v>
      </c>
      <c r="B3137" s="1415">
        <v>46</v>
      </c>
    </row>
    <row r="3138" spans="1:2" x14ac:dyDescent="0.35">
      <c r="A3138" s="1416">
        <v>39163</v>
      </c>
      <c r="B3138" s="1415">
        <v>45.79</v>
      </c>
    </row>
    <row r="3139" spans="1:2" x14ac:dyDescent="0.35">
      <c r="A3139" s="1416">
        <v>39164</v>
      </c>
      <c r="B3139" s="1415">
        <v>46.05</v>
      </c>
    </row>
    <row r="3140" spans="1:2" x14ac:dyDescent="0.35">
      <c r="A3140" s="1416">
        <v>39167</v>
      </c>
      <c r="B3140" s="1415">
        <v>45.88</v>
      </c>
    </row>
    <row r="3141" spans="1:2" x14ac:dyDescent="0.35">
      <c r="A3141" s="1416">
        <v>39168</v>
      </c>
      <c r="B3141" s="1415">
        <v>45.21</v>
      </c>
    </row>
    <row r="3142" spans="1:2" x14ac:dyDescent="0.35">
      <c r="A3142" s="1416">
        <v>39169</v>
      </c>
      <c r="B3142" s="1415">
        <v>44.41</v>
      </c>
    </row>
    <row r="3143" spans="1:2" x14ac:dyDescent="0.35">
      <c r="A3143" s="1416">
        <v>39170</v>
      </c>
      <c r="B3143" s="1415">
        <v>44.36</v>
      </c>
    </row>
    <row r="3144" spans="1:2" x14ac:dyDescent="0.35">
      <c r="A3144" s="1416">
        <v>39171</v>
      </c>
      <c r="B3144" s="1415">
        <v>43.9</v>
      </c>
    </row>
    <row r="3145" spans="1:2" x14ac:dyDescent="0.35">
      <c r="A3145" s="1416">
        <v>39174</v>
      </c>
      <c r="B3145" s="1415">
        <v>43.63</v>
      </c>
    </row>
    <row r="3146" spans="1:2" x14ac:dyDescent="0.35">
      <c r="A3146" s="1416">
        <v>39175</v>
      </c>
      <c r="B3146" s="1415">
        <v>44.32</v>
      </c>
    </row>
    <row r="3147" spans="1:2" x14ac:dyDescent="0.35">
      <c r="A3147" s="1416">
        <v>39176</v>
      </c>
      <c r="B3147" s="1415">
        <v>44.13</v>
      </c>
    </row>
    <row r="3148" spans="1:2" x14ac:dyDescent="0.35">
      <c r="A3148" s="1416">
        <v>39177</v>
      </c>
      <c r="B3148" s="1415">
        <v>44.39</v>
      </c>
    </row>
    <row r="3149" spans="1:2" x14ac:dyDescent="0.35">
      <c r="A3149" s="1416">
        <v>39181</v>
      </c>
      <c r="B3149" s="1415">
        <v>43.25</v>
      </c>
    </row>
    <row r="3150" spans="1:2" x14ac:dyDescent="0.35">
      <c r="A3150" s="1416">
        <v>39182</v>
      </c>
      <c r="B3150" s="1415">
        <v>42.92</v>
      </c>
    </row>
    <row r="3151" spans="1:2" x14ac:dyDescent="0.35">
      <c r="A3151" s="1416">
        <v>39183</v>
      </c>
      <c r="B3151" s="1415">
        <v>43.05</v>
      </c>
    </row>
    <row r="3152" spans="1:2" x14ac:dyDescent="0.35">
      <c r="A3152" s="1416">
        <v>39184</v>
      </c>
      <c r="B3152" s="1415">
        <v>43.51</v>
      </c>
    </row>
    <row r="3153" spans="1:2" x14ac:dyDescent="0.35">
      <c r="A3153" s="1416">
        <v>39185</v>
      </c>
      <c r="B3153" s="1415">
        <v>43.82</v>
      </c>
    </row>
    <row r="3154" spans="1:2" x14ac:dyDescent="0.35">
      <c r="A3154" s="1416">
        <v>39188</v>
      </c>
      <c r="B3154" s="1415">
        <v>47.51</v>
      </c>
    </row>
    <row r="3155" spans="1:2" x14ac:dyDescent="0.35">
      <c r="A3155" s="1416">
        <v>39189</v>
      </c>
      <c r="B3155" s="1415">
        <v>46.98</v>
      </c>
    </row>
    <row r="3156" spans="1:2" x14ac:dyDescent="0.35">
      <c r="A3156" s="1416">
        <v>39190</v>
      </c>
      <c r="B3156" s="1415">
        <v>46.65</v>
      </c>
    </row>
    <row r="3157" spans="1:2" x14ac:dyDescent="0.35">
      <c r="A3157" s="1416">
        <v>39191</v>
      </c>
      <c r="B3157" s="1415">
        <v>47.63</v>
      </c>
    </row>
    <row r="3158" spans="1:2" x14ac:dyDescent="0.35">
      <c r="A3158" s="1416">
        <v>39192</v>
      </c>
      <c r="B3158" s="1415">
        <v>48.66</v>
      </c>
    </row>
    <row r="3159" spans="1:2" x14ac:dyDescent="0.35">
      <c r="A3159" s="1416">
        <v>39195</v>
      </c>
      <c r="B3159" s="1415">
        <v>48.7</v>
      </c>
    </row>
    <row r="3160" spans="1:2" x14ac:dyDescent="0.35">
      <c r="A3160" s="1416">
        <v>39196</v>
      </c>
      <c r="B3160" s="1415">
        <v>48.59</v>
      </c>
    </row>
    <row r="3161" spans="1:2" x14ac:dyDescent="0.35">
      <c r="A3161" s="1416">
        <v>39197</v>
      </c>
      <c r="B3161" s="1415">
        <v>48.66</v>
      </c>
    </row>
    <row r="3162" spans="1:2" x14ac:dyDescent="0.35">
      <c r="A3162" s="1416">
        <v>39198</v>
      </c>
      <c r="B3162" s="1415">
        <v>48.78</v>
      </c>
    </row>
    <row r="3163" spans="1:2" x14ac:dyDescent="0.35">
      <c r="A3163" s="1416">
        <v>39199</v>
      </c>
      <c r="B3163" s="1415">
        <v>48.53</v>
      </c>
    </row>
    <row r="3164" spans="1:2" x14ac:dyDescent="0.35">
      <c r="A3164" s="1416">
        <v>39202</v>
      </c>
      <c r="B3164" s="1415">
        <v>47.3</v>
      </c>
    </row>
    <row r="3165" spans="1:2" x14ac:dyDescent="0.35">
      <c r="A3165" s="1416">
        <v>39203</v>
      </c>
      <c r="B3165" s="1415">
        <v>47.6875</v>
      </c>
    </row>
    <row r="3166" spans="1:2" x14ac:dyDescent="0.35">
      <c r="A3166" s="1416">
        <v>39204</v>
      </c>
      <c r="B3166" s="1415">
        <v>47.65</v>
      </c>
    </row>
    <row r="3167" spans="1:2" x14ac:dyDescent="0.35">
      <c r="A3167" s="1416">
        <v>39205</v>
      </c>
      <c r="B3167" s="1415">
        <v>46.9</v>
      </c>
    </row>
    <row r="3168" spans="1:2" x14ac:dyDescent="0.35">
      <c r="A3168" s="1416">
        <v>39206</v>
      </c>
      <c r="B3168" s="1415">
        <v>46.65</v>
      </c>
    </row>
    <row r="3169" spans="1:2" x14ac:dyDescent="0.35">
      <c r="A3169" s="1416">
        <v>39209</v>
      </c>
      <c r="B3169" s="1415">
        <v>46.83</v>
      </c>
    </row>
    <row r="3170" spans="1:2" x14ac:dyDescent="0.35">
      <c r="A3170" s="1416">
        <v>39210</v>
      </c>
      <c r="B3170" s="1415">
        <v>46.84</v>
      </c>
    </row>
    <row r="3171" spans="1:2" x14ac:dyDescent="0.35">
      <c r="A3171" s="1416">
        <v>39211</v>
      </c>
      <c r="B3171" s="1415">
        <v>48.25</v>
      </c>
    </row>
    <row r="3172" spans="1:2" x14ac:dyDescent="0.35">
      <c r="A3172" s="1416">
        <v>39212</v>
      </c>
      <c r="B3172" s="1415">
        <v>47.32</v>
      </c>
    </row>
    <row r="3173" spans="1:2" x14ac:dyDescent="0.35">
      <c r="A3173" s="1416">
        <v>39213</v>
      </c>
      <c r="B3173" s="1415">
        <v>47.41</v>
      </c>
    </row>
    <row r="3174" spans="1:2" x14ac:dyDescent="0.35">
      <c r="A3174" s="1416">
        <v>39216</v>
      </c>
      <c r="B3174" s="1415">
        <v>47.98</v>
      </c>
    </row>
    <row r="3175" spans="1:2" x14ac:dyDescent="0.35">
      <c r="A3175" s="1416">
        <v>39217</v>
      </c>
      <c r="B3175" s="1415">
        <v>48.28</v>
      </c>
    </row>
    <row r="3176" spans="1:2" x14ac:dyDescent="0.35">
      <c r="A3176" s="1416">
        <v>39218</v>
      </c>
      <c r="B3176" s="1415">
        <v>49.19</v>
      </c>
    </row>
    <row r="3177" spans="1:2" x14ac:dyDescent="0.35">
      <c r="A3177" s="1416">
        <v>39219</v>
      </c>
      <c r="B3177" s="1415">
        <v>49.06</v>
      </c>
    </row>
    <row r="3178" spans="1:2" x14ac:dyDescent="0.35">
      <c r="A3178" s="1416">
        <v>39220</v>
      </c>
      <c r="B3178" s="1415">
        <v>49.14</v>
      </c>
    </row>
    <row r="3179" spans="1:2" x14ac:dyDescent="0.35">
      <c r="A3179" s="1416">
        <v>39223</v>
      </c>
      <c r="B3179" s="1415">
        <v>48.99</v>
      </c>
    </row>
    <row r="3180" spans="1:2" x14ac:dyDescent="0.35">
      <c r="A3180" s="1416">
        <v>39224</v>
      </c>
      <c r="B3180" s="1415">
        <v>48.91</v>
      </c>
    </row>
    <row r="3181" spans="1:2" x14ac:dyDescent="0.35">
      <c r="A3181" s="1416">
        <v>39225</v>
      </c>
      <c r="B3181" s="1415">
        <v>49.22</v>
      </c>
    </row>
    <row r="3182" spans="1:2" x14ac:dyDescent="0.35">
      <c r="A3182" s="1416">
        <v>39226</v>
      </c>
      <c r="B3182" s="1415">
        <v>48.84</v>
      </c>
    </row>
    <row r="3183" spans="1:2" x14ac:dyDescent="0.35">
      <c r="A3183" s="1416">
        <v>39227</v>
      </c>
      <c r="B3183" s="1415">
        <v>48.47</v>
      </c>
    </row>
    <row r="3184" spans="1:2" x14ac:dyDescent="0.35">
      <c r="A3184" s="1416">
        <v>39231</v>
      </c>
      <c r="B3184" s="1415">
        <v>48.28</v>
      </c>
    </row>
    <row r="3185" spans="1:2" x14ac:dyDescent="0.35">
      <c r="A3185" s="1416">
        <v>39232</v>
      </c>
      <c r="B3185" s="1415">
        <v>48.2</v>
      </c>
    </row>
    <row r="3186" spans="1:2" x14ac:dyDescent="0.35">
      <c r="A3186" s="1416">
        <v>39233</v>
      </c>
      <c r="B3186" s="1415">
        <v>47.97</v>
      </c>
    </row>
    <row r="3187" spans="1:2" x14ac:dyDescent="0.35">
      <c r="A3187" s="1416">
        <v>39234</v>
      </c>
      <c r="B3187" s="1415">
        <v>48.08</v>
      </c>
    </row>
    <row r="3188" spans="1:2" x14ac:dyDescent="0.35">
      <c r="A3188" s="1416">
        <v>39237</v>
      </c>
      <c r="B3188" s="1415">
        <v>47.44</v>
      </c>
    </row>
    <row r="3189" spans="1:2" x14ac:dyDescent="0.35">
      <c r="A3189" s="1416">
        <v>39238</v>
      </c>
      <c r="B3189" s="1415">
        <v>47.6</v>
      </c>
    </row>
    <row r="3190" spans="1:2" x14ac:dyDescent="0.35">
      <c r="A3190" s="1416">
        <v>39239</v>
      </c>
      <c r="B3190" s="1415">
        <v>47.41</v>
      </c>
    </row>
    <row r="3191" spans="1:2" x14ac:dyDescent="0.35">
      <c r="A3191" s="1416">
        <v>39240</v>
      </c>
      <c r="B3191" s="1415">
        <v>47.23</v>
      </c>
    </row>
    <row r="3192" spans="1:2" x14ac:dyDescent="0.35">
      <c r="A3192" s="1416">
        <v>39241</v>
      </c>
      <c r="B3192" s="1415">
        <v>48.13</v>
      </c>
    </row>
    <row r="3193" spans="1:2" x14ac:dyDescent="0.35">
      <c r="A3193" s="1416">
        <v>39244</v>
      </c>
      <c r="B3193" s="1415">
        <v>48.68</v>
      </c>
    </row>
    <row r="3194" spans="1:2" x14ac:dyDescent="0.35">
      <c r="A3194" s="1416">
        <v>39245</v>
      </c>
      <c r="B3194" s="1415">
        <v>47.47</v>
      </c>
    </row>
    <row r="3195" spans="1:2" x14ac:dyDescent="0.35">
      <c r="A3195" s="1416">
        <v>39246</v>
      </c>
      <c r="B3195" s="1415">
        <v>48.48</v>
      </c>
    </row>
    <row r="3196" spans="1:2" x14ac:dyDescent="0.35">
      <c r="A3196" s="1416">
        <v>39247</v>
      </c>
      <c r="B3196" s="1415">
        <v>48.93</v>
      </c>
    </row>
    <row r="3197" spans="1:2" x14ac:dyDescent="0.35">
      <c r="A3197" s="1416">
        <v>39248</v>
      </c>
      <c r="B3197" s="1415">
        <v>49.1</v>
      </c>
    </row>
    <row r="3198" spans="1:2" x14ac:dyDescent="0.35">
      <c r="A3198" s="1416">
        <v>39251</v>
      </c>
      <c r="B3198" s="1415">
        <v>48.37</v>
      </c>
    </row>
    <row r="3199" spans="1:2" x14ac:dyDescent="0.35">
      <c r="A3199" s="1416">
        <v>39252</v>
      </c>
      <c r="B3199" s="1415">
        <v>48.03</v>
      </c>
    </row>
    <row r="3200" spans="1:2" x14ac:dyDescent="0.35">
      <c r="A3200" s="1416">
        <v>39253</v>
      </c>
      <c r="B3200" s="1415">
        <v>48.13</v>
      </c>
    </row>
    <row r="3201" spans="1:2" x14ac:dyDescent="0.35">
      <c r="A3201" s="1416">
        <v>39254</v>
      </c>
      <c r="B3201" s="1415">
        <v>49.54</v>
      </c>
    </row>
    <row r="3202" spans="1:2" x14ac:dyDescent="0.35">
      <c r="A3202" s="1416">
        <v>39255</v>
      </c>
      <c r="B3202" s="1415">
        <v>49.03</v>
      </c>
    </row>
    <row r="3203" spans="1:2" x14ac:dyDescent="0.35">
      <c r="A3203" s="1416">
        <v>39258</v>
      </c>
      <c r="B3203" s="1415">
        <v>49.975000000000001</v>
      </c>
    </row>
    <row r="3204" spans="1:2" x14ac:dyDescent="0.35">
      <c r="A3204" s="1416">
        <v>39259</v>
      </c>
      <c r="B3204" s="1415">
        <v>51.46</v>
      </c>
    </row>
    <row r="3205" spans="1:2" x14ac:dyDescent="0.35">
      <c r="A3205" s="1416">
        <v>39260</v>
      </c>
      <c r="B3205" s="1415">
        <v>50.47</v>
      </c>
    </row>
    <row r="3206" spans="1:2" x14ac:dyDescent="0.35">
      <c r="A3206" s="1416">
        <v>39261</v>
      </c>
      <c r="B3206" s="1415">
        <v>50.78</v>
      </c>
    </row>
    <row r="3207" spans="1:2" x14ac:dyDescent="0.35">
      <c r="A3207" s="1416">
        <v>39262</v>
      </c>
      <c r="B3207" s="1415">
        <v>58.43</v>
      </c>
    </row>
    <row r="3208" spans="1:2" x14ac:dyDescent="0.35">
      <c r="A3208" s="1416">
        <v>39265</v>
      </c>
      <c r="B3208" s="1415">
        <v>58.1</v>
      </c>
    </row>
    <row r="3209" spans="1:2" x14ac:dyDescent="0.35">
      <c r="A3209" s="1416">
        <v>39266</v>
      </c>
      <c r="B3209" s="1415">
        <v>58.03</v>
      </c>
    </row>
    <row r="3210" spans="1:2" x14ac:dyDescent="0.35">
      <c r="A3210" s="1416">
        <v>39268</v>
      </c>
      <c r="B3210" s="1415">
        <v>58.5</v>
      </c>
    </row>
    <row r="3211" spans="1:2" x14ac:dyDescent="0.35">
      <c r="A3211" s="1416">
        <v>39269</v>
      </c>
      <c r="B3211" s="1415">
        <v>60.6</v>
      </c>
    </row>
    <row r="3212" spans="1:2" x14ac:dyDescent="0.35">
      <c r="A3212" s="1416">
        <v>39272</v>
      </c>
      <c r="B3212" s="1415">
        <v>60.82</v>
      </c>
    </row>
    <row r="3213" spans="1:2" x14ac:dyDescent="0.35">
      <c r="A3213" s="1416">
        <v>39273</v>
      </c>
      <c r="B3213" s="1415">
        <v>60.82</v>
      </c>
    </row>
    <row r="3214" spans="1:2" x14ac:dyDescent="0.35">
      <c r="A3214" s="1416">
        <v>39274</v>
      </c>
      <c r="B3214" s="1415">
        <v>61.32</v>
      </c>
    </row>
    <row r="3215" spans="1:2" x14ac:dyDescent="0.35">
      <c r="A3215" s="1416">
        <v>39275</v>
      </c>
      <c r="B3215" s="1415">
        <v>62.67</v>
      </c>
    </row>
    <row r="3216" spans="1:2" x14ac:dyDescent="0.35">
      <c r="A3216" s="1416">
        <v>39276</v>
      </c>
      <c r="B3216" s="1415">
        <v>62.78</v>
      </c>
    </row>
    <row r="3217" spans="1:2" x14ac:dyDescent="0.35">
      <c r="A3217" s="1416">
        <v>39279</v>
      </c>
      <c r="B3217" s="1415">
        <v>62.5</v>
      </c>
    </row>
    <row r="3218" spans="1:2" x14ac:dyDescent="0.35">
      <c r="A3218" s="1416">
        <v>39280</v>
      </c>
      <c r="B3218" s="1415">
        <v>62.42</v>
      </c>
    </row>
    <row r="3219" spans="1:2" x14ac:dyDescent="0.35">
      <c r="A3219" s="1416">
        <v>39281</v>
      </c>
      <c r="B3219" s="1415">
        <v>63</v>
      </c>
    </row>
    <row r="3220" spans="1:2" x14ac:dyDescent="0.35">
      <c r="A3220" s="1416">
        <v>39282</v>
      </c>
      <c r="B3220" s="1415">
        <v>62.82</v>
      </c>
    </row>
    <row r="3221" spans="1:2" x14ac:dyDescent="0.35">
      <c r="A3221" s="1416">
        <v>39283</v>
      </c>
      <c r="B3221" s="1415">
        <v>63.58</v>
      </c>
    </row>
    <row r="3222" spans="1:2" x14ac:dyDescent="0.35">
      <c r="A3222" s="1416">
        <v>39286</v>
      </c>
      <c r="B3222" s="1415">
        <v>64.010000000000005</v>
      </c>
    </row>
    <row r="3223" spans="1:2" x14ac:dyDescent="0.35">
      <c r="A3223" s="1416">
        <v>39287</v>
      </c>
      <c r="B3223" s="1415">
        <v>63.63</v>
      </c>
    </row>
    <row r="3224" spans="1:2" x14ac:dyDescent="0.35">
      <c r="A3224" s="1416">
        <v>39288</v>
      </c>
      <c r="B3224" s="1415">
        <v>63.21</v>
      </c>
    </row>
    <row r="3225" spans="1:2" x14ac:dyDescent="0.35">
      <c r="A3225" s="1416">
        <v>39289</v>
      </c>
      <c r="B3225" s="1415">
        <v>63.37</v>
      </c>
    </row>
    <row r="3226" spans="1:2" x14ac:dyDescent="0.35">
      <c r="A3226" s="1416">
        <v>39290</v>
      </c>
      <c r="B3226" s="1415">
        <v>60.75</v>
      </c>
    </row>
    <row r="3227" spans="1:2" x14ac:dyDescent="0.35">
      <c r="A3227" s="1416">
        <v>39293</v>
      </c>
      <c r="B3227" s="1415">
        <v>60.97</v>
      </c>
    </row>
    <row r="3228" spans="1:2" x14ac:dyDescent="0.35">
      <c r="A3228" s="1416">
        <v>39294</v>
      </c>
      <c r="B3228" s="1415">
        <v>59.11</v>
      </c>
    </row>
    <row r="3229" spans="1:2" x14ac:dyDescent="0.35">
      <c r="A3229" s="1416">
        <v>39295</v>
      </c>
      <c r="B3229" s="1415">
        <v>58.23</v>
      </c>
    </row>
    <row r="3230" spans="1:2" x14ac:dyDescent="0.35">
      <c r="A3230" s="1416">
        <v>39296</v>
      </c>
      <c r="B3230" s="1415">
        <v>59.01</v>
      </c>
    </row>
    <row r="3231" spans="1:2" x14ac:dyDescent="0.35">
      <c r="A3231" s="1416">
        <v>39297</v>
      </c>
      <c r="B3231" s="1415">
        <v>58.5</v>
      </c>
    </row>
    <row r="3232" spans="1:2" x14ac:dyDescent="0.35">
      <c r="A3232" s="1416">
        <v>39300</v>
      </c>
      <c r="B3232" s="1415">
        <v>61.12</v>
      </c>
    </row>
    <row r="3233" spans="1:2" x14ac:dyDescent="0.35">
      <c r="A3233" s="1416">
        <v>39301</v>
      </c>
      <c r="B3233" s="1415">
        <v>62.88</v>
      </c>
    </row>
    <row r="3234" spans="1:2" x14ac:dyDescent="0.35">
      <c r="A3234" s="1416">
        <v>39302</v>
      </c>
      <c r="B3234" s="1415">
        <v>60.81</v>
      </c>
    </row>
    <row r="3235" spans="1:2" x14ac:dyDescent="0.35">
      <c r="A3235" s="1416">
        <v>39303</v>
      </c>
      <c r="B3235" s="1415">
        <v>58.25</v>
      </c>
    </row>
    <row r="3236" spans="1:2" x14ac:dyDescent="0.35">
      <c r="A3236" s="1416">
        <v>39304</v>
      </c>
      <c r="B3236" s="1415">
        <v>57.43</v>
      </c>
    </row>
    <row r="3237" spans="1:2" x14ac:dyDescent="0.35">
      <c r="A3237" s="1416">
        <v>39307</v>
      </c>
      <c r="B3237" s="1415">
        <v>57.96</v>
      </c>
    </row>
    <row r="3238" spans="1:2" x14ac:dyDescent="0.35">
      <c r="A3238" s="1416">
        <v>39308</v>
      </c>
      <c r="B3238" s="1415">
        <v>57.42</v>
      </c>
    </row>
    <row r="3239" spans="1:2" x14ac:dyDescent="0.35">
      <c r="A3239" s="1416">
        <v>39309</v>
      </c>
      <c r="B3239" s="1415">
        <v>56.35</v>
      </c>
    </row>
    <row r="3240" spans="1:2" x14ac:dyDescent="0.35">
      <c r="A3240" s="1416">
        <v>39310</v>
      </c>
      <c r="B3240" s="1415">
        <v>55.39</v>
      </c>
    </row>
    <row r="3241" spans="1:2" x14ac:dyDescent="0.35">
      <c r="A3241" s="1416">
        <v>39311</v>
      </c>
      <c r="B3241" s="1415">
        <v>55.78</v>
      </c>
    </row>
    <row r="3242" spans="1:2" x14ac:dyDescent="0.35">
      <c r="A3242" s="1416">
        <v>39314</v>
      </c>
      <c r="B3242" s="1415">
        <v>55.26</v>
      </c>
    </row>
    <row r="3243" spans="1:2" x14ac:dyDescent="0.35">
      <c r="A3243" s="1416">
        <v>39315</v>
      </c>
      <c r="B3243" s="1415">
        <v>55.65</v>
      </c>
    </row>
    <row r="3244" spans="1:2" x14ac:dyDescent="0.35">
      <c r="A3244" s="1416">
        <v>39316</v>
      </c>
      <c r="B3244" s="1415">
        <v>57.73</v>
      </c>
    </row>
    <row r="3245" spans="1:2" x14ac:dyDescent="0.35">
      <c r="A3245" s="1416">
        <v>39317</v>
      </c>
      <c r="B3245" s="1415">
        <v>57.75</v>
      </c>
    </row>
    <row r="3246" spans="1:2" x14ac:dyDescent="0.35">
      <c r="A3246" s="1416">
        <v>39318</v>
      </c>
      <c r="B3246" s="1415">
        <v>59.02</v>
      </c>
    </row>
    <row r="3247" spans="1:2" x14ac:dyDescent="0.35">
      <c r="A3247" s="1416">
        <v>39321</v>
      </c>
      <c r="B3247" s="1415">
        <v>58.28</v>
      </c>
    </row>
    <row r="3248" spans="1:2" x14ac:dyDescent="0.35">
      <c r="A3248" s="1416">
        <v>39322</v>
      </c>
      <c r="B3248" s="1415">
        <v>57.33</v>
      </c>
    </row>
    <row r="3249" spans="1:2" x14ac:dyDescent="0.35">
      <c r="A3249" s="1416">
        <v>39323</v>
      </c>
      <c r="B3249" s="1415">
        <v>58.87</v>
      </c>
    </row>
    <row r="3250" spans="1:2" x14ac:dyDescent="0.35">
      <c r="A3250" s="1416">
        <v>39324</v>
      </c>
      <c r="B3250" s="1415">
        <v>58.51</v>
      </c>
    </row>
    <row r="3251" spans="1:2" x14ac:dyDescent="0.35">
      <c r="A3251" s="1416">
        <v>39325</v>
      </c>
      <c r="B3251" s="1415">
        <v>58.67</v>
      </c>
    </row>
    <row r="3252" spans="1:2" x14ac:dyDescent="0.35">
      <c r="A3252" s="1416">
        <v>39329</v>
      </c>
      <c r="B3252" s="1415">
        <v>59</v>
      </c>
    </row>
    <row r="3253" spans="1:2" x14ac:dyDescent="0.35">
      <c r="A3253" s="1416">
        <v>39330</v>
      </c>
      <c r="B3253" s="1415">
        <v>58.92</v>
      </c>
    </row>
    <row r="3254" spans="1:2" x14ac:dyDescent="0.35">
      <c r="A3254" s="1416">
        <v>39331</v>
      </c>
      <c r="B3254" s="1415">
        <v>58.81</v>
      </c>
    </row>
    <row r="3255" spans="1:2" x14ac:dyDescent="0.35">
      <c r="A3255" s="1416">
        <v>39332</v>
      </c>
      <c r="B3255" s="1415">
        <v>58.88</v>
      </c>
    </row>
    <row r="3256" spans="1:2" x14ac:dyDescent="0.35">
      <c r="A3256" s="1416">
        <v>39335</v>
      </c>
      <c r="B3256" s="1415">
        <v>59.56</v>
      </c>
    </row>
    <row r="3257" spans="1:2" x14ac:dyDescent="0.35">
      <c r="A3257" s="1416">
        <v>39336</v>
      </c>
      <c r="B3257" s="1415">
        <v>59.1</v>
      </c>
    </row>
    <row r="3258" spans="1:2" x14ac:dyDescent="0.35">
      <c r="A3258" s="1416">
        <v>39337</v>
      </c>
      <c r="B3258" s="1415">
        <v>57.07</v>
      </c>
    </row>
    <row r="3259" spans="1:2" x14ac:dyDescent="0.35">
      <c r="A3259" s="1416">
        <v>39338</v>
      </c>
      <c r="B3259" s="1415">
        <v>55.87</v>
      </c>
    </row>
    <row r="3260" spans="1:2" x14ac:dyDescent="0.35">
      <c r="A3260" s="1416">
        <v>39339</v>
      </c>
      <c r="B3260" s="1415">
        <v>55.1</v>
      </c>
    </row>
    <row r="3261" spans="1:2" x14ac:dyDescent="0.35">
      <c r="A3261" s="1416">
        <v>39342</v>
      </c>
      <c r="B3261" s="1415">
        <v>53.82</v>
      </c>
    </row>
    <row r="3262" spans="1:2" x14ac:dyDescent="0.35">
      <c r="A3262" s="1416">
        <v>39343</v>
      </c>
      <c r="B3262" s="1415">
        <v>56.86</v>
      </c>
    </row>
    <row r="3263" spans="1:2" x14ac:dyDescent="0.35">
      <c r="A3263" s="1416">
        <v>39344</v>
      </c>
      <c r="B3263" s="1415">
        <v>57.54</v>
      </c>
    </row>
    <row r="3264" spans="1:2" x14ac:dyDescent="0.35">
      <c r="A3264" s="1416">
        <v>39345</v>
      </c>
      <c r="B3264" s="1415">
        <v>57.11</v>
      </c>
    </row>
    <row r="3265" spans="1:2" x14ac:dyDescent="0.35">
      <c r="A3265" s="1416">
        <v>39346</v>
      </c>
      <c r="B3265" s="1415">
        <v>58.72</v>
      </c>
    </row>
    <row r="3266" spans="1:2" x14ac:dyDescent="0.35">
      <c r="A3266" s="1416">
        <v>39349</v>
      </c>
      <c r="B3266" s="1415">
        <v>58.92</v>
      </c>
    </row>
    <row r="3267" spans="1:2" x14ac:dyDescent="0.35">
      <c r="A3267" s="1416">
        <v>39350</v>
      </c>
      <c r="B3267" s="1415">
        <v>60.38</v>
      </c>
    </row>
    <row r="3268" spans="1:2" x14ac:dyDescent="0.35">
      <c r="A3268" s="1416">
        <v>39351</v>
      </c>
      <c r="B3268" s="1415">
        <v>60.93</v>
      </c>
    </row>
    <row r="3269" spans="1:2" x14ac:dyDescent="0.35">
      <c r="A3269" s="1416">
        <v>39352</v>
      </c>
      <c r="B3269" s="1415">
        <v>60.81</v>
      </c>
    </row>
    <row r="3270" spans="1:2" x14ac:dyDescent="0.35">
      <c r="A3270" s="1416">
        <v>39353</v>
      </c>
      <c r="B3270" s="1415">
        <v>60.15</v>
      </c>
    </row>
    <row r="3271" spans="1:2" x14ac:dyDescent="0.35">
      <c r="A3271" s="1416">
        <v>39356</v>
      </c>
      <c r="B3271" s="1415">
        <v>60.84</v>
      </c>
    </row>
    <row r="3272" spans="1:2" x14ac:dyDescent="0.35">
      <c r="A3272" s="1416">
        <v>39357</v>
      </c>
      <c r="B3272" s="1415">
        <v>61.34</v>
      </c>
    </row>
    <row r="3273" spans="1:2" x14ac:dyDescent="0.35">
      <c r="A3273" s="1416">
        <v>39358</v>
      </c>
      <c r="B3273" s="1415">
        <v>60.73</v>
      </c>
    </row>
    <row r="3274" spans="1:2" x14ac:dyDescent="0.35">
      <c r="A3274" s="1416">
        <v>39359</v>
      </c>
      <c r="B3274" s="1415">
        <v>62.16</v>
      </c>
    </row>
    <row r="3275" spans="1:2" x14ac:dyDescent="0.35">
      <c r="A3275" s="1416">
        <v>39360</v>
      </c>
      <c r="B3275" s="1415">
        <v>63.67</v>
      </c>
    </row>
    <row r="3276" spans="1:2" x14ac:dyDescent="0.35">
      <c r="A3276" s="1416">
        <v>39363</v>
      </c>
      <c r="B3276" s="1415">
        <v>62.32</v>
      </c>
    </row>
    <row r="3277" spans="1:2" x14ac:dyDescent="0.35">
      <c r="A3277" s="1416">
        <v>39364</v>
      </c>
      <c r="B3277" s="1415">
        <v>63.25</v>
      </c>
    </row>
    <row r="3278" spans="1:2" x14ac:dyDescent="0.35">
      <c r="A3278" s="1416">
        <v>39365</v>
      </c>
      <c r="B3278" s="1415">
        <v>63.42</v>
      </c>
    </row>
    <row r="3279" spans="1:2" x14ac:dyDescent="0.35">
      <c r="A3279" s="1416">
        <v>39366</v>
      </c>
      <c r="B3279" s="1415">
        <v>64.38</v>
      </c>
    </row>
    <row r="3280" spans="1:2" x14ac:dyDescent="0.35">
      <c r="A3280" s="1416">
        <v>39367</v>
      </c>
      <c r="B3280" s="1415">
        <v>66.13</v>
      </c>
    </row>
    <row r="3281" spans="1:2" x14ac:dyDescent="0.35">
      <c r="A3281" s="1416">
        <v>39370</v>
      </c>
      <c r="B3281" s="1415">
        <v>65.7</v>
      </c>
    </row>
    <row r="3282" spans="1:2" x14ac:dyDescent="0.35">
      <c r="A3282" s="1416">
        <v>39371</v>
      </c>
      <c r="B3282" s="1415">
        <v>66.790000000000006</v>
      </c>
    </row>
    <row r="3283" spans="1:2" x14ac:dyDescent="0.35">
      <c r="A3283" s="1416">
        <v>39372</v>
      </c>
      <c r="B3283" s="1415">
        <v>65.48</v>
      </c>
    </row>
    <row r="3284" spans="1:2" x14ac:dyDescent="0.35">
      <c r="A3284" s="1416">
        <v>39373</v>
      </c>
      <c r="B3284" s="1415">
        <v>67.930000000000007</v>
      </c>
    </row>
    <row r="3285" spans="1:2" x14ac:dyDescent="0.35">
      <c r="A3285" s="1416">
        <v>39374</v>
      </c>
      <c r="B3285" s="1415">
        <v>65.2</v>
      </c>
    </row>
    <row r="3286" spans="1:2" x14ac:dyDescent="0.35">
      <c r="A3286" s="1416">
        <v>39377</v>
      </c>
      <c r="B3286" s="1415">
        <v>65.930000000000007</v>
      </c>
    </row>
    <row r="3287" spans="1:2" x14ac:dyDescent="0.35">
      <c r="A3287" s="1416">
        <v>39378</v>
      </c>
      <c r="B3287" s="1415">
        <v>72.45</v>
      </c>
    </row>
    <row r="3288" spans="1:2" x14ac:dyDescent="0.35">
      <c r="A3288" s="1416">
        <v>39379</v>
      </c>
      <c r="B3288" s="1415">
        <v>74</v>
      </c>
    </row>
    <row r="3289" spans="1:2" x14ac:dyDescent="0.35">
      <c r="A3289" s="1416">
        <v>39380</v>
      </c>
      <c r="B3289" s="1415">
        <v>76.38</v>
      </c>
    </row>
    <row r="3290" spans="1:2" x14ac:dyDescent="0.35">
      <c r="A3290" s="1416">
        <v>39381</v>
      </c>
      <c r="B3290" s="1415">
        <v>75.22</v>
      </c>
    </row>
    <row r="3291" spans="1:2" x14ac:dyDescent="0.35">
      <c r="A3291" s="1416">
        <v>39384</v>
      </c>
      <c r="B3291" s="1415">
        <v>74.650000000000006</v>
      </c>
    </row>
    <row r="3292" spans="1:2" x14ac:dyDescent="0.35">
      <c r="A3292" s="1416">
        <v>39385</v>
      </c>
      <c r="B3292" s="1415">
        <v>75.53</v>
      </c>
    </row>
    <row r="3293" spans="1:2" x14ac:dyDescent="0.35">
      <c r="A3293" s="1416">
        <v>39386</v>
      </c>
      <c r="B3293" s="1415">
        <v>79.260000000000005</v>
      </c>
    </row>
    <row r="3294" spans="1:2" x14ac:dyDescent="0.35">
      <c r="A3294" s="1416">
        <v>39387</v>
      </c>
      <c r="B3294" s="1415">
        <v>79.03</v>
      </c>
    </row>
    <row r="3295" spans="1:2" x14ac:dyDescent="0.35">
      <c r="A3295" s="1416">
        <v>39388</v>
      </c>
      <c r="B3295" s="1415">
        <v>80.25</v>
      </c>
    </row>
    <row r="3296" spans="1:2" x14ac:dyDescent="0.35">
      <c r="A3296" s="1416">
        <v>39391</v>
      </c>
      <c r="B3296" s="1415">
        <v>78</v>
      </c>
    </row>
    <row r="3297" spans="1:2" x14ac:dyDescent="0.35">
      <c r="A3297" s="1416">
        <v>39392</v>
      </c>
      <c r="B3297" s="1415">
        <v>80.38</v>
      </c>
    </row>
    <row r="3298" spans="1:2" x14ac:dyDescent="0.35">
      <c r="A3298" s="1416">
        <v>39393</v>
      </c>
      <c r="B3298" s="1415">
        <v>77.959999999999994</v>
      </c>
    </row>
    <row r="3299" spans="1:2" x14ac:dyDescent="0.35">
      <c r="A3299" s="1416">
        <v>39394</v>
      </c>
      <c r="B3299" s="1415">
        <v>80.33</v>
      </c>
    </row>
    <row r="3300" spans="1:2" x14ac:dyDescent="0.35">
      <c r="A3300" s="1416">
        <v>39395</v>
      </c>
      <c r="B3300" s="1415">
        <v>77.02</v>
      </c>
    </row>
    <row r="3301" spans="1:2" x14ac:dyDescent="0.35">
      <c r="A3301" s="1416">
        <v>39398</v>
      </c>
      <c r="B3301" s="1415">
        <v>71.23</v>
      </c>
    </row>
    <row r="3302" spans="1:2" x14ac:dyDescent="0.35">
      <c r="A3302" s="1416">
        <v>39399</v>
      </c>
      <c r="B3302" s="1415">
        <v>72.64</v>
      </c>
    </row>
    <row r="3303" spans="1:2" x14ac:dyDescent="0.35">
      <c r="A3303" s="1416">
        <v>39400</v>
      </c>
      <c r="B3303" s="1415">
        <v>72.459999999999994</v>
      </c>
    </row>
    <row r="3304" spans="1:2" x14ac:dyDescent="0.35">
      <c r="A3304" s="1416">
        <v>39401</v>
      </c>
      <c r="B3304" s="1415">
        <v>73.42</v>
      </c>
    </row>
    <row r="3305" spans="1:2" x14ac:dyDescent="0.35">
      <c r="A3305" s="1416">
        <v>39402</v>
      </c>
      <c r="B3305" s="1415">
        <v>76.58</v>
      </c>
    </row>
    <row r="3306" spans="1:2" x14ac:dyDescent="0.35">
      <c r="A3306" s="1416">
        <v>39405</v>
      </c>
      <c r="B3306" s="1415">
        <v>73.39</v>
      </c>
    </row>
    <row r="3307" spans="1:2" x14ac:dyDescent="0.35">
      <c r="A3307" s="1416">
        <v>39406</v>
      </c>
      <c r="B3307" s="1415">
        <v>72.39</v>
      </c>
    </row>
    <row r="3308" spans="1:2" x14ac:dyDescent="0.35">
      <c r="A3308" s="1416">
        <v>39407</v>
      </c>
      <c r="B3308" s="1415">
        <v>71.02</v>
      </c>
    </row>
    <row r="3309" spans="1:2" x14ac:dyDescent="0.35">
      <c r="A3309" s="1416">
        <v>39409</v>
      </c>
      <c r="B3309" s="1415">
        <v>71.099999999999994</v>
      </c>
    </row>
    <row r="3310" spans="1:2" x14ac:dyDescent="0.35">
      <c r="A3310" s="1416">
        <v>39412</v>
      </c>
      <c r="B3310" s="1415">
        <v>70.02</v>
      </c>
    </row>
    <row r="3311" spans="1:2" x14ac:dyDescent="0.35">
      <c r="A3311" s="1416">
        <v>39413</v>
      </c>
      <c r="B3311" s="1415">
        <v>75.55</v>
      </c>
    </row>
    <row r="3312" spans="1:2" x14ac:dyDescent="0.35">
      <c r="A3312" s="1416">
        <v>39414</v>
      </c>
      <c r="B3312" s="1415">
        <v>77.05</v>
      </c>
    </row>
    <row r="3313" spans="1:2" x14ac:dyDescent="0.35">
      <c r="A3313" s="1416">
        <v>39415</v>
      </c>
      <c r="B3313" s="1415">
        <v>76.760000000000005</v>
      </c>
    </row>
    <row r="3314" spans="1:2" x14ac:dyDescent="0.35">
      <c r="A3314" s="1416">
        <v>39416</v>
      </c>
      <c r="B3314" s="1415">
        <v>76.52</v>
      </c>
    </row>
    <row r="3315" spans="1:2" x14ac:dyDescent="0.35">
      <c r="A3315" s="1416">
        <v>39419</v>
      </c>
      <c r="B3315" s="1415">
        <v>75.739999999999995</v>
      </c>
    </row>
    <row r="3316" spans="1:2" x14ac:dyDescent="0.35">
      <c r="A3316" s="1416">
        <v>39420</v>
      </c>
      <c r="B3316" s="1415">
        <v>74.739999999999995</v>
      </c>
    </row>
    <row r="3317" spans="1:2" x14ac:dyDescent="0.35">
      <c r="A3317" s="1416">
        <v>39421</v>
      </c>
      <c r="B3317" s="1415">
        <v>77.27</v>
      </c>
    </row>
    <row r="3318" spans="1:2" x14ac:dyDescent="0.35">
      <c r="A3318" s="1416">
        <v>39422</v>
      </c>
      <c r="B3318" s="1415">
        <v>78.489999999999995</v>
      </c>
    </row>
    <row r="3319" spans="1:2" x14ac:dyDescent="0.35">
      <c r="A3319" s="1416">
        <v>39423</v>
      </c>
      <c r="B3319" s="1415">
        <v>76.650000000000006</v>
      </c>
    </row>
    <row r="3320" spans="1:2" x14ac:dyDescent="0.35">
      <c r="A3320" s="1416">
        <v>39426</v>
      </c>
      <c r="B3320" s="1415">
        <v>75.55</v>
      </c>
    </row>
    <row r="3321" spans="1:2" x14ac:dyDescent="0.35">
      <c r="A3321" s="1416">
        <v>39427</v>
      </c>
      <c r="B3321" s="1415">
        <v>72.92</v>
      </c>
    </row>
    <row r="3322" spans="1:2" x14ac:dyDescent="0.35">
      <c r="A3322" s="1416">
        <v>39428</v>
      </c>
      <c r="B3322" s="1415">
        <v>75.150000000000006</v>
      </c>
    </row>
    <row r="3323" spans="1:2" x14ac:dyDescent="0.35">
      <c r="A3323" s="1416">
        <v>39429</v>
      </c>
      <c r="B3323" s="1415">
        <v>76.319999999999993</v>
      </c>
    </row>
    <row r="3324" spans="1:2" x14ac:dyDescent="0.35">
      <c r="A3324" s="1416">
        <v>39430</v>
      </c>
      <c r="B3324" s="1415">
        <v>75.290000000000006</v>
      </c>
    </row>
    <row r="3325" spans="1:2" x14ac:dyDescent="0.35">
      <c r="A3325" s="1416">
        <v>39433</v>
      </c>
      <c r="B3325" s="1415">
        <v>74.37</v>
      </c>
    </row>
    <row r="3326" spans="1:2" x14ac:dyDescent="0.35">
      <c r="A3326" s="1416">
        <v>39434</v>
      </c>
      <c r="B3326" s="1415">
        <v>73.33</v>
      </c>
    </row>
    <row r="3327" spans="1:2" x14ac:dyDescent="0.35">
      <c r="A3327" s="1416">
        <v>39435</v>
      </c>
      <c r="B3327" s="1415">
        <v>71.989999999999995</v>
      </c>
    </row>
    <row r="3328" spans="1:2" x14ac:dyDescent="0.35">
      <c r="A3328" s="1416">
        <v>39436</v>
      </c>
      <c r="B3328" s="1415">
        <v>70.36</v>
      </c>
    </row>
    <row r="3329" spans="1:2" x14ac:dyDescent="0.35">
      <c r="A3329" s="1416">
        <v>39437</v>
      </c>
      <c r="B3329" s="1415">
        <v>73.650000000000006</v>
      </c>
    </row>
    <row r="3330" spans="1:2" x14ac:dyDescent="0.35">
      <c r="A3330" s="1416">
        <v>39440</v>
      </c>
      <c r="B3330" s="1415">
        <v>72.25</v>
      </c>
    </row>
    <row r="3331" spans="1:2" x14ac:dyDescent="0.35">
      <c r="A3331" s="1416">
        <v>39442</v>
      </c>
      <c r="B3331" s="1415">
        <v>72.53</v>
      </c>
    </row>
    <row r="3332" spans="1:2" x14ac:dyDescent="0.35">
      <c r="A3332" s="1416">
        <v>39443</v>
      </c>
      <c r="B3332" s="1415">
        <v>71.040000000000006</v>
      </c>
    </row>
    <row r="3333" spans="1:2" x14ac:dyDescent="0.35">
      <c r="A3333" s="1416">
        <v>39444</v>
      </c>
      <c r="B3333" s="1415">
        <v>70.31</v>
      </c>
    </row>
    <row r="3334" spans="1:2" x14ac:dyDescent="0.35">
      <c r="A3334" s="1416">
        <v>39447</v>
      </c>
      <c r="B3334" s="1415">
        <v>70.150000000000006</v>
      </c>
    </row>
    <row r="3335" spans="1:2" x14ac:dyDescent="0.35">
      <c r="A3335" s="1416">
        <v>39449</v>
      </c>
      <c r="B3335" s="1415">
        <v>67.790000000000006</v>
      </c>
    </row>
    <row r="3336" spans="1:2" x14ac:dyDescent="0.35">
      <c r="A3336" s="1416">
        <v>39450</v>
      </c>
      <c r="B3336" s="1415">
        <v>70.72</v>
      </c>
    </row>
    <row r="3337" spans="1:2" x14ac:dyDescent="0.35">
      <c r="A3337" s="1416">
        <v>39451</v>
      </c>
      <c r="B3337" s="1415">
        <v>69.069999999999993</v>
      </c>
    </row>
    <row r="3338" spans="1:2" x14ac:dyDescent="0.35">
      <c r="A3338" s="1416">
        <v>39454</v>
      </c>
      <c r="B3338" s="1415">
        <v>70.59</v>
      </c>
    </row>
    <row r="3339" spans="1:2" x14ac:dyDescent="0.35">
      <c r="A3339" s="1416">
        <v>39455</v>
      </c>
      <c r="B3339" s="1415">
        <v>68.11</v>
      </c>
    </row>
    <row r="3340" spans="1:2" x14ac:dyDescent="0.35">
      <c r="A3340" s="1416">
        <v>39456</v>
      </c>
      <c r="B3340" s="1415">
        <v>79.16</v>
      </c>
    </row>
    <row r="3341" spans="1:2" x14ac:dyDescent="0.35">
      <c r="A3341" s="1416">
        <v>39457</v>
      </c>
      <c r="B3341" s="1415">
        <v>77.260000000000005</v>
      </c>
    </row>
    <row r="3342" spans="1:2" x14ac:dyDescent="0.35">
      <c r="A3342" s="1416">
        <v>39458</v>
      </c>
      <c r="B3342" s="1415">
        <v>76.81</v>
      </c>
    </row>
    <row r="3343" spans="1:2" x14ac:dyDescent="0.35">
      <c r="A3343" s="1416">
        <v>39461</v>
      </c>
      <c r="B3343" s="1415">
        <v>79.92</v>
      </c>
    </row>
    <row r="3344" spans="1:2" x14ac:dyDescent="0.35">
      <c r="A3344" s="1416">
        <v>39462</v>
      </c>
      <c r="B3344" s="1415">
        <v>79.930000000000007</v>
      </c>
    </row>
    <row r="3345" spans="1:2" x14ac:dyDescent="0.35">
      <c r="A3345" s="1416">
        <v>39463</v>
      </c>
      <c r="B3345" s="1415">
        <v>78.569999999999993</v>
      </c>
    </row>
    <row r="3346" spans="1:2" x14ac:dyDescent="0.35">
      <c r="A3346" s="1416">
        <v>39464</v>
      </c>
      <c r="B3346" s="1415">
        <v>77.89</v>
      </c>
    </row>
    <row r="3347" spans="1:2" x14ac:dyDescent="0.35">
      <c r="A3347" s="1416">
        <v>39465</v>
      </c>
      <c r="B3347" s="1415">
        <v>77.12</v>
      </c>
    </row>
    <row r="3348" spans="1:2" x14ac:dyDescent="0.35">
      <c r="A3348" s="1416">
        <v>39469</v>
      </c>
      <c r="B3348" s="1415">
        <v>72.89</v>
      </c>
    </row>
    <row r="3349" spans="1:2" x14ac:dyDescent="0.35">
      <c r="A3349" s="1416">
        <v>39470</v>
      </c>
      <c r="B3349" s="1415">
        <v>75.67</v>
      </c>
    </row>
    <row r="3350" spans="1:2" x14ac:dyDescent="0.35">
      <c r="A3350" s="1416">
        <v>39471</v>
      </c>
      <c r="B3350" s="1415">
        <v>74.739999999999995</v>
      </c>
    </row>
    <row r="3351" spans="1:2" x14ac:dyDescent="0.35">
      <c r="A3351" s="1416">
        <v>39472</v>
      </c>
      <c r="B3351" s="1415">
        <v>71.849999999999994</v>
      </c>
    </row>
    <row r="3352" spans="1:2" x14ac:dyDescent="0.35">
      <c r="A3352" s="1416">
        <v>39475</v>
      </c>
      <c r="B3352" s="1415">
        <v>75.48</v>
      </c>
    </row>
    <row r="3353" spans="1:2" x14ac:dyDescent="0.35">
      <c r="A3353" s="1416">
        <v>39476</v>
      </c>
      <c r="B3353" s="1415">
        <v>74.650000000000006</v>
      </c>
    </row>
    <row r="3354" spans="1:2" x14ac:dyDescent="0.35">
      <c r="A3354" s="1416">
        <v>39477</v>
      </c>
      <c r="B3354" s="1415">
        <v>73.510000000000005</v>
      </c>
    </row>
    <row r="3355" spans="1:2" x14ac:dyDescent="0.35">
      <c r="A3355" s="1416">
        <v>39478</v>
      </c>
      <c r="B3355" s="1415">
        <v>79.739999999999995</v>
      </c>
    </row>
    <row r="3356" spans="1:2" x14ac:dyDescent="0.35">
      <c r="A3356" s="1416">
        <v>39479</v>
      </c>
      <c r="B3356" s="1415">
        <v>80.64</v>
      </c>
    </row>
    <row r="3357" spans="1:2" x14ac:dyDescent="0.35">
      <c r="A3357" s="1416">
        <v>39482</v>
      </c>
      <c r="B3357" s="1415">
        <v>78.739999999999995</v>
      </c>
    </row>
    <row r="3358" spans="1:2" x14ac:dyDescent="0.35">
      <c r="A3358" s="1416">
        <v>39483</v>
      </c>
      <c r="B3358" s="1415">
        <v>77.069999999999993</v>
      </c>
    </row>
    <row r="3359" spans="1:2" x14ac:dyDescent="0.35">
      <c r="A3359" s="1416">
        <v>39484</v>
      </c>
      <c r="B3359" s="1415">
        <v>72.819999999999993</v>
      </c>
    </row>
    <row r="3360" spans="1:2" x14ac:dyDescent="0.35">
      <c r="A3360" s="1416">
        <v>39485</v>
      </c>
      <c r="B3360" s="1415">
        <v>72.959999999999994</v>
      </c>
    </row>
    <row r="3361" spans="1:2" x14ac:dyDescent="0.35">
      <c r="A3361" s="1416">
        <v>39486</v>
      </c>
      <c r="B3361" s="1415">
        <v>73.94</v>
      </c>
    </row>
    <row r="3362" spans="1:2" x14ac:dyDescent="0.35">
      <c r="A3362" s="1416">
        <v>39489</v>
      </c>
      <c r="B3362" s="1415">
        <v>73.03</v>
      </c>
    </row>
    <row r="3363" spans="1:2" x14ac:dyDescent="0.35">
      <c r="A3363" s="1416">
        <v>39490</v>
      </c>
      <c r="B3363" s="1415">
        <v>72.930000000000007</v>
      </c>
    </row>
    <row r="3364" spans="1:2" x14ac:dyDescent="0.35">
      <c r="A3364" s="1416">
        <v>39491</v>
      </c>
      <c r="B3364" s="1415">
        <v>73.83</v>
      </c>
    </row>
    <row r="3365" spans="1:2" x14ac:dyDescent="0.35">
      <c r="A3365" s="1416">
        <v>39492</v>
      </c>
      <c r="B3365" s="1415">
        <v>68.3</v>
      </c>
    </row>
    <row r="3366" spans="1:2" x14ac:dyDescent="0.35">
      <c r="A3366" s="1416">
        <v>39493</v>
      </c>
      <c r="B3366" s="1415">
        <v>69.489999999999995</v>
      </c>
    </row>
    <row r="3367" spans="1:2" x14ac:dyDescent="0.35">
      <c r="A3367" s="1416">
        <v>39497</v>
      </c>
      <c r="B3367" s="1415">
        <v>65.11</v>
      </c>
    </row>
    <row r="3368" spans="1:2" x14ac:dyDescent="0.35">
      <c r="A3368" s="1416">
        <v>39498</v>
      </c>
      <c r="B3368" s="1415">
        <v>69.180000000000007</v>
      </c>
    </row>
    <row r="3369" spans="1:2" x14ac:dyDescent="0.35">
      <c r="A3369" s="1416">
        <v>39499</v>
      </c>
      <c r="B3369" s="1415">
        <v>63.21</v>
      </c>
    </row>
    <row r="3370" spans="1:2" x14ac:dyDescent="0.35">
      <c r="A3370" s="1416">
        <v>39500</v>
      </c>
      <c r="B3370" s="1415">
        <v>62.85</v>
      </c>
    </row>
    <row r="3371" spans="1:2" x14ac:dyDescent="0.35">
      <c r="A3371" s="1416">
        <v>39503</v>
      </c>
      <c r="B3371" s="1415">
        <v>62.12</v>
      </c>
    </row>
    <row r="3372" spans="1:2" x14ac:dyDescent="0.35">
      <c r="A3372" s="1416">
        <v>39504</v>
      </c>
      <c r="B3372" s="1415">
        <v>65.5</v>
      </c>
    </row>
    <row r="3373" spans="1:2" x14ac:dyDescent="0.35">
      <c r="A3373" s="1416">
        <v>39505</v>
      </c>
      <c r="B3373" s="1415">
        <v>66.66</v>
      </c>
    </row>
    <row r="3374" spans="1:2" x14ac:dyDescent="0.35">
      <c r="A3374" s="1416">
        <v>39506</v>
      </c>
      <c r="B3374" s="1415">
        <v>64.19</v>
      </c>
    </row>
    <row r="3375" spans="1:2" x14ac:dyDescent="0.35">
      <c r="A3375" s="1416">
        <v>39507</v>
      </c>
      <c r="B3375" s="1415">
        <v>61.38</v>
      </c>
    </row>
    <row r="3376" spans="1:2" x14ac:dyDescent="0.35">
      <c r="A3376" s="1416">
        <v>39510</v>
      </c>
      <c r="B3376" s="1415">
        <v>56.95</v>
      </c>
    </row>
    <row r="3377" spans="1:2" x14ac:dyDescent="0.35">
      <c r="A3377" s="1416">
        <v>39511</v>
      </c>
      <c r="B3377" s="1415">
        <v>57.32</v>
      </c>
    </row>
    <row r="3378" spans="1:2" x14ac:dyDescent="0.35">
      <c r="A3378" s="1416">
        <v>39512</v>
      </c>
      <c r="B3378" s="1415">
        <v>55.1355</v>
      </c>
    </row>
    <row r="3379" spans="1:2" x14ac:dyDescent="0.35">
      <c r="A3379" s="1416">
        <v>39513</v>
      </c>
      <c r="B3379" s="1415">
        <v>54.7</v>
      </c>
    </row>
    <row r="3380" spans="1:2" x14ac:dyDescent="0.35">
      <c r="A3380" s="1416">
        <v>39514</v>
      </c>
      <c r="B3380" s="1415">
        <v>53.5</v>
      </c>
    </row>
    <row r="3381" spans="1:2" x14ac:dyDescent="0.35">
      <c r="A3381" s="1416">
        <v>39517</v>
      </c>
      <c r="B3381" s="1415">
        <v>54.99</v>
      </c>
    </row>
    <row r="3382" spans="1:2" x14ac:dyDescent="0.35">
      <c r="A3382" s="1416">
        <v>39518</v>
      </c>
      <c r="B3382" s="1415">
        <v>60.11</v>
      </c>
    </row>
    <row r="3383" spans="1:2" x14ac:dyDescent="0.35">
      <c r="A3383" s="1416">
        <v>39519</v>
      </c>
      <c r="B3383" s="1415">
        <v>56.53</v>
      </c>
    </row>
    <row r="3384" spans="1:2" x14ac:dyDescent="0.35">
      <c r="A3384" s="1416">
        <v>39520</v>
      </c>
      <c r="B3384" s="1415">
        <v>58.67</v>
      </c>
    </row>
    <row r="3385" spans="1:2" x14ac:dyDescent="0.35">
      <c r="A3385" s="1416">
        <v>39521</v>
      </c>
      <c r="B3385" s="1415">
        <v>59.6</v>
      </c>
    </row>
    <row r="3386" spans="1:2" x14ac:dyDescent="0.35">
      <c r="A3386" s="1416">
        <v>39524</v>
      </c>
      <c r="B3386" s="1415">
        <v>53.77</v>
      </c>
    </row>
    <row r="3387" spans="1:2" x14ac:dyDescent="0.35">
      <c r="A3387" s="1416">
        <v>39525</v>
      </c>
      <c r="B3387" s="1415">
        <v>57.37</v>
      </c>
    </row>
    <row r="3388" spans="1:2" x14ac:dyDescent="0.35">
      <c r="A3388" s="1416">
        <v>39526</v>
      </c>
      <c r="B3388" s="1415">
        <v>54.16</v>
      </c>
    </row>
    <row r="3389" spans="1:2" x14ac:dyDescent="0.35">
      <c r="A3389" s="1416">
        <v>39527</v>
      </c>
      <c r="B3389" s="1415">
        <v>58.76</v>
      </c>
    </row>
    <row r="3390" spans="1:2" x14ac:dyDescent="0.35">
      <c r="A3390" s="1416">
        <v>39531</v>
      </c>
      <c r="B3390" s="1415">
        <v>60.54</v>
      </c>
    </row>
    <row r="3391" spans="1:2" x14ac:dyDescent="0.35">
      <c r="A3391" s="1416">
        <v>39532</v>
      </c>
      <c r="B3391" s="1415">
        <v>60.09</v>
      </c>
    </row>
    <row r="3392" spans="1:2" x14ac:dyDescent="0.35">
      <c r="A3392" s="1416">
        <v>39533</v>
      </c>
      <c r="B3392" s="1415">
        <v>60.93</v>
      </c>
    </row>
    <row r="3393" spans="1:2" x14ac:dyDescent="0.35">
      <c r="A3393" s="1416">
        <v>39534</v>
      </c>
      <c r="B3393" s="1415">
        <v>56.34</v>
      </c>
    </row>
    <row r="3394" spans="1:2" x14ac:dyDescent="0.35">
      <c r="A3394" s="1416">
        <v>39535</v>
      </c>
      <c r="B3394" s="1415">
        <v>41.21</v>
      </c>
    </row>
    <row r="3395" spans="1:2" x14ac:dyDescent="0.35">
      <c r="A3395" s="1416">
        <v>39538</v>
      </c>
      <c r="B3395" s="1415">
        <v>43.2</v>
      </c>
    </row>
    <row r="3396" spans="1:2" x14ac:dyDescent="0.35">
      <c r="A3396" s="1416">
        <v>39539</v>
      </c>
      <c r="B3396" s="1415">
        <v>43.94</v>
      </c>
    </row>
    <row r="3397" spans="1:2" x14ac:dyDescent="0.35">
      <c r="A3397" s="1416">
        <v>39540</v>
      </c>
      <c r="B3397" s="1415">
        <v>44</v>
      </c>
    </row>
    <row r="3398" spans="1:2" x14ac:dyDescent="0.35">
      <c r="A3398" s="1416">
        <v>39541</v>
      </c>
      <c r="B3398" s="1415">
        <v>46.49</v>
      </c>
    </row>
    <row r="3399" spans="1:2" x14ac:dyDescent="0.35">
      <c r="A3399" s="1416">
        <v>39542</v>
      </c>
      <c r="B3399" s="1415">
        <v>48.45</v>
      </c>
    </row>
    <row r="3400" spans="1:2" x14ac:dyDescent="0.35">
      <c r="A3400" s="1416">
        <v>39545</v>
      </c>
      <c r="B3400" s="1415">
        <v>47.89</v>
      </c>
    </row>
    <row r="3401" spans="1:2" x14ac:dyDescent="0.35">
      <c r="A3401" s="1416">
        <v>39546</v>
      </c>
      <c r="B3401" s="1415">
        <v>47.78</v>
      </c>
    </row>
    <row r="3402" spans="1:2" x14ac:dyDescent="0.35">
      <c r="A3402" s="1416">
        <v>39547</v>
      </c>
      <c r="B3402" s="1415">
        <v>47.52</v>
      </c>
    </row>
    <row r="3403" spans="1:2" x14ac:dyDescent="0.35">
      <c r="A3403" s="1416">
        <v>39548</v>
      </c>
      <c r="B3403" s="1415">
        <v>48.88</v>
      </c>
    </row>
    <row r="3404" spans="1:2" x14ac:dyDescent="0.35">
      <c r="A3404" s="1416">
        <v>39549</v>
      </c>
      <c r="B3404" s="1415">
        <v>46.76</v>
      </c>
    </row>
    <row r="3405" spans="1:2" x14ac:dyDescent="0.35">
      <c r="A3405" s="1416">
        <v>39552</v>
      </c>
      <c r="B3405" s="1415">
        <v>45.31</v>
      </c>
    </row>
    <row r="3406" spans="1:2" x14ac:dyDescent="0.35">
      <c r="A3406" s="1416">
        <v>39553</v>
      </c>
      <c r="B3406" s="1415">
        <v>44.36</v>
      </c>
    </row>
    <row r="3407" spans="1:2" x14ac:dyDescent="0.35">
      <c r="A3407" s="1416">
        <v>39554</v>
      </c>
      <c r="B3407" s="1415">
        <v>45.75</v>
      </c>
    </row>
    <row r="3408" spans="1:2" x14ac:dyDescent="0.35">
      <c r="A3408" s="1416">
        <v>39555</v>
      </c>
      <c r="B3408" s="1415">
        <v>46.4</v>
      </c>
    </row>
    <row r="3409" spans="1:2" x14ac:dyDescent="0.35">
      <c r="A3409" s="1416">
        <v>39556</v>
      </c>
      <c r="B3409" s="1415">
        <v>47.04</v>
      </c>
    </row>
    <row r="3410" spans="1:2" x14ac:dyDescent="0.35">
      <c r="A3410" s="1416">
        <v>39559</v>
      </c>
      <c r="B3410" s="1415">
        <v>45.5</v>
      </c>
    </row>
    <row r="3411" spans="1:2" x14ac:dyDescent="0.35">
      <c r="A3411" s="1416">
        <v>39560</v>
      </c>
      <c r="B3411" s="1415">
        <v>46.02</v>
      </c>
    </row>
    <row r="3412" spans="1:2" x14ac:dyDescent="0.35">
      <c r="A3412" s="1416">
        <v>39561</v>
      </c>
      <c r="B3412" s="1415">
        <v>46.81</v>
      </c>
    </row>
    <row r="3413" spans="1:2" x14ac:dyDescent="0.35">
      <c r="A3413" s="1416">
        <v>39562</v>
      </c>
      <c r="B3413" s="1415">
        <v>47.28</v>
      </c>
    </row>
    <row r="3414" spans="1:2" x14ac:dyDescent="0.35">
      <c r="A3414" s="1416">
        <v>39563</v>
      </c>
      <c r="B3414" s="1415">
        <v>47.95</v>
      </c>
    </row>
    <row r="3415" spans="1:2" x14ac:dyDescent="0.35">
      <c r="A3415" s="1416">
        <v>39566</v>
      </c>
      <c r="B3415" s="1415">
        <v>47.25</v>
      </c>
    </row>
    <row r="3416" spans="1:2" x14ac:dyDescent="0.35">
      <c r="A3416" s="1416">
        <v>39567</v>
      </c>
      <c r="B3416" s="1415">
        <v>48.49</v>
      </c>
    </row>
    <row r="3417" spans="1:2" x14ac:dyDescent="0.35">
      <c r="A3417" s="1416">
        <v>39568</v>
      </c>
      <c r="B3417" s="1415">
        <v>50.9</v>
      </c>
    </row>
    <row r="3418" spans="1:2" x14ac:dyDescent="0.35">
      <c r="A3418" s="1416">
        <v>39569</v>
      </c>
      <c r="B3418" s="1415">
        <v>54.37</v>
      </c>
    </row>
    <row r="3419" spans="1:2" x14ac:dyDescent="0.35">
      <c r="A3419" s="1416">
        <v>39570</v>
      </c>
      <c r="B3419" s="1415">
        <v>53.62</v>
      </c>
    </row>
    <row r="3420" spans="1:2" x14ac:dyDescent="0.35">
      <c r="A3420" s="1416">
        <v>39573</v>
      </c>
      <c r="B3420" s="1415">
        <v>50.28</v>
      </c>
    </row>
    <row r="3421" spans="1:2" x14ac:dyDescent="0.35">
      <c r="A3421" s="1416">
        <v>39574</v>
      </c>
      <c r="B3421" s="1415">
        <v>50.79</v>
      </c>
    </row>
    <row r="3422" spans="1:2" x14ac:dyDescent="0.35">
      <c r="A3422" s="1416">
        <v>39575</v>
      </c>
      <c r="B3422" s="1415">
        <v>48.95</v>
      </c>
    </row>
    <row r="3423" spans="1:2" x14ac:dyDescent="0.35">
      <c r="A3423" s="1416">
        <v>39576</v>
      </c>
      <c r="B3423" s="1415">
        <v>47.95</v>
      </c>
    </row>
    <row r="3424" spans="1:2" x14ac:dyDescent="0.35">
      <c r="A3424" s="1416">
        <v>39577</v>
      </c>
      <c r="B3424" s="1415">
        <v>48.01</v>
      </c>
    </row>
    <row r="3425" spans="1:2" x14ac:dyDescent="0.35">
      <c r="A3425" s="1416">
        <v>39580</v>
      </c>
      <c r="B3425" s="1415">
        <v>48.32</v>
      </c>
    </row>
    <row r="3426" spans="1:2" x14ac:dyDescent="0.35">
      <c r="A3426" s="1416">
        <v>39581</v>
      </c>
      <c r="B3426" s="1415">
        <v>47.26</v>
      </c>
    </row>
    <row r="3427" spans="1:2" x14ac:dyDescent="0.35">
      <c r="A3427" s="1416">
        <v>39582</v>
      </c>
      <c r="B3427" s="1415">
        <v>48.46</v>
      </c>
    </row>
    <row r="3428" spans="1:2" x14ac:dyDescent="0.35">
      <c r="A3428" s="1416">
        <v>39583</v>
      </c>
      <c r="B3428" s="1415">
        <v>48.73</v>
      </c>
    </row>
    <row r="3429" spans="1:2" x14ac:dyDescent="0.35">
      <c r="A3429" s="1416">
        <v>39584</v>
      </c>
      <c r="B3429" s="1415">
        <v>46.71</v>
      </c>
    </row>
    <row r="3430" spans="1:2" x14ac:dyDescent="0.35">
      <c r="A3430" s="1416">
        <v>39587</v>
      </c>
      <c r="B3430" s="1415">
        <v>45.49</v>
      </c>
    </row>
    <row r="3431" spans="1:2" x14ac:dyDescent="0.35">
      <c r="A3431" s="1416">
        <v>39588</v>
      </c>
      <c r="B3431" s="1415">
        <v>45.39</v>
      </c>
    </row>
    <row r="3432" spans="1:2" x14ac:dyDescent="0.35">
      <c r="A3432" s="1416">
        <v>39589</v>
      </c>
      <c r="B3432" s="1415">
        <v>43.88</v>
      </c>
    </row>
    <row r="3433" spans="1:2" x14ac:dyDescent="0.35">
      <c r="A3433" s="1416">
        <v>39590</v>
      </c>
      <c r="B3433" s="1415">
        <v>43.99</v>
      </c>
    </row>
    <row r="3434" spans="1:2" x14ac:dyDescent="0.35">
      <c r="A3434" s="1416">
        <v>39591</v>
      </c>
      <c r="B3434" s="1415">
        <v>43.43</v>
      </c>
    </row>
    <row r="3435" spans="1:2" x14ac:dyDescent="0.35">
      <c r="A3435" s="1416">
        <v>39595</v>
      </c>
      <c r="B3435" s="1415">
        <v>44.84</v>
      </c>
    </row>
    <row r="3436" spans="1:2" x14ac:dyDescent="0.35">
      <c r="A3436" s="1416">
        <v>39596</v>
      </c>
      <c r="B3436" s="1415">
        <v>45.57</v>
      </c>
    </row>
    <row r="3437" spans="1:2" x14ac:dyDescent="0.35">
      <c r="A3437" s="1416">
        <v>39597</v>
      </c>
      <c r="B3437" s="1415">
        <v>47.82</v>
      </c>
    </row>
    <row r="3438" spans="1:2" x14ac:dyDescent="0.35">
      <c r="A3438" s="1416">
        <v>39598</v>
      </c>
      <c r="B3438" s="1415">
        <v>47.79</v>
      </c>
    </row>
    <row r="3439" spans="1:2" x14ac:dyDescent="0.35">
      <c r="A3439" s="1416">
        <v>39601</v>
      </c>
      <c r="B3439" s="1415">
        <v>47.09</v>
      </c>
    </row>
    <row r="3440" spans="1:2" x14ac:dyDescent="0.35">
      <c r="A3440" s="1416">
        <v>39602</v>
      </c>
      <c r="B3440" s="1415">
        <v>46.59</v>
      </c>
    </row>
    <row r="3441" spans="1:2" x14ac:dyDescent="0.35">
      <c r="A3441" s="1416">
        <v>39603</v>
      </c>
      <c r="B3441" s="1415">
        <v>48.17</v>
      </c>
    </row>
    <row r="3442" spans="1:2" x14ac:dyDescent="0.35">
      <c r="A3442" s="1416">
        <v>39604</v>
      </c>
      <c r="B3442" s="1415">
        <v>48.95</v>
      </c>
    </row>
    <row r="3443" spans="1:2" x14ac:dyDescent="0.35">
      <c r="A3443" s="1416">
        <v>39605</v>
      </c>
      <c r="B3443" s="1415">
        <v>47.74</v>
      </c>
    </row>
    <row r="3444" spans="1:2" x14ac:dyDescent="0.35">
      <c r="A3444" s="1416">
        <v>39608</v>
      </c>
      <c r="B3444" s="1415">
        <v>46.46</v>
      </c>
    </row>
    <row r="3445" spans="1:2" x14ac:dyDescent="0.35">
      <c r="A3445" s="1416">
        <v>39609</v>
      </c>
      <c r="B3445" s="1415">
        <v>47.86</v>
      </c>
    </row>
    <row r="3446" spans="1:2" x14ac:dyDescent="0.35">
      <c r="A3446" s="1416">
        <v>39610</v>
      </c>
      <c r="B3446" s="1415">
        <v>47.6</v>
      </c>
    </row>
    <row r="3447" spans="1:2" x14ac:dyDescent="0.35">
      <c r="A3447" s="1416">
        <v>39611</v>
      </c>
      <c r="B3447" s="1415">
        <v>48.51</v>
      </c>
    </row>
    <row r="3448" spans="1:2" x14ac:dyDescent="0.35">
      <c r="A3448" s="1416">
        <v>39612</v>
      </c>
      <c r="B3448" s="1415">
        <v>52.24</v>
      </c>
    </row>
    <row r="3449" spans="1:2" x14ac:dyDescent="0.35">
      <c r="A3449" s="1416">
        <v>39615</v>
      </c>
      <c r="B3449" s="1415">
        <v>51.33</v>
      </c>
    </row>
    <row r="3450" spans="1:2" x14ac:dyDescent="0.35">
      <c r="A3450" s="1416">
        <v>39616</v>
      </c>
      <c r="B3450" s="1415">
        <v>50.3</v>
      </c>
    </row>
    <row r="3451" spans="1:2" x14ac:dyDescent="0.35">
      <c r="A3451" s="1416">
        <v>39617</v>
      </c>
      <c r="B3451" s="1415">
        <v>49.96</v>
      </c>
    </row>
    <row r="3452" spans="1:2" x14ac:dyDescent="0.35">
      <c r="A3452" s="1416">
        <v>39618</v>
      </c>
      <c r="B3452" s="1415">
        <v>51.19</v>
      </c>
    </row>
    <row r="3453" spans="1:2" x14ac:dyDescent="0.35">
      <c r="A3453" s="1416">
        <v>39619</v>
      </c>
      <c r="B3453" s="1415">
        <v>52.83</v>
      </c>
    </row>
    <row r="3454" spans="1:2" x14ac:dyDescent="0.35">
      <c r="A3454" s="1416">
        <v>39622</v>
      </c>
      <c r="B3454" s="1415">
        <v>54.34</v>
      </c>
    </row>
    <row r="3455" spans="1:2" x14ac:dyDescent="0.35">
      <c r="A3455" s="1416">
        <v>39623</v>
      </c>
      <c r="B3455" s="1415">
        <v>52.83</v>
      </c>
    </row>
    <row r="3456" spans="1:2" x14ac:dyDescent="0.35">
      <c r="A3456" s="1416">
        <v>39624</v>
      </c>
      <c r="B3456" s="1415">
        <v>49.05</v>
      </c>
    </row>
    <row r="3457" spans="1:2" x14ac:dyDescent="0.35">
      <c r="A3457" s="1416">
        <v>39625</v>
      </c>
      <c r="B3457" s="1415">
        <v>47.4</v>
      </c>
    </row>
    <row r="3458" spans="1:2" x14ac:dyDescent="0.35">
      <c r="A3458" s="1416">
        <v>39626</v>
      </c>
      <c r="B3458" s="1415">
        <v>47.95</v>
      </c>
    </row>
    <row r="3459" spans="1:2" x14ac:dyDescent="0.35">
      <c r="A3459" s="1416">
        <v>39629</v>
      </c>
      <c r="B3459" s="1415">
        <v>44.26</v>
      </c>
    </row>
    <row r="3460" spans="1:2" x14ac:dyDescent="0.35">
      <c r="A3460" s="1416">
        <v>39630</v>
      </c>
      <c r="B3460" s="1415">
        <v>46.26</v>
      </c>
    </row>
    <row r="3461" spans="1:2" x14ac:dyDescent="0.35">
      <c r="A3461" s="1416">
        <v>39631</v>
      </c>
      <c r="B3461" s="1415">
        <v>54.78</v>
      </c>
    </row>
    <row r="3462" spans="1:2" x14ac:dyDescent="0.35">
      <c r="A3462" s="1416">
        <v>39632</v>
      </c>
      <c r="B3462" s="1415">
        <v>55.18</v>
      </c>
    </row>
    <row r="3463" spans="1:2" x14ac:dyDescent="0.35">
      <c r="A3463" s="1416">
        <v>39636</v>
      </c>
      <c r="B3463" s="1415">
        <v>55.23</v>
      </c>
    </row>
    <row r="3464" spans="1:2" x14ac:dyDescent="0.35">
      <c r="A3464" s="1416">
        <v>39637</v>
      </c>
      <c r="B3464" s="1415">
        <v>55.37</v>
      </c>
    </row>
    <row r="3465" spans="1:2" x14ac:dyDescent="0.35">
      <c r="A3465" s="1416">
        <v>39638</v>
      </c>
      <c r="B3465" s="1415">
        <v>54.6</v>
      </c>
    </row>
    <row r="3466" spans="1:2" x14ac:dyDescent="0.35">
      <c r="A3466" s="1416">
        <v>39639</v>
      </c>
      <c r="B3466" s="1415">
        <v>55.46</v>
      </c>
    </row>
    <row r="3467" spans="1:2" x14ac:dyDescent="0.35">
      <c r="A3467" s="1416">
        <v>39640</v>
      </c>
      <c r="B3467" s="1415">
        <v>55.12</v>
      </c>
    </row>
    <row r="3468" spans="1:2" x14ac:dyDescent="0.35">
      <c r="A3468" s="1416">
        <v>39643</v>
      </c>
      <c r="B3468" s="1415">
        <v>52.86</v>
      </c>
    </row>
    <row r="3469" spans="1:2" x14ac:dyDescent="0.35">
      <c r="A3469" s="1416">
        <v>39644</v>
      </c>
      <c r="B3469" s="1415">
        <v>55.19</v>
      </c>
    </row>
    <row r="3470" spans="1:2" x14ac:dyDescent="0.35">
      <c r="A3470" s="1416">
        <v>39645</v>
      </c>
      <c r="B3470" s="1415">
        <v>55.52</v>
      </c>
    </row>
    <row r="3471" spans="1:2" x14ac:dyDescent="0.35">
      <c r="A3471" s="1416">
        <v>39646</v>
      </c>
      <c r="B3471" s="1415">
        <v>58.74</v>
      </c>
    </row>
    <row r="3472" spans="1:2" x14ac:dyDescent="0.35">
      <c r="A3472" s="1416">
        <v>39647</v>
      </c>
      <c r="B3472" s="1415">
        <v>59.02</v>
      </c>
    </row>
    <row r="3473" spans="1:2" x14ac:dyDescent="0.35">
      <c r="A3473" s="1416">
        <v>39650</v>
      </c>
      <c r="B3473" s="1415">
        <v>59</v>
      </c>
    </row>
    <row r="3474" spans="1:2" x14ac:dyDescent="0.35">
      <c r="A3474" s="1416">
        <v>39651</v>
      </c>
      <c r="B3474" s="1415">
        <v>60.34</v>
      </c>
    </row>
    <row r="3475" spans="1:2" x14ac:dyDescent="0.35">
      <c r="A3475" s="1416">
        <v>39652</v>
      </c>
      <c r="B3475" s="1415">
        <v>59.8</v>
      </c>
    </row>
    <row r="3476" spans="1:2" x14ac:dyDescent="0.35">
      <c r="A3476" s="1416">
        <v>39653</v>
      </c>
      <c r="B3476" s="1415">
        <v>59.43</v>
      </c>
    </row>
    <row r="3477" spans="1:2" x14ac:dyDescent="0.35">
      <c r="A3477" s="1416">
        <v>39654</v>
      </c>
      <c r="B3477" s="1415">
        <v>60.73</v>
      </c>
    </row>
    <row r="3478" spans="1:2" x14ac:dyDescent="0.35">
      <c r="A3478" s="1416">
        <v>39657</v>
      </c>
      <c r="B3478" s="1415">
        <v>59.08</v>
      </c>
    </row>
    <row r="3479" spans="1:2" x14ac:dyDescent="0.35">
      <c r="A3479" s="1416">
        <v>39658</v>
      </c>
      <c r="B3479" s="1415">
        <v>62</v>
      </c>
    </row>
    <row r="3480" spans="1:2" x14ac:dyDescent="0.35">
      <c r="A3480" s="1416">
        <v>39659</v>
      </c>
      <c r="B3480" s="1415">
        <v>62.31</v>
      </c>
    </row>
    <row r="3481" spans="1:2" x14ac:dyDescent="0.35">
      <c r="A3481" s="1416">
        <v>39660</v>
      </c>
      <c r="B3481" s="1415">
        <v>62.29</v>
      </c>
    </row>
    <row r="3482" spans="1:2" x14ac:dyDescent="0.35">
      <c r="A3482" s="1416">
        <v>39661</v>
      </c>
      <c r="B3482" s="1415">
        <v>63.7</v>
      </c>
    </row>
    <row r="3483" spans="1:2" x14ac:dyDescent="0.35">
      <c r="A3483" s="1416">
        <v>39664</v>
      </c>
      <c r="B3483" s="1415">
        <v>62.84</v>
      </c>
    </row>
    <row r="3484" spans="1:2" x14ac:dyDescent="0.35">
      <c r="A3484" s="1416">
        <v>39665</v>
      </c>
      <c r="B3484" s="1415">
        <v>62.44</v>
      </c>
    </row>
    <row r="3485" spans="1:2" x14ac:dyDescent="0.35">
      <c r="A3485" s="1416">
        <v>39666</v>
      </c>
      <c r="B3485" s="1415">
        <v>60.73</v>
      </c>
    </row>
    <row r="3486" spans="1:2" x14ac:dyDescent="0.35">
      <c r="A3486" s="1416">
        <v>39667</v>
      </c>
      <c r="B3486" s="1415">
        <v>62.16</v>
      </c>
    </row>
    <row r="3487" spans="1:2" x14ac:dyDescent="0.35">
      <c r="A3487" s="1416">
        <v>39668</v>
      </c>
      <c r="B3487" s="1415">
        <v>62.95</v>
      </c>
    </row>
    <row r="3488" spans="1:2" x14ac:dyDescent="0.35">
      <c r="A3488" s="1416">
        <v>39671</v>
      </c>
      <c r="B3488" s="1415">
        <v>63.2</v>
      </c>
    </row>
    <row r="3489" spans="1:2" x14ac:dyDescent="0.35">
      <c r="A3489" s="1416">
        <v>39672</v>
      </c>
      <c r="B3489" s="1415">
        <v>64.099999999999994</v>
      </c>
    </row>
    <row r="3490" spans="1:2" x14ac:dyDescent="0.35">
      <c r="A3490" s="1416">
        <v>39673</v>
      </c>
      <c r="B3490" s="1415">
        <v>62.67</v>
      </c>
    </row>
    <row r="3491" spans="1:2" x14ac:dyDescent="0.35">
      <c r="A3491" s="1416">
        <v>39674</v>
      </c>
      <c r="B3491" s="1415">
        <v>64.02</v>
      </c>
    </row>
    <row r="3492" spans="1:2" x14ac:dyDescent="0.35">
      <c r="A3492" s="1416">
        <v>39675</v>
      </c>
      <c r="B3492" s="1415">
        <v>64.680000000000007</v>
      </c>
    </row>
    <row r="3493" spans="1:2" x14ac:dyDescent="0.35">
      <c r="A3493" s="1416">
        <v>39678</v>
      </c>
      <c r="B3493" s="1415">
        <v>64.11</v>
      </c>
    </row>
    <row r="3494" spans="1:2" x14ac:dyDescent="0.35">
      <c r="A3494" s="1416">
        <v>39679</v>
      </c>
      <c r="B3494" s="1415">
        <v>61.89</v>
      </c>
    </row>
    <row r="3495" spans="1:2" x14ac:dyDescent="0.35">
      <c r="A3495" s="1416">
        <v>39680</v>
      </c>
      <c r="B3495" s="1415">
        <v>63.3</v>
      </c>
    </row>
    <row r="3496" spans="1:2" x14ac:dyDescent="0.35">
      <c r="A3496" s="1416">
        <v>39681</v>
      </c>
      <c r="B3496" s="1415">
        <v>62.71</v>
      </c>
    </row>
    <row r="3497" spans="1:2" x14ac:dyDescent="0.35">
      <c r="A3497" s="1416">
        <v>39682</v>
      </c>
      <c r="B3497" s="1415">
        <v>64.739999999999995</v>
      </c>
    </row>
    <row r="3498" spans="1:2" x14ac:dyDescent="0.35">
      <c r="A3498" s="1416">
        <v>39685</v>
      </c>
      <c r="B3498" s="1415">
        <v>63.13</v>
      </c>
    </row>
    <row r="3499" spans="1:2" x14ac:dyDescent="0.35">
      <c r="A3499" s="1416">
        <v>39686</v>
      </c>
      <c r="B3499" s="1415">
        <v>62.51</v>
      </c>
    </row>
    <row r="3500" spans="1:2" x14ac:dyDescent="0.35">
      <c r="A3500" s="1416">
        <v>39687</v>
      </c>
      <c r="B3500" s="1415">
        <v>63.65</v>
      </c>
    </row>
    <row r="3501" spans="1:2" x14ac:dyDescent="0.35">
      <c r="A3501" s="1416">
        <v>39688</v>
      </c>
      <c r="B3501" s="1415">
        <v>65.5</v>
      </c>
    </row>
    <row r="3502" spans="1:2" x14ac:dyDescent="0.35">
      <c r="A3502" s="1416">
        <v>39689</v>
      </c>
      <c r="B3502" s="1415">
        <v>63.68</v>
      </c>
    </row>
    <row r="3503" spans="1:2" x14ac:dyDescent="0.35">
      <c r="A3503" s="1416">
        <v>39693</v>
      </c>
      <c r="B3503" s="1415">
        <v>64.03</v>
      </c>
    </row>
    <row r="3504" spans="1:2" x14ac:dyDescent="0.35">
      <c r="A3504" s="1416">
        <v>39694</v>
      </c>
      <c r="B3504" s="1415">
        <v>62.58</v>
      </c>
    </row>
    <row r="3505" spans="1:2" x14ac:dyDescent="0.35">
      <c r="A3505" s="1416">
        <v>39695</v>
      </c>
      <c r="B3505" s="1415">
        <v>64.27</v>
      </c>
    </row>
    <row r="3506" spans="1:2" x14ac:dyDescent="0.35">
      <c r="A3506" s="1416">
        <v>39696</v>
      </c>
      <c r="B3506" s="1415">
        <v>64.87</v>
      </c>
    </row>
    <row r="3507" spans="1:2" x14ac:dyDescent="0.35">
      <c r="A3507" s="1416">
        <v>39699</v>
      </c>
      <c r="B3507" s="1415">
        <v>67.67</v>
      </c>
    </row>
    <row r="3508" spans="1:2" x14ac:dyDescent="0.35">
      <c r="A3508" s="1416">
        <v>39700</v>
      </c>
      <c r="B3508" s="1415">
        <v>63.35</v>
      </c>
    </row>
    <row r="3509" spans="1:2" x14ac:dyDescent="0.35">
      <c r="A3509" s="1416">
        <v>39701</v>
      </c>
      <c r="B3509" s="1415">
        <v>64.7</v>
      </c>
    </row>
    <row r="3510" spans="1:2" x14ac:dyDescent="0.35">
      <c r="A3510" s="1416">
        <v>39702</v>
      </c>
      <c r="B3510" s="1415">
        <v>66.81</v>
      </c>
    </row>
    <row r="3511" spans="1:2" x14ac:dyDescent="0.35">
      <c r="A3511" s="1416">
        <v>39703</v>
      </c>
      <c r="B3511" s="1415">
        <v>67.39</v>
      </c>
    </row>
    <row r="3512" spans="1:2" x14ac:dyDescent="0.35">
      <c r="A3512" s="1416">
        <v>39706</v>
      </c>
      <c r="B3512" s="1415">
        <v>66.180000000000007</v>
      </c>
    </row>
    <row r="3513" spans="1:2" x14ac:dyDescent="0.35">
      <c r="A3513" s="1416">
        <v>39707</v>
      </c>
      <c r="B3513" s="1415">
        <v>67.37</v>
      </c>
    </row>
    <row r="3514" spans="1:2" x14ac:dyDescent="0.35">
      <c r="A3514" s="1416">
        <v>39708</v>
      </c>
      <c r="B3514" s="1415">
        <v>62.73</v>
      </c>
    </row>
    <row r="3515" spans="1:2" x14ac:dyDescent="0.35">
      <c r="A3515" s="1416">
        <v>39709</v>
      </c>
      <c r="B3515" s="1415">
        <v>60.75</v>
      </c>
    </row>
    <row r="3516" spans="1:2" x14ac:dyDescent="0.35">
      <c r="A3516" s="1416">
        <v>39710</v>
      </c>
      <c r="B3516" s="1415">
        <v>60.07</v>
      </c>
    </row>
    <row r="3517" spans="1:2" x14ac:dyDescent="0.35">
      <c r="A3517" s="1416">
        <v>39713</v>
      </c>
      <c r="B3517" s="1415">
        <v>58.5</v>
      </c>
    </row>
    <row r="3518" spans="1:2" x14ac:dyDescent="0.35">
      <c r="A3518" s="1416">
        <v>39714</v>
      </c>
      <c r="B3518" s="1415">
        <v>59</v>
      </c>
    </row>
    <row r="3519" spans="1:2" x14ac:dyDescent="0.35">
      <c r="A3519" s="1416">
        <v>39715</v>
      </c>
      <c r="B3519" s="1415">
        <v>57.45</v>
      </c>
    </row>
    <row r="3520" spans="1:2" x14ac:dyDescent="0.35">
      <c r="A3520" s="1416">
        <v>39716</v>
      </c>
      <c r="B3520" s="1415">
        <v>57.06</v>
      </c>
    </row>
    <row r="3521" spans="1:2" x14ac:dyDescent="0.35">
      <c r="A3521" s="1416">
        <v>39717</v>
      </c>
      <c r="B3521" s="1415">
        <v>58.94</v>
      </c>
    </row>
    <row r="3522" spans="1:2" x14ac:dyDescent="0.35">
      <c r="A3522" s="1416">
        <v>39720</v>
      </c>
      <c r="B3522" s="1415">
        <v>55.37</v>
      </c>
    </row>
    <row r="3523" spans="1:2" x14ac:dyDescent="0.35">
      <c r="A3523" s="1416">
        <v>39721</v>
      </c>
      <c r="B3523" s="1415">
        <v>59.3</v>
      </c>
    </row>
    <row r="3524" spans="1:2" x14ac:dyDescent="0.35">
      <c r="A3524" s="1416">
        <v>39722</v>
      </c>
      <c r="B3524" s="1415">
        <v>59.02</v>
      </c>
    </row>
    <row r="3525" spans="1:2" x14ac:dyDescent="0.35">
      <c r="A3525" s="1416">
        <v>39723</v>
      </c>
      <c r="B3525" s="1415">
        <v>57.99</v>
      </c>
    </row>
    <row r="3526" spans="1:2" x14ac:dyDescent="0.35">
      <c r="A3526" s="1416">
        <v>39724</v>
      </c>
      <c r="B3526" s="1415">
        <v>57.62</v>
      </c>
    </row>
    <row r="3527" spans="1:2" x14ac:dyDescent="0.35">
      <c r="A3527" s="1416">
        <v>39727</v>
      </c>
      <c r="B3527" s="1415">
        <v>54.98</v>
      </c>
    </row>
    <row r="3528" spans="1:2" x14ac:dyDescent="0.35">
      <c r="A3528" s="1416">
        <v>39728</v>
      </c>
      <c r="B3528" s="1415">
        <v>53.21</v>
      </c>
    </row>
    <row r="3529" spans="1:2" x14ac:dyDescent="0.35">
      <c r="A3529" s="1416">
        <v>39729</v>
      </c>
      <c r="B3529" s="1415">
        <v>53.86</v>
      </c>
    </row>
    <row r="3530" spans="1:2" x14ac:dyDescent="0.35">
      <c r="A3530" s="1416">
        <v>39730</v>
      </c>
      <c r="B3530" s="1415">
        <v>51.62</v>
      </c>
    </row>
    <row r="3531" spans="1:2" x14ac:dyDescent="0.35">
      <c r="A3531" s="1416">
        <v>39731</v>
      </c>
      <c r="B3531" s="1415">
        <v>50.54</v>
      </c>
    </row>
    <row r="3532" spans="1:2" x14ac:dyDescent="0.35">
      <c r="A3532" s="1416">
        <v>39734</v>
      </c>
      <c r="B3532" s="1415">
        <v>56.19</v>
      </c>
    </row>
    <row r="3533" spans="1:2" x14ac:dyDescent="0.35">
      <c r="A3533" s="1416">
        <v>39735</v>
      </c>
      <c r="B3533" s="1415">
        <v>57.19</v>
      </c>
    </row>
    <row r="3534" spans="1:2" x14ac:dyDescent="0.35">
      <c r="A3534" s="1416">
        <v>39736</v>
      </c>
      <c r="B3534" s="1415">
        <v>51.54</v>
      </c>
    </row>
    <row r="3535" spans="1:2" x14ac:dyDescent="0.35">
      <c r="A3535" s="1416">
        <v>39737</v>
      </c>
      <c r="B3535" s="1415">
        <v>58.29</v>
      </c>
    </row>
    <row r="3536" spans="1:2" x14ac:dyDescent="0.35">
      <c r="A3536" s="1416">
        <v>39738</v>
      </c>
      <c r="B3536" s="1415">
        <v>57.9</v>
      </c>
    </row>
    <row r="3537" spans="1:2" x14ac:dyDescent="0.35">
      <c r="A3537" s="1416">
        <v>39741</v>
      </c>
      <c r="B3537" s="1415">
        <v>61.41</v>
      </c>
    </row>
    <row r="3538" spans="1:2" x14ac:dyDescent="0.35">
      <c r="A3538" s="1416">
        <v>39742</v>
      </c>
      <c r="B3538" s="1415">
        <v>59.72</v>
      </c>
    </row>
    <row r="3539" spans="1:2" x14ac:dyDescent="0.35">
      <c r="A3539" s="1416">
        <v>39743</v>
      </c>
      <c r="B3539" s="1415">
        <v>58.98</v>
      </c>
    </row>
    <row r="3540" spans="1:2" x14ac:dyDescent="0.35">
      <c r="A3540" s="1416">
        <v>39744</v>
      </c>
      <c r="B3540" s="1415">
        <v>55.55</v>
      </c>
    </row>
    <row r="3541" spans="1:2" x14ac:dyDescent="0.35">
      <c r="A3541" s="1416">
        <v>39745</v>
      </c>
      <c r="B3541" s="1415">
        <v>53.79</v>
      </c>
    </row>
    <row r="3542" spans="1:2" x14ac:dyDescent="0.35">
      <c r="A3542" s="1416">
        <v>39748</v>
      </c>
      <c r="B3542" s="1415">
        <v>53.6</v>
      </c>
    </row>
    <row r="3543" spans="1:2" x14ac:dyDescent="0.35">
      <c r="A3543" s="1416">
        <v>39749</v>
      </c>
      <c r="B3543" s="1415">
        <v>58.87</v>
      </c>
    </row>
    <row r="3544" spans="1:2" x14ac:dyDescent="0.35">
      <c r="A3544" s="1416">
        <v>39750</v>
      </c>
      <c r="B3544" s="1415">
        <v>65.010000000000005</v>
      </c>
    </row>
    <row r="3545" spans="1:2" x14ac:dyDescent="0.35">
      <c r="A3545" s="1416">
        <v>39751</v>
      </c>
      <c r="B3545" s="1415">
        <v>69.64</v>
      </c>
    </row>
    <row r="3546" spans="1:2" x14ac:dyDescent="0.35">
      <c r="A3546" s="1416">
        <v>39752</v>
      </c>
      <c r="B3546" s="1415">
        <v>69.510000000000005</v>
      </c>
    </row>
    <row r="3547" spans="1:2" x14ac:dyDescent="0.35">
      <c r="A3547" s="1416">
        <v>39755</v>
      </c>
      <c r="B3547" s="1415">
        <v>68.180000000000007</v>
      </c>
    </row>
    <row r="3548" spans="1:2" x14ac:dyDescent="0.35">
      <c r="A3548" s="1416">
        <v>39756</v>
      </c>
      <c r="B3548" s="1415">
        <v>70.23</v>
      </c>
    </row>
    <row r="3549" spans="1:2" x14ac:dyDescent="0.35">
      <c r="A3549" s="1416">
        <v>39757</v>
      </c>
      <c r="B3549" s="1415">
        <v>66.94</v>
      </c>
    </row>
    <row r="3550" spans="1:2" x14ac:dyDescent="0.35">
      <c r="A3550" s="1416">
        <v>39758</v>
      </c>
      <c r="B3550" s="1415">
        <v>66.900000000000006</v>
      </c>
    </row>
    <row r="3551" spans="1:2" x14ac:dyDescent="0.35">
      <c r="A3551" s="1416">
        <v>39759</v>
      </c>
      <c r="B3551" s="1415">
        <v>69.61</v>
      </c>
    </row>
    <row r="3552" spans="1:2" x14ac:dyDescent="0.35">
      <c r="A3552" s="1416">
        <v>39762</v>
      </c>
      <c r="B3552" s="1415">
        <v>69.760000000000005</v>
      </c>
    </row>
    <row r="3553" spans="1:2" x14ac:dyDescent="0.35">
      <c r="A3553" s="1416">
        <v>39763</v>
      </c>
      <c r="B3553" s="1415">
        <v>70.31</v>
      </c>
    </row>
    <row r="3554" spans="1:2" x14ac:dyDescent="0.35">
      <c r="A3554" s="1416">
        <v>39764</v>
      </c>
      <c r="B3554" s="1415">
        <v>68.05</v>
      </c>
    </row>
    <row r="3555" spans="1:2" x14ac:dyDescent="0.35">
      <c r="A3555" s="1416">
        <v>39765</v>
      </c>
      <c r="B3555" s="1415">
        <v>70.56</v>
      </c>
    </row>
    <row r="3556" spans="1:2" x14ac:dyDescent="0.35">
      <c r="A3556" s="1416">
        <v>39766</v>
      </c>
      <c r="B3556" s="1415">
        <v>68.11</v>
      </c>
    </row>
    <row r="3557" spans="1:2" x14ac:dyDescent="0.35">
      <c r="A3557" s="1416">
        <v>39769</v>
      </c>
      <c r="B3557" s="1415">
        <v>69.040000000000006</v>
      </c>
    </row>
    <row r="3558" spans="1:2" x14ac:dyDescent="0.35">
      <c r="A3558" s="1416">
        <v>39770</v>
      </c>
      <c r="B3558" s="1415">
        <v>68.989999999999995</v>
      </c>
    </row>
    <row r="3559" spans="1:2" x14ac:dyDescent="0.35">
      <c r="A3559" s="1416">
        <v>39771</v>
      </c>
      <c r="B3559" s="1415">
        <v>65.97</v>
      </c>
    </row>
    <row r="3560" spans="1:2" x14ac:dyDescent="0.35">
      <c r="A3560" s="1416">
        <v>39772</v>
      </c>
      <c r="B3560" s="1415">
        <v>65.739999999999995</v>
      </c>
    </row>
    <row r="3561" spans="1:2" x14ac:dyDescent="0.35">
      <c r="A3561" s="1416">
        <v>39773</v>
      </c>
      <c r="B3561" s="1415">
        <v>70.09</v>
      </c>
    </row>
    <row r="3562" spans="1:2" x14ac:dyDescent="0.35">
      <c r="A3562" s="1416">
        <v>39776</v>
      </c>
      <c r="B3562" s="1415">
        <v>72.58</v>
      </c>
    </row>
    <row r="3563" spans="1:2" x14ac:dyDescent="0.35">
      <c r="A3563" s="1416">
        <v>39777</v>
      </c>
      <c r="B3563" s="1415">
        <v>71.55</v>
      </c>
    </row>
    <row r="3564" spans="1:2" x14ac:dyDescent="0.35">
      <c r="A3564" s="1416">
        <v>39778</v>
      </c>
      <c r="B3564" s="1415">
        <v>76.849999999999994</v>
      </c>
    </row>
    <row r="3565" spans="1:2" x14ac:dyDescent="0.35">
      <c r="A3565" s="1416">
        <v>39780</v>
      </c>
      <c r="B3565" s="1415">
        <v>76.84</v>
      </c>
    </row>
    <row r="3566" spans="1:2" x14ac:dyDescent="0.35">
      <c r="A3566" s="1416">
        <v>39783</v>
      </c>
      <c r="B3566" s="1415">
        <v>71.06</v>
      </c>
    </row>
    <row r="3567" spans="1:2" x14ac:dyDescent="0.35">
      <c r="A3567" s="1416">
        <v>39784</v>
      </c>
      <c r="B3567" s="1415">
        <v>75.680000000000007</v>
      </c>
    </row>
    <row r="3568" spans="1:2" x14ac:dyDescent="0.35">
      <c r="A3568" s="1416">
        <v>39785</v>
      </c>
      <c r="B3568" s="1415">
        <v>75.34</v>
      </c>
    </row>
    <row r="3569" spans="1:2" x14ac:dyDescent="0.35">
      <c r="A3569" s="1416">
        <v>39786</v>
      </c>
      <c r="B3569" s="1415">
        <v>74.05</v>
      </c>
    </row>
    <row r="3570" spans="1:2" x14ac:dyDescent="0.35">
      <c r="A3570" s="1416">
        <v>39787</v>
      </c>
      <c r="B3570" s="1415">
        <v>75.87</v>
      </c>
    </row>
    <row r="3571" spans="1:2" x14ac:dyDescent="0.35">
      <c r="A3571" s="1416">
        <v>39790</v>
      </c>
      <c r="B3571" s="1415">
        <v>75.959999999999994</v>
      </c>
    </row>
    <row r="3572" spans="1:2" x14ac:dyDescent="0.35">
      <c r="A3572" s="1416">
        <v>39791</v>
      </c>
      <c r="B3572" s="1415">
        <v>72.92</v>
      </c>
    </row>
    <row r="3573" spans="1:2" x14ac:dyDescent="0.35">
      <c r="A3573" s="1416">
        <v>39792</v>
      </c>
      <c r="B3573" s="1415">
        <v>73.760000000000005</v>
      </c>
    </row>
    <row r="3574" spans="1:2" x14ac:dyDescent="0.35">
      <c r="A3574" s="1416">
        <v>39793</v>
      </c>
      <c r="B3574" s="1415">
        <v>73.53</v>
      </c>
    </row>
    <row r="3575" spans="1:2" x14ac:dyDescent="0.35">
      <c r="A3575" s="1416">
        <v>39794</v>
      </c>
      <c r="B3575" s="1415">
        <v>73.98</v>
      </c>
    </row>
    <row r="3576" spans="1:2" x14ac:dyDescent="0.35">
      <c r="A3576" s="1416">
        <v>39797</v>
      </c>
      <c r="B3576" s="1415">
        <v>72.06</v>
      </c>
    </row>
    <row r="3577" spans="1:2" x14ac:dyDescent="0.35">
      <c r="A3577" s="1416">
        <v>39798</v>
      </c>
      <c r="B3577" s="1415">
        <v>75.599999999999994</v>
      </c>
    </row>
    <row r="3578" spans="1:2" x14ac:dyDescent="0.35">
      <c r="A3578" s="1416">
        <v>39799</v>
      </c>
      <c r="B3578" s="1415">
        <v>75.510000000000005</v>
      </c>
    </row>
    <row r="3579" spans="1:2" x14ac:dyDescent="0.35">
      <c r="A3579" s="1416">
        <v>39800</v>
      </c>
      <c r="B3579" s="1415">
        <v>75.67</v>
      </c>
    </row>
    <row r="3580" spans="1:2" x14ac:dyDescent="0.35">
      <c r="A3580" s="1416">
        <v>39801</v>
      </c>
      <c r="B3580" s="1415">
        <v>75.62</v>
      </c>
    </row>
    <row r="3581" spans="1:2" x14ac:dyDescent="0.35">
      <c r="A3581" s="1416">
        <v>39804</v>
      </c>
      <c r="B3581" s="1415">
        <v>75.37</v>
      </c>
    </row>
    <row r="3582" spans="1:2" x14ac:dyDescent="0.35">
      <c r="A3582" s="1416">
        <v>39805</v>
      </c>
      <c r="B3582" s="1415">
        <v>74.930000000000007</v>
      </c>
    </row>
    <row r="3583" spans="1:2" x14ac:dyDescent="0.35">
      <c r="A3583" s="1416">
        <v>39806</v>
      </c>
      <c r="B3583" s="1415">
        <v>76.62</v>
      </c>
    </row>
    <row r="3584" spans="1:2" x14ac:dyDescent="0.35">
      <c r="A3584" s="1416">
        <v>39808</v>
      </c>
      <c r="B3584" s="1415">
        <v>76.5</v>
      </c>
    </row>
    <row r="3585" spans="1:2" x14ac:dyDescent="0.35">
      <c r="A3585" s="1416">
        <v>39811</v>
      </c>
      <c r="B3585" s="1415">
        <v>76.400000000000006</v>
      </c>
    </row>
    <row r="3586" spans="1:2" x14ac:dyDescent="0.35">
      <c r="A3586" s="1416">
        <v>39812</v>
      </c>
      <c r="B3586" s="1415">
        <v>77.459999999999994</v>
      </c>
    </row>
    <row r="3587" spans="1:2" x14ac:dyDescent="0.35">
      <c r="A3587" s="1416">
        <v>39813</v>
      </c>
      <c r="B3587" s="1415">
        <v>76.62</v>
      </c>
    </row>
    <row r="3588" spans="1:2" x14ac:dyDescent="0.35">
      <c r="A3588" s="1416">
        <v>39815</v>
      </c>
      <c r="B3588" s="1415">
        <v>78.37</v>
      </c>
    </row>
    <row r="3589" spans="1:2" x14ac:dyDescent="0.35">
      <c r="A3589" s="1416">
        <v>39818</v>
      </c>
      <c r="B3589" s="1415">
        <v>77.67</v>
      </c>
    </row>
    <row r="3590" spans="1:2" x14ac:dyDescent="0.35">
      <c r="A3590" s="1416">
        <v>39819</v>
      </c>
      <c r="B3590" s="1415">
        <v>77.62</v>
      </c>
    </row>
    <row r="3591" spans="1:2" x14ac:dyDescent="0.35">
      <c r="A3591" s="1416">
        <v>39820</v>
      </c>
      <c r="B3591" s="1415">
        <v>76.41</v>
      </c>
    </row>
    <row r="3592" spans="1:2" x14ac:dyDescent="0.35">
      <c r="A3592" s="1416">
        <v>39821</v>
      </c>
      <c r="B3592" s="1415">
        <v>77.22</v>
      </c>
    </row>
    <row r="3593" spans="1:2" x14ac:dyDescent="0.35">
      <c r="A3593" s="1416">
        <v>39822</v>
      </c>
      <c r="B3593" s="1415">
        <v>85.27</v>
      </c>
    </row>
    <row r="3594" spans="1:2" x14ac:dyDescent="0.35">
      <c r="A3594" s="1416">
        <v>39825</v>
      </c>
      <c r="B3594" s="1415">
        <v>86.52</v>
      </c>
    </row>
    <row r="3595" spans="1:2" x14ac:dyDescent="0.35">
      <c r="A3595" s="1416">
        <v>39826</v>
      </c>
      <c r="B3595" s="1415">
        <v>81.59</v>
      </c>
    </row>
    <row r="3596" spans="1:2" x14ac:dyDescent="0.35">
      <c r="A3596" s="1416">
        <v>39827</v>
      </c>
      <c r="B3596" s="1415">
        <v>80.650000000000006</v>
      </c>
    </row>
    <row r="3597" spans="1:2" x14ac:dyDescent="0.35">
      <c r="A3597" s="1416">
        <v>39828</v>
      </c>
      <c r="B3597" s="1415">
        <v>86.95</v>
      </c>
    </row>
    <row r="3598" spans="1:2" x14ac:dyDescent="0.35">
      <c r="A3598" s="1416">
        <v>39829</v>
      </c>
      <c r="B3598" s="1415">
        <v>89.22</v>
      </c>
    </row>
    <row r="3599" spans="1:2" x14ac:dyDescent="0.35">
      <c r="A3599" s="1416">
        <v>39833</v>
      </c>
      <c r="B3599" s="1415">
        <v>86.54</v>
      </c>
    </row>
    <row r="3600" spans="1:2" x14ac:dyDescent="0.35">
      <c r="A3600" s="1416">
        <v>39834</v>
      </c>
      <c r="B3600" s="1415">
        <v>85.54</v>
      </c>
    </row>
    <row r="3601" spans="1:2" x14ac:dyDescent="0.35">
      <c r="A3601" s="1416">
        <v>39835</v>
      </c>
      <c r="B3601" s="1415">
        <v>87.44</v>
      </c>
    </row>
    <row r="3602" spans="1:2" x14ac:dyDescent="0.35">
      <c r="A3602" s="1416">
        <v>39836</v>
      </c>
      <c r="B3602" s="1415">
        <v>84.01</v>
      </c>
    </row>
    <row r="3603" spans="1:2" x14ac:dyDescent="0.35">
      <c r="A3603" s="1416">
        <v>39839</v>
      </c>
      <c r="B3603" s="1415">
        <v>82.46</v>
      </c>
    </row>
    <row r="3604" spans="1:2" x14ac:dyDescent="0.35">
      <c r="A3604" s="1416">
        <v>39840</v>
      </c>
      <c r="B3604" s="1415">
        <v>79.87</v>
      </c>
    </row>
    <row r="3605" spans="1:2" x14ac:dyDescent="0.35">
      <c r="A3605" s="1416">
        <v>39841</v>
      </c>
      <c r="B3605" s="1415">
        <v>80.760000000000005</v>
      </c>
    </row>
    <row r="3606" spans="1:2" x14ac:dyDescent="0.35">
      <c r="A3606" s="1416">
        <v>39842</v>
      </c>
      <c r="B3606" s="1415">
        <v>82.83</v>
      </c>
    </row>
    <row r="3607" spans="1:2" x14ac:dyDescent="0.35">
      <c r="A3607" s="1416">
        <v>39843</v>
      </c>
      <c r="B3607" s="1415">
        <v>81.459999999999994</v>
      </c>
    </row>
    <row r="3608" spans="1:2" x14ac:dyDescent="0.35">
      <c r="A3608" s="1416">
        <v>39846</v>
      </c>
      <c r="B3608" s="1415">
        <v>86.11</v>
      </c>
    </row>
    <row r="3609" spans="1:2" x14ac:dyDescent="0.35">
      <c r="A3609" s="1416">
        <v>39847</v>
      </c>
      <c r="B3609" s="1415">
        <v>88.4</v>
      </c>
    </row>
    <row r="3610" spans="1:2" x14ac:dyDescent="0.35">
      <c r="A3610" s="1416">
        <v>39848</v>
      </c>
      <c r="B3610" s="1415">
        <v>85.7</v>
      </c>
    </row>
    <row r="3611" spans="1:2" x14ac:dyDescent="0.35">
      <c r="A3611" s="1416">
        <v>39849</v>
      </c>
      <c r="B3611" s="1415">
        <v>84.72</v>
      </c>
    </row>
    <row r="3612" spans="1:2" x14ac:dyDescent="0.35">
      <c r="A3612" s="1416">
        <v>39850</v>
      </c>
      <c r="B3612" s="1415">
        <v>83.48</v>
      </c>
    </row>
    <row r="3613" spans="1:2" x14ac:dyDescent="0.35">
      <c r="A3613" s="1416">
        <v>39853</v>
      </c>
      <c r="B3613" s="1415">
        <v>84.23</v>
      </c>
    </row>
    <row r="3614" spans="1:2" x14ac:dyDescent="0.35">
      <c r="A3614" s="1416">
        <v>39854</v>
      </c>
      <c r="B3614" s="1415">
        <v>81.569999999999993</v>
      </c>
    </row>
    <row r="3615" spans="1:2" x14ac:dyDescent="0.35">
      <c r="A3615" s="1416">
        <v>39855</v>
      </c>
      <c r="B3615" s="1415">
        <v>82.36</v>
      </c>
    </row>
    <row r="3616" spans="1:2" x14ac:dyDescent="0.35">
      <c r="A3616" s="1416">
        <v>39856</v>
      </c>
      <c r="B3616" s="1415">
        <v>82.26</v>
      </c>
    </row>
    <row r="3617" spans="1:2" x14ac:dyDescent="0.35">
      <c r="A3617" s="1416">
        <v>39857</v>
      </c>
      <c r="B3617" s="1415">
        <v>81.45</v>
      </c>
    </row>
    <row r="3618" spans="1:2" x14ac:dyDescent="0.35">
      <c r="A3618" s="1416">
        <v>39861</v>
      </c>
      <c r="B3618" s="1415">
        <v>80.959999999999994</v>
      </c>
    </row>
    <row r="3619" spans="1:2" x14ac:dyDescent="0.35">
      <c r="A3619" s="1416">
        <v>39862</v>
      </c>
      <c r="B3619" s="1415">
        <v>82.27</v>
      </c>
    </row>
    <row r="3620" spans="1:2" x14ac:dyDescent="0.35">
      <c r="A3620" s="1416">
        <v>39863</v>
      </c>
      <c r="B3620" s="1415">
        <v>76.25</v>
      </c>
    </row>
    <row r="3621" spans="1:2" x14ac:dyDescent="0.35">
      <c r="A3621" s="1416">
        <v>39864</v>
      </c>
      <c r="B3621" s="1415">
        <v>80.2</v>
      </c>
    </row>
    <row r="3622" spans="1:2" x14ac:dyDescent="0.35">
      <c r="A3622" s="1416">
        <v>39867</v>
      </c>
      <c r="B3622" s="1415">
        <v>78.569999999999993</v>
      </c>
    </row>
    <row r="3623" spans="1:2" x14ac:dyDescent="0.35">
      <c r="A3623" s="1416">
        <v>39868</v>
      </c>
      <c r="B3623" s="1415">
        <v>77.010000000000005</v>
      </c>
    </row>
    <row r="3624" spans="1:2" x14ac:dyDescent="0.35">
      <c r="A3624" s="1416">
        <v>39869</v>
      </c>
      <c r="B3624" s="1415">
        <v>75.77</v>
      </c>
    </row>
    <row r="3625" spans="1:2" x14ac:dyDescent="0.35">
      <c r="A3625" s="1416">
        <v>39870</v>
      </c>
      <c r="B3625" s="1415">
        <v>73.77</v>
      </c>
    </row>
    <row r="3626" spans="1:2" x14ac:dyDescent="0.35">
      <c r="A3626" s="1416">
        <v>39871</v>
      </c>
      <c r="B3626" s="1415">
        <v>72.5</v>
      </c>
    </row>
    <row r="3627" spans="1:2" x14ac:dyDescent="0.35">
      <c r="A3627" s="1416">
        <v>39874</v>
      </c>
      <c r="B3627" s="1415">
        <v>71.33</v>
      </c>
    </row>
    <row r="3628" spans="1:2" x14ac:dyDescent="0.35">
      <c r="A3628" s="1416">
        <v>39875</v>
      </c>
      <c r="B3628" s="1415">
        <v>72.11</v>
      </c>
    </row>
    <row r="3629" spans="1:2" x14ac:dyDescent="0.35">
      <c r="A3629" s="1416">
        <v>39876</v>
      </c>
      <c r="B3629" s="1415">
        <v>66.510000000000005</v>
      </c>
    </row>
    <row r="3630" spans="1:2" x14ac:dyDescent="0.35">
      <c r="A3630" s="1416">
        <v>39877</v>
      </c>
      <c r="B3630" s="1415">
        <v>66.790000000000006</v>
      </c>
    </row>
    <row r="3631" spans="1:2" x14ac:dyDescent="0.35">
      <c r="A3631" s="1416">
        <v>39878</v>
      </c>
      <c r="B3631" s="1415">
        <v>64.69</v>
      </c>
    </row>
    <row r="3632" spans="1:2" x14ac:dyDescent="0.35">
      <c r="A3632" s="1416">
        <v>39881</v>
      </c>
      <c r="B3632" s="1415">
        <v>66.38</v>
      </c>
    </row>
    <row r="3633" spans="1:2" x14ac:dyDescent="0.35">
      <c r="A3633" s="1416">
        <v>39882</v>
      </c>
      <c r="B3633" s="1415">
        <v>68.959999999999994</v>
      </c>
    </row>
    <row r="3634" spans="1:2" x14ac:dyDescent="0.35">
      <c r="A3634" s="1416">
        <v>39883</v>
      </c>
      <c r="B3634" s="1415">
        <v>68.47</v>
      </c>
    </row>
    <row r="3635" spans="1:2" x14ac:dyDescent="0.35">
      <c r="A3635" s="1416">
        <v>39884</v>
      </c>
      <c r="B3635" s="1415">
        <v>69.400000000000006</v>
      </c>
    </row>
    <row r="3636" spans="1:2" x14ac:dyDescent="0.35">
      <c r="A3636" s="1416">
        <v>39885</v>
      </c>
      <c r="B3636" s="1415">
        <v>68.8</v>
      </c>
    </row>
    <row r="3637" spans="1:2" x14ac:dyDescent="0.35">
      <c r="A3637" s="1416">
        <v>39888</v>
      </c>
      <c r="B3637" s="1415">
        <v>65.319999999999993</v>
      </c>
    </row>
    <row r="3638" spans="1:2" x14ac:dyDescent="0.35">
      <c r="A3638" s="1416">
        <v>39889</v>
      </c>
      <c r="B3638" s="1415">
        <v>69.5</v>
      </c>
    </row>
    <row r="3639" spans="1:2" x14ac:dyDescent="0.35">
      <c r="A3639" s="1416">
        <v>39890</v>
      </c>
      <c r="B3639" s="1415">
        <v>70.430000000000007</v>
      </c>
    </row>
    <row r="3640" spans="1:2" x14ac:dyDescent="0.35">
      <c r="A3640" s="1416">
        <v>39891</v>
      </c>
      <c r="B3640" s="1415">
        <v>71.09</v>
      </c>
    </row>
    <row r="3641" spans="1:2" x14ac:dyDescent="0.35">
      <c r="A3641" s="1416">
        <v>39892</v>
      </c>
      <c r="B3641" s="1415">
        <v>72.959999999999994</v>
      </c>
    </row>
    <row r="3642" spans="1:2" x14ac:dyDescent="0.35">
      <c r="A3642" s="1416">
        <v>39895</v>
      </c>
      <c r="B3642" s="1415">
        <v>76.12</v>
      </c>
    </row>
    <row r="3643" spans="1:2" x14ac:dyDescent="0.35">
      <c r="A3643" s="1416">
        <v>39896</v>
      </c>
      <c r="B3643" s="1415">
        <v>77.08</v>
      </c>
    </row>
    <row r="3644" spans="1:2" x14ac:dyDescent="0.35">
      <c r="A3644" s="1416">
        <v>39897</v>
      </c>
      <c r="B3644" s="1415">
        <v>76.52</v>
      </c>
    </row>
    <row r="3645" spans="1:2" x14ac:dyDescent="0.35">
      <c r="A3645" s="1416">
        <v>39898</v>
      </c>
      <c r="B3645" s="1415">
        <v>77.83</v>
      </c>
    </row>
    <row r="3646" spans="1:2" x14ac:dyDescent="0.35">
      <c r="A3646" s="1416">
        <v>39899</v>
      </c>
      <c r="B3646" s="1415">
        <v>76.650000000000006</v>
      </c>
    </row>
    <row r="3647" spans="1:2" x14ac:dyDescent="0.35">
      <c r="A3647" s="1416">
        <v>39902</v>
      </c>
      <c r="B3647" s="1415">
        <v>78.94</v>
      </c>
    </row>
    <row r="3648" spans="1:2" x14ac:dyDescent="0.35">
      <c r="A3648" s="1416">
        <v>39903</v>
      </c>
      <c r="B3648" s="1415">
        <v>78.33</v>
      </c>
    </row>
    <row r="3649" spans="1:2" x14ac:dyDescent="0.35">
      <c r="A3649" s="1416">
        <v>39904</v>
      </c>
      <c r="B3649" s="1415">
        <v>66.459999999999994</v>
      </c>
    </row>
    <row r="3650" spans="1:2" x14ac:dyDescent="0.35">
      <c r="A3650" s="1416">
        <v>39905</v>
      </c>
      <c r="B3650" s="1415">
        <v>67.709999999999994</v>
      </c>
    </row>
    <row r="3651" spans="1:2" x14ac:dyDescent="0.35">
      <c r="A3651" s="1416">
        <v>39906</v>
      </c>
      <c r="B3651" s="1415">
        <v>68.75</v>
      </c>
    </row>
    <row r="3652" spans="1:2" x14ac:dyDescent="0.35">
      <c r="A3652" s="1416">
        <v>39909</v>
      </c>
      <c r="B3652" s="1415">
        <v>69.44</v>
      </c>
    </row>
    <row r="3653" spans="1:2" x14ac:dyDescent="0.35">
      <c r="A3653" s="1416">
        <v>39910</v>
      </c>
      <c r="B3653" s="1415">
        <v>63.33</v>
      </c>
    </row>
    <row r="3654" spans="1:2" x14ac:dyDescent="0.35">
      <c r="A3654" s="1416">
        <v>39911</v>
      </c>
      <c r="B3654" s="1415">
        <v>62.92</v>
      </c>
    </row>
    <row r="3655" spans="1:2" x14ac:dyDescent="0.35">
      <c r="A3655" s="1416">
        <v>39912</v>
      </c>
      <c r="B3655" s="1415">
        <v>61.51</v>
      </c>
    </row>
    <row r="3656" spans="1:2" x14ac:dyDescent="0.35">
      <c r="A3656" s="1416">
        <v>39916</v>
      </c>
      <c r="B3656" s="1415">
        <v>60.56</v>
      </c>
    </row>
    <row r="3657" spans="1:2" x14ac:dyDescent="0.35">
      <c r="A3657" s="1416">
        <v>39917</v>
      </c>
      <c r="B3657" s="1415">
        <v>63.05</v>
      </c>
    </row>
    <row r="3658" spans="1:2" x14ac:dyDescent="0.35">
      <c r="A3658" s="1416">
        <v>39918</v>
      </c>
      <c r="B3658" s="1415">
        <v>63.81</v>
      </c>
    </row>
    <row r="3659" spans="1:2" x14ac:dyDescent="0.35">
      <c r="A3659" s="1416">
        <v>39919</v>
      </c>
      <c r="B3659" s="1415">
        <v>66.55</v>
      </c>
    </row>
    <row r="3660" spans="1:2" x14ac:dyDescent="0.35">
      <c r="A3660" s="1416">
        <v>39920</v>
      </c>
      <c r="B3660" s="1415">
        <v>66.33</v>
      </c>
    </row>
    <row r="3661" spans="1:2" x14ac:dyDescent="0.35">
      <c r="A3661" s="1416">
        <v>39923</v>
      </c>
      <c r="B3661" s="1415">
        <v>65.77</v>
      </c>
    </row>
    <row r="3662" spans="1:2" x14ac:dyDescent="0.35">
      <c r="A3662" s="1416">
        <v>39924</v>
      </c>
      <c r="B3662" s="1415">
        <v>61.15</v>
      </c>
    </row>
    <row r="3663" spans="1:2" x14ac:dyDescent="0.35">
      <c r="A3663" s="1416">
        <v>39925</v>
      </c>
      <c r="B3663" s="1415">
        <v>61.57</v>
      </c>
    </row>
    <row r="3664" spans="1:2" x14ac:dyDescent="0.35">
      <c r="A3664" s="1416">
        <v>39926</v>
      </c>
      <c r="B3664" s="1415">
        <v>59.46</v>
      </c>
    </row>
    <row r="3665" spans="1:2" x14ac:dyDescent="0.35">
      <c r="A3665" s="1416">
        <v>39927</v>
      </c>
      <c r="B3665" s="1415">
        <v>61.16</v>
      </c>
    </row>
    <row r="3666" spans="1:2" x14ac:dyDescent="0.35">
      <c r="A3666" s="1416">
        <v>39930</v>
      </c>
      <c r="B3666" s="1415">
        <v>62.08</v>
      </c>
    </row>
    <row r="3667" spans="1:2" x14ac:dyDescent="0.35">
      <c r="A3667" s="1416">
        <v>39931</v>
      </c>
      <c r="B3667" s="1415">
        <v>61.54</v>
      </c>
    </row>
    <row r="3668" spans="1:2" x14ac:dyDescent="0.35">
      <c r="A3668" s="1416">
        <v>39932</v>
      </c>
      <c r="B3668" s="1415">
        <v>62.48</v>
      </c>
    </row>
    <row r="3669" spans="1:2" x14ac:dyDescent="0.35">
      <c r="A3669" s="1416">
        <v>39933</v>
      </c>
      <c r="B3669" s="1415">
        <v>62.95</v>
      </c>
    </row>
    <row r="3670" spans="1:2" x14ac:dyDescent="0.35">
      <c r="A3670" s="1416">
        <v>39934</v>
      </c>
      <c r="B3670" s="1415">
        <v>59.45</v>
      </c>
    </row>
    <row r="3671" spans="1:2" x14ac:dyDescent="0.35">
      <c r="A3671" s="1416">
        <v>39937</v>
      </c>
      <c r="B3671" s="1415">
        <v>58.36</v>
      </c>
    </row>
    <row r="3672" spans="1:2" x14ac:dyDescent="0.35">
      <c r="A3672" s="1416">
        <v>39938</v>
      </c>
      <c r="B3672" s="1415">
        <v>59.05</v>
      </c>
    </row>
    <row r="3673" spans="1:2" x14ac:dyDescent="0.35">
      <c r="A3673" s="1416">
        <v>39939</v>
      </c>
      <c r="B3673" s="1415">
        <v>59</v>
      </c>
    </row>
    <row r="3674" spans="1:2" x14ac:dyDescent="0.35">
      <c r="A3674" s="1416">
        <v>39940</v>
      </c>
      <c r="B3674" s="1415">
        <v>56.74</v>
      </c>
    </row>
    <row r="3675" spans="1:2" x14ac:dyDescent="0.35">
      <c r="A3675" s="1416">
        <v>39941</v>
      </c>
      <c r="B3675" s="1415">
        <v>57.07</v>
      </c>
    </row>
    <row r="3676" spans="1:2" x14ac:dyDescent="0.35">
      <c r="A3676" s="1416">
        <v>39944</v>
      </c>
      <c r="B3676" s="1415">
        <v>59.91</v>
      </c>
    </row>
    <row r="3677" spans="1:2" x14ac:dyDescent="0.35">
      <c r="A3677" s="1416">
        <v>39945</v>
      </c>
      <c r="B3677" s="1415">
        <v>59.82</v>
      </c>
    </row>
    <row r="3678" spans="1:2" x14ac:dyDescent="0.35">
      <c r="A3678" s="1416">
        <v>39946</v>
      </c>
      <c r="B3678" s="1415">
        <v>61.01</v>
      </c>
    </row>
    <row r="3679" spans="1:2" x14ac:dyDescent="0.35">
      <c r="A3679" s="1416">
        <v>39947</v>
      </c>
      <c r="B3679" s="1415">
        <v>64.180000000000007</v>
      </c>
    </row>
    <row r="3680" spans="1:2" x14ac:dyDescent="0.35">
      <c r="A3680" s="1416">
        <v>39948</v>
      </c>
      <c r="B3680" s="1415">
        <v>63.7</v>
      </c>
    </row>
    <row r="3681" spans="1:2" x14ac:dyDescent="0.35">
      <c r="A3681" s="1416">
        <v>39951</v>
      </c>
      <c r="B3681" s="1415">
        <v>63.25</v>
      </c>
    </row>
    <row r="3682" spans="1:2" x14ac:dyDescent="0.35">
      <c r="A3682" s="1416">
        <v>39952</v>
      </c>
      <c r="B3682" s="1415">
        <v>62.91</v>
      </c>
    </row>
    <row r="3683" spans="1:2" x14ac:dyDescent="0.35">
      <c r="A3683" s="1416">
        <v>39953</v>
      </c>
      <c r="B3683" s="1415">
        <v>61.44</v>
      </c>
    </row>
    <row r="3684" spans="1:2" x14ac:dyDescent="0.35">
      <c r="A3684" s="1416">
        <v>39954</v>
      </c>
      <c r="B3684" s="1415">
        <v>61.97</v>
      </c>
    </row>
    <row r="3685" spans="1:2" x14ac:dyDescent="0.35">
      <c r="A3685" s="1416">
        <v>39955</v>
      </c>
      <c r="B3685" s="1415">
        <v>60.95</v>
      </c>
    </row>
    <row r="3686" spans="1:2" x14ac:dyDescent="0.35">
      <c r="A3686" s="1416">
        <v>39959</v>
      </c>
      <c r="B3686" s="1415">
        <v>61.12</v>
      </c>
    </row>
    <row r="3687" spans="1:2" x14ac:dyDescent="0.35">
      <c r="A3687" s="1416">
        <v>39960</v>
      </c>
      <c r="B3687" s="1415">
        <v>58.25</v>
      </c>
    </row>
    <row r="3688" spans="1:2" x14ac:dyDescent="0.35">
      <c r="A3688" s="1416">
        <v>39961</v>
      </c>
      <c r="B3688" s="1415">
        <v>56.43</v>
      </c>
    </row>
    <row r="3689" spans="1:2" x14ac:dyDescent="0.35">
      <c r="A3689" s="1416">
        <v>39962</v>
      </c>
      <c r="B3689" s="1415">
        <v>59.1</v>
      </c>
    </row>
    <row r="3690" spans="1:2" x14ac:dyDescent="0.35">
      <c r="A3690" s="1416">
        <v>39965</v>
      </c>
      <c r="B3690" s="1415">
        <v>60.86</v>
      </c>
    </row>
    <row r="3691" spans="1:2" x14ac:dyDescent="0.35">
      <c r="A3691" s="1416">
        <v>39966</v>
      </c>
      <c r="B3691" s="1415">
        <v>64.180000000000007</v>
      </c>
    </row>
    <row r="3692" spans="1:2" x14ac:dyDescent="0.35">
      <c r="A3692" s="1416">
        <v>39967</v>
      </c>
      <c r="B3692" s="1415">
        <v>64.73</v>
      </c>
    </row>
    <row r="3693" spans="1:2" x14ac:dyDescent="0.35">
      <c r="A3693" s="1416">
        <v>39968</v>
      </c>
      <c r="B3693" s="1415">
        <v>62.86</v>
      </c>
    </row>
    <row r="3694" spans="1:2" x14ac:dyDescent="0.35">
      <c r="A3694" s="1416">
        <v>39969</v>
      </c>
      <c r="B3694" s="1415">
        <v>62.98</v>
      </c>
    </row>
    <row r="3695" spans="1:2" x14ac:dyDescent="0.35">
      <c r="A3695" s="1416">
        <v>39972</v>
      </c>
      <c r="B3695" s="1415">
        <v>65.180000000000007</v>
      </c>
    </row>
    <row r="3696" spans="1:2" x14ac:dyDescent="0.35">
      <c r="A3696" s="1416">
        <v>39973</v>
      </c>
      <c r="B3696" s="1415">
        <v>64.75</v>
      </c>
    </row>
    <row r="3697" spans="1:2" x14ac:dyDescent="0.35">
      <c r="A3697" s="1416">
        <v>39974</v>
      </c>
      <c r="B3697" s="1415">
        <v>64.56</v>
      </c>
    </row>
    <row r="3698" spans="1:2" x14ac:dyDescent="0.35">
      <c r="A3698" s="1416">
        <v>39975</v>
      </c>
      <c r="B3698" s="1415">
        <v>64.099999999999994</v>
      </c>
    </row>
    <row r="3699" spans="1:2" x14ac:dyDescent="0.35">
      <c r="A3699" s="1416">
        <v>39976</v>
      </c>
      <c r="B3699" s="1415">
        <v>64.41</v>
      </c>
    </row>
    <row r="3700" spans="1:2" x14ac:dyDescent="0.35">
      <c r="A3700" s="1416">
        <v>39979</v>
      </c>
      <c r="B3700" s="1415">
        <v>63.62</v>
      </c>
    </row>
    <row r="3701" spans="1:2" x14ac:dyDescent="0.35">
      <c r="A3701" s="1416">
        <v>39980</v>
      </c>
      <c r="B3701" s="1415">
        <v>63.52</v>
      </c>
    </row>
    <row r="3702" spans="1:2" x14ac:dyDescent="0.35">
      <c r="A3702" s="1416">
        <v>39981</v>
      </c>
      <c r="B3702" s="1415">
        <v>66.400000000000006</v>
      </c>
    </row>
    <row r="3703" spans="1:2" x14ac:dyDescent="0.35">
      <c r="A3703" s="1416">
        <v>39982</v>
      </c>
      <c r="B3703" s="1415">
        <v>66.94</v>
      </c>
    </row>
    <row r="3704" spans="1:2" x14ac:dyDescent="0.35">
      <c r="A3704" s="1416">
        <v>39983</v>
      </c>
      <c r="B3704" s="1415">
        <v>66.19</v>
      </c>
    </row>
    <row r="3705" spans="1:2" x14ac:dyDescent="0.35">
      <c r="A3705" s="1416">
        <v>39986</v>
      </c>
      <c r="B3705" s="1415">
        <v>64.349999999999994</v>
      </c>
    </row>
    <row r="3706" spans="1:2" x14ac:dyDescent="0.35">
      <c r="A3706" s="1416">
        <v>39987</v>
      </c>
      <c r="B3706" s="1415">
        <v>64.41</v>
      </c>
    </row>
    <row r="3707" spans="1:2" x14ac:dyDescent="0.35">
      <c r="A3707" s="1416">
        <v>39988</v>
      </c>
      <c r="B3707" s="1415">
        <v>64.540000000000006</v>
      </c>
    </row>
    <row r="3708" spans="1:2" x14ac:dyDescent="0.35">
      <c r="A3708" s="1416">
        <v>39989</v>
      </c>
      <c r="B3708" s="1415">
        <v>67.319999999999993</v>
      </c>
    </row>
    <row r="3709" spans="1:2" x14ac:dyDescent="0.35">
      <c r="A3709" s="1416">
        <v>39990</v>
      </c>
      <c r="B3709" s="1415">
        <v>68.5</v>
      </c>
    </row>
    <row r="3710" spans="1:2" x14ac:dyDescent="0.35">
      <c r="A3710" s="1416">
        <v>39993</v>
      </c>
      <c r="B3710" s="1415">
        <v>65.989999999999995</v>
      </c>
    </row>
    <row r="3711" spans="1:2" x14ac:dyDescent="0.35">
      <c r="A3711" s="1416">
        <v>39994</v>
      </c>
      <c r="B3711" s="1415">
        <v>71.12</v>
      </c>
    </row>
    <row r="3712" spans="1:2" x14ac:dyDescent="0.35">
      <c r="A3712" s="1416">
        <v>39995</v>
      </c>
      <c r="B3712" s="1415">
        <v>69.599999999999994</v>
      </c>
    </row>
    <row r="3713" spans="1:2" x14ac:dyDescent="0.35">
      <c r="A3713" s="1416">
        <v>39996</v>
      </c>
      <c r="B3713" s="1415">
        <v>67.900000000000006</v>
      </c>
    </row>
    <row r="3714" spans="1:2" x14ac:dyDescent="0.35">
      <c r="A3714" s="1416">
        <v>40000</v>
      </c>
      <c r="B3714" s="1415">
        <v>66.59</v>
      </c>
    </row>
    <row r="3715" spans="1:2" x14ac:dyDescent="0.35">
      <c r="A3715" s="1416">
        <v>40001</v>
      </c>
      <c r="B3715" s="1415">
        <v>66.34</v>
      </c>
    </row>
    <row r="3716" spans="1:2" x14ac:dyDescent="0.35">
      <c r="A3716" s="1416">
        <v>40002</v>
      </c>
      <c r="B3716" s="1415">
        <v>66.13</v>
      </c>
    </row>
    <row r="3717" spans="1:2" x14ac:dyDescent="0.35">
      <c r="A3717" s="1416">
        <v>40003</v>
      </c>
      <c r="B3717" s="1415">
        <v>65.12</v>
      </c>
    </row>
    <row r="3718" spans="1:2" x14ac:dyDescent="0.35">
      <c r="A3718" s="1416">
        <v>40004</v>
      </c>
      <c r="B3718" s="1415">
        <v>65.05</v>
      </c>
    </row>
    <row r="3719" spans="1:2" x14ac:dyDescent="0.35">
      <c r="A3719" s="1416">
        <v>40007</v>
      </c>
      <c r="B3719" s="1415">
        <v>65.260000000000005</v>
      </c>
    </row>
    <row r="3720" spans="1:2" x14ac:dyDescent="0.35">
      <c r="A3720" s="1416">
        <v>40008</v>
      </c>
      <c r="B3720" s="1415">
        <v>66.89</v>
      </c>
    </row>
    <row r="3721" spans="1:2" x14ac:dyDescent="0.35">
      <c r="A3721" s="1416">
        <v>40009</v>
      </c>
      <c r="B3721" s="1415">
        <v>66.349999999999994</v>
      </c>
    </row>
    <row r="3722" spans="1:2" x14ac:dyDescent="0.35">
      <c r="A3722" s="1416">
        <v>40010</v>
      </c>
      <c r="B3722" s="1415">
        <v>66.260000000000005</v>
      </c>
    </row>
    <row r="3723" spans="1:2" x14ac:dyDescent="0.35">
      <c r="A3723" s="1416">
        <v>40011</v>
      </c>
      <c r="B3723" s="1415">
        <v>66.97</v>
      </c>
    </row>
    <row r="3724" spans="1:2" x14ac:dyDescent="0.35">
      <c r="A3724" s="1416">
        <v>40014</v>
      </c>
      <c r="B3724" s="1415">
        <v>67.349999999999994</v>
      </c>
    </row>
    <row r="3725" spans="1:2" x14ac:dyDescent="0.35">
      <c r="A3725" s="1416">
        <v>40015</v>
      </c>
      <c r="B3725" s="1415">
        <v>67.75</v>
      </c>
    </row>
    <row r="3726" spans="1:2" x14ac:dyDescent="0.35">
      <c r="A3726" s="1416">
        <v>40016</v>
      </c>
      <c r="B3726" s="1415">
        <v>68.47</v>
      </c>
    </row>
    <row r="3727" spans="1:2" x14ac:dyDescent="0.35">
      <c r="A3727" s="1416">
        <v>40017</v>
      </c>
      <c r="B3727" s="1415">
        <v>67.48</v>
      </c>
    </row>
    <row r="3728" spans="1:2" x14ac:dyDescent="0.35">
      <c r="A3728" s="1416">
        <v>40018</v>
      </c>
      <c r="B3728" s="1415">
        <v>66.97</v>
      </c>
    </row>
    <row r="3729" spans="1:2" x14ac:dyDescent="0.35">
      <c r="A3729" s="1416">
        <v>40021</v>
      </c>
      <c r="B3729" s="1415">
        <v>66.430000000000007</v>
      </c>
    </row>
    <row r="3730" spans="1:2" x14ac:dyDescent="0.35">
      <c r="A3730" s="1416">
        <v>40022</v>
      </c>
      <c r="B3730" s="1415">
        <v>67.150000000000006</v>
      </c>
    </row>
    <row r="3731" spans="1:2" x14ac:dyDescent="0.35">
      <c r="A3731" s="1416">
        <v>40023</v>
      </c>
      <c r="B3731" s="1415">
        <v>69.64</v>
      </c>
    </row>
    <row r="3732" spans="1:2" x14ac:dyDescent="0.35">
      <c r="A3732" s="1416">
        <v>40024</v>
      </c>
      <c r="B3732" s="1415">
        <v>69.400000000000006</v>
      </c>
    </row>
    <row r="3733" spans="1:2" x14ac:dyDescent="0.35">
      <c r="A3733" s="1416">
        <v>40025</v>
      </c>
      <c r="B3733" s="1415">
        <v>69.040000000000006</v>
      </c>
    </row>
    <row r="3734" spans="1:2" x14ac:dyDescent="0.35">
      <c r="A3734" s="1416">
        <v>40028</v>
      </c>
      <c r="B3734" s="1415">
        <v>69.97</v>
      </c>
    </row>
    <row r="3735" spans="1:2" x14ac:dyDescent="0.35">
      <c r="A3735" s="1416">
        <v>40029</v>
      </c>
      <c r="B3735" s="1415">
        <v>71.22</v>
      </c>
    </row>
    <row r="3736" spans="1:2" x14ac:dyDescent="0.35">
      <c r="A3736" s="1416">
        <v>40030</v>
      </c>
      <c r="B3736" s="1415">
        <v>70.239999999999995</v>
      </c>
    </row>
    <row r="3737" spans="1:2" x14ac:dyDescent="0.35">
      <c r="A3737" s="1416">
        <v>40031</v>
      </c>
      <c r="B3737" s="1415">
        <v>68.430000000000007</v>
      </c>
    </row>
    <row r="3738" spans="1:2" x14ac:dyDescent="0.35">
      <c r="A3738" s="1416">
        <v>40032</v>
      </c>
      <c r="B3738" s="1415">
        <v>67.58</v>
      </c>
    </row>
    <row r="3739" spans="1:2" x14ac:dyDescent="0.35">
      <c r="A3739" s="1416">
        <v>40035</v>
      </c>
      <c r="B3739" s="1415">
        <v>67.819999999999993</v>
      </c>
    </row>
    <row r="3740" spans="1:2" x14ac:dyDescent="0.35">
      <c r="A3740" s="1416">
        <v>40036</v>
      </c>
      <c r="B3740" s="1415">
        <v>66.92</v>
      </c>
    </row>
    <row r="3741" spans="1:2" x14ac:dyDescent="0.35">
      <c r="A3741" s="1416">
        <v>40037</v>
      </c>
      <c r="B3741" s="1415">
        <v>66.459999999999994</v>
      </c>
    </row>
    <row r="3742" spans="1:2" x14ac:dyDescent="0.35">
      <c r="A3742" s="1416">
        <v>40038</v>
      </c>
      <c r="B3742" s="1415">
        <v>66.13</v>
      </c>
    </row>
    <row r="3743" spans="1:2" x14ac:dyDescent="0.35">
      <c r="A3743" s="1416">
        <v>40039</v>
      </c>
      <c r="B3743" s="1415">
        <v>65.73</v>
      </c>
    </row>
    <row r="3744" spans="1:2" x14ac:dyDescent="0.35">
      <c r="A3744" s="1416">
        <v>40042</v>
      </c>
      <c r="B3744" s="1415">
        <v>64.8</v>
      </c>
    </row>
    <row r="3745" spans="1:2" x14ac:dyDescent="0.35">
      <c r="A3745" s="1416">
        <v>40043</v>
      </c>
      <c r="B3745" s="1415">
        <v>64.33</v>
      </c>
    </row>
    <row r="3746" spans="1:2" x14ac:dyDescent="0.35">
      <c r="A3746" s="1416">
        <v>40044</v>
      </c>
      <c r="B3746" s="1415">
        <v>63.85</v>
      </c>
    </row>
    <row r="3747" spans="1:2" x14ac:dyDescent="0.35">
      <c r="A3747" s="1416">
        <v>40045</v>
      </c>
      <c r="B3747" s="1415">
        <v>64.47</v>
      </c>
    </row>
    <row r="3748" spans="1:2" x14ac:dyDescent="0.35">
      <c r="A3748" s="1416">
        <v>40046</v>
      </c>
      <c r="B3748" s="1415">
        <v>64.84</v>
      </c>
    </row>
    <row r="3749" spans="1:2" x14ac:dyDescent="0.35">
      <c r="A3749" s="1416">
        <v>40049</v>
      </c>
      <c r="B3749" s="1415">
        <v>64.56</v>
      </c>
    </row>
    <row r="3750" spans="1:2" x14ac:dyDescent="0.35">
      <c r="A3750" s="1416">
        <v>40050</v>
      </c>
      <c r="B3750" s="1415">
        <v>65.69</v>
      </c>
    </row>
    <row r="3751" spans="1:2" x14ac:dyDescent="0.35">
      <c r="A3751" s="1416">
        <v>40051</v>
      </c>
      <c r="B3751" s="1415">
        <v>66.3</v>
      </c>
    </row>
    <row r="3752" spans="1:2" x14ac:dyDescent="0.35">
      <c r="A3752" s="1416">
        <v>40052</v>
      </c>
      <c r="B3752" s="1415">
        <v>67.2</v>
      </c>
    </row>
    <row r="3753" spans="1:2" x14ac:dyDescent="0.35">
      <c r="A3753" s="1416">
        <v>40053</v>
      </c>
      <c r="B3753" s="1415">
        <v>67.56</v>
      </c>
    </row>
    <row r="3754" spans="1:2" x14ac:dyDescent="0.35">
      <c r="A3754" s="1416">
        <v>40056</v>
      </c>
      <c r="B3754" s="1415">
        <v>64.84</v>
      </c>
    </row>
    <row r="3755" spans="1:2" x14ac:dyDescent="0.35">
      <c r="A3755" s="1416">
        <v>40057</v>
      </c>
      <c r="B3755" s="1415">
        <v>63.63</v>
      </c>
    </row>
    <row r="3756" spans="1:2" x14ac:dyDescent="0.35">
      <c r="A3756" s="1416">
        <v>40058</v>
      </c>
      <c r="B3756" s="1415">
        <v>64.3</v>
      </c>
    </row>
    <row r="3757" spans="1:2" x14ac:dyDescent="0.35">
      <c r="A3757" s="1416">
        <v>40059</v>
      </c>
      <c r="B3757" s="1415">
        <v>65.88</v>
      </c>
    </row>
    <row r="3758" spans="1:2" x14ac:dyDescent="0.35">
      <c r="A3758" s="1416">
        <v>40060</v>
      </c>
      <c r="B3758" s="1415">
        <v>65.569999999999993</v>
      </c>
    </row>
    <row r="3759" spans="1:2" x14ac:dyDescent="0.35">
      <c r="A3759" s="1416">
        <v>40064</v>
      </c>
      <c r="B3759" s="1415">
        <v>65.430000000000007</v>
      </c>
    </row>
    <row r="3760" spans="1:2" x14ac:dyDescent="0.35">
      <c r="A3760" s="1416">
        <v>40065</v>
      </c>
      <c r="B3760" s="1415">
        <v>66.63</v>
      </c>
    </row>
    <row r="3761" spans="1:2" x14ac:dyDescent="0.35">
      <c r="A3761" s="1416">
        <v>40066</v>
      </c>
      <c r="B3761" s="1415">
        <v>67.3</v>
      </c>
    </row>
    <row r="3762" spans="1:2" x14ac:dyDescent="0.35">
      <c r="A3762" s="1416">
        <v>40067</v>
      </c>
      <c r="B3762" s="1415">
        <v>65.87</v>
      </c>
    </row>
    <row r="3763" spans="1:2" x14ac:dyDescent="0.35">
      <c r="A3763" s="1416">
        <v>40070</v>
      </c>
      <c r="B3763" s="1415">
        <v>66.599999999999994</v>
      </c>
    </row>
    <row r="3764" spans="1:2" x14ac:dyDescent="0.35">
      <c r="A3764" s="1416">
        <v>40071</v>
      </c>
      <c r="B3764" s="1415">
        <v>67.7</v>
      </c>
    </row>
    <row r="3765" spans="1:2" x14ac:dyDescent="0.35">
      <c r="A3765" s="1416">
        <v>40072</v>
      </c>
      <c r="B3765" s="1415">
        <v>67.44</v>
      </c>
    </row>
    <row r="3766" spans="1:2" x14ac:dyDescent="0.35">
      <c r="A3766" s="1416">
        <v>40073</v>
      </c>
      <c r="B3766" s="1415">
        <v>69.27</v>
      </c>
    </row>
    <row r="3767" spans="1:2" x14ac:dyDescent="0.35">
      <c r="A3767" s="1416">
        <v>40074</v>
      </c>
      <c r="B3767" s="1415">
        <v>69.02</v>
      </c>
    </row>
    <row r="3768" spans="1:2" x14ac:dyDescent="0.35">
      <c r="A3768" s="1416">
        <v>40077</v>
      </c>
      <c r="B3768" s="1415">
        <v>74.739999999999995</v>
      </c>
    </row>
    <row r="3769" spans="1:2" x14ac:dyDescent="0.35">
      <c r="A3769" s="1416">
        <v>40078</v>
      </c>
      <c r="B3769" s="1415">
        <v>71.319999999999993</v>
      </c>
    </row>
    <row r="3770" spans="1:2" x14ac:dyDescent="0.35">
      <c r="A3770" s="1416">
        <v>40079</v>
      </c>
      <c r="B3770" s="1415">
        <v>70.510000000000005</v>
      </c>
    </row>
    <row r="3771" spans="1:2" x14ac:dyDescent="0.35">
      <c r="A3771" s="1416">
        <v>40080</v>
      </c>
      <c r="B3771" s="1415">
        <v>70.510000000000005</v>
      </c>
    </row>
    <row r="3772" spans="1:2" x14ac:dyDescent="0.35">
      <c r="A3772" s="1416">
        <v>40081</v>
      </c>
      <c r="B3772" s="1415">
        <v>70.650000000000006</v>
      </c>
    </row>
    <row r="3773" spans="1:2" x14ac:dyDescent="0.35">
      <c r="A3773" s="1416">
        <v>40084</v>
      </c>
      <c r="B3773" s="1415">
        <v>71.069999999999993</v>
      </c>
    </row>
    <row r="3774" spans="1:2" x14ac:dyDescent="0.35">
      <c r="A3774" s="1416">
        <v>40085</v>
      </c>
      <c r="B3774" s="1415">
        <v>72.61</v>
      </c>
    </row>
    <row r="3775" spans="1:2" x14ac:dyDescent="0.35">
      <c r="A3775" s="1416">
        <v>40086</v>
      </c>
      <c r="B3775" s="1415">
        <v>73.67</v>
      </c>
    </row>
    <row r="3776" spans="1:2" x14ac:dyDescent="0.35">
      <c r="A3776" s="1416">
        <v>40087</v>
      </c>
      <c r="B3776" s="1415">
        <v>72.37</v>
      </c>
    </row>
    <row r="3777" spans="1:2" x14ac:dyDescent="0.35">
      <c r="A3777" s="1416">
        <v>40088</v>
      </c>
      <c r="B3777" s="1415">
        <v>71</v>
      </c>
    </row>
    <row r="3778" spans="1:2" x14ac:dyDescent="0.35">
      <c r="A3778" s="1416">
        <v>40091</v>
      </c>
      <c r="B3778" s="1415">
        <v>70.97</v>
      </c>
    </row>
    <row r="3779" spans="1:2" x14ac:dyDescent="0.35">
      <c r="A3779" s="1416">
        <v>40092</v>
      </c>
      <c r="B3779" s="1415">
        <v>71.36</v>
      </c>
    </row>
    <row r="3780" spans="1:2" x14ac:dyDescent="0.35">
      <c r="A3780" s="1416">
        <v>40093</v>
      </c>
      <c r="B3780" s="1415">
        <v>73.099999999999994</v>
      </c>
    </row>
    <row r="3781" spans="1:2" x14ac:dyDescent="0.35">
      <c r="A3781" s="1416">
        <v>40094</v>
      </c>
      <c r="B3781" s="1415">
        <v>74.23</v>
      </c>
    </row>
    <row r="3782" spans="1:2" x14ac:dyDescent="0.35">
      <c r="A3782" s="1416">
        <v>40095</v>
      </c>
      <c r="B3782" s="1415">
        <v>73.95</v>
      </c>
    </row>
    <row r="3783" spans="1:2" x14ac:dyDescent="0.35">
      <c r="A3783" s="1416">
        <v>40098</v>
      </c>
      <c r="B3783" s="1415">
        <v>73.5</v>
      </c>
    </row>
    <row r="3784" spans="1:2" x14ac:dyDescent="0.35">
      <c r="A3784" s="1416">
        <v>40099</v>
      </c>
      <c r="B3784" s="1415">
        <v>73.47</v>
      </c>
    </row>
    <row r="3785" spans="1:2" x14ac:dyDescent="0.35">
      <c r="A3785" s="1416">
        <v>40100</v>
      </c>
      <c r="B3785" s="1415">
        <v>75.319999999999993</v>
      </c>
    </row>
    <row r="3786" spans="1:2" x14ac:dyDescent="0.35">
      <c r="A3786" s="1416">
        <v>40101</v>
      </c>
      <c r="B3786" s="1415">
        <v>74.599999999999994</v>
      </c>
    </row>
    <row r="3787" spans="1:2" x14ac:dyDescent="0.35">
      <c r="A3787" s="1416">
        <v>40102</v>
      </c>
      <c r="B3787" s="1415">
        <v>73.98</v>
      </c>
    </row>
    <row r="3788" spans="1:2" x14ac:dyDescent="0.35">
      <c r="A3788" s="1416">
        <v>40105</v>
      </c>
      <c r="B3788" s="1415">
        <v>73.91</v>
      </c>
    </row>
    <row r="3789" spans="1:2" x14ac:dyDescent="0.35">
      <c r="A3789" s="1416">
        <v>40106</v>
      </c>
      <c r="B3789" s="1415">
        <v>75.52</v>
      </c>
    </row>
    <row r="3790" spans="1:2" x14ac:dyDescent="0.35">
      <c r="A3790" s="1416">
        <v>40107</v>
      </c>
      <c r="B3790" s="1415">
        <v>75.39</v>
      </c>
    </row>
    <row r="3791" spans="1:2" x14ac:dyDescent="0.35">
      <c r="A3791" s="1416">
        <v>40108</v>
      </c>
      <c r="B3791" s="1415">
        <v>74.81</v>
      </c>
    </row>
    <row r="3792" spans="1:2" x14ac:dyDescent="0.35">
      <c r="A3792" s="1416">
        <v>40109</v>
      </c>
      <c r="B3792" s="1415">
        <v>74.03</v>
      </c>
    </row>
    <row r="3793" spans="1:2" x14ac:dyDescent="0.35">
      <c r="A3793" s="1416">
        <v>40112</v>
      </c>
      <c r="B3793" s="1415">
        <v>73.2</v>
      </c>
    </row>
    <row r="3794" spans="1:2" x14ac:dyDescent="0.35">
      <c r="A3794" s="1416">
        <v>40113</v>
      </c>
      <c r="B3794" s="1415">
        <v>72.97</v>
      </c>
    </row>
    <row r="3795" spans="1:2" x14ac:dyDescent="0.35">
      <c r="A3795" s="1416">
        <v>40114</v>
      </c>
      <c r="B3795" s="1415">
        <v>60.06</v>
      </c>
    </row>
    <row r="3796" spans="1:2" x14ac:dyDescent="0.35">
      <c r="A3796" s="1416">
        <v>40115</v>
      </c>
      <c r="B3796" s="1415">
        <v>58.15</v>
      </c>
    </row>
    <row r="3797" spans="1:2" x14ac:dyDescent="0.35">
      <c r="A3797" s="1416">
        <v>40116</v>
      </c>
      <c r="B3797" s="1415">
        <v>57.1</v>
      </c>
    </row>
    <row r="3798" spans="1:2" x14ac:dyDescent="0.35">
      <c r="A3798" s="1416">
        <v>40119</v>
      </c>
      <c r="B3798" s="1415">
        <v>57.36</v>
      </c>
    </row>
    <row r="3799" spans="1:2" x14ac:dyDescent="0.35">
      <c r="A3799" s="1416">
        <v>40120</v>
      </c>
      <c r="B3799" s="1415">
        <v>57.29</v>
      </c>
    </row>
    <row r="3800" spans="1:2" x14ac:dyDescent="0.35">
      <c r="A3800" s="1416">
        <v>40121</v>
      </c>
      <c r="B3800" s="1415">
        <v>56.8</v>
      </c>
    </row>
    <row r="3801" spans="1:2" x14ac:dyDescent="0.35">
      <c r="A3801" s="1416">
        <v>40122</v>
      </c>
      <c r="B3801" s="1415">
        <v>56.47</v>
      </c>
    </row>
    <row r="3802" spans="1:2" x14ac:dyDescent="0.35">
      <c r="A3802" s="1416">
        <v>40123</v>
      </c>
      <c r="B3802" s="1415">
        <v>55.99</v>
      </c>
    </row>
    <row r="3803" spans="1:2" x14ac:dyDescent="0.35">
      <c r="A3803" s="1416">
        <v>40126</v>
      </c>
      <c r="B3803" s="1415">
        <v>55.88</v>
      </c>
    </row>
    <row r="3804" spans="1:2" x14ac:dyDescent="0.35">
      <c r="A3804" s="1416">
        <v>40127</v>
      </c>
      <c r="B3804" s="1415">
        <v>54.51</v>
      </c>
    </row>
    <row r="3805" spans="1:2" x14ac:dyDescent="0.35">
      <c r="A3805" s="1416">
        <v>40128</v>
      </c>
      <c r="B3805" s="1415">
        <v>54.7</v>
      </c>
    </row>
    <row r="3806" spans="1:2" x14ac:dyDescent="0.35">
      <c r="A3806" s="1416">
        <v>40129</v>
      </c>
      <c r="B3806" s="1415">
        <v>54.54</v>
      </c>
    </row>
    <row r="3807" spans="1:2" x14ac:dyDescent="0.35">
      <c r="A3807" s="1416">
        <v>40130</v>
      </c>
      <c r="B3807" s="1415">
        <v>53.86</v>
      </c>
    </row>
    <row r="3808" spans="1:2" x14ac:dyDescent="0.35">
      <c r="A3808" s="1416">
        <v>40133</v>
      </c>
      <c r="B3808" s="1415">
        <v>57</v>
      </c>
    </row>
    <row r="3809" spans="1:2" x14ac:dyDescent="0.35">
      <c r="A3809" s="1416">
        <v>40134</v>
      </c>
      <c r="B3809" s="1415">
        <v>56.39</v>
      </c>
    </row>
    <row r="3810" spans="1:2" x14ac:dyDescent="0.35">
      <c r="A3810" s="1416">
        <v>40135</v>
      </c>
      <c r="B3810" s="1415">
        <v>56.23</v>
      </c>
    </row>
    <row r="3811" spans="1:2" x14ac:dyDescent="0.35">
      <c r="A3811" s="1416">
        <v>40136</v>
      </c>
      <c r="B3811" s="1415">
        <v>55.15</v>
      </c>
    </row>
    <row r="3812" spans="1:2" x14ac:dyDescent="0.35">
      <c r="A3812" s="1416">
        <v>40137</v>
      </c>
      <c r="B3812" s="1415">
        <v>55.1</v>
      </c>
    </row>
    <row r="3813" spans="1:2" x14ac:dyDescent="0.35">
      <c r="A3813" s="1416">
        <v>40140</v>
      </c>
      <c r="B3813" s="1415">
        <v>55.57</v>
      </c>
    </row>
    <row r="3814" spans="1:2" x14ac:dyDescent="0.35">
      <c r="A3814" s="1416">
        <v>40141</v>
      </c>
      <c r="B3814" s="1415">
        <v>55.81</v>
      </c>
    </row>
    <row r="3815" spans="1:2" x14ac:dyDescent="0.35">
      <c r="A3815" s="1416">
        <v>40142</v>
      </c>
      <c r="B3815" s="1415">
        <v>55.63</v>
      </c>
    </row>
    <row r="3816" spans="1:2" x14ac:dyDescent="0.35">
      <c r="A3816" s="1416">
        <v>40144</v>
      </c>
      <c r="B3816" s="1415">
        <v>55.76</v>
      </c>
    </row>
    <row r="3817" spans="1:2" x14ac:dyDescent="0.35">
      <c r="A3817" s="1416">
        <v>40147</v>
      </c>
      <c r="B3817" s="1415">
        <v>57.07</v>
      </c>
    </row>
    <row r="3818" spans="1:2" x14ac:dyDescent="0.35">
      <c r="A3818" s="1416">
        <v>40148</v>
      </c>
      <c r="B3818" s="1415">
        <v>55.81</v>
      </c>
    </row>
    <row r="3819" spans="1:2" x14ac:dyDescent="0.35">
      <c r="A3819" s="1416">
        <v>40149</v>
      </c>
      <c r="B3819" s="1415">
        <v>56.4</v>
      </c>
    </row>
    <row r="3820" spans="1:2" x14ac:dyDescent="0.35">
      <c r="A3820" s="1416">
        <v>40150</v>
      </c>
      <c r="B3820" s="1415">
        <v>54.65</v>
      </c>
    </row>
    <row r="3821" spans="1:2" x14ac:dyDescent="0.35">
      <c r="A3821" s="1416">
        <v>40151</v>
      </c>
      <c r="B3821" s="1415">
        <v>54.76</v>
      </c>
    </row>
    <row r="3822" spans="1:2" x14ac:dyDescent="0.35">
      <c r="A3822" s="1416">
        <v>40154</v>
      </c>
      <c r="B3822" s="1415">
        <v>54.31</v>
      </c>
    </row>
    <row r="3823" spans="1:2" x14ac:dyDescent="0.35">
      <c r="A3823" s="1416">
        <v>40155</v>
      </c>
      <c r="B3823" s="1415">
        <v>54.67</v>
      </c>
    </row>
    <row r="3824" spans="1:2" x14ac:dyDescent="0.35">
      <c r="A3824" s="1416">
        <v>40156</v>
      </c>
      <c r="B3824" s="1415">
        <v>55.34</v>
      </c>
    </row>
    <row r="3825" spans="1:2" x14ac:dyDescent="0.35">
      <c r="A3825" s="1416">
        <v>40157</v>
      </c>
      <c r="B3825" s="1415">
        <v>55.89</v>
      </c>
    </row>
    <row r="3826" spans="1:2" x14ac:dyDescent="0.35">
      <c r="A3826" s="1416">
        <v>40158</v>
      </c>
      <c r="B3826" s="1415">
        <v>56.58</v>
      </c>
    </row>
    <row r="3827" spans="1:2" x14ac:dyDescent="0.35">
      <c r="A3827" s="1416">
        <v>40161</v>
      </c>
      <c r="B3827" s="1415">
        <v>62.057000000000002</v>
      </c>
    </row>
    <row r="3828" spans="1:2" x14ac:dyDescent="0.35">
      <c r="A3828" s="1416">
        <v>40162</v>
      </c>
      <c r="B3828" s="1415">
        <v>60.93</v>
      </c>
    </row>
    <row r="3829" spans="1:2" x14ac:dyDescent="0.35">
      <c r="A3829" s="1416">
        <v>40163</v>
      </c>
      <c r="B3829" s="1415">
        <v>60.45</v>
      </c>
    </row>
    <row r="3830" spans="1:2" x14ac:dyDescent="0.35">
      <c r="A3830" s="1416">
        <v>40164</v>
      </c>
      <c r="B3830" s="1415">
        <v>57.38</v>
      </c>
    </row>
    <row r="3831" spans="1:2" x14ac:dyDescent="0.35">
      <c r="A3831" s="1416">
        <v>40165</v>
      </c>
      <c r="B3831" s="1415">
        <v>58.4</v>
      </c>
    </row>
    <row r="3832" spans="1:2" x14ac:dyDescent="0.35">
      <c r="A3832" s="1416">
        <v>40168</v>
      </c>
      <c r="B3832" s="1415">
        <v>57.83</v>
      </c>
    </row>
    <row r="3833" spans="1:2" x14ac:dyDescent="0.35">
      <c r="A3833" s="1416">
        <v>40169</v>
      </c>
      <c r="B3833" s="1415">
        <v>57.85</v>
      </c>
    </row>
    <row r="3834" spans="1:2" x14ac:dyDescent="0.35">
      <c r="A3834" s="1416">
        <v>40170</v>
      </c>
      <c r="B3834" s="1415">
        <v>58.44</v>
      </c>
    </row>
    <row r="3835" spans="1:2" x14ac:dyDescent="0.35">
      <c r="A3835" s="1416">
        <v>40171</v>
      </c>
      <c r="B3835" s="1415">
        <v>59.27</v>
      </c>
    </row>
    <row r="3836" spans="1:2" x14ac:dyDescent="0.35">
      <c r="A3836" s="1416">
        <v>40175</v>
      </c>
      <c r="B3836" s="1415">
        <v>61.63</v>
      </c>
    </row>
    <row r="3837" spans="1:2" x14ac:dyDescent="0.35">
      <c r="A3837" s="1416">
        <v>40176</v>
      </c>
      <c r="B3837" s="1415">
        <v>61.02</v>
      </c>
    </row>
    <row r="3838" spans="1:2" x14ac:dyDescent="0.35">
      <c r="A3838" s="1416">
        <v>40177</v>
      </c>
      <c r="B3838" s="1415">
        <v>61.22</v>
      </c>
    </row>
    <row r="3839" spans="1:2" x14ac:dyDescent="0.35">
      <c r="A3839" s="1416">
        <v>40178</v>
      </c>
      <c r="B3839" s="1415">
        <v>60.58</v>
      </c>
    </row>
    <row r="3840" spans="1:2" x14ac:dyDescent="0.35">
      <c r="A3840" s="1416">
        <v>40182</v>
      </c>
      <c r="B3840" s="1415">
        <v>61.65</v>
      </c>
    </row>
    <row r="3841" spans="1:2" x14ac:dyDescent="0.35">
      <c r="A3841" s="1416">
        <v>40183</v>
      </c>
      <c r="B3841" s="1415">
        <v>61.75</v>
      </c>
    </row>
    <row r="3842" spans="1:2" x14ac:dyDescent="0.35">
      <c r="A3842" s="1416">
        <v>40184</v>
      </c>
      <c r="B3842" s="1415">
        <v>63.7</v>
      </c>
    </row>
    <row r="3843" spans="1:2" x14ac:dyDescent="0.35">
      <c r="A3843" s="1416">
        <v>40185</v>
      </c>
      <c r="B3843" s="1415">
        <v>63.94</v>
      </c>
    </row>
    <row r="3844" spans="1:2" x14ac:dyDescent="0.35">
      <c r="A3844" s="1416">
        <v>40186</v>
      </c>
      <c r="B3844" s="1415">
        <v>60.5</v>
      </c>
    </row>
    <row r="3845" spans="1:2" x14ac:dyDescent="0.35">
      <c r="A3845" s="1416">
        <v>40189</v>
      </c>
      <c r="B3845" s="1415">
        <v>59.97</v>
      </c>
    </row>
    <row r="3846" spans="1:2" x14ac:dyDescent="0.35">
      <c r="A3846" s="1416">
        <v>40190</v>
      </c>
      <c r="B3846" s="1415">
        <v>59.65</v>
      </c>
    </row>
    <row r="3847" spans="1:2" x14ac:dyDescent="0.35">
      <c r="A3847" s="1416">
        <v>40191</v>
      </c>
      <c r="B3847" s="1415">
        <v>59.95</v>
      </c>
    </row>
    <row r="3848" spans="1:2" x14ac:dyDescent="0.35">
      <c r="A3848" s="1416">
        <v>40192</v>
      </c>
      <c r="B3848" s="1415">
        <v>60.24</v>
      </c>
    </row>
    <row r="3849" spans="1:2" x14ac:dyDescent="0.35">
      <c r="A3849" s="1416">
        <v>40193</v>
      </c>
      <c r="B3849" s="1415">
        <v>60.37</v>
      </c>
    </row>
    <row r="3850" spans="1:2" x14ac:dyDescent="0.35">
      <c r="A3850" s="1416">
        <v>40197</v>
      </c>
      <c r="B3850" s="1415">
        <v>60.26</v>
      </c>
    </row>
    <row r="3851" spans="1:2" x14ac:dyDescent="0.35">
      <c r="A3851" s="1416">
        <v>40198</v>
      </c>
      <c r="B3851" s="1415">
        <v>59.33</v>
      </c>
    </row>
    <row r="3852" spans="1:2" x14ac:dyDescent="0.35">
      <c r="A3852" s="1416">
        <v>40199</v>
      </c>
      <c r="B3852" s="1415">
        <v>60.9</v>
      </c>
    </row>
    <row r="3853" spans="1:2" x14ac:dyDescent="0.35">
      <c r="A3853" s="1416">
        <v>40200</v>
      </c>
      <c r="B3853" s="1415">
        <v>61.19</v>
      </c>
    </row>
    <row r="3854" spans="1:2" x14ac:dyDescent="0.35">
      <c r="A3854" s="1416">
        <v>40203</v>
      </c>
      <c r="B3854" s="1415">
        <v>60.9</v>
      </c>
    </row>
    <row r="3855" spans="1:2" x14ac:dyDescent="0.35">
      <c r="A3855" s="1416">
        <v>40204</v>
      </c>
      <c r="B3855" s="1415">
        <v>61.88</v>
      </c>
    </row>
    <row r="3856" spans="1:2" x14ac:dyDescent="0.35">
      <c r="A3856" s="1416">
        <v>40205</v>
      </c>
      <c r="B3856" s="1415">
        <v>64.150000000000006</v>
      </c>
    </row>
    <row r="3857" spans="1:2" x14ac:dyDescent="0.35">
      <c r="A3857" s="1416">
        <v>40206</v>
      </c>
      <c r="B3857" s="1415">
        <v>62.45</v>
      </c>
    </row>
    <row r="3858" spans="1:2" x14ac:dyDescent="0.35">
      <c r="A3858" s="1416">
        <v>40207</v>
      </c>
      <c r="B3858" s="1415">
        <v>60.59</v>
      </c>
    </row>
    <row r="3859" spans="1:2" x14ac:dyDescent="0.35">
      <c r="A3859" s="1416">
        <v>40210</v>
      </c>
      <c r="B3859" s="1415">
        <v>60.2</v>
      </c>
    </row>
    <row r="3860" spans="1:2" x14ac:dyDescent="0.35">
      <c r="A3860" s="1416">
        <v>40211</v>
      </c>
      <c r="B3860" s="1415">
        <v>60.39</v>
      </c>
    </row>
    <row r="3861" spans="1:2" x14ac:dyDescent="0.35">
      <c r="A3861" s="1416">
        <v>40212</v>
      </c>
      <c r="B3861" s="1415">
        <v>61.08</v>
      </c>
    </row>
    <row r="3862" spans="1:2" x14ac:dyDescent="0.35">
      <c r="A3862" s="1416">
        <v>40213</v>
      </c>
      <c r="B3862" s="1415">
        <v>60.41</v>
      </c>
    </row>
    <row r="3863" spans="1:2" x14ac:dyDescent="0.35">
      <c r="A3863" s="1416">
        <v>40214</v>
      </c>
      <c r="B3863" s="1415">
        <v>59.93</v>
      </c>
    </row>
    <row r="3864" spans="1:2" x14ac:dyDescent="0.35">
      <c r="A3864" s="1416">
        <v>40217</v>
      </c>
      <c r="B3864" s="1415">
        <v>59.28</v>
      </c>
    </row>
    <row r="3865" spans="1:2" x14ac:dyDescent="0.35">
      <c r="A3865" s="1416">
        <v>40218</v>
      </c>
      <c r="B3865" s="1415">
        <v>59.45</v>
      </c>
    </row>
    <row r="3866" spans="1:2" x14ac:dyDescent="0.35">
      <c r="A3866" s="1416">
        <v>40219</v>
      </c>
      <c r="B3866" s="1415">
        <v>59.46</v>
      </c>
    </row>
    <row r="3867" spans="1:2" x14ac:dyDescent="0.35">
      <c r="A3867" s="1416">
        <v>40220</v>
      </c>
      <c r="B3867" s="1415">
        <v>58.3</v>
      </c>
    </row>
    <row r="3868" spans="1:2" x14ac:dyDescent="0.35">
      <c r="A3868" s="1416">
        <v>40221</v>
      </c>
      <c r="B3868" s="1415">
        <v>59.22</v>
      </c>
    </row>
    <row r="3869" spans="1:2" x14ac:dyDescent="0.35">
      <c r="A3869" s="1416">
        <v>40225</v>
      </c>
      <c r="B3869" s="1415">
        <v>60.16</v>
      </c>
    </row>
    <row r="3870" spans="1:2" x14ac:dyDescent="0.35">
      <c r="A3870" s="1416">
        <v>40226</v>
      </c>
      <c r="B3870" s="1415">
        <v>60.47</v>
      </c>
    </row>
    <row r="3871" spans="1:2" x14ac:dyDescent="0.35">
      <c r="A3871" s="1416">
        <v>40227</v>
      </c>
      <c r="B3871" s="1415">
        <v>61.45</v>
      </c>
    </row>
    <row r="3872" spans="1:2" x14ac:dyDescent="0.35">
      <c r="A3872" s="1416">
        <v>40228</v>
      </c>
      <c r="B3872" s="1415">
        <v>56.92</v>
      </c>
    </row>
    <row r="3873" spans="1:2" x14ac:dyDescent="0.35">
      <c r="A3873" s="1416">
        <v>40231</v>
      </c>
      <c r="B3873" s="1415">
        <v>57.9</v>
      </c>
    </row>
    <row r="3874" spans="1:2" x14ac:dyDescent="0.35">
      <c r="A3874" s="1416">
        <v>40232</v>
      </c>
      <c r="B3874" s="1415">
        <v>58.8</v>
      </c>
    </row>
    <row r="3875" spans="1:2" x14ac:dyDescent="0.35">
      <c r="A3875" s="1416">
        <v>40233</v>
      </c>
      <c r="B3875" s="1415">
        <v>59.54</v>
      </c>
    </row>
    <row r="3876" spans="1:2" x14ac:dyDescent="0.35">
      <c r="A3876" s="1416">
        <v>40234</v>
      </c>
      <c r="B3876" s="1415">
        <v>59.685000000000002</v>
      </c>
    </row>
    <row r="3877" spans="1:2" x14ac:dyDescent="0.35">
      <c r="A3877" s="1416">
        <v>40235</v>
      </c>
      <c r="B3877" s="1415">
        <v>59.88</v>
      </c>
    </row>
    <row r="3878" spans="1:2" x14ac:dyDescent="0.35">
      <c r="A3878" s="1416">
        <v>40238</v>
      </c>
      <c r="B3878" s="1415">
        <v>60</v>
      </c>
    </row>
    <row r="3879" spans="1:2" x14ac:dyDescent="0.35">
      <c r="A3879" s="1416">
        <v>40239</v>
      </c>
      <c r="B3879" s="1415">
        <v>59.48</v>
      </c>
    </row>
    <row r="3880" spans="1:2" x14ac:dyDescent="0.35">
      <c r="A3880" s="1416">
        <v>40240</v>
      </c>
      <c r="B3880" s="1415">
        <v>60.93</v>
      </c>
    </row>
    <row r="3881" spans="1:2" x14ac:dyDescent="0.35">
      <c r="A3881" s="1416">
        <v>40241</v>
      </c>
      <c r="B3881" s="1415">
        <v>61.17</v>
      </c>
    </row>
    <row r="3882" spans="1:2" x14ac:dyDescent="0.35">
      <c r="A3882" s="1416">
        <v>40242</v>
      </c>
      <c r="B3882" s="1415">
        <v>62.39</v>
      </c>
    </row>
    <row r="3883" spans="1:2" x14ac:dyDescent="0.35">
      <c r="A3883" s="1416">
        <v>40245</v>
      </c>
      <c r="B3883" s="1415">
        <v>62.25</v>
      </c>
    </row>
    <row r="3884" spans="1:2" x14ac:dyDescent="0.35">
      <c r="A3884" s="1416">
        <v>40246</v>
      </c>
      <c r="B3884" s="1415">
        <v>62.13</v>
      </c>
    </row>
    <row r="3885" spans="1:2" x14ac:dyDescent="0.35">
      <c r="A3885" s="1416">
        <v>40247</v>
      </c>
      <c r="B3885" s="1415">
        <v>63.362000000000002</v>
      </c>
    </row>
    <row r="3886" spans="1:2" x14ac:dyDescent="0.35">
      <c r="A3886" s="1416">
        <v>40248</v>
      </c>
      <c r="B3886" s="1415">
        <v>63.44</v>
      </c>
    </row>
    <row r="3887" spans="1:2" x14ac:dyDescent="0.35">
      <c r="A3887" s="1416">
        <v>40249</v>
      </c>
      <c r="B3887" s="1415">
        <v>63.02</v>
      </c>
    </row>
    <row r="3888" spans="1:2" x14ac:dyDescent="0.35">
      <c r="A3888" s="1416">
        <v>40252</v>
      </c>
      <c r="B3888" s="1415">
        <v>63.21</v>
      </c>
    </row>
    <row r="3889" spans="1:2" x14ac:dyDescent="0.35">
      <c r="A3889" s="1416">
        <v>40253</v>
      </c>
      <c r="B3889" s="1415">
        <v>64.650000000000006</v>
      </c>
    </row>
    <row r="3890" spans="1:2" x14ac:dyDescent="0.35">
      <c r="A3890" s="1416">
        <v>40254</v>
      </c>
      <c r="B3890" s="1415">
        <v>64.010000000000005</v>
      </c>
    </row>
    <row r="3891" spans="1:2" x14ac:dyDescent="0.35">
      <c r="A3891" s="1416">
        <v>40255</v>
      </c>
      <c r="B3891" s="1415">
        <v>64.63</v>
      </c>
    </row>
    <row r="3892" spans="1:2" x14ac:dyDescent="0.35">
      <c r="A3892" s="1416">
        <v>40256</v>
      </c>
      <c r="B3892" s="1415">
        <v>64.37</v>
      </c>
    </row>
    <row r="3893" spans="1:2" x14ac:dyDescent="0.35">
      <c r="A3893" s="1416">
        <v>40259</v>
      </c>
      <c r="B3893" s="1415">
        <v>64.47</v>
      </c>
    </row>
    <row r="3894" spans="1:2" x14ac:dyDescent="0.35">
      <c r="A3894" s="1416">
        <v>40260</v>
      </c>
      <c r="B3894" s="1415">
        <v>63.97</v>
      </c>
    </row>
    <row r="3895" spans="1:2" x14ac:dyDescent="0.35">
      <c r="A3895" s="1416">
        <v>40261</v>
      </c>
      <c r="B3895" s="1415">
        <v>63.27</v>
      </c>
    </row>
    <row r="3896" spans="1:2" x14ac:dyDescent="0.35">
      <c r="A3896" s="1416">
        <v>40262</v>
      </c>
      <c r="B3896" s="1415">
        <v>62.43</v>
      </c>
    </row>
    <row r="3897" spans="1:2" x14ac:dyDescent="0.35">
      <c r="A3897" s="1416">
        <v>40263</v>
      </c>
      <c r="B3897" s="1415">
        <v>61.28</v>
      </c>
    </row>
    <row r="3898" spans="1:2" x14ac:dyDescent="0.35">
      <c r="A3898" s="1416">
        <v>40266</v>
      </c>
      <c r="B3898" s="1415">
        <v>63.16</v>
      </c>
    </row>
    <row r="3899" spans="1:2" x14ac:dyDescent="0.35">
      <c r="A3899" s="1416">
        <v>40267</v>
      </c>
      <c r="B3899" s="1415">
        <v>62.28</v>
      </c>
    </row>
    <row r="3900" spans="1:2" x14ac:dyDescent="0.35">
      <c r="A3900" s="1416">
        <v>40268</v>
      </c>
      <c r="B3900" s="1415">
        <v>61.29</v>
      </c>
    </row>
    <row r="3901" spans="1:2" x14ac:dyDescent="0.35">
      <c r="A3901" s="1416">
        <v>40269</v>
      </c>
      <c r="B3901" s="1415">
        <v>61.5</v>
      </c>
    </row>
    <row r="3902" spans="1:2" x14ac:dyDescent="0.35">
      <c r="A3902" s="1416">
        <v>40273</v>
      </c>
      <c r="B3902" s="1415">
        <v>62.56</v>
      </c>
    </row>
    <row r="3903" spans="1:2" x14ac:dyDescent="0.35">
      <c r="A3903" s="1416">
        <v>40274</v>
      </c>
      <c r="B3903" s="1415">
        <v>63.76</v>
      </c>
    </row>
    <row r="3904" spans="1:2" x14ac:dyDescent="0.35">
      <c r="A3904" s="1416">
        <v>40275</v>
      </c>
      <c r="B3904" s="1415">
        <v>64.47</v>
      </c>
    </row>
    <row r="3905" spans="1:2" x14ac:dyDescent="0.35">
      <c r="A3905" s="1416">
        <v>40276</v>
      </c>
      <c r="B3905" s="1415">
        <v>63</v>
      </c>
    </row>
    <row r="3906" spans="1:2" x14ac:dyDescent="0.35">
      <c r="A3906" s="1416">
        <v>40277</v>
      </c>
      <c r="B3906" s="1415">
        <v>63.14</v>
      </c>
    </row>
    <row r="3907" spans="1:2" x14ac:dyDescent="0.35">
      <c r="A3907" s="1416">
        <v>40280</v>
      </c>
      <c r="B3907" s="1415">
        <v>62.57</v>
      </c>
    </row>
    <row r="3908" spans="1:2" x14ac:dyDescent="0.35">
      <c r="A3908" s="1416">
        <v>40281</v>
      </c>
      <c r="B3908" s="1415">
        <v>64.88</v>
      </c>
    </row>
    <row r="3909" spans="1:2" x14ac:dyDescent="0.35">
      <c r="A3909" s="1416">
        <v>40282</v>
      </c>
      <c r="B3909" s="1415">
        <v>63.84</v>
      </c>
    </row>
    <row r="3910" spans="1:2" x14ac:dyDescent="0.35">
      <c r="A3910" s="1416">
        <v>40283</v>
      </c>
      <c r="B3910" s="1415">
        <v>64.02</v>
      </c>
    </row>
    <row r="3911" spans="1:2" x14ac:dyDescent="0.35">
      <c r="A3911" s="1416">
        <v>40284</v>
      </c>
      <c r="B3911" s="1415">
        <v>64.61</v>
      </c>
    </row>
    <row r="3912" spans="1:2" x14ac:dyDescent="0.35">
      <c r="A3912" s="1416">
        <v>40287</v>
      </c>
      <c r="B3912" s="1415">
        <v>65.12</v>
      </c>
    </row>
    <row r="3913" spans="1:2" x14ac:dyDescent="0.35">
      <c r="A3913" s="1416">
        <v>40288</v>
      </c>
      <c r="B3913" s="1415">
        <v>64.87</v>
      </c>
    </row>
    <row r="3914" spans="1:2" x14ac:dyDescent="0.35">
      <c r="A3914" s="1416">
        <v>40289</v>
      </c>
      <c r="B3914" s="1415">
        <v>65.739999999999995</v>
      </c>
    </row>
    <row r="3915" spans="1:2" x14ac:dyDescent="0.35">
      <c r="A3915" s="1416">
        <v>40290</v>
      </c>
      <c r="B3915" s="1415">
        <v>64.88</v>
      </c>
    </row>
    <row r="3916" spans="1:2" x14ac:dyDescent="0.35">
      <c r="A3916" s="1416">
        <v>40291</v>
      </c>
      <c r="B3916" s="1415">
        <v>63.53</v>
      </c>
    </row>
    <row r="3917" spans="1:2" x14ac:dyDescent="0.35">
      <c r="A3917" s="1416">
        <v>40294</v>
      </c>
      <c r="B3917" s="1415">
        <v>62.75</v>
      </c>
    </row>
    <row r="3918" spans="1:2" x14ac:dyDescent="0.35">
      <c r="A3918" s="1416">
        <v>40295</v>
      </c>
      <c r="B3918" s="1415">
        <v>61.91</v>
      </c>
    </row>
    <row r="3919" spans="1:2" x14ac:dyDescent="0.35">
      <c r="A3919" s="1416">
        <v>40296</v>
      </c>
      <c r="B3919" s="1415">
        <v>61.5</v>
      </c>
    </row>
    <row r="3920" spans="1:2" x14ac:dyDescent="0.35">
      <c r="A3920" s="1416">
        <v>40297</v>
      </c>
      <c r="B3920" s="1415">
        <v>57.73</v>
      </c>
    </row>
    <row r="3921" spans="1:2" x14ac:dyDescent="0.35">
      <c r="A3921" s="1416">
        <v>40298</v>
      </c>
      <c r="B3921" s="1415">
        <v>57.41</v>
      </c>
    </row>
    <row r="3922" spans="1:2" x14ac:dyDescent="0.35">
      <c r="A3922" s="1416">
        <v>40301</v>
      </c>
      <c r="B3922" s="1415">
        <v>58.32</v>
      </c>
    </row>
    <row r="3923" spans="1:2" x14ac:dyDescent="0.35">
      <c r="A3923" s="1416">
        <v>40302</v>
      </c>
      <c r="B3923" s="1415">
        <v>56.1</v>
      </c>
    </row>
    <row r="3924" spans="1:2" x14ac:dyDescent="0.35">
      <c r="A3924" s="1416">
        <v>40303</v>
      </c>
      <c r="B3924" s="1415">
        <v>56.99</v>
      </c>
    </row>
    <row r="3925" spans="1:2" x14ac:dyDescent="0.35">
      <c r="A3925" s="1416">
        <v>40304</v>
      </c>
      <c r="B3925" s="1415">
        <v>55.02</v>
      </c>
    </row>
    <row r="3926" spans="1:2" x14ac:dyDescent="0.35">
      <c r="A3926" s="1416">
        <v>40305</v>
      </c>
      <c r="B3926" s="1415">
        <v>54.41</v>
      </c>
    </row>
    <row r="3927" spans="1:2" x14ac:dyDescent="0.35">
      <c r="A3927" s="1416">
        <v>40308</v>
      </c>
      <c r="B3927" s="1415">
        <v>55.24</v>
      </c>
    </row>
    <row r="3928" spans="1:2" x14ac:dyDescent="0.35">
      <c r="A3928" s="1416">
        <v>40309</v>
      </c>
      <c r="B3928" s="1415">
        <v>54.16</v>
      </c>
    </row>
    <row r="3929" spans="1:2" x14ac:dyDescent="0.35">
      <c r="A3929" s="1416">
        <v>40310</v>
      </c>
      <c r="B3929" s="1415">
        <v>55.74</v>
      </c>
    </row>
    <row r="3930" spans="1:2" x14ac:dyDescent="0.35">
      <c r="A3930" s="1416">
        <v>40311</v>
      </c>
      <c r="B3930" s="1415">
        <v>54.61</v>
      </c>
    </row>
    <row r="3931" spans="1:2" x14ac:dyDescent="0.35">
      <c r="A3931" s="1416">
        <v>40312</v>
      </c>
      <c r="B3931" s="1415">
        <v>52.78</v>
      </c>
    </row>
    <row r="3932" spans="1:2" x14ac:dyDescent="0.35">
      <c r="A3932" s="1416">
        <v>40315</v>
      </c>
      <c r="B3932" s="1415">
        <v>57.85</v>
      </c>
    </row>
    <row r="3933" spans="1:2" x14ac:dyDescent="0.35">
      <c r="A3933" s="1416">
        <v>40316</v>
      </c>
      <c r="B3933" s="1415">
        <v>54.52</v>
      </c>
    </row>
    <row r="3934" spans="1:2" x14ac:dyDescent="0.35">
      <c r="A3934" s="1416">
        <v>40317</v>
      </c>
      <c r="B3934" s="1415">
        <v>56.18</v>
      </c>
    </row>
    <row r="3935" spans="1:2" x14ac:dyDescent="0.35">
      <c r="A3935" s="1416">
        <v>40318</v>
      </c>
      <c r="B3935" s="1415">
        <v>55.61</v>
      </c>
    </row>
    <row r="3936" spans="1:2" x14ac:dyDescent="0.35">
      <c r="A3936" s="1416">
        <v>40319</v>
      </c>
      <c r="B3936" s="1415">
        <v>55.5</v>
      </c>
    </row>
    <row r="3937" spans="1:2" x14ac:dyDescent="0.35">
      <c r="A3937" s="1416">
        <v>40322</v>
      </c>
      <c r="B3937" s="1415">
        <v>55.06</v>
      </c>
    </row>
    <row r="3938" spans="1:2" x14ac:dyDescent="0.35">
      <c r="A3938" s="1416">
        <v>40323</v>
      </c>
      <c r="B3938" s="1415">
        <v>55.06</v>
      </c>
    </row>
    <row r="3939" spans="1:2" x14ac:dyDescent="0.35">
      <c r="A3939" s="1416">
        <v>40324</v>
      </c>
      <c r="B3939" s="1415">
        <v>53.4</v>
      </c>
    </row>
    <row r="3940" spans="1:2" x14ac:dyDescent="0.35">
      <c r="A3940" s="1416">
        <v>40325</v>
      </c>
      <c r="B3940" s="1415">
        <v>53.18</v>
      </c>
    </row>
    <row r="3941" spans="1:2" x14ac:dyDescent="0.35">
      <c r="A3941" s="1416">
        <v>40326</v>
      </c>
      <c r="B3941" s="1415">
        <v>53.16</v>
      </c>
    </row>
    <row r="3942" spans="1:2" x14ac:dyDescent="0.35">
      <c r="A3942" s="1416">
        <v>40330</v>
      </c>
      <c r="B3942" s="1415">
        <v>51.4</v>
      </c>
    </row>
    <row r="3943" spans="1:2" x14ac:dyDescent="0.35">
      <c r="A3943" s="1416">
        <v>40331</v>
      </c>
      <c r="B3943" s="1415">
        <v>51.47</v>
      </c>
    </row>
    <row r="3944" spans="1:2" x14ac:dyDescent="0.35">
      <c r="A3944" s="1416">
        <v>40332</v>
      </c>
      <c r="B3944" s="1415">
        <v>52.85</v>
      </c>
    </row>
    <row r="3945" spans="1:2" x14ac:dyDescent="0.35">
      <c r="A3945" s="1416">
        <v>40333</v>
      </c>
      <c r="B3945" s="1415">
        <v>51.482500000000002</v>
      </c>
    </row>
    <row r="3946" spans="1:2" x14ac:dyDescent="0.35">
      <c r="A3946" s="1416">
        <v>40336</v>
      </c>
      <c r="B3946" s="1415">
        <v>49.76</v>
      </c>
    </row>
    <row r="3947" spans="1:2" x14ac:dyDescent="0.35">
      <c r="A3947" s="1416">
        <v>40337</v>
      </c>
      <c r="B3947" s="1415">
        <v>50.44</v>
      </c>
    </row>
    <row r="3948" spans="1:2" x14ac:dyDescent="0.35">
      <c r="A3948" s="1416">
        <v>40338</v>
      </c>
      <c r="B3948" s="1415">
        <v>50.03</v>
      </c>
    </row>
    <row r="3949" spans="1:2" x14ac:dyDescent="0.35">
      <c r="A3949" s="1416">
        <v>40339</v>
      </c>
      <c r="B3949" s="1415">
        <v>50.26</v>
      </c>
    </row>
    <row r="3950" spans="1:2" x14ac:dyDescent="0.35">
      <c r="A3950" s="1416">
        <v>40340</v>
      </c>
      <c r="B3950" s="1415">
        <v>51.1</v>
      </c>
    </row>
    <row r="3951" spans="1:2" x14ac:dyDescent="0.35">
      <c r="A3951" s="1416">
        <v>40343</v>
      </c>
      <c r="B3951" s="1415">
        <v>47.6</v>
      </c>
    </row>
    <row r="3952" spans="1:2" x14ac:dyDescent="0.35">
      <c r="A3952" s="1416">
        <v>40344</v>
      </c>
      <c r="B3952" s="1415">
        <v>48.3</v>
      </c>
    </row>
    <row r="3953" spans="1:2" x14ac:dyDescent="0.35">
      <c r="A3953" s="1416">
        <v>40345</v>
      </c>
      <c r="B3953" s="1415">
        <v>49.36</v>
      </c>
    </row>
    <row r="3954" spans="1:2" x14ac:dyDescent="0.35">
      <c r="A3954" s="1416">
        <v>40346</v>
      </c>
      <c r="B3954" s="1415">
        <v>48.58</v>
      </c>
    </row>
    <row r="3955" spans="1:2" x14ac:dyDescent="0.35">
      <c r="A3955" s="1416">
        <v>40347</v>
      </c>
      <c r="B3955" s="1415">
        <v>48.39</v>
      </c>
    </row>
    <row r="3956" spans="1:2" x14ac:dyDescent="0.35">
      <c r="A3956" s="1416">
        <v>40350</v>
      </c>
      <c r="B3956" s="1415">
        <v>48.01</v>
      </c>
    </row>
    <row r="3957" spans="1:2" x14ac:dyDescent="0.35">
      <c r="A3957" s="1416">
        <v>40351</v>
      </c>
      <c r="B3957" s="1415">
        <v>46.55</v>
      </c>
    </row>
    <row r="3958" spans="1:2" x14ac:dyDescent="0.35">
      <c r="A3958" s="1416">
        <v>40352</v>
      </c>
      <c r="B3958" s="1415">
        <v>46.33</v>
      </c>
    </row>
    <row r="3959" spans="1:2" x14ac:dyDescent="0.35">
      <c r="A3959" s="1416">
        <v>40353</v>
      </c>
      <c r="B3959" s="1415">
        <v>45.97</v>
      </c>
    </row>
    <row r="3960" spans="1:2" x14ac:dyDescent="0.35">
      <c r="A3960" s="1416">
        <v>40354</v>
      </c>
      <c r="B3960" s="1415">
        <v>43.75</v>
      </c>
    </row>
    <row r="3961" spans="1:2" x14ac:dyDescent="0.35">
      <c r="A3961" s="1416">
        <v>40357</v>
      </c>
      <c r="B3961" s="1415">
        <v>44.51</v>
      </c>
    </row>
    <row r="3962" spans="1:2" x14ac:dyDescent="0.35">
      <c r="A3962" s="1416">
        <v>40358</v>
      </c>
      <c r="B3962" s="1415">
        <v>43.13</v>
      </c>
    </row>
    <row r="3963" spans="1:2" x14ac:dyDescent="0.35">
      <c r="A3963" s="1416">
        <v>40359</v>
      </c>
      <c r="B3963" s="1415">
        <v>42.47</v>
      </c>
    </row>
    <row r="3964" spans="1:2" x14ac:dyDescent="0.35">
      <c r="A3964" s="1416">
        <v>40360</v>
      </c>
      <c r="B3964" s="1415">
        <v>43.34</v>
      </c>
    </row>
    <row r="3965" spans="1:2" x14ac:dyDescent="0.35">
      <c r="A3965" s="1416">
        <v>40361</v>
      </c>
      <c r="B3965" s="1415">
        <v>41.86</v>
      </c>
    </row>
    <row r="3966" spans="1:2" x14ac:dyDescent="0.35">
      <c r="A3966" s="1416">
        <v>40365</v>
      </c>
      <c r="B3966" s="1415">
        <v>42.27</v>
      </c>
    </row>
    <row r="3967" spans="1:2" x14ac:dyDescent="0.35">
      <c r="A3967" s="1416">
        <v>40366</v>
      </c>
      <c r="B3967" s="1415">
        <v>42.97</v>
      </c>
    </row>
    <row r="3968" spans="1:2" x14ac:dyDescent="0.35">
      <c r="A3968" s="1416">
        <v>40367</v>
      </c>
      <c r="B3968" s="1415">
        <v>44.06</v>
      </c>
    </row>
    <row r="3969" spans="1:2" x14ac:dyDescent="0.35">
      <c r="A3969" s="1416">
        <v>40368</v>
      </c>
      <c r="B3969" s="1415">
        <v>44.44</v>
      </c>
    </row>
    <row r="3970" spans="1:2" x14ac:dyDescent="0.35">
      <c r="A3970" s="1416">
        <v>40371</v>
      </c>
      <c r="B3970" s="1415">
        <v>43.87</v>
      </c>
    </row>
    <row r="3971" spans="1:2" x14ac:dyDescent="0.35">
      <c r="A3971" s="1416">
        <v>40372</v>
      </c>
      <c r="B3971" s="1415">
        <v>43.92</v>
      </c>
    </row>
    <row r="3972" spans="1:2" x14ac:dyDescent="0.35">
      <c r="A3972" s="1416">
        <v>40373</v>
      </c>
      <c r="B3972" s="1415">
        <v>44.69</v>
      </c>
    </row>
    <row r="3973" spans="1:2" x14ac:dyDescent="0.35">
      <c r="A3973" s="1416">
        <v>40374</v>
      </c>
      <c r="B3973" s="1415">
        <v>44.78</v>
      </c>
    </row>
    <row r="3974" spans="1:2" x14ac:dyDescent="0.35">
      <c r="A3974" s="1416">
        <v>40375</v>
      </c>
      <c r="B3974" s="1415">
        <v>45.57</v>
      </c>
    </row>
    <row r="3975" spans="1:2" x14ac:dyDescent="0.35">
      <c r="A3975" s="1416">
        <v>40378</v>
      </c>
      <c r="B3975" s="1415">
        <v>48.03</v>
      </c>
    </row>
    <row r="3976" spans="1:2" x14ac:dyDescent="0.35">
      <c r="A3976" s="1416">
        <v>40379</v>
      </c>
      <c r="B3976" s="1415">
        <v>48.08</v>
      </c>
    </row>
    <row r="3977" spans="1:2" x14ac:dyDescent="0.35">
      <c r="A3977" s="1416">
        <v>40380</v>
      </c>
      <c r="B3977" s="1415">
        <v>47.1</v>
      </c>
    </row>
    <row r="3978" spans="1:2" x14ac:dyDescent="0.35">
      <c r="A3978" s="1416">
        <v>40381</v>
      </c>
      <c r="B3978" s="1415">
        <v>46.32</v>
      </c>
    </row>
    <row r="3979" spans="1:2" x14ac:dyDescent="0.35">
      <c r="A3979" s="1416">
        <v>40382</v>
      </c>
      <c r="B3979" s="1415">
        <v>49.27</v>
      </c>
    </row>
    <row r="3980" spans="1:2" x14ac:dyDescent="0.35">
      <c r="A3980" s="1416">
        <v>40385</v>
      </c>
      <c r="B3980" s="1415">
        <v>48.32</v>
      </c>
    </row>
    <row r="3981" spans="1:2" x14ac:dyDescent="0.35">
      <c r="A3981" s="1416">
        <v>40386</v>
      </c>
      <c r="B3981" s="1415">
        <v>47.76</v>
      </c>
    </row>
    <row r="3982" spans="1:2" x14ac:dyDescent="0.35">
      <c r="A3982" s="1416">
        <v>40387</v>
      </c>
      <c r="B3982" s="1415">
        <v>47.81</v>
      </c>
    </row>
    <row r="3983" spans="1:2" x14ac:dyDescent="0.35">
      <c r="A3983" s="1416">
        <v>40388</v>
      </c>
      <c r="B3983" s="1415">
        <v>47.07</v>
      </c>
    </row>
    <row r="3984" spans="1:2" x14ac:dyDescent="0.35">
      <c r="A3984" s="1416">
        <v>40389</v>
      </c>
      <c r="B3984" s="1415">
        <v>46.13</v>
      </c>
    </row>
    <row r="3985" spans="1:2" x14ac:dyDescent="0.35">
      <c r="A3985" s="1416">
        <v>40392</v>
      </c>
      <c r="B3985" s="1415">
        <v>47.14</v>
      </c>
    </row>
    <row r="3986" spans="1:2" x14ac:dyDescent="0.35">
      <c r="A3986" s="1416">
        <v>40393</v>
      </c>
      <c r="B3986" s="1415">
        <v>44.81</v>
      </c>
    </row>
    <row r="3987" spans="1:2" x14ac:dyDescent="0.35">
      <c r="A3987" s="1416">
        <v>40394</v>
      </c>
      <c r="B3987" s="1415">
        <v>44.76</v>
      </c>
    </row>
    <row r="3988" spans="1:2" x14ac:dyDescent="0.35">
      <c r="A3988" s="1416">
        <v>40395</v>
      </c>
      <c r="B3988" s="1415">
        <v>42.83</v>
      </c>
    </row>
    <row r="3989" spans="1:2" x14ac:dyDescent="0.35">
      <c r="A3989" s="1416">
        <v>40396</v>
      </c>
      <c r="B3989" s="1415">
        <v>42.49</v>
      </c>
    </row>
    <row r="3990" spans="1:2" x14ac:dyDescent="0.35">
      <c r="A3990" s="1416">
        <v>40399</v>
      </c>
      <c r="B3990" s="1415">
        <v>42.57</v>
      </c>
    </row>
    <row r="3991" spans="1:2" x14ac:dyDescent="0.35">
      <c r="A3991" s="1416">
        <v>40400</v>
      </c>
      <c r="B3991" s="1415">
        <v>41.84</v>
      </c>
    </row>
    <row r="3992" spans="1:2" x14ac:dyDescent="0.35">
      <c r="A3992" s="1416">
        <v>40401</v>
      </c>
      <c r="B3992" s="1415">
        <v>41.3</v>
      </c>
    </row>
    <row r="3993" spans="1:2" x14ac:dyDescent="0.35">
      <c r="A3993" s="1416">
        <v>40402</v>
      </c>
      <c r="B3993" s="1415">
        <v>40.47</v>
      </c>
    </row>
    <row r="3994" spans="1:2" x14ac:dyDescent="0.35">
      <c r="A3994" s="1416">
        <v>40403</v>
      </c>
      <c r="B3994" s="1415">
        <v>38.94</v>
      </c>
    </row>
    <row r="3995" spans="1:2" x14ac:dyDescent="0.35">
      <c r="A3995" s="1416">
        <v>40406</v>
      </c>
      <c r="B3995" s="1415">
        <v>40.98</v>
      </c>
    </row>
    <row r="3996" spans="1:2" x14ac:dyDescent="0.35">
      <c r="A3996" s="1416">
        <v>40407</v>
      </c>
      <c r="B3996" s="1415">
        <v>40.36</v>
      </c>
    </row>
    <row r="3997" spans="1:2" x14ac:dyDescent="0.35">
      <c r="A3997" s="1416">
        <v>40408</v>
      </c>
      <c r="B3997" s="1415">
        <v>40.98</v>
      </c>
    </row>
    <row r="3998" spans="1:2" x14ac:dyDescent="0.35">
      <c r="A3998" s="1416">
        <v>40409</v>
      </c>
      <c r="B3998" s="1415">
        <v>40.590000000000003</v>
      </c>
    </row>
    <row r="3999" spans="1:2" x14ac:dyDescent="0.35">
      <c r="A3999" s="1416">
        <v>40410</v>
      </c>
      <c r="B3999" s="1415">
        <v>40.72</v>
      </c>
    </row>
    <row r="4000" spans="1:2" x14ac:dyDescent="0.35">
      <c r="A4000" s="1416">
        <v>40413</v>
      </c>
      <c r="B4000" s="1415">
        <v>41.36</v>
      </c>
    </row>
    <row r="4001" spans="1:2" x14ac:dyDescent="0.35">
      <c r="A4001" s="1416">
        <v>40414</v>
      </c>
      <c r="B4001" s="1415">
        <v>41.49</v>
      </c>
    </row>
    <row r="4002" spans="1:2" x14ac:dyDescent="0.35">
      <c r="A4002" s="1416">
        <v>40415</v>
      </c>
      <c r="B4002" s="1415">
        <v>42.94</v>
      </c>
    </row>
    <row r="4003" spans="1:2" x14ac:dyDescent="0.35">
      <c r="A4003" s="1416">
        <v>40416</v>
      </c>
      <c r="B4003" s="1415">
        <v>42.32</v>
      </c>
    </row>
    <row r="4004" spans="1:2" x14ac:dyDescent="0.35">
      <c r="A4004" s="1416">
        <v>40417</v>
      </c>
      <c r="B4004" s="1415">
        <v>42.77</v>
      </c>
    </row>
    <row r="4005" spans="1:2" x14ac:dyDescent="0.35">
      <c r="A4005" s="1416">
        <v>40420</v>
      </c>
      <c r="B4005" s="1415">
        <v>43.2</v>
      </c>
    </row>
    <row r="4006" spans="1:2" x14ac:dyDescent="0.35">
      <c r="A4006" s="1416">
        <v>40421</v>
      </c>
      <c r="B4006" s="1415">
        <v>42.49</v>
      </c>
    </row>
    <row r="4007" spans="1:2" x14ac:dyDescent="0.35">
      <c r="A4007" s="1416">
        <v>40422</v>
      </c>
      <c r="B4007" s="1415">
        <v>43.39</v>
      </c>
    </row>
    <row r="4008" spans="1:2" x14ac:dyDescent="0.35">
      <c r="A4008" s="1416">
        <v>40423</v>
      </c>
      <c r="B4008" s="1415">
        <v>44.67</v>
      </c>
    </row>
    <row r="4009" spans="1:2" x14ac:dyDescent="0.35">
      <c r="A4009" s="1416">
        <v>40424</v>
      </c>
      <c r="B4009" s="1415">
        <v>45.38</v>
      </c>
    </row>
    <row r="4010" spans="1:2" x14ac:dyDescent="0.35">
      <c r="A4010" s="1416">
        <v>40428</v>
      </c>
      <c r="B4010" s="1415">
        <v>45.17</v>
      </c>
    </row>
    <row r="4011" spans="1:2" x14ac:dyDescent="0.35">
      <c r="A4011" s="1416">
        <v>40429</v>
      </c>
      <c r="B4011" s="1415">
        <v>46.05</v>
      </c>
    </row>
    <row r="4012" spans="1:2" x14ac:dyDescent="0.35">
      <c r="A4012" s="1416">
        <v>40430</v>
      </c>
      <c r="B4012" s="1415">
        <v>46.89</v>
      </c>
    </row>
    <row r="4013" spans="1:2" x14ac:dyDescent="0.35">
      <c r="A4013" s="1416">
        <v>40431</v>
      </c>
      <c r="B4013" s="1415">
        <v>47.56</v>
      </c>
    </row>
    <row r="4014" spans="1:2" x14ac:dyDescent="0.35">
      <c r="A4014" s="1416">
        <v>40434</v>
      </c>
      <c r="B4014" s="1415">
        <v>47.88</v>
      </c>
    </row>
    <row r="4015" spans="1:2" x14ac:dyDescent="0.35">
      <c r="A4015" s="1416">
        <v>40435</v>
      </c>
      <c r="B4015" s="1415">
        <v>47.74</v>
      </c>
    </row>
    <row r="4016" spans="1:2" x14ac:dyDescent="0.35">
      <c r="A4016" s="1416">
        <v>40436</v>
      </c>
      <c r="B4016" s="1415">
        <v>48.66</v>
      </c>
    </row>
    <row r="4017" spans="1:2" x14ac:dyDescent="0.35">
      <c r="A4017" s="1416">
        <v>40437</v>
      </c>
      <c r="B4017" s="1415">
        <v>48.34</v>
      </c>
    </row>
    <row r="4018" spans="1:2" x14ac:dyDescent="0.35">
      <c r="A4018" s="1416">
        <v>40438</v>
      </c>
      <c r="B4018" s="1415">
        <v>49.1</v>
      </c>
    </row>
    <row r="4019" spans="1:2" x14ac:dyDescent="0.35">
      <c r="A4019" s="1416">
        <v>40441</v>
      </c>
      <c r="B4019" s="1415">
        <v>51.66</v>
      </c>
    </row>
    <row r="4020" spans="1:2" x14ac:dyDescent="0.35">
      <c r="A4020" s="1416">
        <v>40442</v>
      </c>
      <c r="B4020" s="1415">
        <v>50.37</v>
      </c>
    </row>
    <row r="4021" spans="1:2" x14ac:dyDescent="0.35">
      <c r="A4021" s="1416">
        <v>40443</v>
      </c>
      <c r="B4021" s="1415">
        <v>50.45</v>
      </c>
    </row>
    <row r="4022" spans="1:2" x14ac:dyDescent="0.35">
      <c r="A4022" s="1416">
        <v>40444</v>
      </c>
      <c r="B4022" s="1415">
        <v>50.79</v>
      </c>
    </row>
    <row r="4023" spans="1:2" x14ac:dyDescent="0.35">
      <c r="A4023" s="1416">
        <v>40445</v>
      </c>
      <c r="B4023" s="1415">
        <v>50.53</v>
      </c>
    </row>
    <row r="4024" spans="1:2" x14ac:dyDescent="0.35">
      <c r="A4024" s="1416">
        <v>40448</v>
      </c>
      <c r="B4024" s="1415">
        <v>49.32</v>
      </c>
    </row>
    <row r="4025" spans="1:2" x14ac:dyDescent="0.35">
      <c r="A4025" s="1416">
        <v>40449</v>
      </c>
      <c r="B4025" s="1415">
        <v>49.8</v>
      </c>
    </row>
    <row r="4026" spans="1:2" x14ac:dyDescent="0.35">
      <c r="A4026" s="1416">
        <v>40450</v>
      </c>
      <c r="B4026" s="1415">
        <v>50.29</v>
      </c>
    </row>
    <row r="4027" spans="1:2" x14ac:dyDescent="0.35">
      <c r="A4027" s="1416">
        <v>40451</v>
      </c>
      <c r="B4027" s="1415">
        <v>51.35</v>
      </c>
    </row>
    <row r="4028" spans="1:2" x14ac:dyDescent="0.35">
      <c r="A4028" s="1416">
        <v>40452</v>
      </c>
      <c r="B4028" s="1415">
        <v>51.93</v>
      </c>
    </row>
    <row r="4029" spans="1:2" x14ac:dyDescent="0.35">
      <c r="A4029" s="1416">
        <v>40455</v>
      </c>
      <c r="B4029" s="1415">
        <v>50.21</v>
      </c>
    </row>
    <row r="4030" spans="1:2" x14ac:dyDescent="0.35">
      <c r="A4030" s="1416">
        <v>40456</v>
      </c>
      <c r="B4030" s="1415">
        <v>50.49</v>
      </c>
    </row>
    <row r="4031" spans="1:2" x14ac:dyDescent="0.35">
      <c r="A4031" s="1416">
        <v>40457</v>
      </c>
      <c r="B4031" s="1415">
        <v>50.47</v>
      </c>
    </row>
    <row r="4032" spans="1:2" x14ac:dyDescent="0.35">
      <c r="A4032" s="1416">
        <v>40458</v>
      </c>
      <c r="B4032" s="1415">
        <v>49.85</v>
      </c>
    </row>
    <row r="4033" spans="1:2" x14ac:dyDescent="0.35">
      <c r="A4033" s="1416">
        <v>40459</v>
      </c>
      <c r="B4033" s="1415">
        <v>50.12</v>
      </c>
    </row>
    <row r="4034" spans="1:2" x14ac:dyDescent="0.35">
      <c r="A4034" s="1416">
        <v>40462</v>
      </c>
      <c r="B4034" s="1415">
        <v>50.15</v>
      </c>
    </row>
    <row r="4035" spans="1:2" x14ac:dyDescent="0.35">
      <c r="A4035" s="1416">
        <v>40463</v>
      </c>
      <c r="B4035" s="1415">
        <v>49.98</v>
      </c>
    </row>
    <row r="4036" spans="1:2" x14ac:dyDescent="0.35">
      <c r="A4036" s="1416">
        <v>40464</v>
      </c>
      <c r="B4036" s="1415">
        <v>49.5</v>
      </c>
    </row>
    <row r="4037" spans="1:2" x14ac:dyDescent="0.35">
      <c r="A4037" s="1416">
        <v>40465</v>
      </c>
      <c r="B4037" s="1415">
        <v>38</v>
      </c>
    </row>
    <row r="4038" spans="1:2" x14ac:dyDescent="0.35">
      <c r="A4038" s="1416">
        <v>40466</v>
      </c>
      <c r="B4038" s="1415">
        <v>36.58</v>
      </c>
    </row>
    <row r="4039" spans="1:2" x14ac:dyDescent="0.35">
      <c r="A4039" s="1416">
        <v>40469</v>
      </c>
      <c r="B4039" s="1415">
        <v>37.270000000000003</v>
      </c>
    </row>
    <row r="4040" spans="1:2" x14ac:dyDescent="0.35">
      <c r="A4040" s="1416">
        <v>40470</v>
      </c>
      <c r="B4040" s="1415">
        <v>37.36</v>
      </c>
    </row>
    <row r="4041" spans="1:2" x14ac:dyDescent="0.35">
      <c r="A4041" s="1416">
        <v>40471</v>
      </c>
      <c r="B4041" s="1415">
        <v>36.86</v>
      </c>
    </row>
    <row r="4042" spans="1:2" x14ac:dyDescent="0.35">
      <c r="A4042" s="1416">
        <v>40472</v>
      </c>
      <c r="B4042" s="1415">
        <v>36.270000000000003</v>
      </c>
    </row>
    <row r="4043" spans="1:2" x14ac:dyDescent="0.35">
      <c r="A4043" s="1416">
        <v>40473</v>
      </c>
      <c r="B4043" s="1415">
        <v>36</v>
      </c>
    </row>
    <row r="4044" spans="1:2" x14ac:dyDescent="0.35">
      <c r="A4044" s="1416">
        <v>40476</v>
      </c>
      <c r="B4044" s="1415">
        <v>36.44</v>
      </c>
    </row>
    <row r="4045" spans="1:2" x14ac:dyDescent="0.35">
      <c r="A4045" s="1416">
        <v>40477</v>
      </c>
      <c r="B4045" s="1415">
        <v>36.935000000000002</v>
      </c>
    </row>
    <row r="4046" spans="1:2" x14ac:dyDescent="0.35">
      <c r="A4046" s="1416">
        <v>40478</v>
      </c>
      <c r="B4046" s="1415">
        <v>37.549999999999997</v>
      </c>
    </row>
    <row r="4047" spans="1:2" x14ac:dyDescent="0.35">
      <c r="A4047" s="1416">
        <v>40479</v>
      </c>
      <c r="B4047" s="1415">
        <v>37.590000000000003</v>
      </c>
    </row>
    <row r="4048" spans="1:2" x14ac:dyDescent="0.35">
      <c r="A4048" s="1416">
        <v>40480</v>
      </c>
      <c r="B4048" s="1415">
        <v>37.479999999999997</v>
      </c>
    </row>
    <row r="4049" spans="1:2" x14ac:dyDescent="0.35">
      <c r="A4049" s="1416">
        <v>40483</v>
      </c>
      <c r="B4049" s="1415">
        <v>38.24</v>
      </c>
    </row>
    <row r="4050" spans="1:2" x14ac:dyDescent="0.35">
      <c r="A4050" s="1416">
        <v>40484</v>
      </c>
      <c r="B4050" s="1415">
        <v>38.79</v>
      </c>
    </row>
    <row r="4051" spans="1:2" x14ac:dyDescent="0.35">
      <c r="A4051" s="1416">
        <v>40485</v>
      </c>
      <c r="B4051" s="1415">
        <v>38.47</v>
      </c>
    </row>
    <row r="4052" spans="1:2" x14ac:dyDescent="0.35">
      <c r="A4052" s="1416">
        <v>40486</v>
      </c>
      <c r="B4052" s="1415">
        <v>35.380000000000003</v>
      </c>
    </row>
    <row r="4053" spans="1:2" x14ac:dyDescent="0.35">
      <c r="A4053" s="1416">
        <v>40487</v>
      </c>
      <c r="B4053" s="1415">
        <v>35.729999999999997</v>
      </c>
    </row>
    <row r="4054" spans="1:2" x14ac:dyDescent="0.35">
      <c r="A4054" s="1416">
        <v>40490</v>
      </c>
      <c r="B4054" s="1415">
        <v>36.765000000000001</v>
      </c>
    </row>
    <row r="4055" spans="1:2" x14ac:dyDescent="0.35">
      <c r="A4055" s="1416">
        <v>40491</v>
      </c>
      <c r="B4055" s="1415">
        <v>36.840000000000003</v>
      </c>
    </row>
    <row r="4056" spans="1:2" x14ac:dyDescent="0.35">
      <c r="A4056" s="1416">
        <v>40492</v>
      </c>
      <c r="B4056" s="1415">
        <v>36.630000000000003</v>
      </c>
    </row>
    <row r="4057" spans="1:2" x14ac:dyDescent="0.35">
      <c r="A4057" s="1416">
        <v>40493</v>
      </c>
      <c r="B4057" s="1415">
        <v>36.630000000000003</v>
      </c>
    </row>
    <row r="4058" spans="1:2" x14ac:dyDescent="0.35">
      <c r="A4058" s="1416">
        <v>40494</v>
      </c>
      <c r="B4058" s="1415">
        <v>35.85</v>
      </c>
    </row>
    <row r="4059" spans="1:2" x14ac:dyDescent="0.35">
      <c r="A4059" s="1416">
        <v>40497</v>
      </c>
      <c r="B4059" s="1415">
        <v>35.97</v>
      </c>
    </row>
    <row r="4060" spans="1:2" x14ac:dyDescent="0.35">
      <c r="A4060" s="1416">
        <v>40498</v>
      </c>
      <c r="B4060" s="1415">
        <v>35.71</v>
      </c>
    </row>
    <row r="4061" spans="1:2" x14ac:dyDescent="0.35">
      <c r="A4061" s="1416">
        <v>40499</v>
      </c>
      <c r="B4061" s="1415">
        <v>35.64</v>
      </c>
    </row>
    <row r="4062" spans="1:2" x14ac:dyDescent="0.35">
      <c r="A4062" s="1416">
        <v>40500</v>
      </c>
      <c r="B4062" s="1415">
        <v>35.479999999999997</v>
      </c>
    </row>
    <row r="4063" spans="1:2" x14ac:dyDescent="0.35">
      <c r="A4063" s="1416">
        <v>40501</v>
      </c>
      <c r="B4063" s="1415">
        <v>35.36</v>
      </c>
    </row>
    <row r="4064" spans="1:2" x14ac:dyDescent="0.35">
      <c r="A4064" s="1416">
        <v>40504</v>
      </c>
      <c r="B4064" s="1415">
        <v>35.36</v>
      </c>
    </row>
    <row r="4065" spans="1:2" x14ac:dyDescent="0.35">
      <c r="A4065" s="1416">
        <v>40505</v>
      </c>
      <c r="B4065" s="1415">
        <v>34.369999999999997</v>
      </c>
    </row>
    <row r="4066" spans="1:2" x14ac:dyDescent="0.35">
      <c r="A4066" s="1416">
        <v>40506</v>
      </c>
      <c r="B4066" s="1415">
        <v>34.46</v>
      </c>
    </row>
    <row r="4067" spans="1:2" x14ac:dyDescent="0.35">
      <c r="A4067" s="1416">
        <v>40508</v>
      </c>
      <c r="B4067" s="1415">
        <v>34.46</v>
      </c>
    </row>
    <row r="4068" spans="1:2" x14ac:dyDescent="0.35">
      <c r="A4068" s="1416">
        <v>40511</v>
      </c>
      <c r="B4068" s="1415">
        <v>34.299999999999997</v>
      </c>
    </row>
    <row r="4069" spans="1:2" x14ac:dyDescent="0.35">
      <c r="A4069" s="1416">
        <v>40512</v>
      </c>
      <c r="B4069" s="1415">
        <v>34</v>
      </c>
    </row>
    <row r="4070" spans="1:2" x14ac:dyDescent="0.35">
      <c r="A4070" s="1416">
        <v>40513</v>
      </c>
      <c r="B4070" s="1415">
        <v>34.450000000000003</v>
      </c>
    </row>
    <row r="4071" spans="1:2" x14ac:dyDescent="0.35">
      <c r="A4071" s="1416">
        <v>40514</v>
      </c>
      <c r="B4071" s="1415">
        <v>35.35</v>
      </c>
    </row>
    <row r="4072" spans="1:2" x14ac:dyDescent="0.35">
      <c r="A4072" s="1416">
        <v>40515</v>
      </c>
      <c r="B4072" s="1415">
        <v>36.380000000000003</v>
      </c>
    </row>
    <row r="4073" spans="1:2" x14ac:dyDescent="0.35">
      <c r="A4073" s="1416">
        <v>40518</v>
      </c>
      <c r="B4073" s="1415">
        <v>36.5</v>
      </c>
    </row>
    <row r="4074" spans="1:2" x14ac:dyDescent="0.35">
      <c r="A4074" s="1416">
        <v>40519</v>
      </c>
      <c r="B4074" s="1415">
        <v>36.97</v>
      </c>
    </row>
    <row r="4075" spans="1:2" x14ac:dyDescent="0.35">
      <c r="A4075" s="1416">
        <v>40520</v>
      </c>
      <c r="B4075" s="1415">
        <v>38.049999999999997</v>
      </c>
    </row>
    <row r="4076" spans="1:2" x14ac:dyDescent="0.35">
      <c r="A4076" s="1416">
        <v>40521</v>
      </c>
      <c r="B4076" s="1415">
        <v>36.93</v>
      </c>
    </row>
    <row r="4077" spans="1:2" x14ac:dyDescent="0.35">
      <c r="A4077" s="1416">
        <v>40522</v>
      </c>
      <c r="B4077" s="1415">
        <v>37.950000000000003</v>
      </c>
    </row>
    <row r="4078" spans="1:2" x14ac:dyDescent="0.35">
      <c r="A4078" s="1416">
        <v>40525</v>
      </c>
      <c r="B4078" s="1415">
        <v>38.65</v>
      </c>
    </row>
    <row r="4079" spans="1:2" x14ac:dyDescent="0.35">
      <c r="A4079" s="1416">
        <v>40526</v>
      </c>
      <c r="B4079" s="1415">
        <v>37.86</v>
      </c>
    </row>
    <row r="4080" spans="1:2" x14ac:dyDescent="0.35">
      <c r="A4080" s="1416">
        <v>40527</v>
      </c>
      <c r="B4080" s="1415">
        <v>37.950000000000003</v>
      </c>
    </row>
    <row r="4081" spans="1:2" x14ac:dyDescent="0.35">
      <c r="A4081" s="1416">
        <v>40528</v>
      </c>
      <c r="B4081" s="1415">
        <v>38.4</v>
      </c>
    </row>
    <row r="4082" spans="1:2" x14ac:dyDescent="0.35">
      <c r="A4082" s="1416">
        <v>40529</v>
      </c>
      <c r="B4082" s="1415">
        <v>38.479999999999997</v>
      </c>
    </row>
    <row r="4083" spans="1:2" x14ac:dyDescent="0.35">
      <c r="A4083" s="1416">
        <v>40532</v>
      </c>
      <c r="B4083" s="1415">
        <v>38.799999999999997</v>
      </c>
    </row>
    <row r="4084" spans="1:2" x14ac:dyDescent="0.35">
      <c r="A4084" s="1416">
        <v>40533</v>
      </c>
      <c r="B4084" s="1415">
        <v>38.520000000000003</v>
      </c>
    </row>
    <row r="4085" spans="1:2" x14ac:dyDescent="0.35">
      <c r="A4085" s="1416">
        <v>40534</v>
      </c>
      <c r="B4085" s="1415">
        <v>38.96</v>
      </c>
    </row>
    <row r="4086" spans="1:2" x14ac:dyDescent="0.35">
      <c r="A4086" s="1416">
        <v>40535</v>
      </c>
      <c r="B4086" s="1415">
        <v>39.11</v>
      </c>
    </row>
    <row r="4087" spans="1:2" x14ac:dyDescent="0.35">
      <c r="A4087" s="1416">
        <v>40539</v>
      </c>
      <c r="B4087" s="1415">
        <v>38.590000000000003</v>
      </c>
    </row>
    <row r="4088" spans="1:2" x14ac:dyDescent="0.35">
      <c r="A4088" s="1416">
        <v>40540</v>
      </c>
      <c r="B4088" s="1415">
        <v>38.380000000000003</v>
      </c>
    </row>
    <row r="4089" spans="1:2" x14ac:dyDescent="0.35">
      <c r="A4089" s="1416">
        <v>40541</v>
      </c>
      <c r="B4089" s="1415">
        <v>39.49</v>
      </c>
    </row>
    <row r="4090" spans="1:2" x14ac:dyDescent="0.35">
      <c r="A4090" s="1416">
        <v>40542</v>
      </c>
      <c r="B4090" s="1415">
        <v>39.700000000000003</v>
      </c>
    </row>
    <row r="4091" spans="1:2" x14ac:dyDescent="0.35">
      <c r="A4091" s="1416">
        <v>40543</v>
      </c>
      <c r="B4091" s="1415">
        <v>39.49</v>
      </c>
    </row>
    <row r="4092" spans="1:2" x14ac:dyDescent="0.35">
      <c r="A4092" s="1416">
        <v>40546</v>
      </c>
      <c r="B4092" s="1415">
        <v>39.979999999999997</v>
      </c>
    </row>
    <row r="4093" spans="1:2" x14ac:dyDescent="0.35">
      <c r="A4093" s="1416">
        <v>40547</v>
      </c>
      <c r="B4093" s="1415">
        <v>39.15</v>
      </c>
    </row>
    <row r="4094" spans="1:2" x14ac:dyDescent="0.35">
      <c r="A4094" s="1416">
        <v>40548</v>
      </c>
      <c r="B4094" s="1415">
        <v>39.82</v>
      </c>
    </row>
    <row r="4095" spans="1:2" x14ac:dyDescent="0.35">
      <c r="A4095" s="1416">
        <v>40549</v>
      </c>
      <c r="B4095" s="1415">
        <v>39.47</v>
      </c>
    </row>
    <row r="4096" spans="1:2" x14ac:dyDescent="0.35">
      <c r="A4096" s="1416">
        <v>40550</v>
      </c>
      <c r="B4096" s="1415">
        <v>37.982500000000002</v>
      </c>
    </row>
    <row r="4097" spans="1:2" x14ac:dyDescent="0.35">
      <c r="A4097" s="1416">
        <v>40553</v>
      </c>
      <c r="B4097" s="1415">
        <v>35.94</v>
      </c>
    </row>
    <row r="4098" spans="1:2" x14ac:dyDescent="0.35">
      <c r="A4098" s="1416">
        <v>40554</v>
      </c>
      <c r="B4098" s="1415">
        <v>40.74</v>
      </c>
    </row>
    <row r="4099" spans="1:2" x14ac:dyDescent="0.35">
      <c r="A4099" s="1416">
        <v>40555</v>
      </c>
      <c r="B4099" s="1415">
        <v>41.86</v>
      </c>
    </row>
    <row r="4100" spans="1:2" x14ac:dyDescent="0.35">
      <c r="A4100" s="1416">
        <v>40556</v>
      </c>
      <c r="B4100" s="1415">
        <v>42.39</v>
      </c>
    </row>
    <row r="4101" spans="1:2" x14ac:dyDescent="0.35">
      <c r="A4101" s="1416">
        <v>40557</v>
      </c>
      <c r="B4101" s="1415">
        <v>42.31</v>
      </c>
    </row>
    <row r="4102" spans="1:2" x14ac:dyDescent="0.35">
      <c r="A4102" s="1416">
        <v>40561</v>
      </c>
      <c r="B4102" s="1415">
        <v>43.3</v>
      </c>
    </row>
    <row r="4103" spans="1:2" x14ac:dyDescent="0.35">
      <c r="A4103" s="1416">
        <v>40562</v>
      </c>
      <c r="B4103" s="1415">
        <v>42.17</v>
      </c>
    </row>
    <row r="4104" spans="1:2" x14ac:dyDescent="0.35">
      <c r="A4104" s="1416">
        <v>40563</v>
      </c>
      <c r="B4104" s="1415">
        <v>43.23</v>
      </c>
    </row>
    <row r="4105" spans="1:2" x14ac:dyDescent="0.35">
      <c r="A4105" s="1416">
        <v>40564</v>
      </c>
      <c r="B4105" s="1415">
        <v>42.35</v>
      </c>
    </row>
    <row r="4106" spans="1:2" x14ac:dyDescent="0.35">
      <c r="A4106" s="1416">
        <v>40567</v>
      </c>
      <c r="B4106" s="1415">
        <v>41.87</v>
      </c>
    </row>
    <row r="4107" spans="1:2" x14ac:dyDescent="0.35">
      <c r="A4107" s="1416">
        <v>40568</v>
      </c>
      <c r="B4107" s="1415">
        <v>41.72</v>
      </c>
    </row>
    <row r="4108" spans="1:2" x14ac:dyDescent="0.35">
      <c r="A4108" s="1416">
        <v>40569</v>
      </c>
      <c r="B4108" s="1415">
        <v>42.07</v>
      </c>
    </row>
    <row r="4109" spans="1:2" x14ac:dyDescent="0.35">
      <c r="A4109" s="1416">
        <v>40570</v>
      </c>
      <c r="B4109" s="1415">
        <v>42.29</v>
      </c>
    </row>
    <row r="4110" spans="1:2" x14ac:dyDescent="0.35">
      <c r="A4110" s="1416">
        <v>40571</v>
      </c>
      <c r="B4110" s="1415">
        <v>41.02</v>
      </c>
    </row>
    <row r="4111" spans="1:2" x14ac:dyDescent="0.35">
      <c r="A4111" s="1416">
        <v>40574</v>
      </c>
      <c r="B4111" s="1415">
        <v>41.27</v>
      </c>
    </row>
    <row r="4112" spans="1:2" x14ac:dyDescent="0.35">
      <c r="A4112" s="1416">
        <v>40575</v>
      </c>
      <c r="B4112" s="1415">
        <v>42.16</v>
      </c>
    </row>
    <row r="4113" spans="1:2" x14ac:dyDescent="0.35">
      <c r="A4113" s="1416">
        <v>40576</v>
      </c>
      <c r="B4113" s="1415">
        <v>42.27</v>
      </c>
    </row>
    <row r="4114" spans="1:2" x14ac:dyDescent="0.35">
      <c r="A4114" s="1416">
        <v>40577</v>
      </c>
      <c r="B4114" s="1415">
        <v>42.4</v>
      </c>
    </row>
    <row r="4115" spans="1:2" x14ac:dyDescent="0.35">
      <c r="A4115" s="1416">
        <v>40578</v>
      </c>
      <c r="B4115" s="1415">
        <v>42.14</v>
      </c>
    </row>
    <row r="4116" spans="1:2" x14ac:dyDescent="0.35">
      <c r="A4116" s="1416">
        <v>40581</v>
      </c>
      <c r="B4116" s="1415">
        <v>42.5</v>
      </c>
    </row>
    <row r="4117" spans="1:2" x14ac:dyDescent="0.35">
      <c r="A4117" s="1416">
        <v>40582</v>
      </c>
      <c r="B4117" s="1415">
        <v>42.65</v>
      </c>
    </row>
    <row r="4118" spans="1:2" x14ac:dyDescent="0.35">
      <c r="A4118" s="1416">
        <v>40583</v>
      </c>
      <c r="B4118" s="1415">
        <v>42.31</v>
      </c>
    </row>
    <row r="4119" spans="1:2" x14ac:dyDescent="0.35">
      <c r="A4119" s="1416">
        <v>40584</v>
      </c>
      <c r="B4119" s="1415">
        <v>42.74</v>
      </c>
    </row>
    <row r="4120" spans="1:2" x14ac:dyDescent="0.35">
      <c r="A4120" s="1416">
        <v>40585</v>
      </c>
      <c r="B4120" s="1415">
        <v>42.99</v>
      </c>
    </row>
    <row r="4121" spans="1:2" x14ac:dyDescent="0.35">
      <c r="A4121" s="1416">
        <v>40588</v>
      </c>
      <c r="B4121" s="1415">
        <v>43.07</v>
      </c>
    </row>
    <row r="4122" spans="1:2" x14ac:dyDescent="0.35">
      <c r="A4122" s="1416">
        <v>40589</v>
      </c>
      <c r="B4122" s="1415">
        <v>43.18</v>
      </c>
    </row>
    <row r="4123" spans="1:2" x14ac:dyDescent="0.35">
      <c r="A4123" s="1416">
        <v>40590</v>
      </c>
      <c r="B4123" s="1415">
        <v>43.46</v>
      </c>
    </row>
    <row r="4124" spans="1:2" x14ac:dyDescent="0.35">
      <c r="A4124" s="1416">
        <v>40591</v>
      </c>
      <c r="B4124" s="1415">
        <v>43.64</v>
      </c>
    </row>
    <row r="4125" spans="1:2" x14ac:dyDescent="0.35">
      <c r="A4125" s="1416">
        <v>40592</v>
      </c>
      <c r="B4125" s="1415">
        <v>45.82</v>
      </c>
    </row>
    <row r="4126" spans="1:2" x14ac:dyDescent="0.35">
      <c r="A4126" s="1416">
        <v>40596</v>
      </c>
      <c r="B4126" s="1415">
        <v>45.73</v>
      </c>
    </row>
    <row r="4127" spans="1:2" x14ac:dyDescent="0.35">
      <c r="A4127" s="1416">
        <v>40597</v>
      </c>
      <c r="B4127" s="1415">
        <v>44.56</v>
      </c>
    </row>
    <row r="4128" spans="1:2" x14ac:dyDescent="0.35">
      <c r="A4128" s="1416">
        <v>40598</v>
      </c>
      <c r="B4128" s="1415">
        <v>45.16</v>
      </c>
    </row>
    <row r="4129" spans="1:2" x14ac:dyDescent="0.35">
      <c r="A4129" s="1416">
        <v>40599</v>
      </c>
      <c r="B4129" s="1415">
        <v>45.77</v>
      </c>
    </row>
    <row r="4130" spans="1:2" x14ac:dyDescent="0.35">
      <c r="A4130" s="1416">
        <v>40602</v>
      </c>
      <c r="B4130" s="1415">
        <v>45.26</v>
      </c>
    </row>
    <row r="4131" spans="1:2" x14ac:dyDescent="0.35">
      <c r="A4131" s="1416">
        <v>40603</v>
      </c>
      <c r="B4131" s="1415">
        <v>44.3</v>
      </c>
    </row>
    <row r="4132" spans="1:2" x14ac:dyDescent="0.35">
      <c r="A4132" s="1416">
        <v>40604</v>
      </c>
      <c r="B4132" s="1415">
        <v>44.79</v>
      </c>
    </row>
    <row r="4133" spans="1:2" x14ac:dyDescent="0.35">
      <c r="A4133" s="1416">
        <v>40605</v>
      </c>
      <c r="B4133" s="1415">
        <v>45.26</v>
      </c>
    </row>
    <row r="4134" spans="1:2" x14ac:dyDescent="0.35">
      <c r="A4134" s="1416">
        <v>40606</v>
      </c>
      <c r="B4134" s="1415">
        <v>44.29</v>
      </c>
    </row>
    <row r="4135" spans="1:2" x14ac:dyDescent="0.35">
      <c r="A4135" s="1416">
        <v>40609</v>
      </c>
      <c r="B4135" s="1415">
        <v>44.07</v>
      </c>
    </row>
    <row r="4136" spans="1:2" x14ac:dyDescent="0.35">
      <c r="A4136" s="1416">
        <v>40610</v>
      </c>
      <c r="B4136" s="1415">
        <v>43.21</v>
      </c>
    </row>
    <row r="4137" spans="1:2" x14ac:dyDescent="0.35">
      <c r="A4137" s="1416">
        <v>40611</v>
      </c>
      <c r="B4137" s="1415">
        <v>43.11</v>
      </c>
    </row>
    <row r="4138" spans="1:2" x14ac:dyDescent="0.35">
      <c r="A4138" s="1416">
        <v>40612</v>
      </c>
      <c r="B4138" s="1415">
        <v>42.06</v>
      </c>
    </row>
    <row r="4139" spans="1:2" x14ac:dyDescent="0.35">
      <c r="A4139" s="1416">
        <v>40613</v>
      </c>
      <c r="B4139" s="1415">
        <v>42.29</v>
      </c>
    </row>
    <row r="4140" spans="1:2" x14ac:dyDescent="0.35">
      <c r="A4140" s="1416">
        <v>40616</v>
      </c>
      <c r="B4140" s="1415">
        <v>41.76</v>
      </c>
    </row>
    <row r="4141" spans="1:2" x14ac:dyDescent="0.35">
      <c r="A4141" s="1416">
        <v>40617</v>
      </c>
      <c r="B4141" s="1415">
        <v>41.21</v>
      </c>
    </row>
    <row r="4142" spans="1:2" x14ac:dyDescent="0.35">
      <c r="A4142" s="1416">
        <v>40618</v>
      </c>
      <c r="B4142" s="1415">
        <v>40.369999999999997</v>
      </c>
    </row>
    <row r="4143" spans="1:2" x14ac:dyDescent="0.35">
      <c r="A4143" s="1416">
        <v>40619</v>
      </c>
      <c r="B4143" s="1415">
        <v>40.4</v>
      </c>
    </row>
    <row r="4144" spans="1:2" x14ac:dyDescent="0.35">
      <c r="A4144" s="1416">
        <v>40620</v>
      </c>
      <c r="B4144" s="1415">
        <v>40.32</v>
      </c>
    </row>
    <row r="4145" spans="1:2" x14ac:dyDescent="0.35">
      <c r="A4145" s="1416">
        <v>40623</v>
      </c>
      <c r="B4145" s="1415">
        <v>41.14</v>
      </c>
    </row>
    <row r="4146" spans="1:2" x14ac:dyDescent="0.35">
      <c r="A4146" s="1416">
        <v>40624</v>
      </c>
      <c r="B4146" s="1415">
        <v>42.38</v>
      </c>
    </row>
    <row r="4147" spans="1:2" x14ac:dyDescent="0.35">
      <c r="A4147" s="1416">
        <v>40625</v>
      </c>
      <c r="B4147" s="1415">
        <v>42.32</v>
      </c>
    </row>
    <row r="4148" spans="1:2" x14ac:dyDescent="0.35">
      <c r="A4148" s="1416">
        <v>40626</v>
      </c>
      <c r="B4148" s="1415">
        <v>43.36</v>
      </c>
    </row>
    <row r="4149" spans="1:2" x14ac:dyDescent="0.35">
      <c r="A4149" s="1416">
        <v>40627</v>
      </c>
      <c r="B4149" s="1415">
        <v>43.51</v>
      </c>
    </row>
    <row r="4150" spans="1:2" x14ac:dyDescent="0.35">
      <c r="A4150" s="1416">
        <v>40630</v>
      </c>
      <c r="B4150" s="1415">
        <v>42.35</v>
      </c>
    </row>
    <row r="4151" spans="1:2" x14ac:dyDescent="0.35">
      <c r="A4151" s="1416">
        <v>40631</v>
      </c>
      <c r="B4151" s="1415">
        <v>40.549999999999997</v>
      </c>
    </row>
    <row r="4152" spans="1:2" x14ac:dyDescent="0.35">
      <c r="A4152" s="1416">
        <v>40632</v>
      </c>
      <c r="B4152" s="1415">
        <v>41.4</v>
      </c>
    </row>
    <row r="4153" spans="1:2" x14ac:dyDescent="0.35">
      <c r="A4153" s="1416">
        <v>40633</v>
      </c>
      <c r="B4153" s="1415">
        <v>41.71</v>
      </c>
    </row>
    <row r="4154" spans="1:2" x14ac:dyDescent="0.35">
      <c r="A4154" s="1416">
        <v>40634</v>
      </c>
      <c r="B4154" s="1415">
        <v>41.41</v>
      </c>
    </row>
    <row r="4155" spans="1:2" x14ac:dyDescent="0.35">
      <c r="A4155" s="1416">
        <v>40637</v>
      </c>
      <c r="B4155" s="1415">
        <v>40.79</v>
      </c>
    </row>
    <row r="4156" spans="1:2" x14ac:dyDescent="0.35">
      <c r="A4156" s="1416">
        <v>40638</v>
      </c>
      <c r="B4156" s="1415">
        <v>40.93</v>
      </c>
    </row>
    <row r="4157" spans="1:2" x14ac:dyDescent="0.35">
      <c r="A4157" s="1416">
        <v>40639</v>
      </c>
      <c r="B4157" s="1415">
        <v>41.54</v>
      </c>
    </row>
    <row r="4158" spans="1:2" x14ac:dyDescent="0.35">
      <c r="A4158" s="1416">
        <v>40640</v>
      </c>
      <c r="B4158" s="1415">
        <v>42.43</v>
      </c>
    </row>
    <row r="4159" spans="1:2" x14ac:dyDescent="0.35">
      <c r="A4159" s="1416">
        <v>40641</v>
      </c>
      <c r="B4159" s="1415">
        <v>42.11</v>
      </c>
    </row>
    <row r="4160" spans="1:2" x14ac:dyDescent="0.35">
      <c r="A4160" s="1416">
        <v>40644</v>
      </c>
      <c r="B4160" s="1415">
        <v>42.01</v>
      </c>
    </row>
    <row r="4161" spans="1:2" x14ac:dyDescent="0.35">
      <c r="A4161" s="1416">
        <v>40645</v>
      </c>
      <c r="B4161" s="1415">
        <v>41.11</v>
      </c>
    </row>
    <row r="4162" spans="1:2" x14ac:dyDescent="0.35">
      <c r="A4162" s="1416">
        <v>40646</v>
      </c>
      <c r="B4162" s="1415">
        <v>39.880000000000003</v>
      </c>
    </row>
    <row r="4163" spans="1:2" x14ac:dyDescent="0.35">
      <c r="A4163" s="1416">
        <v>40647</v>
      </c>
      <c r="B4163" s="1415">
        <v>39.96</v>
      </c>
    </row>
    <row r="4164" spans="1:2" x14ac:dyDescent="0.35">
      <c r="A4164" s="1416">
        <v>40648</v>
      </c>
      <c r="B4164" s="1415">
        <v>40.1</v>
      </c>
    </row>
    <row r="4165" spans="1:2" x14ac:dyDescent="0.35">
      <c r="A4165" s="1416">
        <v>40651</v>
      </c>
      <c r="B4165" s="1415">
        <v>40.04</v>
      </c>
    </row>
    <row r="4166" spans="1:2" x14ac:dyDescent="0.35">
      <c r="A4166" s="1416">
        <v>40652</v>
      </c>
      <c r="B4166" s="1415">
        <v>39.43</v>
      </c>
    </row>
    <row r="4167" spans="1:2" x14ac:dyDescent="0.35">
      <c r="A4167" s="1416">
        <v>40653</v>
      </c>
      <c r="B4167" s="1415">
        <v>38.68</v>
      </c>
    </row>
    <row r="4168" spans="1:2" x14ac:dyDescent="0.35">
      <c r="A4168" s="1416">
        <v>40654</v>
      </c>
      <c r="B4168" s="1415">
        <v>39.799999999999997</v>
      </c>
    </row>
    <row r="4169" spans="1:2" x14ac:dyDescent="0.35">
      <c r="A4169" s="1416">
        <v>40658</v>
      </c>
      <c r="B4169" s="1415">
        <v>39.94</v>
      </c>
    </row>
    <row r="4170" spans="1:2" x14ac:dyDescent="0.35">
      <c r="A4170" s="1416">
        <v>40659</v>
      </c>
      <c r="B4170" s="1415">
        <v>40.28</v>
      </c>
    </row>
    <row r="4171" spans="1:2" x14ac:dyDescent="0.35">
      <c r="A4171" s="1416">
        <v>40660</v>
      </c>
      <c r="B4171" s="1415">
        <v>40.590000000000003</v>
      </c>
    </row>
    <row r="4172" spans="1:2" x14ac:dyDescent="0.35">
      <c r="A4172" s="1416">
        <v>40661</v>
      </c>
      <c r="B4172" s="1415">
        <v>40.28</v>
      </c>
    </row>
    <row r="4173" spans="1:2" x14ac:dyDescent="0.35">
      <c r="A4173" s="1416">
        <v>40662</v>
      </c>
      <c r="B4173" s="1415">
        <v>40.03</v>
      </c>
    </row>
    <row r="4174" spans="1:2" x14ac:dyDescent="0.35">
      <c r="A4174" s="1416">
        <v>40665</v>
      </c>
      <c r="B4174" s="1415">
        <v>40.76</v>
      </c>
    </row>
    <row r="4175" spans="1:2" x14ac:dyDescent="0.35">
      <c r="A4175" s="1416">
        <v>40666</v>
      </c>
      <c r="B4175" s="1415">
        <v>40.590000000000003</v>
      </c>
    </row>
    <row r="4176" spans="1:2" x14ac:dyDescent="0.35">
      <c r="A4176" s="1416">
        <v>40667</v>
      </c>
      <c r="B4176" s="1415">
        <v>40.200000000000003</v>
      </c>
    </row>
    <row r="4177" spans="1:2" x14ac:dyDescent="0.35">
      <c r="A4177" s="1416">
        <v>40668</v>
      </c>
      <c r="B4177" s="1415">
        <v>40.159999999999997</v>
      </c>
    </row>
    <row r="4178" spans="1:2" x14ac:dyDescent="0.35">
      <c r="A4178" s="1416">
        <v>40669</v>
      </c>
      <c r="B4178" s="1415">
        <v>40.01</v>
      </c>
    </row>
    <row r="4179" spans="1:2" x14ac:dyDescent="0.35">
      <c r="A4179" s="1416">
        <v>40672</v>
      </c>
      <c r="B4179" s="1415">
        <v>40.56</v>
      </c>
    </row>
    <row r="4180" spans="1:2" x14ac:dyDescent="0.35">
      <c r="A4180" s="1416">
        <v>40673</v>
      </c>
      <c r="B4180" s="1415">
        <v>41.61</v>
      </c>
    </row>
    <row r="4181" spans="1:2" x14ac:dyDescent="0.35">
      <c r="A4181" s="1416">
        <v>40674</v>
      </c>
      <c r="B4181" s="1415">
        <v>41.86</v>
      </c>
    </row>
    <row r="4182" spans="1:2" x14ac:dyDescent="0.35">
      <c r="A4182" s="1416">
        <v>40675</v>
      </c>
      <c r="B4182" s="1415">
        <v>42.79</v>
      </c>
    </row>
    <row r="4183" spans="1:2" x14ac:dyDescent="0.35">
      <c r="A4183" s="1416">
        <v>40676</v>
      </c>
      <c r="B4183" s="1415">
        <v>42.59</v>
      </c>
    </row>
    <row r="4184" spans="1:2" x14ac:dyDescent="0.35">
      <c r="A4184" s="1416">
        <v>40679</v>
      </c>
      <c r="B4184" s="1415">
        <v>41.71</v>
      </c>
    </row>
    <row r="4185" spans="1:2" x14ac:dyDescent="0.35">
      <c r="A4185" s="1416">
        <v>40680</v>
      </c>
      <c r="B4185" s="1415">
        <v>41.38</v>
      </c>
    </row>
    <row r="4186" spans="1:2" x14ac:dyDescent="0.35">
      <c r="A4186" s="1416">
        <v>40681</v>
      </c>
      <c r="B4186" s="1415">
        <v>41.26</v>
      </c>
    </row>
    <row r="4187" spans="1:2" x14ac:dyDescent="0.35">
      <c r="A4187" s="1416">
        <v>40682</v>
      </c>
      <c r="B4187" s="1415">
        <v>41.29</v>
      </c>
    </row>
    <row r="4188" spans="1:2" x14ac:dyDescent="0.35">
      <c r="A4188" s="1416">
        <v>40683</v>
      </c>
      <c r="B4188" s="1415">
        <v>40.97</v>
      </c>
    </row>
    <row r="4189" spans="1:2" x14ac:dyDescent="0.35">
      <c r="A4189" s="1416">
        <v>40686</v>
      </c>
      <c r="B4189" s="1415">
        <v>40.03</v>
      </c>
    </row>
    <row r="4190" spans="1:2" x14ac:dyDescent="0.35">
      <c r="A4190" s="1416">
        <v>40687</v>
      </c>
      <c r="B4190" s="1415">
        <v>40.97</v>
      </c>
    </row>
    <row r="4191" spans="1:2" x14ac:dyDescent="0.35">
      <c r="A4191" s="1416">
        <v>40688</v>
      </c>
      <c r="B4191" s="1415">
        <v>39.92</v>
      </c>
    </row>
    <row r="4192" spans="1:2" x14ac:dyDescent="0.35">
      <c r="A4192" s="1416">
        <v>40689</v>
      </c>
      <c r="B4192" s="1415">
        <v>39.840000000000003</v>
      </c>
    </row>
    <row r="4193" spans="1:2" x14ac:dyDescent="0.35">
      <c r="A4193" s="1416">
        <v>40690</v>
      </c>
      <c r="B4193" s="1415">
        <v>40.22</v>
      </c>
    </row>
    <row r="4194" spans="1:2" x14ac:dyDescent="0.35">
      <c r="A4194" s="1416">
        <v>40694</v>
      </c>
      <c r="B4194" s="1415">
        <v>41.11</v>
      </c>
    </row>
    <row r="4195" spans="1:2" x14ac:dyDescent="0.35">
      <c r="A4195" s="1416">
        <v>40695</v>
      </c>
      <c r="B4195" s="1415">
        <v>42.19</v>
      </c>
    </row>
    <row r="4196" spans="1:2" x14ac:dyDescent="0.35">
      <c r="A4196" s="1416">
        <v>40696</v>
      </c>
      <c r="B4196" s="1415">
        <v>46.9</v>
      </c>
    </row>
    <row r="4197" spans="1:2" x14ac:dyDescent="0.35">
      <c r="A4197" s="1416">
        <v>40697</v>
      </c>
      <c r="B4197" s="1415">
        <v>46.04</v>
      </c>
    </row>
    <row r="4198" spans="1:2" x14ac:dyDescent="0.35">
      <c r="A4198" s="1416">
        <v>40700</v>
      </c>
      <c r="B4198" s="1415">
        <v>44.71</v>
      </c>
    </row>
    <row r="4199" spans="1:2" x14ac:dyDescent="0.35">
      <c r="A4199" s="1416">
        <v>40701</v>
      </c>
      <c r="B4199" s="1415">
        <v>44.57</v>
      </c>
    </row>
    <row r="4200" spans="1:2" x14ac:dyDescent="0.35">
      <c r="A4200" s="1416">
        <v>40702</v>
      </c>
      <c r="B4200" s="1415">
        <v>44.21</v>
      </c>
    </row>
    <row r="4201" spans="1:2" x14ac:dyDescent="0.35">
      <c r="A4201" s="1416">
        <v>40703</v>
      </c>
      <c r="B4201" s="1415">
        <v>44.48</v>
      </c>
    </row>
    <row r="4202" spans="1:2" x14ac:dyDescent="0.35">
      <c r="A4202" s="1416">
        <v>40704</v>
      </c>
      <c r="B4202" s="1415">
        <v>43.59</v>
      </c>
    </row>
    <row r="4203" spans="1:2" x14ac:dyDescent="0.35">
      <c r="A4203" s="1416">
        <v>40707</v>
      </c>
      <c r="B4203" s="1415">
        <v>43.35</v>
      </c>
    </row>
    <row r="4204" spans="1:2" x14ac:dyDescent="0.35">
      <c r="A4204" s="1416">
        <v>40708</v>
      </c>
      <c r="B4204" s="1415">
        <v>44.09</v>
      </c>
    </row>
    <row r="4205" spans="1:2" x14ac:dyDescent="0.35">
      <c r="A4205" s="1416">
        <v>40709</v>
      </c>
      <c r="B4205" s="1415">
        <v>42.72</v>
      </c>
    </row>
    <row r="4206" spans="1:2" x14ac:dyDescent="0.35">
      <c r="A4206" s="1416">
        <v>40710</v>
      </c>
      <c r="B4206" s="1415">
        <v>42.36</v>
      </c>
    </row>
    <row r="4207" spans="1:2" x14ac:dyDescent="0.35">
      <c r="A4207" s="1416">
        <v>40711</v>
      </c>
      <c r="B4207" s="1415">
        <v>41.67</v>
      </c>
    </row>
    <row r="4208" spans="1:2" x14ac:dyDescent="0.35">
      <c r="A4208" s="1416">
        <v>40714</v>
      </c>
      <c r="B4208" s="1415">
        <v>42.07</v>
      </c>
    </row>
    <row r="4209" spans="1:2" x14ac:dyDescent="0.35">
      <c r="A4209" s="1416">
        <v>40715</v>
      </c>
      <c r="B4209" s="1415">
        <v>42.45</v>
      </c>
    </row>
    <row r="4210" spans="1:2" x14ac:dyDescent="0.35">
      <c r="A4210" s="1416">
        <v>40716</v>
      </c>
      <c r="B4210" s="1415">
        <v>42.585000000000001</v>
      </c>
    </row>
    <row r="4211" spans="1:2" x14ac:dyDescent="0.35">
      <c r="A4211" s="1416">
        <v>40717</v>
      </c>
      <c r="B4211" s="1415">
        <v>42.46</v>
      </c>
    </row>
    <row r="4212" spans="1:2" x14ac:dyDescent="0.35">
      <c r="A4212" s="1416">
        <v>40718</v>
      </c>
      <c r="B4212" s="1415">
        <v>41.94</v>
      </c>
    </row>
    <row r="4213" spans="1:2" x14ac:dyDescent="0.35">
      <c r="A4213" s="1416">
        <v>40721</v>
      </c>
      <c r="B4213" s="1415">
        <v>41.88</v>
      </c>
    </row>
    <row r="4214" spans="1:2" x14ac:dyDescent="0.35">
      <c r="A4214" s="1416">
        <v>40722</v>
      </c>
      <c r="B4214" s="1415">
        <v>43.05</v>
      </c>
    </row>
    <row r="4215" spans="1:2" x14ac:dyDescent="0.35">
      <c r="A4215" s="1416">
        <v>40723</v>
      </c>
      <c r="B4215" s="1415">
        <v>43.02</v>
      </c>
    </row>
    <row r="4216" spans="1:2" x14ac:dyDescent="0.35">
      <c r="A4216" s="1416">
        <v>40724</v>
      </c>
      <c r="B4216" s="1415">
        <v>43.68</v>
      </c>
    </row>
    <row r="4217" spans="1:2" x14ac:dyDescent="0.35">
      <c r="A4217" s="1416">
        <v>40725</v>
      </c>
      <c r="B4217" s="1415">
        <v>46.46</v>
      </c>
    </row>
    <row r="4218" spans="1:2" x14ac:dyDescent="0.35">
      <c r="A4218" s="1416">
        <v>40729</v>
      </c>
      <c r="B4218" s="1415">
        <v>47.03</v>
      </c>
    </row>
    <row r="4219" spans="1:2" x14ac:dyDescent="0.35">
      <c r="A4219" s="1416">
        <v>40730</v>
      </c>
      <c r="B4219" s="1415">
        <v>47.47</v>
      </c>
    </row>
    <row r="4220" spans="1:2" x14ac:dyDescent="0.35">
      <c r="A4220" s="1416">
        <v>40731</v>
      </c>
      <c r="B4220" s="1415">
        <v>48.89</v>
      </c>
    </row>
    <row r="4221" spans="1:2" x14ac:dyDescent="0.35">
      <c r="A4221" s="1416">
        <v>40732</v>
      </c>
      <c r="B4221" s="1415">
        <v>48.88</v>
      </c>
    </row>
    <row r="4222" spans="1:2" x14ac:dyDescent="0.35">
      <c r="A4222" s="1416">
        <v>40735</v>
      </c>
      <c r="B4222" s="1415">
        <v>47.77</v>
      </c>
    </row>
    <row r="4223" spans="1:2" x14ac:dyDescent="0.35">
      <c r="A4223" s="1416">
        <v>40736</v>
      </c>
      <c r="B4223" s="1415">
        <v>49.71</v>
      </c>
    </row>
    <row r="4224" spans="1:2" x14ac:dyDescent="0.35">
      <c r="A4224" s="1416">
        <v>40737</v>
      </c>
      <c r="B4224" s="1415">
        <v>49.82</v>
      </c>
    </row>
    <row r="4225" spans="1:2" x14ac:dyDescent="0.35">
      <c r="A4225" s="1416">
        <v>40738</v>
      </c>
      <c r="B4225" s="1415">
        <v>49.14</v>
      </c>
    </row>
    <row r="4226" spans="1:2" x14ac:dyDescent="0.35">
      <c r="A4226" s="1416">
        <v>40739</v>
      </c>
      <c r="B4226" s="1415">
        <v>49.62</v>
      </c>
    </row>
    <row r="4227" spans="1:2" x14ac:dyDescent="0.35">
      <c r="A4227" s="1416">
        <v>40742</v>
      </c>
      <c r="B4227" s="1415">
        <v>49.31</v>
      </c>
    </row>
    <row r="4228" spans="1:2" x14ac:dyDescent="0.35">
      <c r="A4228" s="1416">
        <v>40743</v>
      </c>
      <c r="B4228" s="1415">
        <v>50.3</v>
      </c>
    </row>
    <row r="4229" spans="1:2" x14ac:dyDescent="0.35">
      <c r="A4229" s="1416">
        <v>40744</v>
      </c>
      <c r="B4229" s="1415">
        <v>50.47</v>
      </c>
    </row>
    <row r="4230" spans="1:2" x14ac:dyDescent="0.35">
      <c r="A4230" s="1416">
        <v>40745</v>
      </c>
      <c r="B4230" s="1415">
        <v>51.284999999999997</v>
      </c>
    </row>
    <row r="4231" spans="1:2" x14ac:dyDescent="0.35">
      <c r="A4231" s="1416">
        <v>40746</v>
      </c>
      <c r="B4231" s="1415">
        <v>51.93</v>
      </c>
    </row>
    <row r="4232" spans="1:2" x14ac:dyDescent="0.35">
      <c r="A4232" s="1416">
        <v>40749</v>
      </c>
      <c r="B4232" s="1415">
        <v>52.1</v>
      </c>
    </row>
    <row r="4233" spans="1:2" x14ac:dyDescent="0.35">
      <c r="A4233" s="1416">
        <v>40750</v>
      </c>
      <c r="B4233" s="1415">
        <v>53.86</v>
      </c>
    </row>
    <row r="4234" spans="1:2" x14ac:dyDescent="0.35">
      <c r="A4234" s="1416">
        <v>40751</v>
      </c>
      <c r="B4234" s="1415">
        <v>52.52</v>
      </c>
    </row>
    <row r="4235" spans="1:2" x14ac:dyDescent="0.35">
      <c r="A4235" s="1416">
        <v>40752</v>
      </c>
      <c r="B4235" s="1415">
        <v>50.84</v>
      </c>
    </row>
    <row r="4236" spans="1:2" x14ac:dyDescent="0.35">
      <c r="A4236" s="1416">
        <v>40753</v>
      </c>
      <c r="B4236" s="1415">
        <v>50.83</v>
      </c>
    </row>
    <row r="4237" spans="1:2" x14ac:dyDescent="0.35">
      <c r="A4237" s="1416">
        <v>40756</v>
      </c>
      <c r="B4237" s="1415">
        <v>50.93</v>
      </c>
    </row>
    <row r="4238" spans="1:2" x14ac:dyDescent="0.35">
      <c r="A4238" s="1416">
        <v>40757</v>
      </c>
      <c r="B4238" s="1415">
        <v>50.02</v>
      </c>
    </row>
    <row r="4239" spans="1:2" x14ac:dyDescent="0.35">
      <c r="A4239" s="1416">
        <v>40758</v>
      </c>
      <c r="B4239" s="1415">
        <v>50.03</v>
      </c>
    </row>
    <row r="4240" spans="1:2" x14ac:dyDescent="0.35">
      <c r="A4240" s="1416">
        <v>40759</v>
      </c>
      <c r="B4240" s="1415">
        <v>47.865000000000002</v>
      </c>
    </row>
    <row r="4241" spans="1:2" x14ac:dyDescent="0.35">
      <c r="A4241" s="1416">
        <v>40760</v>
      </c>
      <c r="B4241" s="1415">
        <v>46.11</v>
      </c>
    </row>
    <row r="4242" spans="1:2" x14ac:dyDescent="0.35">
      <c r="A4242" s="1416">
        <v>40763</v>
      </c>
      <c r="B4242" s="1415">
        <v>43.48</v>
      </c>
    </row>
    <row r="4243" spans="1:2" x14ac:dyDescent="0.35">
      <c r="A4243" s="1416">
        <v>40764</v>
      </c>
      <c r="B4243" s="1415">
        <v>45.05</v>
      </c>
    </row>
    <row r="4244" spans="1:2" x14ac:dyDescent="0.35">
      <c r="A4244" s="1416">
        <v>40765</v>
      </c>
      <c r="B4244" s="1415">
        <v>43.41</v>
      </c>
    </row>
    <row r="4245" spans="1:2" x14ac:dyDescent="0.35">
      <c r="A4245" s="1416">
        <v>40766</v>
      </c>
      <c r="B4245" s="1415">
        <v>44.82</v>
      </c>
    </row>
    <row r="4246" spans="1:2" x14ac:dyDescent="0.35">
      <c r="A4246" s="1416">
        <v>40767</v>
      </c>
      <c r="B4246" s="1415">
        <v>44.94</v>
      </c>
    </row>
    <row r="4247" spans="1:2" x14ac:dyDescent="0.35">
      <c r="A4247" s="1416">
        <v>40770</v>
      </c>
      <c r="B4247" s="1415">
        <v>45.85</v>
      </c>
    </row>
    <row r="4248" spans="1:2" x14ac:dyDescent="0.35">
      <c r="A4248" s="1416">
        <v>40771</v>
      </c>
      <c r="B4248" s="1415">
        <v>46.99</v>
      </c>
    </row>
    <row r="4249" spans="1:2" x14ac:dyDescent="0.35">
      <c r="A4249" s="1416">
        <v>40772</v>
      </c>
      <c r="B4249" s="1415">
        <v>46.78</v>
      </c>
    </row>
    <row r="4250" spans="1:2" x14ac:dyDescent="0.35">
      <c r="A4250" s="1416">
        <v>40773</v>
      </c>
      <c r="B4250" s="1415">
        <v>45.31</v>
      </c>
    </row>
    <row r="4251" spans="1:2" x14ac:dyDescent="0.35">
      <c r="A4251" s="1416">
        <v>40774</v>
      </c>
      <c r="B4251" s="1415">
        <v>44.93</v>
      </c>
    </row>
    <row r="4252" spans="1:2" x14ac:dyDescent="0.35">
      <c r="A4252" s="1416">
        <v>40777</v>
      </c>
      <c r="B4252" s="1415">
        <v>44.92</v>
      </c>
    </row>
    <row r="4253" spans="1:2" x14ac:dyDescent="0.35">
      <c r="A4253" s="1416">
        <v>40778</v>
      </c>
      <c r="B4253" s="1415">
        <v>45.43</v>
      </c>
    </row>
    <row r="4254" spans="1:2" x14ac:dyDescent="0.35">
      <c r="A4254" s="1416">
        <v>40779</v>
      </c>
      <c r="B4254" s="1415">
        <v>46.27</v>
      </c>
    </row>
    <row r="4255" spans="1:2" x14ac:dyDescent="0.35">
      <c r="A4255" s="1416">
        <v>40780</v>
      </c>
      <c r="B4255" s="1415">
        <v>44.43</v>
      </c>
    </row>
    <row r="4256" spans="1:2" x14ac:dyDescent="0.35">
      <c r="A4256" s="1416">
        <v>40781</v>
      </c>
      <c r="B4256" s="1415">
        <v>44.86</v>
      </c>
    </row>
    <row r="4257" spans="1:2" x14ac:dyDescent="0.35">
      <c r="A4257" s="1416">
        <v>40784</v>
      </c>
      <c r="B4257" s="1415">
        <v>46.02</v>
      </c>
    </row>
    <row r="4258" spans="1:2" x14ac:dyDescent="0.35">
      <c r="A4258" s="1416">
        <v>40785</v>
      </c>
      <c r="B4258" s="1415">
        <v>47.04</v>
      </c>
    </row>
    <row r="4259" spans="1:2" x14ac:dyDescent="0.35">
      <c r="A4259" s="1416">
        <v>40786</v>
      </c>
      <c r="B4259" s="1415">
        <v>46.825000000000003</v>
      </c>
    </row>
    <row r="4260" spans="1:2" x14ac:dyDescent="0.35">
      <c r="A4260" s="1416">
        <v>40787</v>
      </c>
      <c r="B4260" s="1415">
        <v>46.07</v>
      </c>
    </row>
    <row r="4261" spans="1:2" x14ac:dyDescent="0.35">
      <c r="A4261" s="1416">
        <v>40788</v>
      </c>
      <c r="B4261" s="1415">
        <v>44.55</v>
      </c>
    </row>
    <row r="4262" spans="1:2" x14ac:dyDescent="0.35">
      <c r="A4262" s="1416">
        <v>40792</v>
      </c>
      <c r="B4262" s="1415">
        <v>45.12</v>
      </c>
    </row>
    <row r="4263" spans="1:2" x14ac:dyDescent="0.35">
      <c r="A4263" s="1416">
        <v>40793</v>
      </c>
      <c r="B4263" s="1415">
        <v>46.42</v>
      </c>
    </row>
    <row r="4264" spans="1:2" x14ac:dyDescent="0.35">
      <c r="A4264" s="1416">
        <v>40794</v>
      </c>
      <c r="B4264" s="1415">
        <v>46.25</v>
      </c>
    </row>
    <row r="4265" spans="1:2" x14ac:dyDescent="0.35">
      <c r="A4265" s="1416">
        <v>40795</v>
      </c>
      <c r="B4265" s="1415">
        <v>45.62</v>
      </c>
    </row>
    <row r="4266" spans="1:2" x14ac:dyDescent="0.35">
      <c r="A4266" s="1416">
        <v>40798</v>
      </c>
      <c r="B4266" s="1415">
        <v>45.34</v>
      </c>
    </row>
    <row r="4267" spans="1:2" x14ac:dyDescent="0.35">
      <c r="A4267" s="1416">
        <v>40799</v>
      </c>
      <c r="B4267" s="1415">
        <v>45.13</v>
      </c>
    </row>
    <row r="4268" spans="1:2" x14ac:dyDescent="0.35">
      <c r="A4268" s="1416">
        <v>40800</v>
      </c>
      <c r="B4268" s="1415">
        <v>46.1</v>
      </c>
    </row>
    <row r="4269" spans="1:2" x14ac:dyDescent="0.35">
      <c r="A4269" s="1416">
        <v>40801</v>
      </c>
      <c r="B4269" s="1415">
        <v>47.45</v>
      </c>
    </row>
    <row r="4270" spans="1:2" x14ac:dyDescent="0.35">
      <c r="A4270" s="1416">
        <v>40802</v>
      </c>
      <c r="B4270" s="1415">
        <v>47.26</v>
      </c>
    </row>
    <row r="4271" spans="1:2" x14ac:dyDescent="0.35">
      <c r="A4271" s="1416">
        <v>40805</v>
      </c>
      <c r="B4271" s="1415">
        <v>45.63</v>
      </c>
    </row>
    <row r="4272" spans="1:2" x14ac:dyDescent="0.35">
      <c r="A4272" s="1416">
        <v>40806</v>
      </c>
      <c r="B4272" s="1415">
        <v>45.18</v>
      </c>
    </row>
    <row r="4273" spans="1:2" x14ac:dyDescent="0.35">
      <c r="A4273" s="1416">
        <v>40807</v>
      </c>
      <c r="B4273" s="1415">
        <v>43.46</v>
      </c>
    </row>
    <row r="4274" spans="1:2" x14ac:dyDescent="0.35">
      <c r="A4274" s="1416">
        <v>40808</v>
      </c>
      <c r="B4274" s="1415">
        <v>40.42</v>
      </c>
    </row>
    <row r="4275" spans="1:2" x14ac:dyDescent="0.35">
      <c r="A4275" s="1416">
        <v>40809</v>
      </c>
      <c r="B4275" s="1415">
        <v>41.35</v>
      </c>
    </row>
    <row r="4276" spans="1:2" x14ac:dyDescent="0.35">
      <c r="A4276" s="1416">
        <v>40812</v>
      </c>
      <c r="B4276" s="1415">
        <v>42.18</v>
      </c>
    </row>
    <row r="4277" spans="1:2" x14ac:dyDescent="0.35">
      <c r="A4277" s="1416">
        <v>40813</v>
      </c>
      <c r="B4277" s="1415">
        <v>42.34</v>
      </c>
    </row>
    <row r="4278" spans="1:2" x14ac:dyDescent="0.35">
      <c r="A4278" s="1416">
        <v>40814</v>
      </c>
      <c r="B4278" s="1415">
        <v>41.95</v>
      </c>
    </row>
    <row r="4279" spans="1:2" x14ac:dyDescent="0.35">
      <c r="A4279" s="1416">
        <v>40815</v>
      </c>
      <c r="B4279" s="1415">
        <v>40.96</v>
      </c>
    </row>
    <row r="4280" spans="1:2" x14ac:dyDescent="0.35">
      <c r="A4280" s="1416">
        <v>40816</v>
      </c>
      <c r="B4280" s="1415">
        <v>39.61</v>
      </c>
    </row>
    <row r="4281" spans="1:2" x14ac:dyDescent="0.35">
      <c r="A4281" s="1416">
        <v>40819</v>
      </c>
      <c r="B4281" s="1415">
        <v>38.380000000000003</v>
      </c>
    </row>
    <row r="4282" spans="1:2" x14ac:dyDescent="0.35">
      <c r="A4282" s="1416">
        <v>40820</v>
      </c>
      <c r="B4282" s="1415">
        <v>38.909999999999997</v>
      </c>
    </row>
    <row r="4283" spans="1:2" x14ac:dyDescent="0.35">
      <c r="A4283" s="1416">
        <v>40821</v>
      </c>
      <c r="B4283" s="1415">
        <v>42.22</v>
      </c>
    </row>
    <row r="4284" spans="1:2" x14ac:dyDescent="0.35">
      <c r="A4284" s="1416">
        <v>40822</v>
      </c>
      <c r="B4284" s="1415">
        <v>43.06</v>
      </c>
    </row>
    <row r="4285" spans="1:2" x14ac:dyDescent="0.35">
      <c r="A4285" s="1416">
        <v>40823</v>
      </c>
      <c r="B4285" s="1415">
        <v>42.72</v>
      </c>
    </row>
    <row r="4286" spans="1:2" x14ac:dyDescent="0.35">
      <c r="A4286" s="1416">
        <v>40826</v>
      </c>
      <c r="B4286" s="1415">
        <v>42.69</v>
      </c>
    </row>
    <row r="4287" spans="1:2" x14ac:dyDescent="0.35">
      <c r="A4287" s="1416">
        <v>40827</v>
      </c>
      <c r="B4287" s="1415">
        <v>43.53</v>
      </c>
    </row>
    <row r="4288" spans="1:2" x14ac:dyDescent="0.35">
      <c r="A4288" s="1416">
        <v>40828</v>
      </c>
      <c r="B4288" s="1415">
        <v>44.11</v>
      </c>
    </row>
    <row r="4289" spans="1:2" x14ac:dyDescent="0.35">
      <c r="A4289" s="1416">
        <v>40829</v>
      </c>
      <c r="B4289" s="1415">
        <v>43.09</v>
      </c>
    </row>
    <row r="4290" spans="1:2" x14ac:dyDescent="0.35">
      <c r="A4290" s="1416">
        <v>40830</v>
      </c>
      <c r="B4290" s="1415">
        <v>43.94</v>
      </c>
    </row>
    <row r="4291" spans="1:2" x14ac:dyDescent="0.35">
      <c r="A4291" s="1416">
        <v>40833</v>
      </c>
      <c r="B4291" s="1415">
        <v>42.18</v>
      </c>
    </row>
    <row r="4292" spans="1:2" x14ac:dyDescent="0.35">
      <c r="A4292" s="1416">
        <v>40834</v>
      </c>
      <c r="B4292" s="1415">
        <v>43.33</v>
      </c>
    </row>
    <row r="4293" spans="1:2" x14ac:dyDescent="0.35">
      <c r="A4293" s="1416">
        <v>40835</v>
      </c>
      <c r="B4293" s="1415">
        <v>46.74</v>
      </c>
    </row>
    <row r="4294" spans="1:2" x14ac:dyDescent="0.35">
      <c r="A4294" s="1416">
        <v>40836</v>
      </c>
      <c r="B4294" s="1415">
        <v>46.18</v>
      </c>
    </row>
    <row r="4295" spans="1:2" x14ac:dyDescent="0.35">
      <c r="A4295" s="1416">
        <v>40837</v>
      </c>
      <c r="B4295" s="1415">
        <v>47.64</v>
      </c>
    </row>
    <row r="4296" spans="1:2" x14ac:dyDescent="0.35">
      <c r="A4296" s="1416">
        <v>40840</v>
      </c>
      <c r="B4296" s="1415">
        <v>48.24</v>
      </c>
    </row>
    <row r="4297" spans="1:2" x14ac:dyDescent="0.35">
      <c r="A4297" s="1416">
        <v>40841</v>
      </c>
      <c r="B4297" s="1415">
        <v>47.46</v>
      </c>
    </row>
    <row r="4298" spans="1:2" x14ac:dyDescent="0.35">
      <c r="A4298" s="1416">
        <v>40842</v>
      </c>
      <c r="B4298" s="1415">
        <v>47.59</v>
      </c>
    </row>
    <row r="4299" spans="1:2" x14ac:dyDescent="0.35">
      <c r="A4299" s="1416">
        <v>40843</v>
      </c>
      <c r="B4299" s="1415">
        <v>49.71</v>
      </c>
    </row>
    <row r="4300" spans="1:2" x14ac:dyDescent="0.35">
      <c r="A4300" s="1416">
        <v>40844</v>
      </c>
      <c r="B4300" s="1415">
        <v>48.16</v>
      </c>
    </row>
    <row r="4301" spans="1:2" x14ac:dyDescent="0.35">
      <c r="A4301" s="1416">
        <v>40847</v>
      </c>
      <c r="B4301" s="1415">
        <v>47.35</v>
      </c>
    </row>
    <row r="4302" spans="1:2" x14ac:dyDescent="0.35">
      <c r="A4302" s="1416">
        <v>40848</v>
      </c>
      <c r="B4302" s="1415">
        <v>45.92</v>
      </c>
    </row>
    <row r="4303" spans="1:2" x14ac:dyDescent="0.35">
      <c r="A4303" s="1416">
        <v>40849</v>
      </c>
      <c r="B4303" s="1415">
        <v>45.36</v>
      </c>
    </row>
    <row r="4304" spans="1:2" x14ac:dyDescent="0.35">
      <c r="A4304" s="1416">
        <v>40850</v>
      </c>
      <c r="B4304" s="1415">
        <v>47.31</v>
      </c>
    </row>
    <row r="4305" spans="1:2" x14ac:dyDescent="0.35">
      <c r="A4305" s="1416">
        <v>40851</v>
      </c>
      <c r="B4305" s="1415">
        <v>47.24</v>
      </c>
    </row>
    <row r="4306" spans="1:2" x14ac:dyDescent="0.35">
      <c r="A4306" s="1416">
        <v>40854</v>
      </c>
      <c r="B4306" s="1415">
        <v>47.41</v>
      </c>
    </row>
    <row r="4307" spans="1:2" x14ac:dyDescent="0.35">
      <c r="A4307" s="1416">
        <v>40855</v>
      </c>
      <c r="B4307" s="1415">
        <v>47.67</v>
      </c>
    </row>
    <row r="4308" spans="1:2" x14ac:dyDescent="0.35">
      <c r="A4308" s="1416">
        <v>40856</v>
      </c>
      <c r="B4308" s="1415">
        <v>46.14</v>
      </c>
    </row>
    <row r="4309" spans="1:2" x14ac:dyDescent="0.35">
      <c r="A4309" s="1416">
        <v>40857</v>
      </c>
      <c r="B4309" s="1415">
        <v>46.53</v>
      </c>
    </row>
    <row r="4310" spans="1:2" x14ac:dyDescent="0.35">
      <c r="A4310" s="1416">
        <v>40858</v>
      </c>
      <c r="B4310" s="1415">
        <v>47.29</v>
      </c>
    </row>
    <row r="4311" spans="1:2" x14ac:dyDescent="0.35">
      <c r="A4311" s="1416">
        <v>40861</v>
      </c>
      <c r="B4311" s="1415">
        <v>46.53</v>
      </c>
    </row>
    <row r="4312" spans="1:2" x14ac:dyDescent="0.35">
      <c r="A4312" s="1416">
        <v>40862</v>
      </c>
      <c r="B4312" s="1415">
        <v>46.85</v>
      </c>
    </row>
    <row r="4313" spans="1:2" x14ac:dyDescent="0.35">
      <c r="A4313" s="1416">
        <v>40863</v>
      </c>
      <c r="B4313" s="1415">
        <v>46.09</v>
      </c>
    </row>
    <row r="4314" spans="1:2" x14ac:dyDescent="0.35">
      <c r="A4314" s="1416">
        <v>40864</v>
      </c>
      <c r="B4314" s="1415">
        <v>45.24</v>
      </c>
    </row>
    <row r="4315" spans="1:2" x14ac:dyDescent="0.35">
      <c r="A4315" s="1416">
        <v>40865</v>
      </c>
      <c r="B4315" s="1415">
        <v>44.98</v>
      </c>
    </row>
    <row r="4316" spans="1:2" x14ac:dyDescent="0.35">
      <c r="A4316" s="1416">
        <v>40868</v>
      </c>
      <c r="B4316" s="1415">
        <v>44.82</v>
      </c>
    </row>
    <row r="4317" spans="1:2" x14ac:dyDescent="0.35">
      <c r="A4317" s="1416">
        <v>40869</v>
      </c>
      <c r="B4317" s="1415">
        <v>44.89</v>
      </c>
    </row>
    <row r="4318" spans="1:2" x14ac:dyDescent="0.35">
      <c r="A4318" s="1416">
        <v>40870</v>
      </c>
      <c r="B4318" s="1415">
        <v>44.96</v>
      </c>
    </row>
    <row r="4319" spans="1:2" x14ac:dyDescent="0.35">
      <c r="A4319" s="1416">
        <v>40872</v>
      </c>
      <c r="B4319" s="1415">
        <v>44.75</v>
      </c>
    </row>
    <row r="4320" spans="1:2" x14ac:dyDescent="0.35">
      <c r="A4320" s="1416">
        <v>40875</v>
      </c>
      <c r="B4320" s="1415">
        <v>45.82</v>
      </c>
    </row>
    <row r="4321" spans="1:2" x14ac:dyDescent="0.35">
      <c r="A4321" s="1416">
        <v>40876</v>
      </c>
      <c r="B4321" s="1415">
        <v>47.12</v>
      </c>
    </row>
    <row r="4322" spans="1:2" x14ac:dyDescent="0.35">
      <c r="A4322" s="1416">
        <v>40877</v>
      </c>
      <c r="B4322" s="1415">
        <v>48.48</v>
      </c>
    </row>
    <row r="4323" spans="1:2" x14ac:dyDescent="0.35">
      <c r="A4323" s="1416">
        <v>40878</v>
      </c>
      <c r="B4323" s="1415">
        <v>48.87</v>
      </c>
    </row>
    <row r="4324" spans="1:2" x14ac:dyDescent="0.35">
      <c r="A4324" s="1416">
        <v>40879</v>
      </c>
      <c r="B4324" s="1415">
        <v>49.89</v>
      </c>
    </row>
    <row r="4325" spans="1:2" x14ac:dyDescent="0.35">
      <c r="A4325" s="1416">
        <v>40882</v>
      </c>
      <c r="B4325" s="1415">
        <v>49.51</v>
      </c>
    </row>
    <row r="4326" spans="1:2" x14ac:dyDescent="0.35">
      <c r="A4326" s="1416">
        <v>40883</v>
      </c>
      <c r="B4326" s="1415">
        <v>50.14</v>
      </c>
    </row>
    <row r="4327" spans="1:2" x14ac:dyDescent="0.35">
      <c r="A4327" s="1416">
        <v>40884</v>
      </c>
      <c r="B4327" s="1415">
        <v>49.45</v>
      </c>
    </row>
    <row r="4328" spans="1:2" x14ac:dyDescent="0.35">
      <c r="A4328" s="1416">
        <v>40885</v>
      </c>
      <c r="B4328" s="1415">
        <v>49.09</v>
      </c>
    </row>
    <row r="4329" spans="1:2" x14ac:dyDescent="0.35">
      <c r="A4329" s="1416">
        <v>40886</v>
      </c>
      <c r="B4329" s="1415">
        <v>50.36</v>
      </c>
    </row>
    <row r="4330" spans="1:2" x14ac:dyDescent="0.35">
      <c r="A4330" s="1416">
        <v>40889</v>
      </c>
      <c r="B4330" s="1415">
        <v>50.24</v>
      </c>
    </row>
    <row r="4331" spans="1:2" x14ac:dyDescent="0.35">
      <c r="A4331" s="1416">
        <v>40890</v>
      </c>
      <c r="B4331" s="1415">
        <v>50.04</v>
      </c>
    </row>
    <row r="4332" spans="1:2" x14ac:dyDescent="0.35">
      <c r="A4332" s="1416">
        <v>40891</v>
      </c>
      <c r="B4332" s="1415">
        <v>49.43</v>
      </c>
    </row>
    <row r="4333" spans="1:2" x14ac:dyDescent="0.35">
      <c r="A4333" s="1416">
        <v>40892</v>
      </c>
      <c r="B4333" s="1415">
        <v>49.94</v>
      </c>
    </row>
    <row r="4334" spans="1:2" x14ac:dyDescent="0.35">
      <c r="A4334" s="1416">
        <v>40893</v>
      </c>
      <c r="B4334" s="1415">
        <v>50.15</v>
      </c>
    </row>
    <row r="4335" spans="1:2" x14ac:dyDescent="0.35">
      <c r="A4335" s="1416">
        <v>40896</v>
      </c>
      <c r="B4335" s="1415">
        <v>50.31</v>
      </c>
    </row>
    <row r="4336" spans="1:2" x14ac:dyDescent="0.35">
      <c r="A4336" s="1416">
        <v>40897</v>
      </c>
      <c r="B4336" s="1415">
        <v>51.86</v>
      </c>
    </row>
    <row r="4337" spans="1:2" x14ac:dyDescent="0.35">
      <c r="A4337" s="1416">
        <v>40898</v>
      </c>
      <c r="B4337" s="1415">
        <v>52.15</v>
      </c>
    </row>
    <row r="4338" spans="1:2" x14ac:dyDescent="0.35">
      <c r="A4338" s="1416">
        <v>40899</v>
      </c>
      <c r="B4338" s="1415">
        <v>52.62</v>
      </c>
    </row>
    <row r="4339" spans="1:2" x14ac:dyDescent="0.35">
      <c r="A4339" s="1416">
        <v>40900</v>
      </c>
      <c r="B4339" s="1415">
        <v>53.76</v>
      </c>
    </row>
    <row r="4340" spans="1:2" x14ac:dyDescent="0.35">
      <c r="A4340" s="1416">
        <v>40904</v>
      </c>
      <c r="B4340" s="1415">
        <v>54.53</v>
      </c>
    </row>
    <row r="4341" spans="1:2" x14ac:dyDescent="0.35">
      <c r="A4341" s="1416">
        <v>40905</v>
      </c>
      <c r="B4341" s="1415">
        <v>53.26</v>
      </c>
    </row>
    <row r="4342" spans="1:2" x14ac:dyDescent="0.35">
      <c r="A4342" s="1416">
        <v>40906</v>
      </c>
      <c r="B4342" s="1415">
        <v>54.08</v>
      </c>
    </row>
    <row r="4343" spans="1:2" x14ac:dyDescent="0.35">
      <c r="A4343" s="1416">
        <v>40907</v>
      </c>
      <c r="B4343" s="1415">
        <v>53.87</v>
      </c>
    </row>
    <row r="4344" spans="1:2" x14ac:dyDescent="0.35">
      <c r="A4344" s="1416">
        <v>40911</v>
      </c>
      <c r="B4344" s="1415">
        <v>53.13</v>
      </c>
    </row>
    <row r="4345" spans="1:2" x14ac:dyDescent="0.35">
      <c r="A4345" s="1416">
        <v>40912</v>
      </c>
      <c r="B4345" s="1415">
        <v>54.11</v>
      </c>
    </row>
    <row r="4346" spans="1:2" x14ac:dyDescent="0.35">
      <c r="A4346" s="1416">
        <v>40913</v>
      </c>
      <c r="B4346" s="1415">
        <v>53.72</v>
      </c>
    </row>
    <row r="4347" spans="1:2" x14ac:dyDescent="0.35">
      <c r="A4347" s="1416">
        <v>40914</v>
      </c>
      <c r="B4347" s="1415">
        <v>56.64</v>
      </c>
    </row>
    <row r="4348" spans="1:2" x14ac:dyDescent="0.35">
      <c r="A4348" s="1416">
        <v>40917</v>
      </c>
      <c r="B4348" s="1415">
        <v>56.8</v>
      </c>
    </row>
    <row r="4349" spans="1:2" x14ac:dyDescent="0.35">
      <c r="A4349" s="1416">
        <v>40918</v>
      </c>
      <c r="B4349" s="1415">
        <v>56.92</v>
      </c>
    </row>
    <row r="4350" spans="1:2" x14ac:dyDescent="0.35">
      <c r="A4350" s="1416">
        <v>40919</v>
      </c>
      <c r="B4350" s="1415">
        <v>57.23</v>
      </c>
    </row>
    <row r="4351" spans="1:2" x14ac:dyDescent="0.35">
      <c r="A4351" s="1416">
        <v>40920</v>
      </c>
      <c r="B4351" s="1415">
        <v>57.21</v>
      </c>
    </row>
    <row r="4352" spans="1:2" x14ac:dyDescent="0.35">
      <c r="A4352" s="1416">
        <v>40921</v>
      </c>
      <c r="B4352" s="1415">
        <v>57.19</v>
      </c>
    </row>
    <row r="4353" spans="1:2" x14ac:dyDescent="0.35">
      <c r="A4353" s="1416">
        <v>40925</v>
      </c>
      <c r="B4353" s="1415">
        <v>57.7</v>
      </c>
    </row>
    <row r="4354" spans="1:2" x14ac:dyDescent="0.35">
      <c r="A4354" s="1416">
        <v>40926</v>
      </c>
      <c r="B4354" s="1415">
        <v>54.03</v>
      </c>
    </row>
    <row r="4355" spans="1:2" x14ac:dyDescent="0.35">
      <c r="A4355" s="1416">
        <v>40927</v>
      </c>
      <c r="B4355" s="1415">
        <v>53.5</v>
      </c>
    </row>
    <row r="4356" spans="1:2" x14ac:dyDescent="0.35">
      <c r="A4356" s="1416">
        <v>40928</v>
      </c>
      <c r="B4356" s="1415">
        <v>54.61</v>
      </c>
    </row>
    <row r="4357" spans="1:2" x14ac:dyDescent="0.35">
      <c r="A4357" s="1416">
        <v>40931</v>
      </c>
      <c r="B4357" s="1415">
        <v>54.77</v>
      </c>
    </row>
    <row r="4358" spans="1:2" x14ac:dyDescent="0.35">
      <c r="A4358" s="1416">
        <v>40932</v>
      </c>
      <c r="B4358" s="1415">
        <v>55.59</v>
      </c>
    </row>
    <row r="4359" spans="1:2" x14ac:dyDescent="0.35">
      <c r="A4359" s="1416">
        <v>40933</v>
      </c>
      <c r="B4359" s="1415">
        <v>55.97</v>
      </c>
    </row>
    <row r="4360" spans="1:2" x14ac:dyDescent="0.35">
      <c r="A4360" s="1416">
        <v>40934</v>
      </c>
      <c r="B4360" s="1415">
        <v>54.34</v>
      </c>
    </row>
    <row r="4361" spans="1:2" x14ac:dyDescent="0.35">
      <c r="A4361" s="1416">
        <v>40935</v>
      </c>
      <c r="B4361" s="1415">
        <v>54.46</v>
      </c>
    </row>
    <row r="4362" spans="1:2" x14ac:dyDescent="0.35">
      <c r="A4362" s="1416">
        <v>40938</v>
      </c>
      <c r="B4362" s="1415">
        <v>53.19</v>
      </c>
    </row>
    <row r="4363" spans="1:2" x14ac:dyDescent="0.35">
      <c r="A4363" s="1416">
        <v>40939</v>
      </c>
      <c r="B4363" s="1415">
        <v>52.41</v>
      </c>
    </row>
    <row r="4364" spans="1:2" x14ac:dyDescent="0.35">
      <c r="A4364" s="1416">
        <v>40940</v>
      </c>
      <c r="B4364" s="1415">
        <v>53</v>
      </c>
    </row>
    <row r="4365" spans="1:2" x14ac:dyDescent="0.35">
      <c r="A4365" s="1416">
        <v>40941</v>
      </c>
      <c r="B4365" s="1415">
        <v>52.16</v>
      </c>
    </row>
    <row r="4366" spans="1:2" x14ac:dyDescent="0.35">
      <c r="A4366" s="1416">
        <v>40942</v>
      </c>
      <c r="B4366" s="1415">
        <v>52.41</v>
      </c>
    </row>
    <row r="4367" spans="1:2" x14ac:dyDescent="0.35">
      <c r="A4367" s="1416">
        <v>40945</v>
      </c>
      <c r="B4367" s="1415">
        <v>52.53</v>
      </c>
    </row>
    <row r="4368" spans="1:2" x14ac:dyDescent="0.35">
      <c r="A4368" s="1416">
        <v>40946</v>
      </c>
      <c r="B4368" s="1415">
        <v>52.9</v>
      </c>
    </row>
    <row r="4369" spans="1:2" x14ac:dyDescent="0.35">
      <c r="A4369" s="1416">
        <v>40947</v>
      </c>
      <c r="B4369" s="1415">
        <v>52.9</v>
      </c>
    </row>
    <row r="4370" spans="1:2" x14ac:dyDescent="0.35">
      <c r="A4370" s="1416">
        <v>40948</v>
      </c>
      <c r="B4370" s="1415">
        <v>54.07</v>
      </c>
    </row>
    <row r="4371" spans="1:2" x14ac:dyDescent="0.35">
      <c r="A4371" s="1416">
        <v>40949</v>
      </c>
      <c r="B4371" s="1415">
        <v>54.05</v>
      </c>
    </row>
    <row r="4372" spans="1:2" x14ac:dyDescent="0.35">
      <c r="A4372" s="1416">
        <v>40952</v>
      </c>
      <c r="B4372" s="1415">
        <v>54.03</v>
      </c>
    </row>
    <row r="4373" spans="1:2" x14ac:dyDescent="0.35">
      <c r="A4373" s="1416">
        <v>40953</v>
      </c>
      <c r="B4373" s="1415">
        <v>53.59</v>
      </c>
    </row>
    <row r="4374" spans="1:2" x14ac:dyDescent="0.35">
      <c r="A4374" s="1416">
        <v>40954</v>
      </c>
      <c r="B4374" s="1415">
        <v>53.01</v>
      </c>
    </row>
    <row r="4375" spans="1:2" x14ac:dyDescent="0.35">
      <c r="A4375" s="1416">
        <v>40955</v>
      </c>
      <c r="B4375" s="1415">
        <v>52.19</v>
      </c>
    </row>
    <row r="4376" spans="1:2" x14ac:dyDescent="0.35">
      <c r="A4376" s="1416">
        <v>40956</v>
      </c>
      <c r="B4376" s="1415">
        <v>52.75</v>
      </c>
    </row>
    <row r="4377" spans="1:2" x14ac:dyDescent="0.35">
      <c r="A4377" s="1416">
        <v>40960</v>
      </c>
      <c r="B4377" s="1415">
        <v>51.86</v>
      </c>
    </row>
    <row r="4378" spans="1:2" x14ac:dyDescent="0.35">
      <c r="A4378" s="1416">
        <v>40961</v>
      </c>
      <c r="B4378" s="1415">
        <v>52.13</v>
      </c>
    </row>
    <row r="4379" spans="1:2" x14ac:dyDescent="0.35">
      <c r="A4379" s="1416">
        <v>40962</v>
      </c>
      <c r="B4379" s="1415">
        <v>52.23</v>
      </c>
    </row>
    <row r="4380" spans="1:2" x14ac:dyDescent="0.35">
      <c r="A4380" s="1416">
        <v>40963</v>
      </c>
      <c r="B4380" s="1415">
        <v>52.14</v>
      </c>
    </row>
    <row r="4381" spans="1:2" x14ac:dyDescent="0.35">
      <c r="A4381" s="1416">
        <v>40966</v>
      </c>
      <c r="B4381" s="1415">
        <v>51.4</v>
      </c>
    </row>
    <row r="4382" spans="1:2" x14ac:dyDescent="0.35">
      <c r="A4382" s="1416">
        <v>40967</v>
      </c>
      <c r="B4382" s="1415">
        <v>43.04</v>
      </c>
    </row>
    <row r="4383" spans="1:2" x14ac:dyDescent="0.35">
      <c r="A4383" s="1416">
        <v>40968</v>
      </c>
      <c r="B4383" s="1415">
        <v>42.64</v>
      </c>
    </row>
    <row r="4384" spans="1:2" x14ac:dyDescent="0.35">
      <c r="A4384" s="1416">
        <v>40969</v>
      </c>
      <c r="B4384" s="1415">
        <v>42.35</v>
      </c>
    </row>
    <row r="4385" spans="1:2" x14ac:dyDescent="0.35">
      <c r="A4385" s="1416">
        <v>40970</v>
      </c>
      <c r="B4385" s="1415">
        <v>41.86</v>
      </c>
    </row>
    <row r="4386" spans="1:2" x14ac:dyDescent="0.35">
      <c r="A4386" s="1416">
        <v>40973</v>
      </c>
      <c r="B4386" s="1415">
        <v>42.43</v>
      </c>
    </row>
    <row r="4387" spans="1:2" x14ac:dyDescent="0.35">
      <c r="A4387" s="1416">
        <v>40974</v>
      </c>
      <c r="B4387" s="1415">
        <v>42.03</v>
      </c>
    </row>
    <row r="4388" spans="1:2" x14ac:dyDescent="0.35">
      <c r="A4388" s="1416">
        <v>40975</v>
      </c>
      <c r="B4388" s="1415">
        <v>42.51</v>
      </c>
    </row>
    <row r="4389" spans="1:2" x14ac:dyDescent="0.35">
      <c r="A4389" s="1416">
        <v>40976</v>
      </c>
      <c r="B4389" s="1415">
        <v>42.52</v>
      </c>
    </row>
    <row r="4390" spans="1:2" x14ac:dyDescent="0.35">
      <c r="A4390" s="1416">
        <v>40977</v>
      </c>
      <c r="B4390" s="1415">
        <v>42.52</v>
      </c>
    </row>
    <row r="4391" spans="1:2" x14ac:dyDescent="0.35">
      <c r="A4391" s="1416">
        <v>40980</v>
      </c>
      <c r="B4391" s="1415">
        <v>41.97</v>
      </c>
    </row>
    <row r="4392" spans="1:2" x14ac:dyDescent="0.35">
      <c r="A4392" s="1416">
        <v>40981</v>
      </c>
      <c r="B4392" s="1415">
        <v>42.41</v>
      </c>
    </row>
    <row r="4393" spans="1:2" x14ac:dyDescent="0.35">
      <c r="A4393" s="1416">
        <v>40982</v>
      </c>
      <c r="B4393" s="1415">
        <v>42.03</v>
      </c>
    </row>
    <row r="4394" spans="1:2" x14ac:dyDescent="0.35">
      <c r="A4394" s="1416">
        <v>40983</v>
      </c>
      <c r="B4394" s="1415">
        <v>42.59</v>
      </c>
    </row>
    <row r="4395" spans="1:2" x14ac:dyDescent="0.35">
      <c r="A4395" s="1416">
        <v>40984</v>
      </c>
      <c r="B4395" s="1415">
        <v>42.59</v>
      </c>
    </row>
    <row r="4396" spans="1:2" x14ac:dyDescent="0.35">
      <c r="A4396" s="1416">
        <v>40987</v>
      </c>
      <c r="B4396" s="1415">
        <v>43.26</v>
      </c>
    </row>
    <row r="4397" spans="1:2" x14ac:dyDescent="0.35">
      <c r="A4397" s="1416">
        <v>40988</v>
      </c>
      <c r="B4397" s="1415">
        <v>43.2</v>
      </c>
    </row>
    <row r="4398" spans="1:2" x14ac:dyDescent="0.35">
      <c r="A4398" s="1416">
        <v>40989</v>
      </c>
      <c r="B4398" s="1415">
        <v>43.23</v>
      </c>
    </row>
    <row r="4399" spans="1:2" x14ac:dyDescent="0.35">
      <c r="A4399" s="1416">
        <v>40990</v>
      </c>
      <c r="B4399" s="1415">
        <v>42.99</v>
      </c>
    </row>
    <row r="4400" spans="1:2" x14ac:dyDescent="0.35">
      <c r="A4400" s="1416">
        <v>40991</v>
      </c>
      <c r="B4400" s="1415">
        <v>42.41</v>
      </c>
    </row>
    <row r="4401" spans="1:2" x14ac:dyDescent="0.35">
      <c r="A4401" s="1416">
        <v>40994</v>
      </c>
      <c r="B4401" s="1415">
        <v>43.2</v>
      </c>
    </row>
    <row r="4402" spans="1:2" x14ac:dyDescent="0.35">
      <c r="A4402" s="1416">
        <v>40995</v>
      </c>
      <c r="B4402" s="1415">
        <v>39.54</v>
      </c>
    </row>
    <row r="4403" spans="1:2" x14ac:dyDescent="0.35">
      <c r="A4403" s="1416">
        <v>40996</v>
      </c>
      <c r="B4403" s="1415">
        <v>38.54</v>
      </c>
    </row>
    <row r="4404" spans="1:2" x14ac:dyDescent="0.35">
      <c r="A4404" s="1416">
        <v>40997</v>
      </c>
      <c r="B4404" s="1415">
        <v>39.04</v>
      </c>
    </row>
    <row r="4405" spans="1:2" x14ac:dyDescent="0.35">
      <c r="A4405" s="1416">
        <v>40998</v>
      </c>
      <c r="B4405" s="1415">
        <v>38.64</v>
      </c>
    </row>
    <row r="4406" spans="1:2" x14ac:dyDescent="0.35">
      <c r="A4406" s="1416">
        <v>41001</v>
      </c>
      <c r="B4406" s="1415">
        <v>39.25</v>
      </c>
    </row>
    <row r="4407" spans="1:2" x14ac:dyDescent="0.35">
      <c r="A4407" s="1416">
        <v>41002</v>
      </c>
      <c r="B4407" s="1415">
        <v>37.799999999999997</v>
      </c>
    </row>
    <row r="4408" spans="1:2" x14ac:dyDescent="0.35">
      <c r="A4408" s="1416">
        <v>41003</v>
      </c>
      <c r="B4408" s="1415">
        <v>36.58</v>
      </c>
    </row>
    <row r="4409" spans="1:2" x14ac:dyDescent="0.35">
      <c r="A4409" s="1416">
        <v>41004</v>
      </c>
      <c r="B4409" s="1415">
        <v>36.270000000000003</v>
      </c>
    </row>
    <row r="4410" spans="1:2" x14ac:dyDescent="0.35">
      <c r="A4410" s="1416">
        <v>41008</v>
      </c>
      <c r="B4410" s="1415">
        <v>36.28</v>
      </c>
    </row>
    <row r="4411" spans="1:2" x14ac:dyDescent="0.35">
      <c r="A4411" s="1416">
        <v>41009</v>
      </c>
      <c r="B4411" s="1415">
        <v>35.479999999999997</v>
      </c>
    </row>
    <row r="4412" spans="1:2" x14ac:dyDescent="0.35">
      <c r="A4412" s="1416">
        <v>41010</v>
      </c>
      <c r="B4412" s="1415">
        <v>36.26</v>
      </c>
    </row>
    <row r="4413" spans="1:2" x14ac:dyDescent="0.35">
      <c r="A4413" s="1416">
        <v>41011</v>
      </c>
      <c r="B4413" s="1415">
        <v>37.17</v>
      </c>
    </row>
    <row r="4414" spans="1:2" x14ac:dyDescent="0.35">
      <c r="A4414" s="1416">
        <v>41012</v>
      </c>
      <c r="B4414" s="1415">
        <v>36.700000000000003</v>
      </c>
    </row>
    <row r="4415" spans="1:2" x14ac:dyDescent="0.35">
      <c r="A4415" s="1416">
        <v>41015</v>
      </c>
      <c r="B4415" s="1415">
        <v>36.119999999999997</v>
      </c>
    </row>
    <row r="4416" spans="1:2" x14ac:dyDescent="0.35">
      <c r="A4416" s="1416">
        <v>41016</v>
      </c>
      <c r="B4416" s="1415">
        <v>36.119999999999997</v>
      </c>
    </row>
    <row r="4417" spans="1:2" x14ac:dyDescent="0.35">
      <c r="A4417" s="1416">
        <v>41017</v>
      </c>
      <c r="B4417" s="1415">
        <v>35.92</v>
      </c>
    </row>
    <row r="4418" spans="1:2" x14ac:dyDescent="0.35">
      <c r="A4418" s="1416">
        <v>41018</v>
      </c>
      <c r="B4418" s="1415">
        <v>35.229999999999997</v>
      </c>
    </row>
    <row r="4419" spans="1:2" x14ac:dyDescent="0.35">
      <c r="A4419" s="1416">
        <v>41019</v>
      </c>
      <c r="B4419" s="1415">
        <v>34.840000000000003</v>
      </c>
    </row>
    <row r="4420" spans="1:2" x14ac:dyDescent="0.35">
      <c r="A4420" s="1416">
        <v>41022</v>
      </c>
      <c r="B4420" s="1415">
        <v>34.42</v>
      </c>
    </row>
    <row r="4421" spans="1:2" x14ac:dyDescent="0.35">
      <c r="A4421" s="1416">
        <v>41023</v>
      </c>
      <c r="B4421" s="1415">
        <v>34.549999999999997</v>
      </c>
    </row>
    <row r="4422" spans="1:2" x14ac:dyDescent="0.35">
      <c r="A4422" s="1416">
        <v>41024</v>
      </c>
      <c r="B4422" s="1415">
        <v>34.93</v>
      </c>
    </row>
    <row r="4423" spans="1:2" x14ac:dyDescent="0.35">
      <c r="A4423" s="1416">
        <v>41025</v>
      </c>
      <c r="B4423" s="1415">
        <v>35.92</v>
      </c>
    </row>
    <row r="4424" spans="1:2" x14ac:dyDescent="0.35">
      <c r="A4424" s="1416">
        <v>41026</v>
      </c>
      <c r="B4424" s="1415">
        <v>35.78</v>
      </c>
    </row>
    <row r="4425" spans="1:2" x14ac:dyDescent="0.35">
      <c r="A4425" s="1416">
        <v>41029</v>
      </c>
      <c r="B4425" s="1415">
        <v>35.22</v>
      </c>
    </row>
    <row r="4426" spans="1:2" x14ac:dyDescent="0.35">
      <c r="A4426" s="1416">
        <v>41030</v>
      </c>
      <c r="B4426" s="1415">
        <v>35.11</v>
      </c>
    </row>
    <row r="4427" spans="1:2" x14ac:dyDescent="0.35">
      <c r="A4427" s="1416">
        <v>41031</v>
      </c>
      <c r="B4427" s="1415">
        <v>34.82</v>
      </c>
    </row>
    <row r="4428" spans="1:2" x14ac:dyDescent="0.35">
      <c r="A4428" s="1416">
        <v>41032</v>
      </c>
      <c r="B4428" s="1415">
        <v>34.409999999999997</v>
      </c>
    </row>
    <row r="4429" spans="1:2" x14ac:dyDescent="0.35">
      <c r="A4429" s="1416">
        <v>41033</v>
      </c>
      <c r="B4429" s="1415">
        <v>33.869999999999997</v>
      </c>
    </row>
    <row r="4430" spans="1:2" x14ac:dyDescent="0.35">
      <c r="A4430" s="1416">
        <v>41036</v>
      </c>
      <c r="B4430" s="1415">
        <v>33.75</v>
      </c>
    </row>
    <row r="4431" spans="1:2" x14ac:dyDescent="0.35">
      <c r="A4431" s="1416">
        <v>41037</v>
      </c>
      <c r="B4431" s="1415">
        <v>33.619999999999997</v>
      </c>
    </row>
    <row r="4432" spans="1:2" x14ac:dyDescent="0.35">
      <c r="A4432" s="1416">
        <v>41038</v>
      </c>
      <c r="B4432" s="1415">
        <v>33.25</v>
      </c>
    </row>
    <row r="4433" spans="1:2" x14ac:dyDescent="0.35">
      <c r="A4433" s="1416">
        <v>41039</v>
      </c>
      <c r="B4433" s="1415">
        <v>32.44</v>
      </c>
    </row>
    <row r="4434" spans="1:2" x14ac:dyDescent="0.35">
      <c r="A4434" s="1416">
        <v>41040</v>
      </c>
      <c r="B4434" s="1415">
        <v>31.34</v>
      </c>
    </row>
    <row r="4435" spans="1:2" x14ac:dyDescent="0.35">
      <c r="A4435" s="1416">
        <v>41043</v>
      </c>
      <c r="B4435" s="1415">
        <v>31.93</v>
      </c>
    </row>
    <row r="4436" spans="1:2" x14ac:dyDescent="0.35">
      <c r="A4436" s="1416">
        <v>41044</v>
      </c>
      <c r="B4436" s="1415">
        <v>31.99</v>
      </c>
    </row>
    <row r="4437" spans="1:2" x14ac:dyDescent="0.35">
      <c r="A4437" s="1416">
        <v>41045</v>
      </c>
      <c r="B4437" s="1415">
        <v>31.98</v>
      </c>
    </row>
    <row r="4438" spans="1:2" x14ac:dyDescent="0.35">
      <c r="A4438" s="1416">
        <v>41046</v>
      </c>
      <c r="B4438" s="1415">
        <v>31.88</v>
      </c>
    </row>
    <row r="4439" spans="1:2" x14ac:dyDescent="0.35">
      <c r="A4439" s="1416">
        <v>41047</v>
      </c>
      <c r="B4439" s="1415">
        <v>32.020000000000003</v>
      </c>
    </row>
    <row r="4440" spans="1:2" x14ac:dyDescent="0.35">
      <c r="A4440" s="1416">
        <v>41050</v>
      </c>
      <c r="B4440" s="1415">
        <v>32.57</v>
      </c>
    </row>
    <row r="4441" spans="1:2" x14ac:dyDescent="0.35">
      <c r="A4441" s="1416">
        <v>41051</v>
      </c>
      <c r="B4441" s="1415">
        <v>32.04</v>
      </c>
    </row>
    <row r="4442" spans="1:2" x14ac:dyDescent="0.35">
      <c r="A4442" s="1416">
        <v>41052</v>
      </c>
      <c r="B4442" s="1415">
        <v>32.515000000000001</v>
      </c>
    </row>
    <row r="4443" spans="1:2" x14ac:dyDescent="0.35">
      <c r="A4443" s="1416">
        <v>41053</v>
      </c>
      <c r="B4443" s="1415">
        <v>32.51</v>
      </c>
    </row>
    <row r="4444" spans="1:2" x14ac:dyDescent="0.35">
      <c r="A4444" s="1416">
        <v>41054</v>
      </c>
      <c r="B4444" s="1415">
        <v>33.119999999999997</v>
      </c>
    </row>
    <row r="4445" spans="1:2" x14ac:dyDescent="0.35">
      <c r="A4445" s="1416">
        <v>41058</v>
      </c>
      <c r="B4445" s="1415">
        <v>33.54</v>
      </c>
    </row>
    <row r="4446" spans="1:2" x14ac:dyDescent="0.35">
      <c r="A4446" s="1416">
        <v>41059</v>
      </c>
      <c r="B4446" s="1415">
        <v>32.159999999999997</v>
      </c>
    </row>
    <row r="4447" spans="1:2" x14ac:dyDescent="0.35">
      <c r="A4447" s="1416">
        <v>41060</v>
      </c>
      <c r="B4447" s="1415">
        <v>31.82</v>
      </c>
    </row>
    <row r="4448" spans="1:2" x14ac:dyDescent="0.35">
      <c r="A4448" s="1416">
        <v>41061</v>
      </c>
      <c r="B4448" s="1415">
        <v>31.6</v>
      </c>
    </row>
    <row r="4449" spans="1:2" x14ac:dyDescent="0.35">
      <c r="A4449" s="1416">
        <v>41064</v>
      </c>
      <c r="B4449" s="1415">
        <v>32.42</v>
      </c>
    </row>
    <row r="4450" spans="1:2" x14ac:dyDescent="0.35">
      <c r="A4450" s="1416">
        <v>41065</v>
      </c>
      <c r="B4450" s="1415">
        <v>32.69</v>
      </c>
    </row>
    <row r="4451" spans="1:2" x14ac:dyDescent="0.35">
      <c r="A4451" s="1416">
        <v>41066</v>
      </c>
      <c r="B4451" s="1415">
        <v>34.81</v>
      </c>
    </row>
    <row r="4452" spans="1:2" x14ac:dyDescent="0.35">
      <c r="A4452" s="1416">
        <v>41067</v>
      </c>
      <c r="B4452" s="1415">
        <v>34.299999999999997</v>
      </c>
    </row>
    <row r="4453" spans="1:2" x14ac:dyDescent="0.35">
      <c r="A4453" s="1416">
        <v>41068</v>
      </c>
      <c r="B4453" s="1415">
        <v>34.979999999999997</v>
      </c>
    </row>
    <row r="4454" spans="1:2" x14ac:dyDescent="0.35">
      <c r="A4454" s="1416">
        <v>41071</v>
      </c>
      <c r="B4454" s="1415">
        <v>34.31</v>
      </c>
    </row>
    <row r="4455" spans="1:2" x14ac:dyDescent="0.35">
      <c r="A4455" s="1416">
        <v>41072</v>
      </c>
      <c r="B4455" s="1415">
        <v>33.24</v>
      </c>
    </row>
    <row r="4456" spans="1:2" x14ac:dyDescent="0.35">
      <c r="A4456" s="1416">
        <v>41073</v>
      </c>
      <c r="B4456" s="1415">
        <v>32.82</v>
      </c>
    </row>
    <row r="4457" spans="1:2" x14ac:dyDescent="0.35">
      <c r="A4457" s="1416">
        <v>41074</v>
      </c>
      <c r="B4457" s="1415">
        <v>32.950000000000003</v>
      </c>
    </row>
    <row r="4458" spans="1:2" x14ac:dyDescent="0.35">
      <c r="A4458" s="1416">
        <v>41075</v>
      </c>
      <c r="B4458" s="1415">
        <v>33.115000000000002</v>
      </c>
    </row>
    <row r="4459" spans="1:2" x14ac:dyDescent="0.35">
      <c r="A4459" s="1416">
        <v>41078</v>
      </c>
      <c r="B4459" s="1415">
        <v>33.21</v>
      </c>
    </row>
    <row r="4460" spans="1:2" x14ac:dyDescent="0.35">
      <c r="A4460" s="1416">
        <v>41079</v>
      </c>
      <c r="B4460" s="1415">
        <v>34.090000000000003</v>
      </c>
    </row>
    <row r="4461" spans="1:2" x14ac:dyDescent="0.35">
      <c r="A4461" s="1416">
        <v>41080</v>
      </c>
      <c r="B4461" s="1415">
        <v>33.96</v>
      </c>
    </row>
    <row r="4462" spans="1:2" x14ac:dyDescent="0.35">
      <c r="A4462" s="1416">
        <v>41081</v>
      </c>
      <c r="B4462" s="1415">
        <v>33.22</v>
      </c>
    </row>
    <row r="4463" spans="1:2" x14ac:dyDescent="0.35">
      <c r="A4463" s="1416">
        <v>41082</v>
      </c>
      <c r="B4463" s="1415">
        <v>33.549999999999997</v>
      </c>
    </row>
    <row r="4464" spans="1:2" x14ac:dyDescent="0.35">
      <c r="A4464" s="1416">
        <v>41085</v>
      </c>
      <c r="B4464" s="1415">
        <v>32.47</v>
      </c>
    </row>
    <row r="4465" spans="1:2" x14ac:dyDescent="0.35">
      <c r="A4465" s="1416">
        <v>41086</v>
      </c>
      <c r="B4465" s="1415">
        <v>35.81</v>
      </c>
    </row>
    <row r="4466" spans="1:2" x14ac:dyDescent="0.35">
      <c r="A4466" s="1416">
        <v>41087</v>
      </c>
      <c r="B4466" s="1415">
        <v>35.93</v>
      </c>
    </row>
    <row r="4467" spans="1:2" x14ac:dyDescent="0.35">
      <c r="A4467" s="1416">
        <v>41088</v>
      </c>
      <c r="B4467" s="1415">
        <v>35.700000000000003</v>
      </c>
    </row>
    <row r="4468" spans="1:2" x14ac:dyDescent="0.35">
      <c r="A4468" s="1416">
        <v>41089</v>
      </c>
      <c r="B4468" s="1415">
        <v>36.19</v>
      </c>
    </row>
    <row r="4469" spans="1:2" x14ac:dyDescent="0.35">
      <c r="A4469" s="1416">
        <v>41092</v>
      </c>
      <c r="B4469" s="1415">
        <v>36.340000000000003</v>
      </c>
    </row>
    <row r="4470" spans="1:2" x14ac:dyDescent="0.35">
      <c r="A4470" s="1416">
        <v>41093</v>
      </c>
      <c r="B4470" s="1415">
        <v>36.619999999999997</v>
      </c>
    </row>
    <row r="4471" spans="1:2" x14ac:dyDescent="0.35">
      <c r="A4471" s="1416">
        <v>41095</v>
      </c>
      <c r="B4471" s="1415">
        <v>35.96</v>
      </c>
    </row>
    <row r="4472" spans="1:2" x14ac:dyDescent="0.35">
      <c r="A4472" s="1416">
        <v>41096</v>
      </c>
      <c r="B4472" s="1415">
        <v>36.549999999999997</v>
      </c>
    </row>
    <row r="4473" spans="1:2" x14ac:dyDescent="0.35">
      <c r="A4473" s="1416">
        <v>41099</v>
      </c>
      <c r="B4473" s="1415">
        <v>35.29</v>
      </c>
    </row>
    <row r="4474" spans="1:2" x14ac:dyDescent="0.35">
      <c r="A4474" s="1416">
        <v>41100</v>
      </c>
      <c r="B4474" s="1415">
        <v>33.914999999999999</v>
      </c>
    </row>
    <row r="4475" spans="1:2" x14ac:dyDescent="0.35">
      <c r="A4475" s="1416">
        <v>41101</v>
      </c>
      <c r="B4475" s="1415">
        <v>32.44</v>
      </c>
    </row>
    <row r="4476" spans="1:2" x14ac:dyDescent="0.35">
      <c r="A4476" s="1416">
        <v>41102</v>
      </c>
      <c r="B4476" s="1415">
        <v>31.98</v>
      </c>
    </row>
    <row r="4477" spans="1:2" x14ac:dyDescent="0.35">
      <c r="A4477" s="1416">
        <v>41103</v>
      </c>
      <c r="B4477" s="1415">
        <v>31.77</v>
      </c>
    </row>
    <row r="4478" spans="1:2" x14ac:dyDescent="0.35">
      <c r="A4478" s="1416">
        <v>41106</v>
      </c>
      <c r="B4478" s="1415">
        <v>31.95</v>
      </c>
    </row>
    <row r="4479" spans="1:2" x14ac:dyDescent="0.35">
      <c r="A4479" s="1416">
        <v>41107</v>
      </c>
      <c r="B4479" s="1415">
        <v>31.01</v>
      </c>
    </row>
    <row r="4480" spans="1:2" x14ac:dyDescent="0.35">
      <c r="A4480" s="1416">
        <v>41108</v>
      </c>
      <c r="B4480" s="1415">
        <v>30.63</v>
      </c>
    </row>
    <row r="4481" spans="1:2" x14ac:dyDescent="0.35">
      <c r="A4481" s="1416">
        <v>41109</v>
      </c>
      <c r="B4481" s="1415">
        <v>30.2</v>
      </c>
    </row>
    <row r="4482" spans="1:2" x14ac:dyDescent="0.35">
      <c r="A4482" s="1416">
        <v>41110</v>
      </c>
      <c r="B4482" s="1415">
        <v>29.38</v>
      </c>
    </row>
    <row r="4483" spans="1:2" x14ac:dyDescent="0.35">
      <c r="A4483" s="1416">
        <v>41113</v>
      </c>
      <c r="B4483" s="1415">
        <v>28.92</v>
      </c>
    </row>
    <row r="4484" spans="1:2" x14ac:dyDescent="0.35">
      <c r="A4484" s="1416">
        <v>41114</v>
      </c>
      <c r="B4484" s="1415">
        <v>27.81</v>
      </c>
    </row>
    <row r="4485" spans="1:2" x14ac:dyDescent="0.35">
      <c r="A4485" s="1416">
        <v>41115</v>
      </c>
      <c r="B4485" s="1415">
        <v>28.03</v>
      </c>
    </row>
    <row r="4486" spans="1:2" x14ac:dyDescent="0.35">
      <c r="A4486" s="1416">
        <v>41116</v>
      </c>
      <c r="B4486" s="1415">
        <v>27.51</v>
      </c>
    </row>
    <row r="4487" spans="1:2" x14ac:dyDescent="0.35">
      <c r="A4487" s="1416">
        <v>41117</v>
      </c>
      <c r="B4487" s="1415">
        <v>28.39</v>
      </c>
    </row>
    <row r="4488" spans="1:2" x14ac:dyDescent="0.35">
      <c r="A4488" s="1416">
        <v>41120</v>
      </c>
      <c r="B4488" s="1415">
        <v>27.22</v>
      </c>
    </row>
    <row r="4489" spans="1:2" x14ac:dyDescent="0.35">
      <c r="A4489" s="1416">
        <v>41121</v>
      </c>
      <c r="B4489" s="1415">
        <v>27.2</v>
      </c>
    </row>
    <row r="4490" spans="1:2" x14ac:dyDescent="0.35">
      <c r="A4490" s="1416">
        <v>41122</v>
      </c>
      <c r="B4490" s="1415">
        <v>26.63</v>
      </c>
    </row>
    <row r="4491" spans="1:2" x14ac:dyDescent="0.35">
      <c r="A4491" s="1416">
        <v>41123</v>
      </c>
      <c r="B4491" s="1415">
        <v>26.04</v>
      </c>
    </row>
    <row r="4492" spans="1:2" x14ac:dyDescent="0.35">
      <c r="A4492" s="1416">
        <v>41124</v>
      </c>
      <c r="B4492" s="1415">
        <v>26.66</v>
      </c>
    </row>
    <row r="4493" spans="1:2" x14ac:dyDescent="0.35">
      <c r="A4493" s="1416">
        <v>41127</v>
      </c>
      <c r="B4493" s="1415">
        <v>27.24</v>
      </c>
    </row>
    <row r="4494" spans="1:2" x14ac:dyDescent="0.35">
      <c r="A4494" s="1416">
        <v>41128</v>
      </c>
      <c r="B4494" s="1415">
        <v>28.11</v>
      </c>
    </row>
    <row r="4495" spans="1:2" x14ac:dyDescent="0.35">
      <c r="A4495" s="1416">
        <v>41129</v>
      </c>
      <c r="B4495" s="1415">
        <v>28.22</v>
      </c>
    </row>
    <row r="4496" spans="1:2" x14ac:dyDescent="0.35">
      <c r="A4496" s="1416">
        <v>41130</v>
      </c>
      <c r="B4496" s="1415">
        <v>28.45</v>
      </c>
    </row>
    <row r="4497" spans="1:2" x14ac:dyDescent="0.35">
      <c r="A4497" s="1416">
        <v>41131</v>
      </c>
      <c r="B4497" s="1415">
        <v>28.61</v>
      </c>
    </row>
    <row r="4498" spans="1:2" x14ac:dyDescent="0.35">
      <c r="A4498" s="1416">
        <v>41134</v>
      </c>
      <c r="B4498" s="1415">
        <v>28.34</v>
      </c>
    </row>
    <row r="4499" spans="1:2" x14ac:dyDescent="0.35">
      <c r="A4499" s="1416">
        <v>41135</v>
      </c>
      <c r="B4499" s="1415">
        <v>28.05</v>
      </c>
    </row>
    <row r="4500" spans="1:2" x14ac:dyDescent="0.35">
      <c r="A4500" s="1416">
        <v>41136</v>
      </c>
      <c r="B4500" s="1415">
        <v>28.15</v>
      </c>
    </row>
    <row r="4501" spans="1:2" x14ac:dyDescent="0.35">
      <c r="A4501" s="1416">
        <v>41137</v>
      </c>
      <c r="B4501" s="1415">
        <v>28.7</v>
      </c>
    </row>
    <row r="4502" spans="1:2" x14ac:dyDescent="0.35">
      <c r="A4502" s="1416">
        <v>41138</v>
      </c>
      <c r="B4502" s="1415">
        <v>28.72</v>
      </c>
    </row>
    <row r="4503" spans="1:2" x14ac:dyDescent="0.35">
      <c r="A4503" s="1416">
        <v>41141</v>
      </c>
      <c r="B4503" s="1415">
        <v>28.65</v>
      </c>
    </row>
    <row r="4504" spans="1:2" x14ac:dyDescent="0.35">
      <c r="A4504" s="1416">
        <v>41142</v>
      </c>
      <c r="B4504" s="1415">
        <v>28.73</v>
      </c>
    </row>
    <row r="4505" spans="1:2" x14ac:dyDescent="0.35">
      <c r="A4505" s="1416">
        <v>41143</v>
      </c>
      <c r="B4505" s="1415">
        <v>27.95</v>
      </c>
    </row>
    <row r="4506" spans="1:2" x14ac:dyDescent="0.35">
      <c r="A4506" s="1416">
        <v>41144</v>
      </c>
      <c r="B4506" s="1415">
        <v>27.39</v>
      </c>
    </row>
    <row r="4507" spans="1:2" x14ac:dyDescent="0.35">
      <c r="A4507" s="1416">
        <v>41145</v>
      </c>
      <c r="B4507" s="1415">
        <v>27.09</v>
      </c>
    </row>
    <row r="4508" spans="1:2" x14ac:dyDescent="0.35">
      <c r="A4508" s="1416">
        <v>41148</v>
      </c>
      <c r="B4508" s="1415">
        <v>26.84</v>
      </c>
    </row>
    <row r="4509" spans="1:2" x14ac:dyDescent="0.35">
      <c r="A4509" s="1416">
        <v>41149</v>
      </c>
      <c r="B4509" s="1415">
        <v>26.65</v>
      </c>
    </row>
    <row r="4510" spans="1:2" x14ac:dyDescent="0.35">
      <c r="A4510" s="1416">
        <v>41150</v>
      </c>
      <c r="B4510" s="1415">
        <v>26.55</v>
      </c>
    </row>
    <row r="4511" spans="1:2" x14ac:dyDescent="0.35">
      <c r="A4511" s="1416">
        <v>41151</v>
      </c>
      <c r="B4511" s="1415">
        <v>26.46</v>
      </c>
    </row>
    <row r="4512" spans="1:2" x14ac:dyDescent="0.35">
      <c r="A4512" s="1416">
        <v>41152</v>
      </c>
      <c r="B4512" s="1415">
        <v>26.85</v>
      </c>
    </row>
    <row r="4513" spans="1:2" x14ac:dyDescent="0.35">
      <c r="A4513" s="1416">
        <v>41156</v>
      </c>
      <c r="B4513" s="1415">
        <v>27.53</v>
      </c>
    </row>
    <row r="4514" spans="1:2" x14ac:dyDescent="0.35">
      <c r="A4514" s="1416">
        <v>41157</v>
      </c>
      <c r="B4514" s="1415">
        <v>28.19</v>
      </c>
    </row>
    <row r="4515" spans="1:2" x14ac:dyDescent="0.35">
      <c r="A4515" s="1416">
        <v>41158</v>
      </c>
      <c r="B4515" s="1415">
        <v>30.39</v>
      </c>
    </row>
    <row r="4516" spans="1:2" x14ac:dyDescent="0.35">
      <c r="A4516" s="1416">
        <v>41159</v>
      </c>
      <c r="B4516" s="1415">
        <v>30.29</v>
      </c>
    </row>
    <row r="4517" spans="1:2" x14ac:dyDescent="0.35">
      <c r="A4517" s="1416">
        <v>41162</v>
      </c>
      <c r="B4517" s="1415">
        <v>28.03</v>
      </c>
    </row>
    <row r="4518" spans="1:2" x14ac:dyDescent="0.35">
      <c r="A4518" s="1416">
        <v>41163</v>
      </c>
      <c r="B4518" s="1415">
        <v>28.74</v>
      </c>
    </row>
    <row r="4519" spans="1:2" x14ac:dyDescent="0.35">
      <c r="A4519" s="1416">
        <v>41164</v>
      </c>
      <c r="B4519" s="1415">
        <v>28.84</v>
      </c>
    </row>
    <row r="4520" spans="1:2" x14ac:dyDescent="0.35">
      <c r="A4520" s="1416">
        <v>41165</v>
      </c>
      <c r="B4520" s="1415">
        <v>28.87</v>
      </c>
    </row>
    <row r="4521" spans="1:2" x14ac:dyDescent="0.35">
      <c r="A4521" s="1416">
        <v>41166</v>
      </c>
      <c r="B4521" s="1415">
        <v>29.42</v>
      </c>
    </row>
    <row r="4522" spans="1:2" x14ac:dyDescent="0.35">
      <c r="A4522" s="1416">
        <v>41169</v>
      </c>
      <c r="B4522" s="1415">
        <v>28.95</v>
      </c>
    </row>
    <row r="4523" spans="1:2" x14ac:dyDescent="0.35">
      <c r="A4523" s="1416">
        <v>41170</v>
      </c>
      <c r="B4523" s="1415">
        <v>29.87</v>
      </c>
    </row>
    <row r="4524" spans="1:2" x14ac:dyDescent="0.35">
      <c r="A4524" s="1416">
        <v>41171</v>
      </c>
      <c r="B4524" s="1415">
        <v>29.62</v>
      </c>
    </row>
    <row r="4525" spans="1:2" x14ac:dyDescent="0.35">
      <c r="A4525" s="1416">
        <v>41172</v>
      </c>
      <c r="B4525" s="1415">
        <v>29.38</v>
      </c>
    </row>
    <row r="4526" spans="1:2" x14ac:dyDescent="0.35">
      <c r="A4526" s="1416">
        <v>41173</v>
      </c>
      <c r="B4526" s="1415">
        <v>29.31</v>
      </c>
    </row>
    <row r="4527" spans="1:2" x14ac:dyDescent="0.35">
      <c r="A4527" s="1416">
        <v>41176</v>
      </c>
      <c r="B4527" s="1415">
        <v>29.26</v>
      </c>
    </row>
    <row r="4528" spans="1:2" x14ac:dyDescent="0.35">
      <c r="A4528" s="1416">
        <v>41177</v>
      </c>
      <c r="B4528" s="1415">
        <v>28.12</v>
      </c>
    </row>
    <row r="4529" spans="1:2" x14ac:dyDescent="0.35">
      <c r="A4529" s="1416">
        <v>41178</v>
      </c>
      <c r="B4529" s="1415">
        <v>28.745000000000001</v>
      </c>
    </row>
    <row r="4530" spans="1:2" x14ac:dyDescent="0.35">
      <c r="A4530" s="1416">
        <v>41179</v>
      </c>
      <c r="B4530" s="1415">
        <v>29.24</v>
      </c>
    </row>
    <row r="4531" spans="1:2" x14ac:dyDescent="0.35">
      <c r="A4531" s="1416">
        <v>41180</v>
      </c>
      <c r="B4531" s="1415">
        <v>29.05</v>
      </c>
    </row>
    <row r="4532" spans="1:2" x14ac:dyDescent="0.35">
      <c r="A4532" s="1416">
        <v>41183</v>
      </c>
      <c r="B4532" s="1415">
        <v>28.88</v>
      </c>
    </row>
    <row r="4533" spans="1:2" x14ac:dyDescent="0.35">
      <c r="A4533" s="1416">
        <v>41184</v>
      </c>
      <c r="B4533" s="1415">
        <v>29.015000000000001</v>
      </c>
    </row>
    <row r="4534" spans="1:2" x14ac:dyDescent="0.35">
      <c r="A4534" s="1416">
        <v>41185</v>
      </c>
      <c r="B4534" s="1415">
        <v>27.76</v>
      </c>
    </row>
    <row r="4535" spans="1:2" x14ac:dyDescent="0.35">
      <c r="A4535" s="1416">
        <v>41186</v>
      </c>
      <c r="B4535" s="1415">
        <v>28.66</v>
      </c>
    </row>
    <row r="4536" spans="1:2" x14ac:dyDescent="0.35">
      <c r="A4536" s="1416">
        <v>41187</v>
      </c>
      <c r="B4536" s="1415">
        <v>29.1</v>
      </c>
    </row>
    <row r="4537" spans="1:2" x14ac:dyDescent="0.35">
      <c r="A4537" s="1416">
        <v>41190</v>
      </c>
      <c r="B4537" s="1415">
        <v>29.1</v>
      </c>
    </row>
    <row r="4538" spans="1:2" x14ac:dyDescent="0.35">
      <c r="A4538" s="1416">
        <v>41191</v>
      </c>
      <c r="B4538" s="1415">
        <v>28.7</v>
      </c>
    </row>
    <row r="4539" spans="1:2" x14ac:dyDescent="0.35">
      <c r="A4539" s="1416">
        <v>41192</v>
      </c>
      <c r="B4539" s="1415">
        <v>28.1</v>
      </c>
    </row>
    <row r="4540" spans="1:2" x14ac:dyDescent="0.35">
      <c r="A4540" s="1416">
        <v>41193</v>
      </c>
      <c r="B4540" s="1415">
        <v>28.87</v>
      </c>
    </row>
    <row r="4541" spans="1:2" x14ac:dyDescent="0.35">
      <c r="A4541" s="1416">
        <v>41194</v>
      </c>
      <c r="B4541" s="1415">
        <v>28.64</v>
      </c>
    </row>
    <row r="4542" spans="1:2" x14ac:dyDescent="0.35">
      <c r="A4542" s="1416">
        <v>41197</v>
      </c>
      <c r="B4542" s="1415">
        <v>27.66</v>
      </c>
    </row>
    <row r="4543" spans="1:2" x14ac:dyDescent="0.35">
      <c r="A4543" s="1416">
        <v>41198</v>
      </c>
      <c r="B4543" s="1415">
        <v>27.49</v>
      </c>
    </row>
    <row r="4544" spans="1:2" x14ac:dyDescent="0.35">
      <c r="A4544" s="1416">
        <v>41199</v>
      </c>
      <c r="B4544" s="1415">
        <v>21.4</v>
      </c>
    </row>
    <row r="4545" spans="1:2" x14ac:dyDescent="0.35">
      <c r="A4545" s="1416">
        <v>41200</v>
      </c>
      <c r="B4545" s="1415">
        <v>21.17</v>
      </c>
    </row>
    <row r="4546" spans="1:2" x14ac:dyDescent="0.35">
      <c r="A4546" s="1416">
        <v>41201</v>
      </c>
      <c r="B4546" s="1415">
        <v>20.39</v>
      </c>
    </row>
    <row r="4547" spans="1:2" x14ac:dyDescent="0.35">
      <c r="A4547" s="1416">
        <v>41204</v>
      </c>
      <c r="B4547" s="1415">
        <v>20.12</v>
      </c>
    </row>
    <row r="4548" spans="1:2" x14ac:dyDescent="0.35">
      <c r="A4548" s="1416">
        <v>41205</v>
      </c>
      <c r="B4548" s="1415">
        <v>20.21</v>
      </c>
    </row>
    <row r="4549" spans="1:2" x14ac:dyDescent="0.35">
      <c r="A4549" s="1416">
        <v>41206</v>
      </c>
      <c r="B4549" s="1415">
        <v>19.86</v>
      </c>
    </row>
    <row r="4550" spans="1:2" x14ac:dyDescent="0.35">
      <c r="A4550" s="1416">
        <v>41207</v>
      </c>
      <c r="B4550" s="1415">
        <v>19.62</v>
      </c>
    </row>
    <row r="4551" spans="1:2" x14ac:dyDescent="0.35">
      <c r="A4551" s="1416">
        <v>41208</v>
      </c>
      <c r="B4551" s="1415">
        <v>19.72</v>
      </c>
    </row>
    <row r="4552" spans="1:2" x14ac:dyDescent="0.35">
      <c r="A4552" s="1416">
        <v>41213</v>
      </c>
      <c r="B4552" s="1415">
        <v>20.079999999999998</v>
      </c>
    </row>
    <row r="4553" spans="1:2" x14ac:dyDescent="0.35">
      <c r="A4553" s="1416">
        <v>41214</v>
      </c>
      <c r="B4553" s="1415">
        <v>20.07</v>
      </c>
    </row>
    <row r="4554" spans="1:2" x14ac:dyDescent="0.35">
      <c r="A4554" s="1416">
        <v>41215</v>
      </c>
      <c r="B4554" s="1415">
        <v>19.78</v>
      </c>
    </row>
    <row r="4555" spans="1:2" x14ac:dyDescent="0.35">
      <c r="A4555" s="1416">
        <v>41218</v>
      </c>
      <c r="B4555" s="1415">
        <v>20.21</v>
      </c>
    </row>
    <row r="4556" spans="1:2" x14ac:dyDescent="0.35">
      <c r="A4556" s="1416">
        <v>41219</v>
      </c>
      <c r="B4556" s="1415">
        <v>21.2</v>
      </c>
    </row>
    <row r="4557" spans="1:2" x14ac:dyDescent="0.35">
      <c r="A4557" s="1416">
        <v>41220</v>
      </c>
      <c r="B4557" s="1415">
        <v>19.89</v>
      </c>
    </row>
    <row r="4558" spans="1:2" x14ac:dyDescent="0.35">
      <c r="A4558" s="1416">
        <v>41221</v>
      </c>
      <c r="B4558" s="1415">
        <v>19.39</v>
      </c>
    </row>
    <row r="4559" spans="1:2" x14ac:dyDescent="0.35">
      <c r="A4559" s="1416">
        <v>41222</v>
      </c>
      <c r="B4559" s="1415">
        <v>18.75</v>
      </c>
    </row>
    <row r="4560" spans="1:2" x14ac:dyDescent="0.35">
      <c r="A4560" s="1416">
        <v>41225</v>
      </c>
      <c r="B4560" s="1415">
        <v>19.245000000000001</v>
      </c>
    </row>
    <row r="4561" spans="1:2" x14ac:dyDescent="0.35">
      <c r="A4561" s="1416">
        <v>41226</v>
      </c>
      <c r="B4561" s="1415">
        <v>19.010000000000002</v>
      </c>
    </row>
    <row r="4562" spans="1:2" x14ac:dyDescent="0.35">
      <c r="A4562" s="1416">
        <v>41227</v>
      </c>
      <c r="B4562" s="1415">
        <v>19.170000000000002</v>
      </c>
    </row>
    <row r="4563" spans="1:2" x14ac:dyDescent="0.35">
      <c r="A4563" s="1416">
        <v>41228</v>
      </c>
      <c r="B4563" s="1415">
        <v>19.639700000000001</v>
      </c>
    </row>
    <row r="4564" spans="1:2" x14ac:dyDescent="0.35">
      <c r="A4564" s="1416">
        <v>41229</v>
      </c>
      <c r="B4564" s="1415">
        <v>19.510000000000002</v>
      </c>
    </row>
    <row r="4565" spans="1:2" x14ac:dyDescent="0.35">
      <c r="A4565" s="1416">
        <v>41232</v>
      </c>
      <c r="B4565" s="1415">
        <v>19.62</v>
      </c>
    </row>
    <row r="4566" spans="1:2" x14ac:dyDescent="0.35">
      <c r="A4566" s="1416">
        <v>41233</v>
      </c>
      <c r="B4566" s="1415">
        <v>18.63</v>
      </c>
    </row>
    <row r="4567" spans="1:2" x14ac:dyDescent="0.35">
      <c r="A4567" s="1416">
        <v>41234</v>
      </c>
      <c r="B4567" s="1415">
        <v>18.68</v>
      </c>
    </row>
    <row r="4568" spans="1:2" x14ac:dyDescent="0.35">
      <c r="A4568" s="1416">
        <v>41236</v>
      </c>
      <c r="B4568" s="1415">
        <v>18.86</v>
      </c>
    </row>
    <row r="4569" spans="1:2" x14ac:dyDescent="0.35">
      <c r="A4569" s="1416">
        <v>41239</v>
      </c>
      <c r="B4569" s="1415">
        <v>18.91</v>
      </c>
    </row>
    <row r="4570" spans="1:2" x14ac:dyDescent="0.35">
      <c r="A4570" s="1416">
        <v>41240</v>
      </c>
      <c r="B4570" s="1415">
        <v>19.18</v>
      </c>
    </row>
    <row r="4571" spans="1:2" x14ac:dyDescent="0.35">
      <c r="A4571" s="1416">
        <v>41241</v>
      </c>
      <c r="B4571" s="1415">
        <v>19.34</v>
      </c>
    </row>
    <row r="4572" spans="1:2" x14ac:dyDescent="0.35">
      <c r="A4572" s="1416">
        <v>41242</v>
      </c>
      <c r="B4572" s="1415">
        <v>19.579999999999998</v>
      </c>
    </row>
    <row r="4573" spans="1:2" x14ac:dyDescent="0.35">
      <c r="A4573" s="1416">
        <v>41243</v>
      </c>
      <c r="B4573" s="1415">
        <v>19.190000000000001</v>
      </c>
    </row>
    <row r="4574" spans="1:2" x14ac:dyDescent="0.35">
      <c r="A4574" s="1416">
        <v>41246</v>
      </c>
      <c r="B4574" s="1415">
        <v>19.060099999999998</v>
      </c>
    </row>
    <row r="4575" spans="1:2" x14ac:dyDescent="0.35">
      <c r="A4575" s="1416">
        <v>41247</v>
      </c>
      <c r="B4575" s="1415">
        <v>20.53</v>
      </c>
    </row>
    <row r="4576" spans="1:2" x14ac:dyDescent="0.35">
      <c r="A4576" s="1416">
        <v>41248</v>
      </c>
      <c r="B4576" s="1415">
        <v>20.420000000000002</v>
      </c>
    </row>
    <row r="4577" spans="1:2" x14ac:dyDescent="0.35">
      <c r="A4577" s="1416">
        <v>41249</v>
      </c>
      <c r="B4577" s="1415">
        <v>20.440000000000001</v>
      </c>
    </row>
    <row r="4578" spans="1:2" x14ac:dyDescent="0.35">
      <c r="A4578" s="1416">
        <v>41250</v>
      </c>
      <c r="B4578" s="1415">
        <v>20.170000000000002</v>
      </c>
    </row>
    <row r="4579" spans="1:2" x14ac:dyDescent="0.35">
      <c r="A4579" s="1416">
        <v>41253</v>
      </c>
      <c r="B4579" s="1415">
        <v>20.260000000000002</v>
      </c>
    </row>
    <row r="4580" spans="1:2" x14ac:dyDescent="0.35">
      <c r="A4580" s="1416">
        <v>41254</v>
      </c>
      <c r="B4580" s="1415">
        <v>20.46</v>
      </c>
    </row>
    <row r="4581" spans="1:2" x14ac:dyDescent="0.35">
      <c r="A4581" s="1416">
        <v>41255</v>
      </c>
      <c r="B4581" s="1415">
        <v>21.01</v>
      </c>
    </row>
    <row r="4582" spans="1:2" x14ac:dyDescent="0.35">
      <c r="A4582" s="1416">
        <v>41256</v>
      </c>
      <c r="B4582" s="1415">
        <v>21.4</v>
      </c>
    </row>
    <row r="4583" spans="1:2" x14ac:dyDescent="0.35">
      <c r="A4583" s="1416">
        <v>41257</v>
      </c>
      <c r="B4583" s="1415">
        <v>21.02</v>
      </c>
    </row>
    <row r="4584" spans="1:2" x14ac:dyDescent="0.35">
      <c r="A4584" s="1416">
        <v>41260</v>
      </c>
      <c r="B4584" s="1415">
        <v>21.11</v>
      </c>
    </row>
    <row r="4585" spans="1:2" x14ac:dyDescent="0.35">
      <c r="A4585" s="1416">
        <v>41261</v>
      </c>
      <c r="B4585" s="1415">
        <v>22.15</v>
      </c>
    </row>
    <row r="4586" spans="1:2" x14ac:dyDescent="0.35">
      <c r="A4586" s="1416">
        <v>41262</v>
      </c>
      <c r="B4586" s="1415">
        <v>20.72</v>
      </c>
    </row>
    <row r="4587" spans="1:2" x14ac:dyDescent="0.35">
      <c r="A4587" s="1416">
        <v>41263</v>
      </c>
      <c r="B4587" s="1415">
        <v>20.8</v>
      </c>
    </row>
    <row r="4588" spans="1:2" x14ac:dyDescent="0.35">
      <c r="A4588" s="1416">
        <v>41264</v>
      </c>
      <c r="B4588" s="1415">
        <v>20.77</v>
      </c>
    </row>
    <row r="4589" spans="1:2" x14ac:dyDescent="0.35">
      <c r="A4589" s="1416">
        <v>41267</v>
      </c>
      <c r="B4589" s="1415">
        <v>20.25</v>
      </c>
    </row>
    <row r="4590" spans="1:2" x14ac:dyDescent="0.35">
      <c r="A4590" s="1416">
        <v>41269</v>
      </c>
      <c r="B4590" s="1415">
        <v>20.420000000000002</v>
      </c>
    </row>
    <row r="4591" spans="1:2" x14ac:dyDescent="0.35">
      <c r="A4591" s="1416">
        <v>41270</v>
      </c>
      <c r="B4591" s="1415">
        <v>20.37</v>
      </c>
    </row>
    <row r="4592" spans="1:2" x14ac:dyDescent="0.35">
      <c r="A4592" s="1416">
        <v>41271</v>
      </c>
      <c r="B4592" s="1415">
        <v>20.46</v>
      </c>
    </row>
    <row r="4593" spans="1:2" x14ac:dyDescent="0.35">
      <c r="A4593" s="1416">
        <v>41274</v>
      </c>
      <c r="B4593" s="1415">
        <v>20.92</v>
      </c>
    </row>
    <row r="4594" spans="1:2" x14ac:dyDescent="0.35">
      <c r="A4594" s="1416">
        <v>41276</v>
      </c>
      <c r="B4594" s="1415">
        <v>21.18</v>
      </c>
    </row>
    <row r="4595" spans="1:2" x14ac:dyDescent="0.35">
      <c r="A4595" s="1416">
        <v>41277</v>
      </c>
      <c r="B4595" s="1415">
        <v>21.78</v>
      </c>
    </row>
    <row r="4596" spans="1:2" x14ac:dyDescent="0.35">
      <c r="A4596" s="1416">
        <v>41278</v>
      </c>
      <c r="B4596" s="1415">
        <v>22.03</v>
      </c>
    </row>
    <row r="4597" spans="1:2" x14ac:dyDescent="0.35">
      <c r="A4597" s="1416">
        <v>41281</v>
      </c>
      <c r="B4597" s="1415">
        <v>21.5</v>
      </c>
    </row>
    <row r="4598" spans="1:2" x14ac:dyDescent="0.35">
      <c r="A4598" s="1416">
        <v>41282</v>
      </c>
      <c r="B4598" s="1415">
        <v>20.94</v>
      </c>
    </row>
    <row r="4599" spans="1:2" x14ac:dyDescent="0.35">
      <c r="A4599" s="1416">
        <v>41283</v>
      </c>
      <c r="B4599" s="1415">
        <v>19.315000000000001</v>
      </c>
    </row>
    <row r="4600" spans="1:2" x14ac:dyDescent="0.35">
      <c r="A4600" s="1416">
        <v>41284</v>
      </c>
      <c r="B4600" s="1415">
        <v>19.23</v>
      </c>
    </row>
    <row r="4601" spans="1:2" x14ac:dyDescent="0.35">
      <c r="A4601" s="1416">
        <v>41285</v>
      </c>
      <c r="B4601" s="1415">
        <v>19.21</v>
      </c>
    </row>
    <row r="4602" spans="1:2" x14ac:dyDescent="0.35">
      <c r="A4602" s="1416">
        <v>41288</v>
      </c>
      <c r="B4602" s="1415">
        <v>19.32</v>
      </c>
    </row>
    <row r="4603" spans="1:2" x14ac:dyDescent="0.35">
      <c r="A4603" s="1416">
        <v>41289</v>
      </c>
      <c r="B4603" s="1415">
        <v>20.36</v>
      </c>
    </row>
    <row r="4604" spans="1:2" x14ac:dyDescent="0.35">
      <c r="A4604" s="1416">
        <v>41290</v>
      </c>
      <c r="B4604" s="1415">
        <v>20.16</v>
      </c>
    </row>
    <row r="4605" spans="1:2" x14ac:dyDescent="0.35">
      <c r="A4605" s="1416">
        <v>41291</v>
      </c>
      <c r="B4605" s="1415">
        <v>20.29</v>
      </c>
    </row>
    <row r="4606" spans="1:2" x14ac:dyDescent="0.35">
      <c r="A4606" s="1416">
        <v>41292</v>
      </c>
      <c r="B4606" s="1415">
        <v>20.28</v>
      </c>
    </row>
    <row r="4607" spans="1:2" x14ac:dyDescent="0.35">
      <c r="A4607" s="1416">
        <v>41296</v>
      </c>
      <c r="B4607" s="1415">
        <v>20.3</v>
      </c>
    </row>
    <row r="4608" spans="1:2" x14ac:dyDescent="0.35">
      <c r="A4608" s="1416">
        <v>41297</v>
      </c>
      <c r="B4608" s="1415">
        <v>20.04</v>
      </c>
    </row>
    <row r="4609" spans="1:2" x14ac:dyDescent="0.35">
      <c r="A4609" s="1416">
        <v>41298</v>
      </c>
      <c r="B4609" s="1415">
        <v>20.56</v>
      </c>
    </row>
    <row r="4610" spans="1:2" x14ac:dyDescent="0.35">
      <c r="A4610" s="1416">
        <v>41299</v>
      </c>
      <c r="B4610" s="1415">
        <v>20.7</v>
      </c>
    </row>
    <row r="4611" spans="1:2" x14ac:dyDescent="0.35">
      <c r="A4611" s="1416">
        <v>41302</v>
      </c>
      <c r="B4611" s="1415">
        <v>20.66</v>
      </c>
    </row>
    <row r="4612" spans="1:2" x14ac:dyDescent="0.35">
      <c r="A4612" s="1416">
        <v>41303</v>
      </c>
      <c r="B4612" s="1415">
        <v>20.07</v>
      </c>
    </row>
    <row r="4613" spans="1:2" x14ac:dyDescent="0.35">
      <c r="A4613" s="1416">
        <v>41304</v>
      </c>
      <c r="B4613" s="1415">
        <v>19.82</v>
      </c>
    </row>
    <row r="4614" spans="1:2" x14ac:dyDescent="0.35">
      <c r="A4614" s="1416">
        <v>41305</v>
      </c>
      <c r="B4614" s="1415">
        <v>20.22</v>
      </c>
    </row>
    <row r="4615" spans="1:2" x14ac:dyDescent="0.35">
      <c r="A4615" s="1416">
        <v>41306</v>
      </c>
      <c r="B4615" s="1415">
        <v>20</v>
      </c>
    </row>
    <row r="4616" spans="1:2" x14ac:dyDescent="0.35">
      <c r="A4616" s="1416">
        <v>41309</v>
      </c>
      <c r="B4616" s="1415">
        <v>19.91</v>
      </c>
    </row>
    <row r="4617" spans="1:2" x14ac:dyDescent="0.35">
      <c r="A4617" s="1416">
        <v>41310</v>
      </c>
      <c r="B4617" s="1415">
        <v>19.79</v>
      </c>
    </row>
    <row r="4618" spans="1:2" x14ac:dyDescent="0.35">
      <c r="A4618" s="1416">
        <v>41311</v>
      </c>
      <c r="B4618" s="1415">
        <v>20.05</v>
      </c>
    </row>
    <row r="4619" spans="1:2" x14ac:dyDescent="0.35">
      <c r="A4619" s="1416">
        <v>41312</v>
      </c>
      <c r="B4619" s="1415">
        <v>20.585000000000001</v>
      </c>
    </row>
    <row r="4620" spans="1:2" x14ac:dyDescent="0.35">
      <c r="A4620" s="1416">
        <v>41313</v>
      </c>
      <c r="B4620" s="1415">
        <v>20.3</v>
      </c>
    </row>
    <row r="4621" spans="1:2" x14ac:dyDescent="0.35">
      <c r="A4621" s="1416">
        <v>41316</v>
      </c>
      <c r="B4621" s="1415">
        <v>20.29</v>
      </c>
    </row>
    <row r="4622" spans="1:2" x14ac:dyDescent="0.35">
      <c r="A4622" s="1416">
        <v>41317</v>
      </c>
      <c r="B4622" s="1415">
        <v>19.62</v>
      </c>
    </row>
    <row r="4623" spans="1:2" x14ac:dyDescent="0.35">
      <c r="A4623" s="1416">
        <v>41318</v>
      </c>
      <c r="B4623" s="1415">
        <v>19.05</v>
      </c>
    </row>
    <row r="4624" spans="1:2" x14ac:dyDescent="0.35">
      <c r="A4624" s="1416">
        <v>41319</v>
      </c>
      <c r="B4624" s="1415">
        <v>18.68</v>
      </c>
    </row>
    <row r="4625" spans="1:2" x14ac:dyDescent="0.35">
      <c r="A4625" s="1416">
        <v>41320</v>
      </c>
      <c r="B4625" s="1415">
        <v>19.010000000000002</v>
      </c>
    </row>
    <row r="4626" spans="1:2" x14ac:dyDescent="0.35">
      <c r="A4626" s="1416">
        <v>41324</v>
      </c>
      <c r="B4626" s="1415">
        <v>19.309999999999999</v>
      </c>
    </row>
    <row r="4627" spans="1:2" x14ac:dyDescent="0.35">
      <c r="A4627" s="1416">
        <v>41325</v>
      </c>
      <c r="B4627" s="1415">
        <v>19.13</v>
      </c>
    </row>
    <row r="4628" spans="1:2" x14ac:dyDescent="0.35">
      <c r="A4628" s="1416">
        <v>41326</v>
      </c>
      <c r="B4628" s="1415">
        <v>18.55</v>
      </c>
    </row>
    <row r="4629" spans="1:2" x14ac:dyDescent="0.35">
      <c r="A4629" s="1416">
        <v>41327</v>
      </c>
      <c r="B4629" s="1415">
        <v>18.579999999999998</v>
      </c>
    </row>
    <row r="4630" spans="1:2" x14ac:dyDescent="0.35">
      <c r="A4630" s="1416">
        <v>41330</v>
      </c>
      <c r="B4630" s="1415">
        <v>17.829999999999998</v>
      </c>
    </row>
    <row r="4631" spans="1:2" x14ac:dyDescent="0.35">
      <c r="A4631" s="1416">
        <v>41331</v>
      </c>
      <c r="B4631" s="1415">
        <v>17.239999999999998</v>
      </c>
    </row>
    <row r="4632" spans="1:2" x14ac:dyDescent="0.35">
      <c r="A4632" s="1416">
        <v>41332</v>
      </c>
      <c r="B4632" s="1415">
        <v>17.12</v>
      </c>
    </row>
    <row r="4633" spans="1:2" x14ac:dyDescent="0.35">
      <c r="A4633" s="1416">
        <v>41333</v>
      </c>
      <c r="B4633" s="1415">
        <v>16.87</v>
      </c>
    </row>
    <row r="4634" spans="1:2" x14ac:dyDescent="0.35">
      <c r="A4634" s="1416">
        <v>41334</v>
      </c>
      <c r="B4634" s="1415">
        <v>16.64</v>
      </c>
    </row>
    <row r="4635" spans="1:2" x14ac:dyDescent="0.35">
      <c r="A4635" s="1416">
        <v>41337</v>
      </c>
      <c r="B4635" s="1415">
        <v>16.2</v>
      </c>
    </row>
    <row r="4636" spans="1:2" x14ac:dyDescent="0.35">
      <c r="A4636" s="1416">
        <v>41338</v>
      </c>
      <c r="B4636" s="1415">
        <v>16.7</v>
      </c>
    </row>
    <row r="4637" spans="1:2" x14ac:dyDescent="0.35">
      <c r="A4637" s="1416">
        <v>41339</v>
      </c>
      <c r="B4637" s="1415">
        <v>16.61</v>
      </c>
    </row>
    <row r="4638" spans="1:2" x14ac:dyDescent="0.35">
      <c r="A4638" s="1416">
        <v>41340</v>
      </c>
      <c r="B4638" s="1415">
        <v>16.86</v>
      </c>
    </row>
    <row r="4639" spans="1:2" x14ac:dyDescent="0.35">
      <c r="A4639" s="1416">
        <v>41341</v>
      </c>
      <c r="B4639" s="1415">
        <v>16.97</v>
      </c>
    </row>
    <row r="4640" spans="1:2" x14ac:dyDescent="0.35">
      <c r="A4640" s="1416">
        <v>41344</v>
      </c>
      <c r="B4640" s="1415">
        <v>17.05</v>
      </c>
    </row>
    <row r="4641" spans="1:2" x14ac:dyDescent="0.35">
      <c r="A4641" s="1416">
        <v>41345</v>
      </c>
      <c r="B4641" s="1415">
        <v>17</v>
      </c>
    </row>
    <row r="4642" spans="1:2" x14ac:dyDescent="0.35">
      <c r="A4642" s="1416">
        <v>41346</v>
      </c>
      <c r="B4642" s="1415">
        <v>16.920000000000002</v>
      </c>
    </row>
    <row r="4643" spans="1:2" x14ac:dyDescent="0.35">
      <c r="A4643" s="1416">
        <v>41347</v>
      </c>
      <c r="B4643" s="1415">
        <v>16.75</v>
      </c>
    </row>
    <row r="4644" spans="1:2" x14ac:dyDescent="0.35">
      <c r="A4644" s="1416">
        <v>41348</v>
      </c>
      <c r="B4644" s="1415">
        <v>16.940000000000001</v>
      </c>
    </row>
    <row r="4645" spans="1:2" x14ac:dyDescent="0.35">
      <c r="A4645" s="1416">
        <v>41351</v>
      </c>
      <c r="B4645" s="1415">
        <v>17.04</v>
      </c>
    </row>
    <row r="4646" spans="1:2" x14ac:dyDescent="0.35">
      <c r="A4646" s="1416">
        <v>41352</v>
      </c>
      <c r="B4646" s="1415">
        <v>16.86</v>
      </c>
    </row>
    <row r="4647" spans="1:2" x14ac:dyDescent="0.35">
      <c r="A4647" s="1416">
        <v>41353</v>
      </c>
      <c r="B4647" s="1415">
        <v>17.010000000000002</v>
      </c>
    </row>
    <row r="4648" spans="1:2" x14ac:dyDescent="0.35">
      <c r="A4648" s="1416">
        <v>41354</v>
      </c>
      <c r="B4648" s="1415">
        <v>16.899999999999999</v>
      </c>
    </row>
    <row r="4649" spans="1:2" x14ac:dyDescent="0.35">
      <c r="A4649" s="1416">
        <v>41355</v>
      </c>
      <c r="B4649" s="1415">
        <v>17.04</v>
      </c>
    </row>
    <row r="4650" spans="1:2" x14ac:dyDescent="0.35">
      <c r="A4650" s="1416">
        <v>41358</v>
      </c>
      <c r="B4650" s="1415">
        <v>18.25</v>
      </c>
    </row>
    <row r="4651" spans="1:2" x14ac:dyDescent="0.35">
      <c r="A4651" s="1416">
        <v>41359</v>
      </c>
      <c r="B4651" s="1415">
        <v>17.760000000000002</v>
      </c>
    </row>
    <row r="4652" spans="1:2" x14ac:dyDescent="0.35">
      <c r="A4652" s="1416">
        <v>41360</v>
      </c>
      <c r="B4652" s="1415">
        <v>17.38</v>
      </c>
    </row>
    <row r="4653" spans="1:2" x14ac:dyDescent="0.35">
      <c r="A4653" s="1416">
        <v>41361</v>
      </c>
      <c r="B4653" s="1415">
        <v>17.38</v>
      </c>
    </row>
    <row r="4654" spans="1:2" x14ac:dyDescent="0.35">
      <c r="A4654" s="1416">
        <v>41365</v>
      </c>
      <c r="B4654" s="1415">
        <v>17.66</v>
      </c>
    </row>
    <row r="4655" spans="1:2" x14ac:dyDescent="0.35">
      <c r="A4655" s="1416">
        <v>41366</v>
      </c>
      <c r="B4655" s="1415">
        <v>17.34</v>
      </c>
    </row>
    <row r="4656" spans="1:2" x14ac:dyDescent="0.35">
      <c r="A4656" s="1416">
        <v>41367</v>
      </c>
      <c r="B4656" s="1415">
        <v>17.12</v>
      </c>
    </row>
    <row r="4657" spans="1:2" x14ac:dyDescent="0.35">
      <c r="A4657" s="1416">
        <v>41368</v>
      </c>
      <c r="B4657" s="1415">
        <v>17.600000000000001</v>
      </c>
    </row>
    <row r="4658" spans="1:2" x14ac:dyDescent="0.35">
      <c r="A4658" s="1416">
        <v>41369</v>
      </c>
      <c r="B4658" s="1415">
        <v>17.059999999999999</v>
      </c>
    </row>
    <row r="4659" spans="1:2" x14ac:dyDescent="0.35">
      <c r="A4659" s="1416">
        <v>41372</v>
      </c>
      <c r="B4659" s="1415">
        <v>16.649999999999999</v>
      </c>
    </row>
    <row r="4660" spans="1:2" x14ac:dyDescent="0.35">
      <c r="A4660" s="1416">
        <v>41373</v>
      </c>
      <c r="B4660" s="1415">
        <v>16.78</v>
      </c>
    </row>
    <row r="4661" spans="1:2" x14ac:dyDescent="0.35">
      <c r="A4661" s="1416">
        <v>41374</v>
      </c>
      <c r="B4661" s="1415">
        <v>17.600000000000001</v>
      </c>
    </row>
    <row r="4662" spans="1:2" x14ac:dyDescent="0.35">
      <c r="A4662" s="1416">
        <v>41375</v>
      </c>
      <c r="B4662" s="1415">
        <v>18.09</v>
      </c>
    </row>
    <row r="4663" spans="1:2" x14ac:dyDescent="0.35">
      <c r="A4663" s="1416">
        <v>41376</v>
      </c>
      <c r="B4663" s="1415">
        <v>17.84</v>
      </c>
    </row>
    <row r="4664" spans="1:2" x14ac:dyDescent="0.35">
      <c r="A4664" s="1416">
        <v>41379</v>
      </c>
      <c r="B4664" s="1415">
        <v>17.41</v>
      </c>
    </row>
    <row r="4665" spans="1:2" x14ac:dyDescent="0.35">
      <c r="A4665" s="1416">
        <v>41380</v>
      </c>
      <c r="B4665" s="1415">
        <v>17.91</v>
      </c>
    </row>
    <row r="4666" spans="1:2" x14ac:dyDescent="0.35">
      <c r="A4666" s="1416">
        <v>41381</v>
      </c>
      <c r="B4666" s="1415">
        <v>17.440000000000001</v>
      </c>
    </row>
    <row r="4667" spans="1:2" x14ac:dyDescent="0.35">
      <c r="A4667" s="1416">
        <v>41382</v>
      </c>
      <c r="B4667" s="1415">
        <v>17.39</v>
      </c>
    </row>
    <row r="4668" spans="1:2" x14ac:dyDescent="0.35">
      <c r="A4668" s="1416">
        <v>41383</v>
      </c>
      <c r="B4668" s="1415">
        <v>17.38</v>
      </c>
    </row>
    <row r="4669" spans="1:2" x14ac:dyDescent="0.35">
      <c r="A4669" s="1416">
        <v>41386</v>
      </c>
      <c r="B4669" s="1415">
        <v>17.23</v>
      </c>
    </row>
    <row r="4670" spans="1:2" x14ac:dyDescent="0.35">
      <c r="A4670" s="1416">
        <v>41387</v>
      </c>
      <c r="B4670" s="1415">
        <v>17.62</v>
      </c>
    </row>
    <row r="4671" spans="1:2" x14ac:dyDescent="0.35">
      <c r="A4671" s="1416">
        <v>41388</v>
      </c>
      <c r="B4671" s="1415">
        <v>16.91</v>
      </c>
    </row>
    <row r="4672" spans="1:2" x14ac:dyDescent="0.35">
      <c r="A4672" s="1416">
        <v>41389</v>
      </c>
      <c r="B4672" s="1415">
        <v>18.07</v>
      </c>
    </row>
    <row r="4673" spans="1:2" x14ac:dyDescent="0.35">
      <c r="A4673" s="1416">
        <v>41390</v>
      </c>
      <c r="B4673" s="1415">
        <v>17.93</v>
      </c>
    </row>
    <row r="4674" spans="1:2" x14ac:dyDescent="0.35">
      <c r="A4674" s="1416">
        <v>41393</v>
      </c>
      <c r="B4674" s="1415">
        <v>18.36</v>
      </c>
    </row>
    <row r="4675" spans="1:2" x14ac:dyDescent="0.35">
      <c r="A4675" s="1416">
        <v>41394</v>
      </c>
      <c r="B4675" s="1415">
        <v>18.37</v>
      </c>
    </row>
    <row r="4676" spans="1:2" x14ac:dyDescent="0.35">
      <c r="A4676" s="1416">
        <v>41395</v>
      </c>
      <c r="B4676" s="1415">
        <v>17.7</v>
      </c>
    </row>
    <row r="4677" spans="1:2" x14ac:dyDescent="0.35">
      <c r="A4677" s="1416">
        <v>41396</v>
      </c>
      <c r="B4677" s="1415">
        <v>17.46</v>
      </c>
    </row>
    <row r="4678" spans="1:2" x14ac:dyDescent="0.35">
      <c r="A4678" s="1416">
        <v>41397</v>
      </c>
      <c r="B4678" s="1415">
        <v>17.57</v>
      </c>
    </row>
    <row r="4679" spans="1:2" x14ac:dyDescent="0.35">
      <c r="A4679" s="1416">
        <v>41400</v>
      </c>
      <c r="B4679" s="1415">
        <v>17.43</v>
      </c>
    </row>
    <row r="4680" spans="1:2" x14ac:dyDescent="0.35">
      <c r="A4680" s="1416">
        <v>41401</v>
      </c>
      <c r="B4680" s="1415">
        <v>17.41</v>
      </c>
    </row>
    <row r="4681" spans="1:2" x14ac:dyDescent="0.35">
      <c r="A4681" s="1416">
        <v>41402</v>
      </c>
      <c r="B4681" s="1415">
        <v>18</v>
      </c>
    </row>
    <row r="4682" spans="1:2" x14ac:dyDescent="0.35">
      <c r="A4682" s="1416">
        <v>41403</v>
      </c>
      <c r="B4682" s="1415">
        <v>18.420000000000002</v>
      </c>
    </row>
    <row r="4683" spans="1:2" x14ac:dyDescent="0.35">
      <c r="A4683" s="1416">
        <v>41404</v>
      </c>
      <c r="B4683" s="1415">
        <v>18.8</v>
      </c>
    </row>
    <row r="4684" spans="1:2" x14ac:dyDescent="0.35">
      <c r="A4684" s="1416">
        <v>41407</v>
      </c>
      <c r="B4684" s="1415">
        <v>18.79</v>
      </c>
    </row>
    <row r="4685" spans="1:2" x14ac:dyDescent="0.35">
      <c r="A4685" s="1416">
        <v>41408</v>
      </c>
      <c r="B4685" s="1415">
        <v>20.49</v>
      </c>
    </row>
    <row r="4686" spans="1:2" x14ac:dyDescent="0.35">
      <c r="A4686" s="1416">
        <v>41409</v>
      </c>
      <c r="B4686" s="1415">
        <v>21.24</v>
      </c>
    </row>
    <row r="4687" spans="1:2" x14ac:dyDescent="0.35">
      <c r="A4687" s="1416">
        <v>41410</v>
      </c>
      <c r="B4687" s="1415">
        <v>21.07</v>
      </c>
    </row>
    <row r="4688" spans="1:2" x14ac:dyDescent="0.35">
      <c r="A4688" s="1416">
        <v>41411</v>
      </c>
      <c r="B4688" s="1415">
        <v>21.35</v>
      </c>
    </row>
    <row r="4689" spans="1:2" x14ac:dyDescent="0.35">
      <c r="A4689" s="1416">
        <v>41414</v>
      </c>
      <c r="B4689" s="1415">
        <v>21.4</v>
      </c>
    </row>
    <row r="4690" spans="1:2" x14ac:dyDescent="0.35">
      <c r="A4690" s="1416">
        <v>41415</v>
      </c>
      <c r="B4690" s="1415">
        <v>21.48</v>
      </c>
    </row>
    <row r="4691" spans="1:2" x14ac:dyDescent="0.35">
      <c r="A4691" s="1416">
        <v>41416</v>
      </c>
      <c r="B4691" s="1415">
        <v>20.61</v>
      </c>
    </row>
    <row r="4692" spans="1:2" x14ac:dyDescent="0.35">
      <c r="A4692" s="1416">
        <v>41417</v>
      </c>
      <c r="B4692" s="1415">
        <v>20.85</v>
      </c>
    </row>
    <row r="4693" spans="1:2" x14ac:dyDescent="0.35">
      <c r="A4693" s="1416">
        <v>41418</v>
      </c>
      <c r="B4693" s="1415">
        <v>20.99</v>
      </c>
    </row>
    <row r="4694" spans="1:2" x14ac:dyDescent="0.35">
      <c r="A4694" s="1416">
        <v>41422</v>
      </c>
      <c r="B4694" s="1415">
        <v>20.63</v>
      </c>
    </row>
    <row r="4695" spans="1:2" x14ac:dyDescent="0.35">
      <c r="A4695" s="1416">
        <v>41423</v>
      </c>
      <c r="B4695" s="1415">
        <v>20.260000000000002</v>
      </c>
    </row>
    <row r="4696" spans="1:2" x14ac:dyDescent="0.35">
      <c r="A4696" s="1416">
        <v>41424</v>
      </c>
      <c r="B4696" s="1415">
        <v>20.62</v>
      </c>
    </row>
    <row r="4697" spans="1:2" x14ac:dyDescent="0.35">
      <c r="A4697" s="1416">
        <v>41425</v>
      </c>
      <c r="B4697" s="1415">
        <v>19.989999999999998</v>
      </c>
    </row>
    <row r="4698" spans="1:2" x14ac:dyDescent="0.35">
      <c r="A4698" s="1416">
        <v>41428</v>
      </c>
      <c r="B4698" s="1415">
        <v>20.010000000000002</v>
      </c>
    </row>
    <row r="4699" spans="1:2" x14ac:dyDescent="0.35">
      <c r="A4699" s="1416">
        <v>41429</v>
      </c>
      <c r="B4699" s="1415">
        <v>20.32</v>
      </c>
    </row>
    <row r="4700" spans="1:2" x14ac:dyDescent="0.35">
      <c r="A4700" s="1416">
        <v>41430</v>
      </c>
      <c r="B4700" s="1415">
        <v>20.100000000000001</v>
      </c>
    </row>
    <row r="4701" spans="1:2" x14ac:dyDescent="0.35">
      <c r="A4701" s="1416">
        <v>41431</v>
      </c>
      <c r="B4701" s="1415">
        <v>20.260000000000002</v>
      </c>
    </row>
    <row r="4702" spans="1:2" x14ac:dyDescent="0.35">
      <c r="A4702" s="1416">
        <v>41432</v>
      </c>
      <c r="B4702" s="1415">
        <v>21.3</v>
      </c>
    </row>
    <row r="4703" spans="1:2" x14ac:dyDescent="0.35">
      <c r="A4703" s="1416">
        <v>41435</v>
      </c>
      <c r="B4703" s="1415">
        <v>22.24</v>
      </c>
    </row>
    <row r="4704" spans="1:2" x14ac:dyDescent="0.35">
      <c r="A4704" s="1416">
        <v>41436</v>
      </c>
      <c r="B4704" s="1415">
        <v>21.69</v>
      </c>
    </row>
    <row r="4705" spans="1:2" x14ac:dyDescent="0.35">
      <c r="A4705" s="1416">
        <v>41437</v>
      </c>
      <c r="B4705" s="1415">
        <v>21.21</v>
      </c>
    </row>
    <row r="4706" spans="1:2" x14ac:dyDescent="0.35">
      <c r="A4706" s="1416">
        <v>41438</v>
      </c>
      <c r="B4706" s="1415">
        <v>21.52</v>
      </c>
    </row>
    <row r="4707" spans="1:2" x14ac:dyDescent="0.35">
      <c r="A4707" s="1416">
        <v>41439</v>
      </c>
      <c r="B4707" s="1415">
        <v>21.05</v>
      </c>
    </row>
    <row r="4708" spans="1:2" x14ac:dyDescent="0.35">
      <c r="A4708" s="1416">
        <v>41442</v>
      </c>
      <c r="B4708" s="1415">
        <v>20.87</v>
      </c>
    </row>
    <row r="4709" spans="1:2" x14ac:dyDescent="0.35">
      <c r="A4709" s="1416">
        <v>41443</v>
      </c>
      <c r="B4709" s="1415">
        <v>20.2</v>
      </c>
    </row>
    <row r="4710" spans="1:2" x14ac:dyDescent="0.35">
      <c r="A4710" s="1416">
        <v>41444</v>
      </c>
      <c r="B4710" s="1415">
        <v>19.88</v>
      </c>
    </row>
    <row r="4711" spans="1:2" x14ac:dyDescent="0.35">
      <c r="A4711" s="1416">
        <v>41445</v>
      </c>
      <c r="B4711" s="1415">
        <v>19.73</v>
      </c>
    </row>
    <row r="4712" spans="1:2" x14ac:dyDescent="0.35">
      <c r="A4712" s="1416">
        <v>41446</v>
      </c>
      <c r="B4712" s="1415">
        <v>19.239999999999998</v>
      </c>
    </row>
    <row r="4713" spans="1:2" x14ac:dyDescent="0.35">
      <c r="A4713" s="1416">
        <v>41449</v>
      </c>
      <c r="B4713" s="1415">
        <v>19.12</v>
      </c>
    </row>
    <row r="4714" spans="1:2" x14ac:dyDescent="0.35">
      <c r="A4714" s="1416">
        <v>41450</v>
      </c>
      <c r="B4714" s="1415">
        <v>19.38</v>
      </c>
    </row>
    <row r="4715" spans="1:2" x14ac:dyDescent="0.35">
      <c r="A4715" s="1416">
        <v>41451</v>
      </c>
      <c r="B4715" s="1415">
        <v>17.39</v>
      </c>
    </row>
    <row r="4716" spans="1:2" x14ac:dyDescent="0.35">
      <c r="A4716" s="1416">
        <v>41452</v>
      </c>
      <c r="B4716" s="1415">
        <v>17.28</v>
      </c>
    </row>
    <row r="4717" spans="1:2" x14ac:dyDescent="0.35">
      <c r="A4717" s="1416">
        <v>41453</v>
      </c>
      <c r="B4717" s="1415">
        <v>17.72</v>
      </c>
    </row>
    <row r="4718" spans="1:2" x14ac:dyDescent="0.35">
      <c r="A4718" s="1416">
        <v>41456</v>
      </c>
      <c r="B4718" s="1415">
        <v>18.02</v>
      </c>
    </row>
    <row r="4719" spans="1:2" x14ac:dyDescent="0.35">
      <c r="A4719" s="1416">
        <v>41457</v>
      </c>
      <c r="B4719" s="1415">
        <v>18.079999999999998</v>
      </c>
    </row>
    <row r="4720" spans="1:2" x14ac:dyDescent="0.35">
      <c r="A4720" s="1416">
        <v>41458</v>
      </c>
      <c r="B4720" s="1415">
        <v>17.670000000000002</v>
      </c>
    </row>
    <row r="4721" spans="1:2" x14ac:dyDescent="0.35">
      <c r="A4721" s="1416">
        <v>41460</v>
      </c>
      <c r="B4721" s="1415">
        <v>17.940000000000001</v>
      </c>
    </row>
    <row r="4722" spans="1:2" x14ac:dyDescent="0.35">
      <c r="A4722" s="1416">
        <v>41463</v>
      </c>
      <c r="B4722" s="1415">
        <v>17.53</v>
      </c>
    </row>
    <row r="4723" spans="1:2" x14ac:dyDescent="0.35">
      <c r="A4723" s="1416">
        <v>41464</v>
      </c>
      <c r="B4723" s="1415">
        <v>17.55</v>
      </c>
    </row>
    <row r="4724" spans="1:2" x14ac:dyDescent="0.35">
      <c r="A4724" s="1416">
        <v>41465</v>
      </c>
      <c r="B4724" s="1415">
        <v>17.89</v>
      </c>
    </row>
    <row r="4725" spans="1:2" x14ac:dyDescent="0.35">
      <c r="A4725" s="1416">
        <v>41466</v>
      </c>
      <c r="B4725" s="1415">
        <v>18.97</v>
      </c>
    </row>
    <row r="4726" spans="1:2" x14ac:dyDescent="0.35">
      <c r="A4726" s="1416">
        <v>41467</v>
      </c>
      <c r="B4726" s="1415">
        <v>18.489999999999998</v>
      </c>
    </row>
    <row r="4727" spans="1:2" x14ac:dyDescent="0.35">
      <c r="A4727" s="1416">
        <v>41470</v>
      </c>
      <c r="B4727" s="1415">
        <v>18.690000000000001</v>
      </c>
    </row>
    <row r="4728" spans="1:2" x14ac:dyDescent="0.35">
      <c r="A4728" s="1416">
        <v>41471</v>
      </c>
      <c r="B4728" s="1415">
        <v>18.965</v>
      </c>
    </row>
    <row r="4729" spans="1:2" x14ac:dyDescent="0.35">
      <c r="A4729" s="1416">
        <v>41472</v>
      </c>
      <c r="B4729" s="1415">
        <v>18.774999999999999</v>
      </c>
    </row>
    <row r="4730" spans="1:2" x14ac:dyDescent="0.35">
      <c r="A4730" s="1416">
        <v>41473</v>
      </c>
      <c r="B4730" s="1415">
        <v>18.84</v>
      </c>
    </row>
    <row r="4731" spans="1:2" x14ac:dyDescent="0.35">
      <c r="A4731" s="1416">
        <v>41474</v>
      </c>
      <c r="B4731" s="1415">
        <v>18.37</v>
      </c>
    </row>
    <row r="4732" spans="1:2" x14ac:dyDescent="0.35">
      <c r="A4732" s="1416">
        <v>41477</v>
      </c>
      <c r="B4732" s="1415">
        <v>18.3</v>
      </c>
    </row>
    <row r="4733" spans="1:2" x14ac:dyDescent="0.35">
      <c r="A4733" s="1416">
        <v>41478</v>
      </c>
      <c r="B4733" s="1415">
        <v>18.399999999999999</v>
      </c>
    </row>
    <row r="4734" spans="1:2" x14ac:dyDescent="0.35">
      <c r="A4734" s="1416">
        <v>41479</v>
      </c>
      <c r="B4734" s="1415">
        <v>18.11</v>
      </c>
    </row>
    <row r="4735" spans="1:2" x14ac:dyDescent="0.35">
      <c r="A4735" s="1416">
        <v>41480</v>
      </c>
      <c r="B4735" s="1415">
        <v>18.23</v>
      </c>
    </row>
    <row r="4736" spans="1:2" x14ac:dyDescent="0.35">
      <c r="A4736" s="1416">
        <v>41481</v>
      </c>
      <c r="B4736" s="1415">
        <v>18.100000000000001</v>
      </c>
    </row>
    <row r="4737" spans="1:2" x14ac:dyDescent="0.35">
      <c r="A4737" s="1416">
        <v>41484</v>
      </c>
      <c r="B4737" s="1415">
        <v>18.3</v>
      </c>
    </row>
    <row r="4738" spans="1:2" x14ac:dyDescent="0.35">
      <c r="A4738" s="1416">
        <v>41485</v>
      </c>
      <c r="B4738" s="1415">
        <v>18.22</v>
      </c>
    </row>
    <row r="4739" spans="1:2" x14ac:dyDescent="0.35">
      <c r="A4739" s="1416">
        <v>41486</v>
      </c>
      <c r="B4739" s="1415">
        <v>18.22</v>
      </c>
    </row>
    <row r="4740" spans="1:2" x14ac:dyDescent="0.35">
      <c r="A4740" s="1416">
        <v>41487</v>
      </c>
      <c r="B4740" s="1415">
        <v>19.71</v>
      </c>
    </row>
    <row r="4741" spans="1:2" x14ac:dyDescent="0.35">
      <c r="A4741" s="1416">
        <v>41488</v>
      </c>
      <c r="B4741" s="1415">
        <v>19.440000000000001</v>
      </c>
    </row>
    <row r="4742" spans="1:2" x14ac:dyDescent="0.35">
      <c r="A4742" s="1416">
        <v>41491</v>
      </c>
      <c r="B4742" s="1415">
        <v>19.940000000000001</v>
      </c>
    </row>
    <row r="4743" spans="1:2" x14ac:dyDescent="0.35">
      <c r="A4743" s="1416">
        <v>41492</v>
      </c>
      <c r="B4743" s="1415">
        <v>20.2</v>
      </c>
    </row>
    <row r="4744" spans="1:2" x14ac:dyDescent="0.35">
      <c r="A4744" s="1416">
        <v>41493</v>
      </c>
      <c r="B4744" s="1415">
        <v>20.54</v>
      </c>
    </row>
    <row r="4745" spans="1:2" x14ac:dyDescent="0.35">
      <c r="A4745" s="1416">
        <v>41494</v>
      </c>
      <c r="B4745" s="1415">
        <v>20.69</v>
      </c>
    </row>
    <row r="4746" spans="1:2" x14ac:dyDescent="0.35">
      <c r="A4746" s="1416">
        <v>41495</v>
      </c>
      <c r="B4746" s="1415">
        <v>20.149999999999999</v>
      </c>
    </row>
    <row r="4747" spans="1:2" x14ac:dyDescent="0.35">
      <c r="A4747" s="1416">
        <v>41498</v>
      </c>
      <c r="B4747" s="1415">
        <v>19.77</v>
      </c>
    </row>
    <row r="4748" spans="1:2" x14ac:dyDescent="0.35">
      <c r="A4748" s="1416">
        <v>41499</v>
      </c>
      <c r="B4748" s="1415">
        <v>20.059999999999999</v>
      </c>
    </row>
    <row r="4749" spans="1:2" x14ac:dyDescent="0.35">
      <c r="A4749" s="1416">
        <v>41500</v>
      </c>
      <c r="B4749" s="1415">
        <v>19.82</v>
      </c>
    </row>
    <row r="4750" spans="1:2" x14ac:dyDescent="0.35">
      <c r="A4750" s="1416">
        <v>41501</v>
      </c>
      <c r="B4750" s="1415">
        <v>19.55</v>
      </c>
    </row>
    <row r="4751" spans="1:2" x14ac:dyDescent="0.35">
      <c r="A4751" s="1416">
        <v>41502</v>
      </c>
      <c r="B4751" s="1415">
        <v>19.190000000000001</v>
      </c>
    </row>
    <row r="4752" spans="1:2" x14ac:dyDescent="0.35">
      <c r="A4752" s="1416">
        <v>41505</v>
      </c>
      <c r="B4752" s="1415">
        <v>18.59</v>
      </c>
    </row>
    <row r="4753" spans="1:2" x14ac:dyDescent="0.35">
      <c r="A4753" s="1416">
        <v>41506</v>
      </c>
      <c r="B4753" s="1415">
        <v>18.91</v>
      </c>
    </row>
    <row r="4754" spans="1:2" x14ac:dyDescent="0.35">
      <c r="A4754" s="1416">
        <v>41507</v>
      </c>
      <c r="B4754" s="1415">
        <v>18.27</v>
      </c>
    </row>
    <row r="4755" spans="1:2" x14ac:dyDescent="0.35">
      <c r="A4755" s="1416">
        <v>41508</v>
      </c>
      <c r="B4755" s="1415">
        <v>18.54</v>
      </c>
    </row>
    <row r="4756" spans="1:2" x14ac:dyDescent="0.35">
      <c r="A4756" s="1416">
        <v>41509</v>
      </c>
      <c r="B4756" s="1415">
        <v>18.5</v>
      </c>
    </row>
    <row r="4757" spans="1:2" x14ac:dyDescent="0.35">
      <c r="A4757" s="1416">
        <v>41512</v>
      </c>
      <c r="B4757" s="1415">
        <v>18.82</v>
      </c>
    </row>
    <row r="4758" spans="1:2" x14ac:dyDescent="0.35">
      <c r="A4758" s="1416">
        <v>41513</v>
      </c>
      <c r="B4758" s="1415">
        <v>18.600000000000001</v>
      </c>
    </row>
    <row r="4759" spans="1:2" x14ac:dyDescent="0.35">
      <c r="A4759" s="1416">
        <v>41514</v>
      </c>
      <c r="B4759" s="1415">
        <v>18.5</v>
      </c>
    </row>
    <row r="4760" spans="1:2" x14ac:dyDescent="0.35">
      <c r="A4760" s="1416">
        <v>41515</v>
      </c>
      <c r="B4760" s="1415">
        <v>18.61</v>
      </c>
    </row>
    <row r="4761" spans="1:2" x14ac:dyDescent="0.35">
      <c r="A4761" s="1416">
        <v>41516</v>
      </c>
      <c r="B4761" s="1415">
        <v>18.57</v>
      </c>
    </row>
    <row r="4762" spans="1:2" x14ac:dyDescent="0.35">
      <c r="A4762" s="1416">
        <v>41520</v>
      </c>
      <c r="B4762" s="1415">
        <v>18.600000000000001</v>
      </c>
    </row>
    <row r="4763" spans="1:2" x14ac:dyDescent="0.35">
      <c r="A4763" s="1416">
        <v>41521</v>
      </c>
      <c r="B4763" s="1415">
        <v>19.04</v>
      </c>
    </row>
    <row r="4764" spans="1:2" x14ac:dyDescent="0.35">
      <c r="A4764" s="1416">
        <v>41522</v>
      </c>
      <c r="B4764" s="1415">
        <v>19.559999999999999</v>
      </c>
    </row>
    <row r="4765" spans="1:2" x14ac:dyDescent="0.35">
      <c r="A4765" s="1416">
        <v>41523</v>
      </c>
      <c r="B4765" s="1415">
        <v>20.010000000000002</v>
      </c>
    </row>
    <row r="4766" spans="1:2" x14ac:dyDescent="0.35">
      <c r="A4766" s="1416">
        <v>41526</v>
      </c>
      <c r="B4766" s="1415">
        <v>20.48</v>
      </c>
    </row>
    <row r="4767" spans="1:2" x14ac:dyDescent="0.35">
      <c r="A4767" s="1416">
        <v>41527</v>
      </c>
      <c r="B4767" s="1415">
        <v>20.79</v>
      </c>
    </row>
    <row r="4768" spans="1:2" x14ac:dyDescent="0.35">
      <c r="A4768" s="1416">
        <v>41528</v>
      </c>
      <c r="B4768" s="1415">
        <v>21.07</v>
      </c>
    </row>
    <row r="4769" spans="1:2" x14ac:dyDescent="0.35">
      <c r="A4769" s="1416">
        <v>41529</v>
      </c>
      <c r="B4769" s="1415">
        <v>20.82</v>
      </c>
    </row>
    <row r="4770" spans="1:2" x14ac:dyDescent="0.35">
      <c r="A4770" s="1416">
        <v>41530</v>
      </c>
      <c r="B4770" s="1415">
        <v>20.81</v>
      </c>
    </row>
    <row r="4771" spans="1:2" x14ac:dyDescent="0.35">
      <c r="A4771" s="1416">
        <v>41533</v>
      </c>
      <c r="B4771" s="1415">
        <v>20.81</v>
      </c>
    </row>
    <row r="4772" spans="1:2" x14ac:dyDescent="0.35">
      <c r="A4772" s="1416">
        <v>41534</v>
      </c>
      <c r="B4772" s="1415">
        <v>21.02</v>
      </c>
    </row>
    <row r="4773" spans="1:2" x14ac:dyDescent="0.35">
      <c r="A4773" s="1416">
        <v>41535</v>
      </c>
      <c r="B4773" s="1415">
        <v>21.190999999999999</v>
      </c>
    </row>
    <row r="4774" spans="1:2" x14ac:dyDescent="0.35">
      <c r="A4774" s="1416">
        <v>41536</v>
      </c>
      <c r="B4774" s="1415">
        <v>21.408999999999999</v>
      </c>
    </row>
    <row r="4775" spans="1:2" x14ac:dyDescent="0.35">
      <c r="A4775" s="1416">
        <v>41537</v>
      </c>
      <c r="B4775" s="1415">
        <v>21</v>
      </c>
    </row>
    <row r="4776" spans="1:2" x14ac:dyDescent="0.35">
      <c r="A4776" s="1416">
        <v>41540</v>
      </c>
      <c r="B4776" s="1415">
        <v>20.664999999999999</v>
      </c>
    </row>
    <row r="4777" spans="1:2" x14ac:dyDescent="0.35">
      <c r="A4777" s="1416">
        <v>41541</v>
      </c>
      <c r="B4777" s="1415">
        <v>20.53</v>
      </c>
    </row>
    <row r="4778" spans="1:2" x14ac:dyDescent="0.35">
      <c r="A4778" s="1416">
        <v>41542</v>
      </c>
      <c r="B4778" s="1415">
        <v>20.524999999999999</v>
      </c>
    </row>
    <row r="4779" spans="1:2" x14ac:dyDescent="0.35">
      <c r="A4779" s="1416">
        <v>41543</v>
      </c>
      <c r="B4779" s="1415">
        <v>20.6</v>
      </c>
    </row>
    <row r="4780" spans="1:2" x14ac:dyDescent="0.35">
      <c r="A4780" s="1416">
        <v>41544</v>
      </c>
      <c r="B4780" s="1415">
        <v>20.45</v>
      </c>
    </row>
    <row r="4781" spans="1:2" x14ac:dyDescent="0.35">
      <c r="A4781" s="1416">
        <v>41547</v>
      </c>
      <c r="B4781" s="1415">
        <v>20.81</v>
      </c>
    </row>
    <row r="4782" spans="1:2" x14ac:dyDescent="0.35">
      <c r="A4782" s="1416">
        <v>41548</v>
      </c>
      <c r="B4782" s="1415">
        <v>20.88</v>
      </c>
    </row>
    <row r="4783" spans="1:2" x14ac:dyDescent="0.35">
      <c r="A4783" s="1416">
        <v>41549</v>
      </c>
      <c r="B4783" s="1415">
        <v>20.83</v>
      </c>
    </row>
    <row r="4784" spans="1:2" x14ac:dyDescent="0.35">
      <c r="A4784" s="1416">
        <v>41550</v>
      </c>
      <c r="B4784" s="1415">
        <v>20.45</v>
      </c>
    </row>
    <row r="4785" spans="1:2" x14ac:dyDescent="0.35">
      <c r="A4785" s="1416">
        <v>41551</v>
      </c>
      <c r="B4785" s="1415">
        <v>20.83</v>
      </c>
    </row>
    <row r="4786" spans="1:2" x14ac:dyDescent="0.35">
      <c r="A4786" s="1416">
        <v>41554</v>
      </c>
      <c r="B4786" s="1415">
        <v>20.48</v>
      </c>
    </row>
    <row r="4787" spans="1:2" x14ac:dyDescent="0.35">
      <c r="A4787" s="1416">
        <v>41555</v>
      </c>
      <c r="B4787" s="1415">
        <v>19.940000000000001</v>
      </c>
    </row>
    <row r="4788" spans="1:2" x14ac:dyDescent="0.35">
      <c r="A4788" s="1416">
        <v>41556</v>
      </c>
      <c r="B4788" s="1415">
        <v>19.989999999999998</v>
      </c>
    </row>
    <row r="4789" spans="1:2" x14ac:dyDescent="0.35">
      <c r="A4789" s="1416">
        <v>41557</v>
      </c>
      <c r="B4789" s="1415">
        <v>20.3</v>
      </c>
    </row>
    <row r="4790" spans="1:2" x14ac:dyDescent="0.35">
      <c r="A4790" s="1416">
        <v>41558</v>
      </c>
      <c r="B4790" s="1415">
        <v>20.36</v>
      </c>
    </row>
    <row r="4791" spans="1:2" x14ac:dyDescent="0.35">
      <c r="A4791" s="1416">
        <v>41561</v>
      </c>
      <c r="B4791" s="1415">
        <v>20.58</v>
      </c>
    </row>
    <row r="4792" spans="1:2" x14ac:dyDescent="0.35">
      <c r="A4792" s="1416">
        <v>41562</v>
      </c>
      <c r="B4792" s="1415">
        <v>20.100000000000001</v>
      </c>
    </row>
    <row r="4793" spans="1:2" x14ac:dyDescent="0.35">
      <c r="A4793" s="1416">
        <v>41563</v>
      </c>
      <c r="B4793" s="1415">
        <v>20.350000000000001</v>
      </c>
    </row>
    <row r="4794" spans="1:2" x14ac:dyDescent="0.35">
      <c r="A4794" s="1416">
        <v>41564</v>
      </c>
      <c r="B4794" s="1415">
        <v>21.1</v>
      </c>
    </row>
    <row r="4795" spans="1:2" x14ac:dyDescent="0.35">
      <c r="A4795" s="1416">
        <v>41565</v>
      </c>
      <c r="B4795" s="1415">
        <v>21.12</v>
      </c>
    </row>
    <row r="4796" spans="1:2" x14ac:dyDescent="0.35">
      <c r="A4796" s="1416">
        <v>41568</v>
      </c>
      <c r="B4796" s="1415">
        <v>20.92</v>
      </c>
    </row>
    <row r="4797" spans="1:2" x14ac:dyDescent="0.35">
      <c r="A4797" s="1416">
        <v>41569</v>
      </c>
      <c r="B4797" s="1415">
        <v>20.94</v>
      </c>
    </row>
    <row r="4798" spans="1:2" x14ac:dyDescent="0.35">
      <c r="A4798" s="1416">
        <v>41570</v>
      </c>
      <c r="B4798" s="1415">
        <v>26.8</v>
      </c>
    </row>
    <row r="4799" spans="1:2" x14ac:dyDescent="0.35">
      <c r="A4799" s="1416">
        <v>41571</v>
      </c>
      <c r="B4799" s="1415">
        <v>28.25</v>
      </c>
    </row>
    <row r="4800" spans="1:2" x14ac:dyDescent="0.35">
      <c r="A4800" s="1416">
        <v>41572</v>
      </c>
      <c r="B4800" s="1415">
        <v>27.63</v>
      </c>
    </row>
    <row r="4801" spans="1:2" x14ac:dyDescent="0.35">
      <c r="A4801" s="1416">
        <v>41575</v>
      </c>
      <c r="B4801" s="1415">
        <v>27.95</v>
      </c>
    </row>
    <row r="4802" spans="1:2" x14ac:dyDescent="0.35">
      <c r="A4802" s="1416">
        <v>41576</v>
      </c>
      <c r="B4802" s="1415">
        <v>28.25</v>
      </c>
    </row>
    <row r="4803" spans="1:2" x14ac:dyDescent="0.35">
      <c r="A4803" s="1416">
        <v>41577</v>
      </c>
      <c r="B4803" s="1415">
        <v>27.38</v>
      </c>
    </row>
    <row r="4804" spans="1:2" x14ac:dyDescent="0.35">
      <c r="A4804" s="1416">
        <v>41578</v>
      </c>
      <c r="B4804" s="1415">
        <v>26.71</v>
      </c>
    </row>
    <row r="4805" spans="1:2" x14ac:dyDescent="0.35">
      <c r="A4805" s="1416">
        <v>41579</v>
      </c>
      <c r="B4805" s="1415">
        <v>26.05</v>
      </c>
    </row>
    <row r="4806" spans="1:2" x14ac:dyDescent="0.35">
      <c r="A4806" s="1416">
        <v>41582</v>
      </c>
      <c r="B4806" s="1415">
        <v>25.89</v>
      </c>
    </row>
    <row r="4807" spans="1:2" x14ac:dyDescent="0.35">
      <c r="A4807" s="1416">
        <v>41583</v>
      </c>
      <c r="B4807" s="1415">
        <v>25.35</v>
      </c>
    </row>
    <row r="4808" spans="1:2" x14ac:dyDescent="0.35">
      <c r="A4808" s="1416">
        <v>41584</v>
      </c>
      <c r="B4808" s="1415">
        <v>25.85</v>
      </c>
    </row>
    <row r="4809" spans="1:2" x14ac:dyDescent="0.35">
      <c r="A4809" s="1416">
        <v>41585</v>
      </c>
      <c r="B4809" s="1415">
        <v>25.06</v>
      </c>
    </row>
    <row r="4810" spans="1:2" x14ac:dyDescent="0.35">
      <c r="A4810" s="1416">
        <v>41586</v>
      </c>
      <c r="B4810" s="1415">
        <v>26.04</v>
      </c>
    </row>
    <row r="4811" spans="1:2" x14ac:dyDescent="0.35">
      <c r="A4811" s="1416">
        <v>41589</v>
      </c>
      <c r="B4811" s="1415">
        <v>26.17</v>
      </c>
    </row>
    <row r="4812" spans="1:2" x14ac:dyDescent="0.35">
      <c r="A4812" s="1416">
        <v>41590</v>
      </c>
      <c r="B4812" s="1415">
        <v>25.81</v>
      </c>
    </row>
    <row r="4813" spans="1:2" x14ac:dyDescent="0.35">
      <c r="A4813" s="1416">
        <v>41591</v>
      </c>
      <c r="B4813" s="1415">
        <v>26.3</v>
      </c>
    </row>
    <row r="4814" spans="1:2" x14ac:dyDescent="0.35">
      <c r="A4814" s="1416">
        <v>41592</v>
      </c>
      <c r="B4814" s="1415">
        <v>25.98</v>
      </c>
    </row>
    <row r="4815" spans="1:2" x14ac:dyDescent="0.35">
      <c r="A4815" s="1416">
        <v>41593</v>
      </c>
      <c r="B4815" s="1415">
        <v>26.12</v>
      </c>
    </row>
    <row r="4816" spans="1:2" x14ac:dyDescent="0.35">
      <c r="A4816" s="1416">
        <v>41596</v>
      </c>
      <c r="B4816" s="1415">
        <v>25.184999999999999</v>
      </c>
    </row>
    <row r="4817" spans="1:2" x14ac:dyDescent="0.35">
      <c r="A4817" s="1416">
        <v>41597</v>
      </c>
      <c r="B4817" s="1415">
        <v>25.79</v>
      </c>
    </row>
    <row r="4818" spans="1:2" x14ac:dyDescent="0.35">
      <c r="A4818" s="1416">
        <v>41598</v>
      </c>
      <c r="B4818" s="1415">
        <v>25.91</v>
      </c>
    </row>
    <row r="4819" spans="1:2" x14ac:dyDescent="0.35">
      <c r="A4819" s="1416">
        <v>41599</v>
      </c>
      <c r="B4819" s="1415">
        <v>26.295000000000002</v>
      </c>
    </row>
    <row r="4820" spans="1:2" x14ac:dyDescent="0.35">
      <c r="A4820" s="1416">
        <v>41600</v>
      </c>
      <c r="B4820" s="1415">
        <v>26.4</v>
      </c>
    </row>
    <row r="4821" spans="1:2" x14ac:dyDescent="0.35">
      <c r="A4821" s="1416">
        <v>41603</v>
      </c>
      <c r="B4821" s="1415">
        <v>26.63</v>
      </c>
    </row>
    <row r="4822" spans="1:2" x14ac:dyDescent="0.35">
      <c r="A4822" s="1416">
        <v>41604</v>
      </c>
      <c r="B4822" s="1415">
        <v>26.21</v>
      </c>
    </row>
    <row r="4823" spans="1:2" x14ac:dyDescent="0.35">
      <c r="A4823" s="1416">
        <v>41605</v>
      </c>
      <c r="B4823" s="1415">
        <v>26.28</v>
      </c>
    </row>
    <row r="4824" spans="1:2" x14ac:dyDescent="0.35">
      <c r="A4824" s="1416">
        <v>41607</v>
      </c>
      <c r="B4824" s="1415">
        <v>26.29</v>
      </c>
    </row>
    <row r="4825" spans="1:2" x14ac:dyDescent="0.35">
      <c r="A4825" s="1416">
        <v>41610</v>
      </c>
      <c r="B4825" s="1415">
        <v>26.3</v>
      </c>
    </row>
    <row r="4826" spans="1:2" x14ac:dyDescent="0.35">
      <c r="A4826" s="1416">
        <v>41611</v>
      </c>
      <c r="B4826" s="1415">
        <v>26.54</v>
      </c>
    </row>
    <row r="4827" spans="1:2" x14ac:dyDescent="0.35">
      <c r="A4827" s="1416">
        <v>41612</v>
      </c>
      <c r="B4827" s="1415">
        <v>26.09</v>
      </c>
    </row>
    <row r="4828" spans="1:2" x14ac:dyDescent="0.35">
      <c r="A4828" s="1416">
        <v>41613</v>
      </c>
      <c r="B4828" s="1415">
        <v>25.125</v>
      </c>
    </row>
    <row r="4829" spans="1:2" x14ac:dyDescent="0.35">
      <c r="A4829" s="1416">
        <v>41614</v>
      </c>
      <c r="B4829" s="1415">
        <v>25.06</v>
      </c>
    </row>
    <row r="4830" spans="1:2" x14ac:dyDescent="0.35">
      <c r="A4830" s="1416">
        <v>41617</v>
      </c>
      <c r="B4830" s="1415">
        <v>24.61</v>
      </c>
    </row>
    <row r="4831" spans="1:2" x14ac:dyDescent="0.35">
      <c r="A4831" s="1416">
        <v>41618</v>
      </c>
      <c r="B4831" s="1415">
        <v>25.17</v>
      </c>
    </row>
    <row r="4832" spans="1:2" x14ac:dyDescent="0.35">
      <c r="A4832" s="1416">
        <v>41619</v>
      </c>
      <c r="B4832" s="1415">
        <v>24.87</v>
      </c>
    </row>
    <row r="4833" spans="1:2" x14ac:dyDescent="0.35">
      <c r="A4833" s="1416">
        <v>41620</v>
      </c>
      <c r="B4833" s="1415">
        <v>24.96</v>
      </c>
    </row>
    <row r="4834" spans="1:2" x14ac:dyDescent="0.35">
      <c r="A4834" s="1416">
        <v>41621</v>
      </c>
      <c r="B4834" s="1415">
        <v>25.19</v>
      </c>
    </row>
    <row r="4835" spans="1:2" x14ac:dyDescent="0.35">
      <c r="A4835" s="1416">
        <v>41624</v>
      </c>
      <c r="B4835" s="1415">
        <v>25.79</v>
      </c>
    </row>
    <row r="4836" spans="1:2" x14ac:dyDescent="0.35">
      <c r="A4836" s="1416">
        <v>41625</v>
      </c>
      <c r="B4836" s="1415">
        <v>25.74</v>
      </c>
    </row>
    <row r="4837" spans="1:2" x14ac:dyDescent="0.35">
      <c r="A4837" s="1416">
        <v>41626</v>
      </c>
      <c r="B4837" s="1415">
        <v>26.26</v>
      </c>
    </row>
    <row r="4838" spans="1:2" x14ac:dyDescent="0.35">
      <c r="A4838" s="1416">
        <v>41627</v>
      </c>
      <c r="B4838" s="1415">
        <v>26.41</v>
      </c>
    </row>
    <row r="4839" spans="1:2" x14ac:dyDescent="0.35">
      <c r="A4839" s="1416">
        <v>41628</v>
      </c>
      <c r="B4839" s="1415">
        <v>26.68</v>
      </c>
    </row>
    <row r="4840" spans="1:2" x14ac:dyDescent="0.35">
      <c r="A4840" s="1416">
        <v>41631</v>
      </c>
      <c r="B4840" s="1415">
        <v>26.77</v>
      </c>
    </row>
    <row r="4841" spans="1:2" x14ac:dyDescent="0.35">
      <c r="A4841" s="1416">
        <v>41632</v>
      </c>
      <c r="B4841" s="1415">
        <v>26.95</v>
      </c>
    </row>
    <row r="4842" spans="1:2" x14ac:dyDescent="0.35">
      <c r="A4842" s="1416">
        <v>41634</v>
      </c>
      <c r="B4842" s="1415">
        <v>27.13</v>
      </c>
    </row>
    <row r="4843" spans="1:2" x14ac:dyDescent="0.35">
      <c r="A4843" s="1416">
        <v>41635</v>
      </c>
      <c r="B4843" s="1415">
        <v>27.1</v>
      </c>
    </row>
    <row r="4844" spans="1:2" x14ac:dyDescent="0.35">
      <c r="A4844" s="1416">
        <v>41638</v>
      </c>
      <c r="B4844" s="1415">
        <v>27.21</v>
      </c>
    </row>
    <row r="4845" spans="1:2" x14ac:dyDescent="0.35">
      <c r="A4845" s="1416">
        <v>41639</v>
      </c>
      <c r="B4845" s="1415">
        <v>27.32</v>
      </c>
    </row>
    <row r="4846" spans="1:2" x14ac:dyDescent="0.35">
      <c r="A4846" s="1416">
        <v>41641</v>
      </c>
      <c r="B4846" s="1415">
        <v>26.89</v>
      </c>
    </row>
    <row r="4847" spans="1:2" x14ac:dyDescent="0.35">
      <c r="A4847" s="1416">
        <v>41642</v>
      </c>
      <c r="B4847" s="1415">
        <v>27.03</v>
      </c>
    </row>
    <row r="4848" spans="1:2" x14ac:dyDescent="0.35">
      <c r="A4848" s="1416">
        <v>41645</v>
      </c>
      <c r="B4848" s="1415">
        <v>27.06</v>
      </c>
    </row>
    <row r="4849" spans="1:2" x14ac:dyDescent="0.35">
      <c r="A4849" s="1416">
        <v>41646</v>
      </c>
      <c r="B4849" s="1415">
        <v>26.934999999999999</v>
      </c>
    </row>
    <row r="4850" spans="1:2" x14ac:dyDescent="0.35">
      <c r="A4850" s="1416">
        <v>41647</v>
      </c>
      <c r="B4850" s="1415">
        <v>30.76</v>
      </c>
    </row>
    <row r="4851" spans="1:2" x14ac:dyDescent="0.35">
      <c r="A4851" s="1416">
        <v>41648</v>
      </c>
      <c r="B4851" s="1415">
        <v>30.75</v>
      </c>
    </row>
    <row r="4852" spans="1:2" x14ac:dyDescent="0.35">
      <c r="A4852" s="1416">
        <v>41649</v>
      </c>
      <c r="B4852" s="1415">
        <v>30.42</v>
      </c>
    </row>
    <row r="4853" spans="1:2" x14ac:dyDescent="0.35">
      <c r="A4853" s="1416">
        <v>41652</v>
      </c>
      <c r="B4853" s="1415">
        <v>30.52</v>
      </c>
    </row>
    <row r="4854" spans="1:2" x14ac:dyDescent="0.35">
      <c r="A4854" s="1416">
        <v>41653</v>
      </c>
      <c r="B4854" s="1415">
        <v>31.24</v>
      </c>
    </row>
    <row r="4855" spans="1:2" x14ac:dyDescent="0.35">
      <c r="A4855" s="1416">
        <v>41654</v>
      </c>
      <c r="B4855" s="1415">
        <v>31.88</v>
      </c>
    </row>
    <row r="4856" spans="1:2" x14ac:dyDescent="0.35">
      <c r="A4856" s="1416">
        <v>41655</v>
      </c>
      <c r="B4856" s="1415">
        <v>33.06</v>
      </c>
    </row>
    <row r="4857" spans="1:2" x14ac:dyDescent="0.35">
      <c r="A4857" s="1416">
        <v>41656</v>
      </c>
      <c r="B4857" s="1415">
        <v>33.74</v>
      </c>
    </row>
    <row r="4858" spans="1:2" x14ac:dyDescent="0.35">
      <c r="A4858" s="1416">
        <v>41660</v>
      </c>
      <c r="B4858" s="1415">
        <v>35.15</v>
      </c>
    </row>
    <row r="4859" spans="1:2" x14ac:dyDescent="0.35">
      <c r="A4859" s="1416">
        <v>41661</v>
      </c>
      <c r="B4859" s="1415">
        <v>35.24</v>
      </c>
    </row>
    <row r="4860" spans="1:2" x14ac:dyDescent="0.35">
      <c r="A4860" s="1416">
        <v>41662</v>
      </c>
      <c r="B4860" s="1415">
        <v>34.979999999999997</v>
      </c>
    </row>
    <row r="4861" spans="1:2" x14ac:dyDescent="0.35">
      <c r="A4861" s="1416">
        <v>41663</v>
      </c>
      <c r="B4861" s="1415">
        <v>33.78</v>
      </c>
    </row>
    <row r="4862" spans="1:2" x14ac:dyDescent="0.35">
      <c r="A4862" s="1416">
        <v>41666</v>
      </c>
      <c r="B4862" s="1415">
        <v>32.96</v>
      </c>
    </row>
    <row r="4863" spans="1:2" x14ac:dyDescent="0.35">
      <c r="A4863" s="1416">
        <v>41667</v>
      </c>
      <c r="B4863" s="1415">
        <v>33.6</v>
      </c>
    </row>
    <row r="4864" spans="1:2" x14ac:dyDescent="0.35">
      <c r="A4864" s="1416">
        <v>41668</v>
      </c>
      <c r="B4864" s="1415">
        <v>32.4</v>
      </c>
    </row>
    <row r="4865" spans="1:2" x14ac:dyDescent="0.35">
      <c r="A4865" s="1416">
        <v>41669</v>
      </c>
      <c r="B4865" s="1415">
        <v>32.700000000000003</v>
      </c>
    </row>
    <row r="4866" spans="1:2" x14ac:dyDescent="0.35">
      <c r="A4866" s="1416">
        <v>41670</v>
      </c>
      <c r="B4866" s="1415">
        <v>32.29</v>
      </c>
    </row>
    <row r="4867" spans="1:2" x14ac:dyDescent="0.35">
      <c r="A4867" s="1416">
        <v>41673</v>
      </c>
      <c r="B4867" s="1415">
        <v>31.6</v>
      </c>
    </row>
    <row r="4868" spans="1:2" x14ac:dyDescent="0.35">
      <c r="A4868" s="1416">
        <v>41674</v>
      </c>
      <c r="B4868" s="1415">
        <v>32.159999999999997</v>
      </c>
    </row>
    <row r="4869" spans="1:2" x14ac:dyDescent="0.35">
      <c r="A4869" s="1416">
        <v>41675</v>
      </c>
      <c r="B4869" s="1415">
        <v>32.47</v>
      </c>
    </row>
    <row r="4870" spans="1:2" x14ac:dyDescent="0.35">
      <c r="A4870" s="1416">
        <v>41676</v>
      </c>
      <c r="B4870" s="1415">
        <v>33.409999999999997</v>
      </c>
    </row>
    <row r="4871" spans="1:2" x14ac:dyDescent="0.35">
      <c r="A4871" s="1416">
        <v>41677</v>
      </c>
      <c r="B4871" s="1415">
        <v>33.18</v>
      </c>
    </row>
    <row r="4872" spans="1:2" x14ac:dyDescent="0.35">
      <c r="A4872" s="1416">
        <v>41680</v>
      </c>
      <c r="B4872" s="1415">
        <v>31.88</v>
      </c>
    </row>
    <row r="4873" spans="1:2" x14ac:dyDescent="0.35">
      <c r="A4873" s="1416">
        <v>41681</v>
      </c>
      <c r="B4873" s="1415">
        <v>32.07</v>
      </c>
    </row>
    <row r="4874" spans="1:2" x14ac:dyDescent="0.35">
      <c r="A4874" s="1416">
        <v>41682</v>
      </c>
      <c r="B4874" s="1415">
        <v>32.130000000000003</v>
      </c>
    </row>
    <row r="4875" spans="1:2" x14ac:dyDescent="0.35">
      <c r="A4875" s="1416">
        <v>41683</v>
      </c>
      <c r="B4875" s="1415">
        <v>32</v>
      </c>
    </row>
    <row r="4876" spans="1:2" x14ac:dyDescent="0.35">
      <c r="A4876" s="1416">
        <v>41684</v>
      </c>
      <c r="B4876" s="1415">
        <v>32.15</v>
      </c>
    </row>
    <row r="4877" spans="1:2" x14ac:dyDescent="0.35">
      <c r="A4877" s="1416">
        <v>41688</v>
      </c>
      <c r="B4877" s="1415">
        <v>32.99</v>
      </c>
    </row>
    <row r="4878" spans="1:2" x14ac:dyDescent="0.35">
      <c r="A4878" s="1416">
        <v>41689</v>
      </c>
      <c r="B4878" s="1415">
        <v>32.56</v>
      </c>
    </row>
    <row r="4879" spans="1:2" x14ac:dyDescent="0.35">
      <c r="A4879" s="1416">
        <v>41690</v>
      </c>
      <c r="B4879" s="1415">
        <v>33.19</v>
      </c>
    </row>
    <row r="4880" spans="1:2" x14ac:dyDescent="0.35">
      <c r="A4880" s="1416">
        <v>41691</v>
      </c>
      <c r="B4880" s="1415">
        <v>34.31</v>
      </c>
    </row>
    <row r="4881" spans="1:2" x14ac:dyDescent="0.35">
      <c r="A4881" s="1416">
        <v>41694</v>
      </c>
      <c r="B4881" s="1415">
        <v>34.29</v>
      </c>
    </row>
    <row r="4882" spans="1:2" x14ac:dyDescent="0.35">
      <c r="A4882" s="1416">
        <v>41695</v>
      </c>
      <c r="B4882" s="1415">
        <v>34.47</v>
      </c>
    </row>
    <row r="4883" spans="1:2" x14ac:dyDescent="0.35">
      <c r="A4883" s="1416">
        <v>41696</v>
      </c>
      <c r="B4883" s="1415">
        <v>33.96</v>
      </c>
    </row>
    <row r="4884" spans="1:2" x14ac:dyDescent="0.35">
      <c r="A4884" s="1416">
        <v>41697</v>
      </c>
      <c r="B4884" s="1415">
        <v>33.89</v>
      </c>
    </row>
    <row r="4885" spans="1:2" x14ac:dyDescent="0.35">
      <c r="A4885" s="1416">
        <v>41698</v>
      </c>
      <c r="B4885" s="1415">
        <v>33.33</v>
      </c>
    </row>
    <row r="4886" spans="1:2" x14ac:dyDescent="0.35">
      <c r="A4886" s="1416">
        <v>41701</v>
      </c>
      <c r="B4886" s="1415">
        <v>32.71</v>
      </c>
    </row>
    <row r="4887" spans="1:2" x14ac:dyDescent="0.35">
      <c r="A4887" s="1416">
        <v>41702</v>
      </c>
      <c r="B4887" s="1415">
        <v>32.979999999999997</v>
      </c>
    </row>
    <row r="4888" spans="1:2" x14ac:dyDescent="0.35">
      <c r="A4888" s="1416">
        <v>41703</v>
      </c>
      <c r="B4888" s="1415">
        <v>32.86</v>
      </c>
    </row>
    <row r="4889" spans="1:2" x14ac:dyDescent="0.35">
      <c r="A4889" s="1416">
        <v>41704</v>
      </c>
      <c r="B4889" s="1415">
        <v>32.64</v>
      </c>
    </row>
    <row r="4890" spans="1:2" x14ac:dyDescent="0.35">
      <c r="A4890" s="1416">
        <v>41705</v>
      </c>
      <c r="B4890" s="1415">
        <v>32.99</v>
      </c>
    </row>
    <row r="4891" spans="1:2" x14ac:dyDescent="0.35">
      <c r="A4891" s="1416">
        <v>41708</v>
      </c>
      <c r="B4891" s="1415">
        <v>33.08</v>
      </c>
    </row>
    <row r="4892" spans="1:2" x14ac:dyDescent="0.35">
      <c r="A4892" s="1416">
        <v>41709</v>
      </c>
      <c r="B4892" s="1415">
        <v>32.270000000000003</v>
      </c>
    </row>
    <row r="4893" spans="1:2" x14ac:dyDescent="0.35">
      <c r="A4893" s="1416">
        <v>41710</v>
      </c>
      <c r="B4893" s="1415">
        <v>32.020000000000003</v>
      </c>
    </row>
    <row r="4894" spans="1:2" x14ac:dyDescent="0.35">
      <c r="A4894" s="1416">
        <v>41711</v>
      </c>
      <c r="B4894" s="1415">
        <v>32.1</v>
      </c>
    </row>
    <row r="4895" spans="1:2" x14ac:dyDescent="0.35">
      <c r="A4895" s="1416">
        <v>41712</v>
      </c>
      <c r="B4895" s="1415">
        <v>32.24</v>
      </c>
    </row>
    <row r="4896" spans="1:2" x14ac:dyDescent="0.35">
      <c r="A4896" s="1416">
        <v>41715</v>
      </c>
      <c r="B4896" s="1415">
        <v>32.39</v>
      </c>
    </row>
    <row r="4897" spans="1:2" x14ac:dyDescent="0.35">
      <c r="A4897" s="1416">
        <v>41716</v>
      </c>
      <c r="B4897" s="1415">
        <v>32.75</v>
      </c>
    </row>
    <row r="4898" spans="1:2" x14ac:dyDescent="0.35">
      <c r="A4898" s="1416">
        <v>41717</v>
      </c>
      <c r="B4898" s="1415">
        <v>32.89</v>
      </c>
    </row>
    <row r="4899" spans="1:2" x14ac:dyDescent="0.35">
      <c r="A4899" s="1416">
        <v>41718</v>
      </c>
      <c r="B4899" s="1415">
        <v>33.520000000000003</v>
      </c>
    </row>
    <row r="4900" spans="1:2" x14ac:dyDescent="0.35">
      <c r="A4900" s="1416">
        <v>41719</v>
      </c>
      <c r="B4900" s="1415">
        <v>33.46</v>
      </c>
    </row>
    <row r="4901" spans="1:2" x14ac:dyDescent="0.35">
      <c r="A4901" s="1416">
        <v>41722</v>
      </c>
      <c r="B4901" s="1415">
        <v>33.19</v>
      </c>
    </row>
    <row r="4902" spans="1:2" x14ac:dyDescent="0.35">
      <c r="A4902" s="1416">
        <v>41723</v>
      </c>
      <c r="B4902" s="1415">
        <v>33.51</v>
      </c>
    </row>
    <row r="4903" spans="1:2" x14ac:dyDescent="0.35">
      <c r="A4903" s="1416">
        <v>41724</v>
      </c>
      <c r="B4903" s="1415">
        <v>33.47</v>
      </c>
    </row>
    <row r="4904" spans="1:2" x14ac:dyDescent="0.35">
      <c r="A4904" s="1416">
        <v>41725</v>
      </c>
      <c r="B4904" s="1415">
        <v>32.4</v>
      </c>
    </row>
    <row r="4905" spans="1:2" x14ac:dyDescent="0.35">
      <c r="A4905" s="1416">
        <v>41726</v>
      </c>
      <c r="B4905" s="1415">
        <v>32.85</v>
      </c>
    </row>
    <row r="4906" spans="1:2" x14ac:dyDescent="0.35">
      <c r="A4906" s="1416">
        <v>41729</v>
      </c>
      <c r="B4906" s="1415">
        <v>34.24</v>
      </c>
    </row>
    <row r="4907" spans="1:2" x14ac:dyDescent="0.35">
      <c r="A4907" s="1416">
        <v>41730</v>
      </c>
      <c r="B4907" s="1415">
        <v>35.159999999999997</v>
      </c>
    </row>
    <row r="4908" spans="1:2" x14ac:dyDescent="0.35">
      <c r="A4908" s="1416">
        <v>41731</v>
      </c>
      <c r="B4908" s="1415">
        <v>32.06</v>
      </c>
    </row>
    <row r="4909" spans="1:2" x14ac:dyDescent="0.35">
      <c r="A4909" s="1416">
        <v>41732</v>
      </c>
      <c r="B4909" s="1415">
        <v>31.89</v>
      </c>
    </row>
    <row r="4910" spans="1:2" x14ac:dyDescent="0.35">
      <c r="A4910" s="1416">
        <v>41733</v>
      </c>
      <c r="B4910" s="1415">
        <v>31.86</v>
      </c>
    </row>
    <row r="4911" spans="1:2" x14ac:dyDescent="0.35">
      <c r="A4911" s="1416">
        <v>41736</v>
      </c>
      <c r="B4911" s="1415">
        <v>30.15</v>
      </c>
    </row>
    <row r="4912" spans="1:2" x14ac:dyDescent="0.35">
      <c r="A4912" s="1416">
        <v>41737</v>
      </c>
      <c r="B4912" s="1415">
        <v>29.71</v>
      </c>
    </row>
    <row r="4913" spans="1:2" x14ac:dyDescent="0.35">
      <c r="A4913" s="1416">
        <v>41738</v>
      </c>
      <c r="B4913" s="1415">
        <v>28.68</v>
      </c>
    </row>
    <row r="4914" spans="1:2" x14ac:dyDescent="0.35">
      <c r="A4914" s="1416">
        <v>41739</v>
      </c>
      <c r="B4914" s="1415">
        <v>27.86</v>
      </c>
    </row>
    <row r="4915" spans="1:2" x14ac:dyDescent="0.35">
      <c r="A4915" s="1416">
        <v>41740</v>
      </c>
      <c r="B4915" s="1415">
        <v>27.12</v>
      </c>
    </row>
    <row r="4916" spans="1:2" x14ac:dyDescent="0.35">
      <c r="A4916" s="1416">
        <v>41743</v>
      </c>
      <c r="B4916" s="1415">
        <v>27.19</v>
      </c>
    </row>
    <row r="4917" spans="1:2" x14ac:dyDescent="0.35">
      <c r="A4917" s="1416">
        <v>41744</v>
      </c>
      <c r="B4917" s="1415">
        <v>26.99</v>
      </c>
    </row>
    <row r="4918" spans="1:2" x14ac:dyDescent="0.35">
      <c r="A4918" s="1416">
        <v>41745</v>
      </c>
      <c r="B4918" s="1415">
        <v>27.42</v>
      </c>
    </row>
    <row r="4919" spans="1:2" x14ac:dyDescent="0.35">
      <c r="A4919" s="1416">
        <v>41746</v>
      </c>
      <c r="B4919" s="1415">
        <v>27.92</v>
      </c>
    </row>
    <row r="4920" spans="1:2" x14ac:dyDescent="0.35">
      <c r="A4920" s="1416">
        <v>41750</v>
      </c>
      <c r="B4920" s="1415">
        <v>28.23</v>
      </c>
    </row>
    <row r="4921" spans="1:2" x14ac:dyDescent="0.35">
      <c r="A4921" s="1416">
        <v>41751</v>
      </c>
      <c r="B4921" s="1415">
        <v>28.41</v>
      </c>
    </row>
    <row r="4922" spans="1:2" x14ac:dyDescent="0.35">
      <c r="A4922" s="1416">
        <v>41752</v>
      </c>
      <c r="B4922" s="1415">
        <v>27.76</v>
      </c>
    </row>
    <row r="4923" spans="1:2" x14ac:dyDescent="0.35">
      <c r="A4923" s="1416">
        <v>41753</v>
      </c>
      <c r="B4923" s="1415">
        <v>27.79</v>
      </c>
    </row>
    <row r="4924" spans="1:2" x14ac:dyDescent="0.35">
      <c r="A4924" s="1416">
        <v>41754</v>
      </c>
      <c r="B4924" s="1415">
        <v>27.84</v>
      </c>
    </row>
    <row r="4925" spans="1:2" x14ac:dyDescent="0.35">
      <c r="A4925" s="1416">
        <v>41757</v>
      </c>
      <c r="B4925" s="1415">
        <v>27.62</v>
      </c>
    </row>
    <row r="4926" spans="1:2" x14ac:dyDescent="0.35">
      <c r="A4926" s="1416">
        <v>41758</v>
      </c>
      <c r="B4926" s="1415">
        <v>27.77</v>
      </c>
    </row>
    <row r="4927" spans="1:2" x14ac:dyDescent="0.35">
      <c r="A4927" s="1416">
        <v>41759</v>
      </c>
      <c r="B4927" s="1415">
        <v>28.86</v>
      </c>
    </row>
    <row r="4928" spans="1:2" x14ac:dyDescent="0.35">
      <c r="A4928" s="1416">
        <v>41760</v>
      </c>
      <c r="B4928" s="1415">
        <v>28.91</v>
      </c>
    </row>
    <row r="4929" spans="1:2" x14ac:dyDescent="0.35">
      <c r="A4929" s="1416">
        <v>41761</v>
      </c>
      <c r="B4929" s="1415">
        <v>29.29</v>
      </c>
    </row>
    <row r="4930" spans="1:2" x14ac:dyDescent="0.35">
      <c r="A4930" s="1416">
        <v>41764</v>
      </c>
      <c r="B4930" s="1415">
        <v>29.2</v>
      </c>
    </row>
    <row r="4931" spans="1:2" x14ac:dyDescent="0.35">
      <c r="A4931" s="1416">
        <v>41765</v>
      </c>
      <c r="B4931" s="1415">
        <v>28.49</v>
      </c>
    </row>
    <row r="4932" spans="1:2" x14ac:dyDescent="0.35">
      <c r="A4932" s="1416">
        <v>41766</v>
      </c>
      <c r="B4932" s="1415">
        <v>28.7</v>
      </c>
    </row>
    <row r="4933" spans="1:2" x14ac:dyDescent="0.35">
      <c r="A4933" s="1416">
        <v>41767</v>
      </c>
      <c r="B4933" s="1415">
        <v>28.22</v>
      </c>
    </row>
    <row r="4934" spans="1:2" x14ac:dyDescent="0.35">
      <c r="A4934" s="1416">
        <v>41768</v>
      </c>
      <c r="B4934" s="1415">
        <v>28.61</v>
      </c>
    </row>
    <row r="4935" spans="1:2" x14ac:dyDescent="0.35">
      <c r="A4935" s="1416">
        <v>41771</v>
      </c>
      <c r="B4935" s="1415">
        <v>29.42</v>
      </c>
    </row>
    <row r="4936" spans="1:2" x14ac:dyDescent="0.35">
      <c r="A4936" s="1416">
        <v>41772</v>
      </c>
      <c r="B4936" s="1415">
        <v>29.11</v>
      </c>
    </row>
    <row r="4937" spans="1:2" x14ac:dyDescent="0.35">
      <c r="A4937" s="1416">
        <v>41773</v>
      </c>
      <c r="B4937" s="1415">
        <v>28.69</v>
      </c>
    </row>
    <row r="4938" spans="1:2" x14ac:dyDescent="0.35">
      <c r="A4938" s="1416">
        <v>41774</v>
      </c>
      <c r="B4938" s="1415">
        <v>28.73</v>
      </c>
    </row>
    <row r="4939" spans="1:2" x14ac:dyDescent="0.35">
      <c r="A4939" s="1416">
        <v>41775</v>
      </c>
      <c r="B4939" s="1415">
        <v>29</v>
      </c>
    </row>
    <row r="4940" spans="1:2" x14ac:dyDescent="0.35">
      <c r="A4940" s="1416">
        <v>41778</v>
      </c>
      <c r="B4940" s="1415">
        <v>29.6</v>
      </c>
    </row>
    <row r="4941" spans="1:2" x14ac:dyDescent="0.35">
      <c r="A4941" s="1416">
        <v>41779</v>
      </c>
      <c r="B4941" s="1415">
        <v>29.44</v>
      </c>
    </row>
    <row r="4942" spans="1:2" x14ac:dyDescent="0.35">
      <c r="A4942" s="1416">
        <v>41780</v>
      </c>
      <c r="B4942" s="1415">
        <v>30.125</v>
      </c>
    </row>
    <row r="4943" spans="1:2" x14ac:dyDescent="0.35">
      <c r="A4943" s="1416">
        <v>41781</v>
      </c>
      <c r="B4943" s="1415">
        <v>27.31</v>
      </c>
    </row>
    <row r="4944" spans="1:2" x14ac:dyDescent="0.35">
      <c r="A4944" s="1416">
        <v>41782</v>
      </c>
      <c r="B4944" s="1415">
        <v>27.28</v>
      </c>
    </row>
    <row r="4945" spans="1:2" x14ac:dyDescent="0.35">
      <c r="A4945" s="1416">
        <v>41786</v>
      </c>
      <c r="B4945" s="1415">
        <v>27.49</v>
      </c>
    </row>
    <row r="4946" spans="1:2" x14ac:dyDescent="0.35">
      <c r="A4946" s="1416">
        <v>41787</v>
      </c>
      <c r="B4946" s="1415">
        <v>26.78</v>
      </c>
    </row>
    <row r="4947" spans="1:2" x14ac:dyDescent="0.35">
      <c r="A4947" s="1416">
        <v>41788</v>
      </c>
      <c r="B4947" s="1415">
        <v>26.675000000000001</v>
      </c>
    </row>
    <row r="4948" spans="1:2" x14ac:dyDescent="0.35">
      <c r="A4948" s="1416">
        <v>41789</v>
      </c>
      <c r="B4948" s="1415">
        <v>26.8</v>
      </c>
    </row>
    <row r="4949" spans="1:2" x14ac:dyDescent="0.35">
      <c r="A4949" s="1416">
        <v>41792</v>
      </c>
      <c r="B4949" s="1415">
        <v>26.66</v>
      </c>
    </row>
    <row r="4950" spans="1:2" x14ac:dyDescent="0.35">
      <c r="A4950" s="1416">
        <v>41793</v>
      </c>
      <c r="B4950" s="1415">
        <v>26.64</v>
      </c>
    </row>
    <row r="4951" spans="1:2" x14ac:dyDescent="0.35">
      <c r="A4951" s="1416">
        <v>41794</v>
      </c>
      <c r="B4951" s="1415">
        <v>27.12</v>
      </c>
    </row>
    <row r="4952" spans="1:2" x14ac:dyDescent="0.35">
      <c r="A4952" s="1416">
        <v>41795</v>
      </c>
      <c r="B4952" s="1415">
        <v>27.55</v>
      </c>
    </row>
    <row r="4953" spans="1:2" x14ac:dyDescent="0.35">
      <c r="A4953" s="1416">
        <v>41796</v>
      </c>
      <c r="B4953" s="1415">
        <v>27.54</v>
      </c>
    </row>
    <row r="4954" spans="1:2" x14ac:dyDescent="0.35">
      <c r="A4954" s="1416">
        <v>41799</v>
      </c>
      <c r="B4954" s="1415">
        <v>27.9</v>
      </c>
    </row>
    <row r="4955" spans="1:2" x14ac:dyDescent="0.35">
      <c r="A4955" s="1416">
        <v>41800</v>
      </c>
      <c r="B4955" s="1415">
        <v>28.28</v>
      </c>
    </row>
    <row r="4956" spans="1:2" x14ac:dyDescent="0.35">
      <c r="A4956" s="1416">
        <v>41801</v>
      </c>
      <c r="B4956" s="1415">
        <v>27.805</v>
      </c>
    </row>
    <row r="4957" spans="1:2" x14ac:dyDescent="0.35">
      <c r="A4957" s="1416">
        <v>41802</v>
      </c>
      <c r="B4957" s="1415">
        <v>28.42</v>
      </c>
    </row>
    <row r="4958" spans="1:2" x14ac:dyDescent="0.35">
      <c r="A4958" s="1416">
        <v>41803</v>
      </c>
      <c r="B4958" s="1415">
        <v>28.4</v>
      </c>
    </row>
    <row r="4959" spans="1:2" x14ac:dyDescent="0.35">
      <c r="A4959" s="1416">
        <v>41806</v>
      </c>
      <c r="B4959" s="1415">
        <v>29.07</v>
      </c>
    </row>
    <row r="4960" spans="1:2" x14ac:dyDescent="0.35">
      <c r="A4960" s="1416">
        <v>41807</v>
      </c>
      <c r="B4960" s="1415">
        <v>29.64</v>
      </c>
    </row>
    <row r="4961" spans="1:2" x14ac:dyDescent="0.35">
      <c r="A4961" s="1416">
        <v>41808</v>
      </c>
      <c r="B4961" s="1415">
        <v>29.99</v>
      </c>
    </row>
    <row r="4962" spans="1:2" x14ac:dyDescent="0.35">
      <c r="A4962" s="1416">
        <v>41809</v>
      </c>
      <c r="B4962" s="1415">
        <v>29.07</v>
      </c>
    </row>
    <row r="4963" spans="1:2" x14ac:dyDescent="0.35">
      <c r="A4963" s="1416">
        <v>41810</v>
      </c>
      <c r="B4963" s="1415">
        <v>29.39</v>
      </c>
    </row>
    <row r="4964" spans="1:2" x14ac:dyDescent="0.35">
      <c r="A4964" s="1416">
        <v>41813</v>
      </c>
      <c r="B4964" s="1415">
        <v>29.65</v>
      </c>
    </row>
    <row r="4965" spans="1:2" x14ac:dyDescent="0.35">
      <c r="A4965" s="1416">
        <v>41814</v>
      </c>
      <c r="B4965" s="1415">
        <v>29.28</v>
      </c>
    </row>
    <row r="4966" spans="1:2" x14ac:dyDescent="0.35">
      <c r="A4966" s="1416">
        <v>41815</v>
      </c>
      <c r="B4966" s="1415">
        <v>31.08</v>
      </c>
    </row>
    <row r="4967" spans="1:2" x14ac:dyDescent="0.35">
      <c r="A4967" s="1416">
        <v>41816</v>
      </c>
      <c r="B4967" s="1415">
        <v>31.08</v>
      </c>
    </row>
    <row r="4968" spans="1:2" x14ac:dyDescent="0.35">
      <c r="A4968" s="1416">
        <v>41817</v>
      </c>
      <c r="B4968" s="1415">
        <v>31.06</v>
      </c>
    </row>
    <row r="4969" spans="1:2" x14ac:dyDescent="0.35">
      <c r="A4969" s="1416">
        <v>41820</v>
      </c>
      <c r="B4969" s="1415">
        <v>31.25</v>
      </c>
    </row>
    <row r="4970" spans="1:2" x14ac:dyDescent="0.35">
      <c r="A4970" s="1416">
        <v>41821</v>
      </c>
      <c r="B4970" s="1415">
        <v>31.05</v>
      </c>
    </row>
    <row r="4971" spans="1:2" x14ac:dyDescent="0.35">
      <c r="A4971" s="1416">
        <v>41822</v>
      </c>
      <c r="B4971" s="1415">
        <v>30.82</v>
      </c>
    </row>
    <row r="4972" spans="1:2" x14ac:dyDescent="0.35">
      <c r="A4972" s="1416">
        <v>41823</v>
      </c>
      <c r="B4972" s="1415">
        <v>32.020000000000003</v>
      </c>
    </row>
    <row r="4973" spans="1:2" x14ac:dyDescent="0.35">
      <c r="A4973" s="1416">
        <v>41827</v>
      </c>
      <c r="B4973" s="1415">
        <v>30.72</v>
      </c>
    </row>
    <row r="4974" spans="1:2" x14ac:dyDescent="0.35">
      <c r="A4974" s="1416">
        <v>41828</v>
      </c>
      <c r="B4974" s="1415">
        <v>29.65</v>
      </c>
    </row>
    <row r="4975" spans="1:2" x14ac:dyDescent="0.35">
      <c r="A4975" s="1416">
        <v>41829</v>
      </c>
      <c r="B4975" s="1415">
        <v>29.6</v>
      </c>
    </row>
    <row r="4976" spans="1:2" x14ac:dyDescent="0.35">
      <c r="A4976" s="1416">
        <v>41830</v>
      </c>
      <c r="B4976" s="1415">
        <v>29.64</v>
      </c>
    </row>
    <row r="4977" spans="1:2" x14ac:dyDescent="0.35">
      <c r="A4977" s="1416">
        <v>41831</v>
      </c>
      <c r="B4977" s="1415">
        <v>29.6</v>
      </c>
    </row>
    <row r="4978" spans="1:2" x14ac:dyDescent="0.35">
      <c r="A4978" s="1416">
        <v>41834</v>
      </c>
      <c r="B4978" s="1415">
        <v>29.57</v>
      </c>
    </row>
    <row r="4979" spans="1:2" x14ac:dyDescent="0.35">
      <c r="A4979" s="1416">
        <v>41835</v>
      </c>
      <c r="B4979" s="1415">
        <v>28.93</v>
      </c>
    </row>
    <row r="4980" spans="1:2" x14ac:dyDescent="0.35">
      <c r="A4980" s="1416">
        <v>41836</v>
      </c>
      <c r="B4980" s="1415">
        <v>28.97</v>
      </c>
    </row>
    <row r="4981" spans="1:2" x14ac:dyDescent="0.35">
      <c r="A4981" s="1416">
        <v>41837</v>
      </c>
      <c r="B4981" s="1415">
        <v>28.85</v>
      </c>
    </row>
    <row r="4982" spans="1:2" x14ac:dyDescent="0.35">
      <c r="A4982" s="1416">
        <v>41838</v>
      </c>
      <c r="B4982" s="1415">
        <v>29.26</v>
      </c>
    </row>
    <row r="4983" spans="1:2" x14ac:dyDescent="0.35">
      <c r="A4983" s="1416">
        <v>41841</v>
      </c>
      <c r="B4983" s="1415">
        <v>28.62</v>
      </c>
    </row>
    <row r="4984" spans="1:2" x14ac:dyDescent="0.35">
      <c r="A4984" s="1416">
        <v>41842</v>
      </c>
      <c r="B4984" s="1415">
        <v>29.15</v>
      </c>
    </row>
    <row r="4985" spans="1:2" x14ac:dyDescent="0.35">
      <c r="A4985" s="1416">
        <v>41843</v>
      </c>
      <c r="B4985" s="1415">
        <v>29.27</v>
      </c>
    </row>
    <row r="4986" spans="1:2" x14ac:dyDescent="0.35">
      <c r="A4986" s="1416">
        <v>41844</v>
      </c>
      <c r="B4986" s="1415">
        <v>29.27</v>
      </c>
    </row>
    <row r="4987" spans="1:2" x14ac:dyDescent="0.35">
      <c r="A4987" s="1416">
        <v>41845</v>
      </c>
      <c r="B4987" s="1415">
        <v>28.79</v>
      </c>
    </row>
    <row r="4988" spans="1:2" x14ac:dyDescent="0.35">
      <c r="A4988" s="1416">
        <v>41848</v>
      </c>
      <c r="B4988" s="1415">
        <v>28.09</v>
      </c>
    </row>
    <row r="4989" spans="1:2" x14ac:dyDescent="0.35">
      <c r="A4989" s="1416">
        <v>41849</v>
      </c>
      <c r="B4989" s="1415">
        <v>28.09</v>
      </c>
    </row>
    <row r="4990" spans="1:2" x14ac:dyDescent="0.35">
      <c r="A4990" s="1416">
        <v>41850</v>
      </c>
      <c r="B4990" s="1415">
        <v>28.46</v>
      </c>
    </row>
    <row r="4991" spans="1:2" x14ac:dyDescent="0.35">
      <c r="A4991" s="1416">
        <v>41851</v>
      </c>
      <c r="B4991" s="1415">
        <v>27.93</v>
      </c>
    </row>
    <row r="4992" spans="1:2" x14ac:dyDescent="0.35">
      <c r="A4992" s="1416">
        <v>41852</v>
      </c>
      <c r="B4992" s="1415">
        <v>27.8</v>
      </c>
    </row>
    <row r="4993" spans="1:2" x14ac:dyDescent="0.35">
      <c r="A4993" s="1416">
        <v>41855</v>
      </c>
      <c r="B4993" s="1415">
        <v>27.86</v>
      </c>
    </row>
    <row r="4994" spans="1:2" x14ac:dyDescent="0.35">
      <c r="A4994" s="1416">
        <v>41856</v>
      </c>
      <c r="B4994" s="1415">
        <v>27.7</v>
      </c>
    </row>
    <row r="4995" spans="1:2" x14ac:dyDescent="0.35">
      <c r="A4995" s="1416">
        <v>41857</v>
      </c>
      <c r="B4995" s="1415">
        <v>27.63</v>
      </c>
    </row>
    <row r="4996" spans="1:2" x14ac:dyDescent="0.35">
      <c r="A4996" s="1416">
        <v>41858</v>
      </c>
      <c r="B4996" s="1415">
        <v>27.06</v>
      </c>
    </row>
    <row r="4997" spans="1:2" x14ac:dyDescent="0.35">
      <c r="A4997" s="1416">
        <v>41859</v>
      </c>
      <c r="B4997" s="1415">
        <v>26.67</v>
      </c>
    </row>
    <row r="4998" spans="1:2" x14ac:dyDescent="0.35">
      <c r="A4998" s="1416">
        <v>41862</v>
      </c>
      <c r="B4998" s="1415">
        <v>26.68</v>
      </c>
    </row>
    <row r="4999" spans="1:2" x14ac:dyDescent="0.35">
      <c r="A4999" s="1416">
        <v>41863</v>
      </c>
      <c r="B4999" s="1415">
        <v>26.74</v>
      </c>
    </row>
    <row r="5000" spans="1:2" x14ac:dyDescent="0.35">
      <c r="A5000" s="1416">
        <v>41864</v>
      </c>
      <c r="B5000" s="1415">
        <v>27.15</v>
      </c>
    </row>
    <row r="5001" spans="1:2" x14ac:dyDescent="0.35">
      <c r="A5001" s="1416">
        <v>41865</v>
      </c>
      <c r="B5001" s="1415">
        <v>27.42</v>
      </c>
    </row>
    <row r="5002" spans="1:2" x14ac:dyDescent="0.35">
      <c r="A5002" s="1416">
        <v>41866</v>
      </c>
      <c r="B5002" s="1415">
        <v>27.38</v>
      </c>
    </row>
    <row r="5003" spans="1:2" x14ac:dyDescent="0.35">
      <c r="A5003" s="1416">
        <v>41869</v>
      </c>
      <c r="B5003" s="1415">
        <v>27.88</v>
      </c>
    </row>
    <row r="5004" spans="1:2" x14ac:dyDescent="0.35">
      <c r="A5004" s="1416">
        <v>41870</v>
      </c>
      <c r="B5004" s="1415">
        <v>27.91</v>
      </c>
    </row>
    <row r="5005" spans="1:2" x14ac:dyDescent="0.35">
      <c r="A5005" s="1416">
        <v>41871</v>
      </c>
      <c r="B5005" s="1415">
        <v>27.77</v>
      </c>
    </row>
    <row r="5006" spans="1:2" x14ac:dyDescent="0.35">
      <c r="A5006" s="1416">
        <v>41872</v>
      </c>
      <c r="B5006" s="1415">
        <v>27.7</v>
      </c>
    </row>
    <row r="5007" spans="1:2" x14ac:dyDescent="0.35">
      <c r="A5007" s="1416">
        <v>41873</v>
      </c>
      <c r="B5007" s="1415">
        <v>27.74</v>
      </c>
    </row>
    <row r="5008" spans="1:2" x14ac:dyDescent="0.35">
      <c r="A5008" s="1416">
        <v>41876</v>
      </c>
      <c r="B5008" s="1415">
        <v>27.645</v>
      </c>
    </row>
    <row r="5009" spans="1:2" x14ac:dyDescent="0.35">
      <c r="A5009" s="1416">
        <v>41877</v>
      </c>
      <c r="B5009" s="1415">
        <v>27.754999999999999</v>
      </c>
    </row>
    <row r="5010" spans="1:2" x14ac:dyDescent="0.35">
      <c r="A5010" s="1416">
        <v>41878</v>
      </c>
      <c r="B5010" s="1415">
        <v>27.69</v>
      </c>
    </row>
    <row r="5011" spans="1:2" x14ac:dyDescent="0.35">
      <c r="A5011" s="1416">
        <v>41879</v>
      </c>
      <c r="B5011" s="1415">
        <v>27.5</v>
      </c>
    </row>
    <row r="5012" spans="1:2" x14ac:dyDescent="0.35">
      <c r="A5012" s="1416">
        <v>41880</v>
      </c>
      <c r="B5012" s="1415">
        <v>27.77</v>
      </c>
    </row>
    <row r="5013" spans="1:2" x14ac:dyDescent="0.35">
      <c r="A5013" s="1416">
        <v>41884</v>
      </c>
      <c r="B5013" s="1415">
        <v>28.32</v>
      </c>
    </row>
    <row r="5014" spans="1:2" x14ac:dyDescent="0.35">
      <c r="A5014" s="1416">
        <v>41885</v>
      </c>
      <c r="B5014" s="1415">
        <v>27.62</v>
      </c>
    </row>
    <row r="5015" spans="1:2" x14ac:dyDescent="0.35">
      <c r="A5015" s="1416">
        <v>41886</v>
      </c>
      <c r="B5015" s="1415">
        <v>27.42</v>
      </c>
    </row>
    <row r="5016" spans="1:2" x14ac:dyDescent="0.35">
      <c r="A5016" s="1416">
        <v>41887</v>
      </c>
      <c r="B5016" s="1415">
        <v>27.47</v>
      </c>
    </row>
    <row r="5017" spans="1:2" x14ac:dyDescent="0.35">
      <c r="A5017" s="1416">
        <v>41890</v>
      </c>
      <c r="B5017" s="1415">
        <v>26.96</v>
      </c>
    </row>
    <row r="5018" spans="1:2" x14ac:dyDescent="0.35">
      <c r="A5018" s="1416">
        <v>41891</v>
      </c>
      <c r="B5018" s="1415">
        <v>27.07</v>
      </c>
    </row>
    <row r="5019" spans="1:2" x14ac:dyDescent="0.35">
      <c r="A5019" s="1416">
        <v>41892</v>
      </c>
      <c r="B5019" s="1415">
        <v>27.13</v>
      </c>
    </row>
    <row r="5020" spans="1:2" x14ac:dyDescent="0.35">
      <c r="A5020" s="1416">
        <v>41893</v>
      </c>
      <c r="B5020" s="1415">
        <v>27.324999999999999</v>
      </c>
    </row>
    <row r="5021" spans="1:2" x14ac:dyDescent="0.35">
      <c r="A5021" s="1416">
        <v>41894</v>
      </c>
      <c r="B5021" s="1415">
        <v>27.27</v>
      </c>
    </row>
    <row r="5022" spans="1:2" x14ac:dyDescent="0.35">
      <c r="A5022" s="1416">
        <v>41897</v>
      </c>
      <c r="B5022" s="1415">
        <v>27.11</v>
      </c>
    </row>
    <row r="5023" spans="1:2" x14ac:dyDescent="0.35">
      <c r="A5023" s="1416">
        <v>41898</v>
      </c>
      <c r="B5023" s="1415">
        <v>26.98</v>
      </c>
    </row>
    <row r="5024" spans="1:2" x14ac:dyDescent="0.35">
      <c r="A5024" s="1416">
        <v>41899</v>
      </c>
      <c r="B5024" s="1415">
        <v>26.63</v>
      </c>
    </row>
    <row r="5025" spans="1:2" x14ac:dyDescent="0.35">
      <c r="A5025" s="1416">
        <v>41900</v>
      </c>
      <c r="B5025" s="1415">
        <v>26.59</v>
      </c>
    </row>
    <row r="5026" spans="1:2" x14ac:dyDescent="0.35">
      <c r="A5026" s="1416">
        <v>41901</v>
      </c>
      <c r="B5026" s="1415">
        <v>26.08</v>
      </c>
    </row>
    <row r="5027" spans="1:2" x14ac:dyDescent="0.35">
      <c r="A5027" s="1416">
        <v>41904</v>
      </c>
      <c r="B5027" s="1415">
        <v>25.7</v>
      </c>
    </row>
    <row r="5028" spans="1:2" x14ac:dyDescent="0.35">
      <c r="A5028" s="1416">
        <v>41905</v>
      </c>
      <c r="B5028" s="1415">
        <v>25.36</v>
      </c>
    </row>
    <row r="5029" spans="1:2" x14ac:dyDescent="0.35">
      <c r="A5029" s="1416">
        <v>41906</v>
      </c>
      <c r="B5029" s="1415">
        <v>25.24</v>
      </c>
    </row>
    <row r="5030" spans="1:2" x14ac:dyDescent="0.35">
      <c r="A5030" s="1416">
        <v>41907</v>
      </c>
      <c r="B5030" s="1415">
        <v>25.004999999999999</v>
      </c>
    </row>
    <row r="5031" spans="1:2" x14ac:dyDescent="0.35">
      <c r="A5031" s="1416">
        <v>41908</v>
      </c>
      <c r="B5031" s="1415">
        <v>25.39</v>
      </c>
    </row>
    <row r="5032" spans="1:2" x14ac:dyDescent="0.35">
      <c r="A5032" s="1416">
        <v>41911</v>
      </c>
      <c r="B5032" s="1415">
        <v>25.23</v>
      </c>
    </row>
    <row r="5033" spans="1:2" x14ac:dyDescent="0.35">
      <c r="A5033" s="1416">
        <v>41912</v>
      </c>
      <c r="B5033" s="1415">
        <v>25.15</v>
      </c>
    </row>
    <row r="5034" spans="1:2" x14ac:dyDescent="0.35">
      <c r="A5034" s="1416">
        <v>41913</v>
      </c>
      <c r="B5034" s="1415">
        <v>24.98</v>
      </c>
    </row>
    <row r="5035" spans="1:2" x14ac:dyDescent="0.35">
      <c r="A5035" s="1416">
        <v>41914</v>
      </c>
      <c r="B5035" s="1415">
        <v>25.89</v>
      </c>
    </row>
    <row r="5036" spans="1:2" x14ac:dyDescent="0.35">
      <c r="A5036" s="1416">
        <v>41915</v>
      </c>
      <c r="B5036" s="1415">
        <v>25.83</v>
      </c>
    </row>
    <row r="5037" spans="1:2" x14ac:dyDescent="0.35">
      <c r="A5037" s="1416">
        <v>41918</v>
      </c>
      <c r="B5037" s="1415">
        <v>25.88</v>
      </c>
    </row>
    <row r="5038" spans="1:2" x14ac:dyDescent="0.35">
      <c r="A5038" s="1416">
        <v>41919</v>
      </c>
      <c r="B5038" s="1415">
        <v>25.23</v>
      </c>
    </row>
    <row r="5039" spans="1:2" x14ac:dyDescent="0.35">
      <c r="A5039" s="1416">
        <v>41920</v>
      </c>
      <c r="B5039" s="1415">
        <v>25.69</v>
      </c>
    </row>
    <row r="5040" spans="1:2" x14ac:dyDescent="0.35">
      <c r="A5040" s="1416">
        <v>41921</v>
      </c>
      <c r="B5040" s="1415">
        <v>25.96</v>
      </c>
    </row>
    <row r="5041" spans="1:2" x14ac:dyDescent="0.35">
      <c r="A5041" s="1416">
        <v>41922</v>
      </c>
      <c r="B5041" s="1415">
        <v>24.89</v>
      </c>
    </row>
    <row r="5042" spans="1:2" x14ac:dyDescent="0.35">
      <c r="A5042" s="1416">
        <v>41925</v>
      </c>
      <c r="B5042" s="1415">
        <v>24.2</v>
      </c>
    </row>
    <row r="5043" spans="1:2" x14ac:dyDescent="0.35">
      <c r="A5043" s="1416">
        <v>41926</v>
      </c>
      <c r="B5043" s="1415">
        <v>24.06</v>
      </c>
    </row>
    <row r="5044" spans="1:2" x14ac:dyDescent="0.35">
      <c r="A5044" s="1416">
        <v>41927</v>
      </c>
      <c r="B5044" s="1415">
        <v>24.73</v>
      </c>
    </row>
    <row r="5045" spans="1:2" x14ac:dyDescent="0.35">
      <c r="A5045" s="1416">
        <v>41928</v>
      </c>
      <c r="B5045" s="1415">
        <v>24.87</v>
      </c>
    </row>
    <row r="5046" spans="1:2" x14ac:dyDescent="0.35">
      <c r="A5046" s="1416">
        <v>41929</v>
      </c>
      <c r="B5046" s="1415">
        <v>25.62</v>
      </c>
    </row>
    <row r="5047" spans="1:2" x14ac:dyDescent="0.35">
      <c r="A5047" s="1416">
        <v>41932</v>
      </c>
      <c r="B5047" s="1415">
        <v>25.75</v>
      </c>
    </row>
    <row r="5048" spans="1:2" x14ac:dyDescent="0.35">
      <c r="A5048" s="1416">
        <v>41933</v>
      </c>
      <c r="B5048" s="1415">
        <v>26.87</v>
      </c>
    </row>
    <row r="5049" spans="1:2" x14ac:dyDescent="0.35">
      <c r="A5049" s="1416">
        <v>41934</v>
      </c>
      <c r="B5049" s="1415">
        <v>25.805</v>
      </c>
    </row>
    <row r="5050" spans="1:2" x14ac:dyDescent="0.35">
      <c r="A5050" s="1416">
        <v>41935</v>
      </c>
      <c r="B5050" s="1415">
        <v>25.67</v>
      </c>
    </row>
    <row r="5051" spans="1:2" x14ac:dyDescent="0.35">
      <c r="A5051" s="1416">
        <v>41936</v>
      </c>
      <c r="B5051" s="1415">
        <v>25.91</v>
      </c>
    </row>
    <row r="5052" spans="1:2" x14ac:dyDescent="0.35">
      <c r="A5052" s="1416">
        <v>41939</v>
      </c>
      <c r="B5052" s="1415">
        <v>25.72</v>
      </c>
    </row>
    <row r="5053" spans="1:2" x14ac:dyDescent="0.35">
      <c r="A5053" s="1416">
        <v>41940</v>
      </c>
      <c r="B5053" s="1415">
        <v>27.03</v>
      </c>
    </row>
    <row r="5054" spans="1:2" x14ac:dyDescent="0.35">
      <c r="A5054" s="1416">
        <v>41941</v>
      </c>
      <c r="B5054" s="1415">
        <v>26.99</v>
      </c>
    </row>
    <row r="5055" spans="1:2" x14ac:dyDescent="0.35">
      <c r="A5055" s="1416">
        <v>41942</v>
      </c>
      <c r="B5055" s="1415">
        <v>28.12</v>
      </c>
    </row>
    <row r="5056" spans="1:2" x14ac:dyDescent="0.35">
      <c r="A5056" s="1416">
        <v>41943</v>
      </c>
      <c r="B5056" s="1415">
        <v>28.66</v>
      </c>
    </row>
    <row r="5057" spans="1:2" x14ac:dyDescent="0.35">
      <c r="A5057" s="1416">
        <v>41946</v>
      </c>
      <c r="B5057" s="1415">
        <v>28.04</v>
      </c>
    </row>
    <row r="5058" spans="1:2" x14ac:dyDescent="0.35">
      <c r="A5058" s="1416">
        <v>41947</v>
      </c>
      <c r="B5058" s="1415">
        <v>28.59</v>
      </c>
    </row>
    <row r="5059" spans="1:2" x14ac:dyDescent="0.35">
      <c r="A5059" s="1416">
        <v>41948</v>
      </c>
      <c r="B5059" s="1415">
        <v>28.76</v>
      </c>
    </row>
    <row r="5060" spans="1:2" x14ac:dyDescent="0.35">
      <c r="A5060" s="1416">
        <v>41949</v>
      </c>
      <c r="B5060" s="1415">
        <v>28.92</v>
      </c>
    </row>
    <row r="5061" spans="1:2" x14ac:dyDescent="0.35">
      <c r="A5061" s="1416">
        <v>41950</v>
      </c>
      <c r="B5061" s="1415">
        <v>29.44</v>
      </c>
    </row>
    <row r="5062" spans="1:2" x14ac:dyDescent="0.35">
      <c r="A5062" s="1416">
        <v>41953</v>
      </c>
      <c r="B5062" s="1415">
        <v>29.1</v>
      </c>
    </row>
    <row r="5063" spans="1:2" x14ac:dyDescent="0.35">
      <c r="A5063" s="1416">
        <v>41954</v>
      </c>
      <c r="B5063" s="1415">
        <v>29.31</v>
      </c>
    </row>
    <row r="5064" spans="1:2" x14ac:dyDescent="0.35">
      <c r="A5064" s="1416">
        <v>41955</v>
      </c>
      <c r="B5064" s="1415">
        <v>29.59</v>
      </c>
    </row>
    <row r="5065" spans="1:2" x14ac:dyDescent="0.35">
      <c r="A5065" s="1416">
        <v>41956</v>
      </c>
      <c r="B5065" s="1415">
        <v>29.45</v>
      </c>
    </row>
    <row r="5066" spans="1:2" x14ac:dyDescent="0.35">
      <c r="A5066" s="1416">
        <v>41957</v>
      </c>
      <c r="B5066" s="1415">
        <v>30.015000000000001</v>
      </c>
    </row>
    <row r="5067" spans="1:2" x14ac:dyDescent="0.35">
      <c r="A5067" s="1416">
        <v>41960</v>
      </c>
      <c r="B5067" s="1415">
        <v>29.53</v>
      </c>
    </row>
    <row r="5068" spans="1:2" x14ac:dyDescent="0.35">
      <c r="A5068" s="1416">
        <v>41961</v>
      </c>
      <c r="B5068" s="1415">
        <v>29.89</v>
      </c>
    </row>
    <row r="5069" spans="1:2" x14ac:dyDescent="0.35">
      <c r="A5069" s="1416">
        <v>41962</v>
      </c>
      <c r="B5069" s="1415">
        <v>30.17</v>
      </c>
    </row>
    <row r="5070" spans="1:2" x14ac:dyDescent="0.35">
      <c r="A5070" s="1416">
        <v>41963</v>
      </c>
      <c r="B5070" s="1415">
        <v>30.3</v>
      </c>
    </row>
    <row r="5071" spans="1:2" x14ac:dyDescent="0.35">
      <c r="A5071" s="1416">
        <v>41964</v>
      </c>
      <c r="B5071" s="1415">
        <v>30.805</v>
      </c>
    </row>
    <row r="5072" spans="1:2" x14ac:dyDescent="0.35">
      <c r="A5072" s="1416">
        <v>41967</v>
      </c>
      <c r="B5072" s="1415">
        <v>30.9</v>
      </c>
    </row>
    <row r="5073" spans="1:2" x14ac:dyDescent="0.35">
      <c r="A5073" s="1416">
        <v>41968</v>
      </c>
      <c r="B5073" s="1415">
        <v>31.155000000000001</v>
      </c>
    </row>
    <row r="5074" spans="1:2" x14ac:dyDescent="0.35">
      <c r="A5074" s="1416">
        <v>41969</v>
      </c>
      <c r="B5074" s="1415">
        <v>31.34</v>
      </c>
    </row>
    <row r="5075" spans="1:2" x14ac:dyDescent="0.35">
      <c r="A5075" s="1416">
        <v>41971</v>
      </c>
      <c r="B5075" s="1415">
        <v>31.22</v>
      </c>
    </row>
    <row r="5076" spans="1:2" x14ac:dyDescent="0.35">
      <c r="A5076" s="1416">
        <v>41974</v>
      </c>
      <c r="B5076" s="1415">
        <v>31.9</v>
      </c>
    </row>
    <row r="5077" spans="1:2" x14ac:dyDescent="0.35">
      <c r="A5077" s="1416">
        <v>41975</v>
      </c>
      <c r="B5077" s="1415">
        <v>32.15</v>
      </c>
    </row>
    <row r="5078" spans="1:2" x14ac:dyDescent="0.35">
      <c r="A5078" s="1416">
        <v>41976</v>
      </c>
      <c r="B5078" s="1415">
        <v>32.21</v>
      </c>
    </row>
    <row r="5079" spans="1:2" x14ac:dyDescent="0.35">
      <c r="A5079" s="1416">
        <v>41977</v>
      </c>
      <c r="B5079" s="1415">
        <v>32.17</v>
      </c>
    </row>
    <row r="5080" spans="1:2" x14ac:dyDescent="0.35">
      <c r="A5080" s="1416">
        <v>41978</v>
      </c>
      <c r="B5080" s="1415">
        <v>32.42</v>
      </c>
    </row>
    <row r="5081" spans="1:2" x14ac:dyDescent="0.35">
      <c r="A5081" s="1416">
        <v>41981</v>
      </c>
      <c r="B5081" s="1415">
        <v>32.344999999999999</v>
      </c>
    </row>
    <row r="5082" spans="1:2" x14ac:dyDescent="0.35">
      <c r="A5082" s="1416">
        <v>41982</v>
      </c>
      <c r="B5082" s="1415">
        <v>32.76</v>
      </c>
    </row>
    <row r="5083" spans="1:2" x14ac:dyDescent="0.35">
      <c r="A5083" s="1416">
        <v>41983</v>
      </c>
      <c r="B5083" s="1415">
        <v>32.25</v>
      </c>
    </row>
    <row r="5084" spans="1:2" x14ac:dyDescent="0.35">
      <c r="A5084" s="1416">
        <v>41984</v>
      </c>
      <c r="B5084" s="1415">
        <v>32.35</v>
      </c>
    </row>
    <row r="5085" spans="1:2" x14ac:dyDescent="0.35">
      <c r="A5085" s="1416">
        <v>41985</v>
      </c>
      <c r="B5085" s="1415">
        <v>32.19</v>
      </c>
    </row>
    <row r="5086" spans="1:2" x14ac:dyDescent="0.35">
      <c r="A5086" s="1416">
        <v>41988</v>
      </c>
      <c r="B5086" s="1415">
        <v>31.995000000000001</v>
      </c>
    </row>
    <row r="5087" spans="1:2" x14ac:dyDescent="0.35">
      <c r="A5087" s="1416">
        <v>41989</v>
      </c>
      <c r="B5087" s="1415">
        <v>31.73</v>
      </c>
    </row>
    <row r="5088" spans="1:2" x14ac:dyDescent="0.35">
      <c r="A5088" s="1416">
        <v>41990</v>
      </c>
      <c r="B5088" s="1415">
        <v>32.35</v>
      </c>
    </row>
    <row r="5089" spans="1:2" x14ac:dyDescent="0.35">
      <c r="A5089" s="1416">
        <v>41991</v>
      </c>
      <c r="B5089" s="1415">
        <v>32.99</v>
      </c>
    </row>
    <row r="5090" spans="1:2" x14ac:dyDescent="0.35">
      <c r="A5090" s="1416">
        <v>41992</v>
      </c>
      <c r="B5090" s="1415">
        <v>34.17</v>
      </c>
    </row>
    <row r="5091" spans="1:2" x14ac:dyDescent="0.35">
      <c r="A5091" s="1416">
        <v>41995</v>
      </c>
      <c r="B5091" s="1415">
        <v>34.409999999999997</v>
      </c>
    </row>
    <row r="5092" spans="1:2" x14ac:dyDescent="0.35">
      <c r="A5092" s="1416">
        <v>41996</v>
      </c>
      <c r="B5092" s="1415">
        <v>33.770000000000003</v>
      </c>
    </row>
    <row r="5093" spans="1:2" x14ac:dyDescent="0.35">
      <c r="A5093" s="1416">
        <v>41997</v>
      </c>
      <c r="B5093" s="1415">
        <v>34.07</v>
      </c>
    </row>
    <row r="5094" spans="1:2" x14ac:dyDescent="0.35">
      <c r="A5094" s="1416">
        <v>41999</v>
      </c>
      <c r="B5094" s="1415">
        <v>33.94</v>
      </c>
    </row>
    <row r="5095" spans="1:2" x14ac:dyDescent="0.35">
      <c r="A5095" s="1416">
        <v>42002</v>
      </c>
      <c r="B5095" s="1415">
        <v>34.33</v>
      </c>
    </row>
    <row r="5096" spans="1:2" x14ac:dyDescent="0.35">
      <c r="A5096" s="1416">
        <v>42003</v>
      </c>
      <c r="B5096" s="1415">
        <v>34.21</v>
      </c>
    </row>
    <row r="5097" spans="1:2" x14ac:dyDescent="0.35">
      <c r="A5097" s="1416">
        <v>42004</v>
      </c>
      <c r="B5097" s="1415">
        <v>34.11</v>
      </c>
    </row>
    <row r="5098" spans="1:2" x14ac:dyDescent="0.35">
      <c r="A5098" s="1416">
        <v>42006</v>
      </c>
      <c r="B5098" s="1415">
        <v>33.26</v>
      </c>
    </row>
    <row r="5099" spans="1:2" x14ac:dyDescent="0.35">
      <c r="A5099" s="1416">
        <v>42009</v>
      </c>
      <c r="B5099" s="1415">
        <v>32.65</v>
      </c>
    </row>
    <row r="5100" spans="1:2" x14ac:dyDescent="0.35">
      <c r="A5100" s="1416">
        <v>42010</v>
      </c>
      <c r="B5100" s="1415">
        <v>31.95</v>
      </c>
    </row>
    <row r="5101" spans="1:2" x14ac:dyDescent="0.35">
      <c r="A5101" s="1416">
        <v>42011</v>
      </c>
      <c r="B5101" s="1415">
        <v>31.86</v>
      </c>
    </row>
    <row r="5102" spans="1:2" x14ac:dyDescent="0.35">
      <c r="A5102" s="1416">
        <v>42012</v>
      </c>
      <c r="B5102" s="1415">
        <v>27.55</v>
      </c>
    </row>
    <row r="5103" spans="1:2" x14ac:dyDescent="0.35">
      <c r="A5103" s="1416">
        <v>42013</v>
      </c>
      <c r="B5103" s="1415">
        <v>26.94</v>
      </c>
    </row>
    <row r="5104" spans="1:2" x14ac:dyDescent="0.35">
      <c r="A5104" s="1416">
        <v>42016</v>
      </c>
      <c r="B5104" s="1415">
        <v>26.05</v>
      </c>
    </row>
    <row r="5105" spans="1:2" x14ac:dyDescent="0.35">
      <c r="A5105" s="1416">
        <v>42017</v>
      </c>
      <c r="B5105" s="1415">
        <v>25.44</v>
      </c>
    </row>
    <row r="5106" spans="1:2" x14ac:dyDescent="0.35">
      <c r="A5106" s="1416">
        <v>42018</v>
      </c>
      <c r="B5106" s="1415">
        <v>25.2</v>
      </c>
    </row>
    <row r="5107" spans="1:2" x14ac:dyDescent="0.35">
      <c r="A5107" s="1416">
        <v>42019</v>
      </c>
      <c r="B5107" s="1415">
        <v>25.11</v>
      </c>
    </row>
    <row r="5108" spans="1:2" x14ac:dyDescent="0.35">
      <c r="A5108" s="1416">
        <v>42020</v>
      </c>
      <c r="B5108" s="1415">
        <v>25.61</v>
      </c>
    </row>
    <row r="5109" spans="1:2" x14ac:dyDescent="0.35">
      <c r="A5109" s="1416">
        <v>42024</v>
      </c>
      <c r="B5109" s="1415">
        <v>25.405000000000001</v>
      </c>
    </row>
    <row r="5110" spans="1:2" x14ac:dyDescent="0.35">
      <c r="A5110" s="1416">
        <v>42025</v>
      </c>
      <c r="B5110" s="1415">
        <v>25.75</v>
      </c>
    </row>
    <row r="5111" spans="1:2" x14ac:dyDescent="0.35">
      <c r="A5111" s="1416">
        <v>42026</v>
      </c>
      <c r="B5111" s="1415">
        <v>25.94</v>
      </c>
    </row>
    <row r="5112" spans="1:2" x14ac:dyDescent="0.35">
      <c r="A5112" s="1416">
        <v>42027</v>
      </c>
      <c r="B5112" s="1415">
        <v>25.99</v>
      </c>
    </row>
    <row r="5113" spans="1:2" x14ac:dyDescent="0.35">
      <c r="A5113" s="1416">
        <v>42030</v>
      </c>
      <c r="B5113" s="1415">
        <v>26.49</v>
      </c>
    </row>
    <row r="5114" spans="1:2" x14ac:dyDescent="0.35">
      <c r="A5114" s="1416">
        <v>42031</v>
      </c>
      <c r="B5114" s="1415">
        <v>26.16</v>
      </c>
    </row>
    <row r="5115" spans="1:2" x14ac:dyDescent="0.35">
      <c r="A5115" s="1416">
        <v>42032</v>
      </c>
      <c r="B5115" s="1415">
        <v>25.92</v>
      </c>
    </row>
    <row r="5116" spans="1:2" x14ac:dyDescent="0.35">
      <c r="A5116" s="1416">
        <v>42033</v>
      </c>
      <c r="B5116" s="1415">
        <v>26.32</v>
      </c>
    </row>
    <row r="5117" spans="1:2" x14ac:dyDescent="0.35">
      <c r="A5117" s="1416">
        <v>42034</v>
      </c>
      <c r="B5117" s="1415">
        <v>25.26</v>
      </c>
    </row>
    <row r="5118" spans="1:2" x14ac:dyDescent="0.35">
      <c r="A5118" s="1416">
        <v>42037</v>
      </c>
      <c r="B5118" s="1415">
        <v>25.56</v>
      </c>
    </row>
    <row r="5119" spans="1:2" x14ac:dyDescent="0.35">
      <c r="A5119" s="1416">
        <v>42038</v>
      </c>
      <c r="B5119" s="1415">
        <v>26.81</v>
      </c>
    </row>
    <row r="5120" spans="1:2" x14ac:dyDescent="0.35">
      <c r="A5120" s="1416">
        <v>42039</v>
      </c>
      <c r="B5120" s="1415">
        <v>26.36</v>
      </c>
    </row>
    <row r="5121" spans="1:2" x14ac:dyDescent="0.35">
      <c r="A5121" s="1416">
        <v>42040</v>
      </c>
      <c r="B5121" s="1415">
        <v>25.91</v>
      </c>
    </row>
    <row r="5122" spans="1:2" x14ac:dyDescent="0.35">
      <c r="A5122" s="1416">
        <v>42041</v>
      </c>
      <c r="B5122" s="1415">
        <v>25.54</v>
      </c>
    </row>
    <row r="5123" spans="1:2" x14ac:dyDescent="0.35">
      <c r="A5123" s="1416">
        <v>42044</v>
      </c>
      <c r="B5123" s="1415">
        <v>25.67</v>
      </c>
    </row>
    <row r="5124" spans="1:2" x14ac:dyDescent="0.35">
      <c r="A5124" s="1416">
        <v>42045</v>
      </c>
      <c r="B5124" s="1415">
        <v>25.364999999999998</v>
      </c>
    </row>
    <row r="5125" spans="1:2" x14ac:dyDescent="0.35">
      <c r="A5125" s="1416">
        <v>42046</v>
      </c>
      <c r="B5125" s="1415">
        <v>25.51</v>
      </c>
    </row>
    <row r="5126" spans="1:2" x14ac:dyDescent="0.35">
      <c r="A5126" s="1416">
        <v>42047</v>
      </c>
      <c r="B5126" s="1415">
        <v>25.64</v>
      </c>
    </row>
    <row r="5127" spans="1:2" x14ac:dyDescent="0.35">
      <c r="A5127" s="1416">
        <v>42048</v>
      </c>
      <c r="B5127" s="1415">
        <v>25.97</v>
      </c>
    </row>
    <row r="5128" spans="1:2" x14ac:dyDescent="0.35">
      <c r="A5128" s="1416">
        <v>42052</v>
      </c>
      <c r="B5128" s="1415">
        <v>26.08</v>
      </c>
    </row>
    <row r="5129" spans="1:2" x14ac:dyDescent="0.35">
      <c r="A5129" s="1416">
        <v>42053</v>
      </c>
      <c r="B5129" s="1415">
        <v>26.6</v>
      </c>
    </row>
    <row r="5130" spans="1:2" x14ac:dyDescent="0.35">
      <c r="A5130" s="1416">
        <v>42054</v>
      </c>
      <c r="B5130" s="1415">
        <v>27.004999999999999</v>
      </c>
    </row>
    <row r="5131" spans="1:2" x14ac:dyDescent="0.35">
      <c r="A5131" s="1416">
        <v>42055</v>
      </c>
      <c r="B5131" s="1415">
        <v>26.754999999999999</v>
      </c>
    </row>
    <row r="5132" spans="1:2" x14ac:dyDescent="0.35">
      <c r="A5132" s="1416">
        <v>42058</v>
      </c>
      <c r="B5132" s="1415">
        <v>26.97</v>
      </c>
    </row>
    <row r="5133" spans="1:2" x14ac:dyDescent="0.35">
      <c r="A5133" s="1416">
        <v>42059</v>
      </c>
      <c r="B5133" s="1415">
        <v>28.51</v>
      </c>
    </row>
    <row r="5134" spans="1:2" x14ac:dyDescent="0.35">
      <c r="A5134" s="1416">
        <v>42060</v>
      </c>
      <c r="B5134" s="1415">
        <v>28.49</v>
      </c>
    </row>
    <row r="5135" spans="1:2" x14ac:dyDescent="0.35">
      <c r="A5135" s="1416">
        <v>42061</v>
      </c>
      <c r="B5135" s="1415">
        <v>27.91</v>
      </c>
    </row>
    <row r="5136" spans="1:2" x14ac:dyDescent="0.35">
      <c r="A5136" s="1416">
        <v>42062</v>
      </c>
      <c r="B5136" s="1415">
        <v>27.65</v>
      </c>
    </row>
    <row r="5137" spans="1:2" x14ac:dyDescent="0.35">
      <c r="A5137" s="1416">
        <v>42065</v>
      </c>
      <c r="B5137" s="1415">
        <v>27.96</v>
      </c>
    </row>
    <row r="5138" spans="1:2" x14ac:dyDescent="0.35">
      <c r="A5138" s="1416">
        <v>42066</v>
      </c>
      <c r="B5138" s="1415">
        <v>28.08</v>
      </c>
    </row>
    <row r="5139" spans="1:2" x14ac:dyDescent="0.35">
      <c r="A5139" s="1416">
        <v>42067</v>
      </c>
      <c r="B5139" s="1415">
        <v>28.14</v>
      </c>
    </row>
    <row r="5140" spans="1:2" x14ac:dyDescent="0.35">
      <c r="A5140" s="1416">
        <v>42068</v>
      </c>
      <c r="B5140" s="1415">
        <v>27.46</v>
      </c>
    </row>
    <row r="5141" spans="1:2" x14ac:dyDescent="0.35">
      <c r="A5141" s="1416">
        <v>42069</v>
      </c>
      <c r="B5141" s="1415">
        <v>27.06</v>
      </c>
    </row>
    <row r="5142" spans="1:2" x14ac:dyDescent="0.35">
      <c r="A5142" s="1416">
        <v>42072</v>
      </c>
      <c r="B5142" s="1415">
        <v>26.84</v>
      </c>
    </row>
    <row r="5143" spans="1:2" x14ac:dyDescent="0.35">
      <c r="A5143" s="1416">
        <v>42073</v>
      </c>
      <c r="B5143" s="1415">
        <v>26.05</v>
      </c>
    </row>
    <row r="5144" spans="1:2" x14ac:dyDescent="0.35">
      <c r="A5144" s="1416">
        <v>42074</v>
      </c>
      <c r="B5144" s="1415">
        <v>26.23</v>
      </c>
    </row>
    <row r="5145" spans="1:2" x14ac:dyDescent="0.35">
      <c r="A5145" s="1416">
        <v>42075</v>
      </c>
      <c r="B5145" s="1415">
        <v>26.96</v>
      </c>
    </row>
    <row r="5146" spans="1:2" x14ac:dyDescent="0.35">
      <c r="A5146" s="1416">
        <v>42076</v>
      </c>
      <c r="B5146" s="1415">
        <v>26.76</v>
      </c>
    </row>
    <row r="5147" spans="1:2" x14ac:dyDescent="0.35">
      <c r="A5147" s="1416">
        <v>42079</v>
      </c>
      <c r="B5147" s="1415">
        <v>26.78</v>
      </c>
    </row>
    <row r="5148" spans="1:2" x14ac:dyDescent="0.35">
      <c r="A5148" s="1416">
        <v>42080</v>
      </c>
      <c r="B5148" s="1415">
        <v>26.695</v>
      </c>
    </row>
    <row r="5149" spans="1:2" x14ac:dyDescent="0.35">
      <c r="A5149" s="1416">
        <v>42081</v>
      </c>
      <c r="B5149" s="1415">
        <v>27.72</v>
      </c>
    </row>
    <row r="5150" spans="1:2" x14ac:dyDescent="0.35">
      <c r="A5150" s="1416">
        <v>42082</v>
      </c>
      <c r="B5150" s="1415">
        <v>27.58</v>
      </c>
    </row>
    <row r="5151" spans="1:2" x14ac:dyDescent="0.35">
      <c r="A5151" s="1416">
        <v>42083</v>
      </c>
      <c r="B5151" s="1415">
        <v>27.75</v>
      </c>
    </row>
    <row r="5152" spans="1:2" x14ac:dyDescent="0.35">
      <c r="A5152" s="1416">
        <v>42086</v>
      </c>
      <c r="B5152" s="1415">
        <v>28.07</v>
      </c>
    </row>
    <row r="5153" spans="1:2" x14ac:dyDescent="0.35">
      <c r="A5153" s="1416">
        <v>42087</v>
      </c>
      <c r="B5153" s="1415">
        <v>27.99</v>
      </c>
    </row>
    <row r="5154" spans="1:2" x14ac:dyDescent="0.35">
      <c r="A5154" s="1416">
        <v>42088</v>
      </c>
      <c r="B5154" s="1415">
        <v>20.04</v>
      </c>
    </row>
    <row r="5155" spans="1:2" x14ac:dyDescent="0.35">
      <c r="A5155" s="1416">
        <v>42089</v>
      </c>
      <c r="B5155" s="1415">
        <v>19.21</v>
      </c>
    </row>
    <row r="5156" spans="1:2" x14ac:dyDescent="0.35">
      <c r="A5156" s="1416">
        <v>42090</v>
      </c>
      <c r="B5156" s="1415">
        <v>19.195</v>
      </c>
    </row>
    <row r="5157" spans="1:2" x14ac:dyDescent="0.35">
      <c r="A5157" s="1416">
        <v>42093</v>
      </c>
      <c r="B5157" s="1415">
        <v>19.04</v>
      </c>
    </row>
    <row r="5158" spans="1:2" x14ac:dyDescent="0.35">
      <c r="A5158" s="1416">
        <v>42094</v>
      </c>
      <c r="B5158" s="1415">
        <v>18.920000000000002</v>
      </c>
    </row>
    <row r="5159" spans="1:2" x14ac:dyDescent="0.35">
      <c r="A5159" s="1416">
        <v>42095</v>
      </c>
      <c r="B5159" s="1415">
        <v>18.704999999999998</v>
      </c>
    </row>
    <row r="5160" spans="1:2" x14ac:dyDescent="0.35">
      <c r="A5160" s="1416">
        <v>42096</v>
      </c>
      <c r="B5160" s="1415">
        <v>18.440000000000001</v>
      </c>
    </row>
    <row r="5161" spans="1:2" x14ac:dyDescent="0.35">
      <c r="A5161" s="1416">
        <v>42100</v>
      </c>
      <c r="B5161" s="1415">
        <v>17.989999999999998</v>
      </c>
    </row>
    <row r="5162" spans="1:2" x14ac:dyDescent="0.35">
      <c r="A5162" s="1416">
        <v>42101</v>
      </c>
      <c r="B5162" s="1415">
        <v>18</v>
      </c>
    </row>
    <row r="5163" spans="1:2" x14ac:dyDescent="0.35">
      <c r="A5163" s="1416">
        <v>42102</v>
      </c>
      <c r="B5163" s="1415">
        <v>17.745000000000001</v>
      </c>
    </row>
    <row r="5164" spans="1:2" x14ac:dyDescent="0.35">
      <c r="A5164" s="1416">
        <v>42103</v>
      </c>
      <c r="B5164" s="1415">
        <v>17.489999999999998</v>
      </c>
    </row>
    <row r="5165" spans="1:2" x14ac:dyDescent="0.35">
      <c r="A5165" s="1416">
        <v>42104</v>
      </c>
      <c r="B5165" s="1415">
        <v>16.96</v>
      </c>
    </row>
    <row r="5166" spans="1:2" x14ac:dyDescent="0.35">
      <c r="A5166" s="1416">
        <v>42107</v>
      </c>
      <c r="B5166" s="1415">
        <v>16.690000000000001</v>
      </c>
    </row>
    <row r="5167" spans="1:2" x14ac:dyDescent="0.35">
      <c r="A5167" s="1416">
        <v>42108</v>
      </c>
      <c r="B5167" s="1415">
        <v>17.22</v>
      </c>
    </row>
    <row r="5168" spans="1:2" x14ac:dyDescent="0.35">
      <c r="A5168" s="1416">
        <v>42109</v>
      </c>
      <c r="B5168" s="1415">
        <v>17.89</v>
      </c>
    </row>
    <row r="5169" spans="1:2" x14ac:dyDescent="0.35">
      <c r="A5169" s="1416">
        <v>42110</v>
      </c>
      <c r="B5169" s="1415">
        <v>17.600000000000001</v>
      </c>
    </row>
    <row r="5170" spans="1:2" x14ac:dyDescent="0.35">
      <c r="A5170" s="1416">
        <v>42111</v>
      </c>
      <c r="B5170" s="1415">
        <v>17.82</v>
      </c>
    </row>
    <row r="5171" spans="1:2" x14ac:dyDescent="0.35">
      <c r="A5171" s="1416">
        <v>42114</v>
      </c>
      <c r="B5171" s="1415">
        <v>17.61</v>
      </c>
    </row>
    <row r="5172" spans="1:2" x14ac:dyDescent="0.35">
      <c r="A5172" s="1416">
        <v>42115</v>
      </c>
      <c r="B5172" s="1415">
        <v>17.53</v>
      </c>
    </row>
    <row r="5173" spans="1:2" x14ac:dyDescent="0.35">
      <c r="A5173" s="1416">
        <v>42116</v>
      </c>
      <c r="B5173" s="1415">
        <v>17.64</v>
      </c>
    </row>
    <row r="5174" spans="1:2" x14ac:dyDescent="0.35">
      <c r="A5174" s="1416">
        <v>42117</v>
      </c>
      <c r="B5174" s="1415">
        <v>17.905000000000001</v>
      </c>
    </row>
    <row r="5175" spans="1:2" x14ac:dyDescent="0.35">
      <c r="A5175" s="1416">
        <v>42118</v>
      </c>
      <c r="B5175" s="1415">
        <v>17.510000000000002</v>
      </c>
    </row>
    <row r="5176" spans="1:2" x14ac:dyDescent="0.35">
      <c r="A5176" s="1416">
        <v>42121</v>
      </c>
      <c r="B5176" s="1415">
        <v>17.254999999999999</v>
      </c>
    </row>
    <row r="5177" spans="1:2" x14ac:dyDescent="0.35">
      <c r="A5177" s="1416">
        <v>42122</v>
      </c>
      <c r="B5177" s="1415">
        <v>17.454999999999998</v>
      </c>
    </row>
    <row r="5178" spans="1:2" x14ac:dyDescent="0.35">
      <c r="A5178" s="1416">
        <v>42123</v>
      </c>
      <c r="B5178" s="1415">
        <v>17.2</v>
      </c>
    </row>
    <row r="5179" spans="1:2" x14ac:dyDescent="0.35">
      <c r="A5179" s="1416">
        <v>42124</v>
      </c>
      <c r="B5179" s="1415">
        <v>16.785</v>
      </c>
    </row>
    <row r="5180" spans="1:2" x14ac:dyDescent="0.35">
      <c r="A5180" s="1416">
        <v>42125</v>
      </c>
      <c r="B5180" s="1415">
        <v>16.835000000000001</v>
      </c>
    </row>
    <row r="5181" spans="1:2" x14ac:dyDescent="0.35">
      <c r="A5181" s="1416">
        <v>42128</v>
      </c>
      <c r="B5181" s="1415">
        <v>17.125</v>
      </c>
    </row>
    <row r="5182" spans="1:2" x14ac:dyDescent="0.35">
      <c r="A5182" s="1416">
        <v>42129</v>
      </c>
      <c r="B5182" s="1415">
        <v>16.739999999999998</v>
      </c>
    </row>
    <row r="5183" spans="1:2" x14ac:dyDescent="0.35">
      <c r="A5183" s="1416">
        <v>42130</v>
      </c>
      <c r="B5183" s="1415">
        <v>16.77</v>
      </c>
    </row>
    <row r="5184" spans="1:2" x14ac:dyDescent="0.35">
      <c r="A5184" s="1416">
        <v>42131</v>
      </c>
      <c r="B5184" s="1415">
        <v>17.125</v>
      </c>
    </row>
    <row r="5185" spans="1:2" x14ac:dyDescent="0.35">
      <c r="A5185" s="1416">
        <v>42132</v>
      </c>
      <c r="B5185" s="1415">
        <v>17.079999999999998</v>
      </c>
    </row>
    <row r="5186" spans="1:2" x14ac:dyDescent="0.35">
      <c r="A5186" s="1416">
        <v>42135</v>
      </c>
      <c r="B5186" s="1415">
        <v>17.25</v>
      </c>
    </row>
    <row r="5187" spans="1:2" x14ac:dyDescent="0.35">
      <c r="A5187" s="1416">
        <v>42136</v>
      </c>
      <c r="B5187" s="1415">
        <v>16.89</v>
      </c>
    </row>
    <row r="5188" spans="1:2" x14ac:dyDescent="0.35">
      <c r="A5188" s="1416">
        <v>42137</v>
      </c>
      <c r="B5188" s="1415">
        <v>16.82</v>
      </c>
    </row>
    <row r="5189" spans="1:2" x14ac:dyDescent="0.35">
      <c r="A5189" s="1416">
        <v>42138</v>
      </c>
      <c r="B5189" s="1415">
        <v>16.765000000000001</v>
      </c>
    </row>
    <row r="5190" spans="1:2" x14ac:dyDescent="0.35">
      <c r="A5190" s="1416">
        <v>42139</v>
      </c>
      <c r="B5190" s="1415">
        <v>16.71</v>
      </c>
    </row>
    <row r="5191" spans="1:2" x14ac:dyDescent="0.35">
      <c r="A5191" s="1416">
        <v>42142</v>
      </c>
      <c r="B5191" s="1415">
        <v>16.57</v>
      </c>
    </row>
    <row r="5192" spans="1:2" x14ac:dyDescent="0.35">
      <c r="A5192" s="1416">
        <v>42143</v>
      </c>
      <c r="B5192" s="1415">
        <v>16.489999999999998</v>
      </c>
    </row>
    <row r="5193" spans="1:2" x14ac:dyDescent="0.35">
      <c r="A5193" s="1416">
        <v>42144</v>
      </c>
      <c r="B5193" s="1415">
        <v>16.239999999999998</v>
      </c>
    </row>
    <row r="5194" spans="1:2" x14ac:dyDescent="0.35">
      <c r="A5194" s="1416">
        <v>42145</v>
      </c>
      <c r="B5194" s="1415">
        <v>16.47</v>
      </c>
    </row>
    <row r="5195" spans="1:2" x14ac:dyDescent="0.35">
      <c r="A5195" s="1416">
        <v>42146</v>
      </c>
      <c r="B5195" s="1415">
        <v>16.46</v>
      </c>
    </row>
    <row r="5196" spans="1:2" x14ac:dyDescent="0.35">
      <c r="A5196" s="1416">
        <v>42150</v>
      </c>
      <c r="B5196" s="1415">
        <v>16.23</v>
      </c>
    </row>
    <row r="5197" spans="1:2" x14ac:dyDescent="0.35">
      <c r="A5197" s="1416">
        <v>42151</v>
      </c>
      <c r="B5197" s="1415">
        <v>16.54</v>
      </c>
    </row>
    <row r="5198" spans="1:2" x14ac:dyDescent="0.35">
      <c r="A5198" s="1416">
        <v>42152</v>
      </c>
      <c r="B5198" s="1415">
        <v>16.61</v>
      </c>
    </row>
    <row r="5199" spans="1:2" x14ac:dyDescent="0.35">
      <c r="A5199" s="1416">
        <v>42153</v>
      </c>
      <c r="B5199" s="1415">
        <v>16.579999999999998</v>
      </c>
    </row>
    <row r="5200" spans="1:2" x14ac:dyDescent="0.35">
      <c r="A5200" s="1416">
        <v>42156</v>
      </c>
      <c r="B5200" s="1415">
        <v>17.07</v>
      </c>
    </row>
    <row r="5201" spans="1:2" x14ac:dyDescent="0.35">
      <c r="A5201" s="1416">
        <v>42157</v>
      </c>
      <c r="B5201" s="1415">
        <v>17</v>
      </c>
    </row>
    <row r="5202" spans="1:2" x14ac:dyDescent="0.35">
      <c r="A5202" s="1416">
        <v>42158</v>
      </c>
      <c r="B5202" s="1415">
        <v>17.155000000000001</v>
      </c>
    </row>
    <row r="5203" spans="1:2" x14ac:dyDescent="0.35">
      <c r="A5203" s="1416">
        <v>42159</v>
      </c>
      <c r="B5203" s="1415">
        <v>16.600000000000001</v>
      </c>
    </row>
    <row r="5204" spans="1:2" x14ac:dyDescent="0.35">
      <c r="A5204" s="1416">
        <v>42160</v>
      </c>
      <c r="B5204" s="1415">
        <v>16.68</v>
      </c>
    </row>
    <row r="5205" spans="1:2" x14ac:dyDescent="0.35">
      <c r="A5205" s="1416">
        <v>42163</v>
      </c>
      <c r="B5205" s="1415">
        <v>16.510000000000002</v>
      </c>
    </row>
    <row r="5206" spans="1:2" x14ac:dyDescent="0.35">
      <c r="A5206" s="1416">
        <v>42164</v>
      </c>
      <c r="B5206" s="1415">
        <v>16.579999999999998</v>
      </c>
    </row>
    <row r="5207" spans="1:2" x14ac:dyDescent="0.35">
      <c r="A5207" s="1416">
        <v>42165</v>
      </c>
      <c r="B5207" s="1415">
        <v>16.53</v>
      </c>
    </row>
    <row r="5208" spans="1:2" x14ac:dyDescent="0.35">
      <c r="A5208" s="1416">
        <v>42166</v>
      </c>
      <c r="B5208" s="1415">
        <v>16.739999999999998</v>
      </c>
    </row>
    <row r="5209" spans="1:2" x14ac:dyDescent="0.35">
      <c r="A5209" s="1416">
        <v>42167</v>
      </c>
      <c r="B5209" s="1415">
        <v>16.715</v>
      </c>
    </row>
    <row r="5210" spans="1:2" x14ac:dyDescent="0.35">
      <c r="A5210" s="1416">
        <v>42170</v>
      </c>
      <c r="B5210" s="1415">
        <v>16.21</v>
      </c>
    </row>
    <row r="5211" spans="1:2" x14ac:dyDescent="0.35">
      <c r="A5211" s="1416">
        <v>42171</v>
      </c>
      <c r="B5211" s="1415">
        <v>16.234999999999999</v>
      </c>
    </row>
    <row r="5212" spans="1:2" x14ac:dyDescent="0.35">
      <c r="A5212" s="1416">
        <v>42172</v>
      </c>
      <c r="B5212" s="1415">
        <v>16.18</v>
      </c>
    </row>
    <row r="5213" spans="1:2" x14ac:dyDescent="0.35">
      <c r="A5213" s="1416">
        <v>42173</v>
      </c>
      <c r="B5213" s="1415">
        <v>16.285</v>
      </c>
    </row>
    <row r="5214" spans="1:2" x14ac:dyDescent="0.35">
      <c r="A5214" s="1416">
        <v>42174</v>
      </c>
      <c r="B5214" s="1415">
        <v>16.7</v>
      </c>
    </row>
    <row r="5215" spans="1:2" x14ac:dyDescent="0.35">
      <c r="A5215" s="1416">
        <v>42177</v>
      </c>
      <c r="B5215" s="1415">
        <v>16.87</v>
      </c>
    </row>
    <row r="5216" spans="1:2" x14ac:dyDescent="0.35">
      <c r="A5216" s="1416">
        <v>42178</v>
      </c>
      <c r="B5216" s="1415">
        <v>16.670000000000002</v>
      </c>
    </row>
    <row r="5217" spans="1:2" x14ac:dyDescent="0.35">
      <c r="A5217" s="1416">
        <v>42179</v>
      </c>
      <c r="B5217" s="1415">
        <v>16.32</v>
      </c>
    </row>
    <row r="5218" spans="1:2" x14ac:dyDescent="0.35">
      <c r="A5218" s="1416">
        <v>42180</v>
      </c>
      <c r="B5218" s="1415">
        <v>16.25</v>
      </c>
    </row>
    <row r="5219" spans="1:2" x14ac:dyDescent="0.35">
      <c r="A5219" s="1416">
        <v>42181</v>
      </c>
      <c r="B5219" s="1415">
        <v>16.350000000000001</v>
      </c>
    </row>
    <row r="5220" spans="1:2" x14ac:dyDescent="0.35">
      <c r="A5220" s="1416">
        <v>42184</v>
      </c>
      <c r="B5220" s="1415">
        <v>15.54</v>
      </c>
    </row>
    <row r="5221" spans="1:2" x14ac:dyDescent="0.35">
      <c r="A5221" s="1416">
        <v>42185</v>
      </c>
      <c r="B5221" s="1415">
        <v>12.88</v>
      </c>
    </row>
    <row r="5222" spans="1:2" x14ac:dyDescent="0.35">
      <c r="A5222" s="1416">
        <v>42186</v>
      </c>
      <c r="B5222" s="1415">
        <v>12.45</v>
      </c>
    </row>
    <row r="5223" spans="1:2" x14ac:dyDescent="0.35">
      <c r="A5223" s="1416">
        <v>42187</v>
      </c>
      <c r="B5223" s="1415">
        <v>12.93</v>
      </c>
    </row>
    <row r="5224" spans="1:2" x14ac:dyDescent="0.35">
      <c r="A5224" s="1416">
        <v>42191</v>
      </c>
      <c r="B5224" s="1415">
        <v>13.04</v>
      </c>
    </row>
    <row r="5225" spans="1:2" x14ac:dyDescent="0.35">
      <c r="A5225" s="1416">
        <v>42192</v>
      </c>
      <c r="B5225" s="1415">
        <v>13.07</v>
      </c>
    </row>
    <row r="5226" spans="1:2" x14ac:dyDescent="0.35">
      <c r="A5226" s="1416">
        <v>42193</v>
      </c>
      <c r="B5226" s="1415">
        <v>12.66</v>
      </c>
    </row>
    <row r="5227" spans="1:2" x14ac:dyDescent="0.35">
      <c r="A5227" s="1416">
        <v>42194</v>
      </c>
      <c r="B5227" s="1415">
        <v>13.58</v>
      </c>
    </row>
    <row r="5228" spans="1:2" x14ac:dyDescent="0.35">
      <c r="A5228" s="1416">
        <v>42195</v>
      </c>
      <c r="B5228" s="1415">
        <v>14.01</v>
      </c>
    </row>
    <row r="5229" spans="1:2" x14ac:dyDescent="0.35">
      <c r="A5229" s="1416">
        <v>42198</v>
      </c>
      <c r="B5229" s="1415">
        <v>14.03</v>
      </c>
    </row>
    <row r="5230" spans="1:2" x14ac:dyDescent="0.35">
      <c r="A5230" s="1416">
        <v>42199</v>
      </c>
      <c r="B5230" s="1415">
        <v>14.21</v>
      </c>
    </row>
    <row r="5231" spans="1:2" x14ac:dyDescent="0.35">
      <c r="A5231" s="1416">
        <v>42200</v>
      </c>
      <c r="B5231" s="1415">
        <v>13.99</v>
      </c>
    </row>
    <row r="5232" spans="1:2" x14ac:dyDescent="0.35">
      <c r="A5232" s="1416">
        <v>42201</v>
      </c>
      <c r="B5232" s="1415">
        <v>13.92</v>
      </c>
    </row>
    <row r="5233" spans="1:2" x14ac:dyDescent="0.35">
      <c r="A5233" s="1416">
        <v>42202</v>
      </c>
      <c r="B5233" s="1415">
        <v>13.69</v>
      </c>
    </row>
    <row r="5234" spans="1:2" x14ac:dyDescent="0.35">
      <c r="A5234" s="1416">
        <v>42205</v>
      </c>
      <c r="B5234" s="1415">
        <v>14.04</v>
      </c>
    </row>
    <row r="5235" spans="1:2" x14ac:dyDescent="0.35">
      <c r="A5235" s="1416">
        <v>42206</v>
      </c>
      <c r="B5235" s="1415">
        <v>13.75</v>
      </c>
    </row>
    <row r="5236" spans="1:2" x14ac:dyDescent="0.35">
      <c r="A5236" s="1416">
        <v>42207</v>
      </c>
      <c r="B5236" s="1415">
        <v>13.86</v>
      </c>
    </row>
    <row r="5237" spans="1:2" x14ac:dyDescent="0.35">
      <c r="A5237" s="1416">
        <v>42208</v>
      </c>
      <c r="B5237" s="1415">
        <v>13.805</v>
      </c>
    </row>
    <row r="5238" spans="1:2" x14ac:dyDescent="0.35">
      <c r="A5238" s="1416">
        <v>42209</v>
      </c>
      <c r="B5238" s="1415">
        <v>13.42</v>
      </c>
    </row>
    <row r="5239" spans="1:2" x14ac:dyDescent="0.35">
      <c r="A5239" s="1416">
        <v>42212</v>
      </c>
      <c r="B5239" s="1415">
        <v>13.345000000000001</v>
      </c>
    </row>
    <row r="5240" spans="1:2" x14ac:dyDescent="0.35">
      <c r="A5240" s="1416">
        <v>42213</v>
      </c>
      <c r="B5240" s="1415">
        <v>13.38</v>
      </c>
    </row>
    <row r="5241" spans="1:2" x14ac:dyDescent="0.35">
      <c r="A5241" s="1416">
        <v>42214</v>
      </c>
      <c r="B5241" s="1415">
        <v>13.15</v>
      </c>
    </row>
    <row r="5242" spans="1:2" x14ac:dyDescent="0.35">
      <c r="A5242" s="1416">
        <v>42215</v>
      </c>
      <c r="B5242" s="1415">
        <v>13.29</v>
      </c>
    </row>
    <row r="5243" spans="1:2" x14ac:dyDescent="0.35">
      <c r="A5243" s="1416">
        <v>42216</v>
      </c>
      <c r="B5243" s="1415">
        <v>12.81</v>
      </c>
    </row>
    <row r="5244" spans="1:2" x14ac:dyDescent="0.35">
      <c r="A5244" s="1416">
        <v>42219</v>
      </c>
      <c r="B5244" s="1415">
        <v>12.62</v>
      </c>
    </row>
    <row r="5245" spans="1:2" x14ac:dyDescent="0.35">
      <c r="A5245" s="1416">
        <v>42220</v>
      </c>
      <c r="B5245" s="1415">
        <v>12.71</v>
      </c>
    </row>
    <row r="5246" spans="1:2" x14ac:dyDescent="0.35">
      <c r="A5246" s="1416">
        <v>42221</v>
      </c>
      <c r="B5246" s="1415">
        <v>12.71</v>
      </c>
    </row>
    <row r="5247" spans="1:2" x14ac:dyDescent="0.35">
      <c r="A5247" s="1416">
        <v>42222</v>
      </c>
      <c r="B5247" s="1415">
        <v>12.505000000000001</v>
      </c>
    </row>
    <row r="5248" spans="1:2" x14ac:dyDescent="0.35">
      <c r="A5248" s="1416">
        <v>42223</v>
      </c>
      <c r="B5248" s="1415">
        <v>12.43</v>
      </c>
    </row>
    <row r="5249" spans="1:2" x14ac:dyDescent="0.35">
      <c r="A5249" s="1416">
        <v>42226</v>
      </c>
      <c r="B5249" s="1415">
        <v>12.74</v>
      </c>
    </row>
    <row r="5250" spans="1:2" x14ac:dyDescent="0.35">
      <c r="A5250" s="1416">
        <v>42227</v>
      </c>
      <c r="B5250" s="1415">
        <v>12.4</v>
      </c>
    </row>
    <row r="5251" spans="1:2" x14ac:dyDescent="0.35">
      <c r="A5251" s="1416">
        <v>42228</v>
      </c>
      <c r="B5251" s="1415">
        <v>12.41</v>
      </c>
    </row>
    <row r="5252" spans="1:2" x14ac:dyDescent="0.35">
      <c r="A5252" s="1416">
        <v>42229</v>
      </c>
      <c r="B5252" s="1415">
        <v>12.04</v>
      </c>
    </row>
    <row r="5253" spans="1:2" x14ac:dyDescent="0.35">
      <c r="A5253" s="1416">
        <v>42230</v>
      </c>
      <c r="B5253" s="1415">
        <v>11.77</v>
      </c>
    </row>
    <row r="5254" spans="1:2" x14ac:dyDescent="0.35">
      <c r="A5254" s="1416">
        <v>42233</v>
      </c>
      <c r="B5254" s="1415">
        <v>11.83</v>
      </c>
    </row>
    <row r="5255" spans="1:2" x14ac:dyDescent="0.35">
      <c r="A5255" s="1416">
        <v>42234</v>
      </c>
      <c r="B5255" s="1415">
        <v>11.62</v>
      </c>
    </row>
    <row r="5256" spans="1:2" x14ac:dyDescent="0.35">
      <c r="A5256" s="1416">
        <v>42235</v>
      </c>
      <c r="B5256" s="1415">
        <v>11.27</v>
      </c>
    </row>
    <row r="5257" spans="1:2" x14ac:dyDescent="0.35">
      <c r="A5257" s="1416">
        <v>42236</v>
      </c>
      <c r="B5257" s="1415">
        <v>11.2</v>
      </c>
    </row>
    <row r="5258" spans="1:2" x14ac:dyDescent="0.35">
      <c r="A5258" s="1416">
        <v>42237</v>
      </c>
      <c r="B5258" s="1415">
        <v>10.98</v>
      </c>
    </row>
    <row r="5259" spans="1:2" x14ac:dyDescent="0.35">
      <c r="A5259" s="1416">
        <v>42240</v>
      </c>
      <c r="B5259" s="1415">
        <v>10.67</v>
      </c>
    </row>
    <row r="5260" spans="1:2" x14ac:dyDescent="0.35">
      <c r="A5260" s="1416">
        <v>42241</v>
      </c>
      <c r="B5260" s="1415">
        <v>10.4</v>
      </c>
    </row>
    <row r="5261" spans="1:2" x14ac:dyDescent="0.35">
      <c r="A5261" s="1416">
        <v>42242</v>
      </c>
      <c r="B5261" s="1415">
        <v>10.84</v>
      </c>
    </row>
    <row r="5262" spans="1:2" x14ac:dyDescent="0.35">
      <c r="A5262" s="1416">
        <v>42243</v>
      </c>
      <c r="B5262" s="1415">
        <v>11.19</v>
      </c>
    </row>
    <row r="5263" spans="1:2" x14ac:dyDescent="0.35">
      <c r="A5263" s="1416">
        <v>42244</v>
      </c>
      <c r="B5263" s="1415">
        <v>11.47</v>
      </c>
    </row>
    <row r="5264" spans="1:2" x14ac:dyDescent="0.35">
      <c r="A5264" s="1416">
        <v>42247</v>
      </c>
      <c r="B5264" s="1415">
        <v>11.11</v>
      </c>
    </row>
    <row r="5265" spans="1:2" x14ac:dyDescent="0.35">
      <c r="A5265" s="1416">
        <v>42248</v>
      </c>
      <c r="B5265" s="1415">
        <v>10.81</v>
      </c>
    </row>
    <row r="5266" spans="1:2" x14ac:dyDescent="0.35">
      <c r="A5266" s="1416">
        <v>42249</v>
      </c>
      <c r="B5266" s="1415">
        <v>10.94</v>
      </c>
    </row>
    <row r="5267" spans="1:2" x14ac:dyDescent="0.35">
      <c r="A5267" s="1416">
        <v>42250</v>
      </c>
      <c r="B5267" s="1415">
        <v>11.03</v>
      </c>
    </row>
    <row r="5268" spans="1:2" x14ac:dyDescent="0.35">
      <c r="A5268" s="1416">
        <v>42251</v>
      </c>
      <c r="B5268" s="1415">
        <v>10.9</v>
      </c>
    </row>
    <row r="5269" spans="1:2" x14ac:dyDescent="0.35">
      <c r="A5269" s="1416">
        <v>42255</v>
      </c>
      <c r="B5269" s="1415">
        <v>11.44</v>
      </c>
    </row>
    <row r="5270" spans="1:2" x14ac:dyDescent="0.35">
      <c r="A5270" s="1416">
        <v>42256</v>
      </c>
      <c r="B5270" s="1415">
        <v>11.505000000000001</v>
      </c>
    </row>
    <row r="5271" spans="1:2" x14ac:dyDescent="0.35">
      <c r="A5271" s="1416">
        <v>42257</v>
      </c>
      <c r="B5271" s="1415">
        <v>11.7</v>
      </c>
    </row>
    <row r="5272" spans="1:2" x14ac:dyDescent="0.35">
      <c r="A5272" s="1416">
        <v>42258</v>
      </c>
      <c r="B5272" s="1415">
        <v>11.78</v>
      </c>
    </row>
    <row r="5273" spans="1:2" x14ac:dyDescent="0.35">
      <c r="A5273" s="1416">
        <v>42261</v>
      </c>
      <c r="B5273" s="1415">
        <v>11.45</v>
      </c>
    </row>
    <row r="5274" spans="1:2" x14ac:dyDescent="0.35">
      <c r="A5274" s="1416">
        <v>42262</v>
      </c>
      <c r="B5274" s="1415">
        <v>11.76</v>
      </c>
    </row>
    <row r="5275" spans="1:2" x14ac:dyDescent="0.35">
      <c r="A5275" s="1416">
        <v>42263</v>
      </c>
      <c r="B5275" s="1415">
        <v>12.04</v>
      </c>
    </row>
    <row r="5276" spans="1:2" x14ac:dyDescent="0.35">
      <c r="A5276" s="1416">
        <v>42264</v>
      </c>
      <c r="B5276" s="1415">
        <v>11.9</v>
      </c>
    </row>
    <row r="5277" spans="1:2" x14ac:dyDescent="0.35">
      <c r="A5277" s="1416">
        <v>42265</v>
      </c>
      <c r="B5277" s="1415">
        <v>11.97</v>
      </c>
    </row>
    <row r="5278" spans="1:2" x14ac:dyDescent="0.35">
      <c r="A5278" s="1416">
        <v>42268</v>
      </c>
      <c r="B5278" s="1415">
        <v>12.16</v>
      </c>
    </row>
    <row r="5279" spans="1:2" x14ac:dyDescent="0.35">
      <c r="A5279" s="1416">
        <v>42269</v>
      </c>
      <c r="B5279" s="1415">
        <v>11.84</v>
      </c>
    </row>
    <row r="5280" spans="1:2" x14ac:dyDescent="0.35">
      <c r="A5280" s="1416">
        <v>42270</v>
      </c>
      <c r="B5280" s="1415">
        <v>11.58</v>
      </c>
    </row>
    <row r="5281" spans="1:2" x14ac:dyDescent="0.35">
      <c r="A5281" s="1416">
        <v>42271</v>
      </c>
      <c r="B5281" s="1415">
        <v>11.49</v>
      </c>
    </row>
    <row r="5282" spans="1:2" x14ac:dyDescent="0.35">
      <c r="A5282" s="1416">
        <v>42272</v>
      </c>
      <c r="B5282" s="1415">
        <v>11.33</v>
      </c>
    </row>
    <row r="5283" spans="1:2" x14ac:dyDescent="0.35">
      <c r="A5283" s="1416">
        <v>42275</v>
      </c>
      <c r="B5283" s="1415">
        <v>10.96</v>
      </c>
    </row>
    <row r="5284" spans="1:2" x14ac:dyDescent="0.35">
      <c r="A5284" s="1416">
        <v>42276</v>
      </c>
      <c r="B5284" s="1415">
        <v>11.03</v>
      </c>
    </row>
    <row r="5285" spans="1:2" x14ac:dyDescent="0.35">
      <c r="A5285" s="1416">
        <v>42277</v>
      </c>
      <c r="B5285" s="1415">
        <v>11.06</v>
      </c>
    </row>
    <row r="5286" spans="1:2" x14ac:dyDescent="0.35">
      <c r="A5286" s="1416">
        <v>42278</v>
      </c>
      <c r="B5286" s="1415">
        <v>10.87</v>
      </c>
    </row>
    <row r="5287" spans="1:2" x14ac:dyDescent="0.35">
      <c r="A5287" s="1416">
        <v>42279</v>
      </c>
      <c r="B5287" s="1415">
        <v>11.01</v>
      </c>
    </row>
    <row r="5288" spans="1:2" x14ac:dyDescent="0.35">
      <c r="A5288" s="1416">
        <v>42282</v>
      </c>
      <c r="B5288" s="1415">
        <v>11.38</v>
      </c>
    </row>
    <row r="5289" spans="1:2" x14ac:dyDescent="0.35">
      <c r="A5289" s="1416">
        <v>42283</v>
      </c>
      <c r="B5289" s="1415">
        <v>11.35</v>
      </c>
    </row>
    <row r="5290" spans="1:2" x14ac:dyDescent="0.35">
      <c r="A5290" s="1416">
        <v>42284</v>
      </c>
      <c r="B5290" s="1415">
        <v>11.78</v>
      </c>
    </row>
    <row r="5291" spans="1:2" x14ac:dyDescent="0.35">
      <c r="A5291" s="1416">
        <v>42285</v>
      </c>
      <c r="B5291" s="1415">
        <v>12.36</v>
      </c>
    </row>
    <row r="5292" spans="1:2" x14ac:dyDescent="0.35">
      <c r="A5292" s="1416">
        <v>42286</v>
      </c>
      <c r="B5292" s="1415">
        <v>11.29</v>
      </c>
    </row>
    <row r="5293" spans="1:2" x14ac:dyDescent="0.35">
      <c r="A5293" s="1416">
        <v>42289</v>
      </c>
      <c r="B5293" s="1415">
        <v>10.52</v>
      </c>
    </row>
    <row r="5294" spans="1:2" x14ac:dyDescent="0.35">
      <c r="A5294" s="1416">
        <v>42290</v>
      </c>
      <c r="B5294" s="1415">
        <v>10.43</v>
      </c>
    </row>
    <row r="5295" spans="1:2" x14ac:dyDescent="0.35">
      <c r="A5295" s="1416">
        <v>42291</v>
      </c>
      <c r="B5295" s="1415">
        <v>10.16</v>
      </c>
    </row>
    <row r="5296" spans="1:2" x14ac:dyDescent="0.35">
      <c r="A5296" s="1416">
        <v>42292</v>
      </c>
      <c r="B5296" s="1415">
        <v>10.35</v>
      </c>
    </row>
    <row r="5297" spans="1:2" x14ac:dyDescent="0.35">
      <c r="A5297" s="1416">
        <v>42293</v>
      </c>
      <c r="B5297" s="1415">
        <v>10.34</v>
      </c>
    </row>
    <row r="5298" spans="1:2" x14ac:dyDescent="0.35">
      <c r="A5298" s="1416">
        <v>42296</v>
      </c>
      <c r="B5298" s="1415">
        <v>10.345000000000001</v>
      </c>
    </row>
    <row r="5299" spans="1:2" x14ac:dyDescent="0.35">
      <c r="A5299" s="1416">
        <v>42297</v>
      </c>
      <c r="B5299" s="1415">
        <v>10.86</v>
      </c>
    </row>
    <row r="5300" spans="1:2" x14ac:dyDescent="0.35">
      <c r="A5300" s="1416">
        <v>42298</v>
      </c>
      <c r="B5300" s="1415">
        <v>10.6</v>
      </c>
    </row>
    <row r="5301" spans="1:2" x14ac:dyDescent="0.35">
      <c r="A5301" s="1416">
        <v>42299</v>
      </c>
      <c r="B5301" s="1415">
        <v>7.1849999999999996</v>
      </c>
    </row>
    <row r="5302" spans="1:2" x14ac:dyDescent="0.35">
      <c r="A5302" s="1416">
        <v>42300</v>
      </c>
      <c r="B5302" s="1415">
        <v>7.42</v>
      </c>
    </row>
    <row r="5303" spans="1:2" x14ac:dyDescent="0.35">
      <c r="A5303" s="1416">
        <v>42303</v>
      </c>
      <c r="B5303" s="1415">
        <v>7.25</v>
      </c>
    </row>
    <row r="5304" spans="1:2" x14ac:dyDescent="0.35">
      <c r="A5304" s="1416">
        <v>42304</v>
      </c>
      <c r="B5304" s="1415">
        <v>7</v>
      </c>
    </row>
    <row r="5305" spans="1:2" x14ac:dyDescent="0.35">
      <c r="A5305" s="1416">
        <v>42305</v>
      </c>
      <c r="B5305" s="1415">
        <v>7.25</v>
      </c>
    </row>
    <row r="5306" spans="1:2" x14ac:dyDescent="0.35">
      <c r="A5306" s="1416">
        <v>42306</v>
      </c>
      <c r="B5306" s="1415">
        <v>7.19</v>
      </c>
    </row>
    <row r="5307" spans="1:2" x14ac:dyDescent="0.35">
      <c r="A5307" s="1416">
        <v>42307</v>
      </c>
      <c r="B5307" s="1415">
        <v>7.26</v>
      </c>
    </row>
    <row r="5308" spans="1:2" x14ac:dyDescent="0.35">
      <c r="A5308" s="1416">
        <v>42310</v>
      </c>
      <c r="B5308" s="1415">
        <v>7.6</v>
      </c>
    </row>
    <row r="5309" spans="1:2" x14ac:dyDescent="0.35">
      <c r="A5309" s="1416">
        <v>42311</v>
      </c>
      <c r="B5309" s="1415">
        <v>7.53</v>
      </c>
    </row>
    <row r="5310" spans="1:2" x14ac:dyDescent="0.35">
      <c r="A5310" s="1416">
        <v>42312</v>
      </c>
      <c r="B5310" s="1415">
        <v>7.26</v>
      </c>
    </row>
    <row r="5311" spans="1:2" x14ac:dyDescent="0.35">
      <c r="A5311" s="1416">
        <v>42313</v>
      </c>
      <c r="B5311" s="1415">
        <v>7.52</v>
      </c>
    </row>
    <row r="5312" spans="1:2" x14ac:dyDescent="0.35">
      <c r="A5312" s="1416">
        <v>42314</v>
      </c>
      <c r="B5312" s="1415">
        <v>7.8</v>
      </c>
    </row>
    <row r="5313" spans="1:2" x14ac:dyDescent="0.35">
      <c r="A5313" s="1416">
        <v>42317</v>
      </c>
      <c r="B5313" s="1415">
        <v>7.63</v>
      </c>
    </row>
    <row r="5314" spans="1:2" x14ac:dyDescent="0.35">
      <c r="A5314" s="1416">
        <v>42318</v>
      </c>
      <c r="B5314" s="1415">
        <v>7.61</v>
      </c>
    </row>
    <row r="5315" spans="1:2" x14ac:dyDescent="0.35">
      <c r="A5315" s="1416">
        <v>42319</v>
      </c>
      <c r="B5315" s="1415">
        <v>7.75</v>
      </c>
    </row>
    <row r="5316" spans="1:2" x14ac:dyDescent="0.35">
      <c r="A5316" s="1416">
        <v>42320</v>
      </c>
      <c r="B5316" s="1415">
        <v>7.31</v>
      </c>
    </row>
    <row r="5317" spans="1:2" x14ac:dyDescent="0.35">
      <c r="A5317" s="1416">
        <v>42321</v>
      </c>
      <c r="B5317" s="1415">
        <v>7.18</v>
      </c>
    </row>
    <row r="5318" spans="1:2" x14ac:dyDescent="0.35">
      <c r="A5318" s="1416">
        <v>42324</v>
      </c>
      <c r="B5318" s="1415">
        <v>7.27</v>
      </c>
    </row>
    <row r="5319" spans="1:2" x14ac:dyDescent="0.35">
      <c r="A5319" s="1416">
        <v>42325</v>
      </c>
      <c r="B5319" s="1415">
        <v>7.28</v>
      </c>
    </row>
    <row r="5320" spans="1:2" x14ac:dyDescent="0.35">
      <c r="A5320" s="1416">
        <v>42326</v>
      </c>
      <c r="B5320" s="1415">
        <v>7.45</v>
      </c>
    </row>
    <row r="5321" spans="1:2" x14ac:dyDescent="0.35">
      <c r="A5321" s="1416">
        <v>42327</v>
      </c>
      <c r="B5321" s="1415">
        <v>7.37</v>
      </c>
    </row>
    <row r="5322" spans="1:2" x14ac:dyDescent="0.35">
      <c r="A5322" s="1416">
        <v>42328</v>
      </c>
      <c r="B5322" s="1415">
        <v>7.57</v>
      </c>
    </row>
    <row r="5323" spans="1:2" x14ac:dyDescent="0.35">
      <c r="A5323" s="1416">
        <v>42331</v>
      </c>
      <c r="B5323" s="1415">
        <v>7.64</v>
      </c>
    </row>
    <row r="5324" spans="1:2" x14ac:dyDescent="0.35">
      <c r="A5324" s="1416">
        <v>42332</v>
      </c>
      <c r="B5324" s="1415">
        <v>7.16</v>
      </c>
    </row>
    <row r="5325" spans="1:2" x14ac:dyDescent="0.35">
      <c r="A5325" s="1416">
        <v>42333</v>
      </c>
      <c r="B5325" s="1415">
        <v>7.09</v>
      </c>
    </row>
    <row r="5326" spans="1:2" x14ac:dyDescent="0.35">
      <c r="A5326" s="1416">
        <v>42335</v>
      </c>
      <c r="B5326" s="1415">
        <v>6.91</v>
      </c>
    </row>
    <row r="5327" spans="1:2" x14ac:dyDescent="0.35">
      <c r="A5327" s="1416">
        <v>42338</v>
      </c>
      <c r="B5327" s="1415">
        <v>7.06</v>
      </c>
    </row>
    <row r="5328" spans="1:2" x14ac:dyDescent="0.35">
      <c r="A5328" s="1416">
        <v>42339</v>
      </c>
      <c r="B5328" s="1415">
        <v>7.74</v>
      </c>
    </row>
    <row r="5329" spans="1:2" x14ac:dyDescent="0.35">
      <c r="A5329" s="1416">
        <v>42340</v>
      </c>
      <c r="B5329" s="1415">
        <v>7.55</v>
      </c>
    </row>
    <row r="5330" spans="1:2" x14ac:dyDescent="0.35">
      <c r="A5330" s="1416">
        <v>42341</v>
      </c>
      <c r="B5330" s="1415">
        <v>7.33</v>
      </c>
    </row>
    <row r="5331" spans="1:2" x14ac:dyDescent="0.35">
      <c r="A5331" s="1416">
        <v>42342</v>
      </c>
      <c r="B5331" s="1415">
        <v>7.34</v>
      </c>
    </row>
    <row r="5332" spans="1:2" x14ac:dyDescent="0.35">
      <c r="A5332" s="1416">
        <v>42345</v>
      </c>
      <c r="B5332" s="1415">
        <v>7.11</v>
      </c>
    </row>
    <row r="5333" spans="1:2" x14ac:dyDescent="0.35">
      <c r="A5333" s="1416">
        <v>42346</v>
      </c>
      <c r="B5333" s="1415">
        <v>6.92</v>
      </c>
    </row>
    <row r="5334" spans="1:2" x14ac:dyDescent="0.35">
      <c r="A5334" s="1416">
        <v>42347</v>
      </c>
      <c r="B5334" s="1415">
        <v>7.23</v>
      </c>
    </row>
    <row r="5335" spans="1:2" x14ac:dyDescent="0.35">
      <c r="A5335" s="1416">
        <v>42348</v>
      </c>
      <c r="B5335" s="1415">
        <v>7.47</v>
      </c>
    </row>
    <row r="5336" spans="1:2" x14ac:dyDescent="0.35">
      <c r="A5336" s="1416">
        <v>42349</v>
      </c>
      <c r="B5336" s="1415">
        <v>7.16</v>
      </c>
    </row>
    <row r="5337" spans="1:2" x14ac:dyDescent="0.35">
      <c r="A5337" s="1416">
        <v>42352</v>
      </c>
      <c r="B5337" s="1415">
        <v>7.21</v>
      </c>
    </row>
    <row r="5338" spans="1:2" x14ac:dyDescent="0.35">
      <c r="A5338" s="1416">
        <v>42353</v>
      </c>
      <c r="B5338" s="1415">
        <v>7.33</v>
      </c>
    </row>
    <row r="5339" spans="1:2" x14ac:dyDescent="0.35">
      <c r="A5339" s="1416">
        <v>42354</v>
      </c>
      <c r="B5339" s="1415">
        <v>7.77</v>
      </c>
    </row>
    <row r="5340" spans="1:2" x14ac:dyDescent="0.35">
      <c r="A5340" s="1416">
        <v>42355</v>
      </c>
      <c r="B5340" s="1415">
        <v>7.6</v>
      </c>
    </row>
    <row r="5341" spans="1:2" x14ac:dyDescent="0.35">
      <c r="A5341" s="1416">
        <v>42356</v>
      </c>
      <c r="B5341" s="1415">
        <v>7.61</v>
      </c>
    </row>
    <row r="5342" spans="1:2" x14ac:dyDescent="0.35">
      <c r="A5342" s="1416">
        <v>42359</v>
      </c>
      <c r="B5342" s="1415">
        <v>7.73</v>
      </c>
    </row>
    <row r="5343" spans="1:2" x14ac:dyDescent="0.35">
      <c r="A5343" s="1416">
        <v>42360</v>
      </c>
      <c r="B5343" s="1415">
        <v>7.94</v>
      </c>
    </row>
    <row r="5344" spans="1:2" x14ac:dyDescent="0.35">
      <c r="A5344" s="1416">
        <v>42361</v>
      </c>
      <c r="B5344" s="1415">
        <v>8.2200000000000006</v>
      </c>
    </row>
    <row r="5345" spans="1:2" x14ac:dyDescent="0.35">
      <c r="A5345" s="1416">
        <v>42362</v>
      </c>
      <c r="B5345" s="1415">
        <v>8.3000000000000007</v>
      </c>
    </row>
    <row r="5346" spans="1:2" x14ac:dyDescent="0.35">
      <c r="A5346" s="1416">
        <v>42366</v>
      </c>
      <c r="B5346" s="1415">
        <v>8.09</v>
      </c>
    </row>
    <row r="5347" spans="1:2" x14ac:dyDescent="0.35">
      <c r="A5347" s="1416">
        <v>42367</v>
      </c>
      <c r="B5347" s="1415">
        <v>8.01</v>
      </c>
    </row>
    <row r="5348" spans="1:2" x14ac:dyDescent="0.35">
      <c r="A5348" s="1416">
        <v>42368</v>
      </c>
      <c r="B5348" s="1415">
        <v>7.91</v>
      </c>
    </row>
    <row r="5349" spans="1:2" x14ac:dyDescent="0.35">
      <c r="A5349" s="1416">
        <v>42369</v>
      </c>
      <c r="B5349" s="1415">
        <v>7.67</v>
      </c>
    </row>
    <row r="5350" spans="1:2" x14ac:dyDescent="0.35">
      <c r="A5350" s="1416">
        <v>42373</v>
      </c>
      <c r="B5350" s="1415">
        <v>7.57</v>
      </c>
    </row>
    <row r="5351" spans="1:2" x14ac:dyDescent="0.35">
      <c r="A5351" s="1416">
        <v>42374</v>
      </c>
      <c r="B5351" s="1415">
        <v>7.15</v>
      </c>
    </row>
    <row r="5352" spans="1:2" x14ac:dyDescent="0.35">
      <c r="A5352" s="1416">
        <v>42375</v>
      </c>
      <c r="B5352" s="1415">
        <v>7.1849999999999996</v>
      </c>
    </row>
    <row r="5353" spans="1:2" x14ac:dyDescent="0.35">
      <c r="A5353" s="1416">
        <v>42376</v>
      </c>
      <c r="B5353" s="1415">
        <v>6.7</v>
      </c>
    </row>
    <row r="5354" spans="1:2" x14ac:dyDescent="0.35">
      <c r="A5354" s="1416">
        <v>42377</v>
      </c>
      <c r="B5354" s="1415">
        <v>6.59</v>
      </c>
    </row>
    <row r="5355" spans="1:2" x14ac:dyDescent="0.35">
      <c r="A5355" s="1416">
        <v>42380</v>
      </c>
      <c r="B5355" s="1415">
        <v>6.38</v>
      </c>
    </row>
    <row r="5356" spans="1:2" x14ac:dyDescent="0.35">
      <c r="A5356" s="1416">
        <v>42381</v>
      </c>
      <c r="B5356" s="1415">
        <v>7.39</v>
      </c>
    </row>
    <row r="5357" spans="1:2" x14ac:dyDescent="0.35">
      <c r="A5357" s="1416">
        <v>42382</v>
      </c>
      <c r="B5357" s="1415">
        <v>7.1</v>
      </c>
    </row>
    <row r="5358" spans="1:2" x14ac:dyDescent="0.35">
      <c r="A5358" s="1416">
        <v>42383</v>
      </c>
      <c r="B5358" s="1415">
        <v>7.3</v>
      </c>
    </row>
    <row r="5359" spans="1:2" x14ac:dyDescent="0.35">
      <c r="A5359" s="1416">
        <v>42384</v>
      </c>
      <c r="B5359" s="1415">
        <v>7.63</v>
      </c>
    </row>
    <row r="5360" spans="1:2" x14ac:dyDescent="0.35">
      <c r="A5360" s="1416">
        <v>42388</v>
      </c>
      <c r="B5360" s="1415">
        <v>7.1</v>
      </c>
    </row>
    <row r="5361" spans="1:2" x14ac:dyDescent="0.35">
      <c r="A5361" s="1416">
        <v>42389</v>
      </c>
      <c r="B5361" s="1415">
        <v>7.54</v>
      </c>
    </row>
    <row r="5362" spans="1:2" x14ac:dyDescent="0.35">
      <c r="A5362" s="1416">
        <v>42390</v>
      </c>
      <c r="B5362" s="1415">
        <v>7.63</v>
      </c>
    </row>
    <row r="5363" spans="1:2" x14ac:dyDescent="0.35">
      <c r="A5363" s="1416">
        <v>42391</v>
      </c>
      <c r="B5363" s="1415">
        <v>7.76</v>
      </c>
    </row>
    <row r="5364" spans="1:2" x14ac:dyDescent="0.35">
      <c r="A5364" s="1416">
        <v>42394</v>
      </c>
      <c r="B5364" s="1415">
        <v>7.65</v>
      </c>
    </row>
    <row r="5365" spans="1:2" x14ac:dyDescent="0.35">
      <c r="A5365" s="1416">
        <v>42395</v>
      </c>
      <c r="B5365" s="1415">
        <v>7.99</v>
      </c>
    </row>
    <row r="5366" spans="1:2" x14ac:dyDescent="0.35">
      <c r="A5366" s="1416">
        <v>42396</v>
      </c>
      <c r="B5366" s="1415">
        <v>7.61</v>
      </c>
    </row>
    <row r="5367" spans="1:2" x14ac:dyDescent="0.35">
      <c r="A5367" s="1416">
        <v>42397</v>
      </c>
      <c r="B5367" s="1415">
        <v>7.61</v>
      </c>
    </row>
    <row r="5368" spans="1:2" x14ac:dyDescent="0.35">
      <c r="A5368" s="1416">
        <v>42398</v>
      </c>
      <c r="B5368" s="1415">
        <v>7.94</v>
      </c>
    </row>
    <row r="5369" spans="1:2" x14ac:dyDescent="0.35">
      <c r="A5369" s="1416">
        <v>42401</v>
      </c>
      <c r="B5369" s="1415">
        <v>7.3</v>
      </c>
    </row>
    <row r="5370" spans="1:2" x14ac:dyDescent="0.35">
      <c r="A5370" s="1416">
        <v>42402</v>
      </c>
      <c r="B5370" s="1415">
        <v>6.92</v>
      </c>
    </row>
    <row r="5371" spans="1:2" x14ac:dyDescent="0.35">
      <c r="A5371" s="1416">
        <v>42403</v>
      </c>
      <c r="B5371" s="1415">
        <v>7.06</v>
      </c>
    </row>
    <row r="5372" spans="1:2" x14ac:dyDescent="0.35">
      <c r="A5372" s="1416">
        <v>42404</v>
      </c>
      <c r="B5372" s="1415">
        <v>7.09</v>
      </c>
    </row>
    <row r="5373" spans="1:2" x14ac:dyDescent="0.35">
      <c r="A5373" s="1416">
        <v>42405</v>
      </c>
      <c r="B5373" s="1415">
        <v>6.95</v>
      </c>
    </row>
    <row r="5374" spans="1:2" x14ac:dyDescent="0.35">
      <c r="A5374" s="1416">
        <v>42408</v>
      </c>
      <c r="B5374" s="1415">
        <v>8.6199999999999992</v>
      </c>
    </row>
    <row r="5375" spans="1:2" x14ac:dyDescent="0.35">
      <c r="A5375" s="1416">
        <v>42409</v>
      </c>
      <c r="B5375" s="1415">
        <v>8.56</v>
      </c>
    </row>
    <row r="5376" spans="1:2" x14ac:dyDescent="0.35">
      <c r="A5376" s="1416">
        <v>42410</v>
      </c>
      <c r="B5376" s="1415">
        <v>8.5500000000000007</v>
      </c>
    </row>
    <row r="5377" spans="1:2" x14ac:dyDescent="0.35">
      <c r="A5377" s="1416">
        <v>42411</v>
      </c>
      <c r="B5377" s="1415">
        <v>8.58</v>
      </c>
    </row>
    <row r="5378" spans="1:2" x14ac:dyDescent="0.35">
      <c r="A5378" s="1416">
        <v>42412</v>
      </c>
      <c r="B5378" s="1415">
        <v>8.6</v>
      </c>
    </row>
    <row r="5379" spans="1:2" x14ac:dyDescent="0.35">
      <c r="A5379" s="1416">
        <v>42416</v>
      </c>
      <c r="B5379" s="1415">
        <v>8.84</v>
      </c>
    </row>
    <row r="5380" spans="1:2" x14ac:dyDescent="0.35">
      <c r="A5380" s="1416">
        <v>42417</v>
      </c>
      <c r="B5380" s="1415">
        <v>8.82</v>
      </c>
    </row>
    <row r="5381" spans="1:2" x14ac:dyDescent="0.35">
      <c r="A5381" s="1416">
        <v>42418</v>
      </c>
      <c r="B5381" s="1415">
        <v>8.7899999999999991</v>
      </c>
    </row>
    <row r="5382" spans="1:2" x14ac:dyDescent="0.35">
      <c r="A5382" s="1416">
        <v>42419</v>
      </c>
      <c r="B5382" s="1415">
        <v>8.68</v>
      </c>
    </row>
    <row r="5383" spans="1:2" x14ac:dyDescent="0.35">
      <c r="A5383" s="1416">
        <v>42422</v>
      </c>
      <c r="B5383" s="1415">
        <v>8.4499999999999993</v>
      </c>
    </row>
    <row r="5384" spans="1:2" x14ac:dyDescent="0.35">
      <c r="A5384" s="1416">
        <v>42423</v>
      </c>
      <c r="B5384" s="1415">
        <v>8.35</v>
      </c>
    </row>
    <row r="5385" spans="1:2" x14ac:dyDescent="0.35">
      <c r="A5385" s="1416">
        <v>42424</v>
      </c>
      <c r="B5385" s="1415">
        <v>8.24</v>
      </c>
    </row>
    <row r="5386" spans="1:2" x14ac:dyDescent="0.35">
      <c r="A5386" s="1416">
        <v>42425</v>
      </c>
      <c r="B5386" s="1415">
        <v>8.25</v>
      </c>
    </row>
    <row r="5387" spans="1:2" x14ac:dyDescent="0.35">
      <c r="A5387" s="1416">
        <v>42426</v>
      </c>
      <c r="B5387" s="1415">
        <v>8.11</v>
      </c>
    </row>
    <row r="5388" spans="1:2" x14ac:dyDescent="0.35">
      <c r="A5388" s="1416">
        <v>42429</v>
      </c>
      <c r="B5388" s="1415">
        <v>8.19</v>
      </c>
    </row>
    <row r="5389" spans="1:2" x14ac:dyDescent="0.35">
      <c r="A5389" s="1416">
        <v>42430</v>
      </c>
      <c r="B5389" s="1415">
        <v>8.2899999999999991</v>
      </c>
    </row>
    <row r="5390" spans="1:2" x14ac:dyDescent="0.35">
      <c r="A5390" s="1416">
        <v>42431</v>
      </c>
      <c r="B5390" s="1415">
        <v>8.35</v>
      </c>
    </row>
    <row r="5391" spans="1:2" x14ac:dyDescent="0.35">
      <c r="A5391" s="1416">
        <v>42432</v>
      </c>
      <c r="B5391" s="1415">
        <v>8.5299999999999994</v>
      </c>
    </row>
    <row r="5392" spans="1:2" x14ac:dyDescent="0.35">
      <c r="A5392" s="1416">
        <v>42433</v>
      </c>
      <c r="B5392" s="1415">
        <v>8.51</v>
      </c>
    </row>
    <row r="5393" spans="1:2" x14ac:dyDescent="0.35">
      <c r="A5393" s="1416">
        <v>42436</v>
      </c>
      <c r="B5393" s="1415">
        <v>8.5299999999999994</v>
      </c>
    </row>
    <row r="5394" spans="1:2" x14ac:dyDescent="0.35">
      <c r="A5394" s="1416">
        <v>42437</v>
      </c>
      <c r="B5394" s="1415">
        <v>8.3000000000000007</v>
      </c>
    </row>
    <row r="5395" spans="1:2" x14ac:dyDescent="0.35">
      <c r="A5395" s="1416">
        <v>42438</v>
      </c>
      <c r="B5395" s="1415">
        <v>8.3000000000000007</v>
      </c>
    </row>
    <row r="5396" spans="1:2" x14ac:dyDescent="0.35">
      <c r="A5396" s="1416">
        <v>42439</v>
      </c>
      <c r="B5396" s="1415">
        <v>8.1999999999999993</v>
      </c>
    </row>
    <row r="5397" spans="1:2" x14ac:dyDescent="0.35">
      <c r="A5397" s="1416">
        <v>42440</v>
      </c>
      <c r="B5397" s="1415">
        <v>8.3800000000000008</v>
      </c>
    </row>
    <row r="5398" spans="1:2" x14ac:dyDescent="0.35">
      <c r="A5398" s="1416">
        <v>42443</v>
      </c>
      <c r="B5398" s="1415">
        <v>8.39</v>
      </c>
    </row>
    <row r="5399" spans="1:2" x14ac:dyDescent="0.35">
      <c r="A5399" s="1416">
        <v>42444</v>
      </c>
      <c r="B5399" s="1415">
        <v>8.18</v>
      </c>
    </row>
    <row r="5400" spans="1:2" x14ac:dyDescent="0.35">
      <c r="A5400" s="1416">
        <v>42445</v>
      </c>
      <c r="B5400" s="1415">
        <v>8.2899999999999991</v>
      </c>
    </row>
    <row r="5401" spans="1:2" x14ac:dyDescent="0.35">
      <c r="A5401" s="1416">
        <v>42446</v>
      </c>
      <c r="B5401" s="1415">
        <v>8.2799999999999994</v>
      </c>
    </row>
    <row r="5402" spans="1:2" x14ac:dyDescent="0.35">
      <c r="A5402" s="1416">
        <v>42447</v>
      </c>
      <c r="B5402" s="1415">
        <v>8.3800000000000008</v>
      </c>
    </row>
    <row r="5403" spans="1:2" x14ac:dyDescent="0.35">
      <c r="A5403" s="1416">
        <v>42450</v>
      </c>
      <c r="B5403" s="1415">
        <v>8.41</v>
      </c>
    </row>
    <row r="5404" spans="1:2" x14ac:dyDescent="0.35">
      <c r="A5404" s="1416">
        <v>42451</v>
      </c>
      <c r="B5404" s="1415">
        <v>8.39</v>
      </c>
    </row>
    <row r="5405" spans="1:2" x14ac:dyDescent="0.35">
      <c r="A5405" s="1416">
        <v>42452</v>
      </c>
      <c r="B5405" s="1415">
        <v>8.24</v>
      </c>
    </row>
    <row r="5406" spans="1:2" x14ac:dyDescent="0.35">
      <c r="A5406" s="1416">
        <v>42453</v>
      </c>
      <c r="B5406" s="1415">
        <v>8.25</v>
      </c>
    </row>
    <row r="5407" spans="1:2" x14ac:dyDescent="0.35">
      <c r="A5407" s="1416">
        <v>42457</v>
      </c>
      <c r="B5407" s="1415">
        <v>7.8550000000000004</v>
      </c>
    </row>
    <row r="5408" spans="1:2" x14ac:dyDescent="0.35">
      <c r="A5408" s="1416">
        <v>42458</v>
      </c>
      <c r="B5408" s="1415">
        <v>7.88</v>
      </c>
    </row>
    <row r="5409" spans="1:2" x14ac:dyDescent="0.35">
      <c r="A5409" s="1416">
        <v>42459</v>
      </c>
      <c r="B5409" s="1415">
        <v>8.1199999999999992</v>
      </c>
    </row>
    <row r="5410" spans="1:2" x14ac:dyDescent="0.35">
      <c r="A5410" s="1416">
        <v>42460</v>
      </c>
      <c r="B5410" s="1415">
        <v>8.2149999999999999</v>
      </c>
    </row>
    <row r="5411" spans="1:2" x14ac:dyDescent="0.35">
      <c r="A5411" s="1416">
        <v>42461</v>
      </c>
      <c r="B5411" s="1415">
        <v>8.15</v>
      </c>
    </row>
    <row r="5412" spans="1:2" x14ac:dyDescent="0.35">
      <c r="A5412" s="1416">
        <v>42464</v>
      </c>
      <c r="B5412" s="1415">
        <v>8.0299999999999994</v>
      </c>
    </row>
    <row r="5413" spans="1:2" x14ac:dyDescent="0.35">
      <c r="A5413" s="1416">
        <v>42465</v>
      </c>
      <c r="B5413" s="1415">
        <v>8.06</v>
      </c>
    </row>
    <row r="5414" spans="1:2" x14ac:dyDescent="0.35">
      <c r="A5414" s="1416">
        <v>42466</v>
      </c>
      <c r="B5414" s="1415">
        <v>8.07</v>
      </c>
    </row>
    <row r="5415" spans="1:2" x14ac:dyDescent="0.35">
      <c r="A5415" s="1416">
        <v>42467</v>
      </c>
      <c r="B5415" s="1415">
        <v>7.95</v>
      </c>
    </row>
    <row r="5416" spans="1:2" x14ac:dyDescent="0.35">
      <c r="A5416" s="1416">
        <v>42468</v>
      </c>
      <c r="B5416" s="1415">
        <v>7.8150000000000004</v>
      </c>
    </row>
    <row r="5417" spans="1:2" x14ac:dyDescent="0.35">
      <c r="A5417" s="1416">
        <v>42471</v>
      </c>
      <c r="B5417" s="1415">
        <v>7.39</v>
      </c>
    </row>
    <row r="5418" spans="1:2" x14ac:dyDescent="0.35">
      <c r="A5418" s="1416">
        <v>42472</v>
      </c>
      <c r="B5418" s="1415">
        <v>7.37</v>
      </c>
    </row>
    <row r="5419" spans="1:2" x14ac:dyDescent="0.35">
      <c r="A5419" s="1416">
        <v>42473</v>
      </c>
      <c r="B5419" s="1415">
        <v>7.44</v>
      </c>
    </row>
    <row r="5420" spans="1:2" x14ac:dyDescent="0.35">
      <c r="A5420" s="1416">
        <v>42474</v>
      </c>
      <c r="B5420" s="1415">
        <v>7.45</v>
      </c>
    </row>
    <row r="5421" spans="1:2" x14ac:dyDescent="0.35">
      <c r="A5421" s="1416">
        <v>42475</v>
      </c>
      <c r="B5421" s="1415">
        <v>7.61</v>
      </c>
    </row>
    <row r="5422" spans="1:2" x14ac:dyDescent="0.35">
      <c r="A5422" s="1416">
        <v>42478</v>
      </c>
      <c r="B5422" s="1415">
        <v>7.41</v>
      </c>
    </row>
    <row r="5423" spans="1:2" x14ac:dyDescent="0.35">
      <c r="A5423" s="1416">
        <v>42479</v>
      </c>
      <c r="B5423" s="1415">
        <v>7.45</v>
      </c>
    </row>
    <row r="5424" spans="1:2" x14ac:dyDescent="0.35">
      <c r="A5424" s="1416">
        <v>42480</v>
      </c>
      <c r="B5424" s="1415">
        <v>7.26</v>
      </c>
    </row>
    <row r="5425" spans="1:2" x14ac:dyDescent="0.35">
      <c r="A5425" s="1416">
        <v>42481</v>
      </c>
      <c r="B5425" s="1415">
        <v>7.11</v>
      </c>
    </row>
    <row r="5426" spans="1:2" x14ac:dyDescent="0.35">
      <c r="A5426" s="1416">
        <v>42482</v>
      </c>
      <c r="B5426" s="1415">
        <v>7.27</v>
      </c>
    </row>
    <row r="5427" spans="1:2" x14ac:dyDescent="0.35">
      <c r="A5427" s="1416">
        <v>42485</v>
      </c>
      <c r="B5427" s="1415">
        <v>7.43</v>
      </c>
    </row>
    <row r="5428" spans="1:2" x14ac:dyDescent="0.35">
      <c r="A5428" s="1416">
        <v>42486</v>
      </c>
      <c r="B5428" s="1415">
        <v>7.34</v>
      </c>
    </row>
    <row r="5429" spans="1:2" x14ac:dyDescent="0.35">
      <c r="A5429" s="1416">
        <v>42487</v>
      </c>
      <c r="B5429" s="1415">
        <v>7.43</v>
      </c>
    </row>
    <row r="5430" spans="1:2" x14ac:dyDescent="0.35">
      <c r="A5430" s="1416">
        <v>42488</v>
      </c>
      <c r="B5430" s="1415">
        <v>7.58</v>
      </c>
    </row>
    <row r="5431" spans="1:2" x14ac:dyDescent="0.35">
      <c r="A5431" s="1416">
        <v>42489</v>
      </c>
      <c r="B5431" s="1415">
        <v>7.8</v>
      </c>
    </row>
    <row r="5432" spans="1:2" x14ac:dyDescent="0.35">
      <c r="A5432" s="1416">
        <v>42492</v>
      </c>
      <c r="B5432" s="1415">
        <v>8.77</v>
      </c>
    </row>
    <row r="5433" spans="1:2" x14ac:dyDescent="0.35">
      <c r="A5433" s="1416">
        <v>42493</v>
      </c>
      <c r="B5433" s="1415">
        <v>8.74</v>
      </c>
    </row>
    <row r="5434" spans="1:2" x14ac:dyDescent="0.35">
      <c r="A5434" s="1416">
        <v>42494</v>
      </c>
      <c r="B5434" s="1415">
        <v>8.7200000000000006</v>
      </c>
    </row>
    <row r="5435" spans="1:2" x14ac:dyDescent="0.35">
      <c r="A5435" s="1416">
        <v>42495</v>
      </c>
      <c r="B5435" s="1415">
        <v>8.82</v>
      </c>
    </row>
    <row r="5436" spans="1:2" x14ac:dyDescent="0.35">
      <c r="A5436" s="1416">
        <v>42496</v>
      </c>
      <c r="B5436" s="1415">
        <v>8.9499999999999993</v>
      </c>
    </row>
    <row r="5437" spans="1:2" x14ac:dyDescent="0.35">
      <c r="A5437" s="1416">
        <v>42499</v>
      </c>
      <c r="B5437" s="1415">
        <v>9.2200000000000006</v>
      </c>
    </row>
    <row r="5438" spans="1:2" x14ac:dyDescent="0.35">
      <c r="A5438" s="1416">
        <v>42500</v>
      </c>
      <c r="B5438" s="1415">
        <v>9.25</v>
      </c>
    </row>
    <row r="5439" spans="1:2" x14ac:dyDescent="0.35">
      <c r="A5439" s="1416">
        <v>42501</v>
      </c>
      <c r="B5439" s="1415">
        <v>9.2200000000000006</v>
      </c>
    </row>
    <row r="5440" spans="1:2" x14ac:dyDescent="0.35">
      <c r="A5440" s="1416">
        <v>42502</v>
      </c>
      <c r="B5440" s="1415">
        <v>9.18</v>
      </c>
    </row>
    <row r="5441" spans="1:2" x14ac:dyDescent="0.35">
      <c r="A5441" s="1416">
        <v>42503</v>
      </c>
      <c r="B5441" s="1415">
        <v>9.2799999999999994</v>
      </c>
    </row>
    <row r="5442" spans="1:2" x14ac:dyDescent="0.35">
      <c r="A5442" s="1416">
        <v>42506</v>
      </c>
      <c r="B5442" s="1415">
        <v>9.26</v>
      </c>
    </row>
    <row r="5443" spans="1:2" x14ac:dyDescent="0.35">
      <c r="A5443" s="1416">
        <v>42507</v>
      </c>
      <c r="B5443" s="1415">
        <v>9.1999999999999993</v>
      </c>
    </row>
    <row r="5444" spans="1:2" x14ac:dyDescent="0.35">
      <c r="A5444" s="1416">
        <v>42508</v>
      </c>
      <c r="B5444" s="1415">
        <v>9.25</v>
      </c>
    </row>
    <row r="5445" spans="1:2" x14ac:dyDescent="0.35">
      <c r="A5445" s="1416">
        <v>42509</v>
      </c>
      <c r="B5445" s="1415">
        <v>9.19</v>
      </c>
    </row>
    <row r="5446" spans="1:2" x14ac:dyDescent="0.35">
      <c r="A5446" s="1416">
        <v>42510</v>
      </c>
      <c r="B5446" s="1415">
        <v>9.2200000000000006</v>
      </c>
    </row>
    <row r="5447" spans="1:2" x14ac:dyDescent="0.35">
      <c r="A5447" s="1416">
        <v>42513</v>
      </c>
      <c r="B5447" s="1415">
        <v>9.17</v>
      </c>
    </row>
    <row r="5448" spans="1:2" x14ac:dyDescent="0.35">
      <c r="A5448" s="1416">
        <v>42514</v>
      </c>
      <c r="B5448" s="1415">
        <v>9.2100000000000009</v>
      </c>
    </row>
    <row r="5449" spans="1:2" x14ac:dyDescent="0.35">
      <c r="A5449" s="1416">
        <v>42515</v>
      </c>
      <c r="B5449" s="1415">
        <v>9.1999999999999993</v>
      </c>
    </row>
    <row r="5450" spans="1:2" x14ac:dyDescent="0.35">
      <c r="A5450" s="1416">
        <v>42516</v>
      </c>
      <c r="B5450" s="1415">
        <v>9.17</v>
      </c>
    </row>
    <row r="5451" spans="1:2" x14ac:dyDescent="0.35">
      <c r="A5451" s="1416">
        <v>42517</v>
      </c>
      <c r="B5451" s="1415">
        <v>9.2100000000000009</v>
      </c>
    </row>
    <row r="5452" spans="1:2" x14ac:dyDescent="0.35">
      <c r="A5452" s="1416">
        <v>42521</v>
      </c>
      <c r="B5452" s="1415">
        <v>9.19</v>
      </c>
    </row>
    <row r="5453" spans="1:2" x14ac:dyDescent="0.35">
      <c r="A5453" s="1416">
        <v>42522</v>
      </c>
      <c r="B5453" s="1415">
        <v>9.19</v>
      </c>
    </row>
    <row r="5454" spans="1:2" x14ac:dyDescent="0.35">
      <c r="A5454" s="1416">
        <v>42523</v>
      </c>
      <c r="B5454" s="1415">
        <v>9.24</v>
      </c>
    </row>
    <row r="5455" spans="1:2" x14ac:dyDescent="0.35">
      <c r="A5455" s="1416">
        <v>42524</v>
      </c>
      <c r="B5455" s="1415">
        <v>9.2100000000000009</v>
      </c>
    </row>
    <row r="5456" spans="1:2" x14ac:dyDescent="0.35">
      <c r="A5456" s="1416">
        <v>42527</v>
      </c>
      <c r="B5456" s="1415">
        <v>9.2100000000000009</v>
      </c>
    </row>
    <row r="5457" spans="1:2" x14ac:dyDescent="0.35">
      <c r="A5457" s="1416">
        <v>42528</v>
      </c>
      <c r="B5457" s="1415">
        <v>9.2100000000000009</v>
      </c>
    </row>
    <row r="5458" spans="1:2" x14ac:dyDescent="0.35">
      <c r="A5458" s="1416">
        <v>42529</v>
      </c>
      <c r="B5458" s="1415">
        <v>9.17</v>
      </c>
    </row>
    <row r="5459" spans="1:2" x14ac:dyDescent="0.35">
      <c r="A5459" s="1416">
        <v>42530</v>
      </c>
      <c r="B5459" s="1415">
        <v>9.18</v>
      </c>
    </row>
    <row r="5460" spans="1:2" x14ac:dyDescent="0.35">
      <c r="A5460" s="1416">
        <v>42531</v>
      </c>
      <c r="B5460" s="1415">
        <v>9.19</v>
      </c>
    </row>
    <row r="5461" spans="1:2" x14ac:dyDescent="0.35">
      <c r="A5461" s="1416">
        <v>42534</v>
      </c>
      <c r="B5461" s="1415">
        <v>9.15</v>
      </c>
    </row>
    <row r="5462" spans="1:2" x14ac:dyDescent="0.35">
      <c r="A5462" s="1416">
        <v>42535</v>
      </c>
      <c r="B5462" s="1415">
        <v>9.19</v>
      </c>
    </row>
    <row r="5463" spans="1:2" x14ac:dyDescent="0.35">
      <c r="A5463" s="1416">
        <v>42536</v>
      </c>
      <c r="B5463" s="1415">
        <v>9.18</v>
      </c>
    </row>
    <row r="5464" spans="1:2" x14ac:dyDescent="0.35">
      <c r="A5464" s="1416">
        <v>42537</v>
      </c>
      <c r="B5464" s="1415">
        <v>9.18</v>
      </c>
    </row>
    <row r="5465" spans="1:2" x14ac:dyDescent="0.35">
      <c r="A5465" s="1416">
        <v>42538</v>
      </c>
      <c r="B5465" s="1415">
        <v>9.1999999999999993</v>
      </c>
    </row>
    <row r="5466" spans="1:2" x14ac:dyDescent="0.35">
      <c r="A5466" s="1416">
        <v>42541</v>
      </c>
      <c r="B5466" s="1415">
        <v>9.15</v>
      </c>
    </row>
    <row r="5467" spans="1:2" x14ac:dyDescent="0.35">
      <c r="A5467" s="1416">
        <v>42542</v>
      </c>
      <c r="B5467" s="1415">
        <v>9.1</v>
      </c>
    </row>
    <row r="5468" spans="1:2" x14ac:dyDescent="0.35">
      <c r="A5468" s="1416">
        <v>42543</v>
      </c>
      <c r="B5468" s="1415">
        <v>9.1</v>
      </c>
    </row>
    <row r="5469" spans="1:2" x14ac:dyDescent="0.35">
      <c r="A5469" s="1416">
        <v>42544</v>
      </c>
      <c r="B5469" s="1415">
        <v>9.19</v>
      </c>
    </row>
    <row r="5470" spans="1:2" x14ac:dyDescent="0.35">
      <c r="A5470" s="1416">
        <v>42545</v>
      </c>
      <c r="B5470" s="1415">
        <v>9.11</v>
      </c>
    </row>
    <row r="5471" spans="1:2" x14ac:dyDescent="0.35">
      <c r="A5471" s="1416">
        <v>42548</v>
      </c>
      <c r="B5471" s="1415">
        <v>9.0299999999999994</v>
      </c>
    </row>
    <row r="5472" spans="1:2" x14ac:dyDescent="0.35">
      <c r="A5472" s="1416">
        <v>42549</v>
      </c>
      <c r="B5472" s="1415">
        <v>9</v>
      </c>
    </row>
    <row r="5473" spans="1:2" x14ac:dyDescent="0.35">
      <c r="A5473" s="1416">
        <v>42550</v>
      </c>
      <c r="B5473" s="1415">
        <v>9.02</v>
      </c>
    </row>
    <row r="5474" spans="1:2" x14ac:dyDescent="0.35">
      <c r="A5474" s="1416">
        <v>42551</v>
      </c>
      <c r="B5474" s="1415">
        <v>9.1199999999999992</v>
      </c>
    </row>
    <row r="5475" spans="1:2" x14ac:dyDescent="0.35">
      <c r="A5475" s="1416">
        <v>42552</v>
      </c>
      <c r="B5475" s="1415">
        <v>9.1</v>
      </c>
    </row>
    <row r="5476" spans="1:2" x14ac:dyDescent="0.35">
      <c r="A5476" s="1416">
        <v>42556</v>
      </c>
      <c r="B5476" s="1415">
        <v>8.9700000000000006</v>
      </c>
    </row>
    <row r="5477" spans="1:2" x14ac:dyDescent="0.35">
      <c r="A5477" s="1416">
        <v>42557</v>
      </c>
      <c r="B5477" s="1415">
        <v>9.0399999999999991</v>
      </c>
    </row>
    <row r="5478" spans="1:2" x14ac:dyDescent="0.35">
      <c r="A5478" s="1416">
        <v>42558</v>
      </c>
      <c r="B5478" s="1415">
        <v>9.0399999999999991</v>
      </c>
    </row>
    <row r="5479" spans="1:2" x14ac:dyDescent="0.35">
      <c r="A5479" s="1416">
        <v>42559</v>
      </c>
      <c r="B5479" s="1415">
        <v>9.0500000000000007</v>
      </c>
    </row>
    <row r="5480" spans="1:2" x14ac:dyDescent="0.35">
      <c r="A5480" s="1416">
        <v>42562</v>
      </c>
      <c r="B5480" s="1415">
        <v>9.11</v>
      </c>
    </row>
    <row r="5481" spans="1:2" x14ac:dyDescent="0.35">
      <c r="A5481" s="1416">
        <v>42563</v>
      </c>
      <c r="B5481" s="1415">
        <v>9.08</v>
      </c>
    </row>
    <row r="5482" spans="1:2" x14ac:dyDescent="0.35">
      <c r="A5482" s="1416">
        <v>42564</v>
      </c>
      <c r="B5482" s="1415">
        <v>9.0399999999999991</v>
      </c>
    </row>
    <row r="5483" spans="1:2" x14ac:dyDescent="0.35">
      <c r="A5483" s="1416">
        <v>42565</v>
      </c>
      <c r="B5483" s="1415">
        <v>9.06</v>
      </c>
    </row>
    <row r="5484" spans="1:2" x14ac:dyDescent="0.35">
      <c r="A5484" s="1416">
        <v>42566</v>
      </c>
      <c r="B5484" s="1415">
        <v>9.0399999999999991</v>
      </c>
    </row>
    <row r="5485" spans="1:2" x14ac:dyDescent="0.35">
      <c r="A5485" s="1416">
        <v>42569</v>
      </c>
      <c r="B5485" s="1415">
        <v>9.08</v>
      </c>
    </row>
    <row r="5486" spans="1:2" x14ac:dyDescent="0.35">
      <c r="A5486" s="1416">
        <v>42570</v>
      </c>
      <c r="B5486" s="1415">
        <v>9.01</v>
      </c>
    </row>
    <row r="5487" spans="1:2" x14ac:dyDescent="0.35">
      <c r="A5487" s="1416">
        <v>42571</v>
      </c>
      <c r="B5487" s="1415">
        <v>9.01</v>
      </c>
    </row>
    <row r="5488" spans="1:2" x14ac:dyDescent="0.35">
      <c r="A5488" s="1416">
        <v>42572</v>
      </c>
      <c r="B5488" s="1415">
        <v>8.9700000000000006</v>
      </c>
    </row>
    <row r="5489" spans="1:2" x14ac:dyDescent="0.35">
      <c r="A5489" s="1416">
        <v>42573</v>
      </c>
      <c r="B5489" s="1415">
        <v>8.9600000000000009</v>
      </c>
    </row>
    <row r="5490" spans="1:2" x14ac:dyDescent="0.35">
      <c r="A5490" s="1416">
        <v>42576</v>
      </c>
      <c r="B5490" s="1415">
        <v>8.99</v>
      </c>
    </row>
    <row r="5491" spans="1:2" x14ac:dyDescent="0.35">
      <c r="A5491" s="1416">
        <v>42577</v>
      </c>
      <c r="B5491" s="1415">
        <v>8.9700000000000006</v>
      </c>
    </row>
    <row r="5492" spans="1:2" x14ac:dyDescent="0.35">
      <c r="A5492" s="1416">
        <v>42578</v>
      </c>
      <c r="B5492" s="1415">
        <v>8.9600000000000009</v>
      </c>
    </row>
    <row r="5493" spans="1:2" x14ac:dyDescent="0.35">
      <c r="A5493" s="1416">
        <v>42579</v>
      </c>
      <c r="B5493" s="1415">
        <v>8.98</v>
      </c>
    </row>
    <row r="5494" spans="1:2" x14ac:dyDescent="0.35">
      <c r="A5494" s="1416">
        <v>42580</v>
      </c>
      <c r="B5494" s="1415">
        <v>8.99</v>
      </c>
    </row>
    <row r="5495" spans="1:2" x14ac:dyDescent="0.35">
      <c r="A5495" s="1416">
        <v>42583</v>
      </c>
      <c r="B5495" s="1415">
        <v>8.98</v>
      </c>
    </row>
    <row r="5496" spans="1:2" x14ac:dyDescent="0.35">
      <c r="A5496" s="1416">
        <v>42584</v>
      </c>
      <c r="B5496" s="1415">
        <v>8.93</v>
      </c>
    </row>
    <row r="5497" spans="1:2" x14ac:dyDescent="0.35">
      <c r="A5497" s="1416">
        <v>42585</v>
      </c>
      <c r="B5497" s="1415">
        <v>8.9499999999999993</v>
      </c>
    </row>
    <row r="5498" spans="1:2" x14ac:dyDescent="0.35">
      <c r="A5498" s="1416">
        <v>42586</v>
      </c>
      <c r="B5498" s="1415">
        <v>8.94</v>
      </c>
    </row>
    <row r="5499" spans="1:2" x14ac:dyDescent="0.35">
      <c r="A5499" s="1416">
        <v>42587</v>
      </c>
      <c r="B5499" s="1415">
        <v>8.9499999999999993</v>
      </c>
    </row>
    <row r="5500" spans="1:2" x14ac:dyDescent="0.35">
      <c r="A5500" s="1416">
        <v>42590</v>
      </c>
      <c r="B5500" s="1415">
        <v>8.98</v>
      </c>
    </row>
    <row r="5501" spans="1:2" x14ac:dyDescent="0.35">
      <c r="A5501" s="1416">
        <v>42591</v>
      </c>
      <c r="B5501" s="1415">
        <v>8.9600000000000009</v>
      </c>
    </row>
    <row r="5502" spans="1:2" x14ac:dyDescent="0.35">
      <c r="A5502" s="1416">
        <v>42592</v>
      </c>
      <c r="B5502" s="1415">
        <v>8.9600000000000009</v>
      </c>
    </row>
    <row r="5503" spans="1:2" x14ac:dyDescent="0.35">
      <c r="A5503" s="1416">
        <v>42593</v>
      </c>
      <c r="B5503" s="1415">
        <v>9.0299999999999994</v>
      </c>
    </row>
    <row r="5504" spans="1:2" x14ac:dyDescent="0.35">
      <c r="A5504" s="1416">
        <v>42594</v>
      </c>
      <c r="B5504" s="1415">
        <v>9.0399999999999991</v>
      </c>
    </row>
    <row r="5505" spans="1:2" x14ac:dyDescent="0.35">
      <c r="A5505" s="1416">
        <v>42597</v>
      </c>
      <c r="B5505" s="1415">
        <v>9.0299999999999994</v>
      </c>
    </row>
    <row r="5506" spans="1:2" x14ac:dyDescent="0.35">
      <c r="A5506" s="1416">
        <v>42598</v>
      </c>
      <c r="B5506" s="1415">
        <v>8.99</v>
      </c>
    </row>
    <row r="5507" spans="1:2" x14ac:dyDescent="0.35">
      <c r="A5507" s="1416">
        <v>42599</v>
      </c>
      <c r="B5507" s="1415">
        <v>8.9</v>
      </c>
    </row>
    <row r="5508" spans="1:2" x14ac:dyDescent="0.35">
      <c r="A5508" s="1416">
        <v>42600</v>
      </c>
      <c r="B5508" s="1415">
        <v>8.9499999999999993</v>
      </c>
    </row>
    <row r="5509" spans="1:2" x14ac:dyDescent="0.35">
      <c r="A5509" s="1416">
        <v>42601</v>
      </c>
      <c r="B5509" s="1415">
        <v>8.93</v>
      </c>
    </row>
    <row r="5510" spans="1:2" x14ac:dyDescent="0.35">
      <c r="A5510" s="1416">
        <v>42604</v>
      </c>
      <c r="B5510" s="1415">
        <v>8.89</v>
      </c>
    </row>
    <row r="5511" spans="1:2" x14ac:dyDescent="0.35">
      <c r="A5511" s="1416">
        <v>42605</v>
      </c>
      <c r="B5511" s="1415">
        <v>8.9</v>
      </c>
    </row>
    <row r="5512" spans="1:2" x14ac:dyDescent="0.35">
      <c r="A5512" s="1416">
        <v>42606</v>
      </c>
      <c r="B5512" s="1415">
        <v>8.9</v>
      </c>
    </row>
    <row r="5513" spans="1:2" x14ac:dyDescent="0.35">
      <c r="A5513" s="1416">
        <v>42607</v>
      </c>
      <c r="B5513" s="1415">
        <v>8.8699999999999992</v>
      </c>
    </row>
    <row r="5514" spans="1:2" x14ac:dyDescent="0.35">
      <c r="A5514" s="1416">
        <v>42608</v>
      </c>
      <c r="B5514" s="1415">
        <v>8.83</v>
      </c>
    </row>
    <row r="5515" spans="1:2" x14ac:dyDescent="0.35">
      <c r="A5515" s="1416">
        <v>42611</v>
      </c>
      <c r="B5515" s="1415">
        <v>8.86</v>
      </c>
    </row>
    <row r="5516" spans="1:2" x14ac:dyDescent="0.35">
      <c r="A5516" s="1416">
        <v>42612</v>
      </c>
      <c r="B5516" s="1415">
        <v>8.8800000000000008</v>
      </c>
    </row>
    <row r="5517" spans="1:2" x14ac:dyDescent="0.35">
      <c r="A5517" s="1416">
        <v>42613</v>
      </c>
      <c r="B5517" s="1415">
        <v>8.8699999999999992</v>
      </c>
    </row>
    <row r="5518" spans="1:2" x14ac:dyDescent="0.35">
      <c r="A5518" s="1416">
        <v>42614</v>
      </c>
      <c r="B5518" s="1415">
        <v>8.89</v>
      </c>
    </row>
    <row r="5519" spans="1:2" x14ac:dyDescent="0.35">
      <c r="A5519" s="1416">
        <v>42615</v>
      </c>
      <c r="B5519" s="1415">
        <v>8.9</v>
      </c>
    </row>
    <row r="5520" spans="1:2" x14ac:dyDescent="0.35">
      <c r="A5520" s="1416">
        <v>42619</v>
      </c>
      <c r="B5520" s="1415">
        <v>8.89</v>
      </c>
    </row>
    <row r="5521" spans="1:2" x14ac:dyDescent="0.35">
      <c r="A5521" s="1416">
        <v>42620</v>
      </c>
      <c r="B5521" s="1415">
        <v>8.61</v>
      </c>
    </row>
    <row r="5522" spans="1:2" x14ac:dyDescent="0.35">
      <c r="A5522" s="1416">
        <v>42621</v>
      </c>
      <c r="B5522" s="1415">
        <v>8.25</v>
      </c>
    </row>
    <row r="5523" spans="1:2" x14ac:dyDescent="0.35">
      <c r="A5523" s="1416">
        <v>42622</v>
      </c>
      <c r="B5523" s="1415">
        <v>8.35</v>
      </c>
    </row>
    <row r="5524" spans="1:2" x14ac:dyDescent="0.35">
      <c r="A5524" s="1416">
        <v>42625</v>
      </c>
      <c r="B5524" s="1415">
        <v>8.39</v>
      </c>
    </row>
    <row r="5525" spans="1:2" x14ac:dyDescent="0.35">
      <c r="A5525" s="1416">
        <v>42626</v>
      </c>
      <c r="B5525" s="1415">
        <v>8.1199999999999992</v>
      </c>
    </row>
    <row r="5526" spans="1:2" x14ac:dyDescent="0.35">
      <c r="A5526" s="1416">
        <v>42627</v>
      </c>
      <c r="B5526" s="1415">
        <v>7.9</v>
      </c>
    </row>
    <row r="5527" spans="1:2" x14ac:dyDescent="0.35">
      <c r="A5527" s="1416">
        <v>42628</v>
      </c>
      <c r="B5527" s="1415">
        <v>8.08</v>
      </c>
    </row>
    <row r="5528" spans="1:2" x14ac:dyDescent="0.35">
      <c r="A5528" s="1416">
        <v>42629</v>
      </c>
      <c r="B5528" s="1415">
        <v>7.95</v>
      </c>
    </row>
    <row r="5529" spans="1:2" x14ac:dyDescent="0.35">
      <c r="A5529" s="1416">
        <v>42632</v>
      </c>
      <c r="B5529" s="1415">
        <v>7.98</v>
      </c>
    </row>
    <row r="5530" spans="1:2" x14ac:dyDescent="0.35">
      <c r="A5530" s="1416">
        <v>42633</v>
      </c>
      <c r="B5530" s="1415">
        <v>7.91</v>
      </c>
    </row>
    <row r="5531" spans="1:2" x14ac:dyDescent="0.35">
      <c r="A5531" s="1416">
        <v>42634</v>
      </c>
      <c r="B5531" s="1415">
        <v>7.56</v>
      </c>
    </row>
    <row r="5532" spans="1:2" x14ac:dyDescent="0.35">
      <c r="A5532" s="1416">
        <v>42635</v>
      </c>
      <c r="B5532" s="1415">
        <v>7.64</v>
      </c>
    </row>
    <row r="5533" spans="1:2" x14ac:dyDescent="0.35">
      <c r="A5533" s="1416">
        <v>42636</v>
      </c>
      <c r="B5533" s="1415">
        <v>7.58</v>
      </c>
    </row>
    <row r="5534" spans="1:2" x14ac:dyDescent="0.35">
      <c r="A5534" s="1416">
        <v>42639</v>
      </c>
      <c r="B5534" s="1415">
        <v>7.71</v>
      </c>
    </row>
    <row r="5535" spans="1:2" x14ac:dyDescent="0.35">
      <c r="A5535" s="1416">
        <v>42640</v>
      </c>
      <c r="B5535" s="1415">
        <v>8.0399999999999991</v>
      </c>
    </row>
    <row r="5536" spans="1:2" x14ac:dyDescent="0.35">
      <c r="A5536" s="1416">
        <v>42641</v>
      </c>
      <c r="B5536" s="1415">
        <v>8.0299999999999994</v>
      </c>
    </row>
    <row r="5537" spans="1:2" x14ac:dyDescent="0.35">
      <c r="A5537" s="1416">
        <v>42642</v>
      </c>
      <c r="B5537" s="1415">
        <v>7.82</v>
      </c>
    </row>
    <row r="5538" spans="1:2" x14ac:dyDescent="0.35">
      <c r="A5538" s="1416">
        <v>42643</v>
      </c>
      <c r="B5538" s="1415">
        <v>7.95</v>
      </c>
    </row>
    <row r="5539" spans="1:2" x14ac:dyDescent="0.35">
      <c r="A5539" s="1416">
        <v>42646</v>
      </c>
      <c r="B5539" s="1415">
        <v>8.24</v>
      </c>
    </row>
    <row r="5540" spans="1:2" x14ac:dyDescent="0.35">
      <c r="A5540" s="1416">
        <v>42647</v>
      </c>
      <c r="B5540" s="1415">
        <v>7.95</v>
      </c>
    </row>
    <row r="5541" spans="1:2" x14ac:dyDescent="0.35">
      <c r="A5541" s="1416">
        <v>42648</v>
      </c>
      <c r="B5541" s="1415">
        <v>8.1</v>
      </c>
    </row>
    <row r="5542" spans="1:2" x14ac:dyDescent="0.35">
      <c r="A5542" s="1416">
        <v>42649</v>
      </c>
      <c r="B5542" s="1415">
        <v>8.0500000000000007</v>
      </c>
    </row>
    <row r="5543" spans="1:2" x14ac:dyDescent="0.35">
      <c r="A5543" s="1416">
        <v>42650</v>
      </c>
      <c r="B5543" s="1415">
        <v>8.01</v>
      </c>
    </row>
    <row r="5544" spans="1:2" x14ac:dyDescent="0.35">
      <c r="A5544" s="1416">
        <v>42653</v>
      </c>
      <c r="B5544" s="1415">
        <v>8.17</v>
      </c>
    </row>
    <row r="5545" spans="1:2" x14ac:dyDescent="0.35">
      <c r="A5545" s="1416">
        <v>42654</v>
      </c>
      <c r="B5545" s="1415">
        <v>8.1199999999999992</v>
      </c>
    </row>
    <row r="5546" spans="1:2" x14ac:dyDescent="0.35">
      <c r="A5546" s="1416">
        <v>42655</v>
      </c>
      <c r="B5546" s="1415">
        <v>8.11</v>
      </c>
    </row>
    <row r="5547" spans="1:2" x14ac:dyDescent="0.35">
      <c r="A5547" s="1416">
        <v>42656</v>
      </c>
      <c r="B5547" s="1415">
        <v>8.33</v>
      </c>
    </row>
    <row r="5548" spans="1:2" x14ac:dyDescent="0.35">
      <c r="A5548" s="1416">
        <v>42657</v>
      </c>
      <c r="B5548" s="1415">
        <v>8.4600000000000009</v>
      </c>
    </row>
    <row r="5549" spans="1:2" x14ac:dyDescent="0.35">
      <c r="A5549" s="1416">
        <v>42660</v>
      </c>
      <c r="B5549" s="1415">
        <v>8.51</v>
      </c>
    </row>
    <row r="5550" spans="1:2" x14ac:dyDescent="0.35">
      <c r="A5550" s="1416">
        <v>42661</v>
      </c>
      <c r="B5550" s="1415">
        <v>8.4600000000000009</v>
      </c>
    </row>
    <row r="5551" spans="1:2" x14ac:dyDescent="0.35">
      <c r="A5551" s="1416">
        <v>42662</v>
      </c>
      <c r="B5551" s="1415">
        <v>8.5</v>
      </c>
    </row>
    <row r="5552" spans="1:2" x14ac:dyDescent="0.35">
      <c r="A5552" s="1416">
        <v>42663</v>
      </c>
      <c r="B5552" s="1415">
        <v>8.49</v>
      </c>
    </row>
    <row r="5553" spans="1:2" x14ac:dyDescent="0.35">
      <c r="A5553" s="1416">
        <v>42664</v>
      </c>
      <c r="B5553" s="1415">
        <v>8.8699999999999992</v>
      </c>
    </row>
    <row r="5554" spans="1:2" x14ac:dyDescent="0.35">
      <c r="A5554" s="1416">
        <v>42667</v>
      </c>
      <c r="B5554" s="1415">
        <v>8.9</v>
      </c>
    </row>
    <row r="5555" spans="1:2" x14ac:dyDescent="0.35">
      <c r="A5555" s="1416">
        <v>42668</v>
      </c>
      <c r="B5555" s="1415">
        <v>8.6199999999999992</v>
      </c>
    </row>
    <row r="5556" spans="1:2" x14ac:dyDescent="0.35">
      <c r="A5556" s="1416">
        <v>42669</v>
      </c>
      <c r="B5556" s="1415">
        <v>8.67</v>
      </c>
    </row>
    <row r="5557" spans="1:2" x14ac:dyDescent="0.35">
      <c r="A5557" s="1416">
        <v>42670</v>
      </c>
      <c r="B5557" s="1415">
        <v>8.6999999999999993</v>
      </c>
    </row>
    <row r="5558" spans="1:2" x14ac:dyDescent="0.35">
      <c r="A5558" s="1416">
        <v>42671</v>
      </c>
      <c r="B5558" s="1415">
        <v>8.67</v>
      </c>
    </row>
    <row r="5559" spans="1:2" x14ac:dyDescent="0.35">
      <c r="A5559" s="1416">
        <v>42674</v>
      </c>
      <c r="B5559" s="1415">
        <v>8.7899999999999991</v>
      </c>
    </row>
    <row r="5560" spans="1:2" x14ac:dyDescent="0.35">
      <c r="A5560" s="1416">
        <v>42675</v>
      </c>
      <c r="B5560" s="1415">
        <v>8.8000000000000007</v>
      </c>
    </row>
    <row r="5561" spans="1:2" x14ac:dyDescent="0.35">
      <c r="A5561" s="1416">
        <v>42676</v>
      </c>
      <c r="B5561" s="1415">
        <v>8.7799999999999994</v>
      </c>
    </row>
    <row r="5562" spans="1:2" x14ac:dyDescent="0.35">
      <c r="A5562" s="1416">
        <v>42677</v>
      </c>
      <c r="B5562" s="1415">
        <v>8.7200000000000006</v>
      </c>
    </row>
    <row r="5563" spans="1:2" x14ac:dyDescent="0.35">
      <c r="A5563" s="1416">
        <v>42678</v>
      </c>
      <c r="B5563" s="1415">
        <v>8.76</v>
      </c>
    </row>
    <row r="5564" spans="1:2" x14ac:dyDescent="0.35">
      <c r="A5564" s="1416">
        <v>42681</v>
      </c>
      <c r="B5564" s="1415">
        <v>8.73</v>
      </c>
    </row>
    <row r="5565" spans="1:2" x14ac:dyDescent="0.35">
      <c r="A5565" s="1416">
        <v>42682</v>
      </c>
      <c r="B5565" s="1415">
        <v>8.73</v>
      </c>
    </row>
    <row r="5566" spans="1:2" x14ac:dyDescent="0.35">
      <c r="A5566" s="1416">
        <v>42683</v>
      </c>
      <c r="B5566" s="1415">
        <v>9.34</v>
      </c>
    </row>
    <row r="5567" spans="1:2" x14ac:dyDescent="0.35">
      <c r="A5567" s="1416">
        <v>42684</v>
      </c>
      <c r="B5567" s="1415">
        <v>9.35</v>
      </c>
    </row>
    <row r="5568" spans="1:2" x14ac:dyDescent="0.35">
      <c r="A5568" s="1416">
        <v>42685</v>
      </c>
      <c r="B5568" s="1415">
        <v>9.42</v>
      </c>
    </row>
    <row r="5569" spans="1:2" x14ac:dyDescent="0.35">
      <c r="A5569" s="1416">
        <v>42688</v>
      </c>
      <c r="B5569" s="1415">
        <v>9.4700000000000006</v>
      </c>
    </row>
    <row r="5570" spans="1:2" x14ac:dyDescent="0.35">
      <c r="A5570" s="1416">
        <v>42689</v>
      </c>
      <c r="B5570" s="1415">
        <v>9.43</v>
      </c>
    </row>
    <row r="5571" spans="1:2" x14ac:dyDescent="0.35">
      <c r="A5571" s="1416">
        <v>42690</v>
      </c>
      <c r="B5571" s="1415">
        <v>9.43</v>
      </c>
    </row>
    <row r="5572" spans="1:2" x14ac:dyDescent="0.35">
      <c r="A5572" s="1416">
        <v>42691</v>
      </c>
      <c r="B5572" s="1415">
        <v>9.48</v>
      </c>
    </row>
    <row r="5573" spans="1:2" x14ac:dyDescent="0.35">
      <c r="A5573" s="1416">
        <v>42692</v>
      </c>
      <c r="B5573" s="1415">
        <v>9.4499999999999993</v>
      </c>
    </row>
    <row r="5574" spans="1:2" x14ac:dyDescent="0.35">
      <c r="A5574" s="1416">
        <v>42695</v>
      </c>
      <c r="B5574" s="1415">
        <v>9.49</v>
      </c>
    </row>
    <row r="5575" spans="1:2" x14ac:dyDescent="0.35">
      <c r="A5575" s="1416">
        <v>42696</v>
      </c>
      <c r="B5575" s="1415">
        <v>9.5</v>
      </c>
    </row>
    <row r="5576" spans="1:2" x14ac:dyDescent="0.35">
      <c r="A5576" s="1416">
        <v>42697</v>
      </c>
      <c r="B5576" s="1415">
        <v>9.51</v>
      </c>
    </row>
    <row r="5577" spans="1:2" x14ac:dyDescent="0.35">
      <c r="A5577" s="1416">
        <v>42699</v>
      </c>
      <c r="B5577" s="1415">
        <v>9.48</v>
      </c>
    </row>
    <row r="5578" spans="1:2" x14ac:dyDescent="0.35">
      <c r="A5578" s="1416">
        <v>42702</v>
      </c>
      <c r="B5578" s="1415">
        <v>9.5</v>
      </c>
    </row>
    <row r="5579" spans="1:2" x14ac:dyDescent="0.35">
      <c r="A5579" s="1416">
        <v>42703</v>
      </c>
      <c r="B5579" s="1415">
        <v>9.5</v>
      </c>
    </row>
    <row r="5580" spans="1:2" x14ac:dyDescent="0.35">
      <c r="A5580" s="1416">
        <v>42704</v>
      </c>
      <c r="B5580" s="1415">
        <v>9.43</v>
      </c>
    </row>
    <row r="5581" spans="1:2" x14ac:dyDescent="0.35">
      <c r="A5581" s="1416">
        <v>42705</v>
      </c>
      <c r="B5581" s="1415">
        <v>9.5</v>
      </c>
    </row>
    <row r="5582" spans="1:2" x14ac:dyDescent="0.35">
      <c r="A5582" s="1416">
        <v>42706</v>
      </c>
      <c r="B5582" s="1415">
        <v>9.49</v>
      </c>
    </row>
    <row r="5583" spans="1:2" x14ac:dyDescent="0.35">
      <c r="A5583" s="1416">
        <v>42709</v>
      </c>
      <c r="B5583" s="1415">
        <v>9.49</v>
      </c>
    </row>
    <row r="5584" spans="1:2" x14ac:dyDescent="0.35">
      <c r="A5584" s="1416">
        <v>42710</v>
      </c>
      <c r="B5584" s="1415">
        <v>9.51</v>
      </c>
    </row>
    <row r="5585" spans="1:2" x14ac:dyDescent="0.35">
      <c r="A5585" s="1416">
        <v>42711</v>
      </c>
      <c r="B5585" s="1415">
        <v>9.52</v>
      </c>
    </row>
    <row r="5586" spans="1:2" x14ac:dyDescent="0.35">
      <c r="A5586" s="1416">
        <v>42712</v>
      </c>
      <c r="B5586" s="1415">
        <v>9.35</v>
      </c>
    </row>
    <row r="5587" spans="1:2" x14ac:dyDescent="0.35">
      <c r="A5587" s="1416">
        <v>42713</v>
      </c>
      <c r="B5587" s="1415">
        <v>9.59</v>
      </c>
    </row>
    <row r="5588" spans="1:2" x14ac:dyDescent="0.35">
      <c r="A5588" s="1416">
        <v>42716</v>
      </c>
      <c r="B5588" s="1415">
        <v>9.64</v>
      </c>
    </row>
    <row r="5589" spans="1:2" x14ac:dyDescent="0.35">
      <c r="A5589" s="1416">
        <v>42717</v>
      </c>
      <c r="B5589" s="1415">
        <v>9.7100000000000009</v>
      </c>
    </row>
    <row r="5590" spans="1:2" x14ac:dyDescent="0.35">
      <c r="A5590" s="1416">
        <v>42718</v>
      </c>
      <c r="B5590" s="1415">
        <v>9.75</v>
      </c>
    </row>
    <row r="5591" spans="1:2" x14ac:dyDescent="0.35">
      <c r="A5591" s="1416">
        <v>42719</v>
      </c>
      <c r="B5591" s="1415">
        <v>9.75</v>
      </c>
    </row>
    <row r="5592" spans="1:2" x14ac:dyDescent="0.35">
      <c r="A5592" s="1416">
        <v>42720</v>
      </c>
      <c r="B5592" s="1415">
        <v>9.5399999999999991</v>
      </c>
    </row>
    <row r="5593" spans="1:2" x14ac:dyDescent="0.35">
      <c r="A5593" s="1416">
        <v>42723</v>
      </c>
      <c r="B5593" s="1415">
        <v>9.65</v>
      </c>
    </row>
    <row r="5594" spans="1:2" x14ac:dyDescent="0.35">
      <c r="A5594" s="1416">
        <v>42724</v>
      </c>
      <c r="B5594" s="1415">
        <v>9.75</v>
      </c>
    </row>
    <row r="5595" spans="1:2" x14ac:dyDescent="0.35">
      <c r="A5595" s="1416">
        <v>42725</v>
      </c>
      <c r="B5595" s="1415">
        <v>9.91</v>
      </c>
    </row>
    <row r="5596" spans="1:2" x14ac:dyDescent="0.35">
      <c r="A5596" s="1416">
        <v>42726</v>
      </c>
      <c r="B5596" s="1415">
        <v>9.92</v>
      </c>
    </row>
    <row r="5597" spans="1:2" x14ac:dyDescent="0.35">
      <c r="A5597" s="1416">
        <v>42727</v>
      </c>
      <c r="B5597" s="1415">
        <v>9.94</v>
      </c>
    </row>
    <row r="5598" spans="1:2" x14ac:dyDescent="0.35">
      <c r="A5598" s="1416">
        <v>42731</v>
      </c>
      <c r="B5598" s="1415">
        <v>9.93</v>
      </c>
    </row>
    <row r="5599" spans="1:2" x14ac:dyDescent="0.35">
      <c r="A5599" s="1416">
        <v>42732</v>
      </c>
      <c r="B5599" s="1415">
        <v>9.92</v>
      </c>
    </row>
    <row r="5600" spans="1:2" x14ac:dyDescent="0.35">
      <c r="A5600" s="1416">
        <v>42733</v>
      </c>
      <c r="B5600" s="1415">
        <v>9.94</v>
      </c>
    </row>
    <row r="5601" spans="1:2" x14ac:dyDescent="0.35">
      <c r="A5601" s="1416">
        <v>42734</v>
      </c>
      <c r="B5601" s="1415">
        <v>9.9</v>
      </c>
    </row>
    <row r="5602" spans="1:2" x14ac:dyDescent="0.35">
      <c r="A5602" s="1416">
        <v>42738</v>
      </c>
      <c r="B5602" s="1415">
        <v>9.93</v>
      </c>
    </row>
    <row r="5603" spans="1:2" x14ac:dyDescent="0.35">
      <c r="A5603" s="1416">
        <v>42739</v>
      </c>
      <c r="B5603" s="1415">
        <v>9.9499999999999993</v>
      </c>
    </row>
    <row r="5604" spans="1:2" x14ac:dyDescent="0.35">
      <c r="A5604" s="1416">
        <v>42740</v>
      </c>
      <c r="B5604" s="1415">
        <v>9.94</v>
      </c>
    </row>
    <row r="5605" spans="1:2" x14ac:dyDescent="0.35">
      <c r="A5605" s="1416">
        <v>42741</v>
      </c>
      <c r="B5605" s="1415">
        <v>9.9499999999999993</v>
      </c>
    </row>
    <row r="5606" spans="1:2" x14ac:dyDescent="0.35">
      <c r="A5606" s="1416">
        <v>42744</v>
      </c>
      <c r="B5606" s="1415">
        <v>9.94</v>
      </c>
    </row>
    <row r="5607" spans="1:2" x14ac:dyDescent="0.35">
      <c r="A5607" s="1416">
        <v>42745</v>
      </c>
      <c r="B5607" s="1415">
        <v>9.9600000000000009</v>
      </c>
    </row>
    <row r="5608" spans="1:2" x14ac:dyDescent="0.35">
      <c r="A5608" s="1416">
        <v>42746</v>
      </c>
      <c r="B5608" s="1415">
        <v>9.94</v>
      </c>
    </row>
    <row r="5609" spans="1:2" x14ac:dyDescent="0.35">
      <c r="A5609" s="1416">
        <v>42747</v>
      </c>
      <c r="B5609" s="1415">
        <v>9.92</v>
      </c>
    </row>
    <row r="5610" spans="1:2" x14ac:dyDescent="0.35">
      <c r="A5610" s="1416">
        <v>42748</v>
      </c>
      <c r="B5610" s="1415">
        <v>9.9499999999999993</v>
      </c>
    </row>
    <row r="5611" spans="1:2" x14ac:dyDescent="0.35">
      <c r="A5611" s="1416">
        <v>42752</v>
      </c>
      <c r="B5611" s="1415">
        <v>9.94</v>
      </c>
    </row>
    <row r="5612" spans="1:2" x14ac:dyDescent="0.35">
      <c r="A5612" s="1416">
        <v>42753</v>
      </c>
      <c r="B5612" s="1415">
        <v>10</v>
      </c>
    </row>
    <row r="5613" spans="1:2" x14ac:dyDescent="0.35">
      <c r="A5613" s="1416">
        <v>42754</v>
      </c>
      <c r="B5613" s="1415">
        <v>9.9499999999999993</v>
      </c>
    </row>
    <row r="5614" spans="1:2" x14ac:dyDescent="0.35">
      <c r="A5614" s="1416">
        <v>42755</v>
      </c>
      <c r="B5614" s="1415">
        <v>9.99</v>
      </c>
    </row>
    <row r="5615" spans="1:2" x14ac:dyDescent="0.35">
      <c r="A5615" s="1416">
        <v>42758</v>
      </c>
      <c r="B5615" s="1415">
        <v>9.9499999999999993</v>
      </c>
    </row>
    <row r="5616" spans="1:2" x14ac:dyDescent="0.35">
      <c r="A5616" s="1416">
        <v>42759</v>
      </c>
      <c r="B5616" s="1415">
        <v>10</v>
      </c>
    </row>
    <row r="5617" spans="1:2" x14ac:dyDescent="0.35">
      <c r="A5617" s="1416">
        <v>42760</v>
      </c>
      <c r="B5617" s="1415">
        <v>9.99</v>
      </c>
    </row>
    <row r="5618" spans="1:2" x14ac:dyDescent="0.35">
      <c r="A5618" s="1416">
        <v>42761</v>
      </c>
      <c r="B5618" s="1415">
        <v>9.99</v>
      </c>
    </row>
    <row r="5619" spans="1:2" x14ac:dyDescent="0.35">
      <c r="A5619" s="1416">
        <v>42762</v>
      </c>
      <c r="B5619" s="1415">
        <v>9.99</v>
      </c>
    </row>
    <row r="5620" spans="1:2" x14ac:dyDescent="0.35">
      <c r="A5620" s="1416">
        <v>42765</v>
      </c>
      <c r="B5620" s="1415">
        <v>10</v>
      </c>
    </row>
    <row r="5621" spans="1:2" x14ac:dyDescent="0.35">
      <c r="A5621" s="1416">
        <v>42766</v>
      </c>
      <c r="B5621" s="1415">
        <v>9.99</v>
      </c>
    </row>
    <row r="5622" spans="1:2" x14ac:dyDescent="0.35">
      <c r="A5622" s="1416">
        <v>42767</v>
      </c>
      <c r="B5622" s="1415">
        <v>9.9949999999999992</v>
      </c>
    </row>
  </sheetData>
  <printOptions horizontalCentered="1" verticalCentered="1"/>
  <pageMargins left="0.75" right="0.75" top="1" bottom="1" header="0.5" footer="0.5"/>
  <pageSetup paperSize="9" scale="79" orientation="landscape" horizontalDpi="300" verticalDpi="300"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560C0-02DE-49FD-892F-232413D54B00}">
  <dimension ref="A5:IV396"/>
  <sheetViews>
    <sheetView workbookViewId="0">
      <pane xSplit="1" ySplit="16" topLeftCell="N233" activePane="bottomRight" state="frozen"/>
      <selection pane="topRight" activeCell="B1" sqref="B1"/>
      <selection pane="bottomLeft" activeCell="A17" sqref="A17"/>
      <selection pane="bottomRight" activeCell="V250" sqref="V250"/>
    </sheetView>
  </sheetViews>
  <sheetFormatPr defaultRowHeight="10" x14ac:dyDescent="0.2"/>
  <cols>
    <col min="1" max="1" width="45.81640625" style="1302" customWidth="1"/>
    <col min="2" max="25" width="14.81640625" style="1302" customWidth="1"/>
    <col min="26" max="99" width="12.26953125" style="1302" customWidth="1"/>
    <col min="100" max="256" width="9.1796875" style="1302"/>
    <col min="257" max="257" width="45.81640625" style="1302" customWidth="1"/>
    <col min="258" max="281" width="14.81640625" style="1302" customWidth="1"/>
    <col min="282" max="355" width="12.26953125" style="1302" customWidth="1"/>
    <col min="356" max="512" width="9.1796875" style="1302"/>
    <col min="513" max="513" width="45.81640625" style="1302" customWidth="1"/>
    <col min="514" max="537" width="14.81640625" style="1302" customWidth="1"/>
    <col min="538" max="611" width="12.26953125" style="1302" customWidth="1"/>
    <col min="612" max="768" width="9.1796875" style="1302"/>
    <col min="769" max="769" width="45.81640625" style="1302" customWidth="1"/>
    <col min="770" max="793" width="14.81640625" style="1302" customWidth="1"/>
    <col min="794" max="867" width="12.26953125" style="1302" customWidth="1"/>
    <col min="868" max="1024" width="9.1796875" style="1302"/>
    <col min="1025" max="1025" width="45.81640625" style="1302" customWidth="1"/>
    <col min="1026" max="1049" width="14.81640625" style="1302" customWidth="1"/>
    <col min="1050" max="1123" width="12.26953125" style="1302" customWidth="1"/>
    <col min="1124" max="1280" width="9.1796875" style="1302"/>
    <col min="1281" max="1281" width="45.81640625" style="1302" customWidth="1"/>
    <col min="1282" max="1305" width="14.81640625" style="1302" customWidth="1"/>
    <col min="1306" max="1379" width="12.26953125" style="1302" customWidth="1"/>
    <col min="1380" max="1536" width="9.1796875" style="1302"/>
    <col min="1537" max="1537" width="45.81640625" style="1302" customWidth="1"/>
    <col min="1538" max="1561" width="14.81640625" style="1302" customWidth="1"/>
    <col min="1562" max="1635" width="12.26953125" style="1302" customWidth="1"/>
    <col min="1636" max="1792" width="9.1796875" style="1302"/>
    <col min="1793" max="1793" width="45.81640625" style="1302" customWidth="1"/>
    <col min="1794" max="1817" width="14.81640625" style="1302" customWidth="1"/>
    <col min="1818" max="1891" width="12.26953125" style="1302" customWidth="1"/>
    <col min="1892" max="2048" width="9.1796875" style="1302"/>
    <col min="2049" max="2049" width="45.81640625" style="1302" customWidth="1"/>
    <col min="2050" max="2073" width="14.81640625" style="1302" customWidth="1"/>
    <col min="2074" max="2147" width="12.26953125" style="1302" customWidth="1"/>
    <col min="2148" max="2304" width="9.1796875" style="1302"/>
    <col min="2305" max="2305" width="45.81640625" style="1302" customWidth="1"/>
    <col min="2306" max="2329" width="14.81640625" style="1302" customWidth="1"/>
    <col min="2330" max="2403" width="12.26953125" style="1302" customWidth="1"/>
    <col min="2404" max="2560" width="9.1796875" style="1302"/>
    <col min="2561" max="2561" width="45.81640625" style="1302" customWidth="1"/>
    <col min="2562" max="2585" width="14.81640625" style="1302" customWidth="1"/>
    <col min="2586" max="2659" width="12.26953125" style="1302" customWidth="1"/>
    <col min="2660" max="2816" width="9.1796875" style="1302"/>
    <col min="2817" max="2817" width="45.81640625" style="1302" customWidth="1"/>
    <col min="2818" max="2841" width="14.81640625" style="1302" customWidth="1"/>
    <col min="2842" max="2915" width="12.26953125" style="1302" customWidth="1"/>
    <col min="2916" max="3072" width="9.1796875" style="1302"/>
    <col min="3073" max="3073" width="45.81640625" style="1302" customWidth="1"/>
    <col min="3074" max="3097" width="14.81640625" style="1302" customWidth="1"/>
    <col min="3098" max="3171" width="12.26953125" style="1302" customWidth="1"/>
    <col min="3172" max="3328" width="9.1796875" style="1302"/>
    <col min="3329" max="3329" width="45.81640625" style="1302" customWidth="1"/>
    <col min="3330" max="3353" width="14.81640625" style="1302" customWidth="1"/>
    <col min="3354" max="3427" width="12.26953125" style="1302" customWidth="1"/>
    <col min="3428" max="3584" width="9.1796875" style="1302"/>
    <col min="3585" max="3585" width="45.81640625" style="1302" customWidth="1"/>
    <col min="3586" max="3609" width="14.81640625" style="1302" customWidth="1"/>
    <col min="3610" max="3683" width="12.26953125" style="1302" customWidth="1"/>
    <col min="3684" max="3840" width="9.1796875" style="1302"/>
    <col min="3841" max="3841" width="45.81640625" style="1302" customWidth="1"/>
    <col min="3842" max="3865" width="14.81640625" style="1302" customWidth="1"/>
    <col min="3866" max="3939" width="12.26953125" style="1302" customWidth="1"/>
    <col min="3940" max="4096" width="9.1796875" style="1302"/>
    <col min="4097" max="4097" width="45.81640625" style="1302" customWidth="1"/>
    <col min="4098" max="4121" width="14.81640625" style="1302" customWidth="1"/>
    <col min="4122" max="4195" width="12.26953125" style="1302" customWidth="1"/>
    <col min="4196" max="4352" width="9.1796875" style="1302"/>
    <col min="4353" max="4353" width="45.81640625" style="1302" customWidth="1"/>
    <col min="4354" max="4377" width="14.81640625" style="1302" customWidth="1"/>
    <col min="4378" max="4451" width="12.26953125" style="1302" customWidth="1"/>
    <col min="4452" max="4608" width="9.1796875" style="1302"/>
    <col min="4609" max="4609" width="45.81640625" style="1302" customWidth="1"/>
    <col min="4610" max="4633" width="14.81640625" style="1302" customWidth="1"/>
    <col min="4634" max="4707" width="12.26953125" style="1302" customWidth="1"/>
    <col min="4708" max="4864" width="9.1796875" style="1302"/>
    <col min="4865" max="4865" width="45.81640625" style="1302" customWidth="1"/>
    <col min="4866" max="4889" width="14.81640625" style="1302" customWidth="1"/>
    <col min="4890" max="4963" width="12.26953125" style="1302" customWidth="1"/>
    <col min="4964" max="5120" width="9.1796875" style="1302"/>
    <col min="5121" max="5121" width="45.81640625" style="1302" customWidth="1"/>
    <col min="5122" max="5145" width="14.81640625" style="1302" customWidth="1"/>
    <col min="5146" max="5219" width="12.26953125" style="1302" customWidth="1"/>
    <col min="5220" max="5376" width="9.1796875" style="1302"/>
    <col min="5377" max="5377" width="45.81640625" style="1302" customWidth="1"/>
    <col min="5378" max="5401" width="14.81640625" style="1302" customWidth="1"/>
    <col min="5402" max="5475" width="12.26953125" style="1302" customWidth="1"/>
    <col min="5476" max="5632" width="9.1796875" style="1302"/>
    <col min="5633" max="5633" width="45.81640625" style="1302" customWidth="1"/>
    <col min="5634" max="5657" width="14.81640625" style="1302" customWidth="1"/>
    <col min="5658" max="5731" width="12.26953125" style="1302" customWidth="1"/>
    <col min="5732" max="5888" width="9.1796875" style="1302"/>
    <col min="5889" max="5889" width="45.81640625" style="1302" customWidth="1"/>
    <col min="5890" max="5913" width="14.81640625" style="1302" customWidth="1"/>
    <col min="5914" max="5987" width="12.26953125" style="1302" customWidth="1"/>
    <col min="5988" max="6144" width="9.1796875" style="1302"/>
    <col min="6145" max="6145" width="45.81640625" style="1302" customWidth="1"/>
    <col min="6146" max="6169" width="14.81640625" style="1302" customWidth="1"/>
    <col min="6170" max="6243" width="12.26953125" style="1302" customWidth="1"/>
    <col min="6244" max="6400" width="9.1796875" style="1302"/>
    <col min="6401" max="6401" width="45.81640625" style="1302" customWidth="1"/>
    <col min="6402" max="6425" width="14.81640625" style="1302" customWidth="1"/>
    <col min="6426" max="6499" width="12.26953125" style="1302" customWidth="1"/>
    <col min="6500" max="6656" width="9.1796875" style="1302"/>
    <col min="6657" max="6657" width="45.81640625" style="1302" customWidth="1"/>
    <col min="6658" max="6681" width="14.81640625" style="1302" customWidth="1"/>
    <col min="6682" max="6755" width="12.26953125" style="1302" customWidth="1"/>
    <col min="6756" max="6912" width="9.1796875" style="1302"/>
    <col min="6913" max="6913" width="45.81640625" style="1302" customWidth="1"/>
    <col min="6914" max="6937" width="14.81640625" style="1302" customWidth="1"/>
    <col min="6938" max="7011" width="12.26953125" style="1302" customWidth="1"/>
    <col min="7012" max="7168" width="9.1796875" style="1302"/>
    <col min="7169" max="7169" width="45.81640625" style="1302" customWidth="1"/>
    <col min="7170" max="7193" width="14.81640625" style="1302" customWidth="1"/>
    <col min="7194" max="7267" width="12.26953125" style="1302" customWidth="1"/>
    <col min="7268" max="7424" width="9.1796875" style="1302"/>
    <col min="7425" max="7425" width="45.81640625" style="1302" customWidth="1"/>
    <col min="7426" max="7449" width="14.81640625" style="1302" customWidth="1"/>
    <col min="7450" max="7523" width="12.26953125" style="1302" customWidth="1"/>
    <col min="7524" max="7680" width="9.1796875" style="1302"/>
    <col min="7681" max="7681" width="45.81640625" style="1302" customWidth="1"/>
    <col min="7682" max="7705" width="14.81640625" style="1302" customWidth="1"/>
    <col min="7706" max="7779" width="12.26953125" style="1302" customWidth="1"/>
    <col min="7780" max="7936" width="9.1796875" style="1302"/>
    <col min="7937" max="7937" width="45.81640625" style="1302" customWidth="1"/>
    <col min="7938" max="7961" width="14.81640625" style="1302" customWidth="1"/>
    <col min="7962" max="8035" width="12.26953125" style="1302" customWidth="1"/>
    <col min="8036" max="8192" width="9.1796875" style="1302"/>
    <col min="8193" max="8193" width="45.81640625" style="1302" customWidth="1"/>
    <col min="8194" max="8217" width="14.81640625" style="1302" customWidth="1"/>
    <col min="8218" max="8291" width="12.26953125" style="1302" customWidth="1"/>
    <col min="8292" max="8448" width="9.1796875" style="1302"/>
    <col min="8449" max="8449" width="45.81640625" style="1302" customWidth="1"/>
    <col min="8450" max="8473" width="14.81640625" style="1302" customWidth="1"/>
    <col min="8474" max="8547" width="12.26953125" style="1302" customWidth="1"/>
    <col min="8548" max="8704" width="9.1796875" style="1302"/>
    <col min="8705" max="8705" width="45.81640625" style="1302" customWidth="1"/>
    <col min="8706" max="8729" width="14.81640625" style="1302" customWidth="1"/>
    <col min="8730" max="8803" width="12.26953125" style="1302" customWidth="1"/>
    <col min="8804" max="8960" width="9.1796875" style="1302"/>
    <col min="8961" max="8961" width="45.81640625" style="1302" customWidth="1"/>
    <col min="8962" max="8985" width="14.81640625" style="1302" customWidth="1"/>
    <col min="8986" max="9059" width="12.26953125" style="1302" customWidth="1"/>
    <col min="9060" max="9216" width="9.1796875" style="1302"/>
    <col min="9217" max="9217" width="45.81640625" style="1302" customWidth="1"/>
    <col min="9218" max="9241" width="14.81640625" style="1302" customWidth="1"/>
    <col min="9242" max="9315" width="12.26953125" style="1302" customWidth="1"/>
    <col min="9316" max="9472" width="9.1796875" style="1302"/>
    <col min="9473" max="9473" width="45.81640625" style="1302" customWidth="1"/>
    <col min="9474" max="9497" width="14.81640625" style="1302" customWidth="1"/>
    <col min="9498" max="9571" width="12.26953125" style="1302" customWidth="1"/>
    <col min="9572" max="9728" width="9.1796875" style="1302"/>
    <col min="9729" max="9729" width="45.81640625" style="1302" customWidth="1"/>
    <col min="9730" max="9753" width="14.81640625" style="1302" customWidth="1"/>
    <col min="9754" max="9827" width="12.26953125" style="1302" customWidth="1"/>
    <col min="9828" max="9984" width="9.1796875" style="1302"/>
    <col min="9985" max="9985" width="45.81640625" style="1302" customWidth="1"/>
    <col min="9986" max="10009" width="14.81640625" style="1302" customWidth="1"/>
    <col min="10010" max="10083" width="12.26953125" style="1302" customWidth="1"/>
    <col min="10084" max="10240" width="9.1796875" style="1302"/>
    <col min="10241" max="10241" width="45.81640625" style="1302" customWidth="1"/>
    <col min="10242" max="10265" width="14.81640625" style="1302" customWidth="1"/>
    <col min="10266" max="10339" width="12.26953125" style="1302" customWidth="1"/>
    <col min="10340" max="10496" width="9.1796875" style="1302"/>
    <col min="10497" max="10497" width="45.81640625" style="1302" customWidth="1"/>
    <col min="10498" max="10521" width="14.81640625" style="1302" customWidth="1"/>
    <col min="10522" max="10595" width="12.26953125" style="1302" customWidth="1"/>
    <col min="10596" max="10752" width="9.1796875" style="1302"/>
    <col min="10753" max="10753" width="45.81640625" style="1302" customWidth="1"/>
    <col min="10754" max="10777" width="14.81640625" style="1302" customWidth="1"/>
    <col min="10778" max="10851" width="12.26953125" style="1302" customWidth="1"/>
    <col min="10852" max="11008" width="9.1796875" style="1302"/>
    <col min="11009" max="11009" width="45.81640625" style="1302" customWidth="1"/>
    <col min="11010" max="11033" width="14.81640625" style="1302" customWidth="1"/>
    <col min="11034" max="11107" width="12.26953125" style="1302" customWidth="1"/>
    <col min="11108" max="11264" width="9.1796875" style="1302"/>
    <col min="11265" max="11265" width="45.81640625" style="1302" customWidth="1"/>
    <col min="11266" max="11289" width="14.81640625" style="1302" customWidth="1"/>
    <col min="11290" max="11363" width="12.26953125" style="1302" customWidth="1"/>
    <col min="11364" max="11520" width="9.1796875" style="1302"/>
    <col min="11521" max="11521" width="45.81640625" style="1302" customWidth="1"/>
    <col min="11522" max="11545" width="14.81640625" style="1302" customWidth="1"/>
    <col min="11546" max="11619" width="12.26953125" style="1302" customWidth="1"/>
    <col min="11620" max="11776" width="9.1796875" style="1302"/>
    <col min="11777" max="11777" width="45.81640625" style="1302" customWidth="1"/>
    <col min="11778" max="11801" width="14.81640625" style="1302" customWidth="1"/>
    <col min="11802" max="11875" width="12.26953125" style="1302" customWidth="1"/>
    <col min="11876" max="12032" width="9.1796875" style="1302"/>
    <col min="12033" max="12033" width="45.81640625" style="1302" customWidth="1"/>
    <col min="12034" max="12057" width="14.81640625" style="1302" customWidth="1"/>
    <col min="12058" max="12131" width="12.26953125" style="1302" customWidth="1"/>
    <col min="12132" max="12288" width="9.1796875" style="1302"/>
    <col min="12289" max="12289" width="45.81640625" style="1302" customWidth="1"/>
    <col min="12290" max="12313" width="14.81640625" style="1302" customWidth="1"/>
    <col min="12314" max="12387" width="12.26953125" style="1302" customWidth="1"/>
    <col min="12388" max="12544" width="9.1796875" style="1302"/>
    <col min="12545" max="12545" width="45.81640625" style="1302" customWidth="1"/>
    <col min="12546" max="12569" width="14.81640625" style="1302" customWidth="1"/>
    <col min="12570" max="12643" width="12.26953125" style="1302" customWidth="1"/>
    <col min="12644" max="12800" width="9.1796875" style="1302"/>
    <col min="12801" max="12801" width="45.81640625" style="1302" customWidth="1"/>
    <col min="12802" max="12825" width="14.81640625" style="1302" customWidth="1"/>
    <col min="12826" max="12899" width="12.26953125" style="1302" customWidth="1"/>
    <col min="12900" max="13056" width="9.1796875" style="1302"/>
    <col min="13057" max="13057" width="45.81640625" style="1302" customWidth="1"/>
    <col min="13058" max="13081" width="14.81640625" style="1302" customWidth="1"/>
    <col min="13082" max="13155" width="12.26953125" style="1302" customWidth="1"/>
    <col min="13156" max="13312" width="9.1796875" style="1302"/>
    <col min="13313" max="13313" width="45.81640625" style="1302" customWidth="1"/>
    <col min="13314" max="13337" width="14.81640625" style="1302" customWidth="1"/>
    <col min="13338" max="13411" width="12.26953125" style="1302" customWidth="1"/>
    <col min="13412" max="13568" width="9.1796875" style="1302"/>
    <col min="13569" max="13569" width="45.81640625" style="1302" customWidth="1"/>
    <col min="13570" max="13593" width="14.81640625" style="1302" customWidth="1"/>
    <col min="13594" max="13667" width="12.26953125" style="1302" customWidth="1"/>
    <col min="13668" max="13824" width="9.1796875" style="1302"/>
    <col min="13825" max="13825" width="45.81640625" style="1302" customWidth="1"/>
    <col min="13826" max="13849" width="14.81640625" style="1302" customWidth="1"/>
    <col min="13850" max="13923" width="12.26953125" style="1302" customWidth="1"/>
    <col min="13924" max="14080" width="9.1796875" style="1302"/>
    <col min="14081" max="14081" width="45.81640625" style="1302" customWidth="1"/>
    <col min="14082" max="14105" width="14.81640625" style="1302" customWidth="1"/>
    <col min="14106" max="14179" width="12.26953125" style="1302" customWidth="1"/>
    <col min="14180" max="14336" width="9.1796875" style="1302"/>
    <col min="14337" max="14337" width="45.81640625" style="1302" customWidth="1"/>
    <col min="14338" max="14361" width="14.81640625" style="1302" customWidth="1"/>
    <col min="14362" max="14435" width="12.26953125" style="1302" customWidth="1"/>
    <col min="14436" max="14592" width="9.1796875" style="1302"/>
    <col min="14593" max="14593" width="45.81640625" style="1302" customWidth="1"/>
    <col min="14594" max="14617" width="14.81640625" style="1302" customWidth="1"/>
    <col min="14618" max="14691" width="12.26953125" style="1302" customWidth="1"/>
    <col min="14692" max="14848" width="9.1796875" style="1302"/>
    <col min="14849" max="14849" width="45.81640625" style="1302" customWidth="1"/>
    <col min="14850" max="14873" width="14.81640625" style="1302" customWidth="1"/>
    <col min="14874" max="14947" width="12.26953125" style="1302" customWidth="1"/>
    <col min="14948" max="15104" width="9.1796875" style="1302"/>
    <col min="15105" max="15105" width="45.81640625" style="1302" customWidth="1"/>
    <col min="15106" max="15129" width="14.81640625" style="1302" customWidth="1"/>
    <col min="15130" max="15203" width="12.26953125" style="1302" customWidth="1"/>
    <col min="15204" max="15360" width="9.1796875" style="1302"/>
    <col min="15361" max="15361" width="45.81640625" style="1302" customWidth="1"/>
    <col min="15362" max="15385" width="14.81640625" style="1302" customWidth="1"/>
    <col min="15386" max="15459" width="12.26953125" style="1302" customWidth="1"/>
    <col min="15460" max="15616" width="9.1796875" style="1302"/>
    <col min="15617" max="15617" width="45.81640625" style="1302" customWidth="1"/>
    <col min="15618" max="15641" width="14.81640625" style="1302" customWidth="1"/>
    <col min="15642" max="15715" width="12.26953125" style="1302" customWidth="1"/>
    <col min="15716" max="15872" width="9.1796875" style="1302"/>
    <col min="15873" max="15873" width="45.81640625" style="1302" customWidth="1"/>
    <col min="15874" max="15897" width="14.81640625" style="1302" customWidth="1"/>
    <col min="15898" max="15971" width="12.26953125" style="1302" customWidth="1"/>
    <col min="15972" max="16128" width="9.1796875" style="1302"/>
    <col min="16129" max="16129" width="45.81640625" style="1302" customWidth="1"/>
    <col min="16130" max="16153" width="14.81640625" style="1302" customWidth="1"/>
    <col min="16154" max="16227" width="12.26953125" style="1302" customWidth="1"/>
    <col min="16228" max="16384" width="9.1796875" style="1302"/>
  </cols>
  <sheetData>
    <row r="5" spans="1:255" ht="17" x14ac:dyDescent="0.35">
      <c r="A5" s="1301" t="s">
        <v>1193</v>
      </c>
    </row>
    <row r="7" spans="1:255" ht="10.5" x14ac:dyDescent="0.25">
      <c r="A7" s="1303" t="s">
        <v>1194</v>
      </c>
      <c r="B7" s="1304" t="s">
        <v>1195</v>
      </c>
      <c r="C7" s="1302" t="s">
        <v>1196</v>
      </c>
      <c r="D7" s="1305" t="s">
        <v>1197</v>
      </c>
      <c r="E7" s="1304" t="s">
        <v>1198</v>
      </c>
      <c r="F7" s="1302" t="s">
        <v>1199</v>
      </c>
    </row>
    <row r="8" spans="1:255" ht="10.5" x14ac:dyDescent="0.25">
      <c r="A8" s="1305"/>
      <c r="B8" s="1304" t="s">
        <v>1200</v>
      </c>
      <c r="C8" s="1302" t="s">
        <v>1201</v>
      </c>
      <c r="D8" s="1305" t="s">
        <v>1197</v>
      </c>
      <c r="E8" s="1304" t="s">
        <v>1202</v>
      </c>
      <c r="F8" s="1302" t="s">
        <v>1203</v>
      </c>
    </row>
    <row r="9" spans="1:255" ht="10.5" x14ac:dyDescent="0.25">
      <c r="A9" s="1305"/>
      <c r="B9" s="1304" t="s">
        <v>1204</v>
      </c>
      <c r="C9" s="1302" t="s">
        <v>1205</v>
      </c>
      <c r="D9" s="1305" t="s">
        <v>1197</v>
      </c>
      <c r="E9" s="1304" t="s">
        <v>1206</v>
      </c>
      <c r="F9" s="1302" t="s">
        <v>1207</v>
      </c>
    </row>
    <row r="10" spans="1:255" ht="10.5" x14ac:dyDescent="0.25">
      <c r="A10" s="1305"/>
      <c r="B10" s="1304" t="s">
        <v>1208</v>
      </c>
      <c r="C10" s="1302" t="s">
        <v>1209</v>
      </c>
      <c r="D10" s="1305" t="s">
        <v>1197</v>
      </c>
      <c r="E10" s="1304" t="s">
        <v>1210</v>
      </c>
      <c r="F10" s="1306" t="s">
        <v>1211</v>
      </c>
    </row>
    <row r="11" spans="1:255" ht="10.5" x14ac:dyDescent="0.25">
      <c r="A11" s="1305"/>
      <c r="B11" s="1304" t="s">
        <v>1212</v>
      </c>
      <c r="C11" s="1302" t="s">
        <v>1213</v>
      </c>
      <c r="D11" s="1305" t="s">
        <v>1197</v>
      </c>
      <c r="E11" s="1307"/>
      <c r="F11" s="1307"/>
    </row>
    <row r="14" spans="1:255" x14ac:dyDescent="0.2">
      <c r="A14" s="1308" t="s">
        <v>772</v>
      </c>
      <c r="B14" s="1308"/>
      <c r="C14" s="1308"/>
      <c r="D14" s="1308"/>
      <c r="E14" s="1308"/>
      <c r="F14" s="1308"/>
      <c r="G14" s="1308"/>
      <c r="H14" s="1308"/>
      <c r="I14" s="1308"/>
      <c r="J14" s="1308"/>
      <c r="K14" s="1308"/>
      <c r="L14" s="1308"/>
      <c r="M14" s="1308"/>
      <c r="N14" s="1308"/>
      <c r="O14" s="1308"/>
      <c r="P14" s="1308"/>
      <c r="Q14" s="1308"/>
      <c r="R14" s="1308"/>
      <c r="S14" s="1308"/>
      <c r="T14" s="1308"/>
      <c r="U14" s="1308"/>
      <c r="V14" s="1308"/>
      <c r="W14" s="1308"/>
      <c r="X14" s="1308"/>
      <c r="Y14" s="1308"/>
      <c r="Z14" s="1308"/>
      <c r="AA14" s="1309"/>
      <c r="AB14" s="1309"/>
      <c r="AC14" s="1309"/>
      <c r="AD14" s="1309"/>
      <c r="AE14" s="1309"/>
      <c r="AF14" s="1309"/>
      <c r="AG14" s="1309"/>
      <c r="AH14" s="1309"/>
      <c r="AI14" s="1309"/>
      <c r="AJ14" s="1309"/>
      <c r="AK14" s="1309"/>
      <c r="AL14" s="1309"/>
      <c r="AM14" s="1309"/>
      <c r="AN14" s="1309"/>
      <c r="AO14" s="1309"/>
      <c r="AP14" s="1309"/>
      <c r="AQ14" s="1309"/>
      <c r="AR14" s="1309"/>
      <c r="AS14" s="1309"/>
      <c r="AT14" s="1309"/>
      <c r="AU14" s="1309"/>
      <c r="AV14" s="1309"/>
      <c r="AW14" s="1309"/>
      <c r="AX14" s="1309"/>
      <c r="AY14" s="1309"/>
      <c r="AZ14" s="1309"/>
      <c r="BA14" s="1309"/>
      <c r="BB14" s="1309"/>
      <c r="BC14" s="1309"/>
      <c r="BD14" s="1309"/>
      <c r="BE14" s="1309"/>
      <c r="BF14" s="1309"/>
      <c r="BG14" s="1309"/>
      <c r="BH14" s="1309"/>
      <c r="BI14" s="1309"/>
      <c r="BJ14" s="1309"/>
      <c r="BK14" s="1309"/>
      <c r="BL14" s="1309"/>
      <c r="BM14" s="1309"/>
      <c r="BN14" s="1309"/>
      <c r="BO14" s="1309"/>
      <c r="BP14" s="1309"/>
      <c r="BQ14" s="1309"/>
      <c r="BR14" s="1309"/>
      <c r="BS14" s="1309"/>
      <c r="BT14" s="1309"/>
      <c r="BU14" s="1309"/>
      <c r="BV14" s="1309"/>
      <c r="BW14" s="1309"/>
      <c r="BX14" s="1309"/>
      <c r="BY14" s="1309"/>
      <c r="BZ14" s="1309"/>
      <c r="CA14" s="1309"/>
      <c r="CB14" s="1309"/>
      <c r="CC14" s="1309"/>
      <c r="CD14" s="1309"/>
      <c r="CE14" s="1309"/>
      <c r="CF14" s="1309"/>
      <c r="CG14" s="1309"/>
      <c r="CH14" s="1309"/>
      <c r="CI14" s="1309"/>
      <c r="CJ14" s="1309"/>
      <c r="CK14" s="1309"/>
      <c r="CL14" s="1309"/>
      <c r="CM14" s="1309"/>
      <c r="CN14" s="1309"/>
      <c r="CO14" s="1309"/>
      <c r="CP14" s="1309"/>
      <c r="CQ14" s="1309"/>
      <c r="CR14" s="1309"/>
      <c r="CS14" s="1309"/>
      <c r="CT14" s="1309"/>
      <c r="CU14" s="1309"/>
      <c r="CV14" s="1309"/>
      <c r="CW14" s="1309"/>
      <c r="CX14" s="1309"/>
      <c r="CY14" s="1309"/>
      <c r="CZ14" s="1309"/>
      <c r="DA14" s="1309"/>
      <c r="DB14" s="1309"/>
      <c r="DC14" s="1309"/>
      <c r="DD14" s="1309"/>
      <c r="DE14" s="1309"/>
      <c r="DF14" s="1309"/>
      <c r="DG14" s="1309"/>
      <c r="DH14" s="1309"/>
      <c r="DI14" s="1309"/>
      <c r="DJ14" s="1309"/>
      <c r="DK14" s="1309"/>
      <c r="DL14" s="1309"/>
      <c r="DM14" s="1309"/>
      <c r="DN14" s="1309"/>
      <c r="DO14" s="1309"/>
      <c r="DP14" s="1309"/>
      <c r="DQ14" s="1309"/>
      <c r="DR14" s="1309"/>
      <c r="DS14" s="1309"/>
      <c r="DT14" s="1309"/>
      <c r="DU14" s="1309"/>
      <c r="DV14" s="1309"/>
      <c r="DW14" s="1309"/>
      <c r="DX14" s="1309"/>
      <c r="DY14" s="1309"/>
      <c r="DZ14" s="1309"/>
      <c r="EA14" s="1309"/>
      <c r="EB14" s="1309"/>
      <c r="EC14" s="1309"/>
      <c r="ED14" s="1309"/>
      <c r="EE14" s="1309"/>
      <c r="EF14" s="1309"/>
      <c r="EG14" s="1309"/>
      <c r="EH14" s="1309"/>
      <c r="EI14" s="1309"/>
      <c r="EJ14" s="1309"/>
      <c r="EK14" s="1309"/>
      <c r="EL14" s="1309"/>
      <c r="EM14" s="1309"/>
      <c r="EN14" s="1309"/>
      <c r="EO14" s="1309"/>
      <c r="EP14" s="1309"/>
      <c r="EQ14" s="1309"/>
      <c r="ER14" s="1309"/>
      <c r="ES14" s="1309"/>
      <c r="ET14" s="1309"/>
      <c r="EU14" s="1309"/>
      <c r="EV14" s="1309"/>
      <c r="EW14" s="1309"/>
      <c r="EX14" s="1309"/>
      <c r="EY14" s="1309"/>
      <c r="EZ14" s="1309"/>
      <c r="FA14" s="1309"/>
      <c r="FB14" s="1309"/>
      <c r="FC14" s="1309"/>
      <c r="FD14" s="1309"/>
      <c r="FE14" s="1309"/>
      <c r="FF14" s="1309"/>
      <c r="FG14" s="1309"/>
      <c r="FH14" s="1309"/>
      <c r="FI14" s="1309"/>
      <c r="FJ14" s="1309"/>
      <c r="FK14" s="1309"/>
      <c r="FL14" s="1309"/>
      <c r="FM14" s="1309"/>
      <c r="FN14" s="1309"/>
      <c r="FO14" s="1309"/>
      <c r="FP14" s="1309"/>
      <c r="FQ14" s="1309"/>
      <c r="FR14" s="1309"/>
      <c r="FS14" s="1309"/>
      <c r="FT14" s="1309"/>
      <c r="FU14" s="1309"/>
      <c r="FV14" s="1309"/>
      <c r="FW14" s="1309"/>
      <c r="FX14" s="1309"/>
      <c r="FY14" s="1309"/>
      <c r="FZ14" s="1309"/>
      <c r="GA14" s="1309"/>
      <c r="GB14" s="1309"/>
      <c r="GC14" s="1309"/>
      <c r="GD14" s="1309"/>
      <c r="GE14" s="1309"/>
      <c r="GF14" s="1309"/>
      <c r="GG14" s="1309"/>
      <c r="GH14" s="1309"/>
      <c r="GI14" s="1309"/>
      <c r="GJ14" s="1309"/>
      <c r="GK14" s="1309"/>
      <c r="GL14" s="1309"/>
      <c r="GM14" s="1309"/>
      <c r="GN14" s="1309"/>
      <c r="GO14" s="1309"/>
      <c r="GP14" s="1309"/>
      <c r="GQ14" s="1309"/>
      <c r="GR14" s="1309"/>
      <c r="GS14" s="1309"/>
      <c r="GT14" s="1309"/>
      <c r="GU14" s="1309"/>
      <c r="GV14" s="1309"/>
      <c r="GW14" s="1309"/>
      <c r="GX14" s="1309"/>
      <c r="GY14" s="1309"/>
      <c r="GZ14" s="1309"/>
      <c r="HA14" s="1309"/>
      <c r="HB14" s="1309"/>
      <c r="HC14" s="1309"/>
      <c r="HD14" s="1309"/>
      <c r="HE14" s="1309"/>
      <c r="HF14" s="1309"/>
      <c r="HG14" s="1309"/>
      <c r="HH14" s="1309"/>
      <c r="HI14" s="1309"/>
      <c r="HJ14" s="1309"/>
      <c r="HK14" s="1309"/>
      <c r="HL14" s="1309"/>
      <c r="HM14" s="1309"/>
      <c r="HN14" s="1309"/>
      <c r="HO14" s="1309"/>
      <c r="HP14" s="1309"/>
      <c r="HQ14" s="1309"/>
      <c r="HR14" s="1309"/>
      <c r="HS14" s="1309"/>
      <c r="HT14" s="1309"/>
      <c r="HU14" s="1309"/>
      <c r="HV14" s="1309"/>
      <c r="HW14" s="1309"/>
      <c r="HX14" s="1309"/>
      <c r="HY14" s="1309"/>
      <c r="HZ14" s="1309"/>
      <c r="IA14" s="1309"/>
      <c r="IB14" s="1309"/>
      <c r="IC14" s="1309"/>
      <c r="ID14" s="1309"/>
      <c r="IE14" s="1309"/>
      <c r="IF14" s="1309"/>
      <c r="IG14" s="1309"/>
      <c r="IH14" s="1309"/>
      <c r="II14" s="1309"/>
      <c r="IJ14" s="1309"/>
      <c r="IK14" s="1309"/>
      <c r="IL14" s="1309"/>
      <c r="IM14" s="1309"/>
      <c r="IN14" s="1309"/>
      <c r="IO14" s="1309"/>
      <c r="IP14" s="1309"/>
      <c r="IQ14" s="1309"/>
      <c r="IR14" s="1309"/>
      <c r="IS14" s="1309"/>
      <c r="IT14" s="1309"/>
      <c r="IU14" s="1309"/>
    </row>
    <row r="15" spans="1:255" ht="31.5" x14ac:dyDescent="0.25">
      <c r="A15" s="1310" t="s">
        <v>1214</v>
      </c>
      <c r="B15" s="1311" t="s">
        <v>1215</v>
      </c>
      <c r="C15" s="1311" t="s">
        <v>1216</v>
      </c>
      <c r="D15" s="1311" t="s">
        <v>1217</v>
      </c>
      <c r="E15" s="1311" t="s">
        <v>1218</v>
      </c>
      <c r="F15" s="1311" t="s">
        <v>1219</v>
      </c>
      <c r="G15" s="1311" t="s">
        <v>1220</v>
      </c>
      <c r="H15" s="1311" t="s">
        <v>1221</v>
      </c>
      <c r="I15" s="1311" t="s">
        <v>1222</v>
      </c>
      <c r="J15" s="1311" t="s">
        <v>1223</v>
      </c>
      <c r="K15" s="1311" t="s">
        <v>1224</v>
      </c>
      <c r="L15" s="1311" t="s">
        <v>1225</v>
      </c>
      <c r="M15" s="1311" t="s">
        <v>1226</v>
      </c>
      <c r="N15" s="1311" t="s">
        <v>1227</v>
      </c>
      <c r="O15" s="1311" t="s">
        <v>1228</v>
      </c>
      <c r="P15" s="1311" t="s">
        <v>1229</v>
      </c>
      <c r="Q15" s="1311" t="s">
        <v>1230</v>
      </c>
      <c r="R15" s="1311" t="s">
        <v>1231</v>
      </c>
      <c r="S15" s="1311" t="s">
        <v>1232</v>
      </c>
      <c r="T15" s="1311" t="s">
        <v>1233</v>
      </c>
      <c r="U15" s="1311" t="s">
        <v>1234</v>
      </c>
      <c r="V15" s="1311" t="s">
        <v>1235</v>
      </c>
      <c r="W15" s="1311" t="s">
        <v>1236</v>
      </c>
      <c r="X15" s="1311" t="s">
        <v>1237</v>
      </c>
      <c r="Y15" s="1311" t="s">
        <v>1238</v>
      </c>
      <c r="Z15" s="1311" t="s">
        <v>1239</v>
      </c>
    </row>
    <row r="16" spans="1:255" x14ac:dyDescent="0.2">
      <c r="A16" s="1312" t="s">
        <v>1240</v>
      </c>
      <c r="B16" s="1313" t="s">
        <v>10</v>
      </c>
      <c r="C16" s="1313" t="s">
        <v>10</v>
      </c>
      <c r="D16" s="1313" t="s">
        <v>10</v>
      </c>
      <c r="E16" s="1313" t="s">
        <v>10</v>
      </c>
      <c r="F16" s="1313" t="s">
        <v>10</v>
      </c>
      <c r="G16" s="1313" t="s">
        <v>10</v>
      </c>
      <c r="H16" s="1313" t="s">
        <v>10</v>
      </c>
      <c r="I16" s="1313" t="s">
        <v>10</v>
      </c>
      <c r="J16" s="1313" t="s">
        <v>10</v>
      </c>
      <c r="K16" s="1313" t="s">
        <v>10</v>
      </c>
      <c r="L16" s="1313" t="s">
        <v>10</v>
      </c>
      <c r="M16" s="1313" t="s">
        <v>10</v>
      </c>
      <c r="N16" s="1313" t="s">
        <v>10</v>
      </c>
      <c r="O16" s="1313" t="s">
        <v>10</v>
      </c>
      <c r="P16" s="1313" t="s">
        <v>10</v>
      </c>
      <c r="Q16" s="1313" t="s">
        <v>10</v>
      </c>
      <c r="R16" s="1313" t="s">
        <v>10</v>
      </c>
      <c r="S16" s="1313" t="s">
        <v>10</v>
      </c>
      <c r="T16" s="1313" t="s">
        <v>10</v>
      </c>
      <c r="U16" s="1313" t="s">
        <v>10</v>
      </c>
      <c r="V16" s="1313" t="s">
        <v>10</v>
      </c>
      <c r="W16" s="1313" t="s">
        <v>10</v>
      </c>
      <c r="X16" s="1313" t="s">
        <v>10</v>
      </c>
      <c r="Y16" s="1313" t="s">
        <v>10</v>
      </c>
      <c r="Z16" s="1313" t="s">
        <v>10</v>
      </c>
    </row>
    <row r="17" spans="1:26" ht="10.5" x14ac:dyDescent="0.2">
      <c r="A17" s="1314" t="s">
        <v>1241</v>
      </c>
      <c r="B17" s="1305"/>
      <c r="C17" s="1305"/>
      <c r="D17" s="1305"/>
      <c r="E17" s="1305"/>
      <c r="F17" s="1305"/>
      <c r="G17" s="1305"/>
      <c r="H17" s="1305"/>
      <c r="I17" s="1305"/>
      <c r="J17" s="1305"/>
      <c r="K17" s="1305"/>
      <c r="L17" s="1305"/>
      <c r="M17" s="1305"/>
      <c r="N17" s="1305"/>
      <c r="O17" s="1305"/>
      <c r="P17" s="1305"/>
      <c r="Q17" s="1305"/>
      <c r="R17" s="1305"/>
      <c r="S17" s="1305"/>
      <c r="T17" s="1305"/>
      <c r="U17" s="1305"/>
      <c r="V17" s="1305"/>
      <c r="W17" s="1305"/>
      <c r="X17" s="1305"/>
      <c r="Y17" s="1305"/>
      <c r="Z17" s="1305"/>
    </row>
    <row r="18" spans="1:26" x14ac:dyDescent="0.2">
      <c r="A18" s="1305" t="s">
        <v>654</v>
      </c>
      <c r="B18" s="1315">
        <v>97.545000000000002</v>
      </c>
      <c r="C18" s="1315">
        <v>124.72</v>
      </c>
      <c r="D18" s="1315">
        <v>161.01300000000001</v>
      </c>
      <c r="E18" s="1315">
        <v>211.24700000000001</v>
      </c>
      <c r="F18" s="1315">
        <v>279.19499999999999</v>
      </c>
      <c r="G18" s="1315">
        <v>384.87700000000001</v>
      </c>
      <c r="H18" s="1315">
        <v>498.846</v>
      </c>
      <c r="I18" s="1315">
        <v>609.99699999999996</v>
      </c>
      <c r="J18" s="1315">
        <v>769.47400000000005</v>
      </c>
      <c r="K18" s="1315">
        <v>1009.455</v>
      </c>
      <c r="L18" s="1315">
        <v>1339.5170000000001</v>
      </c>
      <c r="M18" s="1315">
        <v>1800.047</v>
      </c>
      <c r="N18" s="1315">
        <v>2251.114</v>
      </c>
      <c r="O18" s="1315">
        <v>2477.5329999999999</v>
      </c>
      <c r="P18" s="1315">
        <v>2723.7930000000001</v>
      </c>
      <c r="Q18" s="1315">
        <v>3133.4360000000001</v>
      </c>
      <c r="R18" s="1315">
        <v>3953.5659999999998</v>
      </c>
      <c r="S18" s="1315">
        <v>4906.6130000000003</v>
      </c>
      <c r="T18" s="1315">
        <v>4711.049</v>
      </c>
      <c r="U18" s="1315">
        <v>4193.1899999999996</v>
      </c>
      <c r="V18" s="1315">
        <v>3613.8510000000001</v>
      </c>
      <c r="W18" s="1315">
        <v>2996.8649999999998</v>
      </c>
      <c r="X18" s="1315">
        <v>2566.277</v>
      </c>
      <c r="Y18" s="1315">
        <v>2101.85</v>
      </c>
      <c r="Z18" s="1315">
        <v>2000.328</v>
      </c>
    </row>
    <row r="19" spans="1:26" x14ac:dyDescent="0.2">
      <c r="A19" s="1305" t="s">
        <v>1242</v>
      </c>
      <c r="B19" s="1315">
        <v>0</v>
      </c>
      <c r="C19" s="1315">
        <v>0</v>
      </c>
      <c r="D19" s="1315">
        <v>0</v>
      </c>
      <c r="E19" s="1315">
        <v>0</v>
      </c>
      <c r="F19" s="1315">
        <v>0</v>
      </c>
      <c r="G19" s="1315">
        <v>0</v>
      </c>
      <c r="H19" s="1315">
        <v>0</v>
      </c>
      <c r="I19" s="1315">
        <v>0</v>
      </c>
      <c r="J19" s="1315">
        <v>0</v>
      </c>
      <c r="K19" s="1315">
        <v>0</v>
      </c>
      <c r="L19" s="1315">
        <v>0</v>
      </c>
      <c r="M19" s="1315">
        <v>0</v>
      </c>
      <c r="N19" s="1315">
        <v>0</v>
      </c>
      <c r="O19" s="1315">
        <v>0</v>
      </c>
      <c r="P19" s="1315">
        <v>0</v>
      </c>
      <c r="Q19" s="1315">
        <v>0</v>
      </c>
      <c r="R19" s="1315">
        <v>0</v>
      </c>
      <c r="S19" s="1315">
        <v>0</v>
      </c>
      <c r="T19" s="1315">
        <v>0</v>
      </c>
      <c r="U19" s="1315">
        <v>0</v>
      </c>
      <c r="V19" s="1315">
        <v>0</v>
      </c>
      <c r="W19" s="1315">
        <v>0</v>
      </c>
      <c r="X19" s="1315">
        <v>0</v>
      </c>
      <c r="Y19" s="1315">
        <v>0</v>
      </c>
      <c r="Z19" s="1315">
        <v>0</v>
      </c>
    </row>
    <row r="20" spans="1:26" ht="10.5" x14ac:dyDescent="0.2">
      <c r="A20" s="1314" t="s">
        <v>1243</v>
      </c>
      <c r="B20" s="1316">
        <v>97.545000000000002</v>
      </c>
      <c r="C20" s="1316">
        <v>124.72</v>
      </c>
      <c r="D20" s="1316">
        <v>161.01300000000001</v>
      </c>
      <c r="E20" s="1316">
        <v>211.24700000000001</v>
      </c>
      <c r="F20" s="1316">
        <v>279.19499999999999</v>
      </c>
      <c r="G20" s="1316">
        <v>384.87700000000001</v>
      </c>
      <c r="H20" s="1316">
        <v>498.846</v>
      </c>
      <c r="I20" s="1316">
        <v>609.99699999999996</v>
      </c>
      <c r="J20" s="1316">
        <v>769.47400000000005</v>
      </c>
      <c r="K20" s="1316">
        <v>1009.455</v>
      </c>
      <c r="L20" s="1316">
        <v>1339.5170000000001</v>
      </c>
      <c r="M20" s="1316">
        <v>1800.047</v>
      </c>
      <c r="N20" s="1316">
        <v>2251.114</v>
      </c>
      <c r="O20" s="1316">
        <v>2477.5329999999999</v>
      </c>
      <c r="P20" s="1316">
        <v>2723.7930000000001</v>
      </c>
      <c r="Q20" s="1316">
        <v>3133.4360000000001</v>
      </c>
      <c r="R20" s="1316">
        <v>3953.5659999999998</v>
      </c>
      <c r="S20" s="1316">
        <v>4906.6130000000003</v>
      </c>
      <c r="T20" s="1316">
        <v>4711.049</v>
      </c>
      <c r="U20" s="1316">
        <v>4193.1899999999996</v>
      </c>
      <c r="V20" s="1316">
        <v>3613.8510000000001</v>
      </c>
      <c r="W20" s="1316">
        <v>2996.8649999999998</v>
      </c>
      <c r="X20" s="1316">
        <v>2566.277</v>
      </c>
      <c r="Y20" s="1316">
        <v>2101.85</v>
      </c>
      <c r="Z20" s="1316">
        <v>2000.328</v>
      </c>
    </row>
    <row r="21" spans="1:26" x14ac:dyDescent="0.2">
      <c r="A21" s="1305"/>
      <c r="B21" s="1305"/>
      <c r="C21" s="1305"/>
      <c r="D21" s="1305"/>
      <c r="E21" s="1305"/>
      <c r="F21" s="1305"/>
      <c r="G21" s="1305"/>
      <c r="H21" s="1305"/>
      <c r="I21" s="1305"/>
      <c r="J21" s="1305"/>
      <c r="K21" s="1305"/>
      <c r="L21" s="1305"/>
      <c r="M21" s="1305"/>
      <c r="N21" s="1305"/>
      <c r="O21" s="1305"/>
      <c r="P21" s="1305"/>
      <c r="Q21" s="1305"/>
      <c r="R21" s="1305"/>
      <c r="S21" s="1305"/>
      <c r="T21" s="1305"/>
      <c r="U21" s="1305"/>
      <c r="V21" s="1305"/>
      <c r="W21" s="1305"/>
      <c r="X21" s="1305"/>
      <c r="Y21" s="1305"/>
      <c r="Z21" s="1305"/>
    </row>
    <row r="22" spans="1:26" x14ac:dyDescent="0.2">
      <c r="A22" s="1305" t="s">
        <v>1244</v>
      </c>
      <c r="B22" s="1315">
        <v>65.319000000000003</v>
      </c>
      <c r="C22" s="1315">
        <v>81.313000000000002</v>
      </c>
      <c r="D22" s="1315">
        <v>102.122</v>
      </c>
      <c r="E22" s="1315">
        <v>130.03899999999999</v>
      </c>
      <c r="F22" s="1315">
        <v>167.72</v>
      </c>
      <c r="G22" s="1315">
        <v>223.52500000000001</v>
      </c>
      <c r="H22" s="1315">
        <v>287.58199999999999</v>
      </c>
      <c r="I22" s="1315">
        <v>352.87400000000002</v>
      </c>
      <c r="J22" s="1315">
        <v>410.084</v>
      </c>
      <c r="K22" s="1315">
        <v>498.45400000000001</v>
      </c>
      <c r="L22" s="1315">
        <v>612.94000000000005</v>
      </c>
      <c r="M22" s="1315">
        <v>781.43700000000001</v>
      </c>
      <c r="N22" s="1315">
        <v>952.47400000000005</v>
      </c>
      <c r="O22" s="1315">
        <v>1109.5840000000001</v>
      </c>
      <c r="P22" s="1315">
        <v>1237.491</v>
      </c>
      <c r="Q22" s="1315">
        <v>1349.8789999999999</v>
      </c>
      <c r="R22" s="1315">
        <v>1333.9190000000001</v>
      </c>
      <c r="S22" s="1315">
        <v>1720.059</v>
      </c>
      <c r="T22" s="1315">
        <v>1759.9860000000001</v>
      </c>
      <c r="U22" s="1315">
        <v>1776.596</v>
      </c>
      <c r="V22" s="1315">
        <v>1543.482</v>
      </c>
      <c r="W22" s="1315">
        <v>1283.194</v>
      </c>
      <c r="X22" s="1315">
        <v>1207.5350000000001</v>
      </c>
      <c r="Y22" s="1315">
        <v>1097.155</v>
      </c>
      <c r="Z22" s="1315">
        <v>1054.5809999999999</v>
      </c>
    </row>
    <row r="23" spans="1:26" ht="10.5" x14ac:dyDescent="0.2">
      <c r="A23" s="1314" t="s">
        <v>1245</v>
      </c>
      <c r="B23" s="1316">
        <v>32.225999999999999</v>
      </c>
      <c r="C23" s="1316">
        <v>43.406999999999996</v>
      </c>
      <c r="D23" s="1316">
        <v>58.890999999999998</v>
      </c>
      <c r="E23" s="1316">
        <v>81.207999999999998</v>
      </c>
      <c r="F23" s="1316">
        <v>111.47499999999999</v>
      </c>
      <c r="G23" s="1316">
        <v>161.352</v>
      </c>
      <c r="H23" s="1316">
        <v>211.26400000000001</v>
      </c>
      <c r="I23" s="1316">
        <v>257.12299999999999</v>
      </c>
      <c r="J23" s="1316">
        <v>359.39</v>
      </c>
      <c r="K23" s="1316">
        <v>511.00099999999998</v>
      </c>
      <c r="L23" s="1316">
        <v>726.577</v>
      </c>
      <c r="M23" s="1316">
        <v>1018.61</v>
      </c>
      <c r="N23" s="1316">
        <v>1298.6400000000001</v>
      </c>
      <c r="O23" s="1316">
        <v>1367.9490000000001</v>
      </c>
      <c r="P23" s="1316">
        <v>1486.3019999999999</v>
      </c>
      <c r="Q23" s="1316">
        <v>1783.557</v>
      </c>
      <c r="R23" s="1316">
        <v>2619.6469999999999</v>
      </c>
      <c r="S23" s="1316">
        <v>3186.5540000000001</v>
      </c>
      <c r="T23" s="1316">
        <v>2951.0630000000001</v>
      </c>
      <c r="U23" s="1316">
        <v>2416.5940000000001</v>
      </c>
      <c r="V23" s="1316">
        <v>2070.3690000000001</v>
      </c>
      <c r="W23" s="1316">
        <v>1713.671</v>
      </c>
      <c r="X23" s="1316">
        <v>1358.742</v>
      </c>
      <c r="Y23" s="1316">
        <v>1004.6950000000001</v>
      </c>
      <c r="Z23" s="1316">
        <v>945.74699999999996</v>
      </c>
    </row>
    <row r="24" spans="1:26" x14ac:dyDescent="0.2">
      <c r="A24" s="1305"/>
      <c r="B24" s="1305"/>
      <c r="C24" s="1305"/>
      <c r="D24" s="1305"/>
      <c r="E24" s="1305"/>
      <c r="F24" s="1305"/>
      <c r="G24" s="1305"/>
      <c r="H24" s="1305"/>
      <c r="I24" s="1305"/>
      <c r="J24" s="1305"/>
      <c r="K24" s="1305"/>
      <c r="L24" s="1305"/>
      <c r="M24" s="1305"/>
      <c r="N24" s="1305"/>
      <c r="O24" s="1305"/>
      <c r="P24" s="1305"/>
      <c r="Q24" s="1305"/>
      <c r="R24" s="1305"/>
      <c r="S24" s="1305"/>
      <c r="T24" s="1305"/>
      <c r="U24" s="1305"/>
      <c r="V24" s="1305"/>
      <c r="W24" s="1305"/>
      <c r="X24" s="1305"/>
      <c r="Y24" s="1305"/>
      <c r="Z24" s="1305"/>
    </row>
    <row r="25" spans="1:26" x14ac:dyDescent="0.2">
      <c r="A25" s="1305" t="s">
        <v>1246</v>
      </c>
      <c r="B25" s="1315">
        <v>30.213999999999999</v>
      </c>
      <c r="C25" s="1315">
        <v>35.112000000000002</v>
      </c>
      <c r="D25" s="1315">
        <v>39.478000000000002</v>
      </c>
      <c r="E25" s="1315">
        <v>49.238999999999997</v>
      </c>
      <c r="F25" s="1315">
        <v>60.667999999999999</v>
      </c>
      <c r="G25" s="1315">
        <v>91.165999999999997</v>
      </c>
      <c r="H25" s="1315">
        <v>118.511</v>
      </c>
      <c r="I25" s="1315">
        <v>143.04599999999999</v>
      </c>
      <c r="J25" s="1315">
        <v>198.387</v>
      </c>
      <c r="K25" s="1315">
        <v>257.149</v>
      </c>
      <c r="L25" s="1315">
        <v>339.31799999999998</v>
      </c>
      <c r="M25" s="1315">
        <v>468.12599999999998</v>
      </c>
      <c r="N25" s="1315">
        <v>584.09299999999996</v>
      </c>
      <c r="O25" s="1315">
        <v>671.71</v>
      </c>
      <c r="P25" s="1315">
        <v>860.60500000000002</v>
      </c>
      <c r="Q25" s="1315">
        <v>1016.181</v>
      </c>
      <c r="R25" s="1315">
        <v>1203.9469999999999</v>
      </c>
      <c r="S25" s="1315">
        <v>1390.3219999999999</v>
      </c>
      <c r="T25" s="1315">
        <v>1425.3330000000001</v>
      </c>
      <c r="U25" s="1315">
        <v>1355.472</v>
      </c>
      <c r="V25" s="1315">
        <v>1208.3920000000001</v>
      </c>
      <c r="W25" s="1315">
        <v>1046.998</v>
      </c>
      <c r="X25" s="1315">
        <v>971.18899999999996</v>
      </c>
      <c r="Y25" s="1315">
        <v>723.57600000000002</v>
      </c>
      <c r="Z25" s="1315">
        <v>697.02099999999996</v>
      </c>
    </row>
    <row r="26" spans="1:26" x14ac:dyDescent="0.2">
      <c r="A26" s="1305" t="s">
        <v>1247</v>
      </c>
      <c r="B26" s="1315">
        <v>0</v>
      </c>
      <c r="C26" s="1315">
        <v>0</v>
      </c>
      <c r="D26" s="1315">
        <v>0</v>
      </c>
      <c r="E26" s="1315">
        <v>0</v>
      </c>
      <c r="F26" s="1315">
        <v>0</v>
      </c>
      <c r="G26" s="1315">
        <v>0</v>
      </c>
      <c r="H26" s="1315">
        <v>0</v>
      </c>
      <c r="I26" s="1315">
        <v>0</v>
      </c>
      <c r="J26" s="1315">
        <v>0</v>
      </c>
      <c r="K26" s="1315">
        <v>0</v>
      </c>
      <c r="L26" s="1315">
        <v>0</v>
      </c>
      <c r="M26" s="1315">
        <v>0</v>
      </c>
      <c r="N26" s="1315">
        <v>0</v>
      </c>
      <c r="O26" s="1315">
        <v>0</v>
      </c>
      <c r="P26" s="1315">
        <v>0</v>
      </c>
      <c r="Q26" s="1315">
        <v>0</v>
      </c>
      <c r="R26" s="1315">
        <v>151.02099999999999</v>
      </c>
      <c r="S26" s="1315">
        <v>282.62799999999999</v>
      </c>
      <c r="T26" s="1315">
        <v>181.297</v>
      </c>
      <c r="U26" s="1315">
        <v>146.74199999999999</v>
      </c>
      <c r="V26" s="1315">
        <v>83.798000000000002</v>
      </c>
      <c r="W26" s="1315">
        <v>53.819000000000003</v>
      </c>
      <c r="X26" s="1315">
        <v>59.204999999999998</v>
      </c>
      <c r="Y26" s="1315">
        <v>55.881999999999998</v>
      </c>
      <c r="Z26" s="1315">
        <v>54.499000000000002</v>
      </c>
    </row>
    <row r="27" spans="1:26" x14ac:dyDescent="0.2">
      <c r="A27" s="1305" t="s">
        <v>1248</v>
      </c>
      <c r="B27" s="1315">
        <v>0</v>
      </c>
      <c r="C27" s="1315">
        <v>0</v>
      </c>
      <c r="D27" s="1315">
        <v>0</v>
      </c>
      <c r="E27" s="1315">
        <v>0</v>
      </c>
      <c r="F27" s="1315">
        <v>0</v>
      </c>
      <c r="G27" s="1315">
        <v>0</v>
      </c>
      <c r="H27" s="1315">
        <v>0</v>
      </c>
      <c r="I27" s="1315">
        <v>0</v>
      </c>
      <c r="J27" s="1315">
        <v>0</v>
      </c>
      <c r="K27" s="1315">
        <v>0</v>
      </c>
      <c r="L27" s="1315">
        <v>0</v>
      </c>
      <c r="M27" s="1315">
        <v>100.283</v>
      </c>
      <c r="N27" s="1315">
        <v>16.895</v>
      </c>
      <c r="O27" s="1315">
        <v>0</v>
      </c>
      <c r="P27" s="1315">
        <v>0</v>
      </c>
      <c r="Q27" s="1315">
        <v>0</v>
      </c>
      <c r="R27" s="1315">
        <v>0</v>
      </c>
      <c r="S27" s="1315">
        <v>0</v>
      </c>
      <c r="T27" s="1315">
        <v>0</v>
      </c>
      <c r="U27" s="1315">
        <v>0</v>
      </c>
      <c r="V27" s="1315">
        <v>0</v>
      </c>
      <c r="W27" s="1315">
        <v>0</v>
      </c>
      <c r="X27" s="1315">
        <v>0</v>
      </c>
      <c r="Y27" s="1315">
        <v>0</v>
      </c>
      <c r="Z27" s="1315">
        <v>0</v>
      </c>
    </row>
    <row r="28" spans="1:26" x14ac:dyDescent="0.2">
      <c r="A28" s="1305" t="s">
        <v>1249</v>
      </c>
      <c r="B28" s="1315">
        <v>0</v>
      </c>
      <c r="C28" s="1315">
        <v>0</v>
      </c>
      <c r="D28" s="1315">
        <v>0</v>
      </c>
      <c r="E28" s="1315">
        <v>0</v>
      </c>
      <c r="F28" s="1315">
        <v>0</v>
      </c>
      <c r="G28" s="1315">
        <v>0</v>
      </c>
      <c r="H28" s="1315">
        <v>0</v>
      </c>
      <c r="I28" s="1315">
        <v>0</v>
      </c>
      <c r="J28" s="1315">
        <v>0</v>
      </c>
      <c r="K28" s="1315">
        <v>0</v>
      </c>
      <c r="L28" s="1315">
        <v>0</v>
      </c>
      <c r="M28" s="1315">
        <v>0</v>
      </c>
      <c r="N28" s="1315">
        <v>0</v>
      </c>
      <c r="O28" s="1315">
        <v>0</v>
      </c>
      <c r="P28" s="1315">
        <v>0</v>
      </c>
      <c r="Q28" s="1315">
        <v>0</v>
      </c>
      <c r="R28" s="1315">
        <v>0</v>
      </c>
      <c r="S28" s="1315">
        <v>0</v>
      </c>
      <c r="T28" s="1315">
        <v>0</v>
      </c>
      <c r="U28" s="1315">
        <v>0</v>
      </c>
      <c r="V28" s="1315">
        <v>0</v>
      </c>
      <c r="W28" s="1315">
        <v>0</v>
      </c>
      <c r="X28" s="1315">
        <v>0</v>
      </c>
      <c r="Y28" s="1315">
        <v>0</v>
      </c>
      <c r="Z28" s="1315">
        <v>0</v>
      </c>
    </row>
    <row r="29" spans="1:26" x14ac:dyDescent="0.2">
      <c r="A29" s="1305" t="s">
        <v>1250</v>
      </c>
      <c r="B29" s="1315">
        <v>0</v>
      </c>
      <c r="C29" s="1315">
        <v>0</v>
      </c>
      <c r="D29" s="1315">
        <v>0</v>
      </c>
      <c r="E29" s="1315">
        <v>0</v>
      </c>
      <c r="F29" s="1315">
        <v>0</v>
      </c>
      <c r="G29" s="1315">
        <v>0</v>
      </c>
      <c r="H29" s="1315">
        <v>0</v>
      </c>
      <c r="I29" s="1315">
        <v>0</v>
      </c>
      <c r="J29" s="1315">
        <v>0</v>
      </c>
      <c r="K29" s="1315">
        <v>0</v>
      </c>
      <c r="L29" s="1315">
        <v>0</v>
      </c>
      <c r="M29" s="1315">
        <v>0</v>
      </c>
      <c r="N29" s="1315">
        <v>0</v>
      </c>
      <c r="O29" s="1315">
        <v>0</v>
      </c>
      <c r="P29" s="1315">
        <v>0</v>
      </c>
      <c r="Q29" s="1315">
        <v>0</v>
      </c>
      <c r="R29" s="1315">
        <v>108.828</v>
      </c>
      <c r="S29" s="1315">
        <v>142.33699999999999</v>
      </c>
      <c r="T29" s="1315">
        <v>157.68600000000001</v>
      </c>
      <c r="U29" s="1315">
        <v>177.804</v>
      </c>
      <c r="V29" s="1315">
        <v>149.77799999999999</v>
      </c>
      <c r="W29" s="1315">
        <v>138.81</v>
      </c>
      <c r="X29" s="1315">
        <v>125.303</v>
      </c>
      <c r="Y29" s="1315">
        <v>109.938</v>
      </c>
      <c r="Z29" s="1315">
        <v>109.398</v>
      </c>
    </row>
    <row r="30" spans="1:26" x14ac:dyDescent="0.2">
      <c r="A30" s="1305" t="s">
        <v>1251</v>
      </c>
      <c r="B30" s="1315">
        <v>0</v>
      </c>
      <c r="C30" s="1315">
        <v>0</v>
      </c>
      <c r="D30" s="1315">
        <v>0</v>
      </c>
      <c r="E30" s="1315">
        <v>0</v>
      </c>
      <c r="F30" s="1315">
        <v>0</v>
      </c>
      <c r="G30" s="1315">
        <v>0</v>
      </c>
      <c r="H30" s="1315">
        <v>0</v>
      </c>
      <c r="I30" s="1315">
        <v>0</v>
      </c>
      <c r="J30" s="1315">
        <v>0</v>
      </c>
      <c r="K30" s="1315">
        <v>0</v>
      </c>
      <c r="L30" s="1315">
        <v>0</v>
      </c>
      <c r="M30" s="1315">
        <v>0</v>
      </c>
      <c r="N30" s="1315">
        <v>0</v>
      </c>
      <c r="O30" s="1315">
        <v>0</v>
      </c>
      <c r="P30" s="1315">
        <v>0</v>
      </c>
      <c r="Q30" s="1315">
        <v>0</v>
      </c>
      <c r="R30" s="1315">
        <v>0</v>
      </c>
      <c r="S30" s="1315">
        <v>0</v>
      </c>
      <c r="T30" s="1315">
        <v>0</v>
      </c>
      <c r="U30" s="1315">
        <v>0</v>
      </c>
      <c r="V30" s="1315">
        <v>0</v>
      </c>
      <c r="W30" s="1315">
        <v>0</v>
      </c>
      <c r="X30" s="1315">
        <v>0</v>
      </c>
      <c r="Y30" s="1315">
        <v>0</v>
      </c>
      <c r="Z30" s="1315">
        <v>0</v>
      </c>
    </row>
    <row r="31" spans="1:26" x14ac:dyDescent="0.2">
      <c r="A31" s="1305"/>
      <c r="B31" s="1305"/>
      <c r="C31" s="1305"/>
      <c r="D31" s="1305"/>
      <c r="E31" s="1305"/>
      <c r="F31" s="1305"/>
      <c r="G31" s="1305"/>
      <c r="H31" s="1305"/>
      <c r="I31" s="1305"/>
      <c r="J31" s="1305"/>
      <c r="K31" s="1305"/>
      <c r="L31" s="1305"/>
      <c r="M31" s="1305"/>
      <c r="N31" s="1305"/>
      <c r="O31" s="1305"/>
      <c r="P31" s="1305"/>
      <c r="Q31" s="1305"/>
      <c r="R31" s="1305"/>
      <c r="S31" s="1305"/>
      <c r="T31" s="1305"/>
      <c r="U31" s="1305"/>
      <c r="V31" s="1305"/>
      <c r="W31" s="1305"/>
      <c r="X31" s="1305"/>
      <c r="Y31" s="1305"/>
      <c r="Z31" s="1305"/>
    </row>
    <row r="32" spans="1:26" ht="10.5" x14ac:dyDescent="0.2">
      <c r="A32" s="1314" t="s">
        <v>1252</v>
      </c>
      <c r="B32" s="1316">
        <v>30.213999999999999</v>
      </c>
      <c r="C32" s="1316">
        <v>35.112000000000002</v>
      </c>
      <c r="D32" s="1316">
        <v>39.478000000000002</v>
      </c>
      <c r="E32" s="1316">
        <v>49.238999999999997</v>
      </c>
      <c r="F32" s="1316">
        <v>60.667999999999999</v>
      </c>
      <c r="G32" s="1316">
        <v>91.165999999999997</v>
      </c>
      <c r="H32" s="1316">
        <v>118.511</v>
      </c>
      <c r="I32" s="1316">
        <v>143.04599999999999</v>
      </c>
      <c r="J32" s="1316">
        <v>198.387</v>
      </c>
      <c r="K32" s="1316">
        <v>257.149</v>
      </c>
      <c r="L32" s="1316">
        <v>339.31799999999998</v>
      </c>
      <c r="M32" s="1316">
        <v>568.40899999999999</v>
      </c>
      <c r="N32" s="1316">
        <v>600.98800000000006</v>
      </c>
      <c r="O32" s="1316">
        <v>671.71</v>
      </c>
      <c r="P32" s="1316">
        <v>860.60500000000002</v>
      </c>
      <c r="Q32" s="1316">
        <v>1016.181</v>
      </c>
      <c r="R32" s="1316">
        <v>1463.796</v>
      </c>
      <c r="S32" s="1316">
        <v>1815.287</v>
      </c>
      <c r="T32" s="1316">
        <v>1764.316</v>
      </c>
      <c r="U32" s="1316">
        <v>1680.018</v>
      </c>
      <c r="V32" s="1316">
        <v>1441.9680000000001</v>
      </c>
      <c r="W32" s="1316">
        <v>1239.627</v>
      </c>
      <c r="X32" s="1316">
        <v>1155.6969999999999</v>
      </c>
      <c r="Y32" s="1316">
        <v>889.39599999999996</v>
      </c>
      <c r="Z32" s="1316">
        <v>860.91800000000001</v>
      </c>
    </row>
    <row r="33" spans="1:26" x14ac:dyDescent="0.2">
      <c r="A33" s="1305"/>
      <c r="B33" s="1305"/>
      <c r="C33" s="1305"/>
      <c r="D33" s="1305"/>
      <c r="E33" s="1305"/>
      <c r="F33" s="1305"/>
      <c r="G33" s="1305"/>
      <c r="H33" s="1305"/>
      <c r="I33" s="1305"/>
      <c r="J33" s="1305"/>
      <c r="K33" s="1305"/>
      <c r="L33" s="1305"/>
      <c r="M33" s="1305"/>
      <c r="N33" s="1305"/>
      <c r="O33" s="1305"/>
      <c r="P33" s="1305"/>
      <c r="Q33" s="1305"/>
      <c r="R33" s="1305"/>
      <c r="S33" s="1305"/>
      <c r="T33" s="1305"/>
      <c r="U33" s="1305"/>
      <c r="V33" s="1305"/>
      <c r="W33" s="1305"/>
      <c r="X33" s="1305"/>
      <c r="Y33" s="1305"/>
      <c r="Z33" s="1305"/>
    </row>
    <row r="34" spans="1:26" ht="10.5" x14ac:dyDescent="0.2">
      <c r="A34" s="1314" t="s">
        <v>1253</v>
      </c>
      <c r="B34" s="1317">
        <v>2.012</v>
      </c>
      <c r="C34" s="1317">
        <v>8.2949999999999999</v>
      </c>
      <c r="D34" s="1317">
        <v>19.413</v>
      </c>
      <c r="E34" s="1317">
        <v>31.969000000000001</v>
      </c>
      <c r="F34" s="1317">
        <v>50.807000000000002</v>
      </c>
      <c r="G34" s="1317">
        <v>70.186000000000007</v>
      </c>
      <c r="H34" s="1317">
        <v>92.753</v>
      </c>
      <c r="I34" s="1317">
        <v>114.077</v>
      </c>
      <c r="J34" s="1317">
        <v>161.00299999999999</v>
      </c>
      <c r="K34" s="1317">
        <v>253.852</v>
      </c>
      <c r="L34" s="1317">
        <v>387.25900000000001</v>
      </c>
      <c r="M34" s="1317">
        <v>450.20100000000002</v>
      </c>
      <c r="N34" s="1317">
        <v>697.65200000000004</v>
      </c>
      <c r="O34" s="1317">
        <v>696.23900000000003</v>
      </c>
      <c r="P34" s="1317">
        <v>625.697</v>
      </c>
      <c r="Q34" s="1317">
        <v>767.37599999999998</v>
      </c>
      <c r="R34" s="1317">
        <v>1155.8510000000001</v>
      </c>
      <c r="S34" s="1317">
        <v>1371.2670000000001</v>
      </c>
      <c r="T34" s="1317">
        <v>1186.7470000000001</v>
      </c>
      <c r="U34" s="1317">
        <v>736.57600000000002</v>
      </c>
      <c r="V34" s="1317">
        <v>628.40099999999995</v>
      </c>
      <c r="W34" s="1317">
        <v>474.04399999999998</v>
      </c>
      <c r="X34" s="1317">
        <v>203.04499999999999</v>
      </c>
      <c r="Y34" s="1317">
        <v>115.29900000000001</v>
      </c>
      <c r="Z34" s="1317">
        <v>84.828999999999994</v>
      </c>
    </row>
    <row r="35" spans="1:26" x14ac:dyDescent="0.2">
      <c r="A35" s="1305"/>
      <c r="B35" s="1305"/>
      <c r="C35" s="1305"/>
      <c r="D35" s="1305"/>
      <c r="E35" s="1305"/>
      <c r="F35" s="1305"/>
      <c r="G35" s="1305"/>
      <c r="H35" s="1305"/>
      <c r="I35" s="1305"/>
      <c r="J35" s="1305"/>
      <c r="K35" s="1305"/>
      <c r="L35" s="1305"/>
      <c r="M35" s="1305"/>
      <c r="N35" s="1305"/>
      <c r="O35" s="1305"/>
      <c r="P35" s="1305"/>
      <c r="Q35" s="1305"/>
      <c r="R35" s="1305"/>
      <c r="S35" s="1305"/>
      <c r="T35" s="1305"/>
      <c r="U35" s="1305"/>
      <c r="V35" s="1305"/>
      <c r="W35" s="1305"/>
      <c r="X35" s="1305"/>
      <c r="Y35" s="1305"/>
      <c r="Z35" s="1305"/>
    </row>
    <row r="36" spans="1:26" x14ac:dyDescent="0.2">
      <c r="A36" s="1305" t="s">
        <v>426</v>
      </c>
      <c r="B36" s="1315">
        <v>0</v>
      </c>
      <c r="C36" s="1315">
        <v>0</v>
      </c>
      <c r="D36" s="1315">
        <v>0</v>
      </c>
      <c r="E36" s="1315">
        <v>0</v>
      </c>
      <c r="F36" s="1315">
        <v>-0.2</v>
      </c>
      <c r="G36" s="1315">
        <v>-0.1</v>
      </c>
      <c r="H36" s="1315">
        <v>-0.1</v>
      </c>
      <c r="I36" s="1315">
        <v>-0.4</v>
      </c>
      <c r="J36" s="1315">
        <v>-0.6</v>
      </c>
      <c r="K36" s="1315">
        <v>-0.5</v>
      </c>
      <c r="L36" s="1315">
        <v>-0.3</v>
      </c>
      <c r="M36" s="1315">
        <v>0</v>
      </c>
      <c r="N36" s="1315">
        <v>0</v>
      </c>
      <c r="O36" s="1315">
        <v>-0.3</v>
      </c>
      <c r="P36" s="1315">
        <v>-0.2</v>
      </c>
      <c r="Q36" s="1315">
        <v>-3.5</v>
      </c>
      <c r="R36" s="1315">
        <v>-4.4000000000000004</v>
      </c>
      <c r="S36" s="1315">
        <v>-11.9</v>
      </c>
      <c r="T36" s="1315">
        <v>-8.9</v>
      </c>
      <c r="U36" s="1315">
        <v>-11.7</v>
      </c>
      <c r="V36" s="1315">
        <v>-8.6999999999999993</v>
      </c>
      <c r="W36" s="1315">
        <v>-7.9</v>
      </c>
      <c r="X36" s="1315">
        <v>-6.6</v>
      </c>
      <c r="Y36" s="1315">
        <v>-6.7</v>
      </c>
      <c r="Z36" s="1315">
        <v>-6.7</v>
      </c>
    </row>
    <row r="37" spans="1:26" x14ac:dyDescent="0.2">
      <c r="A37" s="1305" t="s">
        <v>1254</v>
      </c>
      <c r="B37" s="1315">
        <v>0</v>
      </c>
      <c r="C37" s="1315">
        <v>0</v>
      </c>
      <c r="D37" s="1315">
        <v>2.4159999999999999</v>
      </c>
      <c r="E37" s="1315">
        <v>3.028</v>
      </c>
      <c r="F37" s="1315">
        <v>4.3410000000000002</v>
      </c>
      <c r="G37" s="1315">
        <v>6.2050000000000001</v>
      </c>
      <c r="H37" s="1315">
        <v>5.2859999999999996</v>
      </c>
      <c r="I37" s="1315">
        <v>6.6589999999999998</v>
      </c>
      <c r="J37" s="1315">
        <v>14.749000000000001</v>
      </c>
      <c r="K37" s="1315">
        <v>12.522</v>
      </c>
      <c r="L37" s="1315">
        <v>14.818</v>
      </c>
      <c r="M37" s="1315">
        <v>18.004999999999999</v>
      </c>
      <c r="N37" s="1315">
        <v>16.786999999999999</v>
      </c>
      <c r="O37" s="1315">
        <v>18.5</v>
      </c>
      <c r="P37" s="1315">
        <v>31.172000000000001</v>
      </c>
      <c r="Q37" s="1315">
        <v>30.077999999999999</v>
      </c>
      <c r="R37" s="1315">
        <v>12.590999999999999</v>
      </c>
      <c r="S37" s="1315">
        <v>2.92</v>
      </c>
      <c r="T37" s="1315">
        <v>2.8839999999999999</v>
      </c>
      <c r="U37" s="1315">
        <v>1.1870000000000001</v>
      </c>
      <c r="V37" s="1315">
        <v>1.913</v>
      </c>
      <c r="W37" s="1315">
        <v>2.23</v>
      </c>
      <c r="X37" s="1315">
        <v>3.05</v>
      </c>
      <c r="Y37" s="1315">
        <v>4.0170000000000003</v>
      </c>
      <c r="Z37" s="1315">
        <v>4.1849999999999996</v>
      </c>
    </row>
    <row r="38" spans="1:26" ht="10.5" x14ac:dyDescent="0.2">
      <c r="A38" s="1314" t="s">
        <v>1255</v>
      </c>
      <c r="B38" s="1316">
        <v>0</v>
      </c>
      <c r="C38" s="1316">
        <v>0</v>
      </c>
      <c r="D38" s="1316">
        <v>2.4159999999999999</v>
      </c>
      <c r="E38" s="1316">
        <v>3.028</v>
      </c>
      <c r="F38" s="1316">
        <v>4.1740000000000004</v>
      </c>
      <c r="G38" s="1316">
        <v>6.0860000000000003</v>
      </c>
      <c r="H38" s="1316">
        <v>5.2290000000000001</v>
      </c>
      <c r="I38" s="1316">
        <v>6.2279999999999998</v>
      </c>
      <c r="J38" s="1316">
        <v>14.106</v>
      </c>
      <c r="K38" s="1316">
        <v>12.071999999999999</v>
      </c>
      <c r="L38" s="1316">
        <v>14.545</v>
      </c>
      <c r="M38" s="1316">
        <v>18.004999999999999</v>
      </c>
      <c r="N38" s="1316">
        <v>16.786999999999999</v>
      </c>
      <c r="O38" s="1316">
        <v>18.2</v>
      </c>
      <c r="P38" s="1316">
        <v>30.94</v>
      </c>
      <c r="Q38" s="1316">
        <v>26.628</v>
      </c>
      <c r="R38" s="1316">
        <v>8.1430000000000007</v>
      </c>
      <c r="S38" s="1316">
        <v>-8.9</v>
      </c>
      <c r="T38" s="1316">
        <v>-6</v>
      </c>
      <c r="U38" s="1316">
        <v>-10.6</v>
      </c>
      <c r="V38" s="1316">
        <v>-6.8</v>
      </c>
      <c r="W38" s="1316">
        <v>-5.7</v>
      </c>
      <c r="X38" s="1316">
        <v>-3.5</v>
      </c>
      <c r="Y38" s="1316">
        <v>-2.7</v>
      </c>
      <c r="Z38" s="1316">
        <v>-2.5</v>
      </c>
    </row>
    <row r="39" spans="1:26" x14ac:dyDescent="0.2">
      <c r="A39" s="1305"/>
      <c r="B39" s="1305"/>
      <c r="C39" s="1305"/>
      <c r="D39" s="1305"/>
      <c r="E39" s="1305"/>
      <c r="F39" s="1305"/>
      <c r="G39" s="1305"/>
      <c r="H39" s="1305"/>
      <c r="I39" s="1305"/>
      <c r="J39" s="1305"/>
      <c r="K39" s="1305"/>
      <c r="L39" s="1305"/>
      <c r="M39" s="1305"/>
      <c r="N39" s="1305"/>
      <c r="O39" s="1305"/>
      <c r="P39" s="1305"/>
      <c r="Q39" s="1305"/>
      <c r="R39" s="1305"/>
      <c r="S39" s="1305"/>
      <c r="T39" s="1305"/>
      <c r="U39" s="1305"/>
      <c r="V39" s="1305"/>
      <c r="W39" s="1305"/>
      <c r="X39" s="1305"/>
      <c r="Y39" s="1305"/>
      <c r="Z39" s="1305"/>
    </row>
    <row r="40" spans="1:26" x14ac:dyDescent="0.2">
      <c r="A40" s="1305" t="s">
        <v>1256</v>
      </c>
      <c r="B40" s="1315">
        <v>0</v>
      </c>
      <c r="C40" s="1315">
        <v>0</v>
      </c>
      <c r="D40" s="1315">
        <v>0</v>
      </c>
      <c r="E40" s="1315">
        <v>0</v>
      </c>
      <c r="F40" s="1315">
        <v>0</v>
      </c>
      <c r="G40" s="1315">
        <v>0</v>
      </c>
      <c r="H40" s="1315">
        <v>0</v>
      </c>
      <c r="I40" s="1315">
        <v>0</v>
      </c>
      <c r="J40" s="1315">
        <v>0</v>
      </c>
      <c r="K40" s="1315">
        <v>0</v>
      </c>
      <c r="L40" s="1315">
        <v>0</v>
      </c>
      <c r="M40" s="1315">
        <v>0</v>
      </c>
      <c r="N40" s="1315">
        <v>0</v>
      </c>
      <c r="O40" s="1315">
        <v>0</v>
      </c>
      <c r="P40" s="1315">
        <v>0</v>
      </c>
      <c r="Q40" s="1315">
        <v>-2.8</v>
      </c>
      <c r="R40" s="1315">
        <v>0.1</v>
      </c>
      <c r="S40" s="1315">
        <v>-0.6</v>
      </c>
      <c r="T40" s="1315">
        <v>-1.7</v>
      </c>
      <c r="U40" s="1315">
        <v>0.5</v>
      </c>
      <c r="V40" s="1315">
        <v>-0.2</v>
      </c>
      <c r="W40" s="1315">
        <v>-1</v>
      </c>
      <c r="X40" s="1315">
        <v>-2.4</v>
      </c>
      <c r="Y40" s="1315">
        <v>0.2</v>
      </c>
      <c r="Z40" s="1315">
        <v>0.2</v>
      </c>
    </row>
    <row r="41" spans="1:26" x14ac:dyDescent="0.2">
      <c r="A41" s="1305" t="s">
        <v>1257</v>
      </c>
      <c r="B41" s="1315">
        <v>0</v>
      </c>
      <c r="C41" s="1315">
        <v>0</v>
      </c>
      <c r="D41" s="1315">
        <v>0</v>
      </c>
      <c r="E41" s="1315">
        <v>0</v>
      </c>
      <c r="F41" s="1315">
        <v>0</v>
      </c>
      <c r="G41" s="1315">
        <v>0</v>
      </c>
      <c r="H41" s="1315">
        <v>0</v>
      </c>
      <c r="I41" s="1315">
        <v>0</v>
      </c>
      <c r="J41" s="1315">
        <v>0</v>
      </c>
      <c r="K41" s="1315">
        <v>0</v>
      </c>
      <c r="L41" s="1315">
        <v>0</v>
      </c>
      <c r="M41" s="1315">
        <v>0</v>
      </c>
      <c r="N41" s="1315">
        <v>0</v>
      </c>
      <c r="O41" s="1315">
        <v>-0.1</v>
      </c>
      <c r="P41" s="1315">
        <v>0.66</v>
      </c>
      <c r="Q41" s="1315">
        <v>7.1999999999999995E-2</v>
      </c>
      <c r="R41" s="1315">
        <v>-0.4</v>
      </c>
      <c r="S41" s="1315">
        <v>-0.1</v>
      </c>
      <c r="T41" s="1315">
        <v>0.112</v>
      </c>
      <c r="U41" s="1315">
        <v>0</v>
      </c>
      <c r="V41" s="1315">
        <v>2.605</v>
      </c>
      <c r="W41" s="1315">
        <v>0.44</v>
      </c>
      <c r="X41" s="1315">
        <v>-3.4</v>
      </c>
      <c r="Y41" s="1315">
        <v>-3.4</v>
      </c>
      <c r="Z41" s="1315">
        <v>-3.2</v>
      </c>
    </row>
    <row r="42" spans="1:26" ht="10.5" x14ac:dyDescent="0.2">
      <c r="A42" s="1314" t="s">
        <v>1258</v>
      </c>
      <c r="B42" s="1316">
        <v>2.012</v>
      </c>
      <c r="C42" s="1316">
        <v>8.2949999999999999</v>
      </c>
      <c r="D42" s="1316">
        <v>21.829000000000001</v>
      </c>
      <c r="E42" s="1316">
        <v>34.997</v>
      </c>
      <c r="F42" s="1316">
        <v>54.981000000000002</v>
      </c>
      <c r="G42" s="1316">
        <v>76.272000000000006</v>
      </c>
      <c r="H42" s="1316">
        <v>97.981999999999999</v>
      </c>
      <c r="I42" s="1316">
        <v>120.30500000000001</v>
      </c>
      <c r="J42" s="1316">
        <v>175.10900000000001</v>
      </c>
      <c r="K42" s="1316">
        <v>265.92399999999998</v>
      </c>
      <c r="L42" s="1316">
        <v>401.80399999999997</v>
      </c>
      <c r="M42" s="1316">
        <v>468.20600000000002</v>
      </c>
      <c r="N42" s="1316">
        <v>714.43899999999996</v>
      </c>
      <c r="O42" s="1316">
        <v>714.29300000000001</v>
      </c>
      <c r="P42" s="1316">
        <v>657.29700000000003</v>
      </c>
      <c r="Q42" s="1316">
        <v>791.27599999999995</v>
      </c>
      <c r="R42" s="1316">
        <v>1163.7429999999999</v>
      </c>
      <c r="S42" s="1316">
        <v>1361.6379999999999</v>
      </c>
      <c r="T42" s="1316">
        <v>1179.1120000000001</v>
      </c>
      <c r="U42" s="1316">
        <v>726.49400000000003</v>
      </c>
      <c r="V42" s="1316">
        <v>623.97400000000005</v>
      </c>
      <c r="W42" s="1316">
        <v>467.8</v>
      </c>
      <c r="X42" s="1316">
        <v>193.744</v>
      </c>
      <c r="Y42" s="1316">
        <v>109.38200000000001</v>
      </c>
      <c r="Z42" s="1316">
        <v>79.31</v>
      </c>
    </row>
    <row r="43" spans="1:26" x14ac:dyDescent="0.2">
      <c r="A43" s="1305"/>
      <c r="B43" s="1305"/>
      <c r="C43" s="1305"/>
      <c r="D43" s="1305"/>
      <c r="E43" s="1305"/>
      <c r="F43" s="1305"/>
      <c r="G43" s="1305"/>
      <c r="H43" s="1305"/>
      <c r="I43" s="1305"/>
      <c r="J43" s="1305"/>
      <c r="K43" s="1305"/>
      <c r="L43" s="1305"/>
      <c r="M43" s="1305"/>
      <c r="N43" s="1305"/>
      <c r="O43" s="1305"/>
      <c r="P43" s="1305"/>
      <c r="Q43" s="1305"/>
      <c r="R43" s="1305"/>
      <c r="S43" s="1305"/>
      <c r="T43" s="1305"/>
      <c r="U43" s="1305"/>
      <c r="V43" s="1305"/>
      <c r="W43" s="1305"/>
      <c r="X43" s="1305"/>
      <c r="Y43" s="1305"/>
      <c r="Z43" s="1305"/>
    </row>
    <row r="44" spans="1:26" x14ac:dyDescent="0.2">
      <c r="A44" s="1305" t="s">
        <v>1259</v>
      </c>
      <c r="B44" s="1315">
        <v>0</v>
      </c>
      <c r="C44" s="1315">
        <v>0</v>
      </c>
      <c r="D44" s="1315">
        <v>0</v>
      </c>
      <c r="E44" s="1315">
        <v>0</v>
      </c>
      <c r="F44" s="1315">
        <v>0</v>
      </c>
      <c r="G44" s="1315">
        <v>0</v>
      </c>
      <c r="H44" s="1315">
        <v>0</v>
      </c>
      <c r="I44" s="1315">
        <v>0</v>
      </c>
      <c r="J44" s="1315">
        <v>0</v>
      </c>
      <c r="K44" s="1315">
        <v>0</v>
      </c>
      <c r="L44" s="1315">
        <v>0</v>
      </c>
      <c r="M44" s="1315">
        <v>0</v>
      </c>
      <c r="N44" s="1315">
        <v>0</v>
      </c>
      <c r="O44" s="1315">
        <v>0</v>
      </c>
      <c r="P44" s="1315">
        <v>0</v>
      </c>
      <c r="Q44" s="1315">
        <v>0</v>
      </c>
      <c r="R44" s="1315">
        <v>-9.4</v>
      </c>
      <c r="S44" s="1315">
        <v>0</v>
      </c>
      <c r="T44" s="1315">
        <v>-22.9</v>
      </c>
      <c r="U44" s="1315">
        <v>-38.700000000000003</v>
      </c>
      <c r="V44" s="1315">
        <v>-197</v>
      </c>
      <c r="W44" s="1315">
        <v>-85.3</v>
      </c>
      <c r="X44" s="1315">
        <v>-71.900000000000006</v>
      </c>
      <c r="Y44" s="1315">
        <v>-83.2</v>
      </c>
      <c r="Z44" s="1315">
        <v>-74.099999999999994</v>
      </c>
    </row>
    <row r="45" spans="1:26" x14ac:dyDescent="0.2">
      <c r="A45" s="1305" t="s">
        <v>1260</v>
      </c>
      <c r="B45" s="1315">
        <v>0</v>
      </c>
      <c r="C45" s="1315">
        <v>0</v>
      </c>
      <c r="D45" s="1315">
        <v>0</v>
      </c>
      <c r="E45" s="1315">
        <v>0</v>
      </c>
      <c r="F45" s="1315">
        <v>0</v>
      </c>
      <c r="G45" s="1315">
        <v>0</v>
      </c>
      <c r="H45" s="1315">
        <v>0</v>
      </c>
      <c r="I45" s="1315">
        <v>0</v>
      </c>
      <c r="J45" s="1315">
        <v>0</v>
      </c>
      <c r="K45" s="1315">
        <v>0</v>
      </c>
      <c r="L45" s="1315">
        <v>0</v>
      </c>
      <c r="M45" s="1315">
        <v>0</v>
      </c>
      <c r="N45" s="1315">
        <v>0</v>
      </c>
      <c r="O45" s="1315">
        <v>0</v>
      </c>
      <c r="P45" s="1315">
        <v>0</v>
      </c>
      <c r="Q45" s="1315">
        <v>0</v>
      </c>
      <c r="R45" s="1315">
        <v>-6.9</v>
      </c>
      <c r="S45" s="1315">
        <v>0</v>
      </c>
      <c r="T45" s="1315">
        <v>0</v>
      </c>
      <c r="U45" s="1315">
        <v>0</v>
      </c>
      <c r="V45" s="1315">
        <v>0</v>
      </c>
      <c r="W45" s="1315">
        <v>0</v>
      </c>
      <c r="X45" s="1315">
        <v>-6.1</v>
      </c>
      <c r="Y45" s="1315">
        <v>-29.3</v>
      </c>
      <c r="Z45" s="1315">
        <v>-27.7</v>
      </c>
    </row>
    <row r="46" spans="1:26" x14ac:dyDescent="0.2">
      <c r="A46" s="1305" t="s">
        <v>1261</v>
      </c>
      <c r="B46" s="1315">
        <v>0</v>
      </c>
      <c r="C46" s="1315">
        <v>0</v>
      </c>
      <c r="D46" s="1315">
        <v>0</v>
      </c>
      <c r="E46" s="1315">
        <v>0</v>
      </c>
      <c r="F46" s="1315">
        <v>0</v>
      </c>
      <c r="G46" s="1315">
        <v>0</v>
      </c>
      <c r="H46" s="1315">
        <v>0</v>
      </c>
      <c r="I46" s="1315">
        <v>0</v>
      </c>
      <c r="J46" s="1315">
        <v>0</v>
      </c>
      <c r="K46" s="1315">
        <v>0</v>
      </c>
      <c r="L46" s="1315">
        <v>0</v>
      </c>
      <c r="M46" s="1315">
        <v>0</v>
      </c>
      <c r="N46" s="1315">
        <v>0</v>
      </c>
      <c r="O46" s="1315">
        <v>-20.2</v>
      </c>
      <c r="P46" s="1315">
        <v>0</v>
      </c>
      <c r="Q46" s="1315">
        <v>0</v>
      </c>
      <c r="R46" s="1315">
        <v>0</v>
      </c>
      <c r="S46" s="1315">
        <v>-184.6</v>
      </c>
      <c r="T46" s="1315">
        <v>-219.9</v>
      </c>
      <c r="U46" s="1315">
        <v>-16.8</v>
      </c>
      <c r="V46" s="1315">
        <v>0</v>
      </c>
      <c r="W46" s="1315">
        <v>0</v>
      </c>
      <c r="X46" s="1315">
        <v>0</v>
      </c>
      <c r="Y46" s="1315">
        <v>-73.400000000000006</v>
      </c>
      <c r="Z46" s="1315">
        <v>0</v>
      </c>
    </row>
    <row r="47" spans="1:26" x14ac:dyDescent="0.2">
      <c r="A47" s="1305" t="s">
        <v>1262</v>
      </c>
      <c r="B47" s="1315">
        <v>0</v>
      </c>
      <c r="C47" s="1315">
        <v>0</v>
      </c>
      <c r="D47" s="1315">
        <v>0</v>
      </c>
      <c r="E47" s="1315">
        <v>0</v>
      </c>
      <c r="F47" s="1315">
        <v>0</v>
      </c>
      <c r="G47" s="1315">
        <v>0</v>
      </c>
      <c r="H47" s="1315">
        <v>0</v>
      </c>
      <c r="I47" s="1315">
        <v>0</v>
      </c>
      <c r="J47" s="1315">
        <v>0</v>
      </c>
      <c r="K47" s="1315">
        <v>0</v>
      </c>
      <c r="L47" s="1315">
        <v>0</v>
      </c>
      <c r="M47" s="1315">
        <v>-1.7</v>
      </c>
      <c r="N47" s="1315">
        <v>0</v>
      </c>
      <c r="O47" s="1315">
        <v>0</v>
      </c>
      <c r="P47" s="1315">
        <v>0</v>
      </c>
      <c r="Q47" s="1315">
        <v>0</v>
      </c>
      <c r="R47" s="1315">
        <v>0</v>
      </c>
      <c r="S47" s="1315">
        <v>0</v>
      </c>
      <c r="T47" s="1315">
        <v>0</v>
      </c>
      <c r="U47" s="1315">
        <v>0</v>
      </c>
      <c r="V47" s="1315">
        <v>0</v>
      </c>
      <c r="W47" s="1315">
        <v>0</v>
      </c>
      <c r="X47" s="1315">
        <v>0</v>
      </c>
      <c r="Y47" s="1315">
        <v>0</v>
      </c>
      <c r="Z47" s="1315">
        <v>0</v>
      </c>
    </row>
    <row r="48" spans="1:26" x14ac:dyDescent="0.2">
      <c r="A48" s="1305" t="s">
        <v>1263</v>
      </c>
      <c r="B48" s="1315">
        <v>0</v>
      </c>
      <c r="C48" s="1315">
        <v>0</v>
      </c>
      <c r="D48" s="1315">
        <v>0</v>
      </c>
      <c r="E48" s="1315">
        <v>0</v>
      </c>
      <c r="F48" s="1315">
        <v>0</v>
      </c>
      <c r="G48" s="1315">
        <v>0</v>
      </c>
      <c r="H48" s="1315">
        <v>0</v>
      </c>
      <c r="I48" s="1315">
        <v>0</v>
      </c>
      <c r="J48" s="1315">
        <v>0</v>
      </c>
      <c r="K48" s="1315">
        <v>0</v>
      </c>
      <c r="L48" s="1315">
        <v>0</v>
      </c>
      <c r="M48" s="1315">
        <v>0</v>
      </c>
      <c r="N48" s="1315">
        <v>0</v>
      </c>
      <c r="O48" s="1315">
        <v>0</v>
      </c>
      <c r="P48" s="1315">
        <v>0</v>
      </c>
      <c r="Q48" s="1315">
        <v>0</v>
      </c>
      <c r="R48" s="1315">
        <v>0</v>
      </c>
      <c r="S48" s="1315">
        <v>0</v>
      </c>
      <c r="T48" s="1315">
        <v>0</v>
      </c>
      <c r="U48" s="1315">
        <v>0</v>
      </c>
      <c r="V48" s="1315">
        <v>0</v>
      </c>
      <c r="W48" s="1315">
        <v>0</v>
      </c>
      <c r="X48" s="1315">
        <v>-9.9</v>
      </c>
      <c r="Y48" s="1315">
        <v>-2.5</v>
      </c>
      <c r="Z48" s="1315">
        <v>-2.5</v>
      </c>
    </row>
    <row r="49" spans="1:26" x14ac:dyDescent="0.2">
      <c r="A49" s="1305" t="s">
        <v>1264</v>
      </c>
      <c r="B49" s="1315">
        <v>0</v>
      </c>
      <c r="C49" s="1315">
        <v>0</v>
      </c>
      <c r="D49" s="1315">
        <v>0</v>
      </c>
      <c r="E49" s="1315">
        <v>0</v>
      </c>
      <c r="F49" s="1315">
        <v>0</v>
      </c>
      <c r="G49" s="1315">
        <v>0</v>
      </c>
      <c r="H49" s="1315">
        <v>0</v>
      </c>
      <c r="I49" s="1315">
        <v>0</v>
      </c>
      <c r="J49" s="1315">
        <v>0</v>
      </c>
      <c r="K49" s="1315">
        <v>0</v>
      </c>
      <c r="L49" s="1315">
        <v>0</v>
      </c>
      <c r="M49" s="1315">
        <v>0</v>
      </c>
      <c r="N49" s="1315">
        <v>0</v>
      </c>
      <c r="O49" s="1315">
        <v>0</v>
      </c>
      <c r="P49" s="1315">
        <v>0</v>
      </c>
      <c r="Q49" s="1315">
        <v>0</v>
      </c>
      <c r="R49" s="1315">
        <v>-80.5</v>
      </c>
      <c r="S49" s="1315">
        <v>-178</v>
      </c>
      <c r="T49" s="1315">
        <v>11.951000000000001</v>
      </c>
      <c r="U49" s="1315">
        <v>-4.7</v>
      </c>
      <c r="V49" s="1315">
        <v>24.6</v>
      </c>
      <c r="W49" s="1315">
        <v>-13.9</v>
      </c>
      <c r="X49" s="1315">
        <v>-0.1</v>
      </c>
      <c r="Y49" s="1315">
        <v>0</v>
      </c>
      <c r="Z49" s="1315">
        <v>0</v>
      </c>
    </row>
    <row r="50" spans="1:26" x14ac:dyDescent="0.2">
      <c r="A50" s="1305" t="s">
        <v>1265</v>
      </c>
      <c r="B50" s="1315">
        <v>0</v>
      </c>
      <c r="C50" s="1315">
        <v>0</v>
      </c>
      <c r="D50" s="1315">
        <v>0</v>
      </c>
      <c r="E50" s="1315">
        <v>0</v>
      </c>
      <c r="F50" s="1315">
        <v>0</v>
      </c>
      <c r="G50" s="1315">
        <v>0</v>
      </c>
      <c r="H50" s="1315">
        <v>0</v>
      </c>
      <c r="I50" s="1315">
        <v>0</v>
      </c>
      <c r="J50" s="1315">
        <v>0</v>
      </c>
      <c r="K50" s="1315">
        <v>0</v>
      </c>
      <c r="L50" s="1315">
        <v>0</v>
      </c>
      <c r="M50" s="1315">
        <v>0</v>
      </c>
      <c r="N50" s="1315">
        <v>0</v>
      </c>
      <c r="O50" s="1315">
        <v>-26</v>
      </c>
      <c r="P50" s="1315">
        <v>0</v>
      </c>
      <c r="Q50" s="1315">
        <v>9.5</v>
      </c>
      <c r="R50" s="1315">
        <v>0</v>
      </c>
      <c r="S50" s="1315">
        <v>0</v>
      </c>
      <c r="T50" s="1315">
        <v>0</v>
      </c>
      <c r="U50" s="1315">
        <v>0</v>
      </c>
      <c r="V50" s="1315">
        <v>0</v>
      </c>
      <c r="W50" s="1315">
        <v>-19.8</v>
      </c>
      <c r="X50" s="1315">
        <v>-0.1</v>
      </c>
      <c r="Y50" s="1315">
        <v>7.5</v>
      </c>
      <c r="Z50" s="1315">
        <v>7.5</v>
      </c>
    </row>
    <row r="51" spans="1:26" ht="10.5" x14ac:dyDescent="0.2">
      <c r="A51" s="1314" t="s">
        <v>1266</v>
      </c>
      <c r="B51" s="1316">
        <v>2.012</v>
      </c>
      <c r="C51" s="1316">
        <v>8.2949999999999999</v>
      </c>
      <c r="D51" s="1316">
        <v>21.829000000000001</v>
      </c>
      <c r="E51" s="1316">
        <v>34.997</v>
      </c>
      <c r="F51" s="1316">
        <v>54.981000000000002</v>
      </c>
      <c r="G51" s="1316">
        <v>76.272000000000006</v>
      </c>
      <c r="H51" s="1316">
        <v>97.981999999999999</v>
      </c>
      <c r="I51" s="1316">
        <v>120.30500000000001</v>
      </c>
      <c r="J51" s="1316">
        <v>175.10900000000001</v>
      </c>
      <c r="K51" s="1316">
        <v>265.92399999999998</v>
      </c>
      <c r="L51" s="1316">
        <v>401.80399999999997</v>
      </c>
      <c r="M51" s="1316">
        <v>466.50599999999997</v>
      </c>
      <c r="N51" s="1316">
        <v>714.43899999999996</v>
      </c>
      <c r="O51" s="1316">
        <v>668.08799999999997</v>
      </c>
      <c r="P51" s="1316">
        <v>657.29700000000003</v>
      </c>
      <c r="Q51" s="1316">
        <v>800.77599999999995</v>
      </c>
      <c r="R51" s="1316">
        <v>1066.9269999999999</v>
      </c>
      <c r="S51" s="1316">
        <v>999.08600000000001</v>
      </c>
      <c r="T51" s="1316">
        <v>948.22299999999996</v>
      </c>
      <c r="U51" s="1316">
        <v>666.28599999999994</v>
      </c>
      <c r="V51" s="1316">
        <v>451.55200000000002</v>
      </c>
      <c r="W51" s="1316">
        <v>348.72</v>
      </c>
      <c r="X51" s="1316">
        <v>105.643</v>
      </c>
      <c r="Y51" s="1316">
        <v>-71.5</v>
      </c>
      <c r="Z51" s="1316">
        <v>-17.5</v>
      </c>
    </row>
    <row r="52" spans="1:26" x14ac:dyDescent="0.2">
      <c r="A52" s="1305"/>
      <c r="B52" s="1305"/>
      <c r="C52" s="1305"/>
      <c r="D52" s="1305"/>
      <c r="E52" s="1305"/>
      <c r="F52" s="1330"/>
      <c r="G52" s="1330"/>
      <c r="H52" s="1330"/>
      <c r="I52" s="1330"/>
      <c r="J52" s="1330"/>
      <c r="K52" s="1330"/>
      <c r="L52" s="1330"/>
      <c r="M52" s="1330"/>
      <c r="N52" s="1330"/>
      <c r="O52" s="1330"/>
      <c r="P52" s="1330"/>
      <c r="Q52" s="1330"/>
      <c r="R52" s="1330"/>
      <c r="S52" s="1330"/>
      <c r="T52" s="1330"/>
      <c r="U52" s="1330"/>
      <c r="V52" s="1330"/>
      <c r="W52" s="1330"/>
      <c r="X52" s="1330"/>
      <c r="Y52" s="1330"/>
      <c r="Z52" s="1330"/>
    </row>
    <row r="53" spans="1:26" x14ac:dyDescent="0.2">
      <c r="A53" s="1305" t="s">
        <v>1267</v>
      </c>
      <c r="B53" s="1315">
        <v>0.86899999999999999</v>
      </c>
      <c r="C53" s="1315">
        <v>3.383</v>
      </c>
      <c r="D53" s="1315">
        <v>9.2289999999999992</v>
      </c>
      <c r="E53" s="1315">
        <v>13.605</v>
      </c>
      <c r="F53" s="1315">
        <v>21.602</v>
      </c>
      <c r="G53" s="1315">
        <v>29.975000000000001</v>
      </c>
      <c r="H53" s="1315">
        <v>38.976999999999997</v>
      </c>
      <c r="I53" s="1315">
        <v>49.113999999999997</v>
      </c>
      <c r="J53" s="1315">
        <v>67.292000000000002</v>
      </c>
      <c r="K53" s="1315">
        <v>104.774</v>
      </c>
      <c r="L53" s="1315">
        <v>154.79400000000001</v>
      </c>
      <c r="M53" s="1315">
        <v>186.42099999999999</v>
      </c>
      <c r="N53" s="1315">
        <v>286.50599999999997</v>
      </c>
      <c r="O53" s="1315">
        <v>253.255</v>
      </c>
      <c r="P53" s="1315">
        <v>248.48699999999999</v>
      </c>
      <c r="Q53" s="1315">
        <v>314.02499999999998</v>
      </c>
      <c r="R53" s="1315">
        <v>456.72</v>
      </c>
      <c r="S53" s="1315">
        <v>463.61900000000003</v>
      </c>
      <c r="T53" s="1315">
        <v>419.13600000000002</v>
      </c>
      <c r="U53" s="1315">
        <v>282.779</v>
      </c>
      <c r="V53" s="1315">
        <v>184.07499999999999</v>
      </c>
      <c r="W53" s="1315">
        <v>127.29</v>
      </c>
      <c r="X53" s="1315">
        <v>58.162999999999997</v>
      </c>
      <c r="Y53" s="1315">
        <v>9.8290000000000006</v>
      </c>
      <c r="Z53" s="1315">
        <v>1.8129999999999999</v>
      </c>
    </row>
    <row r="54" spans="1:26" ht="10.5" x14ac:dyDescent="0.2">
      <c r="A54" s="1314" t="s">
        <v>1268</v>
      </c>
      <c r="B54" s="1316">
        <v>1.143</v>
      </c>
      <c r="C54" s="1316">
        <v>4.9119999999999999</v>
      </c>
      <c r="D54" s="1316">
        <v>12.6</v>
      </c>
      <c r="E54" s="1316">
        <v>21.391999999999999</v>
      </c>
      <c r="F54" s="1316">
        <v>33.378999999999998</v>
      </c>
      <c r="G54" s="1316">
        <v>46.296999999999997</v>
      </c>
      <c r="H54" s="1316">
        <v>59.005000000000003</v>
      </c>
      <c r="I54" s="1316">
        <v>71.191000000000003</v>
      </c>
      <c r="J54" s="1316">
        <v>107.81699999999999</v>
      </c>
      <c r="K54" s="1316">
        <v>161.15</v>
      </c>
      <c r="L54" s="1316">
        <v>247.01</v>
      </c>
      <c r="M54" s="1316">
        <v>280.08499999999998</v>
      </c>
      <c r="N54" s="1316">
        <v>427.93299999999999</v>
      </c>
      <c r="O54" s="1316">
        <v>414.83300000000003</v>
      </c>
      <c r="P54" s="1316">
        <v>408.81</v>
      </c>
      <c r="Q54" s="1316">
        <v>486.75099999999998</v>
      </c>
      <c r="R54" s="1316">
        <v>610.20699999999999</v>
      </c>
      <c r="S54" s="1316">
        <v>535.46699999999998</v>
      </c>
      <c r="T54" s="1316">
        <v>529.08699999999999</v>
      </c>
      <c r="U54" s="1316">
        <v>383.50700000000001</v>
      </c>
      <c r="V54" s="1316">
        <v>267.47699999999998</v>
      </c>
      <c r="W54" s="1316">
        <v>221.43</v>
      </c>
      <c r="X54" s="1316">
        <v>47.48</v>
      </c>
      <c r="Y54" s="1316">
        <v>-81.3</v>
      </c>
      <c r="Z54" s="1316">
        <v>-19.3</v>
      </c>
    </row>
    <row r="55" spans="1:26" x14ac:dyDescent="0.2">
      <c r="A55" s="1305"/>
      <c r="B55" s="1305"/>
      <c r="C55" s="1305"/>
      <c r="D55" s="1305"/>
      <c r="E55" s="1305"/>
      <c r="F55" s="1305"/>
      <c r="G55" s="1305"/>
      <c r="H55" s="1305"/>
      <c r="I55" s="1305"/>
      <c r="J55" s="1305"/>
      <c r="K55" s="1305"/>
      <c r="L55" s="1305"/>
      <c r="M55" s="1305"/>
      <c r="N55" s="1305"/>
      <c r="O55" s="1305"/>
      <c r="P55" s="1305"/>
      <c r="Q55" s="1305"/>
      <c r="R55" s="1305"/>
      <c r="S55" s="1305"/>
      <c r="T55" s="1305"/>
      <c r="U55" s="1305"/>
      <c r="V55" s="1305"/>
      <c r="W55" s="1305"/>
      <c r="X55" s="1305"/>
      <c r="Y55" s="1305"/>
      <c r="Z55" s="1305"/>
    </row>
    <row r="56" spans="1:26" x14ac:dyDescent="0.2">
      <c r="A56" s="1305" t="s">
        <v>1269</v>
      </c>
      <c r="B56" s="1315">
        <v>0</v>
      </c>
      <c r="C56" s="1315">
        <v>0</v>
      </c>
      <c r="D56" s="1315">
        <v>0</v>
      </c>
      <c r="E56" s="1315">
        <v>0</v>
      </c>
      <c r="F56" s="1315">
        <v>0</v>
      </c>
      <c r="G56" s="1315">
        <v>0</v>
      </c>
      <c r="H56" s="1315">
        <v>0</v>
      </c>
      <c r="I56" s="1315">
        <v>0</v>
      </c>
      <c r="J56" s="1315">
        <v>0</v>
      </c>
      <c r="K56" s="1315">
        <v>0</v>
      </c>
      <c r="L56" s="1315">
        <v>0</v>
      </c>
      <c r="M56" s="1315">
        <v>0</v>
      </c>
      <c r="N56" s="1315">
        <v>0</v>
      </c>
      <c r="O56" s="1315">
        <v>0</v>
      </c>
      <c r="P56" s="1315">
        <v>0</v>
      </c>
      <c r="Q56" s="1315">
        <v>-10.8</v>
      </c>
      <c r="R56" s="1315">
        <v>-16.399999999999999</v>
      </c>
      <c r="S56" s="1315">
        <v>-13.9</v>
      </c>
      <c r="T56" s="1315">
        <v>6.7089999999999996</v>
      </c>
      <c r="U56" s="1315">
        <v>33.499000000000002</v>
      </c>
      <c r="V56" s="1315">
        <v>-18.5</v>
      </c>
      <c r="W56" s="1315">
        <v>-16.600000000000001</v>
      </c>
      <c r="X56" s="1315">
        <v>-23.2</v>
      </c>
      <c r="Y56" s="1315">
        <v>-9.6999999999999993</v>
      </c>
      <c r="Z56" s="1315">
        <v>-6.4</v>
      </c>
    </row>
    <row r="57" spans="1:26" x14ac:dyDescent="0.2">
      <c r="A57" s="1305" t="s">
        <v>1270</v>
      </c>
      <c r="B57" s="1315">
        <v>0</v>
      </c>
      <c r="C57" s="1315">
        <v>0</v>
      </c>
      <c r="D57" s="1315">
        <v>0</v>
      </c>
      <c r="E57" s="1315">
        <v>0</v>
      </c>
      <c r="F57" s="1315">
        <v>0</v>
      </c>
      <c r="G57" s="1315">
        <v>0</v>
      </c>
      <c r="H57" s="1315">
        <v>0</v>
      </c>
      <c r="I57" s="1315">
        <v>0</v>
      </c>
      <c r="J57" s="1315">
        <v>0</v>
      </c>
      <c r="K57" s="1315">
        <v>0</v>
      </c>
      <c r="L57" s="1315">
        <v>0</v>
      </c>
      <c r="M57" s="1315">
        <v>0</v>
      </c>
      <c r="N57" s="1315">
        <v>0</v>
      </c>
      <c r="O57" s="1315">
        <v>0</v>
      </c>
      <c r="P57" s="1315">
        <v>0</v>
      </c>
      <c r="Q57" s="1315">
        <v>0</v>
      </c>
      <c r="R57" s="1315">
        <v>0</v>
      </c>
      <c r="S57" s="1315">
        <v>0</v>
      </c>
      <c r="T57" s="1315">
        <v>0</v>
      </c>
      <c r="U57" s="1315">
        <v>0</v>
      </c>
      <c r="V57" s="1315">
        <v>0</v>
      </c>
      <c r="W57" s="1315">
        <v>0</v>
      </c>
      <c r="X57" s="1315">
        <v>0</v>
      </c>
      <c r="Y57" s="1315">
        <v>0</v>
      </c>
      <c r="Z57" s="1315">
        <v>0</v>
      </c>
    </row>
    <row r="58" spans="1:26" ht="10.5" x14ac:dyDescent="0.2">
      <c r="A58" s="1314" t="s">
        <v>1271</v>
      </c>
      <c r="B58" s="1316">
        <v>1.143</v>
      </c>
      <c r="C58" s="1316">
        <v>4.9119999999999999</v>
      </c>
      <c r="D58" s="1316">
        <v>12.6</v>
      </c>
      <c r="E58" s="1316">
        <v>21.391999999999999</v>
      </c>
      <c r="F58" s="1316">
        <v>33.378999999999998</v>
      </c>
      <c r="G58" s="1316">
        <v>46.296999999999997</v>
      </c>
      <c r="H58" s="1316">
        <v>59.005000000000003</v>
      </c>
      <c r="I58" s="1316">
        <v>71.191000000000003</v>
      </c>
      <c r="J58" s="1316">
        <v>107.81699999999999</v>
      </c>
      <c r="K58" s="1316">
        <v>161.15</v>
      </c>
      <c r="L58" s="1316">
        <v>247.01</v>
      </c>
      <c r="M58" s="1316">
        <v>280.08499999999998</v>
      </c>
      <c r="N58" s="1316">
        <v>427.93299999999999</v>
      </c>
      <c r="O58" s="1316">
        <v>414.83300000000003</v>
      </c>
      <c r="P58" s="1316">
        <v>408.81</v>
      </c>
      <c r="Q58" s="1316">
        <v>475.92700000000002</v>
      </c>
      <c r="R58" s="1316">
        <v>593.83000000000004</v>
      </c>
      <c r="S58" s="1316">
        <v>521.58100000000002</v>
      </c>
      <c r="T58" s="1316">
        <v>535.79600000000005</v>
      </c>
      <c r="U58" s="1316">
        <v>417.00599999999997</v>
      </c>
      <c r="V58" s="1316">
        <v>248.965</v>
      </c>
      <c r="W58" s="1316">
        <v>204.798</v>
      </c>
      <c r="X58" s="1316">
        <v>24.295000000000002</v>
      </c>
      <c r="Y58" s="1316">
        <v>-91</v>
      </c>
      <c r="Z58" s="1316">
        <v>-25.7</v>
      </c>
    </row>
    <row r="59" spans="1:26" x14ac:dyDescent="0.2">
      <c r="A59" s="1305"/>
      <c r="B59" s="1305"/>
      <c r="C59" s="1305"/>
      <c r="D59" s="1305"/>
      <c r="E59" s="1305"/>
      <c r="F59" s="1305"/>
      <c r="G59" s="1305"/>
      <c r="H59" s="1305"/>
      <c r="I59" s="1305"/>
      <c r="J59" s="1305"/>
      <c r="K59" s="1305"/>
      <c r="L59" s="1305"/>
      <c r="M59" s="1305"/>
      <c r="N59" s="1305"/>
      <c r="O59" s="1305"/>
      <c r="P59" s="1305"/>
      <c r="Q59" s="1305"/>
      <c r="R59" s="1305"/>
      <c r="S59" s="1305"/>
      <c r="T59" s="1305"/>
      <c r="U59" s="1305"/>
      <c r="V59" s="1305"/>
      <c r="W59" s="1305"/>
      <c r="X59" s="1305"/>
      <c r="Y59" s="1305"/>
      <c r="Z59" s="1305"/>
    </row>
    <row r="60" spans="1:26" x14ac:dyDescent="0.2">
      <c r="A60" s="1305" t="s">
        <v>1272</v>
      </c>
      <c r="B60" s="1315">
        <v>0</v>
      </c>
      <c r="C60" s="1315">
        <v>0</v>
      </c>
      <c r="D60" s="1315">
        <v>0</v>
      </c>
      <c r="E60" s="1315">
        <v>0</v>
      </c>
      <c r="F60" s="1315">
        <v>0</v>
      </c>
      <c r="G60" s="1315">
        <v>0</v>
      </c>
      <c r="H60" s="1315">
        <v>0</v>
      </c>
      <c r="I60" s="1315">
        <v>0</v>
      </c>
      <c r="J60" s="1315">
        <v>0</v>
      </c>
      <c r="K60" s="1315">
        <v>0</v>
      </c>
      <c r="L60" s="1315">
        <v>0</v>
      </c>
      <c r="M60" s="1315">
        <v>0</v>
      </c>
      <c r="N60" s="1315">
        <v>0</v>
      </c>
      <c r="O60" s="1315">
        <v>0</v>
      </c>
      <c r="P60" s="1315">
        <v>0</v>
      </c>
      <c r="Q60" s="1315">
        <v>0.59799999999999998</v>
      </c>
      <c r="R60" s="1315">
        <v>4.4889999999999999</v>
      </c>
      <c r="S60" s="1315">
        <v>31.420999999999999</v>
      </c>
      <c r="T60" s="1315">
        <v>36.631</v>
      </c>
      <c r="U60" s="1315">
        <v>5.6719999999999997</v>
      </c>
      <c r="V60" s="1315">
        <v>-0.4</v>
      </c>
      <c r="W60" s="1315">
        <v>4.5060000000000002</v>
      </c>
      <c r="X60" s="1315">
        <v>5.46</v>
      </c>
      <c r="Y60" s="1315">
        <v>6.476</v>
      </c>
      <c r="Z60" s="1315">
        <v>5.9850000000000003</v>
      </c>
    </row>
    <row r="61" spans="1:26" ht="10.5" x14ac:dyDescent="0.2">
      <c r="A61" s="1314" t="s">
        <v>1273</v>
      </c>
      <c r="B61" s="1318">
        <v>1.143</v>
      </c>
      <c r="C61" s="1318">
        <v>4.9119999999999999</v>
      </c>
      <c r="D61" s="1318">
        <v>12.6</v>
      </c>
      <c r="E61" s="1318">
        <v>21.391999999999999</v>
      </c>
      <c r="F61" s="1318">
        <v>33.378999999999998</v>
      </c>
      <c r="G61" s="1318">
        <v>46.296999999999997</v>
      </c>
      <c r="H61" s="1318">
        <v>59.005000000000003</v>
      </c>
      <c r="I61" s="1318">
        <v>71.191000000000003</v>
      </c>
      <c r="J61" s="1318">
        <v>107.81699999999999</v>
      </c>
      <c r="K61" s="1318">
        <v>161.15</v>
      </c>
      <c r="L61" s="1318">
        <v>247.01</v>
      </c>
      <c r="M61" s="1318">
        <v>280.08499999999998</v>
      </c>
      <c r="N61" s="1318">
        <v>427.93299999999999</v>
      </c>
      <c r="O61" s="1318">
        <v>414.83300000000003</v>
      </c>
      <c r="P61" s="1318">
        <v>408.81</v>
      </c>
      <c r="Q61" s="1318">
        <v>476.52499999999998</v>
      </c>
      <c r="R61" s="1318">
        <v>598.31899999999996</v>
      </c>
      <c r="S61" s="1318">
        <v>553.00199999999995</v>
      </c>
      <c r="T61" s="1318">
        <v>572.42700000000002</v>
      </c>
      <c r="U61" s="1318">
        <v>422.678</v>
      </c>
      <c r="V61" s="1318">
        <v>248.52600000000001</v>
      </c>
      <c r="W61" s="1318">
        <v>209.304</v>
      </c>
      <c r="X61" s="1318">
        <v>29.754999999999999</v>
      </c>
      <c r="Y61" s="1318">
        <v>-84.6</v>
      </c>
      <c r="Z61" s="1318">
        <v>-19.7</v>
      </c>
    </row>
    <row r="62" spans="1:26" x14ac:dyDescent="0.2">
      <c r="A62" s="1305"/>
      <c r="B62" s="1305"/>
      <c r="C62" s="1305"/>
      <c r="D62" s="1305"/>
      <c r="E62" s="1305"/>
      <c r="F62" s="1305"/>
      <c r="G62" s="1305"/>
      <c r="H62" s="1305"/>
      <c r="I62" s="1305"/>
      <c r="J62" s="1305"/>
      <c r="K62" s="1305"/>
      <c r="L62" s="1305"/>
      <c r="M62" s="1305"/>
      <c r="N62" s="1305"/>
      <c r="O62" s="1305"/>
      <c r="P62" s="1305"/>
      <c r="Q62" s="1305"/>
      <c r="R62" s="1305"/>
      <c r="S62" s="1305"/>
      <c r="T62" s="1305"/>
      <c r="U62" s="1305"/>
      <c r="V62" s="1305"/>
      <c r="W62" s="1305"/>
      <c r="X62" s="1305"/>
      <c r="Y62" s="1305"/>
      <c r="Z62" s="1305"/>
    </row>
    <row r="63" spans="1:26" x14ac:dyDescent="0.2">
      <c r="A63" s="1305" t="s">
        <v>1274</v>
      </c>
      <c r="B63" s="1315">
        <v>0</v>
      </c>
      <c r="C63" s="1315">
        <v>0</v>
      </c>
      <c r="D63" s="1315">
        <v>0</v>
      </c>
      <c r="E63" s="1315">
        <v>0</v>
      </c>
      <c r="F63" s="1315">
        <v>0</v>
      </c>
      <c r="G63" s="1315">
        <v>0</v>
      </c>
      <c r="H63" s="1315">
        <v>0</v>
      </c>
      <c r="I63" s="1315">
        <v>0</v>
      </c>
      <c r="J63" s="1315">
        <v>3.3039999999999998</v>
      </c>
      <c r="K63" s="1315">
        <v>7.9889999999999999</v>
      </c>
      <c r="L63" s="1315">
        <v>15.308</v>
      </c>
      <c r="M63" s="1315">
        <v>138.35</v>
      </c>
      <c r="N63" s="1315">
        <v>0</v>
      </c>
      <c r="O63" s="1315">
        <v>0</v>
      </c>
      <c r="P63" s="1315">
        <v>0</v>
      </c>
      <c r="Q63" s="1315">
        <v>0</v>
      </c>
      <c r="R63" s="1315">
        <v>0</v>
      </c>
      <c r="S63" s="1315">
        <v>0</v>
      </c>
      <c r="T63" s="1315">
        <v>0</v>
      </c>
      <c r="U63" s="1315">
        <v>0</v>
      </c>
      <c r="V63" s="1315">
        <v>0</v>
      </c>
      <c r="W63" s="1315">
        <v>0</v>
      </c>
      <c r="X63" s="1315">
        <v>0</v>
      </c>
      <c r="Y63" s="1315">
        <v>0</v>
      </c>
      <c r="Z63" s="1315">
        <v>0</v>
      </c>
    </row>
    <row r="64" spans="1:26" x14ac:dyDescent="0.2">
      <c r="A64" s="1305"/>
      <c r="B64" s="1305"/>
      <c r="C64" s="1305"/>
      <c r="D64" s="1305"/>
      <c r="E64" s="1305"/>
      <c r="F64" s="1305"/>
      <c r="G64" s="1305"/>
      <c r="H64" s="1305"/>
      <c r="I64" s="1305"/>
      <c r="J64" s="1305"/>
      <c r="K64" s="1305"/>
      <c r="L64" s="1305"/>
      <c r="M64" s="1305"/>
      <c r="N64" s="1305"/>
      <c r="O64" s="1305"/>
      <c r="P64" s="1305"/>
      <c r="Q64" s="1305"/>
      <c r="R64" s="1305"/>
      <c r="S64" s="1305"/>
      <c r="T64" s="1305"/>
      <c r="U64" s="1305"/>
      <c r="V64" s="1305"/>
      <c r="W64" s="1305"/>
      <c r="X64" s="1305"/>
      <c r="Y64" s="1305"/>
      <c r="Z64" s="1305"/>
    </row>
    <row r="65" spans="1:26" ht="10.5" x14ac:dyDescent="0.2">
      <c r="A65" s="1314" t="s">
        <v>1275</v>
      </c>
      <c r="B65" s="1317">
        <v>1.143</v>
      </c>
      <c r="C65" s="1317">
        <v>4.9119999999999999</v>
      </c>
      <c r="D65" s="1317">
        <v>12.6</v>
      </c>
      <c r="E65" s="1317">
        <v>21.391999999999999</v>
      </c>
      <c r="F65" s="1317">
        <v>33.378999999999998</v>
      </c>
      <c r="G65" s="1317">
        <v>46.296999999999997</v>
      </c>
      <c r="H65" s="1317">
        <v>59.005000000000003</v>
      </c>
      <c r="I65" s="1317">
        <v>71.191000000000003</v>
      </c>
      <c r="J65" s="1317">
        <v>104.51300000000001</v>
      </c>
      <c r="K65" s="1317">
        <v>153.161</v>
      </c>
      <c r="L65" s="1317">
        <v>231.702</v>
      </c>
      <c r="M65" s="1317">
        <v>141.73500000000001</v>
      </c>
      <c r="N65" s="1317">
        <v>427.93299999999999</v>
      </c>
      <c r="O65" s="1317">
        <v>414.83300000000003</v>
      </c>
      <c r="P65" s="1317">
        <v>408.81</v>
      </c>
      <c r="Q65" s="1317">
        <v>476.52499999999998</v>
      </c>
      <c r="R65" s="1317">
        <v>598.31899999999996</v>
      </c>
      <c r="S65" s="1317">
        <v>553.00199999999995</v>
      </c>
      <c r="T65" s="1317">
        <v>572.42700000000002</v>
      </c>
      <c r="U65" s="1317">
        <v>422.678</v>
      </c>
      <c r="V65" s="1317">
        <v>248.52600000000001</v>
      </c>
      <c r="W65" s="1317">
        <v>209.304</v>
      </c>
      <c r="X65" s="1317">
        <v>29.754999999999999</v>
      </c>
      <c r="Y65" s="1317">
        <v>-84.6</v>
      </c>
      <c r="Z65" s="1317">
        <v>-19.7</v>
      </c>
    </row>
    <row r="66" spans="1:26" ht="10.5" x14ac:dyDescent="0.2">
      <c r="A66" s="1314" t="s">
        <v>1276</v>
      </c>
      <c r="B66" s="1317">
        <v>1.143</v>
      </c>
      <c r="C66" s="1317">
        <v>4.9119999999999999</v>
      </c>
      <c r="D66" s="1317">
        <v>12.6</v>
      </c>
      <c r="E66" s="1317">
        <v>21.391999999999999</v>
      </c>
      <c r="F66" s="1317">
        <v>33.378999999999998</v>
      </c>
      <c r="G66" s="1317">
        <v>46.296999999999997</v>
      </c>
      <c r="H66" s="1317">
        <v>59.005000000000003</v>
      </c>
      <c r="I66" s="1317">
        <v>71.191000000000003</v>
      </c>
      <c r="J66" s="1317">
        <v>104.51300000000001</v>
      </c>
      <c r="K66" s="1317">
        <v>153.161</v>
      </c>
      <c r="L66" s="1317">
        <v>231.702</v>
      </c>
      <c r="M66" s="1317">
        <v>141.73500000000001</v>
      </c>
      <c r="N66" s="1317">
        <v>427.93299999999999</v>
      </c>
      <c r="O66" s="1317">
        <v>414.83300000000003</v>
      </c>
      <c r="P66" s="1317">
        <v>408.81</v>
      </c>
      <c r="Q66" s="1317">
        <v>487.34899999999999</v>
      </c>
      <c r="R66" s="1317">
        <v>614.69600000000003</v>
      </c>
      <c r="S66" s="1317">
        <v>566.88800000000003</v>
      </c>
      <c r="T66" s="1317">
        <v>565.71799999999996</v>
      </c>
      <c r="U66" s="1317">
        <v>389.17899999999997</v>
      </c>
      <c r="V66" s="1317">
        <v>267.03800000000001</v>
      </c>
      <c r="W66" s="1317">
        <v>225.93600000000001</v>
      </c>
      <c r="X66" s="1317">
        <v>52.94</v>
      </c>
      <c r="Y66" s="1317">
        <v>-74.900000000000006</v>
      </c>
      <c r="Z66" s="1317">
        <v>-13.3</v>
      </c>
    </row>
    <row r="67" spans="1:26" x14ac:dyDescent="0.2">
      <c r="A67" s="1305"/>
      <c r="B67" s="1305"/>
      <c r="C67" s="1305"/>
      <c r="D67" s="1305"/>
      <c r="E67" s="1305"/>
      <c r="F67" s="1305"/>
      <c r="G67" s="1305"/>
      <c r="H67" s="1305"/>
      <c r="I67" s="1305"/>
      <c r="J67" s="1305"/>
      <c r="K67" s="1305"/>
      <c r="L67" s="1305"/>
      <c r="M67" s="1305"/>
      <c r="N67" s="1305"/>
      <c r="O67" s="1305"/>
      <c r="P67" s="1305"/>
      <c r="Q67" s="1305"/>
      <c r="R67" s="1305"/>
      <c r="S67" s="1305"/>
      <c r="T67" s="1305"/>
      <c r="U67" s="1305"/>
      <c r="V67" s="1305"/>
      <c r="W67" s="1305"/>
      <c r="X67" s="1305"/>
      <c r="Y67" s="1305"/>
      <c r="Z67" s="1305"/>
    </row>
    <row r="68" spans="1:26" ht="10.5" x14ac:dyDescent="0.2">
      <c r="A68" s="1314" t="s">
        <v>1277</v>
      </c>
      <c r="B68" s="1305"/>
      <c r="C68" s="1305"/>
      <c r="D68" s="1305"/>
      <c r="E68" s="1305"/>
      <c r="F68" s="1305"/>
      <c r="G68" s="1305"/>
      <c r="H68" s="1305"/>
      <c r="I68" s="1305"/>
      <c r="J68" s="1305"/>
      <c r="K68" s="1305"/>
      <c r="L68" s="1305"/>
      <c r="M68" s="1305"/>
      <c r="N68" s="1305"/>
      <c r="O68" s="1305"/>
      <c r="P68" s="1305"/>
      <c r="Q68" s="1305"/>
      <c r="R68" s="1305"/>
      <c r="S68" s="1305"/>
      <c r="T68" s="1305"/>
      <c r="U68" s="1305"/>
      <c r="V68" s="1305"/>
      <c r="W68" s="1305"/>
      <c r="X68" s="1305"/>
      <c r="Y68" s="1305"/>
      <c r="Z68" s="1305"/>
    </row>
    <row r="69" spans="1:26" x14ac:dyDescent="0.2">
      <c r="A69" s="1305" t="s">
        <v>1278</v>
      </c>
      <c r="B69" s="1319" t="s">
        <v>890</v>
      </c>
      <c r="C69" s="1320">
        <v>0.04</v>
      </c>
      <c r="D69" s="1320">
        <v>0.08</v>
      </c>
      <c r="E69" s="1320">
        <v>0.13</v>
      </c>
      <c r="F69" s="1320">
        <v>0.2</v>
      </c>
      <c r="G69" s="1320">
        <v>0.27</v>
      </c>
      <c r="H69" s="1320">
        <v>0.34</v>
      </c>
      <c r="I69" s="1320">
        <v>0.42</v>
      </c>
      <c r="J69" s="1320">
        <v>0.61</v>
      </c>
      <c r="K69" s="1320">
        <v>0.89</v>
      </c>
      <c r="L69" s="1320">
        <v>1.32</v>
      </c>
      <c r="M69" s="1320">
        <v>0.8</v>
      </c>
      <c r="N69" s="1320">
        <v>2.34</v>
      </c>
      <c r="O69" s="1320">
        <v>2.38</v>
      </c>
      <c r="P69" s="1320">
        <v>2.37</v>
      </c>
      <c r="Q69" s="1320">
        <v>2.9</v>
      </c>
      <c r="R69" s="1320">
        <v>3.79</v>
      </c>
      <c r="S69" s="1320">
        <v>3.64</v>
      </c>
      <c r="T69" s="1320">
        <v>4.05</v>
      </c>
      <c r="U69" s="1320">
        <v>3.48</v>
      </c>
      <c r="V69" s="1320">
        <v>2.2000000000000002</v>
      </c>
      <c r="W69" s="1320">
        <v>1.88</v>
      </c>
      <c r="X69" s="1320">
        <v>0.28000000000000003</v>
      </c>
      <c r="Y69" s="1320">
        <v>-0.78</v>
      </c>
      <c r="Z69" s="1320">
        <v>-0.18</v>
      </c>
    </row>
    <row r="70" spans="1:26" x14ac:dyDescent="0.2">
      <c r="A70" s="1305" t="s">
        <v>1279</v>
      </c>
      <c r="B70" s="1319" t="s">
        <v>890</v>
      </c>
      <c r="C70" s="1319">
        <v>4.2328999999999999E-2</v>
      </c>
      <c r="D70" s="1319">
        <v>8.1000000000000003E-2</v>
      </c>
      <c r="E70" s="1319">
        <v>0.12723999999999999</v>
      </c>
      <c r="F70" s="1319">
        <v>0.19616600000000001</v>
      </c>
      <c r="G70" s="1319">
        <v>0.266378</v>
      </c>
      <c r="H70" s="1319">
        <v>0.337584</v>
      </c>
      <c r="I70" s="1319">
        <v>0.41751300000000002</v>
      </c>
      <c r="J70" s="1319">
        <v>0.60971399999999998</v>
      </c>
      <c r="K70" s="1319">
        <v>0.88604499999999997</v>
      </c>
      <c r="L70" s="1319">
        <v>1.3241240000000001</v>
      </c>
      <c r="M70" s="1319">
        <v>0.804512</v>
      </c>
      <c r="N70" s="1319">
        <v>2.3393519999999999</v>
      </c>
      <c r="O70" s="1319">
        <v>2.3792979999999999</v>
      </c>
      <c r="P70" s="1319">
        <v>2.3725399999999999</v>
      </c>
      <c r="Q70" s="1319">
        <v>2.9696660000000001</v>
      </c>
      <c r="R70" s="1319">
        <v>3.8963990000000002</v>
      </c>
      <c r="S70" s="1319">
        <v>3.7306300000000001</v>
      </c>
      <c r="T70" s="1319">
        <v>4.0045440000000001</v>
      </c>
      <c r="U70" s="1319">
        <v>3.2002999999999999</v>
      </c>
      <c r="V70" s="1319">
        <v>2.3692060000000001</v>
      </c>
      <c r="W70" s="1319">
        <v>2.028988</v>
      </c>
      <c r="X70" s="1319">
        <v>0.48976700000000001</v>
      </c>
      <c r="Y70" s="1319">
        <v>-0.69</v>
      </c>
      <c r="Z70" s="1319">
        <v>-0.12</v>
      </c>
    </row>
    <row r="71" spans="1:26" x14ac:dyDescent="0.2">
      <c r="A71" s="1305" t="s">
        <v>1280</v>
      </c>
      <c r="B71" s="1315" t="s">
        <v>890</v>
      </c>
      <c r="C71" s="1315">
        <v>116.042625</v>
      </c>
      <c r="D71" s="1315">
        <v>155.55375000000001</v>
      </c>
      <c r="E71" s="1315">
        <v>168.12225000000001</v>
      </c>
      <c r="F71" s="1315">
        <v>170.15625</v>
      </c>
      <c r="G71" s="1315">
        <v>173.80125000000001</v>
      </c>
      <c r="H71" s="1315">
        <v>174.786</v>
      </c>
      <c r="I71" s="1315">
        <v>170.512</v>
      </c>
      <c r="J71" s="1315">
        <v>171.41300000000001</v>
      </c>
      <c r="K71" s="1315">
        <v>172.85900000000001</v>
      </c>
      <c r="L71" s="1315">
        <v>174.98500000000001</v>
      </c>
      <c r="M71" s="1315">
        <v>176.17500000000001</v>
      </c>
      <c r="N71" s="1315">
        <v>182.928</v>
      </c>
      <c r="O71" s="1315">
        <v>174.351</v>
      </c>
      <c r="P71" s="1315">
        <v>172.309</v>
      </c>
      <c r="Q71" s="1315">
        <v>164.10900000000001</v>
      </c>
      <c r="R71" s="1315">
        <v>157.76</v>
      </c>
      <c r="S71" s="1315">
        <v>151.95500000000001</v>
      </c>
      <c r="T71" s="1315">
        <v>141.26900000000001</v>
      </c>
      <c r="U71" s="1315">
        <v>121.607</v>
      </c>
      <c r="V71" s="1315">
        <v>112.712</v>
      </c>
      <c r="W71" s="1315">
        <v>111.354</v>
      </c>
      <c r="X71" s="1315">
        <v>108.092</v>
      </c>
      <c r="Y71" s="1315">
        <v>108.66</v>
      </c>
      <c r="Z71" s="1315">
        <v>108.9795</v>
      </c>
    </row>
    <row r="72" spans="1:26" x14ac:dyDescent="0.2">
      <c r="A72" s="1305"/>
      <c r="B72" s="1305"/>
      <c r="C72" s="1305"/>
      <c r="D72" s="1305"/>
      <c r="E72" s="1305"/>
      <c r="F72" s="1305"/>
      <c r="G72" s="1305"/>
      <c r="H72" s="1305"/>
      <c r="I72" s="1305"/>
      <c r="J72" s="1305"/>
      <c r="K72" s="1305"/>
      <c r="L72" s="1305"/>
      <c r="M72" s="1305"/>
      <c r="N72" s="1305"/>
      <c r="O72" s="1305"/>
      <c r="P72" s="1305"/>
      <c r="Q72" s="1305"/>
      <c r="R72" s="1305"/>
      <c r="S72" s="1305"/>
      <c r="T72" s="1305"/>
      <c r="U72" s="1305"/>
      <c r="V72" s="1305"/>
      <c r="W72" s="1305"/>
      <c r="X72" s="1305"/>
      <c r="Y72" s="1305"/>
      <c r="Z72" s="1305"/>
    </row>
    <row r="73" spans="1:26" x14ac:dyDescent="0.2">
      <c r="A73" s="1305" t="s">
        <v>1281</v>
      </c>
      <c r="B73" s="1319" t="s">
        <v>890</v>
      </c>
      <c r="C73" s="1320">
        <v>0.04</v>
      </c>
      <c r="D73" s="1320">
        <v>0.08</v>
      </c>
      <c r="E73" s="1320">
        <v>0.12</v>
      </c>
      <c r="F73" s="1320">
        <v>0.19</v>
      </c>
      <c r="G73" s="1320">
        <v>0.26</v>
      </c>
      <c r="H73" s="1320">
        <v>0.33</v>
      </c>
      <c r="I73" s="1320">
        <v>0.41</v>
      </c>
      <c r="J73" s="1320">
        <v>0.6</v>
      </c>
      <c r="K73" s="1320">
        <v>0.87</v>
      </c>
      <c r="L73" s="1320">
        <v>1.3</v>
      </c>
      <c r="M73" s="1320">
        <v>0.79</v>
      </c>
      <c r="N73" s="1320">
        <v>2.2999999999999998</v>
      </c>
      <c r="O73" s="1320">
        <v>2.35</v>
      </c>
      <c r="P73" s="1320">
        <v>2.35</v>
      </c>
      <c r="Q73" s="1320">
        <v>2.87</v>
      </c>
      <c r="R73" s="1320">
        <v>3.75</v>
      </c>
      <c r="S73" s="1320">
        <v>3.62</v>
      </c>
      <c r="T73" s="1320">
        <v>4.04</v>
      </c>
      <c r="U73" s="1320">
        <v>3.45</v>
      </c>
      <c r="V73" s="1320">
        <v>2.2000000000000002</v>
      </c>
      <c r="W73" s="1320">
        <v>1.86</v>
      </c>
      <c r="X73" s="1320">
        <v>0.28000000000000003</v>
      </c>
      <c r="Y73" s="1320">
        <v>-0.78</v>
      </c>
      <c r="Z73" s="1320">
        <v>-0.18</v>
      </c>
    </row>
    <row r="74" spans="1:26" x14ac:dyDescent="0.2">
      <c r="A74" s="1305" t="s">
        <v>1282</v>
      </c>
      <c r="B74" s="1319" t="s">
        <v>890</v>
      </c>
      <c r="C74" s="1319">
        <v>4.2328999999999999E-2</v>
      </c>
      <c r="D74" s="1319">
        <v>8.1000000000000003E-2</v>
      </c>
      <c r="E74" s="1319">
        <v>0.1244</v>
      </c>
      <c r="F74" s="1319">
        <v>0.19109999999999999</v>
      </c>
      <c r="G74" s="1319">
        <v>0.26219999999999999</v>
      </c>
      <c r="H74" s="1319">
        <v>0.33329900000000001</v>
      </c>
      <c r="I74" s="1319">
        <v>0.41</v>
      </c>
      <c r="J74" s="1319">
        <v>0.6</v>
      </c>
      <c r="K74" s="1319">
        <v>0.87</v>
      </c>
      <c r="L74" s="1319">
        <v>1.3</v>
      </c>
      <c r="M74" s="1319">
        <v>0.79</v>
      </c>
      <c r="N74" s="1319">
        <v>2.2999999999999998</v>
      </c>
      <c r="O74" s="1319">
        <v>2.35</v>
      </c>
      <c r="P74" s="1319">
        <v>2.35</v>
      </c>
      <c r="Q74" s="1319">
        <v>2.94</v>
      </c>
      <c r="R74" s="1319">
        <v>3.85</v>
      </c>
      <c r="S74" s="1319">
        <v>3.71</v>
      </c>
      <c r="T74" s="1319">
        <v>3.9926699999999999</v>
      </c>
      <c r="U74" s="1319">
        <v>3.1762190000000001</v>
      </c>
      <c r="V74" s="1319">
        <v>2.36</v>
      </c>
      <c r="W74" s="1319">
        <v>2.0099999999999998</v>
      </c>
      <c r="X74" s="1319">
        <v>0.48976700000000001</v>
      </c>
      <c r="Y74" s="1319">
        <v>-0.69</v>
      </c>
      <c r="Z74" s="1319">
        <v>-0.12</v>
      </c>
    </row>
    <row r="75" spans="1:26" x14ac:dyDescent="0.2">
      <c r="A75" s="1305" t="s">
        <v>1283</v>
      </c>
      <c r="B75" s="1315" t="s">
        <v>890</v>
      </c>
      <c r="C75" s="1315">
        <v>116.042625</v>
      </c>
      <c r="D75" s="1315">
        <v>155.55375000000001</v>
      </c>
      <c r="E75" s="1315">
        <v>172.71674999999999</v>
      </c>
      <c r="F75" s="1315">
        <v>174.8835</v>
      </c>
      <c r="G75" s="1315">
        <v>177.9435</v>
      </c>
      <c r="H75" s="1315">
        <v>177.38550000000001</v>
      </c>
      <c r="I75" s="1315">
        <v>172.447</v>
      </c>
      <c r="J75" s="1315">
        <v>174.001</v>
      </c>
      <c r="K75" s="1315">
        <v>175.697</v>
      </c>
      <c r="L75" s="1315">
        <v>177.637</v>
      </c>
      <c r="M75" s="1315">
        <v>178.91399999999999</v>
      </c>
      <c r="N75" s="1315">
        <v>186.066</v>
      </c>
      <c r="O75" s="1315">
        <v>176.20500000000001</v>
      </c>
      <c r="P75" s="1315">
        <v>173.60300000000001</v>
      </c>
      <c r="Q75" s="1315">
        <v>165.87</v>
      </c>
      <c r="R75" s="1315">
        <v>159.51400000000001</v>
      </c>
      <c r="S75" s="1315">
        <v>152.90600000000001</v>
      </c>
      <c r="T75" s="1315">
        <v>141.75</v>
      </c>
      <c r="U75" s="1315">
        <v>122.357</v>
      </c>
      <c r="V75" s="1315">
        <v>113.285</v>
      </c>
      <c r="W75" s="1315">
        <v>112.61</v>
      </c>
      <c r="X75" s="1315">
        <v>109.038</v>
      </c>
      <c r="Y75" s="1315">
        <v>108.66</v>
      </c>
      <c r="Z75" s="1315">
        <v>108.9795</v>
      </c>
    </row>
    <row r="76" spans="1:26" x14ac:dyDescent="0.2">
      <c r="A76" s="1305"/>
      <c r="B76" s="1305"/>
      <c r="C76" s="1305"/>
      <c r="D76" s="1305"/>
      <c r="E76" s="1305"/>
      <c r="F76" s="1305"/>
      <c r="G76" s="1305"/>
      <c r="H76" s="1305"/>
      <c r="I76" s="1305"/>
      <c r="J76" s="1305"/>
      <c r="K76" s="1305"/>
      <c r="L76" s="1305"/>
      <c r="M76" s="1305"/>
      <c r="N76" s="1305"/>
      <c r="O76" s="1305"/>
      <c r="P76" s="1305"/>
      <c r="Q76" s="1305"/>
      <c r="R76" s="1305"/>
      <c r="S76" s="1305"/>
      <c r="T76" s="1305"/>
      <c r="U76" s="1305"/>
      <c r="V76" s="1305"/>
      <c r="W76" s="1305"/>
      <c r="X76" s="1305"/>
      <c r="Y76" s="1305"/>
      <c r="Z76" s="1305"/>
    </row>
    <row r="77" spans="1:26" x14ac:dyDescent="0.2">
      <c r="A77" s="1305" t="s">
        <v>1284</v>
      </c>
      <c r="B77" s="1319" t="s">
        <v>890</v>
      </c>
      <c r="C77" s="1320">
        <v>0.04</v>
      </c>
      <c r="D77" s="1320">
        <v>0.09</v>
      </c>
      <c r="E77" s="1320">
        <v>0.13</v>
      </c>
      <c r="F77" s="1320">
        <v>0.2</v>
      </c>
      <c r="G77" s="1320">
        <v>0.27</v>
      </c>
      <c r="H77" s="1320">
        <v>0.35</v>
      </c>
      <c r="I77" s="1320">
        <v>0.44</v>
      </c>
      <c r="J77" s="1320">
        <v>0.64</v>
      </c>
      <c r="K77" s="1320">
        <v>0.96</v>
      </c>
      <c r="L77" s="1320">
        <v>1.44</v>
      </c>
      <c r="M77" s="1320">
        <v>1.66</v>
      </c>
      <c r="N77" s="1320">
        <v>2.44</v>
      </c>
      <c r="O77" s="1320">
        <v>2.56</v>
      </c>
      <c r="P77" s="1320">
        <v>2.38</v>
      </c>
      <c r="Q77" s="1320">
        <v>3.02</v>
      </c>
      <c r="R77" s="1320">
        <v>4.6399999999999997</v>
      </c>
      <c r="S77" s="1320">
        <v>5.81</v>
      </c>
      <c r="T77" s="1320">
        <v>5.48</v>
      </c>
      <c r="U77" s="1320">
        <v>3.78</v>
      </c>
      <c r="V77" s="1320">
        <v>3.46</v>
      </c>
      <c r="W77" s="1320">
        <v>2.67</v>
      </c>
      <c r="X77" s="1320">
        <v>1.17</v>
      </c>
      <c r="Y77" s="1320">
        <v>0.69</v>
      </c>
      <c r="Z77" s="1320">
        <v>0.51</v>
      </c>
    </row>
    <row r="78" spans="1:26" x14ac:dyDescent="0.2">
      <c r="A78" s="1305" t="s">
        <v>1285</v>
      </c>
      <c r="B78" s="1319" t="s">
        <v>890</v>
      </c>
      <c r="C78" s="1319">
        <v>4.4676E-2</v>
      </c>
      <c r="D78" s="1319">
        <v>8.7706000000000006E-2</v>
      </c>
      <c r="E78" s="1319">
        <v>0.126641</v>
      </c>
      <c r="F78" s="1319">
        <v>0.196491</v>
      </c>
      <c r="G78" s="1319">
        <v>0.26789400000000002</v>
      </c>
      <c r="H78" s="1319">
        <v>0.34522900000000001</v>
      </c>
      <c r="I78" s="1319">
        <v>0.43602099999999999</v>
      </c>
      <c r="J78" s="1319">
        <v>0.62897899999999995</v>
      </c>
      <c r="K78" s="1319">
        <v>0.94596000000000002</v>
      </c>
      <c r="L78" s="1319">
        <v>1.4137109999999999</v>
      </c>
      <c r="M78" s="1319">
        <v>1.635583</v>
      </c>
      <c r="N78" s="1319">
        <v>2.3998170000000001</v>
      </c>
      <c r="O78" s="1319">
        <v>2.5335999999999999</v>
      </c>
      <c r="P78" s="1319">
        <v>2.3663789999999998</v>
      </c>
      <c r="Q78" s="1319">
        <v>2.985141</v>
      </c>
      <c r="R78" s="1319">
        <v>4.5878620000000003</v>
      </c>
      <c r="S78" s="1319">
        <v>5.7711579999999998</v>
      </c>
      <c r="T78" s="1319">
        <v>5.4573260000000001</v>
      </c>
      <c r="U78" s="1319">
        <v>3.7572899999999998</v>
      </c>
      <c r="V78" s="1319">
        <v>3.4386260000000002</v>
      </c>
      <c r="W78" s="1319">
        <v>2.6363639999999999</v>
      </c>
      <c r="X78" s="1319">
        <v>1.160604</v>
      </c>
      <c r="Y78" s="1319">
        <v>0.688751</v>
      </c>
      <c r="Z78" s="1319">
        <v>0.50976299999999997</v>
      </c>
    </row>
    <row r="79" spans="1:26" x14ac:dyDescent="0.2">
      <c r="A79" s="1305"/>
      <c r="B79" s="1305"/>
      <c r="C79" s="1305"/>
      <c r="D79" s="1305"/>
      <c r="E79" s="1305"/>
      <c r="F79" s="1305"/>
      <c r="G79" s="1305"/>
      <c r="H79" s="1305"/>
      <c r="I79" s="1305"/>
      <c r="J79" s="1305"/>
      <c r="K79" s="1305"/>
      <c r="L79" s="1305"/>
      <c r="M79" s="1305"/>
      <c r="N79" s="1305"/>
      <c r="O79" s="1305"/>
      <c r="P79" s="1305"/>
      <c r="Q79" s="1305"/>
      <c r="R79" s="1305"/>
      <c r="S79" s="1305"/>
      <c r="T79" s="1305"/>
      <c r="U79" s="1305"/>
      <c r="V79" s="1305"/>
      <c r="W79" s="1305"/>
      <c r="X79" s="1305"/>
      <c r="Y79" s="1305"/>
      <c r="Z79" s="1305"/>
    </row>
    <row r="80" spans="1:26" x14ac:dyDescent="0.2">
      <c r="A80" s="1305" t="s">
        <v>1286</v>
      </c>
      <c r="B80" s="1319" t="s">
        <v>890</v>
      </c>
      <c r="C80" s="1319" t="s">
        <v>890</v>
      </c>
      <c r="D80" s="1319" t="s">
        <v>890</v>
      </c>
      <c r="E80" s="1319" t="s">
        <v>890</v>
      </c>
      <c r="F80" s="1319" t="s">
        <v>890</v>
      </c>
      <c r="G80" s="1319" t="s">
        <v>890</v>
      </c>
      <c r="H80" s="1319" t="s">
        <v>890</v>
      </c>
      <c r="I80" s="1319" t="s">
        <v>890</v>
      </c>
      <c r="J80" s="1319" t="s">
        <v>890</v>
      </c>
      <c r="K80" s="1319" t="s">
        <v>890</v>
      </c>
      <c r="L80" s="1319" t="s">
        <v>890</v>
      </c>
      <c r="M80" s="1319" t="s">
        <v>890</v>
      </c>
      <c r="N80" s="1319" t="s">
        <v>890</v>
      </c>
      <c r="O80" s="1319" t="s">
        <v>890</v>
      </c>
      <c r="P80" s="1319" t="s">
        <v>890</v>
      </c>
      <c r="Q80" s="1319" t="s">
        <v>890</v>
      </c>
      <c r="R80" s="1319" t="s">
        <v>890</v>
      </c>
      <c r="S80" s="1319" t="s">
        <v>890</v>
      </c>
      <c r="T80" s="1319" t="s">
        <v>890</v>
      </c>
      <c r="U80" s="1319" t="s">
        <v>890</v>
      </c>
      <c r="V80" s="1319" t="s">
        <v>890</v>
      </c>
      <c r="W80" s="1319" t="s">
        <v>890</v>
      </c>
      <c r="X80" s="1319" t="s">
        <v>890</v>
      </c>
      <c r="Y80" s="1319" t="s">
        <v>890</v>
      </c>
      <c r="Z80" s="1319" t="s">
        <v>890</v>
      </c>
    </row>
    <row r="81" spans="1:26" x14ac:dyDescent="0.2">
      <c r="A81" s="1305"/>
      <c r="B81" s="1305"/>
      <c r="C81" s="1305"/>
      <c r="D81" s="1305"/>
      <c r="E81" s="1305"/>
      <c r="F81" s="1305"/>
      <c r="G81" s="1305"/>
      <c r="H81" s="1305"/>
      <c r="I81" s="1305"/>
      <c r="J81" s="1305"/>
      <c r="K81" s="1305"/>
      <c r="L81" s="1305"/>
      <c r="M81" s="1305"/>
      <c r="N81" s="1305"/>
      <c r="O81" s="1305"/>
      <c r="P81" s="1305"/>
      <c r="Q81" s="1305"/>
      <c r="R81" s="1305"/>
      <c r="S81" s="1305"/>
      <c r="T81" s="1305"/>
      <c r="U81" s="1305"/>
      <c r="V81" s="1305"/>
      <c r="W81" s="1305"/>
      <c r="X81" s="1305"/>
      <c r="Y81" s="1305"/>
      <c r="Z81" s="1305"/>
    </row>
    <row r="82" spans="1:26" ht="10.5" x14ac:dyDescent="0.2">
      <c r="A82" s="1314" t="s">
        <v>1287</v>
      </c>
      <c r="B82" s="1305"/>
      <c r="C82" s="1305"/>
      <c r="D82" s="1305"/>
      <c r="E82" s="1305"/>
      <c r="F82" s="1305"/>
      <c r="G82" s="1305"/>
      <c r="H82" s="1305"/>
      <c r="I82" s="1305"/>
      <c r="J82" s="1305"/>
      <c r="K82" s="1305"/>
      <c r="L82" s="1305"/>
      <c r="M82" s="1305"/>
      <c r="N82" s="1305"/>
      <c r="O82" s="1305"/>
      <c r="P82" s="1305"/>
      <c r="Q82" s="1305"/>
      <c r="R82" s="1305"/>
      <c r="S82" s="1305"/>
      <c r="T82" s="1305"/>
      <c r="U82" s="1305"/>
      <c r="V82" s="1305"/>
      <c r="W82" s="1305"/>
      <c r="X82" s="1305"/>
      <c r="Y82" s="1305"/>
      <c r="Z82" s="1305"/>
    </row>
    <row r="83" spans="1:26" x14ac:dyDescent="0.2">
      <c r="A83" s="1305" t="s">
        <v>64</v>
      </c>
      <c r="B83" s="1315">
        <v>3.831</v>
      </c>
      <c r="C83" s="1315">
        <v>10.292</v>
      </c>
      <c r="D83" s="1315">
        <v>22.164000000000001</v>
      </c>
      <c r="E83" s="1315">
        <v>38.061999999999998</v>
      </c>
      <c r="F83" s="1315">
        <v>59.097999999999999</v>
      </c>
      <c r="G83" s="1315">
        <v>82.971999999999994</v>
      </c>
      <c r="H83" s="1315">
        <v>112.724</v>
      </c>
      <c r="I83" s="1315">
        <v>141.12899999999999</v>
      </c>
      <c r="J83" s="1315">
        <v>193.74299999999999</v>
      </c>
      <c r="K83" s="1315">
        <v>289.03100000000001</v>
      </c>
      <c r="L83" s="1315">
        <v>427.56400000000002</v>
      </c>
      <c r="M83" s="1315">
        <v>495.988</v>
      </c>
      <c r="N83" s="1315">
        <v>743.24400000000003</v>
      </c>
      <c r="O83" s="1315">
        <v>761.029</v>
      </c>
      <c r="P83" s="1315">
        <v>692.78</v>
      </c>
      <c r="Q83" s="1315">
        <v>851.97199999999998</v>
      </c>
      <c r="R83" s="1315">
        <v>1256.701</v>
      </c>
      <c r="S83" s="1315">
        <v>1502.202</v>
      </c>
      <c r="T83" s="1315">
        <v>1330.7529999999999</v>
      </c>
      <c r="U83" s="1315">
        <v>904.71</v>
      </c>
      <c r="V83" s="1315">
        <v>790.13400000000001</v>
      </c>
      <c r="W83" s="1315">
        <v>624.61900000000003</v>
      </c>
      <c r="X83" s="1315">
        <v>335.05700000000002</v>
      </c>
      <c r="Y83" s="1315">
        <v>206.529</v>
      </c>
      <c r="Z83" s="1315">
        <v>175.51900000000001</v>
      </c>
    </row>
    <row r="84" spans="1:26" x14ac:dyDescent="0.2">
      <c r="A84" s="1305" t="s">
        <v>1288</v>
      </c>
      <c r="B84" s="1315">
        <v>2.012</v>
      </c>
      <c r="C84" s="1315">
        <v>8.2949999999999999</v>
      </c>
      <c r="D84" s="1315">
        <v>19.413</v>
      </c>
      <c r="E84" s="1315">
        <v>33.561999999999998</v>
      </c>
      <c r="F84" s="1315">
        <v>52.698</v>
      </c>
      <c r="G84" s="1315">
        <v>73.072000000000003</v>
      </c>
      <c r="H84" s="1315">
        <v>96.224000000000004</v>
      </c>
      <c r="I84" s="1315">
        <v>116.929</v>
      </c>
      <c r="J84" s="1315">
        <v>164.04300000000001</v>
      </c>
      <c r="K84" s="1315">
        <v>253.93100000000001</v>
      </c>
      <c r="L84" s="1315">
        <v>387.25900000000001</v>
      </c>
      <c r="M84" s="1315">
        <v>450.20100000000002</v>
      </c>
      <c r="N84" s="1315">
        <v>697.65200000000004</v>
      </c>
      <c r="O84" s="1315">
        <v>696.23900000000003</v>
      </c>
      <c r="P84" s="1315">
        <v>626.09699999999998</v>
      </c>
      <c r="Q84" s="1315">
        <v>770.77599999999995</v>
      </c>
      <c r="R84" s="1315">
        <v>1165.1510000000001</v>
      </c>
      <c r="S84" s="1315">
        <v>1396.067</v>
      </c>
      <c r="T84" s="1315">
        <v>1201.4469999999999</v>
      </c>
      <c r="U84" s="1315">
        <v>756.77599999999995</v>
      </c>
      <c r="V84" s="1315">
        <v>632.40099999999995</v>
      </c>
      <c r="W84" s="1315">
        <v>486.14400000000001</v>
      </c>
      <c r="X84" s="1315">
        <v>217.245</v>
      </c>
      <c r="Y84" s="1315">
        <v>129.59899999999999</v>
      </c>
      <c r="Z84" s="1315">
        <v>99.129000000000005</v>
      </c>
    </row>
    <row r="85" spans="1:26" x14ac:dyDescent="0.2">
      <c r="A85" s="1305" t="s">
        <v>67</v>
      </c>
      <c r="B85" s="1315">
        <v>2.012</v>
      </c>
      <c r="C85" s="1315">
        <v>8.2949999999999999</v>
      </c>
      <c r="D85" s="1315">
        <v>19.413</v>
      </c>
      <c r="E85" s="1315">
        <v>31.969000000000001</v>
      </c>
      <c r="F85" s="1315">
        <v>50.807000000000002</v>
      </c>
      <c r="G85" s="1315">
        <v>70.186000000000007</v>
      </c>
      <c r="H85" s="1315">
        <v>92.753</v>
      </c>
      <c r="I85" s="1315">
        <v>114.077</v>
      </c>
      <c r="J85" s="1315">
        <v>161.00299999999999</v>
      </c>
      <c r="K85" s="1315">
        <v>253.852</v>
      </c>
      <c r="L85" s="1315">
        <v>387.25900000000001</v>
      </c>
      <c r="M85" s="1315">
        <v>450.20100000000002</v>
      </c>
      <c r="N85" s="1315">
        <v>697.65200000000004</v>
      </c>
      <c r="O85" s="1315">
        <v>696.23900000000003</v>
      </c>
      <c r="P85" s="1315">
        <v>625.697</v>
      </c>
      <c r="Q85" s="1315">
        <v>767.37599999999998</v>
      </c>
      <c r="R85" s="1315">
        <v>1155.8510000000001</v>
      </c>
      <c r="S85" s="1315">
        <v>1371.2670000000001</v>
      </c>
      <c r="T85" s="1315">
        <v>1186.7470000000001</v>
      </c>
      <c r="U85" s="1315">
        <v>736.57600000000002</v>
      </c>
      <c r="V85" s="1315">
        <v>628.40099999999995</v>
      </c>
      <c r="W85" s="1315">
        <v>474.04399999999998</v>
      </c>
      <c r="X85" s="1315">
        <v>203.04499999999999</v>
      </c>
      <c r="Y85" s="1315">
        <v>115.29900000000001</v>
      </c>
      <c r="Z85" s="1315">
        <v>84.828999999999994</v>
      </c>
    </row>
    <row r="86" spans="1:26" x14ac:dyDescent="0.2">
      <c r="A86" s="1305" t="s">
        <v>1289</v>
      </c>
      <c r="B86" s="1315">
        <v>15.331</v>
      </c>
      <c r="C86" s="1315">
        <v>24.091999999999999</v>
      </c>
      <c r="D86" s="1315">
        <v>38.664000000000001</v>
      </c>
      <c r="E86" s="1315">
        <v>57.962000000000003</v>
      </c>
      <c r="F86" s="1315">
        <v>82.498000000000005</v>
      </c>
      <c r="G86" s="1315">
        <v>115.072</v>
      </c>
      <c r="H86" s="1315">
        <v>157.524</v>
      </c>
      <c r="I86" s="1315">
        <v>199.929</v>
      </c>
      <c r="J86" s="1315">
        <v>265.54300000000001</v>
      </c>
      <c r="K86" s="1315">
        <v>374.33100000000002</v>
      </c>
      <c r="L86" s="1315">
        <v>520.66399999999999</v>
      </c>
      <c r="M86" s="1315">
        <v>610.78800000000001</v>
      </c>
      <c r="N86" s="1315">
        <v>850.84400000000005</v>
      </c>
      <c r="O86" s="1315">
        <v>902.22900000000004</v>
      </c>
      <c r="P86" s="1315">
        <v>842.78</v>
      </c>
      <c r="Q86" s="1315">
        <v>1008.172</v>
      </c>
      <c r="R86" s="1315">
        <v>1419.201</v>
      </c>
      <c r="S86" s="1315">
        <v>1696.8019999999999</v>
      </c>
      <c r="T86" s="1315">
        <v>1550.0530000000001</v>
      </c>
      <c r="U86" s="1315">
        <v>1112.21</v>
      </c>
      <c r="V86" s="1315">
        <v>972.83399999999995</v>
      </c>
      <c r="W86" s="1315">
        <v>768.71900000000005</v>
      </c>
      <c r="X86" s="1315">
        <v>465.95699999999999</v>
      </c>
      <c r="Y86" s="1315">
        <v>323.32900000000001</v>
      </c>
      <c r="Z86" s="1315" t="s">
        <v>890</v>
      </c>
    </row>
    <row r="87" spans="1:26" x14ac:dyDescent="0.2">
      <c r="A87" s="1305" t="s">
        <v>1290</v>
      </c>
      <c r="B87" s="1315" t="s">
        <v>890</v>
      </c>
      <c r="C87" s="1315" t="s">
        <v>890</v>
      </c>
      <c r="D87" s="1315">
        <v>163.429</v>
      </c>
      <c r="E87" s="1315">
        <v>214.27500000000001</v>
      </c>
      <c r="F87" s="1315" t="s">
        <v>890</v>
      </c>
      <c r="G87" s="1315" t="s">
        <v>890</v>
      </c>
      <c r="H87" s="1315" t="s">
        <v>890</v>
      </c>
      <c r="I87" s="1315" t="s">
        <v>890</v>
      </c>
      <c r="J87" s="1315" t="s">
        <v>890</v>
      </c>
      <c r="K87" s="1315" t="s">
        <v>890</v>
      </c>
      <c r="L87" s="1315" t="s">
        <v>890</v>
      </c>
      <c r="M87" s="1315" t="s">
        <v>890</v>
      </c>
      <c r="N87" s="1315" t="s">
        <v>890</v>
      </c>
      <c r="O87" s="1315" t="s">
        <v>890</v>
      </c>
      <c r="P87" s="1315" t="s">
        <v>890</v>
      </c>
      <c r="Q87" s="1315" t="s">
        <v>890</v>
      </c>
      <c r="R87" s="1315" t="s">
        <v>890</v>
      </c>
      <c r="S87" s="1315" t="s">
        <v>890</v>
      </c>
      <c r="T87" s="1315" t="s">
        <v>890</v>
      </c>
      <c r="U87" s="1315" t="s">
        <v>890</v>
      </c>
      <c r="V87" s="1315" t="s">
        <v>890</v>
      </c>
      <c r="W87" s="1315" t="s">
        <v>890</v>
      </c>
      <c r="X87" s="1315" t="s">
        <v>890</v>
      </c>
      <c r="Y87" s="1315" t="s">
        <v>890</v>
      </c>
      <c r="Z87" s="1315" t="s">
        <v>890</v>
      </c>
    </row>
    <row r="88" spans="1:26" x14ac:dyDescent="0.2">
      <c r="A88" s="1305" t="s">
        <v>1291</v>
      </c>
      <c r="B88" s="1321">
        <v>0.43190800000000001</v>
      </c>
      <c r="C88" s="1321">
        <v>0.40783599999999998</v>
      </c>
      <c r="D88" s="1321">
        <v>0.422786</v>
      </c>
      <c r="E88" s="1321">
        <v>0.38874700000000001</v>
      </c>
      <c r="F88" s="1321">
        <v>0.392899</v>
      </c>
      <c r="G88" s="1321">
        <v>0.39300099999999999</v>
      </c>
      <c r="H88" s="1321">
        <v>0.39779700000000001</v>
      </c>
      <c r="I88" s="1321">
        <v>0.40824500000000002</v>
      </c>
      <c r="J88" s="1321">
        <v>0.38428600000000002</v>
      </c>
      <c r="K88" s="1321">
        <v>0.39399899999999999</v>
      </c>
      <c r="L88" s="1321">
        <v>0.38524700000000001</v>
      </c>
      <c r="M88" s="1321">
        <v>0.39961099999999999</v>
      </c>
      <c r="N88" s="1321">
        <v>0.40102199999999999</v>
      </c>
      <c r="O88" s="1321">
        <v>0.37907400000000002</v>
      </c>
      <c r="P88" s="1321">
        <v>0.37804300000000002</v>
      </c>
      <c r="Q88" s="1321">
        <v>0.39215</v>
      </c>
      <c r="R88" s="1321">
        <v>0.42807000000000001</v>
      </c>
      <c r="S88" s="1321">
        <v>0.46404299999999998</v>
      </c>
      <c r="T88" s="1321">
        <v>0.44202200000000003</v>
      </c>
      <c r="U88" s="1321">
        <v>0.42441000000000001</v>
      </c>
      <c r="V88" s="1321">
        <v>0.40764899999999998</v>
      </c>
      <c r="W88" s="1321">
        <v>0.36502000000000001</v>
      </c>
      <c r="X88" s="1321">
        <v>0.55056099999999997</v>
      </c>
      <c r="Y88" s="1321" t="s">
        <v>1292</v>
      </c>
      <c r="Z88" s="1321" t="s">
        <v>1292</v>
      </c>
    </row>
    <row r="89" spans="1:26" x14ac:dyDescent="0.2">
      <c r="A89" s="1305" t="s">
        <v>1293</v>
      </c>
      <c r="B89" s="1315">
        <v>0.80300000000000005</v>
      </c>
      <c r="C89" s="1315">
        <v>4.4710000000000001</v>
      </c>
      <c r="D89" s="1315">
        <v>9.6530000000000005</v>
      </c>
      <c r="E89" s="1315">
        <v>14.08</v>
      </c>
      <c r="F89" s="1315">
        <v>21.747</v>
      </c>
      <c r="G89" s="1315">
        <v>32.573999999999998</v>
      </c>
      <c r="H89" s="1315">
        <v>39.481999999999999</v>
      </c>
      <c r="I89" s="1315">
        <v>50.884</v>
      </c>
      <c r="J89" s="1315">
        <v>71.251999999999995</v>
      </c>
      <c r="K89" s="1315">
        <v>106.249</v>
      </c>
      <c r="L89" s="1315">
        <v>152.57</v>
      </c>
      <c r="M89" s="1315">
        <v>228.274</v>
      </c>
      <c r="N89" s="1315">
        <v>285.78800000000001</v>
      </c>
      <c r="O89" s="1315">
        <v>272.76299999999998</v>
      </c>
      <c r="P89" s="1315">
        <v>295.34199999999998</v>
      </c>
      <c r="Q89" s="1315">
        <v>330.72800000000001</v>
      </c>
      <c r="R89" s="1315">
        <v>471.26100000000002</v>
      </c>
      <c r="S89" s="1315">
        <v>589.65899999999999</v>
      </c>
      <c r="T89" s="1315">
        <v>362.012</v>
      </c>
      <c r="U89" s="1315">
        <v>258.78899999999999</v>
      </c>
      <c r="V89" s="1315">
        <v>210.97900000000001</v>
      </c>
      <c r="W89" s="1315">
        <v>142.26499999999999</v>
      </c>
      <c r="X89" s="1315">
        <v>49.853000000000002</v>
      </c>
      <c r="Y89" s="1315">
        <v>8.65</v>
      </c>
      <c r="Z89" s="1315">
        <v>8.65</v>
      </c>
    </row>
    <row r="90" spans="1:26" x14ac:dyDescent="0.2">
      <c r="A90" s="1305" t="s">
        <v>1294</v>
      </c>
      <c r="B90" s="1315" t="s">
        <v>890</v>
      </c>
      <c r="C90" s="1315" t="s">
        <v>890</v>
      </c>
      <c r="D90" s="1315" t="s">
        <v>890</v>
      </c>
      <c r="E90" s="1315" t="s">
        <v>890</v>
      </c>
      <c r="F90" s="1315" t="s">
        <v>890</v>
      </c>
      <c r="G90" s="1315" t="s">
        <v>890</v>
      </c>
      <c r="H90" s="1315" t="s">
        <v>890</v>
      </c>
      <c r="I90" s="1315" t="s">
        <v>890</v>
      </c>
      <c r="J90" s="1315" t="s">
        <v>890</v>
      </c>
      <c r="K90" s="1315" t="s">
        <v>890</v>
      </c>
      <c r="L90" s="1315" t="s">
        <v>890</v>
      </c>
      <c r="M90" s="1315" t="s">
        <v>890</v>
      </c>
      <c r="N90" s="1315" t="s">
        <v>890</v>
      </c>
      <c r="O90" s="1315" t="s">
        <v>890</v>
      </c>
      <c r="P90" s="1315">
        <v>0.66500000000000004</v>
      </c>
      <c r="Q90" s="1315">
        <v>0.78600000000000003</v>
      </c>
      <c r="R90" s="1315">
        <v>-1</v>
      </c>
      <c r="S90" s="1315">
        <v>-0.7</v>
      </c>
      <c r="T90" s="1315">
        <v>-0.4</v>
      </c>
      <c r="U90" s="1315">
        <v>2.14</v>
      </c>
      <c r="V90" s="1315">
        <v>1.704</v>
      </c>
      <c r="W90" s="1315">
        <v>2.5750000000000002</v>
      </c>
      <c r="X90" s="1315">
        <v>5.5579999999999998</v>
      </c>
      <c r="Y90" s="1315">
        <v>8.3000000000000004E-2</v>
      </c>
      <c r="Z90" s="1315">
        <v>8.3000000000000004E-2</v>
      </c>
    </row>
    <row r="91" spans="1:26" x14ac:dyDescent="0.2">
      <c r="A91" s="1305" t="s">
        <v>1295</v>
      </c>
      <c r="B91" s="1315">
        <v>0.80300000000000005</v>
      </c>
      <c r="C91" s="1315">
        <v>4.4710000000000001</v>
      </c>
      <c r="D91" s="1315">
        <v>9.6530000000000005</v>
      </c>
      <c r="E91" s="1315">
        <v>14.08</v>
      </c>
      <c r="F91" s="1315">
        <v>21.747</v>
      </c>
      <c r="G91" s="1315">
        <v>32.573999999999998</v>
      </c>
      <c r="H91" s="1315">
        <v>39.481999999999999</v>
      </c>
      <c r="I91" s="1315">
        <v>50.884</v>
      </c>
      <c r="J91" s="1315">
        <v>71.251999999999995</v>
      </c>
      <c r="K91" s="1315">
        <v>106.249</v>
      </c>
      <c r="L91" s="1315">
        <v>152.57</v>
      </c>
      <c r="M91" s="1315">
        <v>228.274</v>
      </c>
      <c r="N91" s="1315">
        <v>285.78800000000001</v>
      </c>
      <c r="O91" s="1315">
        <v>272.76299999999998</v>
      </c>
      <c r="P91" s="1315">
        <v>296.00700000000001</v>
      </c>
      <c r="Q91" s="1315">
        <v>331.51400000000001</v>
      </c>
      <c r="R91" s="1315">
        <v>470.23599999999999</v>
      </c>
      <c r="S91" s="1315">
        <v>588.99699999999996</v>
      </c>
      <c r="T91" s="1315">
        <v>361.63900000000001</v>
      </c>
      <c r="U91" s="1315">
        <v>260.92899999999997</v>
      </c>
      <c r="V91" s="1315">
        <v>212.68299999999999</v>
      </c>
      <c r="W91" s="1315">
        <v>144.84</v>
      </c>
      <c r="X91" s="1315">
        <v>55.411000000000001</v>
      </c>
      <c r="Y91" s="1315">
        <v>8.7330000000000005</v>
      </c>
      <c r="Z91" s="1315">
        <v>8.7330000000000005</v>
      </c>
    </row>
    <row r="92" spans="1:26" x14ac:dyDescent="0.2">
      <c r="A92" s="1305" t="s">
        <v>1296</v>
      </c>
      <c r="B92" s="1315">
        <v>6.6000000000000003E-2</v>
      </c>
      <c r="C92" s="1315">
        <v>-1.1000000000000001</v>
      </c>
      <c r="D92" s="1315">
        <v>-0.4</v>
      </c>
      <c r="E92" s="1315">
        <v>-0.5</v>
      </c>
      <c r="F92" s="1315">
        <v>-0.1</v>
      </c>
      <c r="G92" s="1315">
        <v>-2.6</v>
      </c>
      <c r="H92" s="1315">
        <v>-0.5</v>
      </c>
      <c r="I92" s="1315">
        <v>-1.8</v>
      </c>
      <c r="J92" s="1315">
        <v>-4</v>
      </c>
      <c r="K92" s="1315">
        <v>-1.5</v>
      </c>
      <c r="L92" s="1315">
        <v>2.2240000000000002</v>
      </c>
      <c r="M92" s="1315">
        <v>-41.9</v>
      </c>
      <c r="N92" s="1315">
        <v>0.71799999999999997</v>
      </c>
      <c r="O92" s="1315">
        <v>-19.5</v>
      </c>
      <c r="P92" s="1315">
        <v>-47.3</v>
      </c>
      <c r="Q92" s="1315">
        <v>-17.5</v>
      </c>
      <c r="R92" s="1315">
        <v>-13.5</v>
      </c>
      <c r="S92" s="1315">
        <v>-114.4</v>
      </c>
      <c r="T92" s="1315">
        <v>72.688000000000002</v>
      </c>
      <c r="U92" s="1315">
        <v>30.038</v>
      </c>
      <c r="V92" s="1315">
        <v>-22.6</v>
      </c>
      <c r="W92" s="1315">
        <v>-0.7</v>
      </c>
      <c r="X92" s="1315">
        <v>2.895</v>
      </c>
      <c r="Y92" s="1315">
        <v>1.5</v>
      </c>
      <c r="Z92" s="1315">
        <v>1.5</v>
      </c>
    </row>
    <row r="93" spans="1:26" x14ac:dyDescent="0.2">
      <c r="A93" s="1305" t="s">
        <v>1297</v>
      </c>
      <c r="B93" s="1315" t="s">
        <v>890</v>
      </c>
      <c r="C93" s="1315" t="s">
        <v>890</v>
      </c>
      <c r="D93" s="1315" t="s">
        <v>890</v>
      </c>
      <c r="E93" s="1315" t="s">
        <v>890</v>
      </c>
      <c r="F93" s="1315" t="s">
        <v>890</v>
      </c>
      <c r="G93" s="1315" t="s">
        <v>890</v>
      </c>
      <c r="H93" s="1315" t="s">
        <v>890</v>
      </c>
      <c r="I93" s="1315" t="s">
        <v>890</v>
      </c>
      <c r="J93" s="1315" t="s">
        <v>890</v>
      </c>
      <c r="K93" s="1315" t="s">
        <v>890</v>
      </c>
      <c r="L93" s="1315" t="s">
        <v>890</v>
      </c>
      <c r="M93" s="1315" t="s">
        <v>890</v>
      </c>
      <c r="N93" s="1315" t="s">
        <v>890</v>
      </c>
      <c r="O93" s="1315" t="s">
        <v>890</v>
      </c>
      <c r="P93" s="1315">
        <v>-0.2</v>
      </c>
      <c r="Q93" s="1315" t="s">
        <v>890</v>
      </c>
      <c r="R93" s="1315">
        <v>2.3E-2</v>
      </c>
      <c r="S93" s="1315">
        <v>-11</v>
      </c>
      <c r="T93" s="1315">
        <v>-15.2</v>
      </c>
      <c r="U93" s="1315">
        <v>-8.1999999999999993</v>
      </c>
      <c r="V93" s="1315">
        <v>-6</v>
      </c>
      <c r="W93" s="1315">
        <v>-16.8</v>
      </c>
      <c r="X93" s="1315">
        <v>-0.1</v>
      </c>
      <c r="Y93" s="1315">
        <v>-0.4</v>
      </c>
      <c r="Z93" s="1315">
        <v>-0.4</v>
      </c>
    </row>
    <row r="94" spans="1:26" x14ac:dyDescent="0.2">
      <c r="A94" s="1305" t="s">
        <v>1298</v>
      </c>
      <c r="B94" s="1315">
        <v>6.6000000000000003E-2</v>
      </c>
      <c r="C94" s="1315">
        <v>-1.1000000000000001</v>
      </c>
      <c r="D94" s="1315">
        <v>-0.4</v>
      </c>
      <c r="E94" s="1315">
        <v>-0.5</v>
      </c>
      <c r="F94" s="1315">
        <v>-0.1</v>
      </c>
      <c r="G94" s="1315">
        <v>-2.6</v>
      </c>
      <c r="H94" s="1315">
        <v>-0.5</v>
      </c>
      <c r="I94" s="1315">
        <v>-1.8</v>
      </c>
      <c r="J94" s="1315">
        <v>-4</v>
      </c>
      <c r="K94" s="1315">
        <v>-1.5</v>
      </c>
      <c r="L94" s="1315">
        <v>2.2240000000000002</v>
      </c>
      <c r="M94" s="1315">
        <v>-41.9</v>
      </c>
      <c r="N94" s="1315">
        <v>0.71799999999999997</v>
      </c>
      <c r="O94" s="1315">
        <v>-19.5</v>
      </c>
      <c r="P94" s="1315">
        <v>-47.5</v>
      </c>
      <c r="Q94" s="1315">
        <v>-17.5</v>
      </c>
      <c r="R94" s="1315">
        <v>-13.5</v>
      </c>
      <c r="S94" s="1315">
        <v>-125.4</v>
      </c>
      <c r="T94" s="1315">
        <v>57.497</v>
      </c>
      <c r="U94" s="1315">
        <v>21.85</v>
      </c>
      <c r="V94" s="1315">
        <v>-28.6</v>
      </c>
      <c r="W94" s="1315">
        <v>-17.600000000000001</v>
      </c>
      <c r="X94" s="1315">
        <v>2.7519999999999998</v>
      </c>
      <c r="Y94" s="1315">
        <v>1.0960000000000001</v>
      </c>
      <c r="Z94" s="1315">
        <v>1.0960000000000001</v>
      </c>
    </row>
    <row r="95" spans="1:26" x14ac:dyDescent="0.2">
      <c r="A95" s="1305"/>
      <c r="B95" s="1305"/>
      <c r="C95" s="1305"/>
      <c r="D95" s="1305"/>
      <c r="E95" s="1305"/>
      <c r="F95" s="1305"/>
      <c r="G95" s="1305"/>
      <c r="H95" s="1305"/>
      <c r="I95" s="1305"/>
      <c r="J95" s="1305"/>
      <c r="K95" s="1305"/>
      <c r="L95" s="1305"/>
      <c r="M95" s="1305"/>
      <c r="N95" s="1305"/>
      <c r="O95" s="1305"/>
      <c r="P95" s="1305"/>
      <c r="Q95" s="1305"/>
      <c r="R95" s="1305"/>
      <c r="S95" s="1305"/>
      <c r="T95" s="1305"/>
      <c r="U95" s="1305"/>
      <c r="V95" s="1305"/>
      <c r="W95" s="1305"/>
      <c r="X95" s="1305"/>
      <c r="Y95" s="1305"/>
      <c r="Z95" s="1305"/>
    </row>
    <row r="96" spans="1:26" x14ac:dyDescent="0.2">
      <c r="A96" s="1305" t="s">
        <v>1299</v>
      </c>
      <c r="B96" s="1315">
        <v>1.2575000000000001</v>
      </c>
      <c r="C96" s="1315">
        <v>5.1843750000000002</v>
      </c>
      <c r="D96" s="1315">
        <v>13.643125</v>
      </c>
      <c r="E96" s="1315">
        <v>21.873125000000002</v>
      </c>
      <c r="F96" s="1315">
        <v>34.363124999999997</v>
      </c>
      <c r="G96" s="1315">
        <v>47.67</v>
      </c>
      <c r="H96" s="1315">
        <v>61.238750000000003</v>
      </c>
      <c r="I96" s="1315">
        <v>75.190624999999997</v>
      </c>
      <c r="J96" s="1315">
        <v>109.44312499999999</v>
      </c>
      <c r="K96" s="1315">
        <v>166.20249999999999</v>
      </c>
      <c r="L96" s="1315">
        <v>251.1275</v>
      </c>
      <c r="M96" s="1315">
        <v>292.62875000000003</v>
      </c>
      <c r="N96" s="1315">
        <v>446.52437500000002</v>
      </c>
      <c r="O96" s="1315">
        <v>446.43312500000002</v>
      </c>
      <c r="P96" s="1315">
        <v>410.81062500000002</v>
      </c>
      <c r="Q96" s="1315">
        <v>495.14550000000003</v>
      </c>
      <c r="R96" s="1315">
        <v>731.82837500000005</v>
      </c>
      <c r="S96" s="1315">
        <v>882.44475</v>
      </c>
      <c r="T96" s="1315">
        <v>773.57600000000002</v>
      </c>
      <c r="U96" s="1315">
        <v>459.73075</v>
      </c>
      <c r="V96" s="1315">
        <v>389.54475000000002</v>
      </c>
      <c r="W96" s="1315">
        <v>296.88099999999997</v>
      </c>
      <c r="X96" s="1315">
        <v>126.55</v>
      </c>
      <c r="Y96" s="1315">
        <v>74.839749999999995</v>
      </c>
      <c r="Z96" s="1315">
        <v>55.553750000000001</v>
      </c>
    </row>
    <row r="97" spans="1:26" x14ac:dyDescent="0.2">
      <c r="A97" s="1305" t="s">
        <v>1300</v>
      </c>
      <c r="B97" s="1315" t="s">
        <v>890</v>
      </c>
      <c r="C97" s="1315" t="s">
        <v>890</v>
      </c>
      <c r="D97" s="1315" t="s">
        <v>890</v>
      </c>
      <c r="E97" s="1315" t="s">
        <v>890</v>
      </c>
      <c r="F97" s="1315" t="s">
        <v>890</v>
      </c>
      <c r="G97" s="1315">
        <v>43.985999999999997</v>
      </c>
      <c r="H97" s="1315">
        <v>55.395000000000003</v>
      </c>
      <c r="I97" s="1315">
        <v>66.483999999999995</v>
      </c>
      <c r="J97" s="1315">
        <v>90.147000000000006</v>
      </c>
      <c r="K97" s="1315">
        <v>139.75299999999999</v>
      </c>
      <c r="L97" s="1315">
        <v>217.572</v>
      </c>
      <c r="M97" s="1315">
        <v>189.935</v>
      </c>
      <c r="N97" s="1315">
        <v>413.13400000000001</v>
      </c>
      <c r="O97" s="1315" t="s">
        <v>890</v>
      </c>
      <c r="P97" s="1315" t="s">
        <v>890</v>
      </c>
      <c r="Q97" s="1315" t="s">
        <v>890</v>
      </c>
      <c r="R97" s="1315" t="s">
        <v>890</v>
      </c>
      <c r="S97" s="1315" t="s">
        <v>890</v>
      </c>
      <c r="T97" s="1315" t="s">
        <v>890</v>
      </c>
      <c r="U97" s="1315" t="s">
        <v>890</v>
      </c>
      <c r="V97" s="1315" t="s">
        <v>890</v>
      </c>
      <c r="W97" s="1315" t="s">
        <v>890</v>
      </c>
      <c r="X97" s="1315" t="s">
        <v>890</v>
      </c>
      <c r="Y97" s="1315" t="s">
        <v>890</v>
      </c>
      <c r="Z97" s="1315" t="s">
        <v>890</v>
      </c>
    </row>
    <row r="98" spans="1:26" x14ac:dyDescent="0.2">
      <c r="A98" s="1305" t="s">
        <v>1301</v>
      </c>
      <c r="B98" s="1322">
        <v>34999</v>
      </c>
      <c r="C98" s="1322">
        <v>35363</v>
      </c>
      <c r="D98" s="1322">
        <v>35727</v>
      </c>
      <c r="E98" s="1322">
        <v>36111</v>
      </c>
      <c r="F98" s="1322">
        <v>36490</v>
      </c>
      <c r="G98" s="1322">
        <v>36854</v>
      </c>
      <c r="H98" s="1322">
        <v>37223</v>
      </c>
      <c r="I98" s="1322">
        <v>37587</v>
      </c>
      <c r="J98" s="1322">
        <v>37951</v>
      </c>
      <c r="K98" s="1322">
        <v>38306</v>
      </c>
      <c r="L98" s="1322">
        <v>38670</v>
      </c>
      <c r="M98" s="1322">
        <v>39224</v>
      </c>
      <c r="N98" s="1322">
        <v>39384</v>
      </c>
      <c r="O98" s="1322">
        <v>39749</v>
      </c>
      <c r="P98" s="1322">
        <v>40113</v>
      </c>
      <c r="Q98" s="1322">
        <v>40472</v>
      </c>
      <c r="R98" s="1322">
        <v>40836</v>
      </c>
      <c r="S98" s="1322">
        <v>41204</v>
      </c>
      <c r="T98" s="1322">
        <v>41569</v>
      </c>
      <c r="U98" s="1322">
        <v>41933</v>
      </c>
      <c r="V98" s="1322">
        <v>42299</v>
      </c>
      <c r="W98" s="1322">
        <v>42663</v>
      </c>
      <c r="X98" s="1322">
        <v>42663</v>
      </c>
      <c r="Y98" s="1322">
        <v>42663</v>
      </c>
      <c r="Z98" s="1322">
        <v>42744</v>
      </c>
    </row>
    <row r="99" spans="1:26" x14ac:dyDescent="0.2">
      <c r="A99" s="1305" t="s">
        <v>1302</v>
      </c>
      <c r="B99" s="1323" t="s">
        <v>1303</v>
      </c>
      <c r="C99" s="1323" t="s">
        <v>1304</v>
      </c>
      <c r="D99" s="1323" t="s">
        <v>1305</v>
      </c>
      <c r="E99" s="1323" t="s">
        <v>1305</v>
      </c>
      <c r="F99" s="1323" t="s">
        <v>1305</v>
      </c>
      <c r="G99" s="1323" t="s">
        <v>1305</v>
      </c>
      <c r="H99" s="1323" t="s">
        <v>1305</v>
      </c>
      <c r="I99" s="1323" t="s">
        <v>1304</v>
      </c>
      <c r="J99" s="1323" t="s">
        <v>1304</v>
      </c>
      <c r="K99" s="1323" t="s">
        <v>1304</v>
      </c>
      <c r="L99" s="1323" t="s">
        <v>1304</v>
      </c>
      <c r="M99" s="1323" t="s">
        <v>1306</v>
      </c>
      <c r="N99" s="1323" t="s">
        <v>1306</v>
      </c>
      <c r="O99" s="1323" t="s">
        <v>1305</v>
      </c>
      <c r="P99" s="1323" t="s">
        <v>1304</v>
      </c>
      <c r="Q99" s="1323" t="s">
        <v>1307</v>
      </c>
      <c r="R99" s="1323" t="s">
        <v>1307</v>
      </c>
      <c r="S99" s="1323" t="s">
        <v>1307</v>
      </c>
      <c r="T99" s="1323" t="s">
        <v>1307</v>
      </c>
      <c r="U99" s="1323" t="s">
        <v>1307</v>
      </c>
      <c r="V99" s="1323" t="s">
        <v>1307</v>
      </c>
      <c r="W99" s="1323" t="s">
        <v>1307</v>
      </c>
      <c r="X99" s="1323" t="s">
        <v>1304</v>
      </c>
      <c r="Y99" s="1323" t="s">
        <v>1303</v>
      </c>
      <c r="Z99" s="1323" t="s">
        <v>1303</v>
      </c>
    </row>
    <row r="100" spans="1:26" x14ac:dyDescent="0.2">
      <c r="A100" s="1305" t="s">
        <v>1308</v>
      </c>
      <c r="B100" s="1323" t="s">
        <v>1309</v>
      </c>
      <c r="C100" s="1323" t="s">
        <v>1309</v>
      </c>
      <c r="D100" s="1323" t="s">
        <v>1309</v>
      </c>
      <c r="E100" s="1323" t="s">
        <v>1309</v>
      </c>
      <c r="F100" s="1323" t="s">
        <v>1309</v>
      </c>
      <c r="G100" s="1323" t="s">
        <v>1309</v>
      </c>
      <c r="H100" s="1323" t="s">
        <v>1309</v>
      </c>
      <c r="I100" s="1323" t="s">
        <v>1309</v>
      </c>
      <c r="J100" s="1323" t="s">
        <v>1309</v>
      </c>
      <c r="K100" s="1323" t="s">
        <v>1309</v>
      </c>
      <c r="L100" s="1323" t="s">
        <v>1309</v>
      </c>
      <c r="M100" s="1323" t="s">
        <v>1309</v>
      </c>
      <c r="N100" s="1323" t="s">
        <v>1309</v>
      </c>
      <c r="O100" s="1323" t="s">
        <v>1309</v>
      </c>
      <c r="P100" s="1323" t="s">
        <v>1309</v>
      </c>
      <c r="Q100" s="1323" t="s">
        <v>1309</v>
      </c>
      <c r="R100" s="1323" t="s">
        <v>1309</v>
      </c>
      <c r="S100" s="1323" t="s">
        <v>1309</v>
      </c>
      <c r="T100" s="1323" t="s">
        <v>1309</v>
      </c>
      <c r="U100" s="1323" t="s">
        <v>1309</v>
      </c>
      <c r="V100" s="1323" t="s">
        <v>1309</v>
      </c>
      <c r="W100" s="1323" t="s">
        <v>1309</v>
      </c>
      <c r="X100" s="1323" t="s">
        <v>1309</v>
      </c>
      <c r="Y100" s="1323" t="s">
        <v>1309</v>
      </c>
      <c r="Z100" s="1323" t="s">
        <v>1310</v>
      </c>
    </row>
    <row r="101" spans="1:26" x14ac:dyDescent="0.2">
      <c r="A101" s="1305"/>
      <c r="B101" s="1305"/>
      <c r="C101" s="1305"/>
      <c r="D101" s="1305"/>
      <c r="E101" s="1305"/>
      <c r="F101" s="1305"/>
      <c r="G101" s="1305"/>
      <c r="H101" s="1305"/>
      <c r="I101" s="1305"/>
      <c r="J101" s="1305"/>
      <c r="K101" s="1305"/>
      <c r="L101" s="1305"/>
      <c r="M101" s="1305"/>
      <c r="N101" s="1305"/>
      <c r="O101" s="1305"/>
      <c r="P101" s="1305"/>
      <c r="Q101" s="1305"/>
      <c r="R101" s="1305"/>
      <c r="S101" s="1305"/>
      <c r="T101" s="1305"/>
      <c r="U101" s="1305"/>
      <c r="V101" s="1305"/>
      <c r="W101" s="1305"/>
      <c r="X101" s="1305"/>
      <c r="Y101" s="1305"/>
      <c r="Z101" s="1305"/>
    </row>
    <row r="102" spans="1:26" ht="10.5" x14ac:dyDescent="0.2">
      <c r="A102" s="1314" t="s">
        <v>1311</v>
      </c>
      <c r="B102" s="1305"/>
      <c r="C102" s="1305"/>
      <c r="D102" s="1305"/>
      <c r="E102" s="1305"/>
      <c r="F102" s="1305"/>
      <c r="G102" s="1305"/>
      <c r="H102" s="1305"/>
      <c r="I102" s="1305"/>
      <c r="J102" s="1305"/>
      <c r="K102" s="1305"/>
      <c r="L102" s="1305"/>
      <c r="M102" s="1305"/>
      <c r="N102" s="1305"/>
      <c r="O102" s="1305"/>
      <c r="P102" s="1305"/>
      <c r="Q102" s="1305"/>
      <c r="R102" s="1305"/>
      <c r="S102" s="1305"/>
      <c r="T102" s="1305"/>
      <c r="U102" s="1305"/>
      <c r="V102" s="1305"/>
      <c r="W102" s="1305"/>
      <c r="X102" s="1305"/>
      <c r="Y102" s="1305"/>
      <c r="Z102" s="1305"/>
    </row>
    <row r="103" spans="1:26" x14ac:dyDescent="0.2">
      <c r="A103" s="1305" t="s">
        <v>1312</v>
      </c>
      <c r="B103" s="1315" t="s">
        <v>890</v>
      </c>
      <c r="C103" s="1315" t="s">
        <v>890</v>
      </c>
      <c r="D103" s="1315" t="s">
        <v>890</v>
      </c>
      <c r="E103" s="1315">
        <v>16.3</v>
      </c>
      <c r="F103" s="1315" t="s">
        <v>890</v>
      </c>
      <c r="G103" s="1315" t="s">
        <v>890</v>
      </c>
      <c r="H103" s="1315" t="s">
        <v>890</v>
      </c>
      <c r="I103" s="1315" t="s">
        <v>890</v>
      </c>
      <c r="J103" s="1315" t="s">
        <v>890</v>
      </c>
      <c r="K103" s="1315" t="s">
        <v>890</v>
      </c>
      <c r="L103" s="1315">
        <v>126.5</v>
      </c>
      <c r="M103" s="1315">
        <v>174.6</v>
      </c>
      <c r="N103" s="1315">
        <v>224</v>
      </c>
      <c r="O103" s="1315">
        <v>231.6</v>
      </c>
      <c r="P103" s="1315" t="s">
        <v>890</v>
      </c>
      <c r="Q103" s="1315" t="s">
        <v>890</v>
      </c>
      <c r="R103" s="1315" t="s">
        <v>890</v>
      </c>
      <c r="S103" s="1315" t="s">
        <v>890</v>
      </c>
      <c r="T103" s="1315" t="s">
        <v>890</v>
      </c>
      <c r="U103" s="1315" t="s">
        <v>890</v>
      </c>
      <c r="V103" s="1315" t="s">
        <v>890</v>
      </c>
      <c r="W103" s="1315" t="s">
        <v>890</v>
      </c>
      <c r="X103" s="1315" t="s">
        <v>890</v>
      </c>
      <c r="Y103" s="1315" t="s">
        <v>890</v>
      </c>
      <c r="Z103" s="1315" t="s">
        <v>890</v>
      </c>
    </row>
    <row r="104" spans="1:26" x14ac:dyDescent="0.2">
      <c r="A104" s="1305" t="s">
        <v>1313</v>
      </c>
      <c r="B104" s="1315" t="s">
        <v>890</v>
      </c>
      <c r="C104" s="1315" t="s">
        <v>890</v>
      </c>
      <c r="D104" s="1315" t="s">
        <v>890</v>
      </c>
      <c r="E104" s="1315" t="s">
        <v>890</v>
      </c>
      <c r="F104" s="1315" t="s">
        <v>890</v>
      </c>
      <c r="G104" s="1315" t="s">
        <v>890</v>
      </c>
      <c r="H104" s="1315" t="s">
        <v>890</v>
      </c>
      <c r="I104" s="1315" t="s">
        <v>890</v>
      </c>
      <c r="J104" s="1315" t="s">
        <v>890</v>
      </c>
      <c r="K104" s="1315" t="s">
        <v>890</v>
      </c>
      <c r="L104" s="1315" t="s">
        <v>890</v>
      </c>
      <c r="M104" s="1315" t="s">
        <v>890</v>
      </c>
      <c r="N104" s="1315" t="s">
        <v>890</v>
      </c>
      <c r="O104" s="1315" t="s">
        <v>890</v>
      </c>
      <c r="P104" s="1315" t="s">
        <v>890</v>
      </c>
      <c r="Q104" s="1315" t="s">
        <v>890</v>
      </c>
      <c r="R104" s="1315">
        <v>495.50599999999997</v>
      </c>
      <c r="S104" s="1315">
        <v>617.73199999999997</v>
      </c>
      <c r="T104" s="1315">
        <v>649.09299999999996</v>
      </c>
      <c r="U104" s="1315">
        <v>634.89200000000005</v>
      </c>
      <c r="V104" s="1315">
        <v>624.75599999999997</v>
      </c>
      <c r="W104" s="1315">
        <v>541.89400000000001</v>
      </c>
      <c r="X104" s="1315">
        <v>485.19600000000003</v>
      </c>
      <c r="Y104" s="1315">
        <v>353.69600000000003</v>
      </c>
      <c r="Z104" s="1315" t="s">
        <v>890</v>
      </c>
    </row>
    <row r="105" spans="1:26" x14ac:dyDescent="0.2">
      <c r="A105" s="1305" t="s">
        <v>1314</v>
      </c>
      <c r="B105" s="1315">
        <v>15.811999999999999</v>
      </c>
      <c r="C105" s="1315">
        <v>17.917999999999999</v>
      </c>
      <c r="D105" s="1315">
        <v>21.015999999999998</v>
      </c>
      <c r="E105" s="1315">
        <v>27.896000000000001</v>
      </c>
      <c r="F105" s="1315">
        <v>35.186999999999998</v>
      </c>
      <c r="G105" s="1315">
        <v>57.457999999999998</v>
      </c>
      <c r="H105" s="1315">
        <v>79.143000000000001</v>
      </c>
      <c r="I105" s="1315">
        <v>96.491</v>
      </c>
      <c r="J105" s="1315">
        <v>150.31100000000001</v>
      </c>
      <c r="K105" s="1315">
        <v>198.88900000000001</v>
      </c>
      <c r="L105" s="1315">
        <v>272.34800000000001</v>
      </c>
      <c r="M105" s="1315">
        <v>383.8</v>
      </c>
      <c r="N105" s="1315">
        <v>485.45100000000002</v>
      </c>
      <c r="O105" s="1315">
        <v>544.70600000000002</v>
      </c>
      <c r="P105" s="1315">
        <v>659.05899999999997</v>
      </c>
      <c r="Q105" s="1315">
        <v>800.98900000000003</v>
      </c>
      <c r="R105" s="1315">
        <v>497.56799999999998</v>
      </c>
      <c r="S105" s="1315">
        <v>622.84799999999996</v>
      </c>
      <c r="T105" s="1315">
        <v>654.399</v>
      </c>
      <c r="U105" s="1315">
        <v>641.69899999999996</v>
      </c>
      <c r="V105" s="1315">
        <v>629.93799999999999</v>
      </c>
      <c r="W105" s="1315">
        <v>545.596</v>
      </c>
      <c r="X105" s="1315">
        <v>487.75900000000001</v>
      </c>
      <c r="Y105" s="1315">
        <v>354.75700000000001</v>
      </c>
      <c r="Z105" s="1315">
        <v>351.92200000000003</v>
      </c>
    </row>
    <row r="106" spans="1:26" x14ac:dyDescent="0.2">
      <c r="A106" s="1305" t="s">
        <v>1315</v>
      </c>
      <c r="B106" s="1315">
        <v>14.401999999999999</v>
      </c>
      <c r="C106" s="1315">
        <v>17.193999999999999</v>
      </c>
      <c r="D106" s="1315">
        <v>18.462</v>
      </c>
      <c r="E106" s="1315">
        <v>21.343</v>
      </c>
      <c r="F106" s="1315">
        <v>25.481000000000002</v>
      </c>
      <c r="G106" s="1315">
        <v>33.707999999999998</v>
      </c>
      <c r="H106" s="1315">
        <v>39.368000000000002</v>
      </c>
      <c r="I106" s="1315">
        <v>46.555</v>
      </c>
      <c r="J106" s="1315">
        <v>48.076000000000001</v>
      </c>
      <c r="K106" s="1315">
        <v>58.26</v>
      </c>
      <c r="L106" s="1315">
        <v>66.97</v>
      </c>
      <c r="M106" s="1315">
        <v>84.325999999999993</v>
      </c>
      <c r="N106" s="1315">
        <v>98.641999999999996</v>
      </c>
      <c r="O106" s="1315">
        <v>127.004</v>
      </c>
      <c r="P106" s="1315">
        <v>201.54599999999999</v>
      </c>
      <c r="Q106" s="1315">
        <v>215.19200000000001</v>
      </c>
      <c r="R106" s="1315">
        <v>706.37900000000002</v>
      </c>
      <c r="S106" s="1315">
        <v>767.47400000000005</v>
      </c>
      <c r="T106" s="1315">
        <v>770.93399999999997</v>
      </c>
      <c r="U106" s="1315">
        <v>713.77300000000002</v>
      </c>
      <c r="V106" s="1315">
        <v>578.45399999999995</v>
      </c>
      <c r="W106" s="1315">
        <v>501.40199999999999</v>
      </c>
      <c r="X106" s="1315">
        <v>483.43</v>
      </c>
      <c r="Y106" s="1315">
        <v>368.81900000000002</v>
      </c>
      <c r="Z106" s="1315">
        <v>345.09899999999999</v>
      </c>
    </row>
    <row r="107" spans="1:26" x14ac:dyDescent="0.2">
      <c r="A107" s="1305" t="s">
        <v>1316</v>
      </c>
      <c r="B107" s="1315" t="s">
        <v>890</v>
      </c>
      <c r="C107" s="1315" t="s">
        <v>890</v>
      </c>
      <c r="D107" s="1315" t="s">
        <v>890</v>
      </c>
      <c r="E107" s="1315" t="s">
        <v>890</v>
      </c>
      <c r="F107" s="1315" t="s">
        <v>890</v>
      </c>
      <c r="G107" s="1315" t="s">
        <v>890</v>
      </c>
      <c r="H107" s="1315" t="s">
        <v>890</v>
      </c>
      <c r="I107" s="1315" t="s">
        <v>890</v>
      </c>
      <c r="J107" s="1315" t="s">
        <v>890</v>
      </c>
      <c r="K107" s="1315" t="s">
        <v>890</v>
      </c>
      <c r="L107" s="1315" t="s">
        <v>890</v>
      </c>
      <c r="M107" s="1315" t="s">
        <v>890</v>
      </c>
      <c r="N107" s="1315" t="s">
        <v>890</v>
      </c>
      <c r="O107" s="1315" t="s">
        <v>890</v>
      </c>
      <c r="P107" s="1315" t="s">
        <v>890</v>
      </c>
      <c r="Q107" s="1315" t="s">
        <v>890</v>
      </c>
      <c r="R107" s="1315" t="s">
        <v>890</v>
      </c>
      <c r="S107" s="1315" t="s">
        <v>890</v>
      </c>
      <c r="T107" s="1315" t="s">
        <v>890</v>
      </c>
      <c r="U107" s="1315">
        <v>10.1</v>
      </c>
      <c r="V107" s="1315" t="s">
        <v>890</v>
      </c>
      <c r="W107" s="1315">
        <v>20.100000000000001</v>
      </c>
      <c r="X107" s="1315">
        <v>28.4</v>
      </c>
      <c r="Y107" s="1315">
        <v>34.5</v>
      </c>
      <c r="Z107" s="1315">
        <v>34.5</v>
      </c>
    </row>
    <row r="108" spans="1:26" x14ac:dyDescent="0.2">
      <c r="A108" s="1305" t="s">
        <v>1317</v>
      </c>
      <c r="B108" s="1315">
        <v>11.5</v>
      </c>
      <c r="C108" s="1315">
        <v>13.8</v>
      </c>
      <c r="D108" s="1315">
        <v>16.5</v>
      </c>
      <c r="E108" s="1315">
        <v>19.899999999999999</v>
      </c>
      <c r="F108" s="1315">
        <v>23.4</v>
      </c>
      <c r="G108" s="1315">
        <v>32.1</v>
      </c>
      <c r="H108" s="1315">
        <v>44.8</v>
      </c>
      <c r="I108" s="1315">
        <v>58.8</v>
      </c>
      <c r="J108" s="1315">
        <v>71.8</v>
      </c>
      <c r="K108" s="1315">
        <v>85.3</v>
      </c>
      <c r="L108" s="1315">
        <v>93.1</v>
      </c>
      <c r="M108" s="1315">
        <v>114.8</v>
      </c>
      <c r="N108" s="1315">
        <v>107.6</v>
      </c>
      <c r="O108" s="1315">
        <v>141.19999999999999</v>
      </c>
      <c r="P108" s="1315">
        <v>150</v>
      </c>
      <c r="Q108" s="1315">
        <v>156.19999999999999</v>
      </c>
      <c r="R108" s="1315">
        <v>162.5</v>
      </c>
      <c r="S108" s="1315">
        <v>194.6</v>
      </c>
      <c r="T108" s="1315">
        <v>219.3</v>
      </c>
      <c r="U108" s="1315">
        <v>207.5</v>
      </c>
      <c r="V108" s="1315">
        <v>182.7</v>
      </c>
      <c r="W108" s="1315">
        <v>144.1</v>
      </c>
      <c r="X108" s="1315">
        <v>130.9</v>
      </c>
      <c r="Y108" s="1315">
        <v>116.8</v>
      </c>
      <c r="Z108" s="1315" t="s">
        <v>890</v>
      </c>
    </row>
    <row r="109" spans="1:26" x14ac:dyDescent="0.2">
      <c r="A109" s="1305" t="s">
        <v>1318</v>
      </c>
      <c r="B109" s="1315">
        <v>0</v>
      </c>
      <c r="C109" s="1315">
        <v>0</v>
      </c>
      <c r="D109" s="1315">
        <v>0</v>
      </c>
      <c r="E109" s="1315">
        <v>0</v>
      </c>
      <c r="F109" s="1315">
        <v>0</v>
      </c>
      <c r="G109" s="1315">
        <v>0</v>
      </c>
      <c r="H109" s="1315">
        <v>0</v>
      </c>
      <c r="I109" s="1315">
        <v>0</v>
      </c>
      <c r="J109" s="1315">
        <v>0</v>
      </c>
      <c r="K109" s="1315">
        <v>0</v>
      </c>
      <c r="L109" s="1315">
        <v>0</v>
      </c>
      <c r="M109" s="1315">
        <v>0</v>
      </c>
      <c r="N109" s="1315">
        <v>0</v>
      </c>
      <c r="O109" s="1315">
        <v>0</v>
      </c>
      <c r="P109" s="1315">
        <v>0</v>
      </c>
      <c r="Q109" s="1315">
        <v>0</v>
      </c>
      <c r="R109" s="1315">
        <v>18.6524</v>
      </c>
      <c r="S109" s="1315">
        <v>31.341498000000001</v>
      </c>
      <c r="T109" s="1315">
        <v>26.365123000000001</v>
      </c>
      <c r="U109" s="1315">
        <v>29.564599999999999</v>
      </c>
      <c r="V109" s="1315">
        <v>18.103377999999999</v>
      </c>
      <c r="W109" s="1315">
        <v>13.523497000000001</v>
      </c>
      <c r="X109" s="1315">
        <v>19.654896999999998</v>
      </c>
      <c r="Y109" s="1315">
        <v>92.069235000000006</v>
      </c>
      <c r="Z109" s="1315">
        <v>0</v>
      </c>
    </row>
    <row r="110" spans="1:26" x14ac:dyDescent="0.2">
      <c r="A110" s="1305" t="s">
        <v>1319</v>
      </c>
      <c r="B110" s="1315">
        <v>0</v>
      </c>
      <c r="C110" s="1315">
        <v>0</v>
      </c>
      <c r="D110" s="1315">
        <v>0</v>
      </c>
      <c r="E110" s="1315">
        <v>0</v>
      </c>
      <c r="F110" s="1315">
        <v>0</v>
      </c>
      <c r="G110" s="1315">
        <v>0</v>
      </c>
      <c r="H110" s="1315">
        <v>0</v>
      </c>
      <c r="I110" s="1315">
        <v>0</v>
      </c>
      <c r="J110" s="1315">
        <v>0</v>
      </c>
      <c r="K110" s="1315">
        <v>0</v>
      </c>
      <c r="L110" s="1315">
        <v>0</v>
      </c>
      <c r="M110" s="1315">
        <v>0</v>
      </c>
      <c r="N110" s="1315">
        <v>0</v>
      </c>
      <c r="O110" s="1315">
        <v>0</v>
      </c>
      <c r="P110" s="1315">
        <v>0</v>
      </c>
      <c r="Q110" s="1315">
        <v>0</v>
      </c>
      <c r="R110" s="1315">
        <v>143.8476</v>
      </c>
      <c r="S110" s="1315">
        <v>163.25850199999999</v>
      </c>
      <c r="T110" s="1315">
        <v>192.934877</v>
      </c>
      <c r="U110" s="1315">
        <v>177.93539999999999</v>
      </c>
      <c r="V110" s="1315">
        <v>164.596622</v>
      </c>
      <c r="W110" s="1315">
        <v>130.576503</v>
      </c>
      <c r="X110" s="1315">
        <v>111.245103</v>
      </c>
      <c r="Y110" s="1315">
        <v>24.730765000000002</v>
      </c>
      <c r="Z110" s="1315">
        <v>0</v>
      </c>
    </row>
    <row r="111" spans="1:26" x14ac:dyDescent="0.2">
      <c r="A111" s="1305"/>
      <c r="B111" s="1305"/>
      <c r="C111" s="1305"/>
      <c r="D111" s="1305"/>
      <c r="E111" s="1305"/>
      <c r="F111" s="1305"/>
      <c r="G111" s="1305"/>
      <c r="H111" s="1305"/>
      <c r="I111" s="1305"/>
      <c r="J111" s="1305"/>
      <c r="K111" s="1305"/>
      <c r="L111" s="1305"/>
      <c r="M111" s="1305"/>
      <c r="N111" s="1305"/>
      <c r="O111" s="1305"/>
      <c r="P111" s="1305"/>
      <c r="Q111" s="1305"/>
      <c r="R111" s="1305"/>
      <c r="S111" s="1305"/>
      <c r="T111" s="1305"/>
      <c r="U111" s="1305"/>
      <c r="V111" s="1305"/>
      <c r="W111" s="1305"/>
      <c r="X111" s="1305"/>
      <c r="Y111" s="1305"/>
      <c r="Z111" s="1305"/>
    </row>
    <row r="112" spans="1:26" x14ac:dyDescent="0.2">
      <c r="A112" s="1305" t="s">
        <v>1320</v>
      </c>
      <c r="B112" s="1315">
        <v>0</v>
      </c>
      <c r="C112" s="1315">
        <v>0</v>
      </c>
      <c r="D112" s="1315">
        <v>0</v>
      </c>
      <c r="E112" s="1315">
        <v>0</v>
      </c>
      <c r="F112" s="1315">
        <v>0</v>
      </c>
      <c r="G112" s="1315">
        <v>0</v>
      </c>
      <c r="H112" s="1315">
        <v>0</v>
      </c>
      <c r="I112" s="1315">
        <v>0</v>
      </c>
      <c r="J112" s="1315">
        <v>0</v>
      </c>
      <c r="K112" s="1315">
        <v>0</v>
      </c>
      <c r="L112" s="1315">
        <v>0</v>
      </c>
      <c r="M112" s="1315">
        <v>4</v>
      </c>
      <c r="N112" s="1315">
        <v>3.8</v>
      </c>
      <c r="O112" s="1315">
        <v>12.417999999999999</v>
      </c>
      <c r="P112" s="1315">
        <v>13.346</v>
      </c>
      <c r="Q112" s="1315">
        <v>20.609000000000002</v>
      </c>
      <c r="R112" s="1315">
        <v>22.102</v>
      </c>
      <c r="S112" s="1315">
        <v>23.603000000000002</v>
      </c>
      <c r="T112" s="1315">
        <v>27.012</v>
      </c>
      <c r="U112" s="1315">
        <v>27.731000000000002</v>
      </c>
      <c r="V112" s="1315">
        <v>20.059999999999999</v>
      </c>
      <c r="W112" s="1315">
        <v>10.727</v>
      </c>
      <c r="X112" s="1315">
        <v>9.9710000000000001</v>
      </c>
      <c r="Y112" s="1315">
        <v>9.2129999999999992</v>
      </c>
      <c r="Z112" s="1315">
        <v>7.4359999999999999</v>
      </c>
    </row>
    <row r="113" spans="1:255" x14ac:dyDescent="0.2">
      <c r="A113" s="1305" t="s">
        <v>1321</v>
      </c>
      <c r="B113" s="1315">
        <v>0</v>
      </c>
      <c r="C113" s="1315">
        <v>0</v>
      </c>
      <c r="D113" s="1315">
        <v>0</v>
      </c>
      <c r="E113" s="1315">
        <v>0</v>
      </c>
      <c r="F113" s="1315">
        <v>0</v>
      </c>
      <c r="G113" s="1315">
        <v>0</v>
      </c>
      <c r="H113" s="1315">
        <v>0</v>
      </c>
      <c r="I113" s="1315">
        <v>0</v>
      </c>
      <c r="J113" s="1315">
        <v>0</v>
      </c>
      <c r="K113" s="1315">
        <v>0</v>
      </c>
      <c r="L113" s="1315">
        <v>0</v>
      </c>
      <c r="M113" s="1315">
        <v>0.7</v>
      </c>
      <c r="N113" s="1315">
        <v>0.6</v>
      </c>
      <c r="O113" s="1315">
        <v>2.2869999999999999</v>
      </c>
      <c r="P113" s="1315">
        <v>3.069</v>
      </c>
      <c r="Q113" s="1315">
        <v>3.6030000000000002</v>
      </c>
      <c r="R113" s="1315">
        <v>2.0619999999999998</v>
      </c>
      <c r="S113" s="1315">
        <v>5.1159999999999997</v>
      </c>
      <c r="T113" s="1315">
        <v>5.306</v>
      </c>
      <c r="U113" s="1315">
        <v>6.8070000000000004</v>
      </c>
      <c r="V113" s="1315">
        <v>5.1820000000000004</v>
      </c>
      <c r="W113" s="1315">
        <v>3.702</v>
      </c>
      <c r="X113" s="1315">
        <v>2.5630000000000002</v>
      </c>
      <c r="Y113" s="1315">
        <v>1.0609999999999999</v>
      </c>
      <c r="Z113" s="1315">
        <v>0.51100000000000001</v>
      </c>
    </row>
    <row r="114" spans="1:255" x14ac:dyDescent="0.2">
      <c r="A114" s="1305" t="s">
        <v>1322</v>
      </c>
      <c r="B114" s="1315">
        <v>0</v>
      </c>
      <c r="C114" s="1315">
        <v>0</v>
      </c>
      <c r="D114" s="1315">
        <v>0</v>
      </c>
      <c r="E114" s="1315">
        <v>0</v>
      </c>
      <c r="F114" s="1315">
        <v>0</v>
      </c>
      <c r="G114" s="1315">
        <v>0</v>
      </c>
      <c r="H114" s="1315">
        <v>0</v>
      </c>
      <c r="I114" s="1315">
        <v>0</v>
      </c>
      <c r="J114" s="1315">
        <v>0</v>
      </c>
      <c r="K114" s="1315">
        <v>0</v>
      </c>
      <c r="L114" s="1315">
        <v>0</v>
      </c>
      <c r="M114" s="1315">
        <v>3.6</v>
      </c>
      <c r="N114" s="1315">
        <v>3.4</v>
      </c>
      <c r="O114" s="1315">
        <v>13.03</v>
      </c>
      <c r="P114" s="1315">
        <v>37.612000000000002</v>
      </c>
      <c r="Q114" s="1315">
        <v>29.358000000000001</v>
      </c>
      <c r="R114" s="1315">
        <v>43.874000000000002</v>
      </c>
      <c r="S114" s="1315">
        <v>35.585999999999999</v>
      </c>
      <c r="T114" s="1315">
        <v>37.722000000000001</v>
      </c>
      <c r="U114" s="1315">
        <v>42.844000000000001</v>
      </c>
      <c r="V114" s="1315">
        <v>22.212</v>
      </c>
      <c r="W114" s="1315">
        <v>24.109000000000002</v>
      </c>
      <c r="X114" s="1315">
        <v>24.088999999999999</v>
      </c>
      <c r="Y114" s="1315">
        <v>22.010999999999999</v>
      </c>
      <c r="Z114" s="1315">
        <v>18.271999999999998</v>
      </c>
    </row>
    <row r="115" spans="1:255" x14ac:dyDescent="0.2">
      <c r="A115" s="1305" t="s">
        <v>1323</v>
      </c>
      <c r="B115" s="1315">
        <v>0</v>
      </c>
      <c r="C115" s="1315">
        <v>0</v>
      </c>
      <c r="D115" s="1315">
        <v>0</v>
      </c>
      <c r="E115" s="1315">
        <v>0</v>
      </c>
      <c r="F115" s="1315">
        <v>0</v>
      </c>
      <c r="G115" s="1315">
        <v>0</v>
      </c>
      <c r="H115" s="1315">
        <v>0</v>
      </c>
      <c r="I115" s="1315">
        <v>0</v>
      </c>
      <c r="J115" s="1315">
        <v>0</v>
      </c>
      <c r="K115" s="1315">
        <v>0</v>
      </c>
      <c r="L115" s="1315">
        <v>0</v>
      </c>
      <c r="M115" s="1315">
        <v>100.283</v>
      </c>
      <c r="N115" s="1315">
        <v>16.959</v>
      </c>
      <c r="O115" s="1315">
        <v>0</v>
      </c>
      <c r="P115" s="1315">
        <v>0</v>
      </c>
      <c r="Q115" s="1315">
        <v>0</v>
      </c>
      <c r="R115" s="1315">
        <v>0</v>
      </c>
      <c r="S115" s="1315">
        <v>0</v>
      </c>
      <c r="T115" s="1315">
        <v>0</v>
      </c>
      <c r="U115" s="1315">
        <v>1.323</v>
      </c>
      <c r="V115" s="1315">
        <v>2.008</v>
      </c>
      <c r="W115" s="1315">
        <v>4.2809999999999997</v>
      </c>
      <c r="X115" s="1315">
        <v>2.0459999999999998</v>
      </c>
      <c r="Y115" s="1315">
        <v>0.57699999999999996</v>
      </c>
      <c r="Z115" s="1315">
        <v>0.52400000000000002</v>
      </c>
    </row>
    <row r="116" spans="1:255" ht="10.5" x14ac:dyDescent="0.2">
      <c r="A116" s="1314" t="s">
        <v>1324</v>
      </c>
      <c r="B116" s="1317">
        <v>0</v>
      </c>
      <c r="C116" s="1317">
        <v>0</v>
      </c>
      <c r="D116" s="1317">
        <v>0</v>
      </c>
      <c r="E116" s="1317">
        <v>0</v>
      </c>
      <c r="F116" s="1317">
        <v>0</v>
      </c>
      <c r="G116" s="1317">
        <v>0</v>
      </c>
      <c r="H116" s="1317">
        <v>0</v>
      </c>
      <c r="I116" s="1317">
        <v>0</v>
      </c>
      <c r="J116" s="1317">
        <v>0</v>
      </c>
      <c r="K116" s="1317">
        <v>0</v>
      </c>
      <c r="L116" s="1317">
        <v>0</v>
      </c>
      <c r="M116" s="1317">
        <v>108.583</v>
      </c>
      <c r="N116" s="1317">
        <v>24.759</v>
      </c>
      <c r="O116" s="1317">
        <v>27.734999999999999</v>
      </c>
      <c r="P116" s="1317">
        <v>54.027000000000001</v>
      </c>
      <c r="Q116" s="1317">
        <v>53.57</v>
      </c>
      <c r="R116" s="1317">
        <v>68.037999999999997</v>
      </c>
      <c r="S116" s="1317">
        <v>64.305000000000007</v>
      </c>
      <c r="T116" s="1317">
        <v>70.040000000000006</v>
      </c>
      <c r="U116" s="1317">
        <v>78.704999999999998</v>
      </c>
      <c r="V116" s="1317">
        <v>49.462000000000003</v>
      </c>
      <c r="W116" s="1317">
        <v>42.819000000000003</v>
      </c>
      <c r="X116" s="1317">
        <v>38.668999999999997</v>
      </c>
      <c r="Y116" s="1317">
        <v>32.862000000000002</v>
      </c>
      <c r="Z116" s="1317">
        <v>26.742999999999999</v>
      </c>
    </row>
    <row r="117" spans="1:255" x14ac:dyDescent="0.2">
      <c r="A117" s="1305"/>
      <c r="B117" s="1305"/>
      <c r="C117" s="1305"/>
      <c r="D117" s="1305"/>
      <c r="E117" s="1305"/>
      <c r="F117" s="1305"/>
      <c r="G117" s="1305"/>
      <c r="H117" s="1305"/>
      <c r="I117" s="1305"/>
      <c r="J117" s="1305"/>
      <c r="K117" s="1305"/>
      <c r="L117" s="1305"/>
      <c r="M117" s="1305"/>
      <c r="N117" s="1305"/>
      <c r="O117" s="1305"/>
      <c r="P117" s="1305"/>
      <c r="Q117" s="1305"/>
      <c r="R117" s="1305"/>
      <c r="S117" s="1305"/>
      <c r="T117" s="1305"/>
      <c r="U117" s="1305"/>
      <c r="V117" s="1305"/>
      <c r="W117" s="1305"/>
      <c r="X117" s="1305"/>
      <c r="Y117" s="1305"/>
      <c r="Z117" s="1305"/>
    </row>
    <row r="118" spans="1:255" x14ac:dyDescent="0.2">
      <c r="A118" s="1308" t="s">
        <v>192</v>
      </c>
      <c r="B118" s="1308"/>
      <c r="C118" s="1308"/>
      <c r="D118" s="1308"/>
      <c r="E118" s="1308"/>
      <c r="F118" s="1308"/>
      <c r="G118" s="1308"/>
      <c r="H118" s="1308"/>
      <c r="I118" s="1308"/>
      <c r="J118" s="1308"/>
      <c r="K118" s="1308"/>
      <c r="L118" s="1308"/>
      <c r="M118" s="1308"/>
      <c r="N118" s="1308"/>
      <c r="O118" s="1308"/>
      <c r="P118" s="1308"/>
      <c r="Q118" s="1308"/>
      <c r="R118" s="1308"/>
      <c r="S118" s="1308"/>
      <c r="T118" s="1308"/>
      <c r="U118" s="1308"/>
      <c r="V118" s="1308"/>
      <c r="W118" s="1308"/>
      <c r="X118" s="1308"/>
      <c r="Y118" s="1308"/>
      <c r="Z118" s="1308"/>
      <c r="AA118" s="1309"/>
      <c r="AB118" s="1309"/>
      <c r="AC118" s="1309"/>
      <c r="AD118" s="1309"/>
      <c r="AE118" s="1309"/>
      <c r="AF118" s="1309"/>
      <c r="AG118" s="1309"/>
      <c r="AH118" s="1309"/>
      <c r="AI118" s="1309"/>
      <c r="AJ118" s="1309"/>
      <c r="AK118" s="1309"/>
      <c r="AL118" s="1309"/>
      <c r="AM118" s="1309"/>
      <c r="AN118" s="1309"/>
      <c r="AO118" s="1309"/>
      <c r="AP118" s="1309"/>
      <c r="AQ118" s="1309"/>
      <c r="AR118" s="1309"/>
      <c r="AS118" s="1309"/>
      <c r="AT118" s="1309"/>
      <c r="AU118" s="1309"/>
      <c r="AV118" s="1309"/>
      <c r="AW118" s="1309"/>
      <c r="AX118" s="1309"/>
      <c r="AY118" s="1309"/>
      <c r="AZ118" s="1309"/>
      <c r="BA118" s="1309"/>
      <c r="BB118" s="1309"/>
      <c r="BC118" s="1309"/>
      <c r="BD118" s="1309"/>
      <c r="BE118" s="1309"/>
      <c r="BF118" s="1309"/>
      <c r="BG118" s="1309"/>
      <c r="BH118" s="1309"/>
      <c r="BI118" s="1309"/>
      <c r="BJ118" s="1309"/>
      <c r="BK118" s="1309"/>
      <c r="BL118" s="1309"/>
      <c r="BM118" s="1309"/>
      <c r="BN118" s="1309"/>
      <c r="BO118" s="1309"/>
      <c r="BP118" s="1309"/>
      <c r="BQ118" s="1309"/>
      <c r="BR118" s="1309"/>
      <c r="BS118" s="1309"/>
      <c r="BT118" s="1309"/>
      <c r="BU118" s="1309"/>
      <c r="BV118" s="1309"/>
      <c r="BW118" s="1309"/>
      <c r="BX118" s="1309"/>
      <c r="BY118" s="1309"/>
      <c r="BZ118" s="1309"/>
      <c r="CA118" s="1309"/>
      <c r="CB118" s="1309"/>
      <c r="CC118" s="1309"/>
      <c r="CD118" s="1309"/>
      <c r="CE118" s="1309"/>
      <c r="CF118" s="1309"/>
      <c r="CG118" s="1309"/>
      <c r="CH118" s="1309"/>
      <c r="CI118" s="1309"/>
      <c r="CJ118" s="1309"/>
      <c r="CK118" s="1309"/>
      <c r="CL118" s="1309"/>
      <c r="CM118" s="1309"/>
      <c r="CN118" s="1309"/>
      <c r="CO118" s="1309"/>
      <c r="CP118" s="1309"/>
      <c r="CQ118" s="1309"/>
      <c r="CR118" s="1309"/>
      <c r="CS118" s="1309"/>
      <c r="CT118" s="1309"/>
      <c r="CU118" s="1309"/>
      <c r="CV118" s="1309"/>
      <c r="CW118" s="1309"/>
      <c r="CX118" s="1309"/>
      <c r="CY118" s="1309"/>
      <c r="CZ118" s="1309"/>
      <c r="DA118" s="1309"/>
      <c r="DB118" s="1309"/>
      <c r="DC118" s="1309"/>
      <c r="DD118" s="1309"/>
      <c r="DE118" s="1309"/>
      <c r="DF118" s="1309"/>
      <c r="DG118" s="1309"/>
      <c r="DH118" s="1309"/>
      <c r="DI118" s="1309"/>
      <c r="DJ118" s="1309"/>
      <c r="DK118" s="1309"/>
      <c r="DL118" s="1309"/>
      <c r="DM118" s="1309"/>
      <c r="DN118" s="1309"/>
      <c r="DO118" s="1309"/>
      <c r="DP118" s="1309"/>
      <c r="DQ118" s="1309"/>
      <c r="DR118" s="1309"/>
      <c r="DS118" s="1309"/>
      <c r="DT118" s="1309"/>
      <c r="DU118" s="1309"/>
      <c r="DV118" s="1309"/>
      <c r="DW118" s="1309"/>
      <c r="DX118" s="1309"/>
      <c r="DY118" s="1309"/>
      <c r="DZ118" s="1309"/>
      <c r="EA118" s="1309"/>
      <c r="EB118" s="1309"/>
      <c r="EC118" s="1309"/>
      <c r="ED118" s="1309"/>
      <c r="EE118" s="1309"/>
      <c r="EF118" s="1309"/>
      <c r="EG118" s="1309"/>
      <c r="EH118" s="1309"/>
      <c r="EI118" s="1309"/>
      <c r="EJ118" s="1309"/>
      <c r="EK118" s="1309"/>
      <c r="EL118" s="1309"/>
      <c r="EM118" s="1309"/>
      <c r="EN118" s="1309"/>
      <c r="EO118" s="1309"/>
      <c r="EP118" s="1309"/>
      <c r="EQ118" s="1309"/>
      <c r="ER118" s="1309"/>
      <c r="ES118" s="1309"/>
      <c r="ET118" s="1309"/>
      <c r="EU118" s="1309"/>
      <c r="EV118" s="1309"/>
      <c r="EW118" s="1309"/>
      <c r="EX118" s="1309"/>
      <c r="EY118" s="1309"/>
      <c r="EZ118" s="1309"/>
      <c r="FA118" s="1309"/>
      <c r="FB118" s="1309"/>
      <c r="FC118" s="1309"/>
      <c r="FD118" s="1309"/>
      <c r="FE118" s="1309"/>
      <c r="FF118" s="1309"/>
      <c r="FG118" s="1309"/>
      <c r="FH118" s="1309"/>
      <c r="FI118" s="1309"/>
      <c r="FJ118" s="1309"/>
      <c r="FK118" s="1309"/>
      <c r="FL118" s="1309"/>
      <c r="FM118" s="1309"/>
      <c r="FN118" s="1309"/>
      <c r="FO118" s="1309"/>
      <c r="FP118" s="1309"/>
      <c r="FQ118" s="1309"/>
      <c r="FR118" s="1309"/>
      <c r="FS118" s="1309"/>
      <c r="FT118" s="1309"/>
      <c r="FU118" s="1309"/>
      <c r="FV118" s="1309"/>
      <c r="FW118" s="1309"/>
      <c r="FX118" s="1309"/>
      <c r="FY118" s="1309"/>
      <c r="FZ118" s="1309"/>
      <c r="GA118" s="1309"/>
      <c r="GB118" s="1309"/>
      <c r="GC118" s="1309"/>
      <c r="GD118" s="1309"/>
      <c r="GE118" s="1309"/>
      <c r="GF118" s="1309"/>
      <c r="GG118" s="1309"/>
      <c r="GH118" s="1309"/>
      <c r="GI118" s="1309"/>
      <c r="GJ118" s="1309"/>
      <c r="GK118" s="1309"/>
      <c r="GL118" s="1309"/>
      <c r="GM118" s="1309"/>
      <c r="GN118" s="1309"/>
      <c r="GO118" s="1309"/>
      <c r="GP118" s="1309"/>
      <c r="GQ118" s="1309"/>
      <c r="GR118" s="1309"/>
      <c r="GS118" s="1309"/>
      <c r="GT118" s="1309"/>
      <c r="GU118" s="1309"/>
      <c r="GV118" s="1309"/>
      <c r="GW118" s="1309"/>
      <c r="GX118" s="1309"/>
      <c r="GY118" s="1309"/>
      <c r="GZ118" s="1309"/>
      <c r="HA118" s="1309"/>
      <c r="HB118" s="1309"/>
      <c r="HC118" s="1309"/>
      <c r="HD118" s="1309"/>
      <c r="HE118" s="1309"/>
      <c r="HF118" s="1309"/>
      <c r="HG118" s="1309"/>
      <c r="HH118" s="1309"/>
      <c r="HI118" s="1309"/>
      <c r="HJ118" s="1309"/>
      <c r="HK118" s="1309"/>
      <c r="HL118" s="1309"/>
      <c r="HM118" s="1309"/>
      <c r="HN118" s="1309"/>
      <c r="HO118" s="1309"/>
      <c r="HP118" s="1309"/>
      <c r="HQ118" s="1309"/>
      <c r="HR118" s="1309"/>
      <c r="HS118" s="1309"/>
      <c r="HT118" s="1309"/>
      <c r="HU118" s="1309"/>
      <c r="HV118" s="1309"/>
      <c r="HW118" s="1309"/>
      <c r="HX118" s="1309"/>
      <c r="HY118" s="1309"/>
      <c r="HZ118" s="1309"/>
      <c r="IA118" s="1309"/>
      <c r="IB118" s="1309"/>
      <c r="IC118" s="1309"/>
      <c r="ID118" s="1309"/>
      <c r="IE118" s="1309"/>
      <c r="IF118" s="1309"/>
      <c r="IG118" s="1309"/>
      <c r="IH118" s="1309"/>
      <c r="II118" s="1309"/>
      <c r="IJ118" s="1309"/>
      <c r="IK118" s="1309"/>
      <c r="IL118" s="1309"/>
      <c r="IM118" s="1309"/>
      <c r="IN118" s="1309"/>
      <c r="IO118" s="1309"/>
      <c r="IP118" s="1309"/>
      <c r="IQ118" s="1309"/>
      <c r="IR118" s="1309"/>
      <c r="IS118" s="1309"/>
      <c r="IT118" s="1309"/>
      <c r="IU118" s="1309"/>
    </row>
    <row r="119" spans="1:255" ht="21" x14ac:dyDescent="0.25">
      <c r="A119" s="1310" t="s">
        <v>1325</v>
      </c>
      <c r="B119" s="1324">
        <v>34212</v>
      </c>
      <c r="C119" s="1324">
        <v>34577</v>
      </c>
      <c r="D119" s="1311" t="s">
        <v>1326</v>
      </c>
      <c r="E119" s="1324">
        <v>35308</v>
      </c>
      <c r="F119" s="1311" t="s">
        <v>1327</v>
      </c>
      <c r="G119" s="1311" t="s">
        <v>1328</v>
      </c>
      <c r="H119" s="1311" t="s">
        <v>1329</v>
      </c>
      <c r="I119" s="1324">
        <v>36769</v>
      </c>
      <c r="J119" s="1324">
        <v>37134</v>
      </c>
      <c r="K119" s="1324">
        <v>37499</v>
      </c>
      <c r="L119" s="1324">
        <v>37864</v>
      </c>
      <c r="M119" s="1311" t="s">
        <v>1330</v>
      </c>
      <c r="N119" s="1311" t="s">
        <v>1331</v>
      </c>
      <c r="O119" s="1324">
        <v>38960</v>
      </c>
      <c r="P119" s="1324">
        <v>39325</v>
      </c>
      <c r="Q119" s="1324">
        <v>39691</v>
      </c>
      <c r="R119" s="1324">
        <v>40056</v>
      </c>
      <c r="S119" s="1324">
        <v>40421</v>
      </c>
      <c r="T119" s="1324">
        <v>40786</v>
      </c>
      <c r="U119" s="1324">
        <v>41152</v>
      </c>
      <c r="V119" s="1324">
        <v>41517</v>
      </c>
      <c r="W119" s="1324">
        <v>41882</v>
      </c>
      <c r="X119" s="1311" t="s">
        <v>1332</v>
      </c>
      <c r="Y119" s="1324">
        <v>42613</v>
      </c>
      <c r="Z119" s="1324">
        <v>42704</v>
      </c>
    </row>
    <row r="120" spans="1:255" x14ac:dyDescent="0.2">
      <c r="A120" s="1312" t="s">
        <v>1240</v>
      </c>
      <c r="B120" s="1313" t="s">
        <v>10</v>
      </c>
      <c r="C120" s="1313" t="s">
        <v>10</v>
      </c>
      <c r="D120" s="1313" t="s">
        <v>10</v>
      </c>
      <c r="E120" s="1313" t="s">
        <v>10</v>
      </c>
      <c r="F120" s="1313" t="s">
        <v>10</v>
      </c>
      <c r="G120" s="1313" t="s">
        <v>10</v>
      </c>
      <c r="H120" s="1313" t="s">
        <v>10</v>
      </c>
      <c r="I120" s="1313" t="s">
        <v>10</v>
      </c>
      <c r="J120" s="1313" t="s">
        <v>10</v>
      </c>
      <c r="K120" s="1313" t="s">
        <v>10</v>
      </c>
      <c r="L120" s="1313" t="s">
        <v>10</v>
      </c>
      <c r="M120" s="1313" t="s">
        <v>10</v>
      </c>
      <c r="N120" s="1313" t="s">
        <v>10</v>
      </c>
      <c r="O120" s="1313" t="s">
        <v>10</v>
      </c>
      <c r="P120" s="1313" t="s">
        <v>10</v>
      </c>
      <c r="Q120" s="1313" t="s">
        <v>10</v>
      </c>
      <c r="R120" s="1313" t="s">
        <v>10</v>
      </c>
      <c r="S120" s="1313" t="s">
        <v>10</v>
      </c>
      <c r="T120" s="1313" t="s">
        <v>10</v>
      </c>
      <c r="U120" s="1313" t="s">
        <v>10</v>
      </c>
      <c r="V120" s="1313" t="s">
        <v>10</v>
      </c>
      <c r="W120" s="1313" t="s">
        <v>10</v>
      </c>
      <c r="X120" s="1313" t="s">
        <v>10</v>
      </c>
      <c r="Y120" s="1313" t="s">
        <v>10</v>
      </c>
      <c r="Z120" s="1313" t="s">
        <v>10</v>
      </c>
    </row>
    <row r="121" spans="1:255" ht="10.5" x14ac:dyDescent="0.2">
      <c r="A121" s="1314" t="s">
        <v>1333</v>
      </c>
      <c r="B121" s="1305"/>
      <c r="C121" s="1305"/>
      <c r="D121" s="1305"/>
      <c r="E121" s="1305"/>
      <c r="F121" s="1305"/>
      <c r="G121" s="1305"/>
      <c r="H121" s="1305"/>
      <c r="I121" s="1305"/>
      <c r="J121" s="1305"/>
      <c r="K121" s="1305"/>
      <c r="L121" s="1305"/>
      <c r="M121" s="1305"/>
      <c r="N121" s="1305"/>
      <c r="O121" s="1305"/>
      <c r="P121" s="1305"/>
      <c r="Q121" s="1305"/>
      <c r="R121" s="1305"/>
      <c r="S121" s="1305"/>
      <c r="T121" s="1305"/>
      <c r="U121" s="1305"/>
      <c r="V121" s="1305"/>
      <c r="W121" s="1305"/>
      <c r="X121" s="1305"/>
      <c r="Y121" s="1305"/>
      <c r="Z121" s="1305"/>
    </row>
    <row r="122" spans="1:255" x14ac:dyDescent="0.2">
      <c r="A122" s="1305" t="s">
        <v>1334</v>
      </c>
      <c r="B122" s="1315">
        <v>0</v>
      </c>
      <c r="C122" s="1315">
        <v>4.7220000000000004</v>
      </c>
      <c r="D122" s="1315">
        <v>50.725999999999999</v>
      </c>
      <c r="E122" s="1315">
        <v>51.981999999999999</v>
      </c>
      <c r="F122" s="1315">
        <v>58.927999999999997</v>
      </c>
      <c r="G122" s="1315">
        <v>52.326000000000001</v>
      </c>
      <c r="H122" s="1315">
        <v>51.533999999999999</v>
      </c>
      <c r="I122" s="1315">
        <v>59.911999999999999</v>
      </c>
      <c r="J122" s="1315">
        <v>145.93299999999999</v>
      </c>
      <c r="K122" s="1315">
        <v>295.23700000000002</v>
      </c>
      <c r="L122" s="1315">
        <v>416.452</v>
      </c>
      <c r="M122" s="1315">
        <v>156.66900000000001</v>
      </c>
      <c r="N122" s="1315">
        <v>137.184</v>
      </c>
      <c r="O122" s="1315">
        <v>309.05799999999999</v>
      </c>
      <c r="P122" s="1315">
        <v>339.31900000000002</v>
      </c>
      <c r="Q122" s="1315">
        <v>483.19499999999999</v>
      </c>
      <c r="R122" s="1315">
        <v>968.24599999999998</v>
      </c>
      <c r="S122" s="1315">
        <v>1284.769</v>
      </c>
      <c r="T122" s="1315">
        <v>1571.664</v>
      </c>
      <c r="U122" s="1315">
        <v>1276.375</v>
      </c>
      <c r="V122" s="1315">
        <v>1414.4849999999999</v>
      </c>
      <c r="W122" s="1315">
        <v>1228.8130000000001</v>
      </c>
      <c r="X122" s="1315">
        <v>503.70499999999998</v>
      </c>
      <c r="Y122" s="1315">
        <v>464.024</v>
      </c>
      <c r="Z122" s="1315">
        <v>517.274</v>
      </c>
    </row>
    <row r="123" spans="1:255" x14ac:dyDescent="0.2">
      <c r="A123" s="1305" t="s">
        <v>1335</v>
      </c>
      <c r="B123" s="1315">
        <v>0</v>
      </c>
      <c r="C123" s="1315">
        <v>0</v>
      </c>
      <c r="D123" s="1315">
        <v>0</v>
      </c>
      <c r="E123" s="1315">
        <v>13.273</v>
      </c>
      <c r="F123" s="1315">
        <v>27.181999999999999</v>
      </c>
      <c r="G123" s="1315">
        <v>27.538</v>
      </c>
      <c r="H123" s="1315">
        <v>31.064</v>
      </c>
      <c r="I123" s="1315">
        <v>58.225999999999999</v>
      </c>
      <c r="J123" s="1315">
        <v>170.86600000000001</v>
      </c>
      <c r="K123" s="1315">
        <v>214.547</v>
      </c>
      <c r="L123" s="1315">
        <v>235.96199999999999</v>
      </c>
      <c r="M123" s="1315">
        <v>336.19299999999998</v>
      </c>
      <c r="N123" s="1315">
        <v>224.11199999999999</v>
      </c>
      <c r="O123" s="1315">
        <v>45.978000000000002</v>
      </c>
      <c r="P123" s="1315">
        <v>31.277999999999999</v>
      </c>
      <c r="Q123" s="1315">
        <v>3.06</v>
      </c>
      <c r="R123" s="1315">
        <v>0</v>
      </c>
      <c r="S123" s="1315">
        <v>0</v>
      </c>
      <c r="T123" s="1315">
        <v>0</v>
      </c>
      <c r="U123" s="1315">
        <v>0</v>
      </c>
      <c r="V123" s="1315">
        <v>105.809</v>
      </c>
      <c r="W123" s="1315">
        <v>187.47200000000001</v>
      </c>
      <c r="X123" s="1315">
        <v>194.67599999999999</v>
      </c>
      <c r="Y123" s="1315">
        <v>197.886</v>
      </c>
      <c r="Z123" s="1315">
        <v>117.392</v>
      </c>
    </row>
    <row r="124" spans="1:255" ht="10.5" x14ac:dyDescent="0.2">
      <c r="A124" s="1314" t="s">
        <v>1336</v>
      </c>
      <c r="B124" s="1316">
        <v>0</v>
      </c>
      <c r="C124" s="1316">
        <v>4.7220000000000004</v>
      </c>
      <c r="D124" s="1316">
        <v>50.725999999999999</v>
      </c>
      <c r="E124" s="1316">
        <v>65.254999999999995</v>
      </c>
      <c r="F124" s="1316">
        <v>86.11</v>
      </c>
      <c r="G124" s="1316">
        <v>79.864000000000004</v>
      </c>
      <c r="H124" s="1316">
        <v>82.597999999999999</v>
      </c>
      <c r="I124" s="1316">
        <v>118.13800000000001</v>
      </c>
      <c r="J124" s="1316">
        <v>316.79899999999998</v>
      </c>
      <c r="K124" s="1316">
        <v>509.78399999999999</v>
      </c>
      <c r="L124" s="1316">
        <v>652.41399999999999</v>
      </c>
      <c r="M124" s="1316">
        <v>492.86200000000002</v>
      </c>
      <c r="N124" s="1316">
        <v>361.29599999999999</v>
      </c>
      <c r="O124" s="1316">
        <v>355.036</v>
      </c>
      <c r="P124" s="1316">
        <v>370.59699999999998</v>
      </c>
      <c r="Q124" s="1316">
        <v>486.255</v>
      </c>
      <c r="R124" s="1316">
        <v>968.24599999999998</v>
      </c>
      <c r="S124" s="1316">
        <v>1284.769</v>
      </c>
      <c r="T124" s="1316">
        <v>1571.664</v>
      </c>
      <c r="U124" s="1316">
        <v>1276.375</v>
      </c>
      <c r="V124" s="1316">
        <v>1520.2940000000001</v>
      </c>
      <c r="W124" s="1316">
        <v>1416.2850000000001</v>
      </c>
      <c r="X124" s="1316">
        <v>698.38099999999997</v>
      </c>
      <c r="Y124" s="1316">
        <v>661.91</v>
      </c>
      <c r="Z124" s="1316">
        <v>634.66600000000005</v>
      </c>
    </row>
    <row r="125" spans="1:255" x14ac:dyDescent="0.2">
      <c r="A125" s="1305"/>
      <c r="B125" s="1305"/>
      <c r="C125" s="1305"/>
      <c r="D125" s="1305"/>
      <c r="E125" s="1305"/>
      <c r="F125" s="1305"/>
      <c r="G125" s="1305"/>
      <c r="H125" s="1305"/>
      <c r="I125" s="1305"/>
      <c r="J125" s="1305"/>
      <c r="K125" s="1305"/>
      <c r="L125" s="1305"/>
      <c r="M125" s="1305"/>
      <c r="N125" s="1305"/>
      <c r="O125" s="1305"/>
      <c r="P125" s="1305"/>
      <c r="Q125" s="1305"/>
      <c r="R125" s="1305"/>
      <c r="S125" s="1305"/>
      <c r="T125" s="1305"/>
      <c r="U125" s="1305"/>
      <c r="V125" s="1305"/>
      <c r="W125" s="1305"/>
      <c r="X125" s="1305"/>
      <c r="Y125" s="1305"/>
      <c r="Z125" s="1305"/>
    </row>
    <row r="126" spans="1:255" x14ac:dyDescent="0.2">
      <c r="A126" s="1305" t="s">
        <v>1337</v>
      </c>
      <c r="B126" s="1315">
        <v>0</v>
      </c>
      <c r="C126" s="1315">
        <v>14.221</v>
      </c>
      <c r="D126" s="1315">
        <v>15.538</v>
      </c>
      <c r="E126" s="1315">
        <v>25.231000000000002</v>
      </c>
      <c r="F126" s="1315">
        <v>31.003</v>
      </c>
      <c r="G126" s="1315">
        <v>60.531999999999996</v>
      </c>
      <c r="H126" s="1315">
        <v>75.099000000000004</v>
      </c>
      <c r="I126" s="1315">
        <v>76.212999999999994</v>
      </c>
      <c r="J126" s="1315">
        <v>90.266999999999996</v>
      </c>
      <c r="K126" s="1315">
        <v>95.84</v>
      </c>
      <c r="L126" s="1315">
        <v>120.164</v>
      </c>
      <c r="M126" s="1315">
        <v>142.26599999999999</v>
      </c>
      <c r="N126" s="1315">
        <v>163.64699999999999</v>
      </c>
      <c r="O126" s="1315">
        <v>149.07300000000001</v>
      </c>
      <c r="P126" s="1315">
        <v>182.01599999999999</v>
      </c>
      <c r="Q126" s="1315">
        <v>201.47900000000001</v>
      </c>
      <c r="R126" s="1315">
        <v>269.80599999999998</v>
      </c>
      <c r="S126" s="1315">
        <v>226.857</v>
      </c>
      <c r="T126" s="1315">
        <v>195.42699999999999</v>
      </c>
      <c r="U126" s="1315">
        <v>180.38900000000001</v>
      </c>
      <c r="V126" s="1315">
        <v>183.916</v>
      </c>
      <c r="W126" s="1315">
        <v>204.989</v>
      </c>
      <c r="X126" s="1315">
        <v>191.94499999999999</v>
      </c>
      <c r="Y126" s="1315">
        <v>209.74700000000001</v>
      </c>
      <c r="Z126" s="1315">
        <v>234.67599999999999</v>
      </c>
    </row>
    <row r="127" spans="1:255" x14ac:dyDescent="0.2">
      <c r="A127" s="1305" t="s">
        <v>1338</v>
      </c>
      <c r="B127" s="1315">
        <v>0</v>
      </c>
      <c r="C127" s="1315">
        <v>1.4999999999999999E-2</v>
      </c>
      <c r="D127" s="1315">
        <v>0.34499999999999997</v>
      </c>
      <c r="E127" s="1315">
        <v>0.754</v>
      </c>
      <c r="F127" s="1315">
        <v>1.0369999999999999</v>
      </c>
      <c r="G127" s="1315">
        <v>0.75</v>
      </c>
      <c r="H127" s="1315">
        <v>0.56499999999999995</v>
      </c>
      <c r="I127" s="1315">
        <v>2.72</v>
      </c>
      <c r="J127" s="1315">
        <v>1.9119999999999999</v>
      </c>
      <c r="K127" s="1315">
        <v>3.4420000000000002</v>
      </c>
      <c r="L127" s="1315">
        <v>4.4059999999999997</v>
      </c>
      <c r="M127" s="1315">
        <v>4.2309999999999999</v>
      </c>
      <c r="N127" s="1315">
        <v>8.9550000000000001</v>
      </c>
      <c r="O127" s="1315">
        <v>11.51</v>
      </c>
      <c r="P127" s="1315">
        <v>8.8960000000000008</v>
      </c>
      <c r="Q127" s="1315">
        <v>20.440000000000001</v>
      </c>
      <c r="R127" s="1315">
        <v>28.463999999999999</v>
      </c>
      <c r="S127" s="1315">
        <v>37.520000000000003</v>
      </c>
      <c r="T127" s="1315">
        <v>20.14</v>
      </c>
      <c r="U127" s="1315">
        <v>17.89</v>
      </c>
      <c r="V127" s="1315">
        <v>31.484999999999999</v>
      </c>
      <c r="W127" s="1315">
        <v>20.408999999999999</v>
      </c>
      <c r="X127" s="1315">
        <v>6.5140000000000002</v>
      </c>
      <c r="Y127" s="1315">
        <v>15.243</v>
      </c>
      <c r="Z127" s="1315">
        <v>11.63</v>
      </c>
    </row>
    <row r="128" spans="1:255" ht="10.5" x14ac:dyDescent="0.2">
      <c r="A128" s="1314" t="s">
        <v>1339</v>
      </c>
      <c r="B128" s="1316">
        <v>0</v>
      </c>
      <c r="C128" s="1316">
        <v>14.236000000000001</v>
      </c>
      <c r="D128" s="1316">
        <v>15.882999999999999</v>
      </c>
      <c r="E128" s="1316">
        <v>25.984999999999999</v>
      </c>
      <c r="F128" s="1316">
        <v>32.04</v>
      </c>
      <c r="G128" s="1316">
        <v>61.281999999999996</v>
      </c>
      <c r="H128" s="1316">
        <v>75.664000000000001</v>
      </c>
      <c r="I128" s="1316">
        <v>78.933000000000007</v>
      </c>
      <c r="J128" s="1316">
        <v>92.179000000000002</v>
      </c>
      <c r="K128" s="1316">
        <v>99.281999999999996</v>
      </c>
      <c r="L128" s="1316">
        <v>124.57</v>
      </c>
      <c r="M128" s="1316">
        <v>146.49700000000001</v>
      </c>
      <c r="N128" s="1316">
        <v>172.602</v>
      </c>
      <c r="O128" s="1316">
        <v>160.583</v>
      </c>
      <c r="P128" s="1316">
        <v>190.91200000000001</v>
      </c>
      <c r="Q128" s="1316">
        <v>221.91900000000001</v>
      </c>
      <c r="R128" s="1316">
        <v>298.27</v>
      </c>
      <c r="S128" s="1316">
        <v>264.37700000000001</v>
      </c>
      <c r="T128" s="1316">
        <v>215.56700000000001</v>
      </c>
      <c r="U128" s="1316">
        <v>198.279</v>
      </c>
      <c r="V128" s="1316">
        <v>215.40100000000001</v>
      </c>
      <c r="W128" s="1316">
        <v>225.398</v>
      </c>
      <c r="X128" s="1316">
        <v>198.459</v>
      </c>
      <c r="Y128" s="1316">
        <v>224.99</v>
      </c>
      <c r="Z128" s="1316">
        <v>246.30600000000001</v>
      </c>
    </row>
    <row r="129" spans="1:26" x14ac:dyDescent="0.2">
      <c r="A129" s="1305"/>
      <c r="B129" s="1305"/>
      <c r="C129" s="1305"/>
      <c r="D129" s="1305"/>
      <c r="E129" s="1305"/>
      <c r="F129" s="1305"/>
      <c r="G129" s="1305"/>
      <c r="H129" s="1305"/>
      <c r="I129" s="1305"/>
      <c r="J129" s="1305"/>
      <c r="K129" s="1305"/>
      <c r="L129" s="1305"/>
      <c r="M129" s="1305"/>
      <c r="N129" s="1305"/>
      <c r="O129" s="1305"/>
      <c r="P129" s="1305"/>
      <c r="Q129" s="1305"/>
      <c r="R129" s="1305"/>
      <c r="S129" s="1305"/>
      <c r="T129" s="1305"/>
      <c r="U129" s="1305"/>
      <c r="V129" s="1305"/>
      <c r="W129" s="1305"/>
      <c r="X129" s="1305"/>
      <c r="Y129" s="1305"/>
      <c r="Z129" s="1305"/>
    </row>
    <row r="130" spans="1:26" x14ac:dyDescent="0.2">
      <c r="A130" s="1305" t="s">
        <v>954</v>
      </c>
      <c r="B130" s="1315">
        <v>0</v>
      </c>
      <c r="C130" s="1315">
        <v>2.6560000000000001</v>
      </c>
      <c r="D130" s="1315">
        <v>2.7229999999999999</v>
      </c>
      <c r="E130" s="1315">
        <v>3.1120000000000001</v>
      </c>
      <c r="F130" s="1315">
        <v>0</v>
      </c>
      <c r="G130" s="1315">
        <v>0</v>
      </c>
      <c r="H130" s="1315">
        <v>0</v>
      </c>
      <c r="I130" s="1315">
        <v>0</v>
      </c>
      <c r="J130" s="1315">
        <v>0</v>
      </c>
      <c r="K130" s="1315">
        <v>0</v>
      </c>
      <c r="L130" s="1315">
        <v>0</v>
      </c>
      <c r="M130" s="1315">
        <v>0</v>
      </c>
      <c r="N130" s="1315">
        <v>0</v>
      </c>
      <c r="O130" s="1315">
        <v>0</v>
      </c>
      <c r="P130" s="1315">
        <v>0</v>
      </c>
      <c r="Q130" s="1315">
        <v>0</v>
      </c>
      <c r="R130" s="1315">
        <v>0</v>
      </c>
      <c r="S130" s="1315">
        <v>0</v>
      </c>
      <c r="T130" s="1315">
        <v>0</v>
      </c>
      <c r="U130" s="1315">
        <v>0</v>
      </c>
      <c r="V130" s="1315">
        <v>0</v>
      </c>
      <c r="W130" s="1315">
        <v>0</v>
      </c>
      <c r="X130" s="1315">
        <v>0</v>
      </c>
      <c r="Y130" s="1315">
        <v>0</v>
      </c>
      <c r="Z130" s="1315">
        <v>0</v>
      </c>
    </row>
    <row r="131" spans="1:26" x14ac:dyDescent="0.2">
      <c r="A131" s="1305" t="s">
        <v>1340</v>
      </c>
      <c r="B131" s="1315">
        <v>0</v>
      </c>
      <c r="C131" s="1315">
        <v>0.86399999999999999</v>
      </c>
      <c r="D131" s="1315">
        <v>0.48499999999999999</v>
      </c>
      <c r="E131" s="1315">
        <v>0.53200000000000003</v>
      </c>
      <c r="F131" s="1315">
        <v>0</v>
      </c>
      <c r="G131" s="1315">
        <v>0</v>
      </c>
      <c r="H131" s="1315">
        <v>0</v>
      </c>
      <c r="I131" s="1315">
        <v>0</v>
      </c>
      <c r="J131" s="1315">
        <v>0</v>
      </c>
      <c r="K131" s="1315">
        <v>0</v>
      </c>
      <c r="L131" s="1315">
        <v>0</v>
      </c>
      <c r="M131" s="1315">
        <v>0</v>
      </c>
      <c r="N131" s="1315">
        <v>0</v>
      </c>
      <c r="O131" s="1315">
        <v>0</v>
      </c>
      <c r="P131" s="1315">
        <v>0</v>
      </c>
      <c r="Q131" s="1315">
        <v>0</v>
      </c>
      <c r="R131" s="1315">
        <v>57.658000000000001</v>
      </c>
      <c r="S131" s="1315">
        <v>39.408999999999999</v>
      </c>
      <c r="T131" s="1315">
        <v>35.628999999999998</v>
      </c>
      <c r="U131" s="1315">
        <v>26.341000000000001</v>
      </c>
      <c r="V131" s="1315">
        <v>30.359000000000002</v>
      </c>
      <c r="W131" s="1315">
        <v>34.006</v>
      </c>
      <c r="X131" s="1315">
        <v>38.371000000000002</v>
      </c>
      <c r="Y131" s="1315">
        <v>19.286999999999999</v>
      </c>
      <c r="Z131" s="1315">
        <v>25.058</v>
      </c>
    </row>
    <row r="132" spans="1:26" x14ac:dyDescent="0.2">
      <c r="A132" s="1305" t="s">
        <v>1341</v>
      </c>
      <c r="B132" s="1315">
        <v>0</v>
      </c>
      <c r="C132" s="1315">
        <v>1.321</v>
      </c>
      <c r="D132" s="1315">
        <v>2.3519999999999999</v>
      </c>
      <c r="E132" s="1315">
        <v>2.972</v>
      </c>
      <c r="F132" s="1315">
        <v>2.8730000000000002</v>
      </c>
      <c r="G132" s="1315">
        <v>6.2030000000000003</v>
      </c>
      <c r="H132" s="1315">
        <v>7.3460000000000001</v>
      </c>
      <c r="I132" s="1315">
        <v>8.2669999999999995</v>
      </c>
      <c r="J132" s="1315">
        <v>7.8220000000000001</v>
      </c>
      <c r="K132" s="1315">
        <v>7.415</v>
      </c>
      <c r="L132" s="1315">
        <v>9.0980000000000008</v>
      </c>
      <c r="M132" s="1315">
        <v>10.02</v>
      </c>
      <c r="N132" s="1315">
        <v>25.506</v>
      </c>
      <c r="O132" s="1315">
        <v>32.622</v>
      </c>
      <c r="P132" s="1315">
        <v>50.884999999999998</v>
      </c>
      <c r="Q132" s="1315">
        <v>55.433999999999997</v>
      </c>
      <c r="R132" s="1315">
        <v>88.022000000000006</v>
      </c>
      <c r="S132" s="1315">
        <v>166.54900000000001</v>
      </c>
      <c r="T132" s="1315">
        <v>124.137</v>
      </c>
      <c r="U132" s="1315">
        <v>69.052000000000007</v>
      </c>
      <c r="V132" s="1315">
        <v>60.293999999999997</v>
      </c>
      <c r="W132" s="1315">
        <v>83.870999999999995</v>
      </c>
      <c r="X132" s="1315">
        <v>0</v>
      </c>
      <c r="Y132" s="1315">
        <v>0</v>
      </c>
      <c r="Z132" s="1315">
        <v>0</v>
      </c>
    </row>
    <row r="133" spans="1:26" x14ac:dyDescent="0.2">
      <c r="A133" s="1305" t="s">
        <v>809</v>
      </c>
      <c r="B133" s="1315">
        <v>0</v>
      </c>
      <c r="C133" s="1315">
        <v>8.0939999999999994</v>
      </c>
      <c r="D133" s="1315">
        <v>11.875</v>
      </c>
      <c r="E133" s="1315">
        <v>11.285</v>
      </c>
      <c r="F133" s="1315">
        <v>19.927</v>
      </c>
      <c r="G133" s="1315">
        <v>22.713000000000001</v>
      </c>
      <c r="H133" s="1315">
        <v>25.797999999999998</v>
      </c>
      <c r="I133" s="1315">
        <v>35.680999999999997</v>
      </c>
      <c r="J133" s="1315">
        <v>57.896000000000001</v>
      </c>
      <c r="K133" s="1315">
        <v>100.252</v>
      </c>
      <c r="L133" s="1315">
        <v>147.61600000000001</v>
      </c>
      <c r="M133" s="1315">
        <v>78.412999999999997</v>
      </c>
      <c r="N133" s="1315">
        <v>227.102</v>
      </c>
      <c r="O133" s="1315">
        <v>238.267</v>
      </c>
      <c r="P133" s="1315">
        <v>296.46899999999999</v>
      </c>
      <c r="Q133" s="1315">
        <v>384.15499999999997</v>
      </c>
      <c r="R133" s="1315">
        <v>432.30399999999997</v>
      </c>
      <c r="S133" s="1315">
        <v>444.13200000000001</v>
      </c>
      <c r="T133" s="1315">
        <v>379.40699999999998</v>
      </c>
      <c r="U133" s="1315">
        <v>318.334</v>
      </c>
      <c r="V133" s="1315">
        <v>259.17399999999998</v>
      </c>
      <c r="W133" s="1315">
        <v>224.13499999999999</v>
      </c>
      <c r="X133" s="1315">
        <v>198.369</v>
      </c>
      <c r="Y133" s="1315">
        <v>142.16999999999999</v>
      </c>
      <c r="Z133" s="1315">
        <v>124.871</v>
      </c>
    </row>
    <row r="134" spans="1:26" x14ac:dyDescent="0.2">
      <c r="A134" s="1305" t="s">
        <v>800</v>
      </c>
      <c r="B134" s="1315">
        <v>0</v>
      </c>
      <c r="C134" s="1315">
        <v>0</v>
      </c>
      <c r="D134" s="1315">
        <v>0</v>
      </c>
      <c r="E134" s="1315">
        <v>0</v>
      </c>
      <c r="F134" s="1315">
        <v>2.8530000000000002</v>
      </c>
      <c r="G134" s="1315">
        <v>3.9449999999999998</v>
      </c>
      <c r="H134" s="1315">
        <v>6.8070000000000004</v>
      </c>
      <c r="I134" s="1315">
        <v>5.8879999999999999</v>
      </c>
      <c r="J134" s="1315">
        <v>12.355</v>
      </c>
      <c r="K134" s="1315">
        <v>13.714</v>
      </c>
      <c r="L134" s="1315">
        <v>16.545000000000002</v>
      </c>
      <c r="M134" s="1315">
        <v>126.892</v>
      </c>
      <c r="N134" s="1315">
        <v>22.643000000000001</v>
      </c>
      <c r="O134" s="1315">
        <v>16.423999999999999</v>
      </c>
      <c r="P134" s="1315">
        <v>16.515000000000001</v>
      </c>
      <c r="Q134" s="1315">
        <v>21.78</v>
      </c>
      <c r="R134" s="1315">
        <v>35.517000000000003</v>
      </c>
      <c r="S134" s="1315">
        <v>53.975999999999999</v>
      </c>
      <c r="T134" s="1315">
        <v>44.381999999999998</v>
      </c>
      <c r="U134" s="1315">
        <v>49.609000000000002</v>
      </c>
      <c r="V134" s="1315">
        <v>64.134</v>
      </c>
      <c r="W134" s="1315">
        <v>58.854999999999997</v>
      </c>
      <c r="X134" s="1315">
        <v>89.72</v>
      </c>
      <c r="Y134" s="1315">
        <v>40.368000000000002</v>
      </c>
      <c r="Z134" s="1315">
        <v>50.787999999999997</v>
      </c>
    </row>
    <row r="135" spans="1:26" ht="10.5" x14ac:dyDescent="0.2">
      <c r="A135" s="1314" t="s">
        <v>1342</v>
      </c>
      <c r="B135" s="1316">
        <v>0</v>
      </c>
      <c r="C135" s="1316">
        <v>31.893000000000001</v>
      </c>
      <c r="D135" s="1316">
        <v>84.043999999999997</v>
      </c>
      <c r="E135" s="1316">
        <v>109.14100000000001</v>
      </c>
      <c r="F135" s="1316">
        <v>143.803</v>
      </c>
      <c r="G135" s="1316">
        <v>174.00700000000001</v>
      </c>
      <c r="H135" s="1316">
        <v>198.21299999999999</v>
      </c>
      <c r="I135" s="1316">
        <v>246.90700000000001</v>
      </c>
      <c r="J135" s="1316">
        <v>487.05099999999999</v>
      </c>
      <c r="K135" s="1316">
        <v>730.447</v>
      </c>
      <c r="L135" s="1316">
        <v>950.24300000000005</v>
      </c>
      <c r="M135" s="1316">
        <v>854.68399999999997</v>
      </c>
      <c r="N135" s="1316">
        <v>809.149</v>
      </c>
      <c r="O135" s="1316">
        <v>802.93200000000002</v>
      </c>
      <c r="P135" s="1316">
        <v>925.37800000000004</v>
      </c>
      <c r="Q135" s="1316">
        <v>1169.5429999999999</v>
      </c>
      <c r="R135" s="1316">
        <v>1880.0170000000001</v>
      </c>
      <c r="S135" s="1316">
        <v>2253.212</v>
      </c>
      <c r="T135" s="1316">
        <v>2370.7860000000001</v>
      </c>
      <c r="U135" s="1316">
        <v>1937.99</v>
      </c>
      <c r="V135" s="1316">
        <v>2149.6559999999999</v>
      </c>
      <c r="W135" s="1316">
        <v>2042.55</v>
      </c>
      <c r="X135" s="1316">
        <v>1223.3</v>
      </c>
      <c r="Y135" s="1316">
        <v>1088.7249999999999</v>
      </c>
      <c r="Z135" s="1316">
        <v>1081.6890000000001</v>
      </c>
    </row>
    <row r="136" spans="1:26" x14ac:dyDescent="0.2">
      <c r="A136" s="1305"/>
      <c r="B136" s="1305"/>
      <c r="C136" s="1305"/>
      <c r="D136" s="1305"/>
      <c r="E136" s="1305"/>
      <c r="F136" s="1305"/>
      <c r="G136" s="1305"/>
      <c r="H136" s="1305"/>
      <c r="I136" s="1305"/>
      <c r="J136" s="1305"/>
      <c r="K136" s="1305"/>
      <c r="L136" s="1305"/>
      <c r="M136" s="1305"/>
      <c r="N136" s="1305"/>
      <c r="O136" s="1305"/>
      <c r="P136" s="1305"/>
      <c r="Q136" s="1305"/>
      <c r="R136" s="1305"/>
      <c r="S136" s="1305"/>
      <c r="T136" s="1305"/>
      <c r="U136" s="1305"/>
      <c r="V136" s="1305"/>
      <c r="W136" s="1305"/>
      <c r="X136" s="1305"/>
      <c r="Y136" s="1305"/>
      <c r="Z136" s="1305"/>
    </row>
    <row r="137" spans="1:26" x14ac:dyDescent="0.2">
      <c r="A137" s="1305" t="s">
        <v>1343</v>
      </c>
      <c r="B137" s="1315">
        <v>0</v>
      </c>
      <c r="C137" s="1315">
        <v>14.087</v>
      </c>
      <c r="D137" s="1315">
        <v>22.382000000000001</v>
      </c>
      <c r="E137" s="1315">
        <v>33.220999999999997</v>
      </c>
      <c r="F137" s="1315">
        <v>40.975999999999999</v>
      </c>
      <c r="G137" s="1315">
        <v>71.540999999999997</v>
      </c>
      <c r="H137" s="1315">
        <v>118.334</v>
      </c>
      <c r="I137" s="1315">
        <v>150.28200000000001</v>
      </c>
      <c r="J137" s="1315">
        <v>191.80600000000001</v>
      </c>
      <c r="K137" s="1315">
        <v>225.904</v>
      </c>
      <c r="L137" s="1315">
        <v>279.31700000000001</v>
      </c>
      <c r="M137" s="1315">
        <v>437.96300000000002</v>
      </c>
      <c r="N137" s="1315">
        <v>562.77800000000002</v>
      </c>
      <c r="O137" s="1315">
        <v>684.53200000000004</v>
      </c>
      <c r="P137" s="1315">
        <v>766.16899999999998</v>
      </c>
      <c r="Q137" s="1315">
        <v>873.94</v>
      </c>
      <c r="R137" s="1315">
        <v>965.31</v>
      </c>
      <c r="S137" s="1315">
        <v>1094.317</v>
      </c>
      <c r="T137" s="1315">
        <v>1104.8399999999999</v>
      </c>
      <c r="U137" s="1315">
        <v>1221.277</v>
      </c>
      <c r="V137" s="1315">
        <v>1177.383</v>
      </c>
      <c r="W137" s="1315">
        <v>1158.7550000000001</v>
      </c>
      <c r="X137" s="1315">
        <v>1126.999</v>
      </c>
      <c r="Y137" s="1315">
        <v>1070.347</v>
      </c>
      <c r="Z137" s="1315">
        <v>0</v>
      </c>
    </row>
    <row r="138" spans="1:26" x14ac:dyDescent="0.2">
      <c r="A138" s="1305" t="s">
        <v>1344</v>
      </c>
      <c r="B138" s="1315">
        <v>0</v>
      </c>
      <c r="C138" s="1315">
        <v>-7.3</v>
      </c>
      <c r="D138" s="1315">
        <v>-7.7</v>
      </c>
      <c r="E138" s="1315">
        <v>-10</v>
      </c>
      <c r="F138" s="1315">
        <v>-15.7</v>
      </c>
      <c r="G138" s="1315">
        <v>-24.9</v>
      </c>
      <c r="H138" s="1315">
        <v>-40.799999999999997</v>
      </c>
      <c r="I138" s="1315">
        <v>-62.4</v>
      </c>
      <c r="J138" s="1315">
        <v>-89.2</v>
      </c>
      <c r="K138" s="1315">
        <v>-121.6</v>
      </c>
      <c r="L138" s="1315">
        <v>-160.30000000000001</v>
      </c>
      <c r="M138" s="1315">
        <v>-225.8</v>
      </c>
      <c r="N138" s="1315">
        <v>-292.10000000000002</v>
      </c>
      <c r="O138" s="1315">
        <v>-356.1</v>
      </c>
      <c r="P138" s="1315">
        <v>-402</v>
      </c>
      <c r="Q138" s="1315">
        <v>-434.8</v>
      </c>
      <c r="R138" s="1315">
        <v>-407.8</v>
      </c>
      <c r="S138" s="1315">
        <v>-474.8</v>
      </c>
      <c r="T138" s="1315">
        <v>-551.79999999999995</v>
      </c>
      <c r="U138" s="1315">
        <v>-649.6</v>
      </c>
      <c r="V138" s="1315">
        <v>-704.8</v>
      </c>
      <c r="W138" s="1315">
        <v>-723</v>
      </c>
      <c r="X138" s="1315">
        <v>-756.7</v>
      </c>
      <c r="Y138" s="1315">
        <v>-737.6</v>
      </c>
      <c r="Z138" s="1315">
        <v>0</v>
      </c>
    </row>
    <row r="139" spans="1:26" ht="10.5" x14ac:dyDescent="0.2">
      <c r="A139" s="1314" t="s">
        <v>1345</v>
      </c>
      <c r="B139" s="1316">
        <v>0</v>
      </c>
      <c r="C139" s="1316">
        <v>6.7990000000000004</v>
      </c>
      <c r="D139" s="1316">
        <v>14.7</v>
      </c>
      <c r="E139" s="1316">
        <v>23.245999999999999</v>
      </c>
      <c r="F139" s="1316">
        <v>25.251000000000001</v>
      </c>
      <c r="G139" s="1316">
        <v>46.618000000000002</v>
      </c>
      <c r="H139" s="1316">
        <v>77.504000000000005</v>
      </c>
      <c r="I139" s="1316">
        <v>87.832999999999998</v>
      </c>
      <c r="J139" s="1316">
        <v>102.624</v>
      </c>
      <c r="K139" s="1316">
        <v>104.292</v>
      </c>
      <c r="L139" s="1316">
        <v>119.057</v>
      </c>
      <c r="M139" s="1316">
        <v>212.20500000000001</v>
      </c>
      <c r="N139" s="1316">
        <v>270.64499999999998</v>
      </c>
      <c r="O139" s="1316">
        <v>328.44</v>
      </c>
      <c r="P139" s="1316">
        <v>364.20699999999999</v>
      </c>
      <c r="Q139" s="1316">
        <v>439.13499999999999</v>
      </c>
      <c r="R139" s="1316">
        <v>557.50699999999995</v>
      </c>
      <c r="S139" s="1316">
        <v>619.53700000000003</v>
      </c>
      <c r="T139" s="1316">
        <v>553.02700000000004</v>
      </c>
      <c r="U139" s="1316">
        <v>571.62900000000002</v>
      </c>
      <c r="V139" s="1316">
        <v>472.61399999999998</v>
      </c>
      <c r="W139" s="1316">
        <v>435.733</v>
      </c>
      <c r="X139" s="1316">
        <v>370.28100000000001</v>
      </c>
      <c r="Y139" s="1316">
        <v>332.702</v>
      </c>
      <c r="Z139" s="1316">
        <v>321.34500000000003</v>
      </c>
    </row>
    <row r="140" spans="1:26" x14ac:dyDescent="0.2">
      <c r="A140" s="1305"/>
      <c r="B140" s="1305"/>
      <c r="C140" s="1305"/>
      <c r="D140" s="1305"/>
      <c r="E140" s="1305"/>
      <c r="F140" s="1305"/>
      <c r="G140" s="1305"/>
      <c r="H140" s="1305"/>
      <c r="I140" s="1305"/>
      <c r="J140" s="1305"/>
      <c r="K140" s="1305"/>
      <c r="L140" s="1305"/>
      <c r="M140" s="1305"/>
      <c r="N140" s="1305"/>
      <c r="O140" s="1305"/>
      <c r="P140" s="1305"/>
      <c r="Q140" s="1305"/>
      <c r="R140" s="1305"/>
      <c r="S140" s="1305"/>
      <c r="T140" s="1305"/>
      <c r="U140" s="1305"/>
      <c r="V140" s="1305"/>
      <c r="W140" s="1305"/>
      <c r="X140" s="1305"/>
      <c r="Y140" s="1305"/>
      <c r="Z140" s="1305"/>
    </row>
    <row r="141" spans="1:26" x14ac:dyDescent="0.2">
      <c r="A141" s="1305" t="s">
        <v>1346</v>
      </c>
      <c r="B141" s="1315">
        <v>0</v>
      </c>
      <c r="C141" s="1315">
        <v>0</v>
      </c>
      <c r="D141" s="1315">
        <v>0</v>
      </c>
      <c r="E141" s="1315">
        <v>0</v>
      </c>
      <c r="F141" s="1315">
        <v>14.247</v>
      </c>
      <c r="G141" s="1315">
        <v>28.736000000000001</v>
      </c>
      <c r="H141" s="1315">
        <v>19.207999999999998</v>
      </c>
      <c r="I141" s="1315">
        <v>6.02</v>
      </c>
      <c r="J141" s="1315">
        <v>27.239000000000001</v>
      </c>
      <c r="K141" s="1315">
        <v>78.619</v>
      </c>
      <c r="L141" s="1315">
        <v>245.77199999999999</v>
      </c>
      <c r="M141" s="1315">
        <v>316.74299999999999</v>
      </c>
      <c r="N141" s="1315">
        <v>97.35</v>
      </c>
      <c r="O141" s="1315">
        <v>53.692</v>
      </c>
      <c r="P141" s="1315">
        <v>22.084</v>
      </c>
      <c r="Q141" s="1315">
        <v>25.204000000000001</v>
      </c>
      <c r="R141" s="1315">
        <v>19.579000000000001</v>
      </c>
      <c r="S141" s="1315">
        <v>15.173999999999999</v>
      </c>
      <c r="T141" s="1315">
        <v>5.9459999999999997</v>
      </c>
      <c r="U141" s="1315">
        <v>5.9459999999999997</v>
      </c>
      <c r="V141" s="1315">
        <v>43.941000000000003</v>
      </c>
      <c r="W141" s="1315">
        <v>87.811000000000007</v>
      </c>
      <c r="X141" s="1315">
        <v>95.814999999999998</v>
      </c>
      <c r="Y141" s="1315">
        <v>18.757999999999999</v>
      </c>
      <c r="Z141" s="1315">
        <v>6.8929999999999998</v>
      </c>
    </row>
    <row r="142" spans="1:26" x14ac:dyDescent="0.2">
      <c r="A142" s="1305" t="s">
        <v>203</v>
      </c>
      <c r="B142" s="1315">
        <v>0</v>
      </c>
      <c r="C142" s="1315">
        <v>0</v>
      </c>
      <c r="D142" s="1315">
        <v>0</v>
      </c>
      <c r="E142" s="1315">
        <v>2.4590000000000001</v>
      </c>
      <c r="F142" s="1315">
        <v>2.2829999999999999</v>
      </c>
      <c r="G142" s="1315">
        <v>41.398000000000003</v>
      </c>
      <c r="H142" s="1315">
        <v>39.917000000000002</v>
      </c>
      <c r="I142" s="1315">
        <v>38.548000000000002</v>
      </c>
      <c r="J142" s="1315">
        <v>37.095999999999997</v>
      </c>
      <c r="K142" s="1315">
        <v>37.095999999999997</v>
      </c>
      <c r="L142" s="1315">
        <v>37.095999999999997</v>
      </c>
      <c r="M142" s="1315">
        <v>37.095999999999997</v>
      </c>
      <c r="N142" s="1315">
        <v>37.095999999999997</v>
      </c>
      <c r="O142" s="1315">
        <v>16.890999999999998</v>
      </c>
      <c r="P142" s="1315">
        <v>29.632999999999999</v>
      </c>
      <c r="Q142" s="1315">
        <v>85.968000000000004</v>
      </c>
      <c r="R142" s="1315">
        <v>522.35799999999995</v>
      </c>
      <c r="S142" s="1315">
        <v>322.15899999999999</v>
      </c>
      <c r="T142" s="1315">
        <v>133.297</v>
      </c>
      <c r="U142" s="1315">
        <v>103.345</v>
      </c>
      <c r="V142" s="1315">
        <v>103.62</v>
      </c>
      <c r="W142" s="1315">
        <v>259.90100000000001</v>
      </c>
      <c r="X142" s="1315">
        <v>247.19</v>
      </c>
      <c r="Y142" s="1315">
        <v>272.69900000000001</v>
      </c>
      <c r="Z142" s="1315">
        <v>265.69200000000001</v>
      </c>
    </row>
    <row r="143" spans="1:26" x14ac:dyDescent="0.2">
      <c r="A143" s="1305" t="s">
        <v>1347</v>
      </c>
      <c r="B143" s="1315">
        <v>0</v>
      </c>
      <c r="C143" s="1315">
        <v>0</v>
      </c>
      <c r="D143" s="1315">
        <v>0</v>
      </c>
      <c r="E143" s="1315">
        <v>0</v>
      </c>
      <c r="F143" s="1315">
        <v>0</v>
      </c>
      <c r="G143" s="1315">
        <v>0</v>
      </c>
      <c r="H143" s="1315">
        <v>0</v>
      </c>
      <c r="I143" s="1315">
        <v>0</v>
      </c>
      <c r="J143" s="1315">
        <v>0</v>
      </c>
      <c r="K143" s="1315">
        <v>0</v>
      </c>
      <c r="L143" s="1315">
        <v>0</v>
      </c>
      <c r="M143" s="1315">
        <v>0</v>
      </c>
      <c r="N143" s="1315">
        <v>0</v>
      </c>
      <c r="O143" s="1315">
        <v>0</v>
      </c>
      <c r="P143" s="1315">
        <v>2.214</v>
      </c>
      <c r="Q143" s="1315">
        <v>23.096</v>
      </c>
      <c r="R143" s="1315">
        <v>203.67099999999999</v>
      </c>
      <c r="S143" s="1315">
        <v>150.59299999999999</v>
      </c>
      <c r="T143" s="1315">
        <v>121.117</v>
      </c>
      <c r="U143" s="1315">
        <v>149.03399999999999</v>
      </c>
      <c r="V143" s="1315">
        <v>132.19200000000001</v>
      </c>
      <c r="W143" s="1315">
        <v>189.36500000000001</v>
      </c>
      <c r="X143" s="1315">
        <v>143.244</v>
      </c>
      <c r="Y143" s="1315">
        <v>191.14599999999999</v>
      </c>
      <c r="Z143" s="1315">
        <v>179.417</v>
      </c>
    </row>
    <row r="144" spans="1:26" x14ac:dyDescent="0.2">
      <c r="A144" s="1305" t="s">
        <v>1348</v>
      </c>
      <c r="B144" s="1315">
        <v>0</v>
      </c>
      <c r="C144" s="1315">
        <v>0</v>
      </c>
      <c r="D144" s="1315">
        <v>0</v>
      </c>
      <c r="E144" s="1315">
        <v>0</v>
      </c>
      <c r="F144" s="1315">
        <v>0</v>
      </c>
      <c r="G144" s="1315">
        <v>0</v>
      </c>
      <c r="H144" s="1315">
        <v>0</v>
      </c>
      <c r="I144" s="1315">
        <v>0</v>
      </c>
      <c r="J144" s="1315">
        <v>0</v>
      </c>
      <c r="K144" s="1315">
        <v>0</v>
      </c>
      <c r="L144" s="1315">
        <v>0</v>
      </c>
      <c r="M144" s="1315">
        <v>11.9</v>
      </c>
      <c r="N144" s="1315">
        <v>11.9</v>
      </c>
      <c r="O144" s="1315">
        <v>11.9</v>
      </c>
      <c r="P144" s="1315">
        <v>16.73</v>
      </c>
      <c r="Q144" s="1315">
        <v>17.762</v>
      </c>
      <c r="R144" s="1315">
        <v>0</v>
      </c>
      <c r="S144" s="1315">
        <v>0</v>
      </c>
      <c r="T144" s="1315">
        <v>0</v>
      </c>
      <c r="U144" s="1315">
        <v>0</v>
      </c>
      <c r="V144" s="1315">
        <v>0</v>
      </c>
      <c r="W144" s="1315">
        <v>0</v>
      </c>
      <c r="X144" s="1315">
        <v>0</v>
      </c>
      <c r="Y144" s="1315">
        <v>0</v>
      </c>
      <c r="Z144" s="1315">
        <v>0</v>
      </c>
    </row>
    <row r="145" spans="1:26" x14ac:dyDescent="0.2">
      <c r="A145" s="1305" t="s">
        <v>1349</v>
      </c>
      <c r="B145" s="1315">
        <v>0</v>
      </c>
      <c r="C145" s="1315">
        <v>0.30599999999999999</v>
      </c>
      <c r="D145" s="1315">
        <v>0</v>
      </c>
      <c r="E145" s="1315">
        <v>0</v>
      </c>
      <c r="F145" s="1315">
        <v>0</v>
      </c>
      <c r="G145" s="1315">
        <v>0</v>
      </c>
      <c r="H145" s="1315">
        <v>0</v>
      </c>
      <c r="I145" s="1315">
        <v>0</v>
      </c>
      <c r="J145" s="1315">
        <v>3.18</v>
      </c>
      <c r="K145" s="1315">
        <v>5.0620000000000003</v>
      </c>
      <c r="L145" s="1315">
        <v>1.155</v>
      </c>
      <c r="M145" s="1315">
        <v>47.52</v>
      </c>
      <c r="N145" s="1315">
        <v>40.542000000000002</v>
      </c>
      <c r="O145" s="1315">
        <v>53.131</v>
      </c>
      <c r="P145" s="1315">
        <v>80.076999999999998</v>
      </c>
      <c r="Q145" s="1315">
        <v>89.498999999999995</v>
      </c>
      <c r="R145" s="1315">
        <v>66.254000000000005</v>
      </c>
      <c r="S145" s="1315">
        <v>99.070999999999998</v>
      </c>
      <c r="T145" s="1315">
        <v>70.948999999999998</v>
      </c>
      <c r="U145" s="1315">
        <v>77.628</v>
      </c>
      <c r="V145" s="1315">
        <v>63.893999999999998</v>
      </c>
      <c r="W145" s="1315">
        <v>37.335000000000001</v>
      </c>
      <c r="X145" s="1315">
        <v>92.105000000000004</v>
      </c>
      <c r="Y145" s="1315">
        <v>78.366</v>
      </c>
      <c r="Z145" s="1315">
        <v>68.703000000000003</v>
      </c>
    </row>
    <row r="146" spans="1:26" x14ac:dyDescent="0.2">
      <c r="A146" s="1305" t="s">
        <v>1350</v>
      </c>
      <c r="B146" s="1315">
        <v>0</v>
      </c>
      <c r="C146" s="1315">
        <v>1.9139999999999999</v>
      </c>
      <c r="D146" s="1315">
        <v>1.9630000000000001</v>
      </c>
      <c r="E146" s="1315">
        <v>1.446</v>
      </c>
      <c r="F146" s="1315">
        <v>0</v>
      </c>
      <c r="G146" s="1315">
        <v>0</v>
      </c>
      <c r="H146" s="1315">
        <v>0</v>
      </c>
      <c r="I146" s="1315">
        <v>0</v>
      </c>
      <c r="J146" s="1315">
        <v>0</v>
      </c>
      <c r="K146" s="1315">
        <v>0</v>
      </c>
      <c r="L146" s="1315">
        <v>0</v>
      </c>
      <c r="M146" s="1315">
        <v>0</v>
      </c>
      <c r="N146" s="1315">
        <v>0</v>
      </c>
      <c r="O146" s="1315">
        <v>0</v>
      </c>
      <c r="P146" s="1315">
        <v>0</v>
      </c>
      <c r="Q146" s="1315">
        <v>0</v>
      </c>
      <c r="R146" s="1315">
        <v>0</v>
      </c>
      <c r="S146" s="1315">
        <v>0</v>
      </c>
      <c r="T146" s="1315">
        <v>0</v>
      </c>
      <c r="U146" s="1315">
        <v>0</v>
      </c>
      <c r="V146" s="1315">
        <v>0</v>
      </c>
      <c r="W146" s="1315">
        <v>0</v>
      </c>
      <c r="X146" s="1315">
        <v>0</v>
      </c>
      <c r="Y146" s="1315">
        <v>0</v>
      </c>
      <c r="Z146" s="1315">
        <v>0</v>
      </c>
    </row>
    <row r="147" spans="1:26" x14ac:dyDescent="0.2">
      <c r="A147" s="1305" t="s">
        <v>1351</v>
      </c>
      <c r="B147" s="1315">
        <v>0</v>
      </c>
      <c r="C147" s="1315">
        <v>2.726</v>
      </c>
      <c r="D147" s="1315">
        <v>1.425</v>
      </c>
      <c r="E147" s="1315">
        <v>1.5580000000000001</v>
      </c>
      <c r="F147" s="1315">
        <v>9.3260000000000005</v>
      </c>
      <c r="G147" s="1315">
        <v>14.401</v>
      </c>
      <c r="H147" s="1315">
        <v>13.5</v>
      </c>
      <c r="I147" s="1315">
        <v>25.481999999999999</v>
      </c>
      <c r="J147" s="1315">
        <v>23.152999999999999</v>
      </c>
      <c r="K147" s="1315">
        <v>24.126000000000001</v>
      </c>
      <c r="L147" s="1315">
        <v>24.881</v>
      </c>
      <c r="M147" s="1315">
        <v>14.952999999999999</v>
      </c>
      <c r="N147" s="1315">
        <v>14.866</v>
      </c>
      <c r="O147" s="1315">
        <v>16.018999999999998</v>
      </c>
      <c r="P147" s="1315">
        <v>9.5399999999999991</v>
      </c>
      <c r="Q147" s="1315">
        <v>10.205</v>
      </c>
      <c r="R147" s="1315">
        <v>13.991</v>
      </c>
      <c r="S147" s="1315">
        <v>141.70500000000001</v>
      </c>
      <c r="T147" s="1315">
        <v>14.584</v>
      </c>
      <c r="U147" s="1315">
        <v>22.75</v>
      </c>
      <c r="V147" s="1315">
        <v>32.03</v>
      </c>
      <c r="W147" s="1315">
        <v>40.24</v>
      </c>
      <c r="X147" s="1315">
        <v>29.129000000000001</v>
      </c>
      <c r="Y147" s="1315">
        <v>30.51</v>
      </c>
      <c r="Z147" s="1315">
        <v>31.504000000000001</v>
      </c>
    </row>
    <row r="148" spans="1:26" ht="10.5" x14ac:dyDescent="0.2">
      <c r="A148" s="1314" t="s">
        <v>207</v>
      </c>
      <c r="B148" s="1318">
        <v>0</v>
      </c>
      <c r="C148" s="1318">
        <v>43.637999999999998</v>
      </c>
      <c r="D148" s="1318">
        <v>102.13200000000001</v>
      </c>
      <c r="E148" s="1318">
        <v>137.85</v>
      </c>
      <c r="F148" s="1318">
        <v>194.91</v>
      </c>
      <c r="G148" s="1318">
        <v>305.16000000000003</v>
      </c>
      <c r="H148" s="1318">
        <v>348.34199999999998</v>
      </c>
      <c r="I148" s="1318">
        <v>404.79</v>
      </c>
      <c r="J148" s="1318">
        <v>680.34299999999996</v>
      </c>
      <c r="K148" s="1318">
        <v>979.64200000000005</v>
      </c>
      <c r="L148" s="1318">
        <v>1378.204</v>
      </c>
      <c r="M148" s="1318">
        <v>1495.1010000000001</v>
      </c>
      <c r="N148" s="1318">
        <v>1281.548</v>
      </c>
      <c r="O148" s="1318">
        <v>1283.0050000000001</v>
      </c>
      <c r="P148" s="1318">
        <v>1449.8630000000001</v>
      </c>
      <c r="Q148" s="1318">
        <v>1860.412</v>
      </c>
      <c r="R148" s="1318">
        <v>3263.377</v>
      </c>
      <c r="S148" s="1318">
        <v>3601.451</v>
      </c>
      <c r="T148" s="1318">
        <v>3269.7060000000001</v>
      </c>
      <c r="U148" s="1318">
        <v>2868.3220000000001</v>
      </c>
      <c r="V148" s="1318">
        <v>2997.9470000000001</v>
      </c>
      <c r="W148" s="1318">
        <v>3092.9349999999999</v>
      </c>
      <c r="X148" s="1318">
        <v>2201.0639999999999</v>
      </c>
      <c r="Y148" s="1318">
        <v>2012.9059999999999</v>
      </c>
      <c r="Z148" s="1318">
        <v>1955.2429999999999</v>
      </c>
    </row>
    <row r="149" spans="1:26" x14ac:dyDescent="0.2">
      <c r="A149" s="1305"/>
      <c r="B149" s="1305"/>
      <c r="C149" s="1305"/>
      <c r="D149" s="1305"/>
      <c r="E149" s="1305"/>
      <c r="F149" s="1305"/>
      <c r="G149" s="1305"/>
      <c r="H149" s="1305"/>
      <c r="I149" s="1305"/>
      <c r="J149" s="1305"/>
      <c r="K149" s="1305"/>
      <c r="L149" s="1305"/>
      <c r="M149" s="1305"/>
      <c r="N149" s="1305"/>
      <c r="O149" s="1305"/>
      <c r="P149" s="1305"/>
      <c r="Q149" s="1305"/>
      <c r="R149" s="1305"/>
      <c r="S149" s="1305"/>
      <c r="T149" s="1305"/>
      <c r="U149" s="1305"/>
      <c r="V149" s="1305"/>
      <c r="W149" s="1305"/>
      <c r="X149" s="1305"/>
      <c r="Y149" s="1305"/>
      <c r="Z149" s="1305"/>
    </row>
    <row r="150" spans="1:26" ht="10.5" x14ac:dyDescent="0.2">
      <c r="A150" s="1314" t="s">
        <v>1352</v>
      </c>
      <c r="B150" s="1305"/>
      <c r="C150" s="1305"/>
      <c r="D150" s="1305"/>
      <c r="E150" s="1305"/>
      <c r="F150" s="1305"/>
      <c r="G150" s="1305"/>
      <c r="H150" s="1305"/>
      <c r="I150" s="1305"/>
      <c r="J150" s="1305"/>
      <c r="K150" s="1305"/>
      <c r="L150" s="1305"/>
      <c r="M150" s="1305"/>
      <c r="N150" s="1305"/>
      <c r="O150" s="1305"/>
      <c r="P150" s="1305"/>
      <c r="Q150" s="1305"/>
      <c r="R150" s="1305"/>
      <c r="S150" s="1305"/>
      <c r="T150" s="1305"/>
      <c r="U150" s="1305"/>
      <c r="V150" s="1305"/>
      <c r="W150" s="1305"/>
      <c r="X150" s="1305"/>
      <c r="Y150" s="1305"/>
      <c r="Z150" s="1305"/>
    </row>
    <row r="151" spans="1:26" x14ac:dyDescent="0.2">
      <c r="A151" s="1305" t="s">
        <v>812</v>
      </c>
      <c r="B151" s="1315">
        <v>0</v>
      </c>
      <c r="C151" s="1315">
        <v>5.3250000000000002</v>
      </c>
      <c r="D151" s="1315">
        <v>6.2610000000000001</v>
      </c>
      <c r="E151" s="1315">
        <v>7.742</v>
      </c>
      <c r="F151" s="1315">
        <v>7.7140000000000004</v>
      </c>
      <c r="G151" s="1315">
        <v>11.807</v>
      </c>
      <c r="H151" s="1315">
        <v>12.105</v>
      </c>
      <c r="I151" s="1315">
        <v>12.96</v>
      </c>
      <c r="J151" s="1315">
        <v>16.846</v>
      </c>
      <c r="K151" s="1315">
        <v>22.478000000000002</v>
      </c>
      <c r="L151" s="1315">
        <v>29.314</v>
      </c>
      <c r="M151" s="1315">
        <v>50.895000000000003</v>
      </c>
      <c r="N151" s="1315">
        <v>40.128999999999998</v>
      </c>
      <c r="O151" s="1315">
        <v>61.289000000000001</v>
      </c>
      <c r="P151" s="1315">
        <v>80.728999999999999</v>
      </c>
      <c r="Q151" s="1315">
        <v>46.588999999999999</v>
      </c>
      <c r="R151" s="1315">
        <v>66.927999999999997</v>
      </c>
      <c r="S151" s="1315">
        <v>90.83</v>
      </c>
      <c r="T151" s="1315">
        <v>69.551000000000002</v>
      </c>
      <c r="U151" s="1315">
        <v>74.872</v>
      </c>
      <c r="V151" s="1315">
        <v>73.123000000000005</v>
      </c>
      <c r="W151" s="1315">
        <v>63.906999999999996</v>
      </c>
      <c r="X151" s="1315">
        <v>64.099999999999994</v>
      </c>
      <c r="Y151" s="1315">
        <v>59.64</v>
      </c>
      <c r="Z151" s="1315">
        <v>63.36</v>
      </c>
    </row>
    <row r="152" spans="1:26" x14ac:dyDescent="0.2">
      <c r="A152" s="1305" t="s">
        <v>1353</v>
      </c>
      <c r="B152" s="1315">
        <v>0</v>
      </c>
      <c r="C152" s="1315">
        <v>6.84</v>
      </c>
      <c r="D152" s="1315">
        <v>9.9619999999999997</v>
      </c>
      <c r="E152" s="1315">
        <v>10.925000000000001</v>
      </c>
      <c r="F152" s="1315">
        <v>11.449</v>
      </c>
      <c r="G152" s="1315">
        <v>19.187999999999999</v>
      </c>
      <c r="H152" s="1315">
        <v>14.34</v>
      </c>
      <c r="I152" s="1315">
        <v>22.297000000000001</v>
      </c>
      <c r="J152" s="1315">
        <v>30.524000000000001</v>
      </c>
      <c r="K152" s="1315">
        <v>39.854999999999997</v>
      </c>
      <c r="L152" s="1315">
        <v>49.524999999999999</v>
      </c>
      <c r="M152" s="1315">
        <v>69.480999999999995</v>
      </c>
      <c r="N152" s="1315">
        <v>52.784999999999997</v>
      </c>
      <c r="O152" s="1315">
        <v>61.664999999999999</v>
      </c>
      <c r="P152" s="1315">
        <v>91.162999999999997</v>
      </c>
      <c r="Q152" s="1315">
        <v>108.542</v>
      </c>
      <c r="R152" s="1315">
        <v>176.631</v>
      </c>
      <c r="S152" s="1315">
        <v>187.637</v>
      </c>
      <c r="T152" s="1315">
        <v>358.09</v>
      </c>
      <c r="U152" s="1315">
        <v>233.649</v>
      </c>
      <c r="V152" s="1315">
        <v>223.477</v>
      </c>
      <c r="W152" s="1315">
        <v>219.66900000000001</v>
      </c>
      <c r="X152" s="1315">
        <v>176.71799999999999</v>
      </c>
      <c r="Y152" s="1315">
        <v>136.94900000000001</v>
      </c>
      <c r="Z152" s="1315">
        <v>116.661</v>
      </c>
    </row>
    <row r="153" spans="1:26" x14ac:dyDescent="0.2">
      <c r="A153" s="1305" t="s">
        <v>1354</v>
      </c>
      <c r="B153" s="1315">
        <v>0</v>
      </c>
      <c r="C153" s="1315">
        <v>0</v>
      </c>
      <c r="D153" s="1315">
        <v>0</v>
      </c>
      <c r="E153" s="1315">
        <v>0</v>
      </c>
      <c r="F153" s="1315">
        <v>0</v>
      </c>
      <c r="G153" s="1315">
        <v>0</v>
      </c>
      <c r="H153" s="1315">
        <v>0</v>
      </c>
      <c r="I153" s="1315">
        <v>0</v>
      </c>
      <c r="J153" s="1315">
        <v>0</v>
      </c>
      <c r="K153" s="1315">
        <v>0</v>
      </c>
      <c r="L153" s="1315">
        <v>0</v>
      </c>
      <c r="M153" s="1315">
        <v>0</v>
      </c>
      <c r="N153" s="1315">
        <v>0</v>
      </c>
      <c r="O153" s="1315">
        <v>0</v>
      </c>
      <c r="P153" s="1315">
        <v>0</v>
      </c>
      <c r="Q153" s="1315">
        <v>15.488</v>
      </c>
      <c r="R153" s="1315">
        <v>461.36500000000001</v>
      </c>
      <c r="S153" s="1315">
        <v>416.36099999999999</v>
      </c>
      <c r="T153" s="1315">
        <v>0</v>
      </c>
      <c r="U153" s="1315">
        <v>0</v>
      </c>
      <c r="V153" s="1315">
        <v>0</v>
      </c>
      <c r="W153" s="1315">
        <v>0</v>
      </c>
      <c r="X153" s="1315">
        <v>0</v>
      </c>
      <c r="Y153" s="1315">
        <v>0</v>
      </c>
      <c r="Z153" s="1315">
        <v>0</v>
      </c>
    </row>
    <row r="154" spans="1:26" x14ac:dyDescent="0.2">
      <c r="A154" s="1305" t="s">
        <v>1355</v>
      </c>
      <c r="B154" s="1315">
        <v>0</v>
      </c>
      <c r="C154" s="1315">
        <v>0</v>
      </c>
      <c r="D154" s="1315">
        <v>0</v>
      </c>
      <c r="E154" s="1315">
        <v>0</v>
      </c>
      <c r="F154" s="1315">
        <v>0</v>
      </c>
      <c r="G154" s="1315">
        <v>0</v>
      </c>
      <c r="H154" s="1315">
        <v>0</v>
      </c>
      <c r="I154" s="1315">
        <v>0</v>
      </c>
      <c r="J154" s="1315">
        <v>0</v>
      </c>
      <c r="K154" s="1315">
        <v>0</v>
      </c>
      <c r="L154" s="1315">
        <v>0</v>
      </c>
      <c r="M154" s="1315">
        <v>0</v>
      </c>
      <c r="N154" s="1315">
        <v>0</v>
      </c>
      <c r="O154" s="1315">
        <v>0</v>
      </c>
      <c r="P154" s="1315">
        <v>0</v>
      </c>
      <c r="Q154" s="1315">
        <v>0</v>
      </c>
      <c r="R154" s="1315">
        <v>0</v>
      </c>
      <c r="S154" s="1315">
        <v>5.1479999999999997</v>
      </c>
      <c r="T154" s="1315">
        <v>419.31799999999998</v>
      </c>
      <c r="U154" s="1315">
        <v>638.58799999999997</v>
      </c>
      <c r="V154" s="1315">
        <v>628.04999999999995</v>
      </c>
      <c r="W154" s="1315">
        <v>609.50599999999997</v>
      </c>
      <c r="X154" s="1315">
        <v>14.08</v>
      </c>
      <c r="Y154" s="1315">
        <v>55.609000000000002</v>
      </c>
      <c r="Z154" s="1315">
        <v>23.53</v>
      </c>
    </row>
    <row r="155" spans="1:26" x14ac:dyDescent="0.2">
      <c r="A155" s="1305" t="s">
        <v>1356</v>
      </c>
      <c r="B155" s="1315">
        <v>0</v>
      </c>
      <c r="C155" s="1315">
        <v>0.31</v>
      </c>
      <c r="D155" s="1315">
        <v>9.6000000000000002E-2</v>
      </c>
      <c r="E155" s="1315">
        <v>0.26100000000000001</v>
      </c>
      <c r="F155" s="1315">
        <v>0.253</v>
      </c>
      <c r="G155" s="1315">
        <v>1.0069999999999999</v>
      </c>
      <c r="H155" s="1315">
        <v>0.53500000000000003</v>
      </c>
      <c r="I155" s="1315">
        <v>0.36499999999999999</v>
      </c>
      <c r="J155" s="1315">
        <v>7.0960000000000001</v>
      </c>
      <c r="K155" s="1315">
        <v>7.9740000000000002</v>
      </c>
      <c r="L155" s="1315">
        <v>0</v>
      </c>
      <c r="M155" s="1315">
        <v>11.856</v>
      </c>
      <c r="N155" s="1315">
        <v>69.162999999999997</v>
      </c>
      <c r="O155" s="1315">
        <v>47.811999999999998</v>
      </c>
      <c r="P155" s="1315">
        <v>43.350999999999999</v>
      </c>
      <c r="Q155" s="1315">
        <v>6.1109999999999998</v>
      </c>
      <c r="R155" s="1315">
        <v>0</v>
      </c>
      <c r="S155" s="1315">
        <v>0</v>
      </c>
      <c r="T155" s="1315">
        <v>0</v>
      </c>
      <c r="U155" s="1315">
        <v>0</v>
      </c>
      <c r="V155" s="1315">
        <v>0</v>
      </c>
      <c r="W155" s="1315">
        <v>0</v>
      </c>
      <c r="X155" s="1315">
        <v>0</v>
      </c>
      <c r="Y155" s="1315">
        <v>0</v>
      </c>
      <c r="Z155" s="1315">
        <v>0</v>
      </c>
    </row>
    <row r="156" spans="1:26" x14ac:dyDescent="0.2">
      <c r="A156" s="1305" t="s">
        <v>1357</v>
      </c>
      <c r="B156" s="1315">
        <v>0</v>
      </c>
      <c r="C156" s="1315">
        <v>22.231999999999999</v>
      </c>
      <c r="D156" s="1315">
        <v>28.628</v>
      </c>
      <c r="E156" s="1315">
        <v>35.735999999999997</v>
      </c>
      <c r="F156" s="1315">
        <v>47.683</v>
      </c>
      <c r="G156" s="1315">
        <v>63.238999999999997</v>
      </c>
      <c r="H156" s="1315">
        <v>81.507000000000005</v>
      </c>
      <c r="I156" s="1315">
        <v>95.016999999999996</v>
      </c>
      <c r="J156" s="1315">
        <v>127.32599999999999</v>
      </c>
      <c r="K156" s="1315">
        <v>186.49700000000001</v>
      </c>
      <c r="L156" s="1315">
        <v>253.15299999999999</v>
      </c>
      <c r="M156" s="1315">
        <v>323.33199999999999</v>
      </c>
      <c r="N156" s="1315">
        <v>376.63900000000001</v>
      </c>
      <c r="O156" s="1315">
        <v>390.041</v>
      </c>
      <c r="P156" s="1315">
        <v>495.01100000000002</v>
      </c>
      <c r="Q156" s="1315">
        <v>644.48099999999999</v>
      </c>
      <c r="R156" s="1315">
        <v>824.68</v>
      </c>
      <c r="S156" s="1315">
        <v>852.96900000000005</v>
      </c>
      <c r="T156" s="1315">
        <v>717.48099999999999</v>
      </c>
      <c r="U156" s="1315">
        <v>616.69799999999998</v>
      </c>
      <c r="V156" s="1315">
        <v>522.43600000000004</v>
      </c>
      <c r="W156" s="1315">
        <v>506.38</v>
      </c>
      <c r="X156" s="1315">
        <v>432.42</v>
      </c>
      <c r="Y156" s="1315">
        <v>366.25200000000001</v>
      </c>
      <c r="Z156" s="1315">
        <v>379.81200000000001</v>
      </c>
    </row>
    <row r="157" spans="1:26" x14ac:dyDescent="0.2">
      <c r="A157" s="1305" t="s">
        <v>1358</v>
      </c>
      <c r="B157" s="1315">
        <v>0</v>
      </c>
      <c r="C157" s="1315">
        <v>0.183</v>
      </c>
      <c r="D157" s="1315">
        <v>0.11799999999999999</v>
      </c>
      <c r="E157" s="1315">
        <v>0.14000000000000001</v>
      </c>
      <c r="F157" s="1315">
        <v>0.29499999999999998</v>
      </c>
      <c r="G157" s="1315">
        <v>0.33300000000000002</v>
      </c>
      <c r="H157" s="1315">
        <v>0.3</v>
      </c>
      <c r="I157" s="1315">
        <v>0.45</v>
      </c>
      <c r="J157" s="1315">
        <v>0.40799999999999997</v>
      </c>
      <c r="K157" s="1315">
        <v>7.51</v>
      </c>
      <c r="L157" s="1315">
        <v>3.2309999999999999</v>
      </c>
      <c r="M157" s="1315">
        <v>14.218</v>
      </c>
      <c r="N157" s="1315">
        <v>28.029</v>
      </c>
      <c r="O157" s="1315">
        <v>34.948999999999998</v>
      </c>
      <c r="P157" s="1315">
        <v>33.581000000000003</v>
      </c>
      <c r="Q157" s="1315">
        <v>44.398000000000003</v>
      </c>
      <c r="R157" s="1315">
        <v>225.67400000000001</v>
      </c>
      <c r="S157" s="1315">
        <v>240.566</v>
      </c>
      <c r="T157" s="1315">
        <v>90.846999999999994</v>
      </c>
      <c r="U157" s="1315">
        <v>91.231999999999999</v>
      </c>
      <c r="V157" s="1315">
        <v>123.229</v>
      </c>
      <c r="W157" s="1315">
        <v>143.93799999999999</v>
      </c>
      <c r="X157" s="1315">
        <v>145.02600000000001</v>
      </c>
      <c r="Y157" s="1315">
        <v>97.027000000000001</v>
      </c>
      <c r="Z157" s="1315">
        <v>97.742999999999995</v>
      </c>
    </row>
    <row r="158" spans="1:26" ht="10.5" x14ac:dyDescent="0.2">
      <c r="A158" s="1314" t="s">
        <v>1359</v>
      </c>
      <c r="B158" s="1316">
        <v>0</v>
      </c>
      <c r="C158" s="1316">
        <v>34.89</v>
      </c>
      <c r="D158" s="1316">
        <v>45.064999999999998</v>
      </c>
      <c r="E158" s="1316">
        <v>54.804000000000002</v>
      </c>
      <c r="F158" s="1316">
        <v>67.394000000000005</v>
      </c>
      <c r="G158" s="1316">
        <v>95.573999999999998</v>
      </c>
      <c r="H158" s="1316">
        <v>108.78700000000001</v>
      </c>
      <c r="I158" s="1316">
        <v>131.089</v>
      </c>
      <c r="J158" s="1316">
        <v>182.2</v>
      </c>
      <c r="K158" s="1316">
        <v>264.31400000000002</v>
      </c>
      <c r="L158" s="1316">
        <v>335.22300000000001</v>
      </c>
      <c r="M158" s="1316">
        <v>469.78199999999998</v>
      </c>
      <c r="N158" s="1316">
        <v>566.745</v>
      </c>
      <c r="O158" s="1316">
        <v>595.75599999999997</v>
      </c>
      <c r="P158" s="1316">
        <v>743.83500000000004</v>
      </c>
      <c r="Q158" s="1316">
        <v>865.60900000000004</v>
      </c>
      <c r="R158" s="1316">
        <v>1755.278</v>
      </c>
      <c r="S158" s="1316">
        <v>1793.511</v>
      </c>
      <c r="T158" s="1316">
        <v>1655.287</v>
      </c>
      <c r="U158" s="1316">
        <v>1655.039</v>
      </c>
      <c r="V158" s="1316">
        <v>1570.3150000000001</v>
      </c>
      <c r="W158" s="1316">
        <v>1543.4</v>
      </c>
      <c r="X158" s="1316">
        <v>832.34400000000005</v>
      </c>
      <c r="Y158" s="1316">
        <v>715.47699999999998</v>
      </c>
      <c r="Z158" s="1316">
        <v>681.10599999999999</v>
      </c>
    </row>
    <row r="159" spans="1:26" x14ac:dyDescent="0.2">
      <c r="A159" s="1305"/>
      <c r="B159" s="1305"/>
      <c r="C159" s="1305"/>
      <c r="D159" s="1305"/>
      <c r="E159" s="1305"/>
      <c r="F159" s="1305"/>
      <c r="G159" s="1305"/>
      <c r="H159" s="1305"/>
      <c r="I159" s="1305"/>
      <c r="J159" s="1305"/>
      <c r="K159" s="1305"/>
      <c r="L159" s="1305"/>
      <c r="M159" s="1305"/>
      <c r="N159" s="1305"/>
      <c r="O159" s="1305"/>
      <c r="P159" s="1305"/>
      <c r="Q159" s="1305"/>
      <c r="R159" s="1305"/>
      <c r="S159" s="1305"/>
      <c r="T159" s="1305"/>
      <c r="U159" s="1305"/>
      <c r="V159" s="1305"/>
      <c r="W159" s="1305"/>
      <c r="X159" s="1305"/>
      <c r="Y159" s="1305"/>
      <c r="Z159" s="1305"/>
    </row>
    <row r="160" spans="1:26" x14ac:dyDescent="0.2">
      <c r="A160" s="1305" t="s">
        <v>820</v>
      </c>
      <c r="B160" s="1315">
        <v>0</v>
      </c>
      <c r="C160" s="1315">
        <v>0</v>
      </c>
      <c r="D160" s="1315">
        <v>0</v>
      </c>
      <c r="E160" s="1315">
        <v>0</v>
      </c>
      <c r="F160" s="1315">
        <v>0</v>
      </c>
      <c r="G160" s="1315">
        <v>0</v>
      </c>
      <c r="H160" s="1315">
        <v>0</v>
      </c>
      <c r="I160" s="1315">
        <v>0</v>
      </c>
      <c r="J160" s="1315">
        <v>0</v>
      </c>
      <c r="K160" s="1315">
        <v>0</v>
      </c>
      <c r="L160" s="1315">
        <v>0</v>
      </c>
      <c r="M160" s="1315">
        <v>0</v>
      </c>
      <c r="N160" s="1315">
        <v>0</v>
      </c>
      <c r="O160" s="1315">
        <v>0</v>
      </c>
      <c r="P160" s="1315">
        <v>0</v>
      </c>
      <c r="Q160" s="1315">
        <v>15.428000000000001</v>
      </c>
      <c r="R160" s="1315">
        <v>127.70099999999999</v>
      </c>
      <c r="S160" s="1315">
        <v>168.03899999999999</v>
      </c>
      <c r="T160" s="1315">
        <v>179.691</v>
      </c>
      <c r="U160" s="1315">
        <v>81.322999999999993</v>
      </c>
      <c r="V160" s="1315">
        <v>64.004000000000005</v>
      </c>
      <c r="W160" s="1315">
        <v>47.59</v>
      </c>
      <c r="X160" s="1315">
        <v>31.565999999999999</v>
      </c>
      <c r="Y160" s="1315">
        <v>35.186</v>
      </c>
      <c r="Z160" s="1315">
        <v>33.250999999999998</v>
      </c>
    </row>
    <row r="161" spans="1:26" x14ac:dyDescent="0.2">
      <c r="A161" s="1305" t="s">
        <v>1360</v>
      </c>
      <c r="B161" s="1315">
        <v>0</v>
      </c>
      <c r="C161" s="1315">
        <v>0</v>
      </c>
      <c r="D161" s="1315">
        <v>0</v>
      </c>
      <c r="E161" s="1315">
        <v>0</v>
      </c>
      <c r="F161" s="1315">
        <v>0</v>
      </c>
      <c r="G161" s="1315">
        <v>4.5919999999999996</v>
      </c>
      <c r="H161" s="1315">
        <v>2.1389999999999998</v>
      </c>
      <c r="I161" s="1315">
        <v>1.2949999999999999</v>
      </c>
      <c r="J161" s="1315">
        <v>1.409</v>
      </c>
      <c r="K161" s="1315">
        <v>0.82699999999999996</v>
      </c>
      <c r="L161" s="1315">
        <v>0.94199999999999995</v>
      </c>
      <c r="M161" s="1315">
        <v>0.52800000000000002</v>
      </c>
      <c r="N161" s="1315">
        <v>0.35099999999999998</v>
      </c>
      <c r="O161" s="1315">
        <v>0.38400000000000001</v>
      </c>
      <c r="P161" s="1315">
        <v>0.29499999999999998</v>
      </c>
      <c r="Q161" s="1315">
        <v>0</v>
      </c>
      <c r="R161" s="1315">
        <v>0</v>
      </c>
      <c r="S161" s="1315">
        <v>0</v>
      </c>
      <c r="T161" s="1315">
        <v>28.49</v>
      </c>
      <c r="U161" s="1315">
        <v>25.692</v>
      </c>
      <c r="V161" s="1315">
        <v>43.973999999999997</v>
      </c>
      <c r="W161" s="1315">
        <v>73.471999999999994</v>
      </c>
      <c r="X161" s="1315">
        <v>36.854999999999997</v>
      </c>
      <c r="Y161" s="1315">
        <v>49.832000000000001</v>
      </c>
      <c r="Z161" s="1315">
        <v>47.128</v>
      </c>
    </row>
    <row r="162" spans="1:26" x14ac:dyDescent="0.2">
      <c r="A162" s="1305" t="s">
        <v>1361</v>
      </c>
      <c r="B162" s="1315">
        <v>0</v>
      </c>
      <c r="C162" s="1315">
        <v>0</v>
      </c>
      <c r="D162" s="1315">
        <v>0.51400000000000001</v>
      </c>
      <c r="E162" s="1315">
        <v>0.65900000000000003</v>
      </c>
      <c r="F162" s="1315">
        <v>0.70499999999999996</v>
      </c>
      <c r="G162" s="1315">
        <v>1.4359999999999999</v>
      </c>
      <c r="H162" s="1315">
        <v>2.0739999999999998</v>
      </c>
      <c r="I162" s="1315">
        <v>1.2250000000000001</v>
      </c>
      <c r="J162" s="1315">
        <v>0</v>
      </c>
      <c r="K162" s="1315">
        <v>0</v>
      </c>
      <c r="L162" s="1315">
        <v>0</v>
      </c>
      <c r="M162" s="1315">
        <v>0</v>
      </c>
      <c r="N162" s="1315">
        <v>0</v>
      </c>
      <c r="O162" s="1315">
        <v>0</v>
      </c>
      <c r="P162" s="1315">
        <v>0</v>
      </c>
      <c r="Q162" s="1315">
        <v>2.7429999999999999</v>
      </c>
      <c r="R162" s="1315">
        <v>55.636000000000003</v>
      </c>
      <c r="S162" s="1315">
        <v>38.875</v>
      </c>
      <c r="T162" s="1315">
        <v>26.4</v>
      </c>
      <c r="U162" s="1315">
        <v>15.881</v>
      </c>
      <c r="V162" s="1315">
        <v>12.177</v>
      </c>
      <c r="W162" s="1315">
        <v>22.673999999999999</v>
      </c>
      <c r="X162" s="1315">
        <v>7.7290000000000001</v>
      </c>
      <c r="Y162" s="1315">
        <v>16.323</v>
      </c>
      <c r="Z162" s="1315">
        <v>15.478999999999999</v>
      </c>
    </row>
    <row r="163" spans="1:26" x14ac:dyDescent="0.2">
      <c r="A163" s="1305" t="s">
        <v>1362</v>
      </c>
      <c r="B163" s="1315">
        <v>0</v>
      </c>
      <c r="C163" s="1315">
        <v>1.347</v>
      </c>
      <c r="D163" s="1315">
        <v>1.2010000000000001</v>
      </c>
      <c r="E163" s="1315">
        <v>1.7729999999999999</v>
      </c>
      <c r="F163" s="1315">
        <v>2.4940000000000002</v>
      </c>
      <c r="G163" s="1315">
        <v>3.75</v>
      </c>
      <c r="H163" s="1315">
        <v>4.2220000000000004</v>
      </c>
      <c r="I163" s="1315">
        <v>9.9730000000000008</v>
      </c>
      <c r="J163" s="1315">
        <v>14.849</v>
      </c>
      <c r="K163" s="1315">
        <v>15.507999999999999</v>
      </c>
      <c r="L163" s="1315">
        <v>15.114000000000001</v>
      </c>
      <c r="M163" s="1315">
        <v>67.650000000000006</v>
      </c>
      <c r="N163" s="1315">
        <v>80.231999999999999</v>
      </c>
      <c r="O163" s="1315">
        <v>82.492000000000004</v>
      </c>
      <c r="P163" s="1315">
        <v>71.893000000000001</v>
      </c>
      <c r="Q163" s="1315">
        <v>130.46700000000001</v>
      </c>
      <c r="R163" s="1315">
        <v>100.149</v>
      </c>
      <c r="S163" s="1315">
        <v>212.286</v>
      </c>
      <c r="T163" s="1315">
        <v>135.84899999999999</v>
      </c>
      <c r="U163" s="1315">
        <v>166.06399999999999</v>
      </c>
      <c r="V163" s="1315">
        <v>189.46799999999999</v>
      </c>
      <c r="W163" s="1315">
        <v>160.47</v>
      </c>
      <c r="X163" s="1315">
        <v>135.59700000000001</v>
      </c>
      <c r="Y163" s="1315">
        <v>119.494</v>
      </c>
      <c r="Z163" s="1315">
        <v>109.36</v>
      </c>
    </row>
    <row r="164" spans="1:26" ht="10.5" x14ac:dyDescent="0.2">
      <c r="A164" s="1314" t="s">
        <v>218</v>
      </c>
      <c r="B164" s="1316">
        <v>0</v>
      </c>
      <c r="C164" s="1316">
        <v>36.237000000000002</v>
      </c>
      <c r="D164" s="1316">
        <v>46.78</v>
      </c>
      <c r="E164" s="1316">
        <v>57.235999999999997</v>
      </c>
      <c r="F164" s="1316">
        <v>70.593000000000004</v>
      </c>
      <c r="G164" s="1316">
        <v>105.352</v>
      </c>
      <c r="H164" s="1316">
        <v>117.22199999999999</v>
      </c>
      <c r="I164" s="1316">
        <v>143.58199999999999</v>
      </c>
      <c r="J164" s="1316">
        <v>198.458</v>
      </c>
      <c r="K164" s="1316">
        <v>280.649</v>
      </c>
      <c r="L164" s="1316">
        <v>351.279</v>
      </c>
      <c r="M164" s="1316">
        <v>537.96</v>
      </c>
      <c r="N164" s="1316">
        <v>647.32799999999997</v>
      </c>
      <c r="O164" s="1316">
        <v>678.63199999999995</v>
      </c>
      <c r="P164" s="1316">
        <v>816.02300000000002</v>
      </c>
      <c r="Q164" s="1316">
        <v>1014.247</v>
      </c>
      <c r="R164" s="1316">
        <v>2038.7639999999999</v>
      </c>
      <c r="S164" s="1316">
        <v>2212.7109999999998</v>
      </c>
      <c r="T164" s="1316">
        <v>2025.7170000000001</v>
      </c>
      <c r="U164" s="1316">
        <v>1943.999</v>
      </c>
      <c r="V164" s="1316">
        <v>1879.9380000000001</v>
      </c>
      <c r="W164" s="1316">
        <v>1847.606</v>
      </c>
      <c r="X164" s="1316">
        <v>1044.0909999999999</v>
      </c>
      <c r="Y164" s="1316">
        <v>936.31200000000001</v>
      </c>
      <c r="Z164" s="1316">
        <v>886.32399999999996</v>
      </c>
    </row>
    <row r="165" spans="1:26" x14ac:dyDescent="0.2">
      <c r="A165" s="1305"/>
      <c r="B165" s="1305"/>
      <c r="C165" s="1305"/>
      <c r="D165" s="1305"/>
      <c r="E165" s="1305"/>
      <c r="F165" s="1305"/>
      <c r="G165" s="1305"/>
      <c r="H165" s="1305"/>
      <c r="I165" s="1305"/>
      <c r="J165" s="1305"/>
      <c r="K165" s="1305"/>
      <c r="L165" s="1305"/>
      <c r="M165" s="1305"/>
      <c r="N165" s="1305"/>
      <c r="O165" s="1305"/>
      <c r="P165" s="1305"/>
      <c r="Q165" s="1305"/>
      <c r="R165" s="1305"/>
      <c r="S165" s="1305"/>
      <c r="T165" s="1305"/>
      <c r="U165" s="1305"/>
      <c r="V165" s="1305"/>
      <c r="W165" s="1305"/>
      <c r="X165" s="1305"/>
      <c r="Y165" s="1305"/>
      <c r="Z165" s="1305"/>
    </row>
    <row r="166" spans="1:26" x14ac:dyDescent="0.2">
      <c r="A166" s="1305" t="s">
        <v>220</v>
      </c>
      <c r="B166" s="1315">
        <v>0</v>
      </c>
      <c r="C166" s="1315">
        <v>0.01</v>
      </c>
      <c r="D166" s="1315">
        <v>1.9E-2</v>
      </c>
      <c r="E166" s="1315">
        <v>6.6000000000000003E-2</v>
      </c>
      <c r="F166" s="1315">
        <v>6.7000000000000004E-2</v>
      </c>
      <c r="G166" s="1315">
        <v>0.10199999999999999</v>
      </c>
      <c r="H166" s="1315">
        <v>0.10299999999999999</v>
      </c>
      <c r="I166" s="1315">
        <v>0.104</v>
      </c>
      <c r="J166" s="1315">
        <v>0.104</v>
      </c>
      <c r="K166" s="1315">
        <v>0.104</v>
      </c>
      <c r="L166" s="1315">
        <v>0.104</v>
      </c>
      <c r="M166" s="1315">
        <v>0.104</v>
      </c>
      <c r="N166" s="1315">
        <v>0.104</v>
      </c>
      <c r="O166" s="1315">
        <v>0.104</v>
      </c>
      <c r="P166" s="1315">
        <v>0.104</v>
      </c>
      <c r="Q166" s="1315">
        <v>0.104</v>
      </c>
      <c r="R166" s="1315">
        <v>0.104</v>
      </c>
      <c r="S166" s="1315">
        <v>0.104</v>
      </c>
      <c r="T166" s="1315">
        <v>0.104</v>
      </c>
      <c r="U166" s="1315">
        <v>0.104</v>
      </c>
      <c r="V166" s="1315">
        <v>0.104</v>
      </c>
      <c r="W166" s="1315">
        <v>0.104</v>
      </c>
      <c r="X166" s="1315">
        <v>0.104</v>
      </c>
      <c r="Y166" s="1315">
        <v>0.104</v>
      </c>
      <c r="Z166" s="1315">
        <v>0.104</v>
      </c>
    </row>
    <row r="167" spans="1:26" x14ac:dyDescent="0.2">
      <c r="A167" s="1305" t="s">
        <v>1363</v>
      </c>
      <c r="B167" s="1315">
        <v>0</v>
      </c>
      <c r="C167" s="1315">
        <v>1.982</v>
      </c>
      <c r="D167" s="1315">
        <v>37.378</v>
      </c>
      <c r="E167" s="1315">
        <v>41.201000000000001</v>
      </c>
      <c r="F167" s="1315">
        <v>51.521000000000001</v>
      </c>
      <c r="G167" s="1315">
        <v>80.677000000000007</v>
      </c>
      <c r="H167" s="1315">
        <v>99.19</v>
      </c>
      <c r="I167" s="1315">
        <v>95.259</v>
      </c>
      <c r="J167" s="1315">
        <v>185.42400000000001</v>
      </c>
      <c r="K167" s="1315">
        <v>227.155</v>
      </c>
      <c r="L167" s="1315">
        <v>293.64999999999998</v>
      </c>
      <c r="M167" s="1315">
        <v>28.786999999999999</v>
      </c>
      <c r="N167" s="1315">
        <v>0</v>
      </c>
      <c r="O167" s="1315">
        <v>0</v>
      </c>
      <c r="P167" s="1315">
        <v>0</v>
      </c>
      <c r="Q167" s="1315">
        <v>0</v>
      </c>
      <c r="R167" s="1315">
        <v>1.139</v>
      </c>
      <c r="S167" s="1315">
        <v>46.865000000000002</v>
      </c>
      <c r="T167" s="1315">
        <v>68.724000000000004</v>
      </c>
      <c r="U167" s="1315">
        <v>93.77</v>
      </c>
      <c r="V167" s="1315">
        <v>0</v>
      </c>
      <c r="W167" s="1315">
        <v>0</v>
      </c>
      <c r="X167" s="1315">
        <v>0</v>
      </c>
      <c r="Y167" s="1315">
        <v>0</v>
      </c>
      <c r="Z167" s="1315">
        <v>0</v>
      </c>
    </row>
    <row r="168" spans="1:26" x14ac:dyDescent="0.2">
      <c r="A168" s="1305" t="s">
        <v>827</v>
      </c>
      <c r="B168" s="1315">
        <v>0</v>
      </c>
      <c r="C168" s="1315">
        <v>5.4089999999999998</v>
      </c>
      <c r="D168" s="1315">
        <v>17.954999999999998</v>
      </c>
      <c r="E168" s="1315">
        <v>39.347000000000001</v>
      </c>
      <c r="F168" s="1315">
        <v>72.728999999999999</v>
      </c>
      <c r="G168" s="1315">
        <v>119.023</v>
      </c>
      <c r="H168" s="1315">
        <v>178.02799999999999</v>
      </c>
      <c r="I168" s="1315">
        <v>249.21899999999999</v>
      </c>
      <c r="J168" s="1315">
        <v>357.036</v>
      </c>
      <c r="K168" s="1315">
        <v>518.18600000000004</v>
      </c>
      <c r="L168" s="1315">
        <v>765.19600000000003</v>
      </c>
      <c r="M168" s="1315">
        <v>928.81500000000005</v>
      </c>
      <c r="N168" s="1315">
        <v>1280.9960000000001</v>
      </c>
      <c r="O168" s="1315">
        <v>1659.3489999999999</v>
      </c>
      <c r="P168" s="1315">
        <v>2096.3850000000002</v>
      </c>
      <c r="Q168" s="1315">
        <v>2595.34</v>
      </c>
      <c r="R168" s="1315">
        <v>3195.0430000000001</v>
      </c>
      <c r="S168" s="1315">
        <v>3748.0450000000001</v>
      </c>
      <c r="T168" s="1315">
        <v>4320.4719999999998</v>
      </c>
      <c r="U168" s="1315">
        <v>4743.1499999999996</v>
      </c>
      <c r="V168" s="1315">
        <v>4978.8149999999996</v>
      </c>
      <c r="W168" s="1315">
        <v>5143.9489999999996</v>
      </c>
      <c r="X168" s="1315">
        <v>5153.4520000000002</v>
      </c>
      <c r="Y168" s="1315">
        <v>5024.5280000000002</v>
      </c>
      <c r="Z168" s="1315">
        <v>5018.6130000000003</v>
      </c>
    </row>
    <row r="169" spans="1:26" x14ac:dyDescent="0.2">
      <c r="A169" s="1305" t="s">
        <v>222</v>
      </c>
      <c r="B169" s="1315">
        <v>0</v>
      </c>
      <c r="C169" s="1315">
        <v>0</v>
      </c>
      <c r="D169" s="1315">
        <v>0</v>
      </c>
      <c r="E169" s="1315">
        <v>0</v>
      </c>
      <c r="F169" s="1315">
        <v>0</v>
      </c>
      <c r="G169" s="1315">
        <v>0</v>
      </c>
      <c r="H169" s="1315">
        <v>-46.2</v>
      </c>
      <c r="I169" s="1315">
        <v>-83.4</v>
      </c>
      <c r="J169" s="1315">
        <v>-60.8</v>
      </c>
      <c r="K169" s="1315">
        <v>-46.6</v>
      </c>
      <c r="L169" s="1315">
        <v>-31.7</v>
      </c>
      <c r="M169" s="1315">
        <v>0</v>
      </c>
      <c r="N169" s="1315">
        <v>-645.70000000000005</v>
      </c>
      <c r="O169" s="1315">
        <v>-1054</v>
      </c>
      <c r="P169" s="1315">
        <v>-1461.4</v>
      </c>
      <c r="Q169" s="1315">
        <v>-1757.3</v>
      </c>
      <c r="R169" s="1315">
        <v>-2022.6</v>
      </c>
      <c r="S169" s="1315">
        <v>-2407.8000000000002</v>
      </c>
      <c r="T169" s="1315">
        <v>-3125.2</v>
      </c>
      <c r="U169" s="1315">
        <v>-3878.6</v>
      </c>
      <c r="V169" s="1315">
        <v>-3824.8</v>
      </c>
      <c r="W169" s="1315">
        <v>-3936.6</v>
      </c>
      <c r="X169" s="1315">
        <v>-3928.4</v>
      </c>
      <c r="Y169" s="1315">
        <v>-3868.3</v>
      </c>
      <c r="Z169" s="1315">
        <v>-3857.8</v>
      </c>
    </row>
    <row r="170" spans="1:26" x14ac:dyDescent="0.2">
      <c r="A170" s="1305" t="s">
        <v>1364</v>
      </c>
      <c r="B170" s="1315">
        <v>0</v>
      </c>
      <c r="C170" s="1315">
        <v>0</v>
      </c>
      <c r="D170" s="1315">
        <v>0</v>
      </c>
      <c r="E170" s="1315">
        <v>0</v>
      </c>
      <c r="F170" s="1315">
        <v>0</v>
      </c>
      <c r="G170" s="1315">
        <v>6.0000000000000001E-3</v>
      </c>
      <c r="H170" s="1315">
        <v>0</v>
      </c>
      <c r="I170" s="1315">
        <v>0</v>
      </c>
      <c r="J170" s="1315">
        <v>8.2000000000000003E-2</v>
      </c>
      <c r="K170" s="1315">
        <v>0.10299999999999999</v>
      </c>
      <c r="L170" s="1315">
        <v>-0.3</v>
      </c>
      <c r="M170" s="1315">
        <v>-0.6</v>
      </c>
      <c r="N170" s="1315">
        <v>-1.1000000000000001</v>
      </c>
      <c r="O170" s="1315">
        <v>-1</v>
      </c>
      <c r="P170" s="1315">
        <v>-1.3</v>
      </c>
      <c r="Q170" s="1315">
        <v>-4</v>
      </c>
      <c r="R170" s="1315">
        <v>-13.7</v>
      </c>
      <c r="S170" s="1315">
        <v>-31.2</v>
      </c>
      <c r="T170" s="1315">
        <v>-23.8</v>
      </c>
      <c r="U170" s="1315">
        <v>-30</v>
      </c>
      <c r="V170" s="1315">
        <v>-36.6</v>
      </c>
      <c r="W170" s="1315">
        <v>-27.3</v>
      </c>
      <c r="X170" s="1315">
        <v>-80.599999999999994</v>
      </c>
      <c r="Y170" s="1315">
        <v>-86</v>
      </c>
      <c r="Z170" s="1315">
        <v>-97.9</v>
      </c>
    </row>
    <row r="171" spans="1:26" ht="10.5" x14ac:dyDescent="0.2">
      <c r="A171" s="1314" t="s">
        <v>1365</v>
      </c>
      <c r="B171" s="1316">
        <v>0</v>
      </c>
      <c r="C171" s="1316">
        <v>7.4009999999999998</v>
      </c>
      <c r="D171" s="1316">
        <v>55.351999999999997</v>
      </c>
      <c r="E171" s="1316">
        <v>80.614000000000004</v>
      </c>
      <c r="F171" s="1316">
        <v>124.31699999999999</v>
      </c>
      <c r="G171" s="1316">
        <v>199.80799999999999</v>
      </c>
      <c r="H171" s="1316">
        <v>231.12</v>
      </c>
      <c r="I171" s="1316">
        <v>261.20800000000003</v>
      </c>
      <c r="J171" s="1316">
        <v>481.88499999999999</v>
      </c>
      <c r="K171" s="1316">
        <v>698.99300000000005</v>
      </c>
      <c r="L171" s="1316">
        <v>1026.925</v>
      </c>
      <c r="M171" s="1316">
        <v>957.14099999999996</v>
      </c>
      <c r="N171" s="1316">
        <v>634.22</v>
      </c>
      <c r="O171" s="1316">
        <v>604.37300000000005</v>
      </c>
      <c r="P171" s="1316">
        <v>633.84</v>
      </c>
      <c r="Q171" s="1316">
        <v>834.20899999999995</v>
      </c>
      <c r="R171" s="1316">
        <v>1159.923</v>
      </c>
      <c r="S171" s="1316">
        <v>1356.05</v>
      </c>
      <c r="T171" s="1316">
        <v>1240.364</v>
      </c>
      <c r="U171" s="1316">
        <v>928.37800000000004</v>
      </c>
      <c r="V171" s="1316">
        <v>1117.598</v>
      </c>
      <c r="W171" s="1316">
        <v>1180.126</v>
      </c>
      <c r="X171" s="1316">
        <v>1144.558</v>
      </c>
      <c r="Y171" s="1316">
        <v>1070.3340000000001</v>
      </c>
      <c r="Z171" s="1316">
        <v>1062.9390000000001</v>
      </c>
    </row>
    <row r="172" spans="1:26" x14ac:dyDescent="0.2">
      <c r="A172" s="1305"/>
      <c r="B172" s="1305"/>
      <c r="C172" s="1305"/>
      <c r="D172" s="1305"/>
      <c r="E172" s="1305"/>
      <c r="F172" s="1305"/>
      <c r="G172" s="1305"/>
      <c r="H172" s="1305"/>
      <c r="I172" s="1305"/>
      <c r="J172" s="1305"/>
      <c r="K172" s="1305"/>
      <c r="L172" s="1305"/>
      <c r="M172" s="1305"/>
      <c r="N172" s="1305"/>
      <c r="O172" s="1305"/>
      <c r="P172" s="1305"/>
      <c r="Q172" s="1305"/>
      <c r="R172" s="1305"/>
      <c r="S172" s="1305"/>
      <c r="T172" s="1305"/>
      <c r="U172" s="1305"/>
      <c r="V172" s="1305"/>
      <c r="W172" s="1305"/>
      <c r="X172" s="1305"/>
      <c r="Y172" s="1305"/>
      <c r="Z172" s="1305"/>
    </row>
    <row r="173" spans="1:26" x14ac:dyDescent="0.2">
      <c r="A173" s="1305" t="s">
        <v>1366</v>
      </c>
      <c r="B173" s="1315">
        <v>0</v>
      </c>
      <c r="C173" s="1315">
        <v>0</v>
      </c>
      <c r="D173" s="1315">
        <v>0</v>
      </c>
      <c r="E173" s="1315">
        <v>0</v>
      </c>
      <c r="F173" s="1315">
        <v>0</v>
      </c>
      <c r="G173" s="1315">
        <v>0</v>
      </c>
      <c r="H173" s="1315">
        <v>0</v>
      </c>
      <c r="I173" s="1315">
        <v>0</v>
      </c>
      <c r="J173" s="1315">
        <v>0</v>
      </c>
      <c r="K173" s="1315">
        <v>0</v>
      </c>
      <c r="L173" s="1315">
        <v>0</v>
      </c>
      <c r="M173" s="1315">
        <v>0</v>
      </c>
      <c r="N173" s="1315">
        <v>0</v>
      </c>
      <c r="O173" s="1315">
        <v>0</v>
      </c>
      <c r="P173" s="1315">
        <v>0</v>
      </c>
      <c r="Q173" s="1315">
        <v>11.956</v>
      </c>
      <c r="R173" s="1315">
        <v>64.69</v>
      </c>
      <c r="S173" s="1315">
        <v>32.69</v>
      </c>
      <c r="T173" s="1315">
        <v>3.625</v>
      </c>
      <c r="U173" s="1315">
        <v>-4.0999999999999996</v>
      </c>
      <c r="V173" s="1315">
        <v>0.41099999999999998</v>
      </c>
      <c r="W173" s="1315">
        <v>65.203000000000003</v>
      </c>
      <c r="X173" s="1315">
        <v>12.414999999999999</v>
      </c>
      <c r="Y173" s="1315">
        <v>6.26</v>
      </c>
      <c r="Z173" s="1315">
        <v>5.98</v>
      </c>
    </row>
    <row r="174" spans="1:26" x14ac:dyDescent="0.2">
      <c r="A174" s="1305"/>
      <c r="B174" s="1305"/>
      <c r="C174" s="1305"/>
      <c r="D174" s="1305"/>
      <c r="E174" s="1305"/>
      <c r="F174" s="1305"/>
      <c r="G174" s="1305"/>
      <c r="H174" s="1305"/>
      <c r="I174" s="1305"/>
      <c r="J174" s="1305"/>
      <c r="K174" s="1305"/>
      <c r="L174" s="1305"/>
      <c r="M174" s="1305"/>
      <c r="N174" s="1305"/>
      <c r="O174" s="1305"/>
      <c r="P174" s="1305"/>
      <c r="Q174" s="1305"/>
      <c r="R174" s="1305"/>
      <c r="S174" s="1305"/>
      <c r="T174" s="1305"/>
      <c r="U174" s="1305"/>
      <c r="V174" s="1305"/>
      <c r="W174" s="1305"/>
      <c r="X174" s="1305"/>
      <c r="Y174" s="1305"/>
      <c r="Z174" s="1305"/>
    </row>
    <row r="175" spans="1:26" ht="10.5" x14ac:dyDescent="0.2">
      <c r="A175" s="1314" t="s">
        <v>1367</v>
      </c>
      <c r="B175" s="1325">
        <v>0</v>
      </c>
      <c r="C175" s="1325">
        <v>7.4009999999999998</v>
      </c>
      <c r="D175" s="1325">
        <v>55.351999999999997</v>
      </c>
      <c r="E175" s="1325">
        <v>80.614000000000004</v>
      </c>
      <c r="F175" s="1325">
        <v>124.31699999999999</v>
      </c>
      <c r="G175" s="1325">
        <v>199.80799999999999</v>
      </c>
      <c r="H175" s="1325">
        <v>231.12</v>
      </c>
      <c r="I175" s="1325">
        <v>261.20800000000003</v>
      </c>
      <c r="J175" s="1325">
        <v>481.88499999999999</v>
      </c>
      <c r="K175" s="1325">
        <v>698.99300000000005</v>
      </c>
      <c r="L175" s="1325">
        <v>1026.925</v>
      </c>
      <c r="M175" s="1325">
        <v>957.14099999999996</v>
      </c>
      <c r="N175" s="1325">
        <v>634.22</v>
      </c>
      <c r="O175" s="1325">
        <v>604.37300000000005</v>
      </c>
      <c r="P175" s="1325">
        <v>633.84</v>
      </c>
      <c r="Q175" s="1325">
        <v>846.16499999999996</v>
      </c>
      <c r="R175" s="1325">
        <v>1224.6130000000001</v>
      </c>
      <c r="S175" s="1325">
        <v>1388.74</v>
      </c>
      <c r="T175" s="1325">
        <v>1243.989</v>
      </c>
      <c r="U175" s="1325">
        <v>924.32299999999998</v>
      </c>
      <c r="V175" s="1325">
        <v>1118.009</v>
      </c>
      <c r="W175" s="1325">
        <v>1245.329</v>
      </c>
      <c r="X175" s="1325">
        <v>1156.973</v>
      </c>
      <c r="Y175" s="1325">
        <v>1076.5940000000001</v>
      </c>
      <c r="Z175" s="1325">
        <v>1068.9190000000001</v>
      </c>
    </row>
    <row r="176" spans="1:26" x14ac:dyDescent="0.2">
      <c r="A176" s="1305"/>
      <c r="B176" s="1305"/>
      <c r="C176" s="1305"/>
      <c r="D176" s="1305"/>
      <c r="E176" s="1305"/>
      <c r="F176" s="1305"/>
      <c r="G176" s="1305"/>
      <c r="H176" s="1305"/>
      <c r="I176" s="1305"/>
      <c r="J176" s="1305"/>
      <c r="K176" s="1305"/>
      <c r="L176" s="1305"/>
      <c r="M176" s="1305"/>
      <c r="N176" s="1305"/>
      <c r="O176" s="1305"/>
      <c r="P176" s="1305"/>
      <c r="Q176" s="1305"/>
      <c r="R176" s="1305"/>
      <c r="S176" s="1305"/>
      <c r="T176" s="1305"/>
      <c r="U176" s="1305"/>
      <c r="V176" s="1305"/>
      <c r="W176" s="1305"/>
      <c r="X176" s="1305"/>
      <c r="Y176" s="1305"/>
      <c r="Z176" s="1305"/>
    </row>
    <row r="177" spans="1:26" ht="10.5" x14ac:dyDescent="0.2">
      <c r="A177" s="1314" t="s">
        <v>1368</v>
      </c>
      <c r="B177" s="1326">
        <v>0</v>
      </c>
      <c r="C177" s="1326">
        <v>43.637999999999998</v>
      </c>
      <c r="D177" s="1326">
        <v>102.13200000000001</v>
      </c>
      <c r="E177" s="1326">
        <v>137.85</v>
      </c>
      <c r="F177" s="1326">
        <v>194.91</v>
      </c>
      <c r="G177" s="1326">
        <v>305.16000000000003</v>
      </c>
      <c r="H177" s="1326">
        <v>348.34199999999998</v>
      </c>
      <c r="I177" s="1326">
        <v>404.79</v>
      </c>
      <c r="J177" s="1326">
        <v>680.34299999999996</v>
      </c>
      <c r="K177" s="1326">
        <v>979.64200000000005</v>
      </c>
      <c r="L177" s="1326">
        <v>1378.204</v>
      </c>
      <c r="M177" s="1326">
        <v>1495.1010000000001</v>
      </c>
      <c r="N177" s="1326">
        <v>1281.548</v>
      </c>
      <c r="O177" s="1326">
        <v>1283.0050000000001</v>
      </c>
      <c r="P177" s="1326">
        <v>1449.8630000000001</v>
      </c>
      <c r="Q177" s="1326">
        <v>1860.412</v>
      </c>
      <c r="R177" s="1326">
        <v>3263.377</v>
      </c>
      <c r="S177" s="1326">
        <v>3601.451</v>
      </c>
      <c r="T177" s="1326">
        <v>3269.7060000000001</v>
      </c>
      <c r="U177" s="1326">
        <v>2868.3220000000001</v>
      </c>
      <c r="V177" s="1326">
        <v>2997.9470000000001</v>
      </c>
      <c r="W177" s="1326">
        <v>3092.9349999999999</v>
      </c>
      <c r="X177" s="1326">
        <v>2201.0639999999999</v>
      </c>
      <c r="Y177" s="1326">
        <v>2012.9059999999999</v>
      </c>
      <c r="Z177" s="1326">
        <v>1955.2429999999999</v>
      </c>
    </row>
    <row r="178" spans="1:26" x14ac:dyDescent="0.2">
      <c r="A178" s="1305"/>
      <c r="B178" s="1305"/>
      <c r="C178" s="1305"/>
      <c r="D178" s="1305"/>
      <c r="E178" s="1305"/>
      <c r="F178" s="1305"/>
      <c r="G178" s="1305"/>
      <c r="H178" s="1305"/>
      <c r="I178" s="1305"/>
      <c r="J178" s="1305"/>
      <c r="K178" s="1305"/>
      <c r="L178" s="1305"/>
      <c r="M178" s="1305"/>
      <c r="N178" s="1305"/>
      <c r="O178" s="1305"/>
      <c r="P178" s="1305"/>
      <c r="Q178" s="1305"/>
      <c r="R178" s="1305"/>
      <c r="S178" s="1305"/>
      <c r="T178" s="1305"/>
      <c r="U178" s="1305"/>
      <c r="V178" s="1305"/>
      <c r="W178" s="1305"/>
      <c r="X178" s="1305"/>
      <c r="Y178" s="1305"/>
      <c r="Z178" s="1305"/>
    </row>
    <row r="179" spans="1:26" ht="10.5" x14ac:dyDescent="0.2">
      <c r="A179" s="1314" t="s">
        <v>1287</v>
      </c>
      <c r="B179" s="1305"/>
      <c r="C179" s="1305"/>
      <c r="D179" s="1305"/>
      <c r="E179" s="1305"/>
      <c r="F179" s="1305"/>
      <c r="G179" s="1305"/>
      <c r="H179" s="1305"/>
      <c r="I179" s="1305"/>
      <c r="J179" s="1305"/>
      <c r="K179" s="1305"/>
      <c r="L179" s="1305"/>
      <c r="M179" s="1305"/>
      <c r="N179" s="1305"/>
      <c r="O179" s="1305"/>
      <c r="P179" s="1305"/>
      <c r="Q179" s="1305"/>
      <c r="R179" s="1305"/>
      <c r="S179" s="1305"/>
      <c r="T179" s="1305"/>
      <c r="U179" s="1305"/>
      <c r="V179" s="1305"/>
      <c r="W179" s="1305"/>
      <c r="X179" s="1305"/>
      <c r="Y179" s="1305"/>
      <c r="Z179" s="1305"/>
    </row>
    <row r="180" spans="1:26" x14ac:dyDescent="0.2">
      <c r="A180" s="1305" t="s">
        <v>1369</v>
      </c>
      <c r="B180" s="1315" t="s">
        <v>890</v>
      </c>
      <c r="C180" s="1315">
        <v>105.244111</v>
      </c>
      <c r="D180" s="1315">
        <v>164.01718199999999</v>
      </c>
      <c r="E180" s="1315">
        <v>167.60188299999999</v>
      </c>
      <c r="F180" s="1315">
        <v>171.620643</v>
      </c>
      <c r="G180" s="1315">
        <v>173.55090899999999</v>
      </c>
      <c r="H180" s="1315">
        <v>171.34677300000001</v>
      </c>
      <c r="I180" s="1315">
        <v>179.14924999999999</v>
      </c>
      <c r="J180" s="1315">
        <v>186.34</v>
      </c>
      <c r="K180" s="1315">
        <v>189.16499999999999</v>
      </c>
      <c r="L180" s="1315">
        <v>192.422</v>
      </c>
      <c r="M180" s="1315">
        <v>185.23699999999999</v>
      </c>
      <c r="N180" s="1315">
        <v>176.39400000000001</v>
      </c>
      <c r="O180" s="1315">
        <v>173.03299999999999</v>
      </c>
      <c r="P180" s="1315">
        <v>166.78700000000001</v>
      </c>
      <c r="Q180" s="1315">
        <v>159.018</v>
      </c>
      <c r="R180" s="1315">
        <v>154.834</v>
      </c>
      <c r="S180" s="1315">
        <v>147.80600000000001</v>
      </c>
      <c r="T180" s="1315">
        <v>130.583</v>
      </c>
      <c r="U180" s="1315">
        <v>112.408</v>
      </c>
      <c r="V180" s="1315">
        <v>113.429</v>
      </c>
      <c r="W180" s="1315">
        <v>108.526</v>
      </c>
      <c r="X180" s="1315">
        <v>108.4</v>
      </c>
      <c r="Y180" s="1315">
        <v>109.624701</v>
      </c>
      <c r="Z180" s="1315">
        <v>109.861525</v>
      </c>
    </row>
    <row r="181" spans="1:26" x14ac:dyDescent="0.2">
      <c r="A181" s="1305" t="s">
        <v>1370</v>
      </c>
      <c r="B181" s="1315" t="s">
        <v>890</v>
      </c>
      <c r="C181" s="1315">
        <v>105.244111</v>
      </c>
      <c r="D181" s="1315">
        <v>161.593875</v>
      </c>
      <c r="E181" s="1315">
        <v>167.5575</v>
      </c>
      <c r="F181" s="1315">
        <v>170.67949999999999</v>
      </c>
      <c r="G181" s="1315">
        <v>174.01400000000001</v>
      </c>
      <c r="H181" s="1315">
        <v>172.92500000000001</v>
      </c>
      <c r="I181" s="1315">
        <v>169.25749999999999</v>
      </c>
      <c r="J181" s="1315">
        <v>184.435</v>
      </c>
      <c r="K181" s="1315">
        <v>187.96100000000001</v>
      </c>
      <c r="L181" s="1315">
        <v>191.422</v>
      </c>
      <c r="M181" s="1315">
        <v>188.04400000000001</v>
      </c>
      <c r="N181" s="1315">
        <v>179.661</v>
      </c>
      <c r="O181" s="1315">
        <v>173.03299999999999</v>
      </c>
      <c r="P181" s="1315">
        <v>166.31899999999999</v>
      </c>
      <c r="Q181" s="1315">
        <v>158.946</v>
      </c>
      <c r="R181" s="1315">
        <v>154.73500000000001</v>
      </c>
      <c r="S181" s="1315">
        <v>147.768</v>
      </c>
      <c r="T181" s="1315">
        <v>130.47900000000001</v>
      </c>
      <c r="U181" s="1315">
        <v>112.24299999999999</v>
      </c>
      <c r="V181" s="1315">
        <v>113.3</v>
      </c>
      <c r="W181" s="1315">
        <v>108.89700000000001</v>
      </c>
      <c r="X181" s="1315">
        <v>108.4</v>
      </c>
      <c r="Y181" s="1315">
        <v>109.625</v>
      </c>
      <c r="Z181" s="1315">
        <v>109.839</v>
      </c>
    </row>
    <row r="182" spans="1:26" x14ac:dyDescent="0.2">
      <c r="A182" s="1305" t="s">
        <v>1371</v>
      </c>
      <c r="B182" s="1319" t="s">
        <v>890</v>
      </c>
      <c r="C182" s="1320">
        <v>7.0000000000000007E-2</v>
      </c>
      <c r="D182" s="1320">
        <v>0.34</v>
      </c>
      <c r="E182" s="1320">
        <v>0.48</v>
      </c>
      <c r="F182" s="1320">
        <v>0.73</v>
      </c>
      <c r="G182" s="1320">
        <v>1.1499999999999999</v>
      </c>
      <c r="H182" s="1320">
        <v>1.34</v>
      </c>
      <c r="I182" s="1320">
        <v>1.54</v>
      </c>
      <c r="J182" s="1320">
        <v>2.61</v>
      </c>
      <c r="K182" s="1320">
        <v>3.72</v>
      </c>
      <c r="L182" s="1320">
        <v>5.36</v>
      </c>
      <c r="M182" s="1320">
        <v>5.09</v>
      </c>
      <c r="N182" s="1320">
        <v>3.53</v>
      </c>
      <c r="O182" s="1320">
        <v>3.49</v>
      </c>
      <c r="P182" s="1320">
        <v>3.81</v>
      </c>
      <c r="Q182" s="1320">
        <v>5.25</v>
      </c>
      <c r="R182" s="1320">
        <v>7.5</v>
      </c>
      <c r="S182" s="1320">
        <v>9.18</v>
      </c>
      <c r="T182" s="1320">
        <v>9.51</v>
      </c>
      <c r="U182" s="1320">
        <v>8.27</v>
      </c>
      <c r="V182" s="1320">
        <v>9.86</v>
      </c>
      <c r="W182" s="1320">
        <v>10.84</v>
      </c>
      <c r="X182" s="1320">
        <v>10.56</v>
      </c>
      <c r="Y182" s="1320">
        <v>9.76</v>
      </c>
      <c r="Z182" s="1320">
        <v>9.68</v>
      </c>
    </row>
    <row r="183" spans="1:26" x14ac:dyDescent="0.2">
      <c r="A183" s="1305" t="s">
        <v>1372</v>
      </c>
      <c r="B183" s="1315" t="s">
        <v>890</v>
      </c>
      <c r="C183" s="1315">
        <v>7.4009999999999998</v>
      </c>
      <c r="D183" s="1315">
        <v>55.351999999999997</v>
      </c>
      <c r="E183" s="1315">
        <v>78.155000000000001</v>
      </c>
      <c r="F183" s="1315">
        <v>122.03400000000001</v>
      </c>
      <c r="G183" s="1315">
        <v>158.41</v>
      </c>
      <c r="H183" s="1315">
        <v>191.203</v>
      </c>
      <c r="I183" s="1315">
        <v>222.66</v>
      </c>
      <c r="J183" s="1315">
        <v>444.78899999999999</v>
      </c>
      <c r="K183" s="1315">
        <v>661.89700000000005</v>
      </c>
      <c r="L183" s="1315">
        <v>989.82899999999995</v>
      </c>
      <c r="M183" s="1315">
        <v>920.04499999999996</v>
      </c>
      <c r="N183" s="1315">
        <v>597.12400000000002</v>
      </c>
      <c r="O183" s="1315">
        <v>587.48199999999997</v>
      </c>
      <c r="P183" s="1315">
        <v>601.99300000000005</v>
      </c>
      <c r="Q183" s="1315">
        <v>725.14499999999998</v>
      </c>
      <c r="R183" s="1315">
        <v>433.89400000000001</v>
      </c>
      <c r="S183" s="1315">
        <v>883.298</v>
      </c>
      <c r="T183" s="1315">
        <v>985.95</v>
      </c>
      <c r="U183" s="1315">
        <v>675.99900000000002</v>
      </c>
      <c r="V183" s="1315">
        <v>881.78599999999994</v>
      </c>
      <c r="W183" s="1315">
        <v>730.86</v>
      </c>
      <c r="X183" s="1315">
        <v>754.12400000000002</v>
      </c>
      <c r="Y183" s="1315">
        <v>606.48900000000003</v>
      </c>
      <c r="Z183" s="1315">
        <v>617.83000000000004</v>
      </c>
    </row>
    <row r="184" spans="1:26" x14ac:dyDescent="0.2">
      <c r="A184" s="1305" t="s">
        <v>1373</v>
      </c>
      <c r="B184" s="1319" t="s">
        <v>890</v>
      </c>
      <c r="C184" s="1320">
        <v>7.0000000000000007E-2</v>
      </c>
      <c r="D184" s="1320">
        <v>0.34</v>
      </c>
      <c r="E184" s="1320">
        <v>0.47</v>
      </c>
      <c r="F184" s="1320">
        <v>0.71</v>
      </c>
      <c r="G184" s="1320">
        <v>0.91</v>
      </c>
      <c r="H184" s="1320">
        <v>1.1100000000000001</v>
      </c>
      <c r="I184" s="1320">
        <v>1.32</v>
      </c>
      <c r="J184" s="1320">
        <v>2.41</v>
      </c>
      <c r="K184" s="1320">
        <v>3.52</v>
      </c>
      <c r="L184" s="1320">
        <v>5.17</v>
      </c>
      <c r="M184" s="1320">
        <v>4.8899999999999997</v>
      </c>
      <c r="N184" s="1320">
        <v>3.32</v>
      </c>
      <c r="O184" s="1320">
        <v>3.4</v>
      </c>
      <c r="P184" s="1320">
        <v>3.62</v>
      </c>
      <c r="Q184" s="1320">
        <v>4.5599999999999996</v>
      </c>
      <c r="R184" s="1320">
        <v>2.8</v>
      </c>
      <c r="S184" s="1320">
        <v>5.98</v>
      </c>
      <c r="T184" s="1320">
        <v>7.56</v>
      </c>
      <c r="U184" s="1320">
        <v>6.02</v>
      </c>
      <c r="V184" s="1320">
        <v>7.78</v>
      </c>
      <c r="W184" s="1320">
        <v>6.71</v>
      </c>
      <c r="X184" s="1320">
        <v>6.96</v>
      </c>
      <c r="Y184" s="1320">
        <v>5.53</v>
      </c>
      <c r="Z184" s="1320">
        <v>5.62</v>
      </c>
    </row>
    <row r="185" spans="1:26" x14ac:dyDescent="0.2">
      <c r="A185" s="1305" t="s">
        <v>333</v>
      </c>
      <c r="B185" s="1315" t="s">
        <v>890</v>
      </c>
      <c r="C185" s="1315">
        <v>0</v>
      </c>
      <c r="D185" s="1315">
        <v>0</v>
      </c>
      <c r="E185" s="1315">
        <v>0</v>
      </c>
      <c r="F185" s="1315">
        <v>0</v>
      </c>
      <c r="G185" s="1315">
        <v>0</v>
      </c>
      <c r="H185" s="1315">
        <v>0</v>
      </c>
      <c r="I185" s="1315">
        <v>0</v>
      </c>
      <c r="J185" s="1315">
        <v>0</v>
      </c>
      <c r="K185" s="1315">
        <v>0</v>
      </c>
      <c r="L185" s="1315">
        <v>0</v>
      </c>
      <c r="M185" s="1315">
        <v>0</v>
      </c>
      <c r="N185" s="1315">
        <v>0</v>
      </c>
      <c r="O185" s="1315">
        <v>0</v>
      </c>
      <c r="P185" s="1315">
        <v>0</v>
      </c>
      <c r="Q185" s="1315">
        <v>30.916</v>
      </c>
      <c r="R185" s="1315">
        <v>589.06600000000003</v>
      </c>
      <c r="S185" s="1315">
        <v>589.548</v>
      </c>
      <c r="T185" s="1315">
        <v>599.00900000000001</v>
      </c>
      <c r="U185" s="1315">
        <v>719.91099999999994</v>
      </c>
      <c r="V185" s="1315">
        <v>692.05399999999997</v>
      </c>
      <c r="W185" s="1315">
        <v>657.096</v>
      </c>
      <c r="X185" s="1315">
        <v>45.646000000000001</v>
      </c>
      <c r="Y185" s="1315">
        <v>90.795000000000002</v>
      </c>
      <c r="Z185" s="1315">
        <v>56.780999999999999</v>
      </c>
    </row>
    <row r="186" spans="1:26" x14ac:dyDescent="0.2">
      <c r="A186" s="1305" t="s">
        <v>105</v>
      </c>
      <c r="B186" s="1315" t="s">
        <v>890</v>
      </c>
      <c r="C186" s="1315">
        <v>-4.7</v>
      </c>
      <c r="D186" s="1315">
        <v>-50.7</v>
      </c>
      <c r="E186" s="1315">
        <v>-65.3</v>
      </c>
      <c r="F186" s="1315">
        <v>-100.4</v>
      </c>
      <c r="G186" s="1315">
        <v>-97.8</v>
      </c>
      <c r="H186" s="1315">
        <v>-91.1</v>
      </c>
      <c r="I186" s="1315">
        <v>-124.2</v>
      </c>
      <c r="J186" s="1315">
        <v>-344</v>
      </c>
      <c r="K186" s="1315">
        <v>-588.4</v>
      </c>
      <c r="L186" s="1315">
        <v>-898.2</v>
      </c>
      <c r="M186" s="1315">
        <v>-809.6</v>
      </c>
      <c r="N186" s="1315">
        <v>-458.6</v>
      </c>
      <c r="O186" s="1315">
        <v>-408.7</v>
      </c>
      <c r="P186" s="1315">
        <v>-392.7</v>
      </c>
      <c r="Q186" s="1315">
        <v>-480.5</v>
      </c>
      <c r="R186" s="1315">
        <v>-398.8</v>
      </c>
      <c r="S186" s="1315">
        <v>-710.4</v>
      </c>
      <c r="T186" s="1315">
        <v>-978.6</v>
      </c>
      <c r="U186" s="1315">
        <v>-562.4</v>
      </c>
      <c r="V186" s="1315">
        <v>-872.2</v>
      </c>
      <c r="W186" s="1315">
        <v>-847</v>
      </c>
      <c r="X186" s="1315">
        <v>-748.6</v>
      </c>
      <c r="Y186" s="1315">
        <v>-589.9</v>
      </c>
      <c r="Z186" s="1315">
        <v>-584.79999999999995</v>
      </c>
    </row>
    <row r="187" spans="1:26" x14ac:dyDescent="0.2">
      <c r="A187" s="1305" t="s">
        <v>1374</v>
      </c>
      <c r="B187" s="1315">
        <v>92</v>
      </c>
      <c r="C187" s="1315">
        <v>110.4</v>
      </c>
      <c r="D187" s="1315">
        <v>132</v>
      </c>
      <c r="E187" s="1315">
        <v>159.19999999999999</v>
      </c>
      <c r="F187" s="1315">
        <v>187.2</v>
      </c>
      <c r="G187" s="1315">
        <v>256.8</v>
      </c>
      <c r="H187" s="1315">
        <v>358.4</v>
      </c>
      <c r="I187" s="1315">
        <v>470.4</v>
      </c>
      <c r="J187" s="1315">
        <v>574.4</v>
      </c>
      <c r="K187" s="1315">
        <v>682.4</v>
      </c>
      <c r="L187" s="1315">
        <v>744.8</v>
      </c>
      <c r="M187" s="1315">
        <v>918.4</v>
      </c>
      <c r="N187" s="1315">
        <v>860.8</v>
      </c>
      <c r="O187" s="1315">
        <v>1129.5999999999999</v>
      </c>
      <c r="P187" s="1315">
        <v>1200</v>
      </c>
      <c r="Q187" s="1315">
        <v>1249.5999999999999</v>
      </c>
      <c r="R187" s="1315">
        <v>1300</v>
      </c>
      <c r="S187" s="1315">
        <v>1556.8</v>
      </c>
      <c r="T187" s="1315">
        <v>1754.4</v>
      </c>
      <c r="U187" s="1315">
        <v>1660</v>
      </c>
      <c r="V187" s="1315">
        <v>1461.6</v>
      </c>
      <c r="W187" s="1315">
        <v>1152.8</v>
      </c>
      <c r="X187" s="1315">
        <v>1047.2</v>
      </c>
      <c r="Y187" s="1315">
        <v>934.4</v>
      </c>
      <c r="Z187" s="1315" t="s">
        <v>890</v>
      </c>
    </row>
    <row r="188" spans="1:26" x14ac:dyDescent="0.2">
      <c r="A188" s="1305" t="s">
        <v>1375</v>
      </c>
      <c r="B188" s="1315" t="s">
        <v>890</v>
      </c>
      <c r="C188" s="1315" t="s">
        <v>890</v>
      </c>
      <c r="D188" s="1315" t="s">
        <v>890</v>
      </c>
      <c r="E188" s="1315" t="s">
        <v>890</v>
      </c>
      <c r="F188" s="1315" t="s">
        <v>890</v>
      </c>
      <c r="G188" s="1315" t="s">
        <v>890</v>
      </c>
      <c r="H188" s="1315" t="s">
        <v>890</v>
      </c>
      <c r="I188" s="1315" t="s">
        <v>890</v>
      </c>
      <c r="J188" s="1315" t="s">
        <v>890</v>
      </c>
      <c r="K188" s="1315" t="s">
        <v>890</v>
      </c>
      <c r="L188" s="1315" t="s">
        <v>890</v>
      </c>
      <c r="M188" s="1315" t="s">
        <v>890</v>
      </c>
      <c r="N188" s="1315" t="s">
        <v>890</v>
      </c>
      <c r="O188" s="1315" t="s">
        <v>890</v>
      </c>
      <c r="P188" s="1315" t="s">
        <v>890</v>
      </c>
      <c r="Q188" s="1315">
        <v>11.956</v>
      </c>
      <c r="R188" s="1315">
        <v>64.69</v>
      </c>
      <c r="S188" s="1315">
        <v>32.69</v>
      </c>
      <c r="T188" s="1315">
        <v>3.625</v>
      </c>
      <c r="U188" s="1315">
        <v>-4.0999999999999996</v>
      </c>
      <c r="V188" s="1315">
        <v>0.41099999999999998</v>
      </c>
      <c r="W188" s="1315">
        <v>65.203000000000003</v>
      </c>
      <c r="X188" s="1315">
        <v>12.414999999999999</v>
      </c>
      <c r="Y188" s="1315">
        <v>6.26</v>
      </c>
      <c r="Z188" s="1315">
        <v>5.98</v>
      </c>
    </row>
    <row r="189" spans="1:26" x14ac:dyDescent="0.2">
      <c r="A189" s="1305" t="s">
        <v>1376</v>
      </c>
      <c r="B189" s="1315" t="s">
        <v>890</v>
      </c>
      <c r="C189" s="1315" t="s">
        <v>890</v>
      </c>
      <c r="D189" s="1315" t="s">
        <v>890</v>
      </c>
      <c r="E189" s="1315" t="s">
        <v>890</v>
      </c>
      <c r="F189" s="1315" t="s">
        <v>890</v>
      </c>
      <c r="G189" s="1315">
        <v>10.807</v>
      </c>
      <c r="H189" s="1315" t="s">
        <v>890</v>
      </c>
      <c r="I189" s="1315" t="s">
        <v>890</v>
      </c>
      <c r="J189" s="1315" t="s">
        <v>890</v>
      </c>
      <c r="K189" s="1315" t="s">
        <v>890</v>
      </c>
      <c r="L189" s="1315" t="s">
        <v>890</v>
      </c>
      <c r="M189" s="1315" t="s">
        <v>890</v>
      </c>
      <c r="N189" s="1315" t="s">
        <v>890</v>
      </c>
      <c r="O189" s="1315" t="s">
        <v>890</v>
      </c>
      <c r="P189" s="1315" t="s">
        <v>890</v>
      </c>
      <c r="Q189" s="1315" t="s">
        <v>890</v>
      </c>
      <c r="R189" s="1315" t="s">
        <v>890</v>
      </c>
      <c r="S189" s="1315" t="s">
        <v>890</v>
      </c>
      <c r="T189" s="1315" t="s">
        <v>890</v>
      </c>
      <c r="U189" s="1315" t="s">
        <v>890</v>
      </c>
      <c r="V189" s="1315" t="s">
        <v>890</v>
      </c>
      <c r="W189" s="1315" t="s">
        <v>890</v>
      </c>
      <c r="X189" s="1315" t="s">
        <v>890</v>
      </c>
      <c r="Y189" s="1315" t="s">
        <v>890</v>
      </c>
      <c r="Z189" s="1315" t="s">
        <v>890</v>
      </c>
    </row>
    <row r="190" spans="1:26" x14ac:dyDescent="0.2">
      <c r="A190" s="1305" t="s">
        <v>1377</v>
      </c>
      <c r="B190" s="1323" t="s">
        <v>890</v>
      </c>
      <c r="C190" s="1323" t="s">
        <v>890</v>
      </c>
      <c r="D190" s="1323" t="s">
        <v>1378</v>
      </c>
      <c r="E190" s="1323" t="s">
        <v>1378</v>
      </c>
      <c r="F190" s="1323" t="s">
        <v>1378</v>
      </c>
      <c r="G190" s="1323" t="s">
        <v>890</v>
      </c>
      <c r="H190" s="1323" t="s">
        <v>890</v>
      </c>
      <c r="I190" s="1323" t="s">
        <v>890</v>
      </c>
      <c r="J190" s="1323" t="s">
        <v>890</v>
      </c>
      <c r="K190" s="1323" t="s">
        <v>890</v>
      </c>
      <c r="L190" s="1323" t="s">
        <v>890</v>
      </c>
      <c r="M190" s="1323" t="s">
        <v>890</v>
      </c>
      <c r="N190" s="1323" t="s">
        <v>890</v>
      </c>
      <c r="O190" s="1323" t="s">
        <v>890</v>
      </c>
      <c r="P190" s="1323" t="s">
        <v>890</v>
      </c>
      <c r="Q190" s="1323" t="s">
        <v>890</v>
      </c>
      <c r="R190" s="1323" t="s">
        <v>890</v>
      </c>
      <c r="S190" s="1323" t="s">
        <v>890</v>
      </c>
      <c r="T190" s="1323" t="s">
        <v>890</v>
      </c>
      <c r="U190" s="1323" t="s">
        <v>890</v>
      </c>
      <c r="V190" s="1323" t="s">
        <v>890</v>
      </c>
      <c r="W190" s="1323" t="s">
        <v>890</v>
      </c>
      <c r="X190" s="1323" t="s">
        <v>890</v>
      </c>
      <c r="Y190" s="1323" t="s">
        <v>890</v>
      </c>
      <c r="Z190" s="1323" t="s">
        <v>890</v>
      </c>
    </row>
    <row r="191" spans="1:26" x14ac:dyDescent="0.2">
      <c r="A191" s="1305" t="s">
        <v>1379</v>
      </c>
      <c r="B191" s="1315" t="s">
        <v>890</v>
      </c>
      <c r="C191" s="1315">
        <v>2.6560000000000001</v>
      </c>
      <c r="D191" s="1315">
        <v>2.7229999999999999</v>
      </c>
      <c r="E191" s="1315">
        <v>3.1120000000000001</v>
      </c>
      <c r="F191" s="1315" t="s">
        <v>890</v>
      </c>
      <c r="G191" s="1315" t="s">
        <v>890</v>
      </c>
      <c r="H191" s="1315" t="s">
        <v>890</v>
      </c>
      <c r="I191" s="1315" t="s">
        <v>890</v>
      </c>
      <c r="J191" s="1315" t="s">
        <v>890</v>
      </c>
      <c r="K191" s="1315" t="s">
        <v>890</v>
      </c>
      <c r="L191" s="1315" t="s">
        <v>890</v>
      </c>
      <c r="M191" s="1315" t="s">
        <v>890</v>
      </c>
      <c r="N191" s="1315" t="s">
        <v>890</v>
      </c>
      <c r="O191" s="1315" t="s">
        <v>890</v>
      </c>
      <c r="P191" s="1315" t="s">
        <v>890</v>
      </c>
      <c r="Q191" s="1315" t="s">
        <v>890</v>
      </c>
      <c r="R191" s="1315" t="s">
        <v>890</v>
      </c>
      <c r="S191" s="1315" t="s">
        <v>890</v>
      </c>
      <c r="T191" s="1315" t="s">
        <v>890</v>
      </c>
      <c r="U191" s="1315" t="s">
        <v>890</v>
      </c>
      <c r="V191" s="1315" t="s">
        <v>890</v>
      </c>
      <c r="W191" s="1315" t="s">
        <v>890</v>
      </c>
      <c r="X191" s="1315" t="s">
        <v>890</v>
      </c>
      <c r="Y191" s="1315" t="s">
        <v>890</v>
      </c>
      <c r="Z191" s="1315" t="s">
        <v>890</v>
      </c>
    </row>
    <row r="192" spans="1:26" x14ac:dyDescent="0.2">
      <c r="A192" s="1305" t="s">
        <v>1380</v>
      </c>
      <c r="B192" s="1315" t="s">
        <v>890</v>
      </c>
      <c r="C192" s="1315">
        <v>0.125</v>
      </c>
      <c r="D192" s="1315">
        <v>1.66</v>
      </c>
      <c r="E192" s="1315">
        <v>4.6710000000000003</v>
      </c>
      <c r="F192" s="1315">
        <v>0.35</v>
      </c>
      <c r="G192" s="1315">
        <v>0.35</v>
      </c>
      <c r="H192" s="1315">
        <v>0.35</v>
      </c>
      <c r="I192" s="1315">
        <v>9.9000000000000005E-2</v>
      </c>
      <c r="J192" s="1315">
        <v>0.115</v>
      </c>
      <c r="K192" s="1315">
        <v>0.115</v>
      </c>
      <c r="L192" s="1315">
        <v>0.115</v>
      </c>
      <c r="M192" s="1315">
        <v>14.798</v>
      </c>
      <c r="N192" s="1315">
        <v>21.457000000000001</v>
      </c>
      <c r="O192" s="1315">
        <v>21.619</v>
      </c>
      <c r="P192" s="1315">
        <v>21.803000000000001</v>
      </c>
      <c r="Q192" s="1315">
        <v>30.331</v>
      </c>
      <c r="R192" s="1315">
        <v>44.045000000000002</v>
      </c>
      <c r="S192" s="1315">
        <v>46.640999999999998</v>
      </c>
      <c r="T192" s="1315">
        <v>32.762</v>
      </c>
      <c r="U192" s="1315">
        <v>31.184000000000001</v>
      </c>
      <c r="V192" s="1315">
        <v>30.562000000000001</v>
      </c>
      <c r="W192" s="1315">
        <v>30.54</v>
      </c>
      <c r="X192" s="1315">
        <v>25.253</v>
      </c>
      <c r="Y192" s="1315">
        <v>23.088999999999999</v>
      </c>
      <c r="Z192" s="1315" t="s">
        <v>890</v>
      </c>
    </row>
    <row r="193" spans="1:255" x14ac:dyDescent="0.2">
      <c r="A193" s="1305" t="s">
        <v>1381</v>
      </c>
      <c r="B193" s="1315" t="s">
        <v>890</v>
      </c>
      <c r="C193" s="1315">
        <v>1.413</v>
      </c>
      <c r="D193" s="1315">
        <v>1.032</v>
      </c>
      <c r="E193" s="1315">
        <v>1.042</v>
      </c>
      <c r="F193" s="1315">
        <v>3.766</v>
      </c>
      <c r="G193" s="1315">
        <v>7.4320000000000004</v>
      </c>
      <c r="H193" s="1315">
        <v>16.548999999999999</v>
      </c>
      <c r="I193" s="1315">
        <v>25.140999999999998</v>
      </c>
      <c r="J193" s="1315">
        <v>32.771000000000001</v>
      </c>
      <c r="K193" s="1315">
        <v>40.337000000000003</v>
      </c>
      <c r="L193" s="1315">
        <v>46.902000000000001</v>
      </c>
      <c r="M193" s="1315">
        <v>133.143</v>
      </c>
      <c r="N193" s="1315">
        <v>163.64400000000001</v>
      </c>
      <c r="O193" s="1315" t="s">
        <v>890</v>
      </c>
      <c r="P193" s="1315" t="s">
        <v>890</v>
      </c>
      <c r="Q193" s="1315">
        <v>149.97200000000001</v>
      </c>
      <c r="R193" s="1315">
        <v>192.07</v>
      </c>
      <c r="S193" s="1315">
        <v>189.67</v>
      </c>
      <c r="T193" s="1315">
        <v>62.363999999999997</v>
      </c>
      <c r="U193" s="1315">
        <v>67.602000000000004</v>
      </c>
      <c r="V193" s="1315">
        <v>62.851999999999997</v>
      </c>
      <c r="W193" s="1315">
        <v>62.97</v>
      </c>
      <c r="X193" s="1315">
        <v>58.872999999999998</v>
      </c>
      <c r="Y193" s="1315">
        <v>64.896000000000001</v>
      </c>
      <c r="Z193" s="1315" t="s">
        <v>890</v>
      </c>
    </row>
    <row r="194" spans="1:255" x14ac:dyDescent="0.2">
      <c r="A194" s="1305" t="s">
        <v>1382</v>
      </c>
      <c r="B194" s="1315" t="s">
        <v>890</v>
      </c>
      <c r="C194" s="1315">
        <v>12.548999999999999</v>
      </c>
      <c r="D194" s="1315">
        <v>19.690000000000001</v>
      </c>
      <c r="E194" s="1315">
        <v>27.507999999999999</v>
      </c>
      <c r="F194" s="1315">
        <v>36.86</v>
      </c>
      <c r="G194" s="1315">
        <v>63.759</v>
      </c>
      <c r="H194" s="1315">
        <v>101.435</v>
      </c>
      <c r="I194" s="1315">
        <v>125.042</v>
      </c>
      <c r="J194" s="1315">
        <v>158.91999999999999</v>
      </c>
      <c r="K194" s="1315">
        <v>185.452</v>
      </c>
      <c r="L194" s="1315">
        <v>232.3</v>
      </c>
      <c r="M194" s="1315">
        <v>290.02199999999999</v>
      </c>
      <c r="N194" s="1315">
        <v>335.41</v>
      </c>
      <c r="O194" s="1315">
        <v>304.14600000000002</v>
      </c>
      <c r="P194" s="1315">
        <v>310.53199999999998</v>
      </c>
      <c r="Q194" s="1315">
        <v>328.39100000000002</v>
      </c>
      <c r="R194" s="1315">
        <v>299.41300000000001</v>
      </c>
      <c r="S194" s="1315">
        <v>363.005</v>
      </c>
      <c r="T194" s="1315">
        <v>422.971</v>
      </c>
      <c r="U194" s="1315">
        <v>433.11500000000001</v>
      </c>
      <c r="V194" s="1315">
        <v>374.61500000000001</v>
      </c>
      <c r="W194" s="1315">
        <v>340.37299999999999</v>
      </c>
      <c r="X194" s="1315">
        <v>295.86799999999999</v>
      </c>
      <c r="Y194" s="1315">
        <v>248.39500000000001</v>
      </c>
      <c r="Z194" s="1315" t="s">
        <v>890</v>
      </c>
    </row>
    <row r="195" spans="1:255" x14ac:dyDescent="0.2">
      <c r="A195" s="1305" t="s">
        <v>1383</v>
      </c>
      <c r="B195" s="1315">
        <v>0</v>
      </c>
      <c r="C195" s="1315">
        <v>0</v>
      </c>
      <c r="D195" s="1315">
        <v>0</v>
      </c>
      <c r="E195" s="1315">
        <v>0</v>
      </c>
      <c r="F195" s="1315">
        <v>0</v>
      </c>
      <c r="G195" s="1315">
        <v>0</v>
      </c>
      <c r="H195" s="1315">
        <v>0</v>
      </c>
      <c r="I195" s="1315">
        <v>0</v>
      </c>
      <c r="J195" s="1315">
        <v>0</v>
      </c>
      <c r="K195" s="1315">
        <v>0</v>
      </c>
      <c r="L195" s="1315">
        <v>0</v>
      </c>
      <c r="M195" s="1315">
        <v>0</v>
      </c>
      <c r="N195" s="1315">
        <v>42.267000000000003</v>
      </c>
      <c r="O195" s="1315">
        <v>85.707999999999998</v>
      </c>
      <c r="P195" s="1315">
        <v>133.96600000000001</v>
      </c>
      <c r="Q195" s="1315">
        <v>15.019</v>
      </c>
      <c r="R195" s="1315">
        <v>19.587</v>
      </c>
      <c r="S195" s="1315">
        <v>37.08</v>
      </c>
      <c r="T195" s="1315">
        <v>29.934000000000001</v>
      </c>
      <c r="U195" s="1315">
        <v>49.720999999999997</v>
      </c>
      <c r="V195" s="1315">
        <v>52.097000000000001</v>
      </c>
      <c r="W195" s="1315">
        <v>40.502000000000002</v>
      </c>
      <c r="X195" s="1315">
        <v>38.944000000000003</v>
      </c>
      <c r="Y195" s="1315">
        <v>34.856000000000002</v>
      </c>
      <c r="Z195" s="1315">
        <v>0</v>
      </c>
    </row>
    <row r="196" spans="1:255" x14ac:dyDescent="0.2">
      <c r="A196" s="1305" t="s">
        <v>1384</v>
      </c>
      <c r="B196" s="1315">
        <v>0</v>
      </c>
      <c r="C196" s="1315">
        <v>1.1879999999999999</v>
      </c>
      <c r="D196" s="1315">
        <v>1.032</v>
      </c>
      <c r="E196" s="1315">
        <v>1.042</v>
      </c>
      <c r="F196" s="1315">
        <v>3.766</v>
      </c>
      <c r="G196" s="1315">
        <v>7.4320000000000004</v>
      </c>
      <c r="H196" s="1315">
        <v>16.548999999999999</v>
      </c>
      <c r="I196" s="1315">
        <v>25.140999999999998</v>
      </c>
      <c r="J196" s="1315">
        <v>32.771000000000001</v>
      </c>
      <c r="K196" s="1315">
        <v>40.337000000000003</v>
      </c>
      <c r="L196" s="1315">
        <v>46.902000000000001</v>
      </c>
      <c r="M196" s="1315">
        <v>61.067999999999998</v>
      </c>
      <c r="N196" s="1315">
        <v>77.772999999999996</v>
      </c>
      <c r="O196" s="1315">
        <v>96.096999999999994</v>
      </c>
      <c r="P196" s="1315">
        <v>89.628</v>
      </c>
      <c r="Q196" s="1315">
        <v>105.741</v>
      </c>
      <c r="R196" s="1315">
        <v>256.35000000000002</v>
      </c>
      <c r="S196" s="1315">
        <v>295.05799999999999</v>
      </c>
      <c r="T196" s="1315">
        <v>349.92099999999999</v>
      </c>
      <c r="U196" s="1315">
        <v>370.17099999999999</v>
      </c>
      <c r="V196" s="1315">
        <v>353.548</v>
      </c>
      <c r="W196" s="1315">
        <v>357.64499999999998</v>
      </c>
      <c r="X196" s="1315">
        <v>351.404</v>
      </c>
      <c r="Y196" s="1315">
        <v>304.40800000000002</v>
      </c>
      <c r="Z196" s="1315">
        <v>0</v>
      </c>
    </row>
    <row r="197" spans="1:255" x14ac:dyDescent="0.2">
      <c r="A197" s="1305" t="s">
        <v>1385</v>
      </c>
      <c r="B197" s="1327" t="s">
        <v>890</v>
      </c>
      <c r="C197" s="1327" t="s">
        <v>890</v>
      </c>
      <c r="D197" s="1327">
        <v>4192</v>
      </c>
      <c r="E197" s="1327">
        <v>5186</v>
      </c>
      <c r="F197" s="1327">
        <v>6335</v>
      </c>
      <c r="G197" s="1327">
        <v>8014</v>
      </c>
      <c r="H197" s="1327">
        <v>10068</v>
      </c>
      <c r="I197" s="1327">
        <v>15563</v>
      </c>
      <c r="J197" s="1327">
        <v>14841</v>
      </c>
      <c r="K197" s="1327">
        <v>23427</v>
      </c>
      <c r="L197" s="1327">
        <v>25423</v>
      </c>
      <c r="M197" s="1327">
        <v>29750</v>
      </c>
      <c r="N197" s="1327">
        <v>32496</v>
      </c>
      <c r="O197" s="1327">
        <v>36279</v>
      </c>
      <c r="P197" s="1327">
        <v>36292</v>
      </c>
      <c r="Q197" s="1327">
        <v>44497</v>
      </c>
      <c r="R197" s="1327">
        <v>51777</v>
      </c>
      <c r="S197" s="1327">
        <v>55703</v>
      </c>
      <c r="T197" s="1327">
        <v>55262</v>
      </c>
      <c r="U197" s="1327">
        <v>49146</v>
      </c>
      <c r="V197" s="1327">
        <v>43000</v>
      </c>
      <c r="W197" s="1327">
        <v>39000</v>
      </c>
      <c r="X197" s="1327">
        <v>34000</v>
      </c>
      <c r="Y197" s="1327">
        <v>28000</v>
      </c>
      <c r="Z197" s="1327" t="s">
        <v>890</v>
      </c>
    </row>
    <row r="198" spans="1:255" x14ac:dyDescent="0.2">
      <c r="A198" s="1305" t="s">
        <v>1386</v>
      </c>
      <c r="B198" s="1327" t="s">
        <v>890</v>
      </c>
      <c r="C198" s="1327" t="s">
        <v>890</v>
      </c>
      <c r="D198" s="1327">
        <v>123</v>
      </c>
      <c r="E198" s="1327">
        <v>133</v>
      </c>
      <c r="F198" s="1327">
        <v>145</v>
      </c>
      <c r="G198" s="1327">
        <v>132</v>
      </c>
      <c r="H198" s="1327">
        <v>130</v>
      </c>
      <c r="I198" s="1327">
        <v>147</v>
      </c>
      <c r="J198" s="1327">
        <v>139</v>
      </c>
      <c r="K198" s="1327">
        <v>150</v>
      </c>
      <c r="L198" s="1327">
        <v>149</v>
      </c>
      <c r="M198" s="1327">
        <v>163</v>
      </c>
      <c r="N198" s="1327">
        <v>170</v>
      </c>
      <c r="O198" s="1327">
        <v>137</v>
      </c>
      <c r="P198" s="1327">
        <v>126</v>
      </c>
      <c r="Q198" s="1327">
        <v>425</v>
      </c>
      <c r="R198" s="1327">
        <v>608</v>
      </c>
      <c r="S198" s="1327">
        <v>443</v>
      </c>
      <c r="T198" s="1327">
        <v>273</v>
      </c>
      <c r="U198" s="1327">
        <v>226</v>
      </c>
      <c r="V198" s="1327">
        <v>1000</v>
      </c>
      <c r="W198" s="1327" t="s">
        <v>890</v>
      </c>
      <c r="X198" s="1327" t="s">
        <v>890</v>
      </c>
      <c r="Y198" s="1327" t="s">
        <v>890</v>
      </c>
      <c r="Z198" s="1327" t="s">
        <v>890</v>
      </c>
    </row>
    <row r="199" spans="1:255" x14ac:dyDescent="0.2">
      <c r="A199" s="1305" t="s">
        <v>1387</v>
      </c>
      <c r="B199" s="1315" t="s">
        <v>890</v>
      </c>
      <c r="C199" s="1315">
        <v>0.377</v>
      </c>
      <c r="D199" s="1315" t="s">
        <v>890</v>
      </c>
      <c r="E199" s="1315" t="s">
        <v>890</v>
      </c>
      <c r="F199" s="1315" t="s">
        <v>890</v>
      </c>
      <c r="G199" s="1315" t="s">
        <v>890</v>
      </c>
      <c r="H199" s="1315" t="s">
        <v>890</v>
      </c>
      <c r="I199" s="1315" t="s">
        <v>890</v>
      </c>
      <c r="J199" s="1315" t="s">
        <v>890</v>
      </c>
      <c r="K199" s="1315" t="s">
        <v>890</v>
      </c>
      <c r="L199" s="1315" t="s">
        <v>890</v>
      </c>
      <c r="M199" s="1315" t="s">
        <v>890</v>
      </c>
      <c r="N199" s="1315" t="s">
        <v>890</v>
      </c>
      <c r="O199" s="1315" t="s">
        <v>890</v>
      </c>
      <c r="P199" s="1315" t="s">
        <v>890</v>
      </c>
      <c r="Q199" s="1315">
        <v>9.1280000000000001</v>
      </c>
      <c r="R199" s="1315">
        <v>10.541</v>
      </c>
      <c r="S199" s="1315">
        <v>11.186</v>
      </c>
      <c r="T199" s="1315">
        <v>42.747999999999998</v>
      </c>
      <c r="U199" s="1315">
        <v>78.972999999999999</v>
      </c>
      <c r="V199" s="1315">
        <v>68.09</v>
      </c>
      <c r="W199" s="1315">
        <v>62.287999999999997</v>
      </c>
      <c r="X199" s="1315">
        <v>61.472999999999999</v>
      </c>
      <c r="Y199" s="1315">
        <v>60.106000000000002</v>
      </c>
      <c r="Z199" s="1315" t="s">
        <v>890</v>
      </c>
    </row>
    <row r="200" spans="1:255" x14ac:dyDescent="0.2">
      <c r="A200" s="1305" t="s">
        <v>1388</v>
      </c>
      <c r="B200" s="1315" t="s">
        <v>890</v>
      </c>
      <c r="C200" s="1315">
        <v>-0.2</v>
      </c>
      <c r="D200" s="1315" t="s">
        <v>890</v>
      </c>
      <c r="E200" s="1315" t="s">
        <v>890</v>
      </c>
      <c r="F200" s="1315" t="s">
        <v>890</v>
      </c>
      <c r="G200" s="1315" t="s">
        <v>890</v>
      </c>
      <c r="H200" s="1315" t="s">
        <v>890</v>
      </c>
      <c r="I200" s="1315" t="s">
        <v>890</v>
      </c>
      <c r="J200" s="1315" t="s">
        <v>890</v>
      </c>
      <c r="K200" s="1315" t="s">
        <v>890</v>
      </c>
      <c r="L200" s="1315" t="s">
        <v>890</v>
      </c>
      <c r="M200" s="1315" t="s">
        <v>890</v>
      </c>
      <c r="N200" s="1315" t="s">
        <v>890</v>
      </c>
      <c r="O200" s="1315" t="s">
        <v>890</v>
      </c>
      <c r="P200" s="1315" t="s">
        <v>890</v>
      </c>
      <c r="Q200" s="1315">
        <v>-2.5</v>
      </c>
      <c r="R200" s="1315">
        <v>-4.3</v>
      </c>
      <c r="S200" s="1315">
        <v>-3.3</v>
      </c>
      <c r="T200" s="1315">
        <v>-6.3</v>
      </c>
      <c r="U200" s="1315" t="s">
        <v>890</v>
      </c>
      <c r="V200" s="1315" t="s">
        <v>890</v>
      </c>
      <c r="W200" s="1315" t="s">
        <v>890</v>
      </c>
      <c r="X200" s="1315" t="s">
        <v>890</v>
      </c>
      <c r="Y200" s="1315" t="s">
        <v>890</v>
      </c>
      <c r="Z200" s="1315" t="s">
        <v>890</v>
      </c>
    </row>
    <row r="201" spans="1:255" x14ac:dyDescent="0.2">
      <c r="A201" s="1305" t="s">
        <v>1389</v>
      </c>
      <c r="B201" s="1315" t="s">
        <v>890</v>
      </c>
      <c r="C201" s="1315">
        <v>1.4570000000000001</v>
      </c>
      <c r="D201" s="1315">
        <v>2.4529999999999998</v>
      </c>
      <c r="E201" s="1315">
        <v>3.694</v>
      </c>
      <c r="F201" s="1315">
        <v>4.5209999999999999</v>
      </c>
      <c r="G201" s="1315">
        <v>6.6280000000000001</v>
      </c>
      <c r="H201" s="1315">
        <v>9.6440000000000001</v>
      </c>
      <c r="I201" s="1315">
        <v>7.88</v>
      </c>
      <c r="J201" s="1315">
        <v>8.0749999999999993</v>
      </c>
      <c r="K201" s="1315">
        <v>7.5309999999999997</v>
      </c>
      <c r="L201" s="1315">
        <v>10.881</v>
      </c>
      <c r="M201" s="1315">
        <v>11.629</v>
      </c>
      <c r="N201" s="1315">
        <v>45.784999999999997</v>
      </c>
      <c r="O201" s="1315">
        <v>65.183999999999997</v>
      </c>
      <c r="P201" s="1315">
        <v>99.817999999999998</v>
      </c>
      <c r="Q201" s="1315">
        <v>78.361999999999995</v>
      </c>
      <c r="R201" s="1315">
        <v>110.42</v>
      </c>
      <c r="S201" s="1315">
        <v>192.857</v>
      </c>
      <c r="T201" s="1315">
        <v>128.89699999999999</v>
      </c>
      <c r="U201" s="1315">
        <v>107.23</v>
      </c>
      <c r="V201" s="1315">
        <v>59.744</v>
      </c>
      <c r="W201" s="1315">
        <v>50.145000000000003</v>
      </c>
      <c r="X201" s="1315">
        <v>42.259</v>
      </c>
      <c r="Y201" s="1315">
        <v>48.65</v>
      </c>
      <c r="Z201" s="1315">
        <v>44.279000000000003</v>
      </c>
    </row>
    <row r="202" spans="1:255" x14ac:dyDescent="0.2">
      <c r="A202" s="1305" t="s">
        <v>1301</v>
      </c>
      <c r="B202" s="1323" t="s">
        <v>890</v>
      </c>
      <c r="C202" s="1322">
        <v>35363</v>
      </c>
      <c r="D202" s="1322">
        <v>35727</v>
      </c>
      <c r="E202" s="1322">
        <v>36111</v>
      </c>
      <c r="F202" s="1322">
        <v>36490</v>
      </c>
      <c r="G202" s="1322">
        <v>36854</v>
      </c>
      <c r="H202" s="1322">
        <v>37223</v>
      </c>
      <c r="I202" s="1322">
        <v>37587</v>
      </c>
      <c r="J202" s="1322">
        <v>37951</v>
      </c>
      <c r="K202" s="1322">
        <v>38306</v>
      </c>
      <c r="L202" s="1322">
        <v>38670</v>
      </c>
      <c r="M202" s="1322">
        <v>39224</v>
      </c>
      <c r="N202" s="1322">
        <v>39384</v>
      </c>
      <c r="O202" s="1322">
        <v>39749</v>
      </c>
      <c r="P202" s="1322">
        <v>40113</v>
      </c>
      <c r="Q202" s="1322">
        <v>40472</v>
      </c>
      <c r="R202" s="1322">
        <v>40836</v>
      </c>
      <c r="S202" s="1322">
        <v>41204</v>
      </c>
      <c r="T202" s="1322">
        <v>41569</v>
      </c>
      <c r="U202" s="1322">
        <v>41933</v>
      </c>
      <c r="V202" s="1322">
        <v>42299</v>
      </c>
      <c r="W202" s="1322">
        <v>42663</v>
      </c>
      <c r="X202" s="1322">
        <v>42663</v>
      </c>
      <c r="Y202" s="1322">
        <v>42663</v>
      </c>
      <c r="Z202" s="1322">
        <v>42744</v>
      </c>
    </row>
    <row r="203" spans="1:255" x14ac:dyDescent="0.2">
      <c r="A203" s="1305" t="s">
        <v>1302</v>
      </c>
      <c r="B203" s="1323" t="s">
        <v>1390</v>
      </c>
      <c r="C203" s="1323" t="s">
        <v>1304</v>
      </c>
      <c r="D203" s="1323" t="s">
        <v>1307</v>
      </c>
      <c r="E203" s="1323" t="s">
        <v>1304</v>
      </c>
      <c r="F203" s="1323" t="s">
        <v>1307</v>
      </c>
      <c r="G203" s="1323" t="s">
        <v>1306</v>
      </c>
      <c r="H203" s="1323" t="s">
        <v>1307</v>
      </c>
      <c r="I203" s="1323" t="s">
        <v>1304</v>
      </c>
      <c r="J203" s="1323" t="s">
        <v>1304</v>
      </c>
      <c r="K203" s="1323" t="s">
        <v>1304</v>
      </c>
      <c r="L203" s="1323" t="s">
        <v>1304</v>
      </c>
      <c r="M203" s="1323" t="s">
        <v>1306</v>
      </c>
      <c r="N203" s="1323" t="s">
        <v>1306</v>
      </c>
      <c r="O203" s="1323" t="s">
        <v>1304</v>
      </c>
      <c r="P203" s="1323" t="s">
        <v>1304</v>
      </c>
      <c r="Q203" s="1323" t="s">
        <v>1304</v>
      </c>
      <c r="R203" s="1323" t="s">
        <v>1304</v>
      </c>
      <c r="S203" s="1323" t="s">
        <v>1304</v>
      </c>
      <c r="T203" s="1323" t="s">
        <v>1304</v>
      </c>
      <c r="U203" s="1323" t="s">
        <v>1304</v>
      </c>
      <c r="V203" s="1323" t="s">
        <v>1304</v>
      </c>
      <c r="W203" s="1323" t="s">
        <v>1304</v>
      </c>
      <c r="X203" s="1323" t="s">
        <v>1306</v>
      </c>
      <c r="Y203" s="1323" t="s">
        <v>1303</v>
      </c>
      <c r="Z203" s="1323" t="s">
        <v>1303</v>
      </c>
    </row>
    <row r="204" spans="1:255" x14ac:dyDescent="0.2">
      <c r="A204" s="1305" t="s">
        <v>1308</v>
      </c>
      <c r="B204" s="1323" t="s">
        <v>890</v>
      </c>
      <c r="C204" s="1323" t="s">
        <v>1391</v>
      </c>
      <c r="D204" s="1323" t="s">
        <v>1391</v>
      </c>
      <c r="E204" s="1323" t="s">
        <v>1391</v>
      </c>
      <c r="F204" s="1323" t="s">
        <v>1391</v>
      </c>
      <c r="G204" s="1323" t="s">
        <v>1391</v>
      </c>
      <c r="H204" s="1323" t="s">
        <v>1391</v>
      </c>
      <c r="I204" s="1323" t="s">
        <v>1391</v>
      </c>
      <c r="J204" s="1323" t="s">
        <v>1391</v>
      </c>
      <c r="K204" s="1323" t="s">
        <v>1391</v>
      </c>
      <c r="L204" s="1323" t="s">
        <v>1391</v>
      </c>
      <c r="M204" s="1323" t="s">
        <v>1391</v>
      </c>
      <c r="N204" s="1323" t="s">
        <v>1391</v>
      </c>
      <c r="O204" s="1323" t="s">
        <v>1391</v>
      </c>
      <c r="P204" s="1323" t="s">
        <v>1391</v>
      </c>
      <c r="Q204" s="1323" t="s">
        <v>1391</v>
      </c>
      <c r="R204" s="1323" t="s">
        <v>1391</v>
      </c>
      <c r="S204" s="1323" t="s">
        <v>1391</v>
      </c>
      <c r="T204" s="1323" t="s">
        <v>1391</v>
      </c>
      <c r="U204" s="1323" t="s">
        <v>1391</v>
      </c>
      <c r="V204" s="1323" t="s">
        <v>1391</v>
      </c>
      <c r="W204" s="1323" t="s">
        <v>1391</v>
      </c>
      <c r="X204" s="1323" t="s">
        <v>1309</v>
      </c>
      <c r="Y204" s="1323" t="s">
        <v>1309</v>
      </c>
      <c r="Z204" s="1323" t="s">
        <v>1309</v>
      </c>
    </row>
    <row r="205" spans="1:255" x14ac:dyDescent="0.2">
      <c r="A205" s="1305"/>
      <c r="B205" s="1305"/>
      <c r="C205" s="1305"/>
      <c r="D205" s="1305"/>
      <c r="E205" s="1305"/>
      <c r="F205" s="1305"/>
      <c r="G205" s="1305"/>
      <c r="H205" s="1305"/>
      <c r="I205" s="1305"/>
      <c r="J205" s="1305"/>
      <c r="K205" s="1305"/>
      <c r="L205" s="1305"/>
      <c r="M205" s="1305"/>
      <c r="N205" s="1305"/>
      <c r="O205" s="1305"/>
      <c r="P205" s="1305"/>
      <c r="Q205" s="1305"/>
      <c r="R205" s="1305"/>
      <c r="S205" s="1305"/>
      <c r="T205" s="1305"/>
      <c r="U205" s="1305"/>
      <c r="V205" s="1305"/>
      <c r="W205" s="1305"/>
      <c r="X205" s="1305"/>
      <c r="Y205" s="1305"/>
      <c r="Z205" s="1305"/>
    </row>
    <row r="206" spans="1:255" x14ac:dyDescent="0.2">
      <c r="A206" s="1328"/>
      <c r="B206" s="1328"/>
      <c r="C206" s="1328"/>
      <c r="D206" s="1328"/>
      <c r="E206" s="1328"/>
      <c r="F206" s="1328"/>
      <c r="G206" s="1328"/>
      <c r="H206" s="1328"/>
      <c r="I206" s="1328"/>
      <c r="J206" s="1328"/>
      <c r="K206" s="1328"/>
      <c r="L206" s="1328"/>
      <c r="M206" s="1328"/>
      <c r="N206" s="1328"/>
      <c r="O206" s="1328"/>
      <c r="P206" s="1328"/>
      <c r="Q206" s="1328"/>
      <c r="R206" s="1328"/>
      <c r="S206" s="1328"/>
      <c r="T206" s="1328"/>
      <c r="U206" s="1328"/>
      <c r="V206" s="1328"/>
      <c r="W206" s="1328"/>
      <c r="X206" s="1328"/>
      <c r="Y206" s="1328"/>
      <c r="Z206" s="1328"/>
    </row>
    <row r="207" spans="1:255" x14ac:dyDescent="0.2">
      <c r="A207" s="1308" t="s">
        <v>1392</v>
      </c>
      <c r="B207" s="1308"/>
      <c r="C207" s="1308"/>
      <c r="D207" s="1308"/>
      <c r="E207" s="1308"/>
      <c r="F207" s="1308"/>
      <c r="G207" s="1308"/>
      <c r="H207" s="1308"/>
      <c r="I207" s="1308"/>
      <c r="J207" s="1308"/>
      <c r="K207" s="1308"/>
      <c r="L207" s="1308"/>
      <c r="M207" s="1308"/>
      <c r="N207" s="1308"/>
      <c r="O207" s="1308"/>
      <c r="P207" s="1308"/>
      <c r="Q207" s="1308"/>
      <c r="R207" s="1308"/>
      <c r="S207" s="1308"/>
      <c r="T207" s="1308"/>
      <c r="U207" s="1308"/>
      <c r="V207" s="1308"/>
      <c r="W207" s="1308"/>
      <c r="X207" s="1308"/>
      <c r="Y207" s="1308"/>
      <c r="Z207" s="1308"/>
      <c r="AA207" s="1309"/>
      <c r="AB207" s="1309"/>
      <c r="AC207" s="1309"/>
      <c r="AD207" s="1309"/>
      <c r="AE207" s="1309"/>
      <c r="AF207" s="1309"/>
      <c r="AG207" s="1309"/>
      <c r="AH207" s="1309"/>
      <c r="AI207" s="1309"/>
      <c r="AJ207" s="1309"/>
      <c r="AK207" s="1309"/>
      <c r="AL207" s="1309"/>
      <c r="AM207" s="1309"/>
      <c r="AN207" s="1309"/>
      <c r="AO207" s="1309"/>
      <c r="AP207" s="1309"/>
      <c r="AQ207" s="1309"/>
      <c r="AR207" s="1309"/>
      <c r="AS207" s="1309"/>
      <c r="AT207" s="1309"/>
      <c r="AU207" s="1309"/>
      <c r="AV207" s="1309"/>
      <c r="AW207" s="1309"/>
      <c r="AX207" s="1309"/>
      <c r="AY207" s="1309"/>
      <c r="AZ207" s="1309"/>
      <c r="BA207" s="1309"/>
      <c r="BB207" s="1309"/>
      <c r="BC207" s="1309"/>
      <c r="BD207" s="1309"/>
      <c r="BE207" s="1309"/>
      <c r="BF207" s="1309"/>
      <c r="BG207" s="1309"/>
      <c r="BH207" s="1309"/>
      <c r="BI207" s="1309"/>
      <c r="BJ207" s="1309"/>
      <c r="BK207" s="1309"/>
      <c r="BL207" s="1309"/>
      <c r="BM207" s="1309"/>
      <c r="BN207" s="1309"/>
      <c r="BO207" s="1309"/>
      <c r="BP207" s="1309"/>
      <c r="BQ207" s="1309"/>
      <c r="BR207" s="1309"/>
      <c r="BS207" s="1309"/>
      <c r="BT207" s="1309"/>
      <c r="BU207" s="1309"/>
      <c r="BV207" s="1309"/>
      <c r="BW207" s="1309"/>
      <c r="BX207" s="1309"/>
      <c r="BY207" s="1309"/>
      <c r="BZ207" s="1309"/>
      <c r="CA207" s="1309"/>
      <c r="CB207" s="1309"/>
      <c r="CC207" s="1309"/>
      <c r="CD207" s="1309"/>
      <c r="CE207" s="1309"/>
      <c r="CF207" s="1309"/>
      <c r="CG207" s="1309"/>
      <c r="CH207" s="1309"/>
      <c r="CI207" s="1309"/>
      <c r="CJ207" s="1309"/>
      <c r="CK207" s="1309"/>
      <c r="CL207" s="1309"/>
      <c r="CM207" s="1309"/>
      <c r="CN207" s="1309"/>
      <c r="CO207" s="1309"/>
      <c r="CP207" s="1309"/>
      <c r="CQ207" s="1309"/>
      <c r="CR207" s="1309"/>
      <c r="CS207" s="1309"/>
      <c r="CT207" s="1309"/>
      <c r="CU207" s="1309"/>
      <c r="CV207" s="1309"/>
      <c r="CW207" s="1309"/>
      <c r="CX207" s="1309"/>
      <c r="CY207" s="1309"/>
      <c r="CZ207" s="1309"/>
      <c r="DA207" s="1309"/>
      <c r="DB207" s="1309"/>
      <c r="DC207" s="1309"/>
      <c r="DD207" s="1309"/>
      <c r="DE207" s="1309"/>
      <c r="DF207" s="1309"/>
      <c r="DG207" s="1309"/>
      <c r="DH207" s="1309"/>
      <c r="DI207" s="1309"/>
      <c r="DJ207" s="1309"/>
      <c r="DK207" s="1309"/>
      <c r="DL207" s="1309"/>
      <c r="DM207" s="1309"/>
      <c r="DN207" s="1309"/>
      <c r="DO207" s="1309"/>
      <c r="DP207" s="1309"/>
      <c r="DQ207" s="1309"/>
      <c r="DR207" s="1309"/>
      <c r="DS207" s="1309"/>
      <c r="DT207" s="1309"/>
      <c r="DU207" s="1309"/>
      <c r="DV207" s="1309"/>
      <c r="DW207" s="1309"/>
      <c r="DX207" s="1309"/>
      <c r="DY207" s="1309"/>
      <c r="DZ207" s="1309"/>
      <c r="EA207" s="1309"/>
      <c r="EB207" s="1309"/>
      <c r="EC207" s="1309"/>
      <c r="ED207" s="1309"/>
      <c r="EE207" s="1309"/>
      <c r="EF207" s="1309"/>
      <c r="EG207" s="1309"/>
      <c r="EH207" s="1309"/>
      <c r="EI207" s="1309"/>
      <c r="EJ207" s="1309"/>
      <c r="EK207" s="1309"/>
      <c r="EL207" s="1309"/>
      <c r="EM207" s="1309"/>
      <c r="EN207" s="1309"/>
      <c r="EO207" s="1309"/>
      <c r="EP207" s="1309"/>
      <c r="EQ207" s="1309"/>
      <c r="ER207" s="1309"/>
      <c r="ES207" s="1309"/>
      <c r="ET207" s="1309"/>
      <c r="EU207" s="1309"/>
      <c r="EV207" s="1309"/>
      <c r="EW207" s="1309"/>
      <c r="EX207" s="1309"/>
      <c r="EY207" s="1309"/>
      <c r="EZ207" s="1309"/>
      <c r="FA207" s="1309"/>
      <c r="FB207" s="1309"/>
      <c r="FC207" s="1309"/>
      <c r="FD207" s="1309"/>
      <c r="FE207" s="1309"/>
      <c r="FF207" s="1309"/>
      <c r="FG207" s="1309"/>
      <c r="FH207" s="1309"/>
      <c r="FI207" s="1309"/>
      <c r="FJ207" s="1309"/>
      <c r="FK207" s="1309"/>
      <c r="FL207" s="1309"/>
      <c r="FM207" s="1309"/>
      <c r="FN207" s="1309"/>
      <c r="FO207" s="1309"/>
      <c r="FP207" s="1309"/>
      <c r="FQ207" s="1309"/>
      <c r="FR207" s="1309"/>
      <c r="FS207" s="1309"/>
      <c r="FT207" s="1309"/>
      <c r="FU207" s="1309"/>
      <c r="FV207" s="1309"/>
      <c r="FW207" s="1309"/>
      <c r="FX207" s="1309"/>
      <c r="FY207" s="1309"/>
      <c r="FZ207" s="1309"/>
      <c r="GA207" s="1309"/>
      <c r="GB207" s="1309"/>
      <c r="GC207" s="1309"/>
      <c r="GD207" s="1309"/>
      <c r="GE207" s="1309"/>
      <c r="GF207" s="1309"/>
      <c r="GG207" s="1309"/>
      <c r="GH207" s="1309"/>
      <c r="GI207" s="1309"/>
      <c r="GJ207" s="1309"/>
      <c r="GK207" s="1309"/>
      <c r="GL207" s="1309"/>
      <c r="GM207" s="1309"/>
      <c r="GN207" s="1309"/>
      <c r="GO207" s="1309"/>
      <c r="GP207" s="1309"/>
      <c r="GQ207" s="1309"/>
      <c r="GR207" s="1309"/>
      <c r="GS207" s="1309"/>
      <c r="GT207" s="1309"/>
      <c r="GU207" s="1309"/>
      <c r="GV207" s="1309"/>
      <c r="GW207" s="1309"/>
      <c r="GX207" s="1309"/>
      <c r="GY207" s="1309"/>
      <c r="GZ207" s="1309"/>
      <c r="HA207" s="1309"/>
      <c r="HB207" s="1309"/>
      <c r="HC207" s="1309"/>
      <c r="HD207" s="1309"/>
      <c r="HE207" s="1309"/>
      <c r="HF207" s="1309"/>
      <c r="HG207" s="1309"/>
      <c r="HH207" s="1309"/>
      <c r="HI207" s="1309"/>
      <c r="HJ207" s="1309"/>
      <c r="HK207" s="1309"/>
      <c r="HL207" s="1309"/>
      <c r="HM207" s="1309"/>
      <c r="HN207" s="1309"/>
      <c r="HO207" s="1309"/>
      <c r="HP207" s="1309"/>
      <c r="HQ207" s="1309"/>
      <c r="HR207" s="1309"/>
      <c r="HS207" s="1309"/>
      <c r="HT207" s="1309"/>
      <c r="HU207" s="1309"/>
      <c r="HV207" s="1309"/>
      <c r="HW207" s="1309"/>
      <c r="HX207" s="1309"/>
      <c r="HY207" s="1309"/>
      <c r="HZ207" s="1309"/>
      <c r="IA207" s="1309"/>
      <c r="IB207" s="1309"/>
      <c r="IC207" s="1309"/>
      <c r="ID207" s="1309"/>
      <c r="IE207" s="1309"/>
      <c r="IF207" s="1309"/>
      <c r="IG207" s="1309"/>
      <c r="IH207" s="1309"/>
      <c r="II207" s="1309"/>
      <c r="IJ207" s="1309"/>
      <c r="IK207" s="1309"/>
      <c r="IL207" s="1309"/>
      <c r="IM207" s="1309"/>
      <c r="IN207" s="1309"/>
      <c r="IO207" s="1309"/>
      <c r="IP207" s="1309"/>
      <c r="IQ207" s="1309"/>
      <c r="IR207" s="1309"/>
      <c r="IS207" s="1309"/>
      <c r="IT207" s="1309"/>
      <c r="IU207" s="1309"/>
    </row>
    <row r="208" spans="1:255" ht="31.5" x14ac:dyDescent="0.25">
      <c r="A208" s="1310" t="s">
        <v>1214</v>
      </c>
      <c r="B208" s="1311" t="s">
        <v>1215</v>
      </c>
      <c r="C208" s="1311" t="s">
        <v>1216</v>
      </c>
      <c r="D208" s="1311" t="s">
        <v>1393</v>
      </c>
      <c r="E208" s="1311" t="s">
        <v>1394</v>
      </c>
      <c r="F208" s="1311" t="s">
        <v>1395</v>
      </c>
      <c r="G208" s="1311" t="s">
        <v>1396</v>
      </c>
      <c r="H208" s="1311" t="s">
        <v>1397</v>
      </c>
      <c r="I208" s="1311" t="s">
        <v>1222</v>
      </c>
      <c r="J208" s="1311" t="s">
        <v>1223</v>
      </c>
      <c r="K208" s="1311" t="s">
        <v>1224</v>
      </c>
      <c r="L208" s="1311" t="s">
        <v>1398</v>
      </c>
      <c r="M208" s="1311" t="s">
        <v>1226</v>
      </c>
      <c r="N208" s="1311" t="s">
        <v>1227</v>
      </c>
      <c r="O208" s="1311" t="s">
        <v>1399</v>
      </c>
      <c r="P208" s="1311" t="s">
        <v>1229</v>
      </c>
      <c r="Q208" s="1311" t="s">
        <v>1400</v>
      </c>
      <c r="R208" s="1311" t="s">
        <v>1401</v>
      </c>
      <c r="S208" s="1311" t="s">
        <v>1402</v>
      </c>
      <c r="T208" s="1311" t="s">
        <v>1403</v>
      </c>
      <c r="U208" s="1311" t="s">
        <v>1404</v>
      </c>
      <c r="V208" s="1311" t="s">
        <v>1405</v>
      </c>
      <c r="W208" s="1311" t="s">
        <v>1406</v>
      </c>
      <c r="X208" s="1311" t="s">
        <v>1407</v>
      </c>
      <c r="Y208" s="1311" t="s">
        <v>1238</v>
      </c>
      <c r="Z208" s="1311" t="s">
        <v>1239</v>
      </c>
    </row>
    <row r="209" spans="1:26" x14ac:dyDescent="0.2">
      <c r="A209" s="1312" t="s">
        <v>1240</v>
      </c>
      <c r="B209" s="1313" t="s">
        <v>10</v>
      </c>
      <c r="C209" s="1313" t="s">
        <v>10</v>
      </c>
      <c r="D209" s="1313" t="s">
        <v>10</v>
      </c>
      <c r="E209" s="1313" t="s">
        <v>10</v>
      </c>
      <c r="F209" s="1313" t="s">
        <v>10</v>
      </c>
      <c r="G209" s="1313" t="s">
        <v>10</v>
      </c>
      <c r="H209" s="1313" t="s">
        <v>10</v>
      </c>
      <c r="I209" s="1313" t="s">
        <v>10</v>
      </c>
      <c r="J209" s="1313" t="s">
        <v>10</v>
      </c>
      <c r="K209" s="1313" t="s">
        <v>10</v>
      </c>
      <c r="L209" s="1313" t="s">
        <v>10</v>
      </c>
      <c r="M209" s="1313" t="s">
        <v>10</v>
      </c>
      <c r="N209" s="1313" t="s">
        <v>10</v>
      </c>
      <c r="O209" s="1313" t="s">
        <v>10</v>
      </c>
      <c r="P209" s="1313" t="s">
        <v>10</v>
      </c>
      <c r="Q209" s="1313" t="s">
        <v>10</v>
      </c>
      <c r="R209" s="1313" t="s">
        <v>10</v>
      </c>
      <c r="S209" s="1313" t="s">
        <v>10</v>
      </c>
      <c r="T209" s="1313" t="s">
        <v>10</v>
      </c>
      <c r="U209" s="1313" t="s">
        <v>10</v>
      </c>
      <c r="V209" s="1313" t="s">
        <v>10</v>
      </c>
      <c r="W209" s="1313" t="s">
        <v>10</v>
      </c>
      <c r="X209" s="1313" t="s">
        <v>10</v>
      </c>
      <c r="Y209" s="1313" t="s">
        <v>10</v>
      </c>
      <c r="Z209" s="1313" t="s">
        <v>10</v>
      </c>
    </row>
    <row r="210" spans="1:26" ht="10.5" x14ac:dyDescent="0.2">
      <c r="A210" s="1314" t="s">
        <v>1241</v>
      </c>
      <c r="B210" s="1305"/>
      <c r="C210" s="1305"/>
      <c r="D210" s="1305"/>
      <c r="E210" s="1305"/>
      <c r="F210" s="1305"/>
      <c r="G210" s="1305"/>
      <c r="H210" s="1305"/>
      <c r="I210" s="1305"/>
      <c r="J210" s="1305"/>
      <c r="K210" s="1305"/>
      <c r="L210" s="1305"/>
      <c r="M210" s="1305"/>
      <c r="N210" s="1305"/>
      <c r="O210" s="1305"/>
      <c r="P210" s="1305"/>
      <c r="Q210" s="1305"/>
      <c r="R210" s="1305"/>
      <c r="S210" s="1305"/>
      <c r="T210" s="1305"/>
      <c r="U210" s="1305"/>
      <c r="V210" s="1305"/>
      <c r="W210" s="1305"/>
      <c r="X210" s="1305"/>
      <c r="Y210" s="1305"/>
      <c r="Z210" s="1305"/>
    </row>
    <row r="211" spans="1:26" ht="10.5" x14ac:dyDescent="0.2">
      <c r="A211" s="1314" t="s">
        <v>55</v>
      </c>
      <c r="B211" s="1317">
        <v>1.143</v>
      </c>
      <c r="C211" s="1317">
        <v>4.9119999999999999</v>
      </c>
      <c r="D211" s="1317">
        <v>12.6</v>
      </c>
      <c r="E211" s="1317">
        <v>21.391999999999999</v>
      </c>
      <c r="F211" s="1317">
        <v>33.378999999999998</v>
      </c>
      <c r="G211" s="1317">
        <v>46.296999999999997</v>
      </c>
      <c r="H211" s="1317">
        <v>59.005000000000003</v>
      </c>
      <c r="I211" s="1317">
        <v>71.191000000000003</v>
      </c>
      <c r="J211" s="1317">
        <v>107.81699999999999</v>
      </c>
      <c r="K211" s="1317">
        <v>161.15</v>
      </c>
      <c r="L211" s="1317">
        <v>247.01</v>
      </c>
      <c r="M211" s="1317">
        <v>280.08499999999998</v>
      </c>
      <c r="N211" s="1317">
        <v>427.93299999999999</v>
      </c>
      <c r="O211" s="1317">
        <v>414.83300000000003</v>
      </c>
      <c r="P211" s="1317">
        <v>408.81</v>
      </c>
      <c r="Q211" s="1317">
        <v>476.52499999999998</v>
      </c>
      <c r="R211" s="1317">
        <v>598.31899999999996</v>
      </c>
      <c r="S211" s="1317">
        <v>553.00199999999995</v>
      </c>
      <c r="T211" s="1317">
        <v>572.42700000000002</v>
      </c>
      <c r="U211" s="1317">
        <v>422.678</v>
      </c>
      <c r="V211" s="1317">
        <v>248.52600000000001</v>
      </c>
      <c r="W211" s="1317">
        <v>209.304</v>
      </c>
      <c r="X211" s="1317">
        <v>29.754999999999999</v>
      </c>
      <c r="Y211" s="1317">
        <v>-84.6</v>
      </c>
      <c r="Z211" s="1317">
        <v>-19.7</v>
      </c>
    </row>
    <row r="212" spans="1:26" x14ac:dyDescent="0.2">
      <c r="A212" s="1305" t="s">
        <v>1250</v>
      </c>
      <c r="B212" s="1315">
        <v>1.819</v>
      </c>
      <c r="C212" s="1315">
        <v>1.9970000000000001</v>
      </c>
      <c r="D212" s="1315">
        <v>2.7509999999999999</v>
      </c>
      <c r="E212" s="1315">
        <v>4.5</v>
      </c>
      <c r="F212" s="1315">
        <v>6.4</v>
      </c>
      <c r="G212" s="1315">
        <v>9.9</v>
      </c>
      <c r="H212" s="1315">
        <v>16.5</v>
      </c>
      <c r="I212" s="1315">
        <v>24.2</v>
      </c>
      <c r="J212" s="1315">
        <v>29.7</v>
      </c>
      <c r="K212" s="1315">
        <v>35.1</v>
      </c>
      <c r="L212" s="1315">
        <v>40.305</v>
      </c>
      <c r="M212" s="1315">
        <v>45.786999999999999</v>
      </c>
      <c r="N212" s="1315">
        <v>45.591999999999999</v>
      </c>
      <c r="O212" s="1315">
        <v>64.790000000000006</v>
      </c>
      <c r="P212" s="1315">
        <v>66.683000000000007</v>
      </c>
      <c r="Q212" s="1315">
        <v>81.195999999999998</v>
      </c>
      <c r="R212" s="1315">
        <v>91.55</v>
      </c>
      <c r="S212" s="1315">
        <v>106.13500000000001</v>
      </c>
      <c r="T212" s="1315">
        <v>129.30600000000001</v>
      </c>
      <c r="U212" s="1315">
        <v>147.934</v>
      </c>
      <c r="V212" s="1315">
        <v>157.733</v>
      </c>
      <c r="W212" s="1315">
        <v>138.47499999999999</v>
      </c>
      <c r="X212" s="1315">
        <v>117.812</v>
      </c>
      <c r="Y212" s="1315">
        <v>76.930000000000007</v>
      </c>
      <c r="Z212" s="1315">
        <v>76.39</v>
      </c>
    </row>
    <row r="213" spans="1:26" x14ac:dyDescent="0.2">
      <c r="A213" s="1305" t="s">
        <v>1408</v>
      </c>
      <c r="B213" s="1315">
        <v>0</v>
      </c>
      <c r="C213" s="1315">
        <v>0</v>
      </c>
      <c r="D213" s="1315">
        <v>0</v>
      </c>
      <c r="E213" s="1315">
        <v>1.593</v>
      </c>
      <c r="F213" s="1315">
        <v>1.891</v>
      </c>
      <c r="G213" s="1315">
        <v>2.8860000000000001</v>
      </c>
      <c r="H213" s="1315">
        <v>3.4710000000000001</v>
      </c>
      <c r="I213" s="1315">
        <v>2.8519999999999999</v>
      </c>
      <c r="J213" s="1315">
        <v>3.04</v>
      </c>
      <c r="K213" s="1315">
        <v>7.9000000000000001E-2</v>
      </c>
      <c r="L213" s="1315">
        <v>0</v>
      </c>
      <c r="M213" s="1315">
        <v>0</v>
      </c>
      <c r="N213" s="1315">
        <v>0</v>
      </c>
      <c r="O213" s="1315">
        <v>0</v>
      </c>
      <c r="P213" s="1315">
        <v>0.4</v>
      </c>
      <c r="Q213" s="1315">
        <v>3.4</v>
      </c>
      <c r="R213" s="1315">
        <v>9.3000000000000007</v>
      </c>
      <c r="S213" s="1315">
        <v>24.8</v>
      </c>
      <c r="T213" s="1315">
        <v>14.7</v>
      </c>
      <c r="U213" s="1315">
        <v>20.2</v>
      </c>
      <c r="V213" s="1315">
        <v>4</v>
      </c>
      <c r="W213" s="1315">
        <v>12.1</v>
      </c>
      <c r="X213" s="1315">
        <v>14.2</v>
      </c>
      <c r="Y213" s="1315">
        <v>14.3</v>
      </c>
      <c r="Z213" s="1315">
        <v>14.3</v>
      </c>
    </row>
    <row r="214" spans="1:26" ht="10.5" x14ac:dyDescent="0.2">
      <c r="A214" s="1314" t="s">
        <v>1409</v>
      </c>
      <c r="B214" s="1316">
        <v>1.819</v>
      </c>
      <c r="C214" s="1316">
        <v>1.9970000000000001</v>
      </c>
      <c r="D214" s="1316">
        <v>2.7509999999999999</v>
      </c>
      <c r="E214" s="1316">
        <v>6.093</v>
      </c>
      <c r="F214" s="1316">
        <v>8.2910000000000004</v>
      </c>
      <c r="G214" s="1316">
        <v>12.786</v>
      </c>
      <c r="H214" s="1316">
        <v>19.971</v>
      </c>
      <c r="I214" s="1316">
        <v>27.052</v>
      </c>
      <c r="J214" s="1316">
        <v>32.74</v>
      </c>
      <c r="K214" s="1316">
        <v>35.179000000000002</v>
      </c>
      <c r="L214" s="1316">
        <v>40.305</v>
      </c>
      <c r="M214" s="1316">
        <v>45.786999999999999</v>
      </c>
      <c r="N214" s="1316">
        <v>45.591999999999999</v>
      </c>
      <c r="O214" s="1316">
        <v>64.790000000000006</v>
      </c>
      <c r="P214" s="1316">
        <v>67.082999999999998</v>
      </c>
      <c r="Q214" s="1316">
        <v>84.596000000000004</v>
      </c>
      <c r="R214" s="1316">
        <v>100.85</v>
      </c>
      <c r="S214" s="1316">
        <v>130.935</v>
      </c>
      <c r="T214" s="1316">
        <v>144.006</v>
      </c>
      <c r="U214" s="1316">
        <v>168.13399999999999</v>
      </c>
      <c r="V214" s="1316">
        <v>161.733</v>
      </c>
      <c r="W214" s="1316">
        <v>150.57499999999999</v>
      </c>
      <c r="X214" s="1316">
        <v>132.012</v>
      </c>
      <c r="Y214" s="1316">
        <v>91.23</v>
      </c>
      <c r="Z214" s="1316">
        <v>90.69</v>
      </c>
    </row>
    <row r="215" spans="1:26" x14ac:dyDescent="0.2">
      <c r="A215" s="1305"/>
      <c r="B215" s="1305"/>
      <c r="C215" s="1305"/>
      <c r="D215" s="1305"/>
      <c r="E215" s="1305"/>
      <c r="F215" s="1305"/>
      <c r="G215" s="1305"/>
      <c r="H215" s="1305"/>
      <c r="I215" s="1305"/>
      <c r="J215" s="1305"/>
      <c r="K215" s="1305"/>
      <c r="L215" s="1305"/>
      <c r="M215" s="1305"/>
      <c r="N215" s="1305"/>
      <c r="O215" s="1305"/>
      <c r="P215" s="1305"/>
      <c r="Q215" s="1305"/>
      <c r="R215" s="1305"/>
      <c r="S215" s="1305"/>
      <c r="T215" s="1305"/>
      <c r="U215" s="1305"/>
      <c r="V215" s="1305"/>
      <c r="W215" s="1305"/>
      <c r="X215" s="1305"/>
      <c r="Y215" s="1305"/>
      <c r="Z215" s="1305"/>
    </row>
    <row r="216" spans="1:26" x14ac:dyDescent="0.2">
      <c r="A216" s="1305" t="s">
        <v>1410</v>
      </c>
      <c r="B216" s="1315">
        <v>1.0980000000000001</v>
      </c>
      <c r="C216" s="1315">
        <v>1.365</v>
      </c>
      <c r="D216" s="1315">
        <v>1.375</v>
      </c>
      <c r="E216" s="1315">
        <v>0</v>
      </c>
      <c r="F216" s="1315">
        <v>0</v>
      </c>
      <c r="G216" s="1315">
        <v>0</v>
      </c>
      <c r="H216" s="1315">
        <v>0</v>
      </c>
      <c r="I216" s="1315">
        <v>0</v>
      </c>
      <c r="J216" s="1315">
        <v>0</v>
      </c>
      <c r="K216" s="1315">
        <v>0</v>
      </c>
      <c r="L216" s="1315">
        <v>0</v>
      </c>
      <c r="M216" s="1315">
        <v>0</v>
      </c>
      <c r="N216" s="1315">
        <v>0</v>
      </c>
      <c r="O216" s="1315">
        <v>2.5</v>
      </c>
      <c r="P216" s="1315">
        <v>4.3</v>
      </c>
      <c r="Q216" s="1315">
        <v>7.9</v>
      </c>
      <c r="R216" s="1315">
        <v>12.5</v>
      </c>
      <c r="S216" s="1315">
        <v>16.100000000000001</v>
      </c>
      <c r="T216" s="1315">
        <v>15</v>
      </c>
      <c r="U216" s="1315">
        <v>10.1</v>
      </c>
      <c r="V216" s="1315">
        <v>0</v>
      </c>
      <c r="W216" s="1315">
        <v>0</v>
      </c>
      <c r="X216" s="1315">
        <v>0</v>
      </c>
      <c r="Y216" s="1315">
        <v>34.5</v>
      </c>
      <c r="Z216" s="1315">
        <v>34.5</v>
      </c>
    </row>
    <row r="217" spans="1:26" x14ac:dyDescent="0.2">
      <c r="A217" s="1305" t="s">
        <v>1411</v>
      </c>
      <c r="B217" s="1315">
        <v>0</v>
      </c>
      <c r="C217" s="1315">
        <v>-0.1</v>
      </c>
      <c r="D217" s="1315">
        <v>0.60199999999999998</v>
      </c>
      <c r="E217" s="1315">
        <v>0</v>
      </c>
      <c r="F217" s="1315">
        <v>0</v>
      </c>
      <c r="G217" s="1315">
        <v>0</v>
      </c>
      <c r="H217" s="1315">
        <v>0</v>
      </c>
      <c r="I217" s="1315">
        <v>0</v>
      </c>
      <c r="J217" s="1315">
        <v>0</v>
      </c>
      <c r="K217" s="1315">
        <v>0</v>
      </c>
      <c r="L217" s="1315">
        <v>0</v>
      </c>
      <c r="M217" s="1315">
        <v>0</v>
      </c>
      <c r="N217" s="1315">
        <v>0</v>
      </c>
      <c r="O217" s="1315">
        <v>-1.7</v>
      </c>
      <c r="P217" s="1315">
        <v>-1.8</v>
      </c>
      <c r="Q217" s="1315">
        <v>-1.8</v>
      </c>
      <c r="R217" s="1315">
        <v>-1.7</v>
      </c>
      <c r="S217" s="1315">
        <v>-1.7</v>
      </c>
      <c r="T217" s="1315">
        <v>0</v>
      </c>
      <c r="U217" s="1315">
        <v>-26.7</v>
      </c>
      <c r="V217" s="1315">
        <v>8.19</v>
      </c>
      <c r="W217" s="1315">
        <v>0.55600000000000005</v>
      </c>
      <c r="X217" s="1315">
        <v>16.898</v>
      </c>
      <c r="Y217" s="1315">
        <v>1.673</v>
      </c>
      <c r="Z217" s="1315">
        <v>1.9390000000000001</v>
      </c>
    </row>
    <row r="218" spans="1:26" x14ac:dyDescent="0.2">
      <c r="A218" s="1305" t="s">
        <v>1412</v>
      </c>
      <c r="B218" s="1315">
        <v>0</v>
      </c>
      <c r="C218" s="1315">
        <v>0</v>
      </c>
      <c r="D218" s="1315">
        <v>0</v>
      </c>
      <c r="E218" s="1315">
        <v>0</v>
      </c>
      <c r="F218" s="1315">
        <v>0</v>
      </c>
      <c r="G218" s="1315">
        <v>0</v>
      </c>
      <c r="H218" s="1315">
        <v>0.61699999999999999</v>
      </c>
      <c r="I218" s="1315">
        <v>0.316</v>
      </c>
      <c r="J218" s="1315">
        <v>-1.4</v>
      </c>
      <c r="K218" s="1315">
        <v>3.4430000000000001</v>
      </c>
      <c r="L218" s="1315">
        <v>5.1920000000000002</v>
      </c>
      <c r="M218" s="1315">
        <v>7.8209999999999997</v>
      </c>
      <c r="N218" s="1315">
        <v>3.5859999999999999</v>
      </c>
      <c r="O218" s="1315">
        <v>0.92900000000000005</v>
      </c>
      <c r="P218" s="1315">
        <v>0</v>
      </c>
      <c r="Q218" s="1315">
        <v>0</v>
      </c>
      <c r="R218" s="1315">
        <v>0</v>
      </c>
      <c r="S218" s="1315">
        <v>0</v>
      </c>
      <c r="T218" s="1315">
        <v>0</v>
      </c>
      <c r="U218" s="1315">
        <v>0</v>
      </c>
      <c r="V218" s="1315">
        <v>0</v>
      </c>
      <c r="W218" s="1315">
        <v>0</v>
      </c>
      <c r="X218" s="1315">
        <v>0</v>
      </c>
      <c r="Y218" s="1315">
        <v>0</v>
      </c>
      <c r="Z218" s="1315">
        <v>0</v>
      </c>
    </row>
    <row r="219" spans="1:26" x14ac:dyDescent="0.2">
      <c r="A219" s="1305" t="s">
        <v>1413</v>
      </c>
      <c r="B219" s="1315">
        <v>0.63800000000000001</v>
      </c>
      <c r="C219" s="1315">
        <v>0.13500000000000001</v>
      </c>
      <c r="D219" s="1315">
        <v>0.104</v>
      </c>
      <c r="E219" s="1315">
        <v>0</v>
      </c>
      <c r="F219" s="1315">
        <v>0</v>
      </c>
      <c r="G219" s="1315">
        <v>0</v>
      </c>
      <c r="H219" s="1315">
        <v>0</v>
      </c>
      <c r="I219" s="1315">
        <v>0</v>
      </c>
      <c r="J219" s="1315">
        <v>0</v>
      </c>
      <c r="K219" s="1315">
        <v>0</v>
      </c>
      <c r="L219" s="1315">
        <v>0</v>
      </c>
      <c r="M219" s="1315">
        <v>0</v>
      </c>
      <c r="N219" s="1315">
        <v>0</v>
      </c>
      <c r="O219" s="1315">
        <v>20.204999999999998</v>
      </c>
      <c r="P219" s="1315">
        <v>0</v>
      </c>
      <c r="Q219" s="1315">
        <v>0</v>
      </c>
      <c r="R219" s="1315">
        <v>9.4160000000000004</v>
      </c>
      <c r="S219" s="1315">
        <v>184.57</v>
      </c>
      <c r="T219" s="1315">
        <v>219.92699999999999</v>
      </c>
      <c r="U219" s="1315">
        <v>16.788</v>
      </c>
      <c r="V219" s="1315">
        <v>62.267000000000003</v>
      </c>
      <c r="W219" s="1315">
        <v>7.58</v>
      </c>
      <c r="X219" s="1315">
        <v>22.696999999999999</v>
      </c>
      <c r="Y219" s="1315">
        <v>75.905000000000001</v>
      </c>
      <c r="Z219" s="1315">
        <v>1.2869999999999999</v>
      </c>
    </row>
    <row r="220" spans="1:26" x14ac:dyDescent="0.2">
      <c r="A220" s="1305" t="s">
        <v>1248</v>
      </c>
      <c r="B220" s="1315">
        <v>0</v>
      </c>
      <c r="C220" s="1315">
        <v>1.869</v>
      </c>
      <c r="D220" s="1315">
        <v>0</v>
      </c>
      <c r="E220" s="1315">
        <v>0</v>
      </c>
      <c r="F220" s="1315">
        <v>0</v>
      </c>
      <c r="G220" s="1315">
        <v>0</v>
      </c>
      <c r="H220" s="1315">
        <v>0</v>
      </c>
      <c r="I220" s="1315">
        <v>0</v>
      </c>
      <c r="J220" s="1315">
        <v>0</v>
      </c>
      <c r="K220" s="1315">
        <v>0</v>
      </c>
      <c r="L220" s="1315">
        <v>0</v>
      </c>
      <c r="M220" s="1315">
        <v>108.60599999999999</v>
      </c>
      <c r="N220" s="1315">
        <v>24.759</v>
      </c>
      <c r="O220" s="1315">
        <v>27.734999999999999</v>
      </c>
      <c r="P220" s="1315">
        <v>54.027000000000001</v>
      </c>
      <c r="Q220" s="1315">
        <v>53.57</v>
      </c>
      <c r="R220" s="1315">
        <v>68.037999999999997</v>
      </c>
      <c r="S220" s="1315">
        <v>64.305000000000007</v>
      </c>
      <c r="T220" s="1315">
        <v>70.040000000000006</v>
      </c>
      <c r="U220" s="1315">
        <v>78.704999999999998</v>
      </c>
      <c r="V220" s="1315">
        <v>49.462000000000003</v>
      </c>
      <c r="W220" s="1315">
        <v>42.819000000000003</v>
      </c>
      <c r="X220" s="1315">
        <v>38.668999999999997</v>
      </c>
      <c r="Y220" s="1315">
        <v>32.862000000000002</v>
      </c>
      <c r="Z220" s="1315">
        <v>26.742999999999999</v>
      </c>
    </row>
    <row r="221" spans="1:26" x14ac:dyDescent="0.2">
      <c r="A221" s="1305" t="s">
        <v>1414</v>
      </c>
      <c r="B221" s="1315">
        <v>0</v>
      </c>
      <c r="C221" s="1315">
        <v>0</v>
      </c>
      <c r="D221" s="1315">
        <v>0</v>
      </c>
      <c r="E221" s="1315">
        <v>0</v>
      </c>
      <c r="F221" s="1315">
        <v>7.508</v>
      </c>
      <c r="G221" s="1315">
        <v>7.2489999999999997</v>
      </c>
      <c r="H221" s="1315">
        <v>9.6829999999999998</v>
      </c>
      <c r="I221" s="1315">
        <v>5.6150000000000002</v>
      </c>
      <c r="J221" s="1315">
        <v>18.18</v>
      </c>
      <c r="K221" s="1315">
        <v>30.036999999999999</v>
      </c>
      <c r="L221" s="1315">
        <v>46.374000000000002</v>
      </c>
      <c r="M221" s="1315">
        <v>32.161000000000001</v>
      </c>
      <c r="N221" s="1315">
        <v>42.567999999999998</v>
      </c>
      <c r="O221" s="1315">
        <v>-17.5</v>
      </c>
      <c r="P221" s="1315">
        <v>-4</v>
      </c>
      <c r="Q221" s="1315">
        <v>-18.600000000000001</v>
      </c>
      <c r="R221" s="1315">
        <v>-18.5</v>
      </c>
      <c r="S221" s="1315">
        <v>-6.6</v>
      </c>
      <c r="T221" s="1315">
        <v>-4</v>
      </c>
      <c r="U221" s="1315">
        <v>-1.2</v>
      </c>
      <c r="V221" s="1315">
        <v>0</v>
      </c>
      <c r="W221" s="1315">
        <v>-1.3</v>
      </c>
      <c r="X221" s="1315">
        <v>-0.2</v>
      </c>
      <c r="Y221" s="1315">
        <v>0</v>
      </c>
      <c r="Z221" s="1315">
        <v>0</v>
      </c>
    </row>
    <row r="222" spans="1:26" x14ac:dyDescent="0.2">
      <c r="A222" s="1305" t="s">
        <v>1415</v>
      </c>
      <c r="B222" s="1315">
        <v>1.1160000000000001</v>
      </c>
      <c r="C222" s="1315">
        <v>1.8220000000000001</v>
      </c>
      <c r="D222" s="1315">
        <v>1.849</v>
      </c>
      <c r="E222" s="1315">
        <v>1.704</v>
      </c>
      <c r="F222" s="1315">
        <v>2.5230000000000001</v>
      </c>
      <c r="G222" s="1315">
        <v>5.4790000000000001</v>
      </c>
      <c r="H222" s="1315">
        <v>6.9059999999999997</v>
      </c>
      <c r="I222" s="1315">
        <v>7.7850000000000001</v>
      </c>
      <c r="J222" s="1315">
        <v>12.393000000000001</v>
      </c>
      <c r="K222" s="1315">
        <v>15.804</v>
      </c>
      <c r="L222" s="1315">
        <v>20.745999999999999</v>
      </c>
      <c r="M222" s="1315">
        <v>30.981000000000002</v>
      </c>
      <c r="N222" s="1315">
        <v>57.113</v>
      </c>
      <c r="O222" s="1315">
        <v>101.038</v>
      </c>
      <c r="P222" s="1315">
        <v>120.614</v>
      </c>
      <c r="Q222" s="1315">
        <v>104.20099999999999</v>
      </c>
      <c r="R222" s="1315">
        <v>152.49</v>
      </c>
      <c r="S222" s="1315">
        <v>282.62799999999999</v>
      </c>
      <c r="T222" s="1315">
        <v>181.297</v>
      </c>
      <c r="U222" s="1315">
        <v>146.74199999999999</v>
      </c>
      <c r="V222" s="1315">
        <v>83.798000000000002</v>
      </c>
      <c r="W222" s="1315">
        <v>53.819000000000003</v>
      </c>
      <c r="X222" s="1315">
        <v>59.204999999999998</v>
      </c>
      <c r="Y222" s="1315">
        <v>55.881999999999998</v>
      </c>
      <c r="Z222" s="1315">
        <v>54.499000000000002</v>
      </c>
    </row>
    <row r="223" spans="1:26" x14ac:dyDescent="0.2">
      <c r="A223" s="1305" t="s">
        <v>1416</v>
      </c>
      <c r="B223" s="1315">
        <v>0</v>
      </c>
      <c r="C223" s="1315">
        <v>5.0999999999999997E-2</v>
      </c>
      <c r="D223" s="1315">
        <v>0.124</v>
      </c>
      <c r="E223" s="1315">
        <v>0</v>
      </c>
      <c r="F223" s="1315">
        <v>0</v>
      </c>
      <c r="G223" s="1315">
        <v>0</v>
      </c>
      <c r="H223" s="1315">
        <v>0</v>
      </c>
      <c r="I223" s="1315">
        <v>0</v>
      </c>
      <c r="J223" s="1315">
        <v>0</v>
      </c>
      <c r="K223" s="1315">
        <v>0</v>
      </c>
      <c r="L223" s="1315">
        <v>0</v>
      </c>
      <c r="M223" s="1315">
        <v>0</v>
      </c>
      <c r="N223" s="1315">
        <v>0</v>
      </c>
      <c r="O223" s="1315">
        <v>0</v>
      </c>
      <c r="P223" s="1315">
        <v>0</v>
      </c>
      <c r="Q223" s="1315">
        <v>0</v>
      </c>
      <c r="R223" s="1315">
        <v>0</v>
      </c>
      <c r="S223" s="1315">
        <v>9.4</v>
      </c>
      <c r="T223" s="1315">
        <v>0</v>
      </c>
      <c r="U223" s="1315">
        <v>0</v>
      </c>
      <c r="V223" s="1315">
        <v>0</v>
      </c>
      <c r="W223" s="1315">
        <v>0</v>
      </c>
      <c r="X223" s="1315">
        <v>12.999000000000001</v>
      </c>
      <c r="Y223" s="1315">
        <v>0</v>
      </c>
      <c r="Z223" s="1315">
        <v>0</v>
      </c>
    </row>
    <row r="224" spans="1:26" x14ac:dyDescent="0.2">
      <c r="A224" s="1305" t="s">
        <v>1417</v>
      </c>
      <c r="B224" s="1315">
        <v>0</v>
      </c>
      <c r="C224" s="1315">
        <v>-1.1000000000000001</v>
      </c>
      <c r="D224" s="1315">
        <v>-0.2</v>
      </c>
      <c r="E224" s="1315">
        <v>-0.5</v>
      </c>
      <c r="F224" s="1315">
        <v>0.14499999999999999</v>
      </c>
      <c r="G224" s="1315">
        <v>-2.6</v>
      </c>
      <c r="H224" s="1315">
        <v>-0.5</v>
      </c>
      <c r="I224" s="1315">
        <v>-1.8</v>
      </c>
      <c r="J224" s="1315">
        <v>-4</v>
      </c>
      <c r="K224" s="1315">
        <v>-1.5</v>
      </c>
      <c r="L224" s="1315">
        <v>3.1110000000000002</v>
      </c>
      <c r="M224" s="1315">
        <v>-41</v>
      </c>
      <c r="N224" s="1315">
        <v>0.33300000000000002</v>
      </c>
      <c r="O224" s="1315">
        <v>-19.7</v>
      </c>
      <c r="P224" s="1315">
        <v>-46</v>
      </c>
      <c r="Q224" s="1315">
        <v>-17.100000000000001</v>
      </c>
      <c r="R224" s="1315">
        <v>49.343000000000004</v>
      </c>
      <c r="S224" s="1315">
        <v>8.4469999999999992</v>
      </c>
      <c r="T224" s="1315">
        <v>8.9030000000000005</v>
      </c>
      <c r="U224" s="1315">
        <v>15.680999999999999</v>
      </c>
      <c r="V224" s="1315">
        <v>-28.9</v>
      </c>
      <c r="W224" s="1315">
        <v>-17.5</v>
      </c>
      <c r="X224" s="1315">
        <v>-0.3</v>
      </c>
      <c r="Y224" s="1315">
        <v>-5.6</v>
      </c>
      <c r="Z224" s="1315">
        <v>3.7709999999999999</v>
      </c>
    </row>
    <row r="225" spans="1:26" x14ac:dyDescent="0.2">
      <c r="A225" s="1305" t="s">
        <v>1418</v>
      </c>
      <c r="B225" s="1315">
        <v>-4.0999999999999996</v>
      </c>
      <c r="C225" s="1315">
        <v>-5.9</v>
      </c>
      <c r="D225" s="1315">
        <v>-3.5</v>
      </c>
      <c r="E225" s="1315">
        <v>-11.6</v>
      </c>
      <c r="F225" s="1315">
        <v>-8.6</v>
      </c>
      <c r="G225" s="1315">
        <v>-29.7</v>
      </c>
      <c r="H225" s="1315">
        <v>-21.3</v>
      </c>
      <c r="I225" s="1315">
        <v>-11.1</v>
      </c>
      <c r="J225" s="1315">
        <v>-25.5</v>
      </c>
      <c r="K225" s="1315">
        <v>-22.9</v>
      </c>
      <c r="L225" s="1315">
        <v>-45.2</v>
      </c>
      <c r="M225" s="1315">
        <v>-49.4</v>
      </c>
      <c r="N225" s="1315">
        <v>-99.9</v>
      </c>
      <c r="O225" s="1315">
        <v>-89</v>
      </c>
      <c r="P225" s="1315">
        <v>-150.9</v>
      </c>
      <c r="Q225" s="1315">
        <v>-105.7</v>
      </c>
      <c r="R225" s="1315">
        <v>-192.3</v>
      </c>
      <c r="S225" s="1315">
        <v>-266</v>
      </c>
      <c r="T225" s="1315">
        <v>-121.1</v>
      </c>
      <c r="U225" s="1315">
        <v>-129.80000000000001</v>
      </c>
      <c r="V225" s="1315">
        <v>-103.4</v>
      </c>
      <c r="W225" s="1315">
        <v>-61.4</v>
      </c>
      <c r="X225" s="1315">
        <v>-74.5</v>
      </c>
      <c r="Y225" s="1315">
        <v>-85.7</v>
      </c>
      <c r="Z225" s="1315">
        <v>-92.6</v>
      </c>
    </row>
    <row r="226" spans="1:26" x14ac:dyDescent="0.2">
      <c r="A226" s="1305" t="s">
        <v>1419</v>
      </c>
      <c r="B226" s="1315">
        <v>0.46800000000000003</v>
      </c>
      <c r="C226" s="1315">
        <v>2.7269999999999999</v>
      </c>
      <c r="D226" s="1315">
        <v>4.0579999999999998</v>
      </c>
      <c r="E226" s="1315">
        <v>1.371</v>
      </c>
      <c r="F226" s="1315">
        <v>0.48799999999999999</v>
      </c>
      <c r="G226" s="1315">
        <v>9.5419999999999998</v>
      </c>
      <c r="H226" s="1315">
        <v>-5</v>
      </c>
      <c r="I226" s="1315">
        <v>8.6419999999999995</v>
      </c>
      <c r="J226" s="1315">
        <v>18.79</v>
      </c>
      <c r="K226" s="1315">
        <v>15.840999999999999</v>
      </c>
      <c r="L226" s="1315">
        <v>16.506</v>
      </c>
      <c r="M226" s="1315">
        <v>34.122</v>
      </c>
      <c r="N226" s="1315">
        <v>-20.100000000000001</v>
      </c>
      <c r="O226" s="1315">
        <v>20.423999999999999</v>
      </c>
      <c r="P226" s="1315">
        <v>31.173999999999999</v>
      </c>
      <c r="Q226" s="1315">
        <v>-14.2</v>
      </c>
      <c r="R226" s="1315">
        <v>45.405999999999999</v>
      </c>
      <c r="S226" s="1315">
        <v>21.623999999999999</v>
      </c>
      <c r="T226" s="1315">
        <v>-3.9</v>
      </c>
      <c r="U226" s="1315">
        <v>12.525</v>
      </c>
      <c r="V226" s="1315">
        <v>-1.8</v>
      </c>
      <c r="W226" s="1315">
        <v>-12</v>
      </c>
      <c r="X226" s="1315">
        <v>1.994</v>
      </c>
      <c r="Y226" s="1315">
        <v>-5.5</v>
      </c>
      <c r="Z226" s="1315">
        <v>13.384</v>
      </c>
    </row>
    <row r="227" spans="1:26" x14ac:dyDescent="0.2">
      <c r="A227" s="1305" t="s">
        <v>1420</v>
      </c>
      <c r="B227" s="1315">
        <v>5.3289999999999997</v>
      </c>
      <c r="C227" s="1315">
        <v>6.1920000000000002</v>
      </c>
      <c r="D227" s="1315">
        <v>6.3959999999999999</v>
      </c>
      <c r="E227" s="1315">
        <v>6.4539999999999997</v>
      </c>
      <c r="F227" s="1315">
        <v>11.946999999999999</v>
      </c>
      <c r="G227" s="1315">
        <v>12.955</v>
      </c>
      <c r="H227" s="1315">
        <v>15.815</v>
      </c>
      <c r="I227" s="1315">
        <v>12.666</v>
      </c>
      <c r="J227" s="1315">
        <v>32.423000000000002</v>
      </c>
      <c r="K227" s="1315">
        <v>58.588999999999999</v>
      </c>
      <c r="L227" s="1315">
        <v>66.771000000000001</v>
      </c>
      <c r="M227" s="1315">
        <v>19.88</v>
      </c>
      <c r="N227" s="1315">
        <v>57.295999999999999</v>
      </c>
      <c r="O227" s="1315">
        <v>13.401999999999999</v>
      </c>
      <c r="P227" s="1315">
        <v>104.881</v>
      </c>
      <c r="Q227" s="1315">
        <v>120.575</v>
      </c>
      <c r="R227" s="1315">
        <v>139.773</v>
      </c>
      <c r="S227" s="1315">
        <v>36.332000000000001</v>
      </c>
      <c r="T227" s="1315">
        <v>-149.6</v>
      </c>
      <c r="U227" s="1315">
        <v>-97.9</v>
      </c>
      <c r="V227" s="1315">
        <v>-91.7</v>
      </c>
      <c r="W227" s="1315">
        <v>-30.1</v>
      </c>
      <c r="X227" s="1315">
        <v>-25.3</v>
      </c>
      <c r="Y227" s="1315">
        <v>-91.5</v>
      </c>
      <c r="Z227" s="1315">
        <v>-69.400000000000006</v>
      </c>
    </row>
    <row r="228" spans="1:26" x14ac:dyDescent="0.2">
      <c r="A228" s="1305" t="s">
        <v>1421</v>
      </c>
      <c r="B228" s="1315">
        <v>0.79100000000000004</v>
      </c>
      <c r="C228" s="1315">
        <v>-0.5</v>
      </c>
      <c r="D228" s="1315">
        <v>-0.2</v>
      </c>
      <c r="E228" s="1315">
        <v>0</v>
      </c>
      <c r="F228" s="1315">
        <v>0</v>
      </c>
      <c r="G228" s="1315">
        <v>0</v>
      </c>
      <c r="H228" s="1315">
        <v>0</v>
      </c>
      <c r="I228" s="1315">
        <v>0</v>
      </c>
      <c r="J228" s="1315">
        <v>0</v>
      </c>
      <c r="K228" s="1315">
        <v>0</v>
      </c>
      <c r="L228" s="1315">
        <v>-8.8000000000000007</v>
      </c>
      <c r="M228" s="1315">
        <v>21.774000000000001</v>
      </c>
      <c r="N228" s="1315">
        <v>4.3550000000000004</v>
      </c>
      <c r="O228" s="1315">
        <v>-1.6</v>
      </c>
      <c r="P228" s="1315">
        <v>-2.4</v>
      </c>
      <c r="Q228" s="1315">
        <v>21.667000000000002</v>
      </c>
      <c r="R228" s="1315">
        <v>-30.8</v>
      </c>
      <c r="S228" s="1315">
        <v>10.420999999999999</v>
      </c>
      <c r="T228" s="1315">
        <v>-25.2</v>
      </c>
      <c r="U228" s="1315">
        <v>9.3030000000000008</v>
      </c>
      <c r="V228" s="1315">
        <v>-4</v>
      </c>
      <c r="W228" s="1315">
        <v>-2.9</v>
      </c>
      <c r="X228" s="1315">
        <v>-4.4000000000000004</v>
      </c>
      <c r="Y228" s="1315">
        <v>18.398</v>
      </c>
      <c r="Z228" s="1315">
        <v>3.613</v>
      </c>
    </row>
    <row r="229" spans="1:26" x14ac:dyDescent="0.2">
      <c r="A229" s="1305" t="s">
        <v>1422</v>
      </c>
      <c r="B229" s="1315">
        <v>-2</v>
      </c>
      <c r="C229" s="1315">
        <v>-7</v>
      </c>
      <c r="D229" s="1315">
        <v>-3.6</v>
      </c>
      <c r="E229" s="1315">
        <v>0.33100000000000002</v>
      </c>
      <c r="F229" s="1315">
        <v>-6.7</v>
      </c>
      <c r="G229" s="1315">
        <v>-5.0999999999999996</v>
      </c>
      <c r="H229" s="1315">
        <v>-9.6</v>
      </c>
      <c r="I229" s="1315">
        <v>-2.2999999999999998</v>
      </c>
      <c r="J229" s="1315">
        <v>-26.9</v>
      </c>
      <c r="K229" s="1315">
        <v>-35.1</v>
      </c>
      <c r="L229" s="1315">
        <v>-0.7</v>
      </c>
      <c r="M229" s="1315">
        <v>55.331000000000003</v>
      </c>
      <c r="N229" s="1315">
        <v>6.0490000000000004</v>
      </c>
      <c r="O229" s="1315">
        <v>14.663</v>
      </c>
      <c r="P229" s="1315">
        <v>2.9409999999999998</v>
      </c>
      <c r="Q229" s="1315">
        <v>14.364000000000001</v>
      </c>
      <c r="R229" s="1315">
        <v>-20.7</v>
      </c>
      <c r="S229" s="1315">
        <v>-10.199999999999999</v>
      </c>
      <c r="T229" s="1315">
        <v>-10.6</v>
      </c>
      <c r="U229" s="1315">
        <v>-73.900000000000006</v>
      </c>
      <c r="V229" s="1315">
        <v>93.754000000000005</v>
      </c>
      <c r="W229" s="1315">
        <v>36.356000000000002</v>
      </c>
      <c r="X229" s="1315">
        <v>-41</v>
      </c>
      <c r="Y229" s="1315">
        <v>7.383</v>
      </c>
      <c r="Z229" s="1315">
        <v>31.722999999999999</v>
      </c>
    </row>
    <row r="230" spans="1:26" ht="10.5" x14ac:dyDescent="0.2">
      <c r="A230" s="1314" t="s">
        <v>1423</v>
      </c>
      <c r="B230" s="1316">
        <v>6.2210000000000001</v>
      </c>
      <c r="C230" s="1316">
        <v>6.4939999999999998</v>
      </c>
      <c r="D230" s="1316">
        <v>22.326000000000001</v>
      </c>
      <c r="E230" s="1316">
        <v>25.248999999999999</v>
      </c>
      <c r="F230" s="1316">
        <v>48.957999999999998</v>
      </c>
      <c r="G230" s="1316">
        <v>56.890999999999998</v>
      </c>
      <c r="H230" s="1316">
        <v>75.561999999999998</v>
      </c>
      <c r="I230" s="1316">
        <v>118.101</v>
      </c>
      <c r="J230" s="1316">
        <v>164.63300000000001</v>
      </c>
      <c r="K230" s="1316">
        <v>260.52999999999997</v>
      </c>
      <c r="L230" s="1316">
        <v>391.28800000000001</v>
      </c>
      <c r="M230" s="1316">
        <v>546.20799999999997</v>
      </c>
      <c r="N230" s="1316">
        <v>549.60400000000004</v>
      </c>
      <c r="O230" s="1316">
        <v>551.00800000000004</v>
      </c>
      <c r="P230" s="1316">
        <v>588.62199999999996</v>
      </c>
      <c r="Q230" s="1316">
        <v>726.00599999999997</v>
      </c>
      <c r="R230" s="1316">
        <v>912.07799999999997</v>
      </c>
      <c r="S230" s="1316">
        <v>1033.242</v>
      </c>
      <c r="T230" s="1316">
        <v>897.12199999999996</v>
      </c>
      <c r="U230" s="1316">
        <v>551.29999999999995</v>
      </c>
      <c r="V230" s="1316">
        <v>478.048</v>
      </c>
      <c r="W230" s="1316">
        <v>375.90699999999998</v>
      </c>
      <c r="X230" s="1316">
        <v>168.58199999999999</v>
      </c>
      <c r="Y230" s="1316">
        <v>45.084000000000003</v>
      </c>
      <c r="Z230" s="1316">
        <v>80.405000000000001</v>
      </c>
    </row>
    <row r="231" spans="1:26" x14ac:dyDescent="0.2">
      <c r="A231" s="1305"/>
      <c r="B231" s="1305"/>
      <c r="C231" s="1305"/>
      <c r="D231" s="1305"/>
      <c r="E231" s="1305"/>
      <c r="F231" s="1305"/>
      <c r="G231" s="1305"/>
      <c r="H231" s="1305"/>
      <c r="I231" s="1305"/>
      <c r="J231" s="1305"/>
      <c r="K231" s="1305"/>
      <c r="L231" s="1305"/>
      <c r="M231" s="1305"/>
      <c r="N231" s="1305"/>
      <c r="O231" s="1305"/>
      <c r="P231" s="1305"/>
      <c r="Q231" s="1305"/>
      <c r="R231" s="1305"/>
      <c r="S231" s="1305"/>
      <c r="T231" s="1305"/>
      <c r="U231" s="1305"/>
      <c r="V231" s="1305"/>
      <c r="W231" s="1305"/>
      <c r="X231" s="1305"/>
      <c r="Y231" s="1305"/>
      <c r="Z231" s="1305"/>
    </row>
    <row r="232" spans="1:26" x14ac:dyDescent="0.2">
      <c r="A232" s="1305" t="s">
        <v>1424</v>
      </c>
      <c r="B232" s="1315">
        <v>-2.5</v>
      </c>
      <c r="C232" s="1315">
        <v>-4.7</v>
      </c>
      <c r="D232" s="1315">
        <v>-9.9</v>
      </c>
      <c r="E232" s="1315">
        <v>-9.9</v>
      </c>
      <c r="F232" s="1315">
        <v>-12.7</v>
      </c>
      <c r="G232" s="1315">
        <v>-30.9</v>
      </c>
      <c r="H232" s="1315">
        <v>-44.7</v>
      </c>
      <c r="I232" s="1315">
        <v>-34.799999999999997</v>
      </c>
      <c r="J232" s="1315">
        <v>-52.1</v>
      </c>
      <c r="K232" s="1315">
        <v>-36.700000000000003</v>
      </c>
      <c r="L232" s="1315">
        <v>-56.7</v>
      </c>
      <c r="M232" s="1315">
        <v>-109.5</v>
      </c>
      <c r="N232" s="1315">
        <v>-94.5</v>
      </c>
      <c r="O232" s="1315">
        <v>-111.2</v>
      </c>
      <c r="P232" s="1315">
        <v>-104.6</v>
      </c>
      <c r="Q232" s="1315">
        <v>-104.9</v>
      </c>
      <c r="R232" s="1315">
        <v>-127.4</v>
      </c>
      <c r="S232" s="1315">
        <v>-168.2</v>
      </c>
      <c r="T232" s="1315">
        <v>-162.6</v>
      </c>
      <c r="U232" s="1315">
        <v>-115.2</v>
      </c>
      <c r="V232" s="1315">
        <v>-119.3</v>
      </c>
      <c r="W232" s="1315">
        <v>-100.7</v>
      </c>
      <c r="X232" s="1315">
        <v>-98</v>
      </c>
      <c r="Y232" s="1315">
        <v>-73.099999999999994</v>
      </c>
      <c r="Z232" s="1315">
        <v>-79.5</v>
      </c>
    </row>
    <row r="233" spans="1:26" x14ac:dyDescent="0.2">
      <c r="A233" s="1305" t="s">
        <v>1425</v>
      </c>
      <c r="B233" s="1315">
        <v>0</v>
      </c>
      <c r="C233" s="1315">
        <v>0</v>
      </c>
      <c r="D233" s="1315">
        <v>0</v>
      </c>
      <c r="E233" s="1315">
        <v>0</v>
      </c>
      <c r="F233" s="1315">
        <v>0</v>
      </c>
      <c r="G233" s="1315">
        <v>0</v>
      </c>
      <c r="H233" s="1315">
        <v>4.2119999999999997</v>
      </c>
      <c r="I233" s="1315">
        <v>0.997</v>
      </c>
      <c r="J233" s="1315">
        <v>0.879</v>
      </c>
      <c r="K233" s="1315">
        <v>0</v>
      </c>
      <c r="L233" s="1315">
        <v>0</v>
      </c>
      <c r="M233" s="1315">
        <v>0</v>
      </c>
      <c r="N233" s="1315">
        <v>0</v>
      </c>
      <c r="O233" s="1315">
        <v>0</v>
      </c>
      <c r="P233" s="1315">
        <v>0</v>
      </c>
      <c r="Q233" s="1315">
        <v>0</v>
      </c>
      <c r="R233" s="1315">
        <v>0</v>
      </c>
      <c r="S233" s="1315">
        <v>0</v>
      </c>
      <c r="T233" s="1315">
        <v>0</v>
      </c>
      <c r="U233" s="1315">
        <v>0</v>
      </c>
      <c r="V233" s="1315">
        <v>0</v>
      </c>
      <c r="W233" s="1315">
        <v>0</v>
      </c>
      <c r="X233" s="1315">
        <v>0</v>
      </c>
      <c r="Y233" s="1315">
        <v>0</v>
      </c>
      <c r="Z233" s="1315">
        <v>0</v>
      </c>
    </row>
    <row r="234" spans="1:26" x14ac:dyDescent="0.2">
      <c r="A234" s="1305" t="s">
        <v>1426</v>
      </c>
      <c r="B234" s="1315">
        <v>0</v>
      </c>
      <c r="C234" s="1315">
        <v>0</v>
      </c>
      <c r="D234" s="1315">
        <v>0</v>
      </c>
      <c r="E234" s="1315">
        <v>-0.6</v>
      </c>
      <c r="F234" s="1315">
        <v>0</v>
      </c>
      <c r="G234" s="1315">
        <v>-19.399999999999999</v>
      </c>
      <c r="H234" s="1315">
        <v>0</v>
      </c>
      <c r="I234" s="1315">
        <v>0</v>
      </c>
      <c r="J234" s="1315">
        <v>0</v>
      </c>
      <c r="K234" s="1315">
        <v>0</v>
      </c>
      <c r="L234" s="1315">
        <v>0</v>
      </c>
      <c r="M234" s="1315">
        <v>0</v>
      </c>
      <c r="N234" s="1315">
        <v>0</v>
      </c>
      <c r="O234" s="1315">
        <v>0</v>
      </c>
      <c r="P234" s="1315">
        <v>-15.1</v>
      </c>
      <c r="Q234" s="1315">
        <v>-93.8</v>
      </c>
      <c r="R234" s="1315">
        <v>-523.79999999999995</v>
      </c>
      <c r="S234" s="1315">
        <v>-5.5</v>
      </c>
      <c r="T234" s="1315">
        <v>0</v>
      </c>
      <c r="U234" s="1315">
        <v>-73.7</v>
      </c>
      <c r="V234" s="1315">
        <v>0</v>
      </c>
      <c r="W234" s="1315">
        <v>-119.5</v>
      </c>
      <c r="X234" s="1315">
        <v>-31.7</v>
      </c>
      <c r="Y234" s="1315">
        <v>-97.3</v>
      </c>
      <c r="Z234" s="1315">
        <v>-97.3</v>
      </c>
    </row>
    <row r="235" spans="1:26" x14ac:dyDescent="0.2">
      <c r="A235" s="1305" t="s">
        <v>1427</v>
      </c>
      <c r="B235" s="1315">
        <v>0</v>
      </c>
      <c r="C235" s="1315">
        <v>0</v>
      </c>
      <c r="D235" s="1315">
        <v>0</v>
      </c>
      <c r="E235" s="1315">
        <v>0</v>
      </c>
      <c r="F235" s="1315">
        <v>0</v>
      </c>
      <c r="G235" s="1315">
        <v>0</v>
      </c>
      <c r="H235" s="1315">
        <v>0</v>
      </c>
      <c r="I235" s="1315">
        <v>0</v>
      </c>
      <c r="J235" s="1315">
        <v>0</v>
      </c>
      <c r="K235" s="1315">
        <v>0</v>
      </c>
      <c r="L235" s="1315">
        <v>0</v>
      </c>
      <c r="M235" s="1315">
        <v>0</v>
      </c>
      <c r="N235" s="1315">
        <v>0</v>
      </c>
      <c r="O235" s="1315">
        <v>0</v>
      </c>
      <c r="P235" s="1315">
        <v>0</v>
      </c>
      <c r="Q235" s="1315">
        <v>0</v>
      </c>
      <c r="R235" s="1315">
        <v>0</v>
      </c>
      <c r="S235" s="1315">
        <v>0</v>
      </c>
      <c r="T235" s="1315">
        <v>0</v>
      </c>
      <c r="U235" s="1315">
        <v>0</v>
      </c>
      <c r="V235" s="1315">
        <v>0</v>
      </c>
      <c r="W235" s="1315">
        <v>0</v>
      </c>
      <c r="X235" s="1315">
        <v>0</v>
      </c>
      <c r="Y235" s="1315">
        <v>0</v>
      </c>
      <c r="Z235" s="1315">
        <v>0</v>
      </c>
    </row>
    <row r="236" spans="1:26" x14ac:dyDescent="0.2">
      <c r="A236" s="1305" t="s">
        <v>1428</v>
      </c>
      <c r="B236" s="1315">
        <v>-1.5</v>
      </c>
      <c r="C236" s="1315">
        <v>-1.4</v>
      </c>
      <c r="D236" s="1315">
        <v>-1.5</v>
      </c>
      <c r="E236" s="1315">
        <v>0</v>
      </c>
      <c r="F236" s="1315">
        <v>0</v>
      </c>
      <c r="G236" s="1315">
        <v>0</v>
      </c>
      <c r="H236" s="1315">
        <v>0</v>
      </c>
      <c r="I236" s="1315">
        <v>0</v>
      </c>
      <c r="J236" s="1315">
        <v>0</v>
      </c>
      <c r="K236" s="1315">
        <v>0</v>
      </c>
      <c r="L236" s="1315">
        <v>0</v>
      </c>
      <c r="M236" s="1315">
        <v>0</v>
      </c>
      <c r="N236" s="1315">
        <v>0</v>
      </c>
      <c r="O236" s="1315">
        <v>0</v>
      </c>
      <c r="P236" s="1315">
        <v>0</v>
      </c>
      <c r="Q236" s="1315">
        <v>0</v>
      </c>
      <c r="R236" s="1315">
        <v>0</v>
      </c>
      <c r="S236" s="1315">
        <v>0</v>
      </c>
      <c r="T236" s="1315">
        <v>0</v>
      </c>
      <c r="U236" s="1315">
        <v>0</v>
      </c>
      <c r="V236" s="1315">
        <v>0</v>
      </c>
      <c r="W236" s="1315">
        <v>0</v>
      </c>
      <c r="X236" s="1315">
        <v>0</v>
      </c>
      <c r="Y236" s="1315">
        <v>0</v>
      </c>
      <c r="Z236" s="1315">
        <v>0</v>
      </c>
    </row>
    <row r="237" spans="1:26" x14ac:dyDescent="0.2">
      <c r="A237" s="1305" t="s">
        <v>1429</v>
      </c>
      <c r="B237" s="1315">
        <v>0</v>
      </c>
      <c r="C237" s="1315">
        <v>0</v>
      </c>
      <c r="D237" s="1315">
        <v>0</v>
      </c>
      <c r="E237" s="1315">
        <v>-13.3</v>
      </c>
      <c r="F237" s="1315">
        <v>-28.7</v>
      </c>
      <c r="G237" s="1315">
        <v>-15.5</v>
      </c>
      <c r="H237" s="1315">
        <v>5.2779999999999996</v>
      </c>
      <c r="I237" s="1315">
        <v>-25</v>
      </c>
      <c r="J237" s="1315">
        <v>-132.5</v>
      </c>
      <c r="K237" s="1315">
        <v>-98.5</v>
      </c>
      <c r="L237" s="1315">
        <v>-301.8</v>
      </c>
      <c r="M237" s="1315">
        <v>149.899</v>
      </c>
      <c r="N237" s="1315">
        <v>286.64499999999998</v>
      </c>
      <c r="O237" s="1315">
        <v>216.22800000000001</v>
      </c>
      <c r="P237" s="1315">
        <v>46.000999999999998</v>
      </c>
      <c r="Q237" s="1315">
        <v>25.51</v>
      </c>
      <c r="R237" s="1315">
        <v>8.0350000000000001</v>
      </c>
      <c r="S237" s="1315">
        <v>5</v>
      </c>
      <c r="T237" s="1315">
        <v>10</v>
      </c>
      <c r="U237" s="1315">
        <v>0</v>
      </c>
      <c r="V237" s="1315">
        <v>-143.80000000000001</v>
      </c>
      <c r="W237" s="1315">
        <v>-130.80000000000001</v>
      </c>
      <c r="X237" s="1315">
        <v>-20</v>
      </c>
      <c r="Y237" s="1315">
        <v>68.805000000000007</v>
      </c>
      <c r="Z237" s="1315">
        <v>207.322</v>
      </c>
    </row>
    <row r="238" spans="1:26" x14ac:dyDescent="0.2">
      <c r="A238" s="1305" t="s">
        <v>1430</v>
      </c>
      <c r="B238" s="1315">
        <v>0</v>
      </c>
      <c r="C238" s="1315">
        <v>0</v>
      </c>
      <c r="D238" s="1315">
        <v>0</v>
      </c>
      <c r="E238" s="1315">
        <v>0</v>
      </c>
      <c r="F238" s="1315">
        <v>0</v>
      </c>
      <c r="G238" s="1315">
        <v>0</v>
      </c>
      <c r="H238" s="1315">
        <v>0</v>
      </c>
      <c r="I238" s="1315">
        <v>0</v>
      </c>
      <c r="J238" s="1315">
        <v>0</v>
      </c>
      <c r="K238" s="1315">
        <v>0</v>
      </c>
      <c r="L238" s="1315">
        <v>0</v>
      </c>
      <c r="M238" s="1315">
        <v>0</v>
      </c>
      <c r="N238" s="1315">
        <v>0</v>
      </c>
      <c r="O238" s="1315">
        <v>0</v>
      </c>
      <c r="P238" s="1315">
        <v>0</v>
      </c>
      <c r="Q238" s="1315">
        <v>0</v>
      </c>
      <c r="R238" s="1315">
        <v>0</v>
      </c>
      <c r="S238" s="1315">
        <v>0</v>
      </c>
      <c r="T238" s="1315">
        <v>0</v>
      </c>
      <c r="U238" s="1315">
        <v>0</v>
      </c>
      <c r="V238" s="1315">
        <v>0</v>
      </c>
      <c r="W238" s="1315">
        <v>0</v>
      </c>
      <c r="X238" s="1315">
        <v>0</v>
      </c>
      <c r="Y238" s="1315">
        <v>0</v>
      </c>
      <c r="Z238" s="1315">
        <v>0</v>
      </c>
    </row>
    <row r="239" spans="1:26" x14ac:dyDescent="0.2">
      <c r="A239" s="1305" t="s">
        <v>1431</v>
      </c>
      <c r="B239" s="1315">
        <v>0.14499999999999999</v>
      </c>
      <c r="C239" s="1315">
        <v>0</v>
      </c>
      <c r="D239" s="1315">
        <v>0</v>
      </c>
      <c r="E239" s="1315">
        <v>-4.0999999999999996</v>
      </c>
      <c r="F239" s="1315">
        <v>-3.4</v>
      </c>
      <c r="G239" s="1315">
        <v>-3.7</v>
      </c>
      <c r="H239" s="1315">
        <v>-3.5</v>
      </c>
      <c r="I239" s="1315">
        <v>-4.0999999999999996</v>
      </c>
      <c r="J239" s="1315">
        <v>9.1820000000000004</v>
      </c>
      <c r="K239" s="1315">
        <v>-1.8</v>
      </c>
      <c r="L239" s="1315">
        <v>-49.6</v>
      </c>
      <c r="M239" s="1315">
        <v>29.239000000000001</v>
      </c>
      <c r="N239" s="1315">
        <v>1.343</v>
      </c>
      <c r="O239" s="1315">
        <v>-9.4</v>
      </c>
      <c r="P239" s="1315">
        <v>-58.3</v>
      </c>
      <c r="Q239" s="1315">
        <v>-87.7</v>
      </c>
      <c r="R239" s="1315">
        <v>0</v>
      </c>
      <c r="S239" s="1315">
        <v>-126.6</v>
      </c>
      <c r="T239" s="1315">
        <v>316.88400000000001</v>
      </c>
      <c r="U239" s="1315">
        <v>74.739999999999995</v>
      </c>
      <c r="V239" s="1315">
        <v>-1.5</v>
      </c>
      <c r="W239" s="1315">
        <v>0.60599999999999998</v>
      </c>
      <c r="X239" s="1315">
        <v>-4.5999999999999996</v>
      </c>
      <c r="Y239" s="1315">
        <v>-3.4</v>
      </c>
      <c r="Z239" s="1315">
        <v>-3.1</v>
      </c>
    </row>
    <row r="240" spans="1:26" ht="10.5" x14ac:dyDescent="0.2">
      <c r="A240" s="1314" t="s">
        <v>1432</v>
      </c>
      <c r="B240" s="1316">
        <v>-3.9</v>
      </c>
      <c r="C240" s="1316">
        <v>-6.1</v>
      </c>
      <c r="D240" s="1316">
        <v>-11.5</v>
      </c>
      <c r="E240" s="1316">
        <v>-27.9</v>
      </c>
      <c r="F240" s="1316">
        <v>-44.8</v>
      </c>
      <c r="G240" s="1316">
        <v>-69.400000000000006</v>
      </c>
      <c r="H240" s="1316">
        <v>-38.799999999999997</v>
      </c>
      <c r="I240" s="1316">
        <v>-62.9</v>
      </c>
      <c r="J240" s="1316">
        <v>-174.5</v>
      </c>
      <c r="K240" s="1316">
        <v>-137</v>
      </c>
      <c r="L240" s="1316">
        <v>-408.1</v>
      </c>
      <c r="M240" s="1316">
        <v>69.608999999999995</v>
      </c>
      <c r="N240" s="1316">
        <v>193.506</v>
      </c>
      <c r="O240" s="1316">
        <v>95.576999999999998</v>
      </c>
      <c r="P240" s="1316">
        <v>-131.9</v>
      </c>
      <c r="Q240" s="1316">
        <v>-260.8</v>
      </c>
      <c r="R240" s="1316">
        <v>-643.1</v>
      </c>
      <c r="S240" s="1316">
        <v>-295.3</v>
      </c>
      <c r="T240" s="1316">
        <v>164.31100000000001</v>
      </c>
      <c r="U240" s="1316">
        <v>-114.2</v>
      </c>
      <c r="V240" s="1316">
        <v>-264.7</v>
      </c>
      <c r="W240" s="1316">
        <v>-350.3</v>
      </c>
      <c r="X240" s="1316">
        <v>-154.30000000000001</v>
      </c>
      <c r="Y240" s="1316">
        <v>-105</v>
      </c>
      <c r="Z240" s="1316">
        <v>27.463000000000001</v>
      </c>
    </row>
    <row r="241" spans="1:26" x14ac:dyDescent="0.2">
      <c r="A241" s="1305"/>
      <c r="B241" s="1305"/>
      <c r="C241" s="1305"/>
      <c r="D241" s="1305"/>
      <c r="E241" s="1305"/>
      <c r="F241" s="1305"/>
      <c r="G241" s="1305"/>
      <c r="H241" s="1305"/>
      <c r="I241" s="1305"/>
      <c r="J241" s="1305"/>
      <c r="K241" s="1305"/>
      <c r="L241" s="1305"/>
      <c r="M241" s="1305"/>
      <c r="N241" s="1305"/>
      <c r="O241" s="1305"/>
      <c r="P241" s="1305"/>
      <c r="Q241" s="1305"/>
      <c r="R241" s="1305"/>
      <c r="S241" s="1305"/>
      <c r="T241" s="1305"/>
      <c r="U241" s="1305"/>
      <c r="V241" s="1305"/>
      <c r="W241" s="1305"/>
      <c r="X241" s="1305"/>
      <c r="Y241" s="1305"/>
      <c r="Z241" s="1305"/>
    </row>
    <row r="242" spans="1:26" x14ac:dyDescent="0.2">
      <c r="A242" s="1305" t="s">
        <v>1433</v>
      </c>
      <c r="B242" s="1315">
        <v>12.875</v>
      </c>
      <c r="C242" s="1315">
        <v>11.19</v>
      </c>
      <c r="D242" s="1315">
        <v>0</v>
      </c>
      <c r="E242" s="1315">
        <v>0</v>
      </c>
      <c r="F242" s="1315">
        <v>0</v>
      </c>
      <c r="G242" s="1315">
        <v>0</v>
      </c>
      <c r="H242" s="1315">
        <v>0</v>
      </c>
      <c r="I242" s="1315">
        <v>0</v>
      </c>
      <c r="J242" s="1315">
        <v>0</v>
      </c>
      <c r="K242" s="1315">
        <v>0</v>
      </c>
      <c r="L242" s="1315">
        <v>0</v>
      </c>
      <c r="M242" s="1315">
        <v>0</v>
      </c>
      <c r="N242" s="1315">
        <v>0</v>
      </c>
      <c r="O242" s="1315">
        <v>0</v>
      </c>
      <c r="P242" s="1315">
        <v>0</v>
      </c>
      <c r="Q242" s="1315">
        <v>250.99100000000001</v>
      </c>
      <c r="R242" s="1315">
        <v>513.16999999999996</v>
      </c>
      <c r="S242" s="1315">
        <v>475.45400000000001</v>
      </c>
      <c r="T242" s="1315">
        <v>0</v>
      </c>
      <c r="U242" s="1315">
        <v>0</v>
      </c>
      <c r="V242" s="1315">
        <v>0</v>
      </c>
      <c r="W242" s="1315">
        <v>0</v>
      </c>
      <c r="X242" s="1315">
        <v>0</v>
      </c>
      <c r="Y242" s="1315">
        <v>0</v>
      </c>
      <c r="Z242" s="1315">
        <v>0</v>
      </c>
    </row>
    <row r="243" spans="1:26" x14ac:dyDescent="0.2">
      <c r="A243" s="1305" t="s">
        <v>1434</v>
      </c>
      <c r="B243" s="1315">
        <v>0</v>
      </c>
      <c r="C243" s="1315">
        <v>2.4009999999999998</v>
      </c>
      <c r="D243" s="1315">
        <v>0</v>
      </c>
      <c r="E243" s="1315">
        <v>0</v>
      </c>
      <c r="F243" s="1315">
        <v>0</v>
      </c>
      <c r="G243" s="1315">
        <v>0</v>
      </c>
      <c r="H243" s="1315">
        <v>0</v>
      </c>
      <c r="I243" s="1315">
        <v>0</v>
      </c>
      <c r="J243" s="1315">
        <v>0</v>
      </c>
      <c r="K243" s="1315">
        <v>0</v>
      </c>
      <c r="L243" s="1315">
        <v>0</v>
      </c>
      <c r="M243" s="1315">
        <v>0</v>
      </c>
      <c r="N243" s="1315">
        <v>0</v>
      </c>
      <c r="O243" s="1315">
        <v>0</v>
      </c>
      <c r="P243" s="1315">
        <v>0</v>
      </c>
      <c r="Q243" s="1315">
        <v>0</v>
      </c>
      <c r="R243" s="1315">
        <v>0</v>
      </c>
      <c r="S243" s="1315">
        <v>0</v>
      </c>
      <c r="T243" s="1315">
        <v>410.05099999999999</v>
      </c>
      <c r="U243" s="1315">
        <v>629.14499999999998</v>
      </c>
      <c r="V243" s="1315">
        <v>610.23599999999999</v>
      </c>
      <c r="W243" s="1315">
        <v>591.13099999999997</v>
      </c>
      <c r="X243" s="1315">
        <v>5.8</v>
      </c>
      <c r="Y243" s="1315">
        <v>86.960999999999999</v>
      </c>
      <c r="Z243" s="1315">
        <v>0</v>
      </c>
    </row>
    <row r="244" spans="1:26" ht="10.5" x14ac:dyDescent="0.2">
      <c r="A244" s="1314" t="s">
        <v>1435</v>
      </c>
      <c r="B244" s="1316">
        <v>12.875</v>
      </c>
      <c r="C244" s="1316">
        <v>13.590999999999999</v>
      </c>
      <c r="D244" s="1316">
        <v>0</v>
      </c>
      <c r="E244" s="1316">
        <v>0</v>
      </c>
      <c r="F244" s="1316">
        <v>0</v>
      </c>
      <c r="G244" s="1316">
        <v>0</v>
      </c>
      <c r="H244" s="1316">
        <v>0</v>
      </c>
      <c r="I244" s="1316">
        <v>0</v>
      </c>
      <c r="J244" s="1316">
        <v>0</v>
      </c>
      <c r="K244" s="1316">
        <v>0</v>
      </c>
      <c r="L244" s="1316">
        <v>0</v>
      </c>
      <c r="M244" s="1316">
        <v>0</v>
      </c>
      <c r="N244" s="1316">
        <v>0</v>
      </c>
      <c r="O244" s="1316">
        <v>0</v>
      </c>
      <c r="P244" s="1316">
        <v>0</v>
      </c>
      <c r="Q244" s="1316">
        <v>250.99100000000001</v>
      </c>
      <c r="R244" s="1316">
        <v>513.16999999999996</v>
      </c>
      <c r="S244" s="1316">
        <v>475.45400000000001</v>
      </c>
      <c r="T244" s="1316">
        <v>410.05099999999999</v>
      </c>
      <c r="U244" s="1316">
        <v>629.14499999999998</v>
      </c>
      <c r="V244" s="1316">
        <v>610.23599999999999</v>
      </c>
      <c r="W244" s="1316">
        <v>591.13099999999997</v>
      </c>
      <c r="X244" s="1316">
        <v>5.8</v>
      </c>
      <c r="Y244" s="1316">
        <v>86.960999999999999</v>
      </c>
      <c r="Z244" s="1316">
        <v>86.034999999999997</v>
      </c>
    </row>
    <row r="245" spans="1:26" x14ac:dyDescent="0.2">
      <c r="A245" s="1305" t="s">
        <v>1436</v>
      </c>
      <c r="B245" s="1315">
        <v>-13.1</v>
      </c>
      <c r="C245" s="1315">
        <v>-11.2</v>
      </c>
      <c r="D245" s="1315">
        <v>0</v>
      </c>
      <c r="E245" s="1315">
        <v>0</v>
      </c>
      <c r="F245" s="1315">
        <v>0</v>
      </c>
      <c r="G245" s="1315">
        <v>0</v>
      </c>
      <c r="H245" s="1315">
        <v>0</v>
      </c>
      <c r="I245" s="1315">
        <v>0</v>
      </c>
      <c r="J245" s="1315">
        <v>0</v>
      </c>
      <c r="K245" s="1315">
        <v>0</v>
      </c>
      <c r="L245" s="1315">
        <v>0</v>
      </c>
      <c r="M245" s="1315">
        <v>0</v>
      </c>
      <c r="N245" s="1315">
        <v>0</v>
      </c>
      <c r="O245" s="1315">
        <v>0</v>
      </c>
      <c r="P245" s="1315">
        <v>0</v>
      </c>
      <c r="Q245" s="1315">
        <v>-251.4</v>
      </c>
      <c r="R245" s="1315">
        <v>-37.299999999999997</v>
      </c>
      <c r="S245" s="1315">
        <v>-477.6</v>
      </c>
      <c r="T245" s="1315">
        <v>0</v>
      </c>
      <c r="U245" s="1315">
        <v>0</v>
      </c>
      <c r="V245" s="1315">
        <v>0</v>
      </c>
      <c r="W245" s="1315">
        <v>0</v>
      </c>
      <c r="X245" s="1315">
        <v>0</v>
      </c>
      <c r="Y245" s="1315">
        <v>0</v>
      </c>
      <c r="Z245" s="1315">
        <v>0</v>
      </c>
    </row>
    <row r="246" spans="1:26" x14ac:dyDescent="0.2">
      <c r="A246" s="1305" t="s">
        <v>1437</v>
      </c>
      <c r="B246" s="1315">
        <v>-0.6</v>
      </c>
      <c r="C246" s="1315">
        <v>-0.9</v>
      </c>
      <c r="D246" s="1315">
        <v>-0.2</v>
      </c>
      <c r="E246" s="1315">
        <v>0</v>
      </c>
      <c r="F246" s="1315">
        <v>-0.1</v>
      </c>
      <c r="G246" s="1315">
        <v>-0.1</v>
      </c>
      <c r="H246" s="1315">
        <v>-0.2</v>
      </c>
      <c r="I246" s="1315">
        <v>-0.1</v>
      </c>
      <c r="J246" s="1315">
        <v>-0.1</v>
      </c>
      <c r="K246" s="1315">
        <v>-0.1</v>
      </c>
      <c r="L246" s="1315">
        <v>-4.5999999999999996</v>
      </c>
      <c r="M246" s="1315">
        <v>0</v>
      </c>
      <c r="N246" s="1315">
        <v>0</v>
      </c>
      <c r="O246" s="1315">
        <v>0</v>
      </c>
      <c r="P246" s="1315">
        <v>0</v>
      </c>
      <c r="Q246" s="1315">
        <v>0</v>
      </c>
      <c r="R246" s="1315">
        <v>0</v>
      </c>
      <c r="S246" s="1315">
        <v>0</v>
      </c>
      <c r="T246" s="1315">
        <v>-437.9</v>
      </c>
      <c r="U246" s="1315">
        <v>-562.29999999999995</v>
      </c>
      <c r="V246" s="1315">
        <v>-636.4</v>
      </c>
      <c r="W246" s="1315">
        <v>-627.79999999999995</v>
      </c>
      <c r="X246" s="1315">
        <v>-614.70000000000005</v>
      </c>
      <c r="Y246" s="1315">
        <v>-66.2</v>
      </c>
      <c r="Z246" s="1315">
        <v>0</v>
      </c>
    </row>
    <row r="247" spans="1:26" ht="10.5" x14ac:dyDescent="0.2">
      <c r="A247" s="1314" t="s">
        <v>1438</v>
      </c>
      <c r="B247" s="1316">
        <v>-13.7</v>
      </c>
      <c r="C247" s="1316">
        <v>-12.1</v>
      </c>
      <c r="D247" s="1316">
        <v>-0.2</v>
      </c>
      <c r="E247" s="1316">
        <v>0</v>
      </c>
      <c r="F247" s="1316">
        <v>-0.1</v>
      </c>
      <c r="G247" s="1316">
        <v>-0.1</v>
      </c>
      <c r="H247" s="1316">
        <v>-0.2</v>
      </c>
      <c r="I247" s="1316">
        <v>-0.1</v>
      </c>
      <c r="J247" s="1316">
        <v>-0.1</v>
      </c>
      <c r="K247" s="1316">
        <v>-0.1</v>
      </c>
      <c r="L247" s="1316">
        <v>-4.5999999999999996</v>
      </c>
      <c r="M247" s="1316">
        <v>0</v>
      </c>
      <c r="N247" s="1316">
        <v>0</v>
      </c>
      <c r="O247" s="1316">
        <v>0</v>
      </c>
      <c r="P247" s="1316">
        <v>0</v>
      </c>
      <c r="Q247" s="1316">
        <v>-251.4</v>
      </c>
      <c r="R247" s="1316">
        <v>-37.299999999999997</v>
      </c>
      <c r="S247" s="1316">
        <v>-477.6</v>
      </c>
      <c r="T247" s="1316">
        <v>-437.9</v>
      </c>
      <c r="U247" s="1316">
        <v>-562.29999999999995</v>
      </c>
      <c r="V247" s="1316">
        <v>-636.4</v>
      </c>
      <c r="W247" s="1316">
        <v>-627.79999999999995</v>
      </c>
      <c r="X247" s="1316">
        <v>-614.70000000000005</v>
      </c>
      <c r="Y247" s="1316">
        <v>-66.2</v>
      </c>
      <c r="Z247" s="1316">
        <v>-95.2</v>
      </c>
    </row>
    <row r="248" spans="1:26" x14ac:dyDescent="0.2">
      <c r="A248" s="1305"/>
      <c r="B248" s="1305"/>
      <c r="C248" s="1305"/>
      <c r="D248" s="1305"/>
      <c r="E248" s="1305"/>
      <c r="F248" s="1305"/>
      <c r="G248" s="1305"/>
      <c r="H248" s="1305"/>
      <c r="I248" s="1305"/>
      <c r="J248" s="1305"/>
      <c r="K248" s="1305"/>
      <c r="L248" s="1305"/>
      <c r="M248" s="1305"/>
      <c r="N248" s="1305"/>
      <c r="O248" s="1305"/>
      <c r="P248" s="1305"/>
      <c r="Q248" s="1305"/>
      <c r="R248" s="1305"/>
      <c r="S248" s="1305"/>
      <c r="T248" s="1305"/>
      <c r="U248" s="1305"/>
      <c r="V248" s="1305"/>
      <c r="W248" s="1305"/>
      <c r="X248" s="1305"/>
      <c r="Y248" s="1305"/>
      <c r="Z248" s="1305"/>
    </row>
    <row r="249" spans="1:26" x14ac:dyDescent="0.2">
      <c r="A249" s="1305" t="s">
        <v>1439</v>
      </c>
      <c r="B249" s="1315">
        <v>8.1000000000000003E-2</v>
      </c>
      <c r="C249" s="1315">
        <v>0</v>
      </c>
      <c r="D249" s="1315">
        <v>35.320999999999998</v>
      </c>
      <c r="E249" s="1315">
        <v>1.284</v>
      </c>
      <c r="F249" s="1315">
        <v>2.8119999999999998</v>
      </c>
      <c r="G249" s="1315">
        <v>6</v>
      </c>
      <c r="H249" s="1315">
        <v>8.8309999999999995</v>
      </c>
      <c r="I249" s="1315">
        <v>10.292999999999999</v>
      </c>
      <c r="J249" s="1315">
        <v>14.923</v>
      </c>
      <c r="K249" s="1315">
        <v>21.065999999999999</v>
      </c>
      <c r="L249" s="1315">
        <v>31.649000000000001</v>
      </c>
      <c r="M249" s="1315">
        <v>36.183</v>
      </c>
      <c r="N249" s="1315">
        <v>52.76</v>
      </c>
      <c r="O249" s="1315">
        <v>28.971</v>
      </c>
      <c r="P249" s="1315">
        <v>7.7380000000000004</v>
      </c>
      <c r="Q249" s="1315">
        <v>102.96899999999999</v>
      </c>
      <c r="R249" s="1315">
        <v>117.07599999999999</v>
      </c>
      <c r="S249" s="1315">
        <v>19.670999999999999</v>
      </c>
      <c r="T249" s="1315">
        <v>24.902999999999999</v>
      </c>
      <c r="U249" s="1315">
        <v>11.949</v>
      </c>
      <c r="V249" s="1315">
        <v>3.867</v>
      </c>
      <c r="W249" s="1315">
        <v>1.7929999999999999</v>
      </c>
      <c r="X249" s="1315">
        <v>1.538</v>
      </c>
      <c r="Y249" s="1315">
        <v>1.1739999999999999</v>
      </c>
      <c r="Z249" s="1315">
        <v>1.1739999999999999</v>
      </c>
    </row>
    <row r="250" spans="1:26" x14ac:dyDescent="0.2">
      <c r="A250" s="1305" t="s">
        <v>1440</v>
      </c>
      <c r="B250" s="1315">
        <v>0</v>
      </c>
      <c r="C250" s="1315">
        <v>0</v>
      </c>
      <c r="D250" s="1315">
        <v>-0.1</v>
      </c>
      <c r="E250" s="1315">
        <v>0</v>
      </c>
      <c r="F250" s="1315">
        <v>0</v>
      </c>
      <c r="G250" s="1315">
        <v>0</v>
      </c>
      <c r="H250" s="1315">
        <v>-46.2</v>
      </c>
      <c r="I250" s="1315">
        <v>-57</v>
      </c>
      <c r="J250" s="1315">
        <v>-1.6</v>
      </c>
      <c r="K250" s="1315">
        <v>-4.3</v>
      </c>
      <c r="L250" s="1315">
        <v>-6.2</v>
      </c>
      <c r="M250" s="1315">
        <v>-443.5</v>
      </c>
      <c r="N250" s="1315">
        <v>-808.2</v>
      </c>
      <c r="O250" s="1315">
        <v>-514.9</v>
      </c>
      <c r="P250" s="1315">
        <v>-437.7</v>
      </c>
      <c r="Q250" s="1315">
        <v>-454.4</v>
      </c>
      <c r="R250" s="1315">
        <v>-452.5</v>
      </c>
      <c r="S250" s="1315">
        <v>-446.4</v>
      </c>
      <c r="T250" s="1315">
        <v>-783.2</v>
      </c>
      <c r="U250" s="1315">
        <v>-811.9</v>
      </c>
      <c r="V250" s="1315">
        <v>-9.5</v>
      </c>
      <c r="W250" s="1315">
        <v>-172.7</v>
      </c>
      <c r="X250" s="1315">
        <v>-44.7</v>
      </c>
      <c r="Y250" s="1315">
        <v>-4.5</v>
      </c>
      <c r="Z250" s="1315">
        <v>-4.9000000000000004</v>
      </c>
    </row>
    <row r="251" spans="1:26" x14ac:dyDescent="0.2">
      <c r="A251" s="1305"/>
      <c r="B251" s="1305"/>
      <c r="C251" s="1305"/>
      <c r="D251" s="1305"/>
      <c r="E251" s="1305"/>
      <c r="F251" s="1305"/>
      <c r="G251" s="1305"/>
      <c r="H251" s="1305"/>
      <c r="I251" s="1305"/>
      <c r="J251" s="1305"/>
      <c r="K251" s="1305"/>
      <c r="L251" s="1305"/>
      <c r="M251" s="1305"/>
      <c r="N251" s="1305"/>
      <c r="O251" s="1305"/>
      <c r="P251" s="1305"/>
      <c r="Q251" s="1305"/>
      <c r="R251" s="1305"/>
      <c r="S251" s="1305"/>
      <c r="T251" s="1305"/>
      <c r="U251" s="1305"/>
      <c r="V251" s="1305"/>
      <c r="W251" s="1305"/>
      <c r="X251" s="1305"/>
      <c r="Y251" s="1305"/>
      <c r="Z251" s="1305"/>
    </row>
    <row r="252" spans="1:26" ht="10.5" x14ac:dyDescent="0.2">
      <c r="A252" s="1314" t="s">
        <v>1441</v>
      </c>
      <c r="B252" s="1316">
        <v>0</v>
      </c>
      <c r="C252" s="1316">
        <v>0</v>
      </c>
      <c r="D252" s="1316">
        <v>0</v>
      </c>
      <c r="E252" s="1316">
        <v>0</v>
      </c>
      <c r="F252" s="1316">
        <v>0</v>
      </c>
      <c r="G252" s="1316">
        <v>0</v>
      </c>
      <c r="H252" s="1316">
        <v>0</v>
      </c>
      <c r="I252" s="1316">
        <v>0</v>
      </c>
      <c r="J252" s="1316">
        <v>0</v>
      </c>
      <c r="K252" s="1316">
        <v>0</v>
      </c>
      <c r="L252" s="1316">
        <v>0</v>
      </c>
      <c r="M252" s="1316">
        <v>0</v>
      </c>
      <c r="N252" s="1316">
        <v>0</v>
      </c>
      <c r="O252" s="1316">
        <v>0</v>
      </c>
      <c r="P252" s="1316">
        <v>0</v>
      </c>
      <c r="Q252" s="1316">
        <v>0</v>
      </c>
      <c r="R252" s="1316">
        <v>0</v>
      </c>
      <c r="S252" s="1316">
        <v>0</v>
      </c>
      <c r="T252" s="1316">
        <v>0</v>
      </c>
      <c r="U252" s="1316">
        <v>0</v>
      </c>
      <c r="V252" s="1316">
        <v>0</v>
      </c>
      <c r="W252" s="1316">
        <v>0</v>
      </c>
      <c r="X252" s="1316">
        <v>0</v>
      </c>
      <c r="Y252" s="1316">
        <v>0</v>
      </c>
      <c r="Z252" s="1316">
        <v>0</v>
      </c>
    </row>
    <row r="253" spans="1:26" x14ac:dyDescent="0.2">
      <c r="A253" s="1305"/>
      <c r="B253" s="1305"/>
      <c r="C253" s="1305"/>
      <c r="D253" s="1305"/>
      <c r="E253" s="1305"/>
      <c r="F253" s="1305"/>
      <c r="G253" s="1305"/>
      <c r="H253" s="1305"/>
      <c r="I253" s="1305"/>
      <c r="J253" s="1305"/>
      <c r="K253" s="1305"/>
      <c r="L253" s="1305"/>
      <c r="M253" s="1305"/>
      <c r="N253" s="1305"/>
      <c r="O253" s="1305"/>
      <c r="P253" s="1305"/>
      <c r="Q253" s="1305"/>
      <c r="R253" s="1305"/>
      <c r="S253" s="1305"/>
      <c r="T253" s="1305"/>
      <c r="U253" s="1305"/>
      <c r="V253" s="1305"/>
      <c r="W253" s="1305"/>
      <c r="X253" s="1305"/>
      <c r="Y253" s="1305"/>
      <c r="Z253" s="1305"/>
    </row>
    <row r="254" spans="1:26" x14ac:dyDescent="0.2">
      <c r="A254" s="1305" t="s">
        <v>1442</v>
      </c>
      <c r="B254" s="1315">
        <v>0</v>
      </c>
      <c r="C254" s="1315">
        <v>0</v>
      </c>
      <c r="D254" s="1315">
        <v>0</v>
      </c>
      <c r="E254" s="1315">
        <v>0</v>
      </c>
      <c r="F254" s="1315">
        <v>0</v>
      </c>
      <c r="G254" s="1315">
        <v>0</v>
      </c>
      <c r="H254" s="1315">
        <v>0</v>
      </c>
      <c r="I254" s="1315">
        <v>0</v>
      </c>
      <c r="J254" s="1315">
        <v>0</v>
      </c>
      <c r="K254" s="1315">
        <v>0</v>
      </c>
      <c r="L254" s="1315">
        <v>0</v>
      </c>
      <c r="M254" s="1315">
        <v>0</v>
      </c>
      <c r="N254" s="1315">
        <v>0</v>
      </c>
      <c r="O254" s="1315">
        <v>0</v>
      </c>
      <c r="P254" s="1315">
        <v>0</v>
      </c>
      <c r="Q254" s="1315">
        <v>0</v>
      </c>
      <c r="R254" s="1315">
        <v>0</v>
      </c>
      <c r="S254" s="1315">
        <v>0</v>
      </c>
      <c r="T254" s="1315">
        <v>0</v>
      </c>
      <c r="U254" s="1315">
        <v>0</v>
      </c>
      <c r="V254" s="1315">
        <v>0</v>
      </c>
      <c r="W254" s="1315">
        <v>0</v>
      </c>
      <c r="X254" s="1315">
        <v>0</v>
      </c>
      <c r="Y254" s="1315">
        <v>0</v>
      </c>
      <c r="Z254" s="1315">
        <v>0</v>
      </c>
    </row>
    <row r="255" spans="1:26" x14ac:dyDescent="0.2">
      <c r="A255" s="1305" t="s">
        <v>1443</v>
      </c>
      <c r="B255" s="1315">
        <v>0</v>
      </c>
      <c r="C255" s="1315">
        <v>0</v>
      </c>
      <c r="D255" s="1315">
        <v>8.4000000000000005E-2</v>
      </c>
      <c r="E255" s="1315">
        <v>2.585</v>
      </c>
      <c r="F255" s="1315">
        <v>0</v>
      </c>
      <c r="G255" s="1315">
        <v>0</v>
      </c>
      <c r="H255" s="1315">
        <v>0</v>
      </c>
      <c r="I255" s="1315">
        <v>0</v>
      </c>
      <c r="J255" s="1315">
        <v>82.534000000000006</v>
      </c>
      <c r="K255" s="1315">
        <v>9.1790000000000003</v>
      </c>
      <c r="L255" s="1315">
        <v>9.5109999999999992</v>
      </c>
      <c r="M255" s="1315">
        <v>-103.1</v>
      </c>
      <c r="N255" s="1315">
        <v>0</v>
      </c>
      <c r="O255" s="1315">
        <v>11.145</v>
      </c>
      <c r="P255" s="1315">
        <v>4.0220000000000002</v>
      </c>
      <c r="Q255" s="1315">
        <v>30.797000000000001</v>
      </c>
      <c r="R255" s="1315">
        <v>77.522999999999996</v>
      </c>
      <c r="S255" s="1315">
        <v>9.1080000000000005</v>
      </c>
      <c r="T255" s="1315">
        <v>10.888999999999999</v>
      </c>
      <c r="U255" s="1315">
        <v>1.1499999999999999</v>
      </c>
      <c r="V255" s="1315">
        <v>-42.5</v>
      </c>
      <c r="W255" s="1315">
        <v>-3.8</v>
      </c>
      <c r="X255" s="1315">
        <v>-72.599999999999994</v>
      </c>
      <c r="Y255" s="1315">
        <v>0</v>
      </c>
      <c r="Z255" s="1315">
        <v>0</v>
      </c>
    </row>
    <row r="256" spans="1:26" ht="10.5" x14ac:dyDescent="0.2">
      <c r="A256" s="1314" t="s">
        <v>1444</v>
      </c>
      <c r="B256" s="1316">
        <v>-0.8</v>
      </c>
      <c r="C256" s="1316">
        <v>1.4890000000000001</v>
      </c>
      <c r="D256" s="1316">
        <v>35.17</v>
      </c>
      <c r="E256" s="1316">
        <v>3.8690000000000002</v>
      </c>
      <c r="F256" s="1316">
        <v>2.762</v>
      </c>
      <c r="G256" s="1316">
        <v>5.95</v>
      </c>
      <c r="H256" s="1316">
        <v>-37.6</v>
      </c>
      <c r="I256" s="1316">
        <v>-46.8</v>
      </c>
      <c r="J256" s="1316">
        <v>95.763999999999996</v>
      </c>
      <c r="K256" s="1316">
        <v>25.8</v>
      </c>
      <c r="L256" s="1316">
        <v>30.375</v>
      </c>
      <c r="M256" s="1316">
        <v>-510.4</v>
      </c>
      <c r="N256" s="1316">
        <v>-755.4</v>
      </c>
      <c r="O256" s="1316">
        <v>-474.8</v>
      </c>
      <c r="P256" s="1316">
        <v>-426</v>
      </c>
      <c r="Q256" s="1316">
        <v>-321</v>
      </c>
      <c r="R256" s="1316">
        <v>217.941</v>
      </c>
      <c r="S256" s="1316">
        <v>-419.7</v>
      </c>
      <c r="T256" s="1316">
        <v>-775.3</v>
      </c>
      <c r="U256" s="1316">
        <v>-731.9</v>
      </c>
      <c r="V256" s="1316">
        <v>-74.3</v>
      </c>
      <c r="W256" s="1316">
        <v>-211.4</v>
      </c>
      <c r="X256" s="1316">
        <v>-724.7</v>
      </c>
      <c r="Y256" s="1316">
        <v>17.457000000000001</v>
      </c>
      <c r="Z256" s="1316">
        <v>-12.9</v>
      </c>
    </row>
    <row r="257" spans="1:26" x14ac:dyDescent="0.2">
      <c r="A257" s="1305"/>
      <c r="B257" s="1305"/>
      <c r="C257" s="1305"/>
      <c r="D257" s="1305"/>
      <c r="E257" s="1305"/>
      <c r="F257" s="1305"/>
      <c r="G257" s="1305"/>
      <c r="H257" s="1305"/>
      <c r="I257" s="1305"/>
      <c r="J257" s="1305"/>
      <c r="K257" s="1305"/>
      <c r="L257" s="1305"/>
      <c r="M257" s="1305"/>
      <c r="N257" s="1305"/>
      <c r="O257" s="1305"/>
      <c r="P257" s="1305"/>
      <c r="Q257" s="1305"/>
      <c r="R257" s="1305"/>
      <c r="S257" s="1305"/>
      <c r="T257" s="1305"/>
      <c r="U257" s="1305"/>
      <c r="V257" s="1305"/>
      <c r="W257" s="1305"/>
      <c r="X257" s="1305"/>
      <c r="Y257" s="1305"/>
      <c r="Z257" s="1305"/>
    </row>
    <row r="258" spans="1:26" x14ac:dyDescent="0.2">
      <c r="A258" s="1305" t="s">
        <v>1445</v>
      </c>
      <c r="B258" s="1315">
        <v>0</v>
      </c>
      <c r="C258" s="1315">
        <v>0</v>
      </c>
      <c r="D258" s="1315">
        <v>0</v>
      </c>
      <c r="E258" s="1315">
        <v>0</v>
      </c>
      <c r="F258" s="1315">
        <v>3.0000000000000001E-3</v>
      </c>
      <c r="G258" s="1315">
        <v>3.0000000000000001E-3</v>
      </c>
      <c r="H258" s="1315">
        <v>0</v>
      </c>
      <c r="I258" s="1315">
        <v>0</v>
      </c>
      <c r="J258" s="1315">
        <v>0.10299999999999999</v>
      </c>
      <c r="K258" s="1315">
        <v>2.1000000000000001E-2</v>
      </c>
      <c r="L258" s="1315">
        <v>-0.4</v>
      </c>
      <c r="M258" s="1315">
        <v>-0.2</v>
      </c>
      <c r="N258" s="1315">
        <v>-0.6</v>
      </c>
      <c r="O258" s="1315">
        <v>0.104</v>
      </c>
      <c r="P258" s="1315">
        <v>-0.5</v>
      </c>
      <c r="Q258" s="1315">
        <v>-0.3</v>
      </c>
      <c r="R258" s="1315">
        <v>-1.9</v>
      </c>
      <c r="S258" s="1315">
        <v>-1.7</v>
      </c>
      <c r="T258" s="1315">
        <v>0.71199999999999997</v>
      </c>
      <c r="U258" s="1315">
        <v>-0.5</v>
      </c>
      <c r="V258" s="1315">
        <v>-1</v>
      </c>
      <c r="W258" s="1315">
        <v>9.6000000000000002E-2</v>
      </c>
      <c r="X258" s="1315">
        <v>-4.4000000000000004</v>
      </c>
      <c r="Y258" s="1315">
        <v>2.7639999999999998</v>
      </c>
      <c r="Z258" s="1315">
        <v>2.5179999999999998</v>
      </c>
    </row>
    <row r="259" spans="1:26" x14ac:dyDescent="0.2">
      <c r="A259" s="1305" t="s">
        <v>1446</v>
      </c>
      <c r="B259" s="1315">
        <v>0</v>
      </c>
      <c r="C259" s="1315">
        <v>0</v>
      </c>
      <c r="D259" s="1315">
        <v>0</v>
      </c>
      <c r="E259" s="1315">
        <v>0</v>
      </c>
      <c r="F259" s="1315">
        <v>0</v>
      </c>
      <c r="G259" s="1315">
        <v>0</v>
      </c>
      <c r="H259" s="1315">
        <v>0</v>
      </c>
      <c r="I259" s="1315">
        <v>0</v>
      </c>
      <c r="J259" s="1315">
        <v>0</v>
      </c>
      <c r="K259" s="1315">
        <v>0</v>
      </c>
      <c r="L259" s="1315">
        <v>0</v>
      </c>
      <c r="M259" s="1315">
        <v>0</v>
      </c>
      <c r="N259" s="1315">
        <v>0</v>
      </c>
      <c r="O259" s="1315">
        <v>0</v>
      </c>
      <c r="P259" s="1315">
        <v>0</v>
      </c>
      <c r="Q259" s="1315">
        <v>0</v>
      </c>
      <c r="R259" s="1315">
        <v>0</v>
      </c>
      <c r="S259" s="1315">
        <v>0</v>
      </c>
      <c r="T259" s="1315">
        <v>0</v>
      </c>
      <c r="U259" s="1315">
        <v>0</v>
      </c>
      <c r="V259" s="1315">
        <v>0</v>
      </c>
      <c r="W259" s="1315">
        <v>0</v>
      </c>
      <c r="X259" s="1315">
        <v>-10.199999999999999</v>
      </c>
      <c r="Y259" s="1315">
        <v>0</v>
      </c>
      <c r="Z259" s="1315">
        <v>0</v>
      </c>
    </row>
    <row r="260" spans="1:26" ht="10.5" x14ac:dyDescent="0.2">
      <c r="A260" s="1314" t="s">
        <v>1447</v>
      </c>
      <c r="B260" s="1318">
        <v>1.5409999999999999</v>
      </c>
      <c r="C260" s="1318">
        <v>1.879</v>
      </c>
      <c r="D260" s="1318">
        <v>46.003999999999998</v>
      </c>
      <c r="E260" s="1318">
        <v>1.256</v>
      </c>
      <c r="F260" s="1318">
        <v>6.9459999999999997</v>
      </c>
      <c r="G260" s="1318">
        <v>-6.6</v>
      </c>
      <c r="H260" s="1318">
        <v>-0.8</v>
      </c>
      <c r="I260" s="1318">
        <v>8.3780000000000001</v>
      </c>
      <c r="J260" s="1318">
        <v>86.021000000000001</v>
      </c>
      <c r="K260" s="1318">
        <v>149.304</v>
      </c>
      <c r="L260" s="1318">
        <v>13.172000000000001</v>
      </c>
      <c r="M260" s="1318">
        <v>105.134</v>
      </c>
      <c r="N260" s="1318">
        <v>-12.9</v>
      </c>
      <c r="O260" s="1318">
        <v>171.874</v>
      </c>
      <c r="P260" s="1318">
        <v>30.260999999999999</v>
      </c>
      <c r="Q260" s="1318">
        <v>143.876</v>
      </c>
      <c r="R260" s="1318">
        <v>485.05099999999999</v>
      </c>
      <c r="S260" s="1318">
        <v>316.52300000000002</v>
      </c>
      <c r="T260" s="1318">
        <v>286.89499999999998</v>
      </c>
      <c r="U260" s="1318">
        <v>-295.3</v>
      </c>
      <c r="V260" s="1318">
        <v>138.11000000000001</v>
      </c>
      <c r="W260" s="1318">
        <v>-185.7</v>
      </c>
      <c r="X260" s="1318">
        <v>-725.1</v>
      </c>
      <c r="Y260" s="1318">
        <v>-39.700000000000003</v>
      </c>
      <c r="Z260" s="1318">
        <v>97.507999999999996</v>
      </c>
    </row>
    <row r="261" spans="1:26" x14ac:dyDescent="0.2">
      <c r="A261" s="1305"/>
      <c r="B261" s="1305"/>
      <c r="C261" s="1305"/>
      <c r="D261" s="1305"/>
      <c r="E261" s="1305"/>
      <c r="F261" s="1305"/>
      <c r="G261" s="1305"/>
      <c r="H261" s="1305"/>
      <c r="I261" s="1305"/>
      <c r="J261" s="1305"/>
      <c r="K261" s="1305"/>
      <c r="L261" s="1305"/>
      <c r="M261" s="1305"/>
      <c r="N261" s="1305"/>
      <c r="O261" s="1305"/>
      <c r="P261" s="1305"/>
      <c r="Q261" s="1305"/>
      <c r="R261" s="1305"/>
      <c r="S261" s="1305"/>
      <c r="T261" s="1305"/>
      <c r="U261" s="1305"/>
      <c r="V261" s="1305"/>
      <c r="W261" s="1305"/>
      <c r="X261" s="1305"/>
      <c r="Y261" s="1305"/>
      <c r="Z261" s="1305"/>
    </row>
    <row r="262" spans="1:26" ht="10.5" x14ac:dyDescent="0.2">
      <c r="A262" s="1314" t="s">
        <v>1287</v>
      </c>
      <c r="B262" s="1305"/>
      <c r="C262" s="1305"/>
      <c r="D262" s="1305"/>
      <c r="E262" s="1305"/>
      <c r="F262" s="1305"/>
      <c r="G262" s="1305"/>
      <c r="H262" s="1305"/>
      <c r="I262" s="1305"/>
      <c r="J262" s="1305"/>
      <c r="K262" s="1305"/>
      <c r="L262" s="1305"/>
      <c r="M262" s="1305"/>
      <c r="N262" s="1305"/>
      <c r="O262" s="1305"/>
      <c r="P262" s="1305"/>
      <c r="Q262" s="1305"/>
      <c r="R262" s="1305"/>
      <c r="S262" s="1305"/>
      <c r="T262" s="1305"/>
      <c r="U262" s="1305"/>
      <c r="V262" s="1305"/>
      <c r="W262" s="1305"/>
      <c r="X262" s="1305"/>
      <c r="Y262" s="1305"/>
      <c r="Z262" s="1305"/>
    </row>
    <row r="263" spans="1:26" x14ac:dyDescent="0.2">
      <c r="A263" s="1305" t="s">
        <v>1448</v>
      </c>
      <c r="B263" s="1315">
        <v>0.27900000000000003</v>
      </c>
      <c r="C263" s="1315">
        <v>0.153</v>
      </c>
      <c r="D263" s="1315">
        <v>9.6000000000000002E-2</v>
      </c>
      <c r="E263" s="1315">
        <v>2E-3</v>
      </c>
      <c r="F263" s="1315">
        <v>1.0999999999999999E-2</v>
      </c>
      <c r="G263" s="1315">
        <v>8.9999999999999993E-3</v>
      </c>
      <c r="H263" s="1315">
        <v>4.8000000000000001E-2</v>
      </c>
      <c r="I263" s="1315">
        <v>1.2E-2</v>
      </c>
      <c r="J263" s="1315">
        <v>4.0000000000000001E-3</v>
      </c>
      <c r="K263" s="1315" t="s">
        <v>890</v>
      </c>
      <c r="L263" s="1315" t="s">
        <v>890</v>
      </c>
      <c r="M263" s="1315" t="s">
        <v>890</v>
      </c>
      <c r="N263" s="1315" t="s">
        <v>890</v>
      </c>
      <c r="O263" s="1315">
        <v>0.32600000000000001</v>
      </c>
      <c r="P263" s="1315">
        <v>0.23100000000000001</v>
      </c>
      <c r="Q263" s="1315">
        <v>2.8740000000000001</v>
      </c>
      <c r="R263" s="1315">
        <v>3.6829999999999998</v>
      </c>
      <c r="S263" s="1315">
        <v>7.8369999999999997</v>
      </c>
      <c r="T263" s="1315">
        <v>10.972</v>
      </c>
      <c r="U263" s="1315">
        <v>9.7940000000000005</v>
      </c>
      <c r="V263" s="1315">
        <v>7.8689999999999998</v>
      </c>
      <c r="W263" s="1315">
        <v>7.657</v>
      </c>
      <c r="X263" s="1315">
        <v>6.6740000000000004</v>
      </c>
      <c r="Y263" s="1315">
        <v>6.7549999999999999</v>
      </c>
      <c r="Z263" s="1315">
        <v>6.8179999999999996</v>
      </c>
    </row>
    <row r="264" spans="1:26" x14ac:dyDescent="0.2">
      <c r="A264" s="1305" t="s">
        <v>1449</v>
      </c>
      <c r="B264" s="1315">
        <v>-0.1</v>
      </c>
      <c r="C264" s="1315">
        <v>4.9619999999999997</v>
      </c>
      <c r="D264" s="1315">
        <v>9.6920000000000002</v>
      </c>
      <c r="E264" s="1315">
        <v>11.675000000000001</v>
      </c>
      <c r="F264" s="1315">
        <v>13.952999999999999</v>
      </c>
      <c r="G264" s="1315">
        <v>24.234999999999999</v>
      </c>
      <c r="H264" s="1315">
        <v>30.224</v>
      </c>
      <c r="I264" s="1315">
        <v>46.634999999999998</v>
      </c>
      <c r="J264" s="1315">
        <v>44.164000000000001</v>
      </c>
      <c r="K264" s="1315">
        <v>75.331000000000003</v>
      </c>
      <c r="L264" s="1315">
        <v>115.06699999999999</v>
      </c>
      <c r="M264" s="1315">
        <v>173.715</v>
      </c>
      <c r="N264" s="1315">
        <v>239.327</v>
      </c>
      <c r="O264" s="1315">
        <v>273.91500000000002</v>
      </c>
      <c r="P264" s="1315">
        <v>293.089</v>
      </c>
      <c r="Q264" s="1315">
        <v>289.63</v>
      </c>
      <c r="R264" s="1315">
        <v>472.24099999999999</v>
      </c>
      <c r="S264" s="1315">
        <v>514.53200000000004</v>
      </c>
      <c r="T264" s="1315">
        <v>464.70100000000002</v>
      </c>
      <c r="U264" s="1315">
        <v>246.82400000000001</v>
      </c>
      <c r="V264" s="1315">
        <v>201.05500000000001</v>
      </c>
      <c r="W264" s="1315">
        <v>161.16300000000001</v>
      </c>
      <c r="X264" s="1315">
        <v>47.835999999999999</v>
      </c>
      <c r="Y264" s="1315">
        <v>8.3000000000000004E-2</v>
      </c>
      <c r="Z264" s="1315">
        <v>8.3000000000000004E-2</v>
      </c>
    </row>
    <row r="265" spans="1:26" x14ac:dyDescent="0.2">
      <c r="A265" s="1305" t="s">
        <v>1450</v>
      </c>
      <c r="B265" s="1315" t="s">
        <v>890</v>
      </c>
      <c r="C265" s="1315" t="s">
        <v>890</v>
      </c>
      <c r="D265" s="1315">
        <v>8.7951250000000005</v>
      </c>
      <c r="E265" s="1315">
        <v>15.371625</v>
      </c>
      <c r="F265" s="1315">
        <v>26.024999999999999</v>
      </c>
      <c r="G265" s="1315">
        <v>17.452874999999999</v>
      </c>
      <c r="H265" s="1315">
        <v>24.914999999999999</v>
      </c>
      <c r="I265" s="1315">
        <v>72.398750000000007</v>
      </c>
      <c r="J265" s="1315">
        <v>90.542000000000002</v>
      </c>
      <c r="K265" s="1315">
        <v>188.51025000000001</v>
      </c>
      <c r="L265" s="1315">
        <v>219.21525</v>
      </c>
      <c r="M265" s="1315">
        <v>396.782625</v>
      </c>
      <c r="N265" s="1315">
        <v>422.83350000000002</v>
      </c>
      <c r="O265" s="1315">
        <v>447.71487500000001</v>
      </c>
      <c r="P265" s="1315">
        <v>452.96862499999997</v>
      </c>
      <c r="Q265" s="1315">
        <v>496.41975000000002</v>
      </c>
      <c r="R265" s="1315">
        <v>988.96787500000005</v>
      </c>
      <c r="S265" s="1315">
        <v>914.20687499999997</v>
      </c>
      <c r="T265" s="1315">
        <v>835.89599999999996</v>
      </c>
      <c r="U265" s="1315">
        <v>512.76037499999995</v>
      </c>
      <c r="V265" s="1315">
        <v>437.19900000000001</v>
      </c>
      <c r="W265" s="1315">
        <v>378.78525000000002</v>
      </c>
      <c r="X265" s="1315">
        <v>181.21725000000001</v>
      </c>
      <c r="Y265" s="1315">
        <v>93.086624999999998</v>
      </c>
      <c r="Z265" s="1315">
        <v>111.03925</v>
      </c>
    </row>
    <row r="266" spans="1:26" x14ac:dyDescent="0.2">
      <c r="A266" s="1305" t="s">
        <v>1451</v>
      </c>
      <c r="B266" s="1315" t="s">
        <v>890</v>
      </c>
      <c r="C266" s="1315" t="s">
        <v>890</v>
      </c>
      <c r="D266" s="1315">
        <v>8.7951250000000005</v>
      </c>
      <c r="E266" s="1315">
        <v>15.371625</v>
      </c>
      <c r="F266" s="1315">
        <v>26.129375</v>
      </c>
      <c r="G266" s="1315">
        <v>17.527249999999999</v>
      </c>
      <c r="H266" s="1315">
        <v>24.950624999999999</v>
      </c>
      <c r="I266" s="1315">
        <v>72.668125000000003</v>
      </c>
      <c r="J266" s="1315">
        <v>90.943875000000006</v>
      </c>
      <c r="K266" s="1315">
        <v>188.79150000000001</v>
      </c>
      <c r="L266" s="1315">
        <v>219.385875</v>
      </c>
      <c r="M266" s="1315">
        <v>396.782625</v>
      </c>
      <c r="N266" s="1315">
        <v>422.83350000000002</v>
      </c>
      <c r="O266" s="1315">
        <v>447.90237500000001</v>
      </c>
      <c r="P266" s="1315">
        <v>453.11362500000001</v>
      </c>
      <c r="Q266" s="1315">
        <v>498.57600000000002</v>
      </c>
      <c r="R266" s="1315">
        <v>991.74787500000002</v>
      </c>
      <c r="S266" s="1315">
        <v>921.62187500000005</v>
      </c>
      <c r="T266" s="1315">
        <v>841.47787500000004</v>
      </c>
      <c r="U266" s="1315">
        <v>520.101</v>
      </c>
      <c r="V266" s="1315">
        <v>442.664625</v>
      </c>
      <c r="W266" s="1315">
        <v>383.73149999999998</v>
      </c>
      <c r="X266" s="1315">
        <v>185.339125</v>
      </c>
      <c r="Y266" s="1315">
        <v>97.287875</v>
      </c>
      <c r="Z266" s="1315">
        <v>115.221125</v>
      </c>
    </row>
    <row r="267" spans="1:26" x14ac:dyDescent="0.2">
      <c r="A267" s="1305" t="s">
        <v>1452</v>
      </c>
      <c r="B267" s="1315" t="s">
        <v>890</v>
      </c>
      <c r="C267" s="1315" t="s">
        <v>890</v>
      </c>
      <c r="D267" s="1315">
        <v>-4</v>
      </c>
      <c r="E267" s="1315">
        <v>0.82899999999999996</v>
      </c>
      <c r="F267" s="1315">
        <v>1.2170000000000001</v>
      </c>
      <c r="G267" s="1315">
        <v>8.27</v>
      </c>
      <c r="H267" s="1315">
        <v>8.2590000000000003</v>
      </c>
      <c r="I267" s="1315">
        <v>-9.1</v>
      </c>
      <c r="J267" s="1315">
        <v>-9.6</v>
      </c>
      <c r="K267" s="1315">
        <v>-31.7</v>
      </c>
      <c r="L267" s="1315">
        <v>6.2569999999999997</v>
      </c>
      <c r="M267" s="1315">
        <v>-70.599999999999994</v>
      </c>
      <c r="N267" s="1315">
        <v>-10.9</v>
      </c>
      <c r="O267" s="1315">
        <v>-29</v>
      </c>
      <c r="P267" s="1315">
        <v>-41.2</v>
      </c>
      <c r="Q267" s="1315">
        <v>22.221</v>
      </c>
      <c r="R267" s="1315">
        <v>-215.3</v>
      </c>
      <c r="S267" s="1315">
        <v>-21.4</v>
      </c>
      <c r="T267" s="1315">
        <v>-33.299999999999997</v>
      </c>
      <c r="U267" s="1315">
        <v>82.010999999999996</v>
      </c>
      <c r="V267" s="1315">
        <v>41.933</v>
      </c>
      <c r="W267" s="1315">
        <v>5.274</v>
      </c>
      <c r="X267" s="1315">
        <v>14.284000000000001</v>
      </c>
      <c r="Y267" s="1315">
        <v>60.292000000000002</v>
      </c>
      <c r="Z267" s="1315">
        <v>10.24</v>
      </c>
    </row>
    <row r="268" spans="1:26" x14ac:dyDescent="0.2">
      <c r="A268" s="1305" t="s">
        <v>1453</v>
      </c>
      <c r="B268" s="1315">
        <v>-0.8</v>
      </c>
      <c r="C268" s="1315">
        <v>1.4890000000000001</v>
      </c>
      <c r="D268" s="1315">
        <v>-0.2</v>
      </c>
      <c r="E268" s="1315" t="s">
        <v>890</v>
      </c>
      <c r="F268" s="1315">
        <v>-0.1</v>
      </c>
      <c r="G268" s="1315">
        <v>-0.1</v>
      </c>
      <c r="H268" s="1315">
        <v>-0.2</v>
      </c>
      <c r="I268" s="1315">
        <v>-0.1</v>
      </c>
      <c r="J268" s="1315">
        <v>-0.1</v>
      </c>
      <c r="K268" s="1315">
        <v>-0.1</v>
      </c>
      <c r="L268" s="1315">
        <v>-4.5999999999999996</v>
      </c>
      <c r="M268" s="1315" t="s">
        <v>890</v>
      </c>
      <c r="N268" s="1315" t="s">
        <v>890</v>
      </c>
      <c r="O268" s="1315" t="s">
        <v>890</v>
      </c>
      <c r="P268" s="1315" t="s">
        <v>890</v>
      </c>
      <c r="Q268" s="1315">
        <v>-0.4</v>
      </c>
      <c r="R268" s="1315">
        <v>475.82900000000001</v>
      </c>
      <c r="S268" s="1315">
        <v>-2.1</v>
      </c>
      <c r="T268" s="1315">
        <v>-27.9</v>
      </c>
      <c r="U268" s="1315">
        <v>66.876000000000005</v>
      </c>
      <c r="V268" s="1315">
        <v>-26.2</v>
      </c>
      <c r="W268" s="1315">
        <v>-36.700000000000003</v>
      </c>
      <c r="X268" s="1315">
        <v>-608.9</v>
      </c>
      <c r="Y268" s="1315">
        <v>20.736999999999998</v>
      </c>
      <c r="Z268" s="1315">
        <v>-9.1</v>
      </c>
    </row>
    <row r="269" spans="1:26" x14ac:dyDescent="0.2">
      <c r="A269" s="1305" t="s">
        <v>1454</v>
      </c>
      <c r="B269" s="1315">
        <v>0</v>
      </c>
      <c r="C269" s="1315">
        <v>0</v>
      </c>
      <c r="D269" s="1315">
        <v>0</v>
      </c>
      <c r="E269" s="1315">
        <v>0</v>
      </c>
      <c r="F269" s="1315">
        <v>0</v>
      </c>
      <c r="G269" s="1315">
        <v>0</v>
      </c>
      <c r="H269" s="1315">
        <v>0</v>
      </c>
      <c r="I269" s="1315">
        <v>0</v>
      </c>
      <c r="J269" s="1315">
        <v>0</v>
      </c>
      <c r="K269" s="1315">
        <v>0</v>
      </c>
      <c r="L269" s="1315">
        <v>0</v>
      </c>
      <c r="M269" s="1315">
        <v>0</v>
      </c>
      <c r="N269" s="1315">
        <v>0</v>
      </c>
      <c r="O269" s="1315">
        <v>0</v>
      </c>
      <c r="P269" s="1315">
        <v>0</v>
      </c>
      <c r="Q269" s="1315">
        <v>0</v>
      </c>
      <c r="R269" s="1315">
        <v>0</v>
      </c>
      <c r="S269" s="1315">
        <v>0</v>
      </c>
      <c r="T269" s="1315">
        <v>21.251000000000001</v>
      </c>
      <c r="U269" s="1315">
        <v>76.433999999999997</v>
      </c>
      <c r="V269" s="1315">
        <v>0</v>
      </c>
      <c r="W269" s="1315">
        <v>0</v>
      </c>
      <c r="X269" s="1315">
        <v>0</v>
      </c>
      <c r="Y269" s="1315">
        <v>0</v>
      </c>
      <c r="Z269" s="1315">
        <v>0</v>
      </c>
    </row>
    <row r="270" spans="1:26" x14ac:dyDescent="0.2">
      <c r="A270" s="1305" t="s">
        <v>1301</v>
      </c>
      <c r="B270" s="1322">
        <v>34999</v>
      </c>
      <c r="C270" s="1322">
        <v>35363</v>
      </c>
      <c r="D270" s="1322">
        <v>35727</v>
      </c>
      <c r="E270" s="1322">
        <v>36111</v>
      </c>
      <c r="F270" s="1322">
        <v>36490</v>
      </c>
      <c r="G270" s="1322">
        <v>36854</v>
      </c>
      <c r="H270" s="1322">
        <v>37223</v>
      </c>
      <c r="I270" s="1322">
        <v>37587</v>
      </c>
      <c r="J270" s="1322">
        <v>37951</v>
      </c>
      <c r="K270" s="1322">
        <v>38306</v>
      </c>
      <c r="L270" s="1322">
        <v>38670</v>
      </c>
      <c r="M270" s="1322">
        <v>39224</v>
      </c>
      <c r="N270" s="1322">
        <v>39384</v>
      </c>
      <c r="O270" s="1322">
        <v>39749</v>
      </c>
      <c r="P270" s="1322">
        <v>40113</v>
      </c>
      <c r="Q270" s="1322">
        <v>40472</v>
      </c>
      <c r="R270" s="1322">
        <v>40836</v>
      </c>
      <c r="S270" s="1322">
        <v>41204</v>
      </c>
      <c r="T270" s="1322">
        <v>41569</v>
      </c>
      <c r="U270" s="1322">
        <v>41933</v>
      </c>
      <c r="V270" s="1322">
        <v>42299</v>
      </c>
      <c r="W270" s="1322">
        <v>42663</v>
      </c>
      <c r="X270" s="1322">
        <v>42663</v>
      </c>
      <c r="Y270" s="1322">
        <v>42663</v>
      </c>
      <c r="Z270" s="1322">
        <v>42744</v>
      </c>
    </row>
    <row r="271" spans="1:26" x14ac:dyDescent="0.2">
      <c r="A271" s="1305" t="s">
        <v>1302</v>
      </c>
      <c r="B271" s="1323" t="s">
        <v>1303</v>
      </c>
      <c r="C271" s="1323" t="s">
        <v>1304</v>
      </c>
      <c r="D271" s="1323" t="s">
        <v>1304</v>
      </c>
      <c r="E271" s="1323" t="s">
        <v>1306</v>
      </c>
      <c r="F271" s="1323" t="s">
        <v>1306</v>
      </c>
      <c r="G271" s="1323" t="s">
        <v>1306</v>
      </c>
      <c r="H271" s="1323" t="s">
        <v>1304</v>
      </c>
      <c r="I271" s="1323" t="s">
        <v>1304</v>
      </c>
      <c r="J271" s="1323" t="s">
        <v>1304</v>
      </c>
      <c r="K271" s="1323" t="s">
        <v>1304</v>
      </c>
      <c r="L271" s="1323" t="s">
        <v>1306</v>
      </c>
      <c r="M271" s="1323" t="s">
        <v>1306</v>
      </c>
      <c r="N271" s="1323" t="s">
        <v>1306</v>
      </c>
      <c r="O271" s="1323" t="s">
        <v>1304</v>
      </c>
      <c r="P271" s="1323" t="s">
        <v>1304</v>
      </c>
      <c r="Q271" s="1323" t="s">
        <v>1304</v>
      </c>
      <c r="R271" s="1323" t="s">
        <v>1306</v>
      </c>
      <c r="S271" s="1323" t="s">
        <v>1306</v>
      </c>
      <c r="T271" s="1323" t="s">
        <v>1304</v>
      </c>
      <c r="U271" s="1323" t="s">
        <v>1304</v>
      </c>
      <c r="V271" s="1323" t="s">
        <v>1304</v>
      </c>
      <c r="W271" s="1323" t="s">
        <v>1304</v>
      </c>
      <c r="X271" s="1323" t="s">
        <v>1307</v>
      </c>
      <c r="Y271" s="1323" t="s">
        <v>1303</v>
      </c>
      <c r="Z271" s="1323" t="s">
        <v>1303</v>
      </c>
    </row>
    <row r="272" spans="1:26" x14ac:dyDescent="0.2">
      <c r="A272" s="1305" t="s">
        <v>1308</v>
      </c>
      <c r="B272" s="1323" t="s">
        <v>1309</v>
      </c>
      <c r="C272" s="1323" t="s">
        <v>1309</v>
      </c>
      <c r="D272" s="1323" t="s">
        <v>1309</v>
      </c>
      <c r="E272" s="1323" t="s">
        <v>1309</v>
      </c>
      <c r="F272" s="1323" t="s">
        <v>1309</v>
      </c>
      <c r="G272" s="1323" t="s">
        <v>1309</v>
      </c>
      <c r="H272" s="1323" t="s">
        <v>1309</v>
      </c>
      <c r="I272" s="1323" t="s">
        <v>1309</v>
      </c>
      <c r="J272" s="1323" t="s">
        <v>1309</v>
      </c>
      <c r="K272" s="1323" t="s">
        <v>1309</v>
      </c>
      <c r="L272" s="1323" t="s">
        <v>1309</v>
      </c>
      <c r="M272" s="1323" t="s">
        <v>1309</v>
      </c>
      <c r="N272" s="1323" t="s">
        <v>1309</v>
      </c>
      <c r="O272" s="1323" t="s">
        <v>1309</v>
      </c>
      <c r="P272" s="1323" t="s">
        <v>1309</v>
      </c>
      <c r="Q272" s="1323" t="s">
        <v>1309</v>
      </c>
      <c r="R272" s="1323" t="s">
        <v>1309</v>
      </c>
      <c r="S272" s="1323" t="s">
        <v>1309</v>
      </c>
      <c r="T272" s="1323" t="s">
        <v>1309</v>
      </c>
      <c r="U272" s="1323" t="s">
        <v>1309</v>
      </c>
      <c r="V272" s="1323" t="s">
        <v>1309</v>
      </c>
      <c r="W272" s="1323" t="s">
        <v>1309</v>
      </c>
      <c r="X272" s="1323" t="s">
        <v>1309</v>
      </c>
      <c r="Y272" s="1323" t="s">
        <v>1309</v>
      </c>
      <c r="Z272" s="1323" t="s">
        <v>1310</v>
      </c>
    </row>
    <row r="273" spans="1:253" x14ac:dyDescent="0.2">
      <c r="A273" s="1305"/>
      <c r="B273" s="1305"/>
      <c r="C273" s="1305"/>
      <c r="D273" s="1305"/>
      <c r="E273" s="1305"/>
      <c r="F273" s="1305"/>
      <c r="G273" s="1305"/>
      <c r="H273" s="1305"/>
      <c r="I273" s="1305"/>
      <c r="J273" s="1305"/>
      <c r="K273" s="1305"/>
      <c r="L273" s="1305"/>
      <c r="M273" s="1305"/>
      <c r="N273" s="1305"/>
      <c r="O273" s="1305"/>
      <c r="P273" s="1305"/>
      <c r="Q273" s="1305"/>
      <c r="R273" s="1305"/>
      <c r="S273" s="1305"/>
      <c r="T273" s="1305"/>
      <c r="U273" s="1305"/>
      <c r="V273" s="1305"/>
      <c r="W273" s="1305"/>
      <c r="X273" s="1305"/>
      <c r="Y273" s="1305"/>
      <c r="Z273" s="1305"/>
    </row>
    <row r="274" spans="1:253" x14ac:dyDescent="0.2">
      <c r="A274" s="1308" t="s">
        <v>1455</v>
      </c>
      <c r="D274" s="1308"/>
      <c r="E274" s="1308"/>
      <c r="F274" s="1308"/>
      <c r="G274" s="1308"/>
      <c r="H274" s="1308"/>
      <c r="I274" s="1308"/>
      <c r="J274" s="1308"/>
      <c r="K274" s="1308"/>
      <c r="L274" s="1308"/>
      <c r="M274" s="1308"/>
      <c r="N274" s="1308"/>
      <c r="O274" s="1308"/>
      <c r="P274" s="1308"/>
      <c r="Q274" s="1308"/>
      <c r="R274" s="1308"/>
      <c r="S274" s="1308"/>
      <c r="T274" s="1308"/>
      <c r="U274" s="1308"/>
      <c r="V274" s="1308"/>
      <c r="W274" s="1308"/>
      <c r="X274" s="1308"/>
      <c r="Y274" s="1308"/>
      <c r="Z274" s="1308"/>
      <c r="AA274" s="1308"/>
      <c r="AB274" s="1308"/>
      <c r="AC274" s="1308"/>
      <c r="AJ274" s="1308"/>
      <c r="AK274" s="1308"/>
      <c r="AM274" s="1308"/>
      <c r="AN274" s="1308"/>
      <c r="AO274" s="1308"/>
      <c r="AQ274" s="1308"/>
      <c r="AR274" s="1308"/>
      <c r="AS274" s="1308"/>
      <c r="AT274" s="1308"/>
      <c r="AV274" s="1308"/>
      <c r="AW274" s="1308"/>
      <c r="AX274" s="1308"/>
      <c r="AZ274" s="1308"/>
      <c r="BA274" s="1308"/>
      <c r="BB274" s="1308"/>
      <c r="BD274" s="1308"/>
      <c r="BE274" s="1308"/>
      <c r="BF274" s="1308"/>
      <c r="BH274" s="1308"/>
      <c r="BI274" s="1308"/>
      <c r="BJ274" s="1308"/>
      <c r="BL274" s="1308"/>
      <c r="BM274" s="1308"/>
      <c r="BN274" s="1308"/>
      <c r="BP274" s="1308"/>
      <c r="BV274" s="1308"/>
      <c r="BX274" s="1308"/>
      <c r="BY274" s="1308"/>
      <c r="BZ274" s="1308"/>
      <c r="CB274" s="1308"/>
      <c r="CC274" s="1308"/>
      <c r="CD274" s="1308"/>
      <c r="CF274" s="1308"/>
      <c r="CH274" s="1309"/>
      <c r="CI274" s="1309"/>
      <c r="CJ274" s="1309"/>
      <c r="CK274" s="1309"/>
      <c r="CL274" s="1309"/>
      <c r="CM274" s="1309"/>
      <c r="CN274" s="1309"/>
      <c r="CO274" s="1309"/>
      <c r="CP274" s="1309"/>
      <c r="CQ274" s="1309"/>
      <c r="CR274" s="1309"/>
      <c r="CS274" s="1309"/>
      <c r="CT274" s="1309"/>
      <c r="CU274" s="1309"/>
      <c r="CV274" s="1309"/>
      <c r="CW274" s="1309"/>
      <c r="CX274" s="1309"/>
      <c r="CY274" s="1309"/>
      <c r="CZ274" s="1309"/>
      <c r="DA274" s="1309"/>
      <c r="DB274" s="1309"/>
      <c r="DC274" s="1309"/>
      <c r="DD274" s="1309"/>
      <c r="DE274" s="1309"/>
      <c r="DF274" s="1309"/>
      <c r="DG274" s="1309"/>
      <c r="DH274" s="1309"/>
      <c r="DI274" s="1309"/>
      <c r="DJ274" s="1309"/>
      <c r="DK274" s="1309"/>
      <c r="DL274" s="1309"/>
      <c r="DM274" s="1309"/>
      <c r="DN274" s="1309"/>
      <c r="DO274" s="1309"/>
      <c r="DP274" s="1309"/>
      <c r="DQ274" s="1309"/>
      <c r="DR274" s="1309"/>
      <c r="DS274" s="1309"/>
      <c r="DT274" s="1309"/>
      <c r="DU274" s="1309"/>
      <c r="DV274" s="1309"/>
      <c r="DW274" s="1309"/>
      <c r="DX274" s="1309"/>
      <c r="DY274" s="1309"/>
      <c r="DZ274" s="1309"/>
      <c r="EA274" s="1309"/>
      <c r="EB274" s="1309"/>
      <c r="EC274" s="1309"/>
      <c r="ED274" s="1309"/>
      <c r="EE274" s="1309"/>
      <c r="EF274" s="1309"/>
      <c r="EG274" s="1309"/>
      <c r="EH274" s="1309"/>
      <c r="EI274" s="1309"/>
      <c r="EJ274" s="1309"/>
      <c r="EK274" s="1309"/>
      <c r="EL274" s="1309"/>
      <c r="EM274" s="1309"/>
      <c r="EN274" s="1309"/>
      <c r="EO274" s="1309"/>
      <c r="EP274" s="1309"/>
      <c r="EQ274" s="1309"/>
      <c r="ER274" s="1309"/>
      <c r="ES274" s="1309"/>
      <c r="ET274" s="1309"/>
      <c r="EU274" s="1309"/>
      <c r="EV274" s="1309"/>
      <c r="EW274" s="1309"/>
      <c r="EX274" s="1309"/>
      <c r="EY274" s="1309"/>
      <c r="EZ274" s="1309"/>
      <c r="FA274" s="1309"/>
      <c r="FB274" s="1309"/>
      <c r="FC274" s="1309"/>
      <c r="FD274" s="1309"/>
      <c r="FE274" s="1309"/>
      <c r="FF274" s="1309"/>
      <c r="FG274" s="1309"/>
      <c r="FH274" s="1309"/>
      <c r="FI274" s="1309"/>
      <c r="FJ274" s="1309"/>
      <c r="FK274" s="1309"/>
      <c r="FL274" s="1309"/>
      <c r="FM274" s="1309"/>
      <c r="FN274" s="1309"/>
      <c r="FO274" s="1309"/>
      <c r="FP274" s="1309"/>
      <c r="FQ274" s="1309"/>
      <c r="FR274" s="1309"/>
      <c r="FS274" s="1309"/>
      <c r="FT274" s="1309"/>
      <c r="FU274" s="1309"/>
      <c r="FV274" s="1309"/>
      <c r="FW274" s="1309"/>
      <c r="FX274" s="1309"/>
      <c r="FY274" s="1309"/>
      <c r="FZ274" s="1309"/>
      <c r="GA274" s="1309"/>
      <c r="GB274" s="1309"/>
      <c r="GC274" s="1309"/>
      <c r="GD274" s="1309"/>
      <c r="GE274" s="1309"/>
      <c r="GF274" s="1309"/>
      <c r="GG274" s="1309"/>
      <c r="GH274" s="1309"/>
      <c r="GI274" s="1309"/>
      <c r="GJ274" s="1309"/>
      <c r="GK274" s="1309"/>
      <c r="GL274" s="1309"/>
      <c r="GM274" s="1309"/>
      <c r="GN274" s="1309"/>
      <c r="GO274" s="1309"/>
      <c r="GP274" s="1309"/>
      <c r="GQ274" s="1309"/>
      <c r="GR274" s="1309"/>
      <c r="GS274" s="1309"/>
      <c r="GT274" s="1309"/>
      <c r="GU274" s="1309"/>
      <c r="GV274" s="1309"/>
      <c r="GW274" s="1309"/>
      <c r="GX274" s="1309"/>
      <c r="GY274" s="1309"/>
      <c r="GZ274" s="1309"/>
      <c r="HA274" s="1309"/>
      <c r="HB274" s="1309"/>
      <c r="HC274" s="1309"/>
      <c r="HD274" s="1309"/>
      <c r="HE274" s="1309"/>
      <c r="HF274" s="1309"/>
      <c r="HG274" s="1309"/>
      <c r="HH274" s="1309"/>
      <c r="HI274" s="1309"/>
      <c r="HJ274" s="1309"/>
      <c r="HK274" s="1309"/>
      <c r="HL274" s="1309"/>
      <c r="HM274" s="1309"/>
      <c r="HN274" s="1309"/>
      <c r="HO274" s="1309"/>
      <c r="HP274" s="1309"/>
      <c r="HQ274" s="1309"/>
      <c r="HR274" s="1309"/>
      <c r="HS274" s="1309"/>
      <c r="HT274" s="1309"/>
      <c r="HU274" s="1309"/>
      <c r="HV274" s="1309"/>
      <c r="HW274" s="1309"/>
      <c r="HX274" s="1309"/>
      <c r="HY274" s="1309"/>
      <c r="HZ274" s="1309"/>
      <c r="IA274" s="1309"/>
      <c r="IB274" s="1309"/>
      <c r="IC274" s="1309"/>
      <c r="ID274" s="1309"/>
      <c r="IE274" s="1309"/>
      <c r="IF274" s="1309"/>
      <c r="IG274" s="1309"/>
      <c r="IH274" s="1309"/>
      <c r="II274" s="1309"/>
      <c r="IJ274" s="1309"/>
      <c r="IK274" s="1309"/>
      <c r="IL274" s="1309"/>
      <c r="IM274" s="1309"/>
      <c r="IN274" s="1309"/>
      <c r="IO274" s="1309"/>
      <c r="IP274" s="1309"/>
      <c r="IQ274" s="1309"/>
      <c r="IR274" s="1309"/>
      <c r="IS274" s="1309"/>
    </row>
    <row r="275" spans="1:253" ht="21" x14ac:dyDescent="0.25">
      <c r="A275" s="1310" t="s">
        <v>1325</v>
      </c>
      <c r="D275" s="1324">
        <v>34850</v>
      </c>
      <c r="E275" s="1324">
        <v>35216</v>
      </c>
      <c r="F275" s="1324">
        <v>35581</v>
      </c>
      <c r="G275" s="1324">
        <v>35946</v>
      </c>
      <c r="H275" s="1324">
        <v>36311</v>
      </c>
      <c r="I275" s="1324">
        <v>36677</v>
      </c>
      <c r="J275" s="1324">
        <v>37042</v>
      </c>
      <c r="K275" s="1324">
        <v>37407</v>
      </c>
      <c r="L275" s="1324">
        <v>37772</v>
      </c>
      <c r="M275" s="1324">
        <v>38138</v>
      </c>
      <c r="N275" s="1324">
        <v>38503</v>
      </c>
      <c r="O275" s="1324">
        <v>38776</v>
      </c>
      <c r="P275" s="1324">
        <v>39233</v>
      </c>
      <c r="Q275" s="1324">
        <v>39599</v>
      </c>
      <c r="R275" s="1324">
        <v>39964</v>
      </c>
      <c r="S275" s="1324">
        <v>40329</v>
      </c>
      <c r="T275" s="1324">
        <v>40694</v>
      </c>
      <c r="U275" s="1324">
        <v>41060</v>
      </c>
      <c r="V275" s="1324">
        <v>41425</v>
      </c>
      <c r="W275" s="1324">
        <v>41790</v>
      </c>
      <c r="X275" s="1324">
        <v>42155</v>
      </c>
      <c r="Y275" s="1324">
        <v>42521</v>
      </c>
      <c r="Z275" s="1324">
        <v>42704</v>
      </c>
      <c r="AA275" s="1324"/>
      <c r="AB275" s="1324"/>
      <c r="AC275" s="1324"/>
      <c r="AJ275" s="1324"/>
      <c r="AK275" s="1324"/>
      <c r="AM275" s="1324"/>
      <c r="AN275" s="1324"/>
      <c r="AO275" s="1324"/>
      <c r="AQ275" s="1324"/>
      <c r="AR275" s="1324"/>
      <c r="AS275" s="1324"/>
      <c r="AT275" s="1324"/>
      <c r="AV275" s="1324"/>
      <c r="AW275" s="1324"/>
      <c r="AX275" s="1324"/>
      <c r="AZ275" s="1324"/>
      <c r="BA275" s="1324"/>
      <c r="BB275" s="1324"/>
      <c r="BD275" s="1324"/>
      <c r="BE275" s="1324"/>
      <c r="BF275" s="1324"/>
      <c r="BH275" s="1324"/>
      <c r="BI275" s="1324"/>
      <c r="BJ275" s="1324"/>
      <c r="BL275" s="1324"/>
      <c r="BM275" s="1324"/>
      <c r="BN275" s="1324"/>
      <c r="BP275" s="1324"/>
      <c r="BV275" s="1324"/>
      <c r="BX275" s="1324"/>
      <c r="BY275" s="1324"/>
      <c r="BZ275" s="1324"/>
      <c r="CB275" s="1324">
        <v>42247</v>
      </c>
      <c r="CC275" s="1324">
        <v>42338</v>
      </c>
      <c r="CD275" s="1324">
        <v>42429</v>
      </c>
      <c r="CF275" s="1324">
        <v>42613</v>
      </c>
    </row>
    <row r="276" spans="1:253" ht="10.5" x14ac:dyDescent="0.25">
      <c r="A276" s="1310" t="s">
        <v>1456</v>
      </c>
      <c r="D276" s="1324">
        <v>34878</v>
      </c>
      <c r="E276" s="1324">
        <v>35242</v>
      </c>
      <c r="F276" s="1324">
        <v>35611</v>
      </c>
      <c r="G276" s="1324">
        <v>35969</v>
      </c>
      <c r="H276" s="1324">
        <v>36355</v>
      </c>
      <c r="I276" s="1324">
        <v>36724</v>
      </c>
      <c r="J276" s="1324">
        <v>37085</v>
      </c>
      <c r="K276" s="1324">
        <v>37449</v>
      </c>
      <c r="L276" s="1324">
        <v>37817</v>
      </c>
      <c r="M276" s="1324">
        <v>38183</v>
      </c>
      <c r="N276" s="1324">
        <v>38544</v>
      </c>
      <c r="O276" s="1324">
        <v>38817</v>
      </c>
      <c r="P276" s="1324">
        <v>39261</v>
      </c>
      <c r="Q276" s="1324">
        <v>39630</v>
      </c>
      <c r="R276" s="1324">
        <v>39993</v>
      </c>
      <c r="S276" s="1324">
        <v>40359</v>
      </c>
      <c r="T276" s="1324">
        <v>40724</v>
      </c>
      <c r="U276" s="1324">
        <v>41085</v>
      </c>
      <c r="V276" s="1324">
        <v>41450</v>
      </c>
      <c r="W276" s="1324">
        <v>41815</v>
      </c>
      <c r="X276" s="1324">
        <v>42184</v>
      </c>
      <c r="Y276" s="1324">
        <v>42559</v>
      </c>
      <c r="Z276" s="1324">
        <v>42744</v>
      </c>
      <c r="AA276" s="1324"/>
      <c r="AB276" s="1324"/>
      <c r="AC276" s="1324"/>
      <c r="AJ276" s="1324"/>
      <c r="AK276" s="1324"/>
      <c r="AM276" s="1324"/>
      <c r="AN276" s="1324"/>
      <c r="AO276" s="1324"/>
      <c r="AQ276" s="1324"/>
      <c r="AR276" s="1324"/>
      <c r="AS276" s="1324"/>
      <c r="AT276" s="1324"/>
      <c r="AV276" s="1324"/>
      <c r="AW276" s="1324"/>
      <c r="AX276" s="1324"/>
      <c r="AZ276" s="1324"/>
      <c r="BA276" s="1324"/>
      <c r="BB276" s="1324"/>
      <c r="BD276" s="1324"/>
      <c r="BE276" s="1324"/>
      <c r="BF276" s="1324"/>
      <c r="BH276" s="1324"/>
      <c r="BI276" s="1324"/>
      <c r="BJ276" s="1324"/>
      <c r="BL276" s="1324"/>
      <c r="BM276" s="1324"/>
      <c r="BN276" s="1324"/>
      <c r="BP276" s="1324"/>
      <c r="BV276" s="1324"/>
      <c r="BX276" s="1324"/>
      <c r="BY276" s="1324"/>
      <c r="BZ276" s="1324"/>
      <c r="CB276" s="1324">
        <v>42299</v>
      </c>
      <c r="CC276" s="1324">
        <v>42380</v>
      </c>
      <c r="CD276" s="1324">
        <v>42467</v>
      </c>
      <c r="CF276" s="1324">
        <v>42663</v>
      </c>
    </row>
    <row r="277" spans="1:253" x14ac:dyDescent="0.2">
      <c r="A277" s="1312" t="s">
        <v>1240</v>
      </c>
      <c r="D277" s="1313" t="s">
        <v>10</v>
      </c>
      <c r="E277" s="1313" t="s">
        <v>10</v>
      </c>
      <c r="F277" s="1313" t="s">
        <v>10</v>
      </c>
      <c r="G277" s="1313" t="s">
        <v>10</v>
      </c>
      <c r="H277" s="1313" t="s">
        <v>10</v>
      </c>
      <c r="I277" s="1313" t="s">
        <v>10</v>
      </c>
      <c r="J277" s="1313" t="s">
        <v>10</v>
      </c>
      <c r="K277" s="1313" t="s">
        <v>10</v>
      </c>
      <c r="L277" s="1313" t="s">
        <v>10</v>
      </c>
      <c r="M277" s="1313" t="s">
        <v>10</v>
      </c>
      <c r="N277" s="1313" t="s">
        <v>10</v>
      </c>
      <c r="O277" s="1313" t="s">
        <v>10</v>
      </c>
      <c r="P277" s="1313" t="s">
        <v>10</v>
      </c>
      <c r="Q277" s="1313" t="s">
        <v>10</v>
      </c>
      <c r="R277" s="1313" t="s">
        <v>10</v>
      </c>
      <c r="S277" s="1313" t="s">
        <v>10</v>
      </c>
      <c r="T277" s="1313" t="s">
        <v>10</v>
      </c>
      <c r="U277" s="1313" t="s">
        <v>10</v>
      </c>
      <c r="V277" s="1313" t="s">
        <v>10</v>
      </c>
      <c r="W277" s="1313" t="s">
        <v>10</v>
      </c>
      <c r="X277" s="1313" t="s">
        <v>10</v>
      </c>
      <c r="Y277" s="1313" t="s">
        <v>10</v>
      </c>
      <c r="Z277" s="1313" t="s">
        <v>10</v>
      </c>
      <c r="AA277" s="1313"/>
      <c r="AB277" s="1313"/>
      <c r="AC277" s="1313"/>
      <c r="AJ277" s="1313"/>
      <c r="AK277" s="1313"/>
      <c r="AM277" s="1313"/>
      <c r="AN277" s="1313"/>
      <c r="AO277" s="1313"/>
      <c r="AQ277" s="1313"/>
      <c r="AR277" s="1313"/>
      <c r="AS277" s="1313"/>
      <c r="AT277" s="1313"/>
      <c r="AV277" s="1313"/>
      <c r="AW277" s="1313"/>
      <c r="AX277" s="1313"/>
      <c r="AZ277" s="1313"/>
      <c r="BA277" s="1313"/>
      <c r="BB277" s="1313"/>
      <c r="BD277" s="1313"/>
      <c r="BE277" s="1313"/>
      <c r="BF277" s="1313"/>
      <c r="BH277" s="1313"/>
      <c r="BI277" s="1313"/>
      <c r="BJ277" s="1313"/>
      <c r="BL277" s="1313"/>
      <c r="BM277" s="1313"/>
      <c r="BN277" s="1313"/>
      <c r="BP277" s="1313"/>
      <c r="BV277" s="1313"/>
      <c r="BX277" s="1313"/>
      <c r="BY277" s="1313"/>
      <c r="BZ277" s="1313"/>
      <c r="CB277" s="1313" t="s">
        <v>10</v>
      </c>
      <c r="CC277" s="1313" t="s">
        <v>10</v>
      </c>
      <c r="CD277" s="1313" t="s">
        <v>10</v>
      </c>
      <c r="CF277" s="1313" t="s">
        <v>10</v>
      </c>
    </row>
    <row r="278" spans="1:253" ht="10.5" x14ac:dyDescent="0.2">
      <c r="A278" s="1314" t="s">
        <v>1457</v>
      </c>
      <c r="D278" s="1305"/>
      <c r="E278" s="1305"/>
      <c r="F278" s="1305"/>
      <c r="G278" s="1305"/>
      <c r="H278" s="1305"/>
      <c r="I278" s="1305"/>
      <c r="J278" s="1305"/>
      <c r="K278" s="1305"/>
      <c r="L278" s="1305"/>
      <c r="M278" s="1305"/>
      <c r="N278" s="1305"/>
      <c r="O278" s="1305"/>
      <c r="P278" s="1305"/>
      <c r="Q278" s="1305"/>
      <c r="R278" s="1305"/>
      <c r="S278" s="1305"/>
      <c r="T278" s="1305"/>
      <c r="U278" s="1305"/>
      <c r="V278" s="1305"/>
      <c r="W278" s="1305"/>
      <c r="X278" s="1305"/>
      <c r="Y278" s="1305"/>
      <c r="Z278" s="1305"/>
      <c r="AA278" s="1305"/>
      <c r="AB278" s="1305"/>
      <c r="AC278" s="1305"/>
      <c r="AJ278" s="1305"/>
      <c r="AK278" s="1305"/>
      <c r="AM278" s="1305"/>
      <c r="AN278" s="1305"/>
      <c r="AO278" s="1305"/>
      <c r="AQ278" s="1305"/>
      <c r="AR278" s="1305"/>
      <c r="AS278" s="1305"/>
      <c r="AT278" s="1305"/>
      <c r="AV278" s="1305"/>
      <c r="AW278" s="1305"/>
      <c r="AX278" s="1305"/>
      <c r="AZ278" s="1305"/>
      <c r="BA278" s="1305"/>
      <c r="BB278" s="1305"/>
      <c r="BD278" s="1305"/>
      <c r="BE278" s="1305"/>
      <c r="BF278" s="1305"/>
      <c r="BH278" s="1305"/>
      <c r="BI278" s="1305"/>
      <c r="BJ278" s="1305"/>
      <c r="BL278" s="1305"/>
      <c r="BM278" s="1305"/>
      <c r="BN278" s="1305"/>
      <c r="BP278" s="1305"/>
      <c r="BV278" s="1305"/>
      <c r="BX278" s="1305"/>
      <c r="BY278" s="1305"/>
      <c r="BZ278" s="1305"/>
      <c r="CB278" s="1305"/>
      <c r="CC278" s="1305"/>
      <c r="CD278" s="1305"/>
      <c r="CF278" s="1305"/>
    </row>
    <row r="279" spans="1:253" x14ac:dyDescent="0.2">
      <c r="A279" s="1305" t="s">
        <v>1458</v>
      </c>
      <c r="D279" s="1320">
        <v>2.46</v>
      </c>
      <c r="E279" s="1320">
        <v>7.7</v>
      </c>
      <c r="F279" s="1320">
        <v>10.44</v>
      </c>
      <c r="G279" s="1320">
        <v>14.74</v>
      </c>
      <c r="H279" s="1320">
        <v>11.14</v>
      </c>
      <c r="I279" s="1320">
        <v>14.36</v>
      </c>
      <c r="J279" s="1320">
        <v>28.33</v>
      </c>
      <c r="K279" s="1320">
        <v>37.49</v>
      </c>
      <c r="L279" s="1320">
        <v>65.36</v>
      </c>
      <c r="M279" s="1320">
        <v>93.86</v>
      </c>
      <c r="N279" s="1320">
        <v>74.319999999999993</v>
      </c>
      <c r="O279" s="1320">
        <v>52.85</v>
      </c>
      <c r="P279" s="1320">
        <v>50.78</v>
      </c>
      <c r="Q279" s="1320">
        <v>46.26</v>
      </c>
      <c r="R279" s="1320">
        <v>65.989999999999995</v>
      </c>
      <c r="S279" s="1320">
        <v>42.47</v>
      </c>
      <c r="T279" s="1320">
        <v>43.68</v>
      </c>
      <c r="U279" s="1320">
        <v>32.47</v>
      </c>
      <c r="V279" s="1320">
        <v>19.38</v>
      </c>
      <c r="W279" s="1320">
        <v>31.08</v>
      </c>
      <c r="X279" s="1320">
        <v>15.54</v>
      </c>
      <c r="Y279" s="1320">
        <v>9.0500000000000007</v>
      </c>
      <c r="Z279" s="1320">
        <v>9.94</v>
      </c>
      <c r="AA279" s="1320"/>
      <c r="AB279" s="1320"/>
      <c r="AC279" s="1320"/>
      <c r="AJ279" s="1320"/>
      <c r="AK279" s="1320"/>
      <c r="AM279" s="1320"/>
      <c r="AN279" s="1320"/>
      <c r="AO279" s="1320"/>
      <c r="AQ279" s="1320"/>
      <c r="AR279" s="1320"/>
      <c r="AS279" s="1320"/>
      <c r="AT279" s="1320"/>
      <c r="AV279" s="1320"/>
      <c r="AW279" s="1320"/>
      <c r="AX279" s="1320"/>
      <c r="AZ279" s="1320"/>
      <c r="BA279" s="1320"/>
      <c r="BB279" s="1320"/>
      <c r="BD279" s="1320"/>
      <c r="BE279" s="1320"/>
      <c r="BF279" s="1320"/>
      <c r="BH279" s="1320"/>
      <c r="BI279" s="1320"/>
      <c r="BJ279" s="1320"/>
      <c r="BL279" s="1320"/>
      <c r="BM279" s="1320"/>
      <c r="BN279" s="1320"/>
      <c r="BP279" s="1320"/>
      <c r="BV279" s="1320"/>
      <c r="BX279" s="1320"/>
      <c r="BY279" s="1320"/>
      <c r="BZ279" s="1320"/>
      <c r="CB279" s="1320">
        <v>7.19</v>
      </c>
      <c r="CC279" s="1320">
        <v>6.38</v>
      </c>
      <c r="CD279" s="1320">
        <v>7.95</v>
      </c>
      <c r="CF279" s="1320">
        <v>8.49</v>
      </c>
    </row>
    <row r="280" spans="1:253" x14ac:dyDescent="0.2">
      <c r="A280" s="1305" t="s">
        <v>1459</v>
      </c>
      <c r="D280" s="1315">
        <v>161.36599100000001</v>
      </c>
      <c r="E280" s="1315">
        <v>166.91207399999999</v>
      </c>
      <c r="F280" s="1315">
        <v>169.40680800000001</v>
      </c>
      <c r="G280" s="1315">
        <v>173.832775</v>
      </c>
      <c r="H280" s="1315">
        <v>173.19843299999999</v>
      </c>
      <c r="I280" s="1315">
        <v>168.55295000000001</v>
      </c>
      <c r="J280" s="1315">
        <v>180.83349999999999</v>
      </c>
      <c r="K280" s="1315">
        <v>187.60300000000001</v>
      </c>
      <c r="L280" s="1315">
        <v>191.39</v>
      </c>
      <c r="M280" s="1315">
        <v>191.06700000000001</v>
      </c>
      <c r="N280" s="1315">
        <v>180.54400000000001</v>
      </c>
      <c r="O280" s="1315">
        <v>172.77199999999999</v>
      </c>
      <c r="P280" s="1315">
        <v>173.28399999999999</v>
      </c>
      <c r="Q280" s="1315">
        <v>158.511</v>
      </c>
      <c r="R280" s="1315">
        <v>153.69</v>
      </c>
      <c r="S280" s="1315">
        <v>147.529</v>
      </c>
      <c r="T280" s="1315">
        <v>137.756</v>
      </c>
      <c r="U280" s="1315">
        <v>113.375</v>
      </c>
      <c r="V280" s="1315">
        <v>112.83499999999999</v>
      </c>
      <c r="W280" s="1315">
        <v>109.709</v>
      </c>
      <c r="X280" s="1315">
        <v>107.714174</v>
      </c>
      <c r="Y280" s="1315">
        <v>108.78030099999999</v>
      </c>
      <c r="Z280" s="1315">
        <v>109.861525</v>
      </c>
      <c r="AA280" s="1315"/>
      <c r="AB280" s="1315"/>
      <c r="AC280" s="1315"/>
      <c r="AJ280" s="1315"/>
      <c r="AK280" s="1315"/>
      <c r="AM280" s="1315"/>
      <c r="AN280" s="1315"/>
      <c r="AO280" s="1315"/>
      <c r="AQ280" s="1315"/>
      <c r="AR280" s="1315"/>
      <c r="AS280" s="1315"/>
      <c r="AT280" s="1315"/>
      <c r="AV280" s="1315"/>
      <c r="AW280" s="1315"/>
      <c r="AX280" s="1315"/>
      <c r="AZ280" s="1315"/>
      <c r="BA280" s="1315"/>
      <c r="BB280" s="1315"/>
      <c r="BD280" s="1315"/>
      <c r="BE280" s="1315"/>
      <c r="BF280" s="1315"/>
      <c r="BH280" s="1315"/>
      <c r="BI280" s="1315"/>
      <c r="BJ280" s="1315"/>
      <c r="BL280" s="1315"/>
      <c r="BM280" s="1315"/>
      <c r="BN280" s="1315"/>
      <c r="BP280" s="1315"/>
      <c r="BV280" s="1315"/>
      <c r="BX280" s="1315"/>
      <c r="BY280" s="1315"/>
      <c r="BZ280" s="1315"/>
      <c r="CB280" s="1315">
        <v>108.404461</v>
      </c>
      <c r="CC280" s="1315">
        <v>108.539946</v>
      </c>
      <c r="CD280" s="1315">
        <v>108.642751</v>
      </c>
      <c r="CF280" s="1315">
        <v>109.624701</v>
      </c>
    </row>
    <row r="281" spans="1:253" x14ac:dyDescent="0.2">
      <c r="A281" s="1305"/>
      <c r="D281" s="1305"/>
      <c r="E281" s="1305"/>
      <c r="F281" s="1305"/>
      <c r="G281" s="1305"/>
      <c r="H281" s="1305"/>
      <c r="I281" s="1305"/>
      <c r="J281" s="1305"/>
      <c r="K281" s="1305"/>
      <c r="L281" s="1305"/>
      <c r="M281" s="1305"/>
      <c r="N281" s="1305"/>
      <c r="O281" s="1305"/>
      <c r="P281" s="1305"/>
      <c r="Q281" s="1305"/>
      <c r="R281" s="1305"/>
      <c r="S281" s="1305"/>
      <c r="T281" s="1305"/>
      <c r="U281" s="1305"/>
      <c r="V281" s="1305"/>
      <c r="W281" s="1305"/>
      <c r="X281" s="1305"/>
      <c r="Y281" s="1305"/>
      <c r="Z281" s="1305"/>
      <c r="AA281" s="1305"/>
      <c r="AB281" s="1305"/>
      <c r="AC281" s="1305"/>
      <c r="AJ281" s="1305"/>
      <c r="AK281" s="1305"/>
      <c r="AM281" s="1305"/>
      <c r="AN281" s="1305"/>
      <c r="AO281" s="1305"/>
      <c r="AQ281" s="1305"/>
      <c r="AR281" s="1305"/>
      <c r="AS281" s="1305"/>
      <c r="AT281" s="1305"/>
      <c r="AV281" s="1305"/>
      <c r="AW281" s="1305"/>
      <c r="AX281" s="1305"/>
      <c r="AZ281" s="1305"/>
      <c r="BA281" s="1305"/>
      <c r="BB281" s="1305"/>
      <c r="BD281" s="1305"/>
      <c r="BE281" s="1305"/>
      <c r="BF281" s="1305"/>
      <c r="BH281" s="1305"/>
      <c r="BI281" s="1305"/>
      <c r="BJ281" s="1305"/>
      <c r="BL281" s="1305"/>
      <c r="BM281" s="1305"/>
      <c r="BN281" s="1305"/>
      <c r="BP281" s="1305"/>
      <c r="BV281" s="1305"/>
      <c r="BX281" s="1305"/>
      <c r="BY281" s="1305"/>
      <c r="BZ281" s="1305"/>
      <c r="CB281" s="1305"/>
      <c r="CC281" s="1305"/>
      <c r="CD281" s="1305"/>
      <c r="CF281" s="1305"/>
    </row>
    <row r="282" spans="1:253" ht="10.5" x14ac:dyDescent="0.2">
      <c r="A282" s="1314" t="s">
        <v>1460</v>
      </c>
      <c r="D282" s="1317">
        <v>396.66342400000002</v>
      </c>
      <c r="E282" s="1317">
        <v>1285.8405439999999</v>
      </c>
      <c r="F282" s="1317">
        <v>1769.3592410000001</v>
      </c>
      <c r="G282" s="1317">
        <v>2561.599772</v>
      </c>
      <c r="H282" s="1317">
        <v>1929.2382930000001</v>
      </c>
      <c r="I282" s="1317">
        <v>2420.6074549999998</v>
      </c>
      <c r="J282" s="1317">
        <v>5123.6152300000003</v>
      </c>
      <c r="K282" s="1317">
        <v>7033.2364699999998</v>
      </c>
      <c r="L282" s="1317">
        <v>12509.250400000001</v>
      </c>
      <c r="M282" s="1317">
        <v>17933.548620000001</v>
      </c>
      <c r="N282" s="1317">
        <v>13418.03008</v>
      </c>
      <c r="O282" s="1317">
        <v>9131.0002000000004</v>
      </c>
      <c r="P282" s="1317">
        <v>8799.3615200000004</v>
      </c>
      <c r="Q282" s="1317">
        <v>7332.7188599999999</v>
      </c>
      <c r="R282" s="1317">
        <v>10142.0031</v>
      </c>
      <c r="S282" s="1317">
        <v>6265.55663</v>
      </c>
      <c r="T282" s="1317">
        <v>6017.1820799999996</v>
      </c>
      <c r="U282" s="1317">
        <v>3681.2862500000001</v>
      </c>
      <c r="V282" s="1317">
        <v>2186.7422999999999</v>
      </c>
      <c r="W282" s="1317">
        <v>3409.7557200000001</v>
      </c>
      <c r="X282" s="1317">
        <v>1673.8782630000001</v>
      </c>
      <c r="Y282" s="1317">
        <v>984.461724</v>
      </c>
      <c r="Z282" s="1317">
        <v>1092.0235580000001</v>
      </c>
      <c r="AA282" s="1317"/>
      <c r="AB282" s="1317"/>
      <c r="AC282" s="1317"/>
      <c r="AJ282" s="1317"/>
      <c r="AK282" s="1317"/>
      <c r="AM282" s="1317"/>
      <c r="AN282" s="1317"/>
      <c r="AO282" s="1317"/>
      <c r="AQ282" s="1317"/>
      <c r="AR282" s="1317"/>
      <c r="AS282" s="1317"/>
      <c r="AT282" s="1317"/>
      <c r="AV282" s="1317"/>
      <c r="AW282" s="1317"/>
      <c r="AX282" s="1317"/>
      <c r="AZ282" s="1317"/>
      <c r="BA282" s="1317"/>
      <c r="BB282" s="1317"/>
      <c r="BD282" s="1317"/>
      <c r="BE282" s="1317"/>
      <c r="BF282" s="1317"/>
      <c r="BH282" s="1317"/>
      <c r="BI282" s="1317"/>
      <c r="BJ282" s="1317"/>
      <c r="BL282" s="1317"/>
      <c r="BM282" s="1317"/>
      <c r="BN282" s="1317"/>
      <c r="BP282" s="1317"/>
      <c r="BV282" s="1317"/>
      <c r="BX282" s="1317"/>
      <c r="BY282" s="1317"/>
      <c r="BZ282" s="1317"/>
      <c r="CB282" s="1317">
        <v>778.88605199999995</v>
      </c>
      <c r="CC282" s="1317">
        <v>692.48485500000004</v>
      </c>
      <c r="CD282" s="1317">
        <v>863.70987000000002</v>
      </c>
      <c r="CF282" s="1317">
        <v>930.71371099999999</v>
      </c>
    </row>
    <row r="283" spans="1:253" x14ac:dyDescent="0.2">
      <c r="A283" s="1305" t="s">
        <v>1461</v>
      </c>
      <c r="D283" s="1315">
        <v>46.348999999999997</v>
      </c>
      <c r="E283" s="1315">
        <v>59.225000000000001</v>
      </c>
      <c r="F283" s="1315">
        <v>92.694000000000003</v>
      </c>
      <c r="G283" s="1315">
        <v>88.465999999999994</v>
      </c>
      <c r="H283" s="1315">
        <v>73.988</v>
      </c>
      <c r="I283" s="1315">
        <v>94.034999999999997</v>
      </c>
      <c r="J283" s="1315">
        <v>278.93599999999998</v>
      </c>
      <c r="K283" s="1315">
        <v>445.89299999999997</v>
      </c>
      <c r="L283" s="1315">
        <v>661.947</v>
      </c>
      <c r="M283" s="1315">
        <v>812.54700000000003</v>
      </c>
      <c r="N283" s="1315">
        <v>317.65600000000001</v>
      </c>
      <c r="O283" s="1315">
        <v>118.34</v>
      </c>
      <c r="P283" s="1315">
        <v>649.41700000000003</v>
      </c>
      <c r="Q283" s="1315">
        <v>265.43799999999999</v>
      </c>
      <c r="R283" s="1315">
        <v>796.69</v>
      </c>
      <c r="S283" s="1315">
        <v>896.38599999999997</v>
      </c>
      <c r="T283" s="1315">
        <v>1426.346</v>
      </c>
      <c r="U283" s="1315">
        <v>602.14400000000001</v>
      </c>
      <c r="V283" s="1315">
        <v>891.05600000000004</v>
      </c>
      <c r="W283" s="1315">
        <v>807.755</v>
      </c>
      <c r="X283" s="1315">
        <v>778.36500000000001</v>
      </c>
      <c r="Y283" s="1315">
        <v>603.827</v>
      </c>
      <c r="Z283" s="1315">
        <v>634.66600000000005</v>
      </c>
      <c r="AA283" s="1315"/>
      <c r="AB283" s="1315"/>
      <c r="AC283" s="1315"/>
      <c r="AJ283" s="1315"/>
      <c r="AK283" s="1315"/>
      <c r="AM283" s="1315"/>
      <c r="AN283" s="1315"/>
      <c r="AO283" s="1315"/>
      <c r="AQ283" s="1315"/>
      <c r="AR283" s="1315"/>
      <c r="AS283" s="1315"/>
      <c r="AT283" s="1315"/>
      <c r="AV283" s="1315"/>
      <c r="AW283" s="1315"/>
      <c r="AX283" s="1315"/>
      <c r="AZ283" s="1315"/>
      <c r="BA283" s="1315"/>
      <c r="BB283" s="1315"/>
      <c r="BD283" s="1315"/>
      <c r="BE283" s="1315"/>
      <c r="BF283" s="1315"/>
      <c r="BH283" s="1315"/>
      <c r="BI283" s="1315"/>
      <c r="BJ283" s="1315"/>
      <c r="BL283" s="1315"/>
      <c r="BM283" s="1315"/>
      <c r="BN283" s="1315"/>
      <c r="BP283" s="1315"/>
      <c r="BV283" s="1315"/>
      <c r="BX283" s="1315"/>
      <c r="BY283" s="1315"/>
      <c r="BZ283" s="1315"/>
      <c r="CB283" s="1315">
        <v>698.38099999999997</v>
      </c>
      <c r="CC283" s="1315">
        <v>676.77800000000002</v>
      </c>
      <c r="CD283" s="1315">
        <v>623.85199999999998</v>
      </c>
      <c r="CF283" s="1315">
        <v>661.91</v>
      </c>
    </row>
    <row r="284" spans="1:253" x14ac:dyDescent="0.2">
      <c r="A284" s="1305" t="s">
        <v>1462</v>
      </c>
      <c r="D284" s="1315">
        <v>0</v>
      </c>
      <c r="E284" s="1315">
        <v>0</v>
      </c>
      <c r="F284" s="1315">
        <v>0</v>
      </c>
      <c r="G284" s="1315">
        <v>0</v>
      </c>
      <c r="H284" s="1315">
        <v>0</v>
      </c>
      <c r="I284" s="1315">
        <v>0</v>
      </c>
      <c r="J284" s="1315">
        <v>0</v>
      </c>
      <c r="K284" s="1315">
        <v>0</v>
      </c>
      <c r="L284" s="1315">
        <v>0</v>
      </c>
      <c r="M284" s="1315">
        <v>0</v>
      </c>
      <c r="N284" s="1315">
        <v>0</v>
      </c>
      <c r="O284" s="1315">
        <v>0</v>
      </c>
      <c r="P284" s="1315">
        <v>0</v>
      </c>
      <c r="Q284" s="1315">
        <v>0</v>
      </c>
      <c r="R284" s="1315">
        <v>0</v>
      </c>
      <c r="S284" s="1315">
        <v>170.34700000000001</v>
      </c>
      <c r="T284" s="1315">
        <v>198.92500000000001</v>
      </c>
      <c r="U284" s="1315">
        <v>127.82299999999999</v>
      </c>
      <c r="V284" s="1315">
        <v>87.641000000000005</v>
      </c>
      <c r="W284" s="1315">
        <v>70.849000000000004</v>
      </c>
      <c r="X284" s="1315">
        <v>55.470999999999997</v>
      </c>
      <c r="Y284" s="1315">
        <v>62.110999999999997</v>
      </c>
      <c r="Z284" s="1315">
        <v>56.780999999999999</v>
      </c>
      <c r="AA284" s="1315"/>
      <c r="AB284" s="1315"/>
      <c r="AC284" s="1315"/>
      <c r="AJ284" s="1315"/>
      <c r="AK284" s="1315"/>
      <c r="AM284" s="1315"/>
      <c r="AN284" s="1315"/>
      <c r="AO284" s="1315"/>
      <c r="AQ284" s="1315"/>
      <c r="AR284" s="1315"/>
      <c r="AS284" s="1315"/>
      <c r="AT284" s="1315"/>
      <c r="AV284" s="1315"/>
      <c r="AW284" s="1315"/>
      <c r="AX284" s="1315"/>
      <c r="AZ284" s="1315"/>
      <c r="BA284" s="1315"/>
      <c r="BB284" s="1315"/>
      <c r="BD284" s="1315"/>
      <c r="BE284" s="1315"/>
      <c r="BF284" s="1315"/>
      <c r="BH284" s="1315"/>
      <c r="BI284" s="1315"/>
      <c r="BJ284" s="1315"/>
      <c r="BL284" s="1315"/>
      <c r="BM284" s="1315"/>
      <c r="BN284" s="1315"/>
      <c r="BP284" s="1315"/>
      <c r="BV284" s="1315"/>
      <c r="BX284" s="1315"/>
      <c r="BY284" s="1315"/>
      <c r="BZ284" s="1315"/>
      <c r="CB284" s="1315">
        <v>45.646000000000001</v>
      </c>
      <c r="CC284" s="1315">
        <v>43.267000000000003</v>
      </c>
      <c r="CD284" s="1315">
        <v>62.036000000000001</v>
      </c>
      <c r="CF284" s="1315">
        <v>90.795000000000002</v>
      </c>
    </row>
    <row r="285" spans="1:253" x14ac:dyDescent="0.2">
      <c r="A285" s="1305" t="s">
        <v>1463</v>
      </c>
      <c r="D285" s="1315">
        <v>0</v>
      </c>
      <c r="E285" s="1315">
        <v>0</v>
      </c>
      <c r="F285" s="1315">
        <v>0</v>
      </c>
      <c r="G285" s="1315">
        <v>0</v>
      </c>
      <c r="H285" s="1315">
        <v>0</v>
      </c>
      <c r="I285" s="1315">
        <v>0</v>
      </c>
      <c r="J285" s="1315">
        <v>0</v>
      </c>
      <c r="K285" s="1315">
        <v>0</v>
      </c>
      <c r="L285" s="1315">
        <v>0</v>
      </c>
      <c r="M285" s="1315">
        <v>0</v>
      </c>
      <c r="N285" s="1315">
        <v>0</v>
      </c>
      <c r="O285" s="1315">
        <v>0</v>
      </c>
      <c r="P285" s="1315">
        <v>0</v>
      </c>
      <c r="Q285" s="1315" t="s">
        <v>1549</v>
      </c>
      <c r="R285" s="1315" t="s">
        <v>1549</v>
      </c>
      <c r="S285" s="1315" t="s">
        <v>1549</v>
      </c>
      <c r="T285" s="1315" t="s">
        <v>1549</v>
      </c>
      <c r="U285" s="1315">
        <v>0</v>
      </c>
      <c r="V285" s="1315">
        <v>0</v>
      </c>
      <c r="W285" s="1315">
        <v>0</v>
      </c>
      <c r="X285" s="1315">
        <v>0</v>
      </c>
      <c r="Y285" s="1315">
        <v>0</v>
      </c>
      <c r="Z285" s="1315">
        <v>0</v>
      </c>
      <c r="AA285" s="1315"/>
      <c r="AB285" s="1315"/>
      <c r="AC285" s="1315"/>
      <c r="AJ285" s="1315"/>
      <c r="AK285" s="1315"/>
      <c r="AM285" s="1315"/>
      <c r="AN285" s="1315"/>
      <c r="AO285" s="1315"/>
      <c r="AQ285" s="1315"/>
      <c r="AR285" s="1315"/>
      <c r="AS285" s="1315"/>
      <c r="AT285" s="1315"/>
      <c r="AV285" s="1315"/>
      <c r="AW285" s="1315"/>
      <c r="AX285" s="1315"/>
      <c r="AZ285" s="1315"/>
      <c r="BA285" s="1315"/>
      <c r="BB285" s="1315"/>
      <c r="BD285" s="1315"/>
      <c r="BE285" s="1315"/>
      <c r="BF285" s="1315"/>
      <c r="BH285" s="1315"/>
      <c r="BI285" s="1315"/>
      <c r="BJ285" s="1315"/>
      <c r="BL285" s="1315"/>
      <c r="BM285" s="1315"/>
      <c r="BN285" s="1315"/>
      <c r="BP285" s="1315"/>
      <c r="BV285" s="1315"/>
      <c r="BX285" s="1315"/>
      <c r="BY285" s="1315"/>
      <c r="BZ285" s="1315"/>
      <c r="CB285" s="1315">
        <v>0</v>
      </c>
      <c r="CC285" s="1315">
        <v>0</v>
      </c>
      <c r="CD285" s="1315">
        <v>0</v>
      </c>
      <c r="CF285" s="1315">
        <v>0</v>
      </c>
    </row>
    <row r="286" spans="1:253" x14ac:dyDescent="0.2">
      <c r="A286" s="1305" t="s">
        <v>1464</v>
      </c>
      <c r="D286" s="1315">
        <v>0</v>
      </c>
      <c r="E286" s="1315">
        <v>0</v>
      </c>
      <c r="F286" s="1315">
        <v>0</v>
      </c>
      <c r="G286" s="1315">
        <v>0</v>
      </c>
      <c r="H286" s="1315">
        <v>0</v>
      </c>
      <c r="I286" s="1315">
        <v>0</v>
      </c>
      <c r="J286" s="1315">
        <v>0</v>
      </c>
      <c r="K286" s="1315">
        <v>0</v>
      </c>
      <c r="L286" s="1315">
        <v>0</v>
      </c>
      <c r="M286" s="1315">
        <v>0</v>
      </c>
      <c r="N286" s="1315">
        <v>0</v>
      </c>
      <c r="O286" s="1315">
        <v>0</v>
      </c>
      <c r="P286" s="1315">
        <v>0</v>
      </c>
      <c r="Q286" s="1315">
        <v>6.5990000000000002</v>
      </c>
      <c r="R286" s="1315">
        <v>13.055999999999999</v>
      </c>
      <c r="S286" s="1315">
        <v>59.39</v>
      </c>
      <c r="T286" s="1315">
        <v>8.4730000000000008</v>
      </c>
      <c r="U286" s="1315">
        <v>-2.2999999999999998</v>
      </c>
      <c r="V286" s="1315">
        <v>1.143</v>
      </c>
      <c r="W286" s="1315">
        <v>59.686999999999998</v>
      </c>
      <c r="X286" s="1315">
        <v>57.09</v>
      </c>
      <c r="Y286" s="1315">
        <v>7.7590000000000003</v>
      </c>
      <c r="Z286" s="1315">
        <v>5.98</v>
      </c>
      <c r="AA286" s="1315"/>
      <c r="AB286" s="1315"/>
      <c r="AC286" s="1315"/>
      <c r="AJ286" s="1315"/>
      <c r="AK286" s="1315"/>
      <c r="AM286" s="1315"/>
      <c r="AN286" s="1315"/>
      <c r="AO286" s="1315"/>
      <c r="AQ286" s="1315"/>
      <c r="AR286" s="1315"/>
      <c r="AS286" s="1315"/>
      <c r="AT286" s="1315"/>
      <c r="AV286" s="1315"/>
      <c r="AW286" s="1315"/>
      <c r="AX286" s="1315"/>
      <c r="AZ286" s="1315"/>
      <c r="BA286" s="1315"/>
      <c r="BB286" s="1315"/>
      <c r="BD286" s="1315"/>
      <c r="BE286" s="1315"/>
      <c r="BF286" s="1315"/>
      <c r="BH286" s="1315"/>
      <c r="BI286" s="1315"/>
      <c r="BJ286" s="1315"/>
      <c r="BL286" s="1315"/>
      <c r="BM286" s="1315"/>
      <c r="BN286" s="1315"/>
      <c r="BP286" s="1315"/>
      <c r="BV286" s="1315"/>
      <c r="BX286" s="1315"/>
      <c r="BY286" s="1315"/>
      <c r="BZ286" s="1315"/>
      <c r="CB286" s="1315">
        <v>12.414999999999999</v>
      </c>
      <c r="CC286" s="1315">
        <v>10.221</v>
      </c>
      <c r="CD286" s="1315">
        <v>10.292999999999999</v>
      </c>
      <c r="CF286" s="1315">
        <v>6.26</v>
      </c>
    </row>
    <row r="287" spans="1:253" x14ac:dyDescent="0.2">
      <c r="A287" s="1305" t="s">
        <v>1465</v>
      </c>
      <c r="D287" s="1315">
        <v>0</v>
      </c>
      <c r="E287" s="1315">
        <v>0</v>
      </c>
      <c r="F287" s="1315">
        <v>0</v>
      </c>
      <c r="G287" s="1315">
        <v>0</v>
      </c>
      <c r="H287" s="1315">
        <v>10.125</v>
      </c>
      <c r="I287" s="1315">
        <v>8.5760000000000005</v>
      </c>
      <c r="J287" s="1315">
        <v>18.532</v>
      </c>
      <c r="K287" s="1315">
        <v>64.197000000000003</v>
      </c>
      <c r="L287" s="1315">
        <v>157.714</v>
      </c>
      <c r="M287" s="1315">
        <v>351.87099999999998</v>
      </c>
      <c r="N287" s="1315">
        <v>137.113</v>
      </c>
      <c r="O287" s="1315">
        <v>76.078999999999994</v>
      </c>
      <c r="P287" s="1315">
        <v>40.645000000000003</v>
      </c>
      <c r="Q287" s="1315">
        <v>37.034999999999997</v>
      </c>
      <c r="R287" s="1315">
        <v>22.401</v>
      </c>
      <c r="S287" s="1315">
        <v>15.173999999999999</v>
      </c>
      <c r="T287" s="1315">
        <v>5.9459999999999997</v>
      </c>
      <c r="U287" s="1315">
        <v>5.9459999999999997</v>
      </c>
      <c r="V287" s="1315">
        <v>0</v>
      </c>
      <c r="W287" s="1315">
        <v>105.681</v>
      </c>
      <c r="X287" s="1315">
        <v>70.741</v>
      </c>
      <c r="Y287" s="1315">
        <v>39.323</v>
      </c>
      <c r="Z287" s="1315">
        <v>6.8929999999999998</v>
      </c>
      <c r="AA287" s="1315"/>
      <c r="AB287" s="1315"/>
      <c r="AC287" s="1315"/>
      <c r="AJ287" s="1315"/>
      <c r="AK287" s="1315"/>
      <c r="AM287" s="1315"/>
      <c r="AN287" s="1315"/>
      <c r="AO287" s="1315"/>
      <c r="AQ287" s="1315"/>
      <c r="AR287" s="1315"/>
      <c r="AS287" s="1315"/>
      <c r="AT287" s="1315"/>
      <c r="AV287" s="1315"/>
      <c r="AW287" s="1315"/>
      <c r="AX287" s="1315"/>
      <c r="AZ287" s="1315"/>
      <c r="BA287" s="1315"/>
      <c r="BB287" s="1315"/>
      <c r="BD287" s="1315"/>
      <c r="BE287" s="1315"/>
      <c r="BF287" s="1315"/>
      <c r="BH287" s="1315"/>
      <c r="BI287" s="1315"/>
      <c r="BJ287" s="1315"/>
      <c r="BL287" s="1315"/>
      <c r="BM287" s="1315"/>
      <c r="BN287" s="1315"/>
      <c r="BP287" s="1315"/>
      <c r="BV287" s="1315"/>
      <c r="BX287" s="1315"/>
      <c r="BY287" s="1315"/>
      <c r="BZ287" s="1315"/>
      <c r="CB287" s="1315">
        <v>95.814999999999998</v>
      </c>
      <c r="CC287" s="1315">
        <v>78.873999999999995</v>
      </c>
      <c r="CD287" s="1315">
        <v>51.267000000000003</v>
      </c>
      <c r="CF287" s="1315">
        <v>18.757999999999999</v>
      </c>
    </row>
    <row r="288" spans="1:253" ht="10.5" x14ac:dyDescent="0.2">
      <c r="A288" s="1314" t="s">
        <v>1466</v>
      </c>
      <c r="D288" s="1316">
        <v>350.31442399999997</v>
      </c>
      <c r="E288" s="1316">
        <v>1226.615544</v>
      </c>
      <c r="F288" s="1316">
        <v>1676.6652409999999</v>
      </c>
      <c r="G288" s="1316">
        <v>2473.1337720000001</v>
      </c>
      <c r="H288" s="1316">
        <v>1845.1252930000001</v>
      </c>
      <c r="I288" s="1316">
        <v>2317.996455</v>
      </c>
      <c r="J288" s="1316">
        <v>4826.1472299999996</v>
      </c>
      <c r="K288" s="1316">
        <v>6523.1464699999997</v>
      </c>
      <c r="L288" s="1316">
        <v>11689.589400000001</v>
      </c>
      <c r="M288" s="1316">
        <v>16769.13062</v>
      </c>
      <c r="N288" s="1316">
        <v>12963.26108</v>
      </c>
      <c r="O288" s="1316">
        <v>8936.5812000000005</v>
      </c>
      <c r="P288" s="1316">
        <v>8109.2995199999996</v>
      </c>
      <c r="Q288" s="1316">
        <v>7036.8448600000002</v>
      </c>
      <c r="R288" s="1316">
        <v>9335.9681</v>
      </c>
      <c r="S288" s="1316">
        <v>5583.7336299999997</v>
      </c>
      <c r="T288" s="1316">
        <v>4792.2880800000003</v>
      </c>
      <c r="U288" s="1316">
        <v>3198.76125</v>
      </c>
      <c r="V288" s="1316">
        <v>1384.4703</v>
      </c>
      <c r="W288" s="1316">
        <v>2626.85572</v>
      </c>
      <c r="X288" s="1316">
        <v>937.33326299999999</v>
      </c>
      <c r="Y288" s="1316">
        <v>411.18172399999997</v>
      </c>
      <c r="Z288" s="1316">
        <v>513.22555799999998</v>
      </c>
      <c r="AA288" s="1316"/>
      <c r="AB288" s="1316"/>
      <c r="AC288" s="1316"/>
      <c r="AJ288" s="1316"/>
      <c r="AK288" s="1316"/>
      <c r="AM288" s="1316"/>
      <c r="AN288" s="1316"/>
      <c r="AO288" s="1316"/>
      <c r="AQ288" s="1316"/>
      <c r="AR288" s="1316"/>
      <c r="AS288" s="1316"/>
      <c r="AT288" s="1316"/>
      <c r="AV288" s="1316"/>
      <c r="AW288" s="1316"/>
      <c r="AX288" s="1316"/>
      <c r="AZ288" s="1316"/>
      <c r="BA288" s="1316"/>
      <c r="BB288" s="1316"/>
      <c r="BD288" s="1316"/>
      <c r="BE288" s="1316"/>
      <c r="BF288" s="1316"/>
      <c r="BH288" s="1316"/>
      <c r="BI288" s="1316"/>
      <c r="BJ288" s="1316"/>
      <c r="BL288" s="1316"/>
      <c r="BM288" s="1316"/>
      <c r="BN288" s="1316"/>
      <c r="BP288" s="1316"/>
      <c r="BV288" s="1316"/>
      <c r="BX288" s="1316"/>
      <c r="BY288" s="1316"/>
      <c r="BZ288" s="1316"/>
      <c r="CB288" s="1316">
        <v>42.751052000000001</v>
      </c>
      <c r="CC288" s="1316">
        <v>-9.6999999999999993</v>
      </c>
      <c r="CD288" s="1316">
        <v>260.91987</v>
      </c>
      <c r="CF288" s="1316">
        <v>347.10071099999999</v>
      </c>
    </row>
    <row r="289" spans="1:256" x14ac:dyDescent="0.2">
      <c r="A289" s="1305"/>
      <c r="D289" s="1305"/>
      <c r="E289" s="1305"/>
      <c r="F289" s="1305"/>
      <c r="G289" s="1305"/>
      <c r="H289" s="1305"/>
      <c r="I289" s="1305"/>
      <c r="J289" s="1305"/>
      <c r="K289" s="1305"/>
      <c r="L289" s="1305"/>
      <c r="M289" s="1305"/>
      <c r="N289" s="1305"/>
      <c r="O289" s="1305"/>
      <c r="P289" s="1305"/>
      <c r="Q289" s="1305"/>
      <c r="R289" s="1305"/>
      <c r="S289" s="1305"/>
      <c r="T289" s="1305"/>
      <c r="U289" s="1305"/>
      <c r="V289" s="1305"/>
      <c r="W289" s="1305"/>
      <c r="X289" s="1305"/>
      <c r="Y289" s="1305"/>
      <c r="Z289" s="1305"/>
      <c r="AA289" s="1305"/>
      <c r="AB289" s="1305"/>
      <c r="AC289" s="1305"/>
      <c r="AJ289" s="1305"/>
      <c r="AK289" s="1305"/>
      <c r="AM289" s="1305"/>
      <c r="AN289" s="1305"/>
      <c r="AO289" s="1305"/>
      <c r="AQ289" s="1305"/>
      <c r="AR289" s="1305"/>
      <c r="AS289" s="1305"/>
      <c r="AT289" s="1305"/>
      <c r="AV289" s="1305"/>
      <c r="AW289" s="1305"/>
      <c r="AX289" s="1305"/>
      <c r="AZ289" s="1305"/>
      <c r="BA289" s="1305"/>
      <c r="BB289" s="1305"/>
      <c r="BD289" s="1305"/>
      <c r="BE289" s="1305"/>
      <c r="BF289" s="1305"/>
      <c r="BH289" s="1305"/>
      <c r="BI289" s="1305"/>
      <c r="BJ289" s="1305"/>
      <c r="BL289" s="1305"/>
      <c r="BM289" s="1305"/>
      <c r="BN289" s="1305"/>
      <c r="BP289" s="1305"/>
      <c r="BV289" s="1305"/>
      <c r="BX289" s="1305"/>
      <c r="BY289" s="1305"/>
      <c r="BZ289" s="1305"/>
      <c r="CB289" s="1305"/>
      <c r="CC289" s="1305"/>
      <c r="CD289" s="1305"/>
      <c r="CF289" s="1305"/>
    </row>
    <row r="290" spans="1:256" x14ac:dyDescent="0.2">
      <c r="A290" s="1305" t="s">
        <v>1467</v>
      </c>
      <c r="D290" s="1315">
        <v>50.904000000000003</v>
      </c>
      <c r="E290" s="1315">
        <v>72.287000000000006</v>
      </c>
      <c r="F290" s="1315">
        <v>111.63</v>
      </c>
      <c r="G290" s="1315">
        <v>186.04499999999999</v>
      </c>
      <c r="H290" s="1315">
        <v>219.74</v>
      </c>
      <c r="I290" s="1315">
        <v>235.51599999999999</v>
      </c>
      <c r="J290" s="1315">
        <v>434.88799999999998</v>
      </c>
      <c r="K290" s="1315">
        <v>630.13300000000004</v>
      </c>
      <c r="L290" s="1315">
        <v>949.34299999999996</v>
      </c>
      <c r="M290" s="1315">
        <v>1295.489</v>
      </c>
      <c r="N290" s="1315">
        <v>667.94500000000005</v>
      </c>
      <c r="O290" s="1315">
        <v>441.41800000000001</v>
      </c>
      <c r="P290" s="1315">
        <v>944.43200000000002</v>
      </c>
      <c r="Q290" s="1315">
        <v>589.39300000000003</v>
      </c>
      <c r="R290" s="1315">
        <v>1038.2270000000001</v>
      </c>
      <c r="S290" s="1315">
        <v>1385.2560000000001</v>
      </c>
      <c r="T290" s="1315">
        <v>1384.885</v>
      </c>
      <c r="U290" s="1315">
        <v>903.68799999999999</v>
      </c>
      <c r="V290" s="1315">
        <v>1112.1669999999999</v>
      </c>
      <c r="W290" s="1315">
        <v>1209.4469999999999</v>
      </c>
      <c r="X290" s="1315">
        <v>1178.702</v>
      </c>
      <c r="Y290" s="1315">
        <v>1064.17</v>
      </c>
      <c r="Z290" s="1315">
        <v>1062.9390000000001</v>
      </c>
      <c r="AA290" s="1315"/>
      <c r="AB290" s="1315"/>
      <c r="AC290" s="1315"/>
      <c r="AJ290" s="1315"/>
      <c r="AK290" s="1315"/>
      <c r="AM290" s="1315"/>
      <c r="AN290" s="1315"/>
      <c r="AO290" s="1315"/>
      <c r="AQ290" s="1315"/>
      <c r="AR290" s="1315"/>
      <c r="AS290" s="1315"/>
      <c r="AT290" s="1315"/>
      <c r="AV290" s="1315"/>
      <c r="AW290" s="1315"/>
      <c r="AX290" s="1315"/>
      <c r="AZ290" s="1315"/>
      <c r="BA290" s="1315"/>
      <c r="BB290" s="1315"/>
      <c r="BD290" s="1315"/>
      <c r="BE290" s="1315"/>
      <c r="BF290" s="1315"/>
      <c r="BH290" s="1315"/>
      <c r="BI290" s="1315"/>
      <c r="BJ290" s="1315"/>
      <c r="BL290" s="1315"/>
      <c r="BM290" s="1315"/>
      <c r="BN290" s="1315"/>
      <c r="BP290" s="1315"/>
      <c r="BV290" s="1315"/>
      <c r="BX290" s="1315"/>
      <c r="BY290" s="1315"/>
      <c r="BZ290" s="1315"/>
      <c r="CB290" s="1315">
        <v>1144.558</v>
      </c>
      <c r="CC290" s="1315">
        <v>1086.4949999999999</v>
      </c>
      <c r="CD290" s="1315">
        <v>1024.579</v>
      </c>
      <c r="CF290" s="1315">
        <v>1070.3340000000001</v>
      </c>
    </row>
    <row r="291" spans="1:256" x14ac:dyDescent="0.2">
      <c r="A291" s="1305" t="s">
        <v>1463</v>
      </c>
      <c r="D291" s="1315">
        <v>0</v>
      </c>
      <c r="E291" s="1315">
        <v>0</v>
      </c>
      <c r="F291" s="1315">
        <v>0</v>
      </c>
      <c r="G291" s="1315">
        <v>0</v>
      </c>
      <c r="H291" s="1315">
        <v>0</v>
      </c>
      <c r="I291" s="1315">
        <v>0</v>
      </c>
      <c r="J291" s="1315">
        <v>0</v>
      </c>
      <c r="K291" s="1315">
        <v>0</v>
      </c>
      <c r="L291" s="1315">
        <v>0</v>
      </c>
      <c r="M291" s="1315">
        <v>0</v>
      </c>
      <c r="N291" s="1315">
        <v>0</v>
      </c>
      <c r="O291" s="1315">
        <v>0</v>
      </c>
      <c r="P291" s="1315">
        <v>0</v>
      </c>
      <c r="Q291" s="1315" t="s">
        <v>1549</v>
      </c>
      <c r="R291" s="1315" t="s">
        <v>1549</v>
      </c>
      <c r="S291" s="1315" t="s">
        <v>1549</v>
      </c>
      <c r="T291" s="1315" t="s">
        <v>1549</v>
      </c>
      <c r="U291" s="1315">
        <v>0</v>
      </c>
      <c r="V291" s="1315">
        <v>0</v>
      </c>
      <c r="W291" s="1315">
        <v>0</v>
      </c>
      <c r="X291" s="1315">
        <v>0</v>
      </c>
      <c r="Y291" s="1315">
        <v>0</v>
      </c>
      <c r="Z291" s="1315">
        <v>0</v>
      </c>
      <c r="AA291" s="1315"/>
      <c r="AB291" s="1315"/>
      <c r="AC291" s="1315"/>
      <c r="AJ291" s="1315"/>
      <c r="AK291" s="1315"/>
      <c r="AM291" s="1315"/>
      <c r="AN291" s="1315"/>
      <c r="AO291" s="1315"/>
      <c r="AQ291" s="1315"/>
      <c r="AR291" s="1315"/>
      <c r="AS291" s="1315"/>
      <c r="AT291" s="1315"/>
      <c r="AV291" s="1315"/>
      <c r="AW291" s="1315"/>
      <c r="AX291" s="1315"/>
      <c r="AZ291" s="1315"/>
      <c r="BA291" s="1315"/>
      <c r="BB291" s="1315"/>
      <c r="BD291" s="1315"/>
      <c r="BE291" s="1315"/>
      <c r="BF291" s="1315"/>
      <c r="BH291" s="1315"/>
      <c r="BI291" s="1315"/>
      <c r="BJ291" s="1315"/>
      <c r="BL291" s="1315"/>
      <c r="BM291" s="1315"/>
      <c r="BN291" s="1315"/>
      <c r="BP291" s="1315"/>
      <c r="BV291" s="1315"/>
      <c r="BX291" s="1315"/>
      <c r="BY291" s="1315"/>
      <c r="BZ291" s="1315"/>
      <c r="CB291" s="1315">
        <v>0</v>
      </c>
      <c r="CC291" s="1315">
        <v>0</v>
      </c>
      <c r="CD291" s="1315">
        <v>0</v>
      </c>
      <c r="CF291" s="1315">
        <v>0</v>
      </c>
    </row>
    <row r="292" spans="1:256" x14ac:dyDescent="0.2">
      <c r="A292" s="1305" t="s">
        <v>1464</v>
      </c>
      <c r="D292" s="1315">
        <v>0</v>
      </c>
      <c r="E292" s="1315">
        <v>0</v>
      </c>
      <c r="F292" s="1315">
        <v>0</v>
      </c>
      <c r="G292" s="1315">
        <v>0</v>
      </c>
      <c r="H292" s="1315">
        <v>0</v>
      </c>
      <c r="I292" s="1315">
        <v>0</v>
      </c>
      <c r="J292" s="1315">
        <v>0</v>
      </c>
      <c r="K292" s="1315">
        <v>0</v>
      </c>
      <c r="L292" s="1315">
        <v>0</v>
      </c>
      <c r="M292" s="1315">
        <v>0</v>
      </c>
      <c r="N292" s="1315">
        <v>0</v>
      </c>
      <c r="O292" s="1315">
        <v>0</v>
      </c>
      <c r="P292" s="1315">
        <v>0</v>
      </c>
      <c r="Q292" s="1315">
        <v>6.5990000000000002</v>
      </c>
      <c r="R292" s="1315">
        <v>13.055999999999999</v>
      </c>
      <c r="S292" s="1315">
        <v>59.39</v>
      </c>
      <c r="T292" s="1315">
        <v>8.4730000000000008</v>
      </c>
      <c r="U292" s="1315">
        <v>-2.2999999999999998</v>
      </c>
      <c r="V292" s="1315">
        <v>1.143</v>
      </c>
      <c r="W292" s="1315">
        <v>59.686999999999998</v>
      </c>
      <c r="X292" s="1315">
        <v>57.09</v>
      </c>
      <c r="Y292" s="1315">
        <v>7.7590000000000003</v>
      </c>
      <c r="Z292" s="1315">
        <v>5.98</v>
      </c>
      <c r="AA292" s="1315"/>
      <c r="AB292" s="1315"/>
      <c r="AC292" s="1315"/>
      <c r="AJ292" s="1315"/>
      <c r="AK292" s="1315"/>
      <c r="AM292" s="1315"/>
      <c r="AN292" s="1315"/>
      <c r="AO292" s="1315"/>
      <c r="AQ292" s="1315"/>
      <c r="AR292" s="1315"/>
      <c r="AS292" s="1315"/>
      <c r="AT292" s="1315"/>
      <c r="AV292" s="1315"/>
      <c r="AW292" s="1315"/>
      <c r="AX292" s="1315"/>
      <c r="AZ292" s="1315"/>
      <c r="BA292" s="1315"/>
      <c r="BB292" s="1315"/>
      <c r="BD292" s="1315"/>
      <c r="BE292" s="1315"/>
      <c r="BF292" s="1315"/>
      <c r="BH292" s="1315"/>
      <c r="BI292" s="1315"/>
      <c r="BJ292" s="1315"/>
      <c r="BL292" s="1315"/>
      <c r="BM292" s="1315"/>
      <c r="BN292" s="1315"/>
      <c r="BP292" s="1315"/>
      <c r="BV292" s="1315"/>
      <c r="BX292" s="1315"/>
      <c r="BY292" s="1315"/>
      <c r="BZ292" s="1315"/>
      <c r="CB292" s="1315">
        <v>12.414999999999999</v>
      </c>
      <c r="CC292" s="1315">
        <v>10.221</v>
      </c>
      <c r="CD292" s="1315">
        <v>10.292999999999999</v>
      </c>
      <c r="CF292" s="1315">
        <v>6.26</v>
      </c>
    </row>
    <row r="293" spans="1:256" x14ac:dyDescent="0.2">
      <c r="A293" s="1305" t="s">
        <v>1462</v>
      </c>
      <c r="D293" s="1315">
        <v>0</v>
      </c>
      <c r="E293" s="1315">
        <v>0</v>
      </c>
      <c r="F293" s="1315">
        <v>0</v>
      </c>
      <c r="G293" s="1315">
        <v>0</v>
      </c>
      <c r="H293" s="1315">
        <v>0</v>
      </c>
      <c r="I293" s="1315">
        <v>0</v>
      </c>
      <c r="J293" s="1315">
        <v>0</v>
      </c>
      <c r="K293" s="1315">
        <v>0</v>
      </c>
      <c r="L293" s="1315">
        <v>0</v>
      </c>
      <c r="M293" s="1315">
        <v>0</v>
      </c>
      <c r="N293" s="1315">
        <v>0</v>
      </c>
      <c r="O293" s="1315">
        <v>0</v>
      </c>
      <c r="P293" s="1315">
        <v>0</v>
      </c>
      <c r="Q293" s="1315">
        <v>0</v>
      </c>
      <c r="R293" s="1315">
        <v>0</v>
      </c>
      <c r="S293" s="1315">
        <v>170.34700000000001</v>
      </c>
      <c r="T293" s="1315">
        <v>198.92500000000001</v>
      </c>
      <c r="U293" s="1315">
        <v>127.82299999999999</v>
      </c>
      <c r="V293" s="1315">
        <v>87.641000000000005</v>
      </c>
      <c r="W293" s="1315">
        <v>70.849000000000004</v>
      </c>
      <c r="X293" s="1315">
        <v>55.470999999999997</v>
      </c>
      <c r="Y293" s="1315">
        <v>62.110999999999997</v>
      </c>
      <c r="Z293" s="1315">
        <v>56.780999999999999</v>
      </c>
      <c r="AA293" s="1315"/>
      <c r="AB293" s="1315"/>
      <c r="AC293" s="1315"/>
      <c r="AJ293" s="1315"/>
      <c r="AK293" s="1315"/>
      <c r="AM293" s="1315"/>
      <c r="AN293" s="1315"/>
      <c r="AO293" s="1315"/>
      <c r="AQ293" s="1315"/>
      <c r="AR293" s="1315"/>
      <c r="AS293" s="1315"/>
      <c r="AT293" s="1315"/>
      <c r="AV293" s="1315"/>
      <c r="AW293" s="1315"/>
      <c r="AX293" s="1315"/>
      <c r="AZ293" s="1315"/>
      <c r="BA293" s="1315"/>
      <c r="BB293" s="1315"/>
      <c r="BD293" s="1315"/>
      <c r="BE293" s="1315"/>
      <c r="BF293" s="1315"/>
      <c r="BH293" s="1315"/>
      <c r="BI293" s="1315"/>
      <c r="BJ293" s="1315"/>
      <c r="BL293" s="1315"/>
      <c r="BM293" s="1315"/>
      <c r="BN293" s="1315"/>
      <c r="BP293" s="1315"/>
      <c r="BV293" s="1315"/>
      <c r="BX293" s="1315"/>
      <c r="BY293" s="1315"/>
      <c r="BZ293" s="1315"/>
      <c r="CB293" s="1315">
        <v>45.646000000000001</v>
      </c>
      <c r="CC293" s="1315">
        <v>43.267000000000003</v>
      </c>
      <c r="CD293" s="1315">
        <v>62.036000000000001</v>
      </c>
      <c r="CF293" s="1315">
        <v>90.795000000000002</v>
      </c>
    </row>
    <row r="294" spans="1:256" ht="10.5" x14ac:dyDescent="0.2">
      <c r="A294" s="1314" t="s">
        <v>1468</v>
      </c>
      <c r="D294" s="1316">
        <v>50.904000000000003</v>
      </c>
      <c r="E294" s="1316">
        <v>72.287000000000006</v>
      </c>
      <c r="F294" s="1316">
        <v>111.63</v>
      </c>
      <c r="G294" s="1316">
        <v>186.04499999999999</v>
      </c>
      <c r="H294" s="1316">
        <v>219.74</v>
      </c>
      <c r="I294" s="1316">
        <v>235.51599999999999</v>
      </c>
      <c r="J294" s="1316">
        <v>434.88799999999998</v>
      </c>
      <c r="K294" s="1316">
        <v>630.13300000000004</v>
      </c>
      <c r="L294" s="1316">
        <v>949.34299999999996</v>
      </c>
      <c r="M294" s="1316">
        <v>1295.489</v>
      </c>
      <c r="N294" s="1316">
        <v>667.94500000000005</v>
      </c>
      <c r="O294" s="1316">
        <v>441.41800000000001</v>
      </c>
      <c r="P294" s="1316">
        <v>944.43200000000002</v>
      </c>
      <c r="Q294" s="1316">
        <v>595.99199999999996</v>
      </c>
      <c r="R294" s="1316">
        <v>1051.2829999999999</v>
      </c>
      <c r="S294" s="1316">
        <v>1614.9929999999999</v>
      </c>
      <c r="T294" s="1316">
        <v>1592.2829999999999</v>
      </c>
      <c r="U294" s="1316">
        <v>1029.2529999999999</v>
      </c>
      <c r="V294" s="1316">
        <v>1200.951</v>
      </c>
      <c r="W294" s="1316">
        <v>1339.9829999999999</v>
      </c>
      <c r="X294" s="1316">
        <v>1291.2629999999999</v>
      </c>
      <c r="Y294" s="1316">
        <v>1134.04</v>
      </c>
      <c r="Z294" s="1316">
        <v>1125.7</v>
      </c>
      <c r="AA294" s="1316"/>
      <c r="AB294" s="1316"/>
      <c r="AC294" s="1316"/>
      <c r="AJ294" s="1316"/>
      <c r="AK294" s="1316"/>
      <c r="AM294" s="1316"/>
      <c r="AN294" s="1316"/>
      <c r="AO294" s="1316"/>
      <c r="AQ294" s="1316"/>
      <c r="AR294" s="1316"/>
      <c r="AS294" s="1316"/>
      <c r="AT294" s="1316"/>
      <c r="AV294" s="1316"/>
      <c r="AW294" s="1316"/>
      <c r="AX294" s="1316"/>
      <c r="AZ294" s="1316"/>
      <c r="BA294" s="1316"/>
      <c r="BB294" s="1316"/>
      <c r="BD294" s="1316"/>
      <c r="BE294" s="1316"/>
      <c r="BF294" s="1316"/>
      <c r="BH294" s="1316"/>
      <c r="BI294" s="1316"/>
      <c r="BJ294" s="1316"/>
      <c r="BL294" s="1316"/>
      <c r="BM294" s="1316"/>
      <c r="BN294" s="1316"/>
      <c r="BP294" s="1316"/>
      <c r="BV294" s="1316"/>
      <c r="BX294" s="1316"/>
      <c r="BY294" s="1316"/>
      <c r="BZ294" s="1316"/>
      <c r="CB294" s="1316">
        <v>1202.6189999999999</v>
      </c>
      <c r="CC294" s="1316">
        <v>1139.9829999999999</v>
      </c>
      <c r="CD294" s="1316">
        <v>1096.9079999999999</v>
      </c>
      <c r="CF294" s="1316">
        <v>1167.3889999999999</v>
      </c>
    </row>
    <row r="295" spans="1:256" x14ac:dyDescent="0.2">
      <c r="A295" s="1305"/>
      <c r="B295" s="1305"/>
      <c r="D295" s="1305"/>
      <c r="E295" s="1305"/>
      <c r="F295" s="1305"/>
      <c r="G295" s="1305"/>
      <c r="H295" s="1305"/>
      <c r="I295" s="1305"/>
      <c r="J295" s="1305"/>
      <c r="K295" s="1305"/>
      <c r="L295" s="1305"/>
      <c r="M295" s="1305"/>
      <c r="N295" s="1305"/>
      <c r="O295" s="1305"/>
      <c r="P295" s="1305"/>
      <c r="Q295" s="1305"/>
      <c r="R295" s="1305"/>
      <c r="S295" s="1305"/>
      <c r="T295" s="1305"/>
      <c r="U295" s="1305"/>
      <c r="V295" s="1305"/>
      <c r="W295" s="1305"/>
      <c r="X295" s="1305"/>
      <c r="Y295" s="1305"/>
      <c r="AA295" s="1305"/>
      <c r="AB295" s="1305"/>
      <c r="AC295" s="1305"/>
      <c r="AD295" s="1305"/>
      <c r="AE295" s="1305"/>
      <c r="AF295" s="1305"/>
      <c r="AG295" s="1305"/>
      <c r="AH295" s="1305"/>
      <c r="AI295" s="1305"/>
      <c r="AJ295" s="1305"/>
      <c r="AK295" s="1305"/>
      <c r="AL295" s="1305"/>
      <c r="AM295" s="1305"/>
      <c r="AN295" s="1305"/>
      <c r="AO295" s="1305"/>
      <c r="AQ295" s="1305"/>
      <c r="AR295" s="1305"/>
      <c r="AS295" s="1305"/>
      <c r="AT295" s="1305"/>
      <c r="AV295" s="1305"/>
      <c r="AW295" s="1305"/>
      <c r="AX295" s="1305"/>
      <c r="AZ295" s="1305"/>
      <c r="BA295" s="1305"/>
      <c r="BB295" s="1305"/>
      <c r="BD295" s="1305"/>
      <c r="BE295" s="1305"/>
      <c r="BF295" s="1305"/>
      <c r="BH295" s="1305"/>
      <c r="BI295" s="1305"/>
      <c r="BJ295" s="1305"/>
      <c r="BL295" s="1305"/>
      <c r="BM295" s="1305"/>
      <c r="BN295" s="1305"/>
      <c r="BP295" s="1305"/>
      <c r="BV295" s="1305"/>
      <c r="BW295" s="1305"/>
      <c r="BX295" s="1305"/>
      <c r="BY295" s="1305"/>
      <c r="BZ295" s="1305"/>
      <c r="CB295" s="1305"/>
      <c r="CC295" s="1305"/>
      <c r="CD295" s="1305"/>
      <c r="CF295" s="1305"/>
    </row>
    <row r="296" spans="1:256" x14ac:dyDescent="0.2">
      <c r="A296" s="1308" t="s">
        <v>1469</v>
      </c>
      <c r="B296" s="1308"/>
      <c r="C296" s="1308"/>
      <c r="D296" s="1308"/>
      <c r="E296" s="1308"/>
      <c r="F296" s="1308"/>
      <c r="G296" s="1308"/>
      <c r="H296" s="1308"/>
      <c r="I296" s="1308"/>
      <c r="J296" s="1308"/>
      <c r="K296" s="1308"/>
      <c r="L296" s="1308"/>
      <c r="M296" s="1308"/>
      <c r="N296" s="1308"/>
      <c r="O296" s="1308"/>
      <c r="P296" s="1308"/>
      <c r="Q296" s="1308"/>
      <c r="R296" s="1308"/>
      <c r="S296" s="1308"/>
      <c r="T296" s="1308"/>
      <c r="U296" s="1308"/>
      <c r="V296" s="1309"/>
      <c r="W296" s="1308"/>
      <c r="X296" s="1308"/>
      <c r="Y296" s="1308"/>
      <c r="Z296" s="1309"/>
      <c r="AA296" s="1309"/>
      <c r="AB296" s="1309"/>
      <c r="AC296" s="1309"/>
      <c r="AD296" s="1309"/>
      <c r="AE296" s="1309"/>
      <c r="AF296" s="1309"/>
      <c r="AG296" s="1309"/>
      <c r="AH296" s="1309"/>
      <c r="AI296" s="1309"/>
      <c r="AJ296" s="1309"/>
      <c r="AK296" s="1309"/>
      <c r="AL296" s="1309"/>
      <c r="AM296" s="1309"/>
      <c r="AN296" s="1309"/>
      <c r="AO296" s="1309"/>
      <c r="AP296" s="1309"/>
      <c r="AQ296" s="1309"/>
      <c r="AR296" s="1309"/>
      <c r="AS296" s="1309"/>
      <c r="AT296" s="1309"/>
      <c r="AU296" s="1309"/>
      <c r="AV296" s="1309"/>
      <c r="AW296" s="1309"/>
      <c r="AX296" s="1309"/>
      <c r="AY296" s="1309"/>
      <c r="BA296" s="1309"/>
      <c r="BB296" s="1309"/>
      <c r="BC296" s="1309"/>
      <c r="BE296" s="1309"/>
      <c r="BF296" s="1309"/>
      <c r="BG296" s="1309"/>
      <c r="BI296" s="1309"/>
      <c r="BJ296" s="1309"/>
      <c r="BK296" s="1309"/>
      <c r="BM296" s="1309"/>
      <c r="BN296" s="1309"/>
      <c r="BO296" s="1309"/>
      <c r="BQ296" s="1309"/>
      <c r="BR296" s="1309"/>
      <c r="BS296" s="1309"/>
      <c r="BU296" s="1309"/>
      <c r="BV296" s="1309"/>
      <c r="BW296" s="1309"/>
      <c r="BX296" s="1309"/>
      <c r="BY296" s="1309"/>
      <c r="BZ296" s="1309"/>
      <c r="CA296" s="1309"/>
      <c r="CB296" s="1309"/>
      <c r="CC296" s="1309"/>
      <c r="CD296" s="1309"/>
      <c r="CE296" s="1309"/>
      <c r="CF296" s="1309"/>
      <c r="CG296" s="1309"/>
      <c r="CH296" s="1309"/>
      <c r="CI296" s="1309"/>
      <c r="CK296" s="1309"/>
      <c r="CL296" s="1309"/>
      <c r="CM296" s="1309"/>
      <c r="CN296" s="1309"/>
      <c r="CO296" s="1309"/>
      <c r="CP296" s="1309"/>
      <c r="CQ296" s="1309"/>
      <c r="CR296" s="1309"/>
      <c r="CS296" s="1309"/>
      <c r="CT296" s="1309"/>
      <c r="CU296" s="1309"/>
      <c r="CV296" s="1309"/>
      <c r="CW296" s="1309"/>
      <c r="CX296" s="1309"/>
      <c r="CY296" s="1309"/>
      <c r="CZ296" s="1309"/>
      <c r="DA296" s="1309"/>
      <c r="DB296" s="1309"/>
      <c r="DC296" s="1309"/>
      <c r="DD296" s="1309"/>
      <c r="DE296" s="1309"/>
      <c r="DF296" s="1309"/>
      <c r="DG296" s="1309"/>
      <c r="DH296" s="1309"/>
      <c r="DI296" s="1309"/>
      <c r="DJ296" s="1309"/>
      <c r="DK296" s="1309"/>
      <c r="DL296" s="1309"/>
      <c r="DM296" s="1309"/>
      <c r="DN296" s="1309"/>
      <c r="DO296" s="1309"/>
      <c r="DP296" s="1309"/>
      <c r="DQ296" s="1309"/>
      <c r="DR296" s="1309"/>
      <c r="DS296" s="1309"/>
      <c r="DT296" s="1309"/>
      <c r="DU296" s="1309"/>
      <c r="DV296" s="1309"/>
      <c r="DW296" s="1309"/>
      <c r="DX296" s="1309"/>
      <c r="DY296" s="1309"/>
      <c r="DZ296" s="1309"/>
      <c r="EA296" s="1309"/>
      <c r="EB296" s="1309"/>
      <c r="EC296" s="1309"/>
      <c r="ED296" s="1309"/>
      <c r="EE296" s="1309"/>
      <c r="EF296" s="1309"/>
      <c r="EG296" s="1309"/>
      <c r="EH296" s="1309"/>
      <c r="EI296" s="1309"/>
      <c r="EJ296" s="1309"/>
      <c r="EK296" s="1309"/>
      <c r="EL296" s="1309"/>
      <c r="EM296" s="1309"/>
      <c r="EN296" s="1309"/>
      <c r="EO296" s="1309"/>
      <c r="EP296" s="1309"/>
      <c r="EQ296" s="1309"/>
      <c r="ER296" s="1309"/>
      <c r="ES296" s="1309"/>
      <c r="ET296" s="1309"/>
      <c r="EU296" s="1309"/>
      <c r="EV296" s="1309"/>
      <c r="EW296" s="1309"/>
      <c r="EX296" s="1309"/>
      <c r="EY296" s="1309"/>
      <c r="EZ296" s="1309"/>
      <c r="FA296" s="1309"/>
      <c r="FB296" s="1309"/>
      <c r="FC296" s="1309"/>
      <c r="FD296" s="1309"/>
      <c r="FE296" s="1309"/>
      <c r="FF296" s="1309"/>
      <c r="FG296" s="1309"/>
      <c r="FH296" s="1309"/>
      <c r="FI296" s="1309"/>
      <c r="FJ296" s="1309"/>
      <c r="FK296" s="1309"/>
      <c r="FL296" s="1309"/>
      <c r="FM296" s="1309"/>
      <c r="FN296" s="1309"/>
      <c r="FO296" s="1309"/>
      <c r="FP296" s="1309"/>
      <c r="FQ296" s="1309"/>
      <c r="FR296" s="1309"/>
      <c r="FS296" s="1309"/>
      <c r="FT296" s="1309"/>
      <c r="FU296" s="1309"/>
      <c r="FV296" s="1309"/>
      <c r="FW296" s="1309"/>
      <c r="FX296" s="1309"/>
      <c r="FY296" s="1309"/>
      <c r="FZ296" s="1309"/>
      <c r="GA296" s="1309"/>
      <c r="GB296" s="1309"/>
      <c r="GC296" s="1309"/>
      <c r="GD296" s="1309"/>
      <c r="GE296" s="1309"/>
      <c r="GF296" s="1309"/>
      <c r="GG296" s="1309"/>
      <c r="GH296" s="1309"/>
      <c r="GI296" s="1309"/>
      <c r="GJ296" s="1309"/>
      <c r="GK296" s="1309"/>
      <c r="GL296" s="1309"/>
      <c r="GM296" s="1309"/>
      <c r="GN296" s="1309"/>
      <c r="GO296" s="1309"/>
      <c r="GP296" s="1309"/>
      <c r="GQ296" s="1309"/>
      <c r="GR296" s="1309"/>
      <c r="GS296" s="1309"/>
      <c r="GT296" s="1309"/>
      <c r="GU296" s="1309"/>
      <c r="GV296" s="1309"/>
      <c r="GW296" s="1309"/>
      <c r="GX296" s="1309"/>
      <c r="GY296" s="1309"/>
      <c r="GZ296" s="1309"/>
      <c r="HA296" s="1309"/>
      <c r="HB296" s="1309"/>
      <c r="HC296" s="1309"/>
      <c r="HD296" s="1309"/>
      <c r="HE296" s="1309"/>
      <c r="HF296" s="1309"/>
      <c r="HG296" s="1309"/>
      <c r="HH296" s="1309"/>
      <c r="HI296" s="1309"/>
      <c r="HJ296" s="1309"/>
      <c r="HK296" s="1309"/>
      <c r="HL296" s="1309"/>
      <c r="HM296" s="1309"/>
      <c r="HN296" s="1309"/>
      <c r="HO296" s="1309"/>
      <c r="HP296" s="1309"/>
      <c r="HQ296" s="1309"/>
      <c r="HR296" s="1309"/>
      <c r="HS296" s="1309"/>
      <c r="HT296" s="1309"/>
      <c r="HU296" s="1309"/>
      <c r="HV296" s="1309"/>
      <c r="HW296" s="1309"/>
      <c r="HX296" s="1309"/>
      <c r="HY296" s="1309"/>
      <c r="HZ296" s="1309"/>
      <c r="IA296" s="1309"/>
      <c r="IB296" s="1309"/>
      <c r="IC296" s="1309"/>
      <c r="ID296" s="1309"/>
      <c r="IE296" s="1309"/>
      <c r="IF296" s="1309"/>
      <c r="IG296" s="1309"/>
      <c r="IH296" s="1309"/>
      <c r="II296" s="1309"/>
      <c r="IJ296" s="1309"/>
      <c r="IK296" s="1309"/>
      <c r="IL296" s="1309"/>
      <c r="IM296" s="1309"/>
      <c r="IN296" s="1309"/>
      <c r="IO296" s="1309"/>
      <c r="IP296" s="1309"/>
      <c r="IQ296" s="1309"/>
      <c r="IR296" s="1309"/>
      <c r="IS296" s="1309"/>
      <c r="IT296" s="1309"/>
      <c r="IU296" s="1309"/>
      <c r="IV296" s="1309"/>
    </row>
    <row r="297" spans="1:256" ht="31.5" x14ac:dyDescent="0.25">
      <c r="A297" s="1310" t="s">
        <v>1214</v>
      </c>
      <c r="B297" s="1310"/>
      <c r="C297" s="1310"/>
      <c r="D297" s="1310"/>
      <c r="E297" s="1310"/>
      <c r="F297" s="1310"/>
      <c r="G297" s="1311" t="s">
        <v>1220</v>
      </c>
      <c r="H297" s="1311" t="s">
        <v>1221</v>
      </c>
      <c r="I297" s="1311" t="s">
        <v>1222</v>
      </c>
      <c r="J297" s="1311" t="s">
        <v>1223</v>
      </c>
      <c r="K297" s="1311" t="s">
        <v>1224</v>
      </c>
      <c r="L297" s="1311" t="s">
        <v>1225</v>
      </c>
      <c r="M297" s="1311" t="s">
        <v>1226</v>
      </c>
      <c r="N297" s="1311" t="s">
        <v>1227</v>
      </c>
      <c r="O297" s="1311" t="s">
        <v>1228</v>
      </c>
      <c r="P297" s="1311" t="s">
        <v>1229</v>
      </c>
      <c r="Q297" s="1311" t="s">
        <v>1230</v>
      </c>
      <c r="R297" s="1311" t="s">
        <v>1231</v>
      </c>
      <c r="S297" s="1311" t="s">
        <v>1232</v>
      </c>
      <c r="T297" s="1311" t="s">
        <v>1233</v>
      </c>
      <c r="U297" s="1311" t="s">
        <v>1234</v>
      </c>
      <c r="V297" s="1311" t="s">
        <v>1235</v>
      </c>
      <c r="W297" s="1311" t="s">
        <v>1236</v>
      </c>
      <c r="X297" s="1311" t="s">
        <v>1237</v>
      </c>
      <c r="Y297" s="1311" t="s">
        <v>1238</v>
      </c>
    </row>
    <row r="298" spans="1:256" x14ac:dyDescent="0.2">
      <c r="A298" s="1312" t="s">
        <v>1240</v>
      </c>
      <c r="B298" s="1312"/>
      <c r="C298" s="1312"/>
      <c r="D298" s="1312"/>
      <c r="E298" s="1312"/>
      <c r="F298" s="1312"/>
      <c r="G298" s="1313" t="s">
        <v>10</v>
      </c>
      <c r="H298" s="1313" t="s">
        <v>10</v>
      </c>
      <c r="I298" s="1313" t="s">
        <v>10</v>
      </c>
      <c r="J298" s="1313" t="s">
        <v>10</v>
      </c>
      <c r="K298" s="1313" t="s">
        <v>10</v>
      </c>
      <c r="L298" s="1313" t="s">
        <v>10</v>
      </c>
      <c r="M298" s="1313" t="s">
        <v>10</v>
      </c>
      <c r="N298" s="1313" t="s">
        <v>10</v>
      </c>
      <c r="O298" s="1313" t="s">
        <v>10</v>
      </c>
      <c r="P298" s="1313" t="s">
        <v>10</v>
      </c>
      <c r="Q298" s="1313" t="s">
        <v>10</v>
      </c>
      <c r="R298" s="1313" t="s">
        <v>10</v>
      </c>
      <c r="S298" s="1313" t="s">
        <v>10</v>
      </c>
      <c r="T298" s="1313" t="s">
        <v>10</v>
      </c>
      <c r="U298" s="1313" t="s">
        <v>10</v>
      </c>
      <c r="V298" s="1313" t="s">
        <v>10</v>
      </c>
      <c r="W298" s="1313" t="s">
        <v>10</v>
      </c>
      <c r="X298" s="1313" t="s">
        <v>10</v>
      </c>
      <c r="Y298" s="1313" t="s">
        <v>10</v>
      </c>
    </row>
    <row r="299" spans="1:256" ht="10.5" x14ac:dyDescent="0.2">
      <c r="A299" s="1314" t="s">
        <v>39</v>
      </c>
      <c r="B299" s="1314"/>
      <c r="C299" s="1314"/>
      <c r="D299" s="1314"/>
      <c r="E299" s="1314"/>
      <c r="F299" s="1314"/>
      <c r="G299" s="1305"/>
      <c r="H299" s="1305"/>
      <c r="I299" s="1305"/>
      <c r="J299" s="1305"/>
      <c r="K299" s="1305"/>
      <c r="L299" s="1305"/>
      <c r="M299" s="1305"/>
      <c r="N299" s="1305"/>
      <c r="O299" s="1305"/>
      <c r="P299" s="1305"/>
      <c r="Q299" s="1305"/>
      <c r="R299" s="1305"/>
      <c r="S299" s="1305"/>
      <c r="T299" s="1305"/>
      <c r="U299" s="1305"/>
      <c r="V299" s="1305"/>
      <c r="W299" s="1305"/>
      <c r="X299" s="1305"/>
      <c r="Y299" s="1305"/>
    </row>
    <row r="300" spans="1:256" x14ac:dyDescent="0.2">
      <c r="A300" s="1305" t="s">
        <v>1470</v>
      </c>
      <c r="B300" s="1305"/>
      <c r="C300" s="1305"/>
      <c r="D300" s="1305"/>
      <c r="E300" s="1305"/>
      <c r="F300" s="1305"/>
      <c r="G300" s="1315">
        <v>0</v>
      </c>
      <c r="H300" s="1315">
        <v>0</v>
      </c>
      <c r="I300" s="1315">
        <v>0</v>
      </c>
      <c r="J300" s="1315">
        <v>0</v>
      </c>
      <c r="K300" s="1315">
        <v>930.98699999999997</v>
      </c>
      <c r="L300" s="1315">
        <v>1251.405</v>
      </c>
      <c r="M300" s="1315">
        <v>1699.0050000000001</v>
      </c>
      <c r="N300" s="1315">
        <v>2014.124</v>
      </c>
      <c r="O300" s="1315">
        <v>2074.4430000000002</v>
      </c>
      <c r="P300" s="1315">
        <v>2537.8150000000001</v>
      </c>
      <c r="Q300" s="1315">
        <v>2987.6559999999999</v>
      </c>
      <c r="R300" s="1315">
        <v>3766.6</v>
      </c>
      <c r="S300" s="1315">
        <v>4498.3249999999998</v>
      </c>
      <c r="T300" s="1315">
        <v>4322.67</v>
      </c>
      <c r="U300" s="1315">
        <v>3873.098</v>
      </c>
      <c r="V300" s="1315">
        <v>3304.4639999999999</v>
      </c>
      <c r="W300" s="1315">
        <v>2632.9490000000001</v>
      </c>
      <c r="X300" s="1315">
        <v>2148.3119999999999</v>
      </c>
      <c r="Y300" s="1315">
        <v>1631.412</v>
      </c>
    </row>
    <row r="301" spans="1:256" x14ac:dyDescent="0.2">
      <c r="A301" s="1305" t="s">
        <v>1471</v>
      </c>
      <c r="B301" s="1305"/>
      <c r="C301" s="1305"/>
      <c r="D301" s="1305"/>
      <c r="E301" s="1305"/>
      <c r="F301" s="1305"/>
      <c r="G301" s="1315">
        <v>0</v>
      </c>
      <c r="H301" s="1315">
        <v>0</v>
      </c>
      <c r="I301" s="1315">
        <v>0</v>
      </c>
      <c r="J301" s="1315">
        <v>0</v>
      </c>
      <c r="K301" s="1315">
        <v>0</v>
      </c>
      <c r="L301" s="1315">
        <v>0</v>
      </c>
      <c r="M301" s="1315">
        <v>0</v>
      </c>
      <c r="N301" s="1315">
        <v>0</v>
      </c>
      <c r="O301" s="1315">
        <v>0</v>
      </c>
      <c r="P301" s="1315">
        <v>0</v>
      </c>
      <c r="Q301" s="1315">
        <v>0</v>
      </c>
      <c r="R301" s="1315">
        <v>0</v>
      </c>
      <c r="S301" s="1315">
        <v>310.79000000000002</v>
      </c>
      <c r="T301" s="1315">
        <v>272.935</v>
      </c>
      <c r="U301" s="1315">
        <v>269.541</v>
      </c>
      <c r="V301" s="1315">
        <v>275.76799999999997</v>
      </c>
      <c r="W301" s="1315">
        <v>338.00799999999998</v>
      </c>
      <c r="X301" s="1315">
        <v>391.21699999999998</v>
      </c>
      <c r="Y301" s="1315">
        <v>433.7</v>
      </c>
    </row>
    <row r="302" spans="1:256" x14ac:dyDescent="0.2">
      <c r="A302" s="1305" t="s">
        <v>124</v>
      </c>
      <c r="B302" s="1305"/>
      <c r="C302" s="1305"/>
      <c r="D302" s="1305"/>
      <c r="E302" s="1305"/>
      <c r="F302" s="1305"/>
      <c r="G302" s="1315">
        <v>0</v>
      </c>
      <c r="H302" s="1315">
        <v>0</v>
      </c>
      <c r="I302" s="1315">
        <v>0</v>
      </c>
      <c r="J302" s="1315">
        <v>0</v>
      </c>
      <c r="K302" s="1315">
        <v>78.332999999999998</v>
      </c>
      <c r="L302" s="1315">
        <v>87.004999999999995</v>
      </c>
      <c r="M302" s="1315">
        <v>96.981999999999999</v>
      </c>
      <c r="N302" s="1315">
        <v>235.18299999999999</v>
      </c>
      <c r="O302" s="1315">
        <v>402.05099999999999</v>
      </c>
      <c r="P302" s="1315">
        <v>182.63800000000001</v>
      </c>
      <c r="Q302" s="1315">
        <v>93.629000000000005</v>
      </c>
      <c r="R302" s="1315">
        <v>95.045000000000002</v>
      </c>
      <c r="S302" s="1315">
        <v>97.498000000000005</v>
      </c>
      <c r="T302" s="1315">
        <v>115.444</v>
      </c>
      <c r="U302" s="1315">
        <v>50.551000000000002</v>
      </c>
      <c r="V302" s="1315">
        <v>33.619</v>
      </c>
      <c r="W302" s="1315">
        <v>25.908000000000001</v>
      </c>
      <c r="X302" s="1315">
        <v>26.748000000000001</v>
      </c>
      <c r="Y302" s="1315">
        <v>36.738</v>
      </c>
    </row>
    <row r="303" spans="1:256" x14ac:dyDescent="0.2">
      <c r="A303" s="1305" t="s">
        <v>1472</v>
      </c>
      <c r="B303" s="1305"/>
      <c r="C303" s="1305"/>
      <c r="D303" s="1305"/>
      <c r="E303" s="1305"/>
      <c r="F303" s="1305"/>
      <c r="G303" s="1315">
        <v>0</v>
      </c>
      <c r="H303" s="1315">
        <v>0</v>
      </c>
      <c r="I303" s="1315">
        <v>0</v>
      </c>
      <c r="J303" s="1315">
        <v>0</v>
      </c>
      <c r="K303" s="1315">
        <v>0</v>
      </c>
      <c r="L303" s="1315">
        <v>0</v>
      </c>
      <c r="M303" s="1315">
        <v>0</v>
      </c>
      <c r="N303" s="1315">
        <v>0</v>
      </c>
      <c r="O303" s="1315">
        <v>0</v>
      </c>
      <c r="P303" s="1315">
        <v>0</v>
      </c>
      <c r="Q303" s="1315">
        <v>0</v>
      </c>
      <c r="R303" s="1315">
        <v>13.061999999999999</v>
      </c>
      <c r="S303" s="1315">
        <v>0</v>
      </c>
      <c r="T303" s="1315">
        <v>0</v>
      </c>
      <c r="U303" s="1315">
        <v>0</v>
      </c>
      <c r="V303" s="1315">
        <v>0</v>
      </c>
      <c r="W303" s="1315">
        <v>0</v>
      </c>
      <c r="X303" s="1315">
        <v>0</v>
      </c>
      <c r="Y303" s="1315">
        <v>0</v>
      </c>
    </row>
    <row r="304" spans="1:256" x14ac:dyDescent="0.2">
      <c r="A304" s="1305" t="s">
        <v>1473</v>
      </c>
      <c r="B304" s="1305"/>
      <c r="C304" s="1305"/>
      <c r="D304" s="1305"/>
      <c r="E304" s="1305"/>
      <c r="F304" s="1305"/>
      <c r="G304" s="1315">
        <v>0</v>
      </c>
      <c r="H304" s="1315">
        <v>0</v>
      </c>
      <c r="I304" s="1315">
        <v>0</v>
      </c>
      <c r="J304" s="1315">
        <v>0</v>
      </c>
      <c r="K304" s="1315">
        <v>0</v>
      </c>
      <c r="L304" s="1315">
        <v>0</v>
      </c>
      <c r="M304" s="1315">
        <v>0</v>
      </c>
      <c r="N304" s="1315">
        <v>0</v>
      </c>
      <c r="O304" s="1315">
        <v>0</v>
      </c>
      <c r="P304" s="1315">
        <v>0</v>
      </c>
      <c r="Q304" s="1315">
        <v>42.301000000000002</v>
      </c>
      <c r="R304" s="1315">
        <v>76.082999999999998</v>
      </c>
      <c r="S304" s="1315">
        <v>0</v>
      </c>
      <c r="T304" s="1315">
        <v>0</v>
      </c>
      <c r="U304" s="1315">
        <v>0</v>
      </c>
      <c r="V304" s="1315">
        <v>0</v>
      </c>
      <c r="W304" s="1315">
        <v>0</v>
      </c>
      <c r="X304" s="1315">
        <v>0</v>
      </c>
      <c r="Y304" s="1315">
        <v>0</v>
      </c>
    </row>
    <row r="305" spans="1:25" x14ac:dyDescent="0.2">
      <c r="A305" s="1305" t="s">
        <v>1474</v>
      </c>
      <c r="B305" s="1305"/>
      <c r="C305" s="1305"/>
      <c r="D305" s="1305"/>
      <c r="E305" s="1305"/>
      <c r="F305" s="1305"/>
      <c r="G305" s="1315">
        <v>0</v>
      </c>
      <c r="H305" s="1315">
        <v>0</v>
      </c>
      <c r="I305" s="1315">
        <v>0</v>
      </c>
      <c r="J305" s="1315">
        <v>0</v>
      </c>
      <c r="K305" s="1315">
        <v>0.13500000000000001</v>
      </c>
      <c r="L305" s="1315">
        <v>1.107</v>
      </c>
      <c r="M305" s="1315">
        <v>4.0599999999999996</v>
      </c>
      <c r="N305" s="1315">
        <v>1.8069999999999999</v>
      </c>
      <c r="O305" s="1315">
        <v>1.0389999999999999</v>
      </c>
      <c r="P305" s="1315">
        <v>1.359</v>
      </c>
      <c r="Q305" s="1315">
        <v>9.85</v>
      </c>
      <c r="R305" s="1315">
        <v>2.7759999999999998</v>
      </c>
      <c r="S305" s="1315">
        <v>0</v>
      </c>
      <c r="T305" s="1315">
        <v>0</v>
      </c>
      <c r="U305" s="1315">
        <v>0</v>
      </c>
      <c r="V305" s="1315">
        <v>0</v>
      </c>
      <c r="W305" s="1315">
        <v>0</v>
      </c>
      <c r="X305" s="1315">
        <v>0</v>
      </c>
      <c r="Y305" s="1315">
        <v>0</v>
      </c>
    </row>
    <row r="306" spans="1:25" x14ac:dyDescent="0.2">
      <c r="A306" s="1305" t="s">
        <v>1475</v>
      </c>
      <c r="B306" s="1305"/>
      <c r="C306" s="1305"/>
      <c r="D306" s="1305"/>
      <c r="E306" s="1305"/>
      <c r="F306" s="1305"/>
      <c r="G306" s="1315">
        <v>0</v>
      </c>
      <c r="H306" s="1315">
        <v>0</v>
      </c>
      <c r="I306" s="1315">
        <v>0</v>
      </c>
      <c r="J306" s="1315">
        <v>0</v>
      </c>
      <c r="K306" s="1315">
        <v>0</v>
      </c>
      <c r="L306" s="1315">
        <v>0</v>
      </c>
      <c r="M306" s="1315">
        <v>0</v>
      </c>
      <c r="N306" s="1315">
        <v>0</v>
      </c>
      <c r="O306" s="1315">
        <v>0</v>
      </c>
      <c r="P306" s="1315">
        <v>1.9810000000000001</v>
      </c>
      <c r="Q306" s="1315">
        <v>0</v>
      </c>
      <c r="R306" s="1315">
        <v>0</v>
      </c>
      <c r="S306" s="1315">
        <v>0</v>
      </c>
      <c r="T306" s="1315">
        <v>0</v>
      </c>
      <c r="U306" s="1315">
        <v>0</v>
      </c>
      <c r="V306" s="1315">
        <v>0</v>
      </c>
      <c r="W306" s="1315">
        <v>0</v>
      </c>
      <c r="X306" s="1315">
        <v>0</v>
      </c>
      <c r="Y306" s="1315">
        <v>0</v>
      </c>
    </row>
    <row r="307" spans="1:25" x14ac:dyDescent="0.2">
      <c r="A307" s="1305" t="s">
        <v>1476</v>
      </c>
      <c r="B307" s="1305"/>
      <c r="C307" s="1305"/>
      <c r="D307" s="1305"/>
      <c r="E307" s="1305"/>
      <c r="F307" s="1305"/>
      <c r="G307" s="1315">
        <v>384.87700000000001</v>
      </c>
      <c r="H307" s="1315">
        <v>498.846</v>
      </c>
      <c r="I307" s="1315">
        <v>609.99699999999996</v>
      </c>
      <c r="J307" s="1315">
        <v>769.47400000000005</v>
      </c>
      <c r="K307" s="1315">
        <v>0</v>
      </c>
      <c r="L307" s="1315">
        <v>0</v>
      </c>
      <c r="M307" s="1315">
        <v>0</v>
      </c>
      <c r="N307" s="1315">
        <v>0</v>
      </c>
      <c r="O307" s="1315">
        <v>0</v>
      </c>
      <c r="P307" s="1315">
        <v>0</v>
      </c>
      <c r="Q307" s="1315">
        <v>0</v>
      </c>
      <c r="R307" s="1315">
        <v>0</v>
      </c>
      <c r="S307" s="1315">
        <v>0</v>
      </c>
      <c r="T307" s="1315">
        <v>0</v>
      </c>
      <c r="U307" s="1315">
        <v>0</v>
      </c>
      <c r="V307" s="1315">
        <v>0</v>
      </c>
      <c r="W307" s="1315">
        <v>0</v>
      </c>
      <c r="X307" s="1315">
        <v>0</v>
      </c>
      <c r="Y307" s="1315">
        <v>0</v>
      </c>
    </row>
    <row r="308" spans="1:25" ht="10.5" x14ac:dyDescent="0.2">
      <c r="A308" s="1314" t="s">
        <v>1477</v>
      </c>
      <c r="B308" s="1314"/>
      <c r="C308" s="1314"/>
      <c r="D308" s="1314"/>
      <c r="E308" s="1314"/>
      <c r="F308" s="1314"/>
      <c r="G308" s="1317">
        <v>384.87700000000001</v>
      </c>
      <c r="H308" s="1317">
        <v>498.846</v>
      </c>
      <c r="I308" s="1317">
        <v>609.99699999999996</v>
      </c>
      <c r="J308" s="1317">
        <v>769.47400000000005</v>
      </c>
      <c r="K308" s="1317">
        <v>1009.455</v>
      </c>
      <c r="L308" s="1317">
        <v>1339.5170000000001</v>
      </c>
      <c r="M308" s="1317">
        <v>1800.047</v>
      </c>
      <c r="N308" s="1317">
        <v>2251.114</v>
      </c>
      <c r="O308" s="1317">
        <v>2477.5329999999999</v>
      </c>
      <c r="P308" s="1317">
        <v>2723.7930000000001</v>
      </c>
      <c r="Q308" s="1317">
        <v>3133.4360000000001</v>
      </c>
      <c r="R308" s="1317">
        <v>3953.5659999999998</v>
      </c>
      <c r="S308" s="1317">
        <v>4906.6130000000003</v>
      </c>
      <c r="T308" s="1317">
        <v>4711.049</v>
      </c>
      <c r="U308" s="1317">
        <v>4193.1899999999996</v>
      </c>
      <c r="V308" s="1317">
        <v>3613.8510000000001</v>
      </c>
      <c r="W308" s="1317">
        <v>2996.8649999999998</v>
      </c>
      <c r="X308" s="1317">
        <v>2566.277</v>
      </c>
      <c r="Y308" s="1317">
        <v>2101.85</v>
      </c>
    </row>
    <row r="309" spans="1:25" x14ac:dyDescent="0.2">
      <c r="A309" s="1305"/>
      <c r="B309" s="1305"/>
      <c r="C309" s="1305"/>
      <c r="D309" s="1305"/>
      <c r="E309" s="1305"/>
      <c r="F309" s="1305"/>
      <c r="G309" s="1305"/>
      <c r="H309" s="1305"/>
      <c r="I309" s="1305"/>
      <c r="J309" s="1305"/>
      <c r="K309" s="1305"/>
      <c r="L309" s="1305"/>
      <c r="M309" s="1305"/>
      <c r="N309" s="1305"/>
      <c r="O309" s="1305"/>
      <c r="P309" s="1305"/>
      <c r="Q309" s="1305"/>
      <c r="R309" s="1305"/>
      <c r="S309" s="1305"/>
      <c r="T309" s="1305"/>
      <c r="U309" s="1305"/>
      <c r="V309" s="1305"/>
      <c r="W309" s="1305"/>
      <c r="X309" s="1305"/>
      <c r="Y309" s="1305"/>
    </row>
    <row r="310" spans="1:25" ht="10.5" x14ac:dyDescent="0.2">
      <c r="A310" s="1314" t="s">
        <v>1478</v>
      </c>
      <c r="B310" s="1314"/>
      <c r="C310" s="1314"/>
      <c r="D310" s="1314"/>
      <c r="E310" s="1314"/>
      <c r="F310" s="1314"/>
      <c r="G310" s="1305"/>
      <c r="H310" s="1305"/>
      <c r="I310" s="1305"/>
      <c r="J310" s="1305"/>
      <c r="K310" s="1305"/>
      <c r="L310" s="1305"/>
      <c r="M310" s="1305"/>
      <c r="N310" s="1305"/>
      <c r="O310" s="1305"/>
      <c r="P310" s="1305"/>
      <c r="Q310" s="1305"/>
      <c r="R310" s="1305"/>
      <c r="S310" s="1305"/>
      <c r="T310" s="1305"/>
      <c r="U310" s="1305"/>
      <c r="V310" s="1305"/>
      <c r="W310" s="1305"/>
      <c r="X310" s="1305"/>
      <c r="Y310" s="1305"/>
    </row>
    <row r="311" spans="1:25" x14ac:dyDescent="0.2">
      <c r="A311" s="1305" t="s">
        <v>1470</v>
      </c>
      <c r="B311" s="1305"/>
      <c r="C311" s="1305"/>
      <c r="D311" s="1305"/>
      <c r="E311" s="1305"/>
      <c r="F311" s="1305"/>
      <c r="G311" s="1315">
        <v>0</v>
      </c>
      <c r="H311" s="1315">
        <v>0</v>
      </c>
      <c r="I311" s="1315">
        <v>0</v>
      </c>
      <c r="J311" s="1315">
        <v>0</v>
      </c>
      <c r="K311" s="1315">
        <v>241.215</v>
      </c>
      <c r="L311" s="1315">
        <v>372.22800000000001</v>
      </c>
      <c r="M311" s="1315">
        <v>478.63900000000001</v>
      </c>
      <c r="N311" s="1315">
        <v>636.46299999999997</v>
      </c>
      <c r="O311" s="1315">
        <v>620.70799999999997</v>
      </c>
      <c r="P311" s="1315">
        <v>656.322</v>
      </c>
      <c r="Q311" s="1315">
        <v>817.60900000000004</v>
      </c>
      <c r="R311" s="1315">
        <v>1131.3309999999999</v>
      </c>
      <c r="S311" s="1315">
        <v>1447.636</v>
      </c>
      <c r="T311" s="1315">
        <v>1270.4680000000001</v>
      </c>
      <c r="U311" s="1315">
        <v>846.84</v>
      </c>
      <c r="V311" s="1315">
        <v>592.19100000000003</v>
      </c>
      <c r="W311" s="1315">
        <v>499.69900000000001</v>
      </c>
      <c r="X311" s="1315">
        <v>257.36599999999999</v>
      </c>
      <c r="Y311" s="1315">
        <v>80.225999999999999</v>
      </c>
    </row>
    <row r="312" spans="1:25" x14ac:dyDescent="0.2">
      <c r="A312" s="1305" t="s">
        <v>1471</v>
      </c>
      <c r="B312" s="1305"/>
      <c r="C312" s="1305"/>
      <c r="D312" s="1305"/>
      <c r="E312" s="1305"/>
      <c r="F312" s="1305"/>
      <c r="G312" s="1315">
        <v>0</v>
      </c>
      <c r="H312" s="1315">
        <v>0</v>
      </c>
      <c r="I312" s="1315">
        <v>0</v>
      </c>
      <c r="J312" s="1315">
        <v>0</v>
      </c>
      <c r="K312" s="1315">
        <v>0</v>
      </c>
      <c r="L312" s="1315">
        <v>0</v>
      </c>
      <c r="M312" s="1315">
        <v>0</v>
      </c>
      <c r="N312" s="1315">
        <v>0</v>
      </c>
      <c r="O312" s="1315">
        <v>0</v>
      </c>
      <c r="P312" s="1315">
        <v>0</v>
      </c>
      <c r="Q312" s="1315">
        <v>0</v>
      </c>
      <c r="R312" s="1315">
        <v>0</v>
      </c>
      <c r="S312" s="1315">
        <v>-219.7</v>
      </c>
      <c r="T312" s="1315">
        <v>-259.5</v>
      </c>
      <c r="U312" s="1315">
        <v>-67</v>
      </c>
      <c r="V312" s="1315">
        <v>-59.9</v>
      </c>
      <c r="W312" s="1315">
        <v>-74.2</v>
      </c>
      <c r="X312" s="1315">
        <v>-49.5</v>
      </c>
      <c r="Y312" s="1315">
        <v>-37.9</v>
      </c>
    </row>
    <row r="313" spans="1:25" x14ac:dyDescent="0.2">
      <c r="A313" s="1305" t="s">
        <v>124</v>
      </c>
      <c r="B313" s="1305"/>
      <c r="C313" s="1305"/>
      <c r="D313" s="1305"/>
      <c r="E313" s="1305"/>
      <c r="F313" s="1305"/>
      <c r="G313" s="1315">
        <v>0</v>
      </c>
      <c r="H313" s="1315">
        <v>0</v>
      </c>
      <c r="I313" s="1315">
        <v>0</v>
      </c>
      <c r="J313" s="1315">
        <v>0</v>
      </c>
      <c r="K313" s="1315">
        <v>12.065</v>
      </c>
      <c r="L313" s="1315">
        <v>15.757999999999999</v>
      </c>
      <c r="M313" s="1315">
        <v>15.664999999999999</v>
      </c>
      <c r="N313" s="1315">
        <v>70.716999999999999</v>
      </c>
      <c r="O313" s="1315">
        <v>69.474999999999994</v>
      </c>
      <c r="P313" s="1315">
        <v>42.670999999999999</v>
      </c>
      <c r="Q313" s="1315">
        <v>17.12</v>
      </c>
      <c r="R313" s="1315">
        <v>6.931</v>
      </c>
      <c r="S313" s="1315">
        <v>-219.2</v>
      </c>
      <c r="T313" s="1315">
        <v>-55.1</v>
      </c>
      <c r="U313" s="1315">
        <v>-103.5</v>
      </c>
      <c r="V313" s="1315">
        <v>-76.3</v>
      </c>
      <c r="W313" s="1315">
        <v>-70.5</v>
      </c>
      <c r="X313" s="1315">
        <v>-92.9</v>
      </c>
      <c r="Y313" s="1315">
        <v>-107.9</v>
      </c>
    </row>
    <row r="314" spans="1:25" x14ac:dyDescent="0.2">
      <c r="A314" s="1305" t="s">
        <v>1472</v>
      </c>
      <c r="B314" s="1305"/>
      <c r="C314" s="1305"/>
      <c r="D314" s="1305"/>
      <c r="E314" s="1305"/>
      <c r="F314" s="1305"/>
      <c r="G314" s="1315">
        <v>0</v>
      </c>
      <c r="H314" s="1315">
        <v>0</v>
      </c>
      <c r="I314" s="1315">
        <v>0</v>
      </c>
      <c r="J314" s="1315">
        <v>0</v>
      </c>
      <c r="K314" s="1315">
        <v>0</v>
      </c>
      <c r="L314" s="1315">
        <v>0</v>
      </c>
      <c r="M314" s="1315">
        <v>0</v>
      </c>
      <c r="N314" s="1315">
        <v>0</v>
      </c>
      <c r="O314" s="1315">
        <v>0</v>
      </c>
      <c r="P314" s="1315">
        <v>0</v>
      </c>
      <c r="Q314" s="1315">
        <v>0</v>
      </c>
      <c r="R314" s="1315">
        <v>-6.6</v>
      </c>
      <c r="S314" s="1315">
        <v>0</v>
      </c>
      <c r="T314" s="1315">
        <v>0</v>
      </c>
      <c r="U314" s="1315">
        <v>0</v>
      </c>
      <c r="V314" s="1315">
        <v>0</v>
      </c>
      <c r="W314" s="1315">
        <v>0</v>
      </c>
      <c r="X314" s="1315">
        <v>0</v>
      </c>
      <c r="Y314" s="1315">
        <v>0</v>
      </c>
    </row>
    <row r="315" spans="1:25" x14ac:dyDescent="0.2">
      <c r="A315" s="1305" t="s">
        <v>1473</v>
      </c>
      <c r="B315" s="1305"/>
      <c r="C315" s="1305"/>
      <c r="D315" s="1305"/>
      <c r="E315" s="1305"/>
      <c r="F315" s="1305"/>
      <c r="G315" s="1315">
        <v>0</v>
      </c>
      <c r="H315" s="1315">
        <v>0</v>
      </c>
      <c r="I315" s="1315">
        <v>0</v>
      </c>
      <c r="J315" s="1315">
        <v>0</v>
      </c>
      <c r="K315" s="1315">
        <v>0</v>
      </c>
      <c r="L315" s="1315">
        <v>0</v>
      </c>
      <c r="M315" s="1315">
        <v>0</v>
      </c>
      <c r="N315" s="1315">
        <v>0</v>
      </c>
      <c r="O315" s="1315">
        <v>0</v>
      </c>
      <c r="P315" s="1315">
        <v>0</v>
      </c>
      <c r="Q315" s="1315">
        <v>1.337</v>
      </c>
      <c r="R315" s="1315">
        <v>-11.4</v>
      </c>
      <c r="S315" s="1315">
        <v>0</v>
      </c>
      <c r="T315" s="1315">
        <v>0</v>
      </c>
      <c r="U315" s="1315">
        <v>0</v>
      </c>
      <c r="V315" s="1315">
        <v>0</v>
      </c>
      <c r="W315" s="1315">
        <v>0</v>
      </c>
      <c r="X315" s="1315">
        <v>0</v>
      </c>
      <c r="Y315" s="1315">
        <v>0</v>
      </c>
    </row>
    <row r="316" spans="1:25" x14ac:dyDescent="0.2">
      <c r="A316" s="1305" t="s">
        <v>1474</v>
      </c>
      <c r="B316" s="1305"/>
      <c r="C316" s="1305"/>
      <c r="D316" s="1305"/>
      <c r="E316" s="1305"/>
      <c r="F316" s="1305"/>
      <c r="G316" s="1315">
        <v>0</v>
      </c>
      <c r="H316" s="1315">
        <v>0</v>
      </c>
      <c r="I316" s="1315">
        <v>0</v>
      </c>
      <c r="J316" s="1315">
        <v>0</v>
      </c>
      <c r="K316" s="1315">
        <v>0.57199999999999995</v>
      </c>
      <c r="L316" s="1315">
        <v>-0.7</v>
      </c>
      <c r="M316" s="1315">
        <v>-44.1</v>
      </c>
      <c r="N316" s="1315">
        <v>-9.5</v>
      </c>
      <c r="O316" s="1315">
        <v>-40.1</v>
      </c>
      <c r="P316" s="1315">
        <v>-67</v>
      </c>
      <c r="Q316" s="1315">
        <v>-68.7</v>
      </c>
      <c r="R316" s="1315">
        <v>-54.3</v>
      </c>
      <c r="S316" s="1315">
        <v>0</v>
      </c>
      <c r="T316" s="1315">
        <v>0</v>
      </c>
      <c r="U316" s="1315">
        <v>0</v>
      </c>
      <c r="V316" s="1315">
        <v>0</v>
      </c>
      <c r="W316" s="1315">
        <v>0</v>
      </c>
      <c r="X316" s="1315">
        <v>0</v>
      </c>
      <c r="Y316" s="1315">
        <v>0</v>
      </c>
    </row>
    <row r="317" spans="1:25" x14ac:dyDescent="0.2">
      <c r="A317" s="1305" t="s">
        <v>1475</v>
      </c>
      <c r="B317" s="1305"/>
      <c r="C317" s="1305"/>
      <c r="D317" s="1305"/>
      <c r="E317" s="1305"/>
      <c r="F317" s="1305"/>
      <c r="G317" s="1315">
        <v>0</v>
      </c>
      <c r="H317" s="1315">
        <v>0</v>
      </c>
      <c r="I317" s="1315">
        <v>0</v>
      </c>
      <c r="J317" s="1315">
        <v>0</v>
      </c>
      <c r="K317" s="1315">
        <v>0</v>
      </c>
      <c r="L317" s="1315">
        <v>0</v>
      </c>
      <c r="M317" s="1315">
        <v>0</v>
      </c>
      <c r="N317" s="1315">
        <v>0</v>
      </c>
      <c r="O317" s="1315">
        <v>0</v>
      </c>
      <c r="P317" s="1315">
        <v>-6.3</v>
      </c>
      <c r="Q317" s="1315">
        <v>0</v>
      </c>
      <c r="R317" s="1315">
        <v>0</v>
      </c>
      <c r="S317" s="1315">
        <v>0</v>
      </c>
      <c r="T317" s="1315">
        <v>0</v>
      </c>
      <c r="U317" s="1315">
        <v>0</v>
      </c>
      <c r="V317" s="1315">
        <v>0</v>
      </c>
      <c r="W317" s="1315">
        <v>0</v>
      </c>
      <c r="X317" s="1315">
        <v>0</v>
      </c>
      <c r="Y317" s="1315">
        <v>0</v>
      </c>
    </row>
    <row r="318" spans="1:25" x14ac:dyDescent="0.2">
      <c r="A318" s="1305" t="s">
        <v>1476</v>
      </c>
      <c r="B318" s="1305"/>
      <c r="C318" s="1305"/>
      <c r="D318" s="1305"/>
      <c r="E318" s="1305"/>
      <c r="F318" s="1305"/>
      <c r="G318" s="1315">
        <v>70.186000000000007</v>
      </c>
      <c r="H318" s="1315">
        <v>92.753</v>
      </c>
      <c r="I318" s="1315">
        <v>114.077</v>
      </c>
      <c r="J318" s="1315">
        <v>161.00299999999999</v>
      </c>
      <c r="K318" s="1315">
        <v>0</v>
      </c>
      <c r="L318" s="1315">
        <v>0</v>
      </c>
      <c r="M318" s="1315">
        <v>0</v>
      </c>
      <c r="N318" s="1315">
        <v>0</v>
      </c>
      <c r="O318" s="1315">
        <v>0</v>
      </c>
      <c r="P318" s="1315">
        <v>0</v>
      </c>
      <c r="Q318" s="1315">
        <v>0</v>
      </c>
      <c r="R318" s="1315">
        <v>0</v>
      </c>
      <c r="S318" s="1315">
        <v>0</v>
      </c>
      <c r="T318" s="1315">
        <v>0</v>
      </c>
      <c r="U318" s="1315">
        <v>0</v>
      </c>
      <c r="V318" s="1315">
        <v>0</v>
      </c>
      <c r="W318" s="1315">
        <v>0</v>
      </c>
      <c r="X318" s="1315">
        <v>0</v>
      </c>
      <c r="Y318" s="1315">
        <v>0</v>
      </c>
    </row>
    <row r="319" spans="1:25" ht="10.5" x14ac:dyDescent="0.2">
      <c r="A319" s="1314" t="s">
        <v>1479</v>
      </c>
      <c r="B319" s="1314"/>
      <c r="C319" s="1314"/>
      <c r="D319" s="1314"/>
      <c r="E319" s="1314"/>
      <c r="F319" s="1314"/>
      <c r="G319" s="1317">
        <v>70.186000000000007</v>
      </c>
      <c r="H319" s="1317">
        <v>92.753</v>
      </c>
      <c r="I319" s="1317">
        <v>114.077</v>
      </c>
      <c r="J319" s="1317">
        <v>161.00299999999999</v>
      </c>
      <c r="K319" s="1317">
        <v>253.852</v>
      </c>
      <c r="L319" s="1317">
        <v>387.25900000000001</v>
      </c>
      <c r="M319" s="1317">
        <v>450.20100000000002</v>
      </c>
      <c r="N319" s="1317">
        <v>697.65200000000004</v>
      </c>
      <c r="O319" s="1317">
        <v>650.03399999999999</v>
      </c>
      <c r="P319" s="1317">
        <v>625.697</v>
      </c>
      <c r="Q319" s="1317">
        <v>767.37599999999998</v>
      </c>
      <c r="R319" s="1317">
        <v>1065.9349999999999</v>
      </c>
      <c r="S319" s="1317">
        <v>1008.715</v>
      </c>
      <c r="T319" s="1317">
        <v>955.85799999999995</v>
      </c>
      <c r="U319" s="1317">
        <v>676.36800000000005</v>
      </c>
      <c r="V319" s="1317">
        <v>455.97899999999998</v>
      </c>
      <c r="W319" s="1317">
        <v>354.964</v>
      </c>
      <c r="X319" s="1317">
        <v>114.944</v>
      </c>
      <c r="Y319" s="1317">
        <v>-65.599999999999994</v>
      </c>
    </row>
    <row r="320" spans="1:25" x14ac:dyDescent="0.2">
      <c r="A320" s="1305"/>
      <c r="B320" s="1305"/>
      <c r="C320" s="1305"/>
      <c r="D320" s="1305"/>
      <c r="E320" s="1305"/>
      <c r="F320" s="1305"/>
      <c r="G320" s="1305"/>
      <c r="H320" s="1305"/>
      <c r="I320" s="1305"/>
      <c r="J320" s="1305"/>
      <c r="K320" s="1305"/>
      <c r="L320" s="1305"/>
      <c r="M320" s="1305"/>
      <c r="N320" s="1305"/>
      <c r="O320" s="1305"/>
      <c r="P320" s="1305"/>
      <c r="Q320" s="1305"/>
      <c r="R320" s="1305"/>
      <c r="S320" s="1305"/>
      <c r="T320" s="1305"/>
      <c r="U320" s="1305"/>
      <c r="V320" s="1305"/>
      <c r="W320" s="1305"/>
      <c r="X320" s="1305"/>
      <c r="Y320" s="1305"/>
    </row>
    <row r="321" spans="1:25" ht="10.5" x14ac:dyDescent="0.2">
      <c r="A321" s="1314" t="s">
        <v>426</v>
      </c>
      <c r="B321" s="1314"/>
      <c r="C321" s="1314"/>
      <c r="D321" s="1314"/>
      <c r="E321" s="1314"/>
      <c r="F321" s="1314"/>
      <c r="G321" s="1305"/>
      <c r="H321" s="1305"/>
      <c r="I321" s="1305"/>
      <c r="J321" s="1305"/>
      <c r="K321" s="1305"/>
      <c r="L321" s="1305"/>
      <c r="M321" s="1305"/>
      <c r="N321" s="1305"/>
      <c r="O321" s="1305"/>
      <c r="P321" s="1305"/>
      <c r="Q321" s="1305"/>
      <c r="R321" s="1305"/>
      <c r="S321" s="1305"/>
      <c r="T321" s="1305"/>
      <c r="U321" s="1305"/>
      <c r="V321" s="1305"/>
      <c r="W321" s="1305"/>
      <c r="X321" s="1305"/>
      <c r="Y321" s="1305"/>
    </row>
    <row r="322" spans="1:25" x14ac:dyDescent="0.2">
      <c r="A322" s="1305" t="s">
        <v>1476</v>
      </c>
      <c r="B322" s="1305"/>
      <c r="C322" s="1305"/>
      <c r="D322" s="1305"/>
      <c r="E322" s="1305"/>
      <c r="F322" s="1305"/>
      <c r="G322" s="1315">
        <v>-0.1</v>
      </c>
      <c r="H322" s="1315">
        <v>-0.1</v>
      </c>
      <c r="I322" s="1315">
        <v>-0.4</v>
      </c>
      <c r="J322" s="1315">
        <v>0</v>
      </c>
      <c r="K322" s="1315">
        <v>0</v>
      </c>
      <c r="L322" s="1315">
        <v>0</v>
      </c>
      <c r="M322" s="1315">
        <v>0</v>
      </c>
      <c r="N322" s="1315">
        <v>0</v>
      </c>
      <c r="O322" s="1315">
        <v>0</v>
      </c>
      <c r="P322" s="1315">
        <v>0</v>
      </c>
      <c r="Q322" s="1315">
        <v>0</v>
      </c>
      <c r="R322" s="1315">
        <v>0</v>
      </c>
      <c r="S322" s="1315">
        <v>0</v>
      </c>
      <c r="T322" s="1315">
        <v>0</v>
      </c>
      <c r="U322" s="1315">
        <v>0</v>
      </c>
      <c r="V322" s="1315">
        <v>0</v>
      </c>
      <c r="W322" s="1315">
        <v>0</v>
      </c>
      <c r="X322" s="1315">
        <v>0</v>
      </c>
      <c r="Y322" s="1315">
        <v>0</v>
      </c>
    </row>
    <row r="323" spans="1:25" ht="10.5" x14ac:dyDescent="0.2">
      <c r="A323" s="1314" t="s">
        <v>1480</v>
      </c>
      <c r="B323" s="1314"/>
      <c r="C323" s="1314"/>
      <c r="D323" s="1314"/>
      <c r="E323" s="1314"/>
      <c r="F323" s="1314"/>
      <c r="G323" s="1317">
        <v>-0.1</v>
      </c>
      <c r="H323" s="1317">
        <v>-0.1</v>
      </c>
      <c r="I323" s="1317">
        <v>-0.4</v>
      </c>
      <c r="J323" s="1317">
        <v>0</v>
      </c>
      <c r="K323" s="1317">
        <v>0</v>
      </c>
      <c r="L323" s="1317">
        <v>0</v>
      </c>
      <c r="M323" s="1317">
        <v>0</v>
      </c>
      <c r="N323" s="1317">
        <v>0</v>
      </c>
      <c r="O323" s="1317">
        <v>0</v>
      </c>
      <c r="P323" s="1317">
        <v>0</v>
      </c>
      <c r="Q323" s="1317">
        <v>0</v>
      </c>
      <c r="R323" s="1317">
        <v>0</v>
      </c>
      <c r="S323" s="1317">
        <v>0</v>
      </c>
      <c r="T323" s="1317">
        <v>0</v>
      </c>
      <c r="U323" s="1317">
        <v>0</v>
      </c>
      <c r="V323" s="1317">
        <v>0</v>
      </c>
      <c r="W323" s="1317">
        <v>0</v>
      </c>
      <c r="X323" s="1317">
        <v>0</v>
      </c>
      <c r="Y323" s="1317">
        <v>0</v>
      </c>
    </row>
    <row r="324" spans="1:25" x14ac:dyDescent="0.2">
      <c r="A324" s="1305"/>
      <c r="B324" s="1305"/>
      <c r="C324" s="1305"/>
      <c r="D324" s="1305"/>
      <c r="E324" s="1305"/>
      <c r="F324" s="1305"/>
      <c r="G324" s="1305"/>
      <c r="H324" s="1305"/>
      <c r="I324" s="1305"/>
      <c r="J324" s="1305"/>
      <c r="K324" s="1305"/>
      <c r="L324" s="1305"/>
      <c r="M324" s="1305"/>
      <c r="N324" s="1305"/>
      <c r="O324" s="1305"/>
      <c r="P324" s="1305"/>
      <c r="Q324" s="1305"/>
      <c r="R324" s="1305"/>
      <c r="S324" s="1305"/>
      <c r="T324" s="1305"/>
      <c r="U324" s="1305"/>
      <c r="V324" s="1305"/>
      <c r="W324" s="1305"/>
      <c r="X324" s="1305"/>
      <c r="Y324" s="1305"/>
    </row>
    <row r="325" spans="1:25" ht="10.5" x14ac:dyDescent="0.2">
      <c r="A325" s="1314" t="s">
        <v>1481</v>
      </c>
      <c r="B325" s="1314"/>
      <c r="C325" s="1314"/>
      <c r="D325" s="1314"/>
      <c r="E325" s="1314"/>
      <c r="F325" s="1314"/>
      <c r="G325" s="1305"/>
      <c r="H325" s="1305"/>
      <c r="I325" s="1305"/>
      <c r="J325" s="1305"/>
      <c r="K325" s="1305"/>
      <c r="L325" s="1305"/>
      <c r="M325" s="1305"/>
      <c r="N325" s="1305"/>
      <c r="O325" s="1305"/>
      <c r="P325" s="1305"/>
      <c r="Q325" s="1305"/>
      <c r="R325" s="1305"/>
      <c r="S325" s="1305"/>
      <c r="T325" s="1305"/>
      <c r="U325" s="1305"/>
      <c r="V325" s="1305"/>
      <c r="W325" s="1305"/>
      <c r="X325" s="1305"/>
      <c r="Y325" s="1305"/>
    </row>
    <row r="326" spans="1:25" x14ac:dyDescent="0.2">
      <c r="A326" s="1305" t="s">
        <v>1476</v>
      </c>
      <c r="B326" s="1305"/>
      <c r="C326" s="1305"/>
      <c r="D326" s="1305"/>
      <c r="E326" s="1305"/>
      <c r="F326" s="1305"/>
      <c r="G326" s="1315">
        <v>76.272000000000006</v>
      </c>
      <c r="H326" s="1315">
        <v>97.981999999999999</v>
      </c>
      <c r="I326" s="1315">
        <v>120.30500000000001</v>
      </c>
      <c r="J326" s="1315">
        <v>0</v>
      </c>
      <c r="K326" s="1315">
        <v>0</v>
      </c>
      <c r="L326" s="1315">
        <v>0</v>
      </c>
      <c r="M326" s="1315">
        <v>0</v>
      </c>
      <c r="N326" s="1315">
        <v>0</v>
      </c>
      <c r="O326" s="1315">
        <v>0</v>
      </c>
      <c r="P326" s="1315">
        <v>0</v>
      </c>
      <c r="Q326" s="1315">
        <v>0</v>
      </c>
      <c r="R326" s="1315">
        <v>0</v>
      </c>
      <c r="S326" s="1315">
        <v>0</v>
      </c>
      <c r="T326" s="1315">
        <v>0</v>
      </c>
      <c r="U326" s="1315">
        <v>0</v>
      </c>
      <c r="V326" s="1315">
        <v>0</v>
      </c>
      <c r="W326" s="1315">
        <v>0</v>
      </c>
      <c r="X326" s="1315">
        <v>0</v>
      </c>
      <c r="Y326" s="1315">
        <v>0</v>
      </c>
    </row>
    <row r="327" spans="1:25" ht="10.5" x14ac:dyDescent="0.2">
      <c r="A327" s="1314" t="s">
        <v>1482</v>
      </c>
      <c r="B327" s="1314"/>
      <c r="C327" s="1314"/>
      <c r="D327" s="1314"/>
      <c r="E327" s="1314"/>
      <c r="F327" s="1314"/>
      <c r="G327" s="1317">
        <v>76.272000000000006</v>
      </c>
      <c r="H327" s="1317">
        <v>97.981999999999999</v>
      </c>
      <c r="I327" s="1317">
        <v>120.30500000000001</v>
      </c>
      <c r="J327" s="1317">
        <v>0</v>
      </c>
      <c r="K327" s="1317">
        <v>0</v>
      </c>
      <c r="L327" s="1317">
        <v>0</v>
      </c>
      <c r="M327" s="1317">
        <v>0</v>
      </c>
      <c r="N327" s="1317">
        <v>0</v>
      </c>
      <c r="O327" s="1317">
        <v>0</v>
      </c>
      <c r="P327" s="1317">
        <v>0</v>
      </c>
      <c r="Q327" s="1317">
        <v>0</v>
      </c>
      <c r="R327" s="1317">
        <v>0</v>
      </c>
      <c r="S327" s="1317">
        <v>0</v>
      </c>
      <c r="T327" s="1317">
        <v>0</v>
      </c>
      <c r="U327" s="1317">
        <v>0</v>
      </c>
      <c r="V327" s="1317">
        <v>0</v>
      </c>
      <c r="W327" s="1317">
        <v>0</v>
      </c>
      <c r="X327" s="1317">
        <v>0</v>
      </c>
      <c r="Y327" s="1317">
        <v>0</v>
      </c>
    </row>
    <row r="328" spans="1:25" x14ac:dyDescent="0.2">
      <c r="A328" s="1305"/>
      <c r="B328" s="1305"/>
      <c r="C328" s="1305"/>
      <c r="D328" s="1305"/>
      <c r="E328" s="1305"/>
      <c r="F328" s="1305"/>
      <c r="G328" s="1305"/>
      <c r="H328" s="1305"/>
      <c r="I328" s="1305"/>
      <c r="J328" s="1305"/>
      <c r="K328" s="1305"/>
      <c r="L328" s="1305"/>
      <c r="M328" s="1305"/>
      <c r="N328" s="1305"/>
      <c r="O328" s="1305"/>
      <c r="P328" s="1305"/>
      <c r="Q328" s="1305"/>
      <c r="R328" s="1305"/>
      <c r="S328" s="1305"/>
      <c r="T328" s="1305"/>
      <c r="U328" s="1305"/>
      <c r="V328" s="1305"/>
      <c r="W328" s="1305"/>
      <c r="X328" s="1305"/>
      <c r="Y328" s="1305"/>
    </row>
    <row r="329" spans="1:25" ht="10.5" x14ac:dyDescent="0.2">
      <c r="A329" s="1314" t="s">
        <v>1483</v>
      </c>
      <c r="B329" s="1314"/>
      <c r="C329" s="1314"/>
      <c r="D329" s="1314"/>
      <c r="E329" s="1314"/>
      <c r="F329" s="1314"/>
      <c r="G329" s="1305"/>
      <c r="H329" s="1305"/>
      <c r="I329" s="1305"/>
      <c r="J329" s="1305"/>
      <c r="K329" s="1305"/>
      <c r="L329" s="1305"/>
      <c r="M329" s="1305"/>
      <c r="N329" s="1305"/>
      <c r="O329" s="1305"/>
      <c r="P329" s="1305"/>
      <c r="Q329" s="1305"/>
      <c r="R329" s="1305"/>
      <c r="S329" s="1305"/>
      <c r="T329" s="1305"/>
      <c r="U329" s="1305"/>
      <c r="V329" s="1305"/>
      <c r="W329" s="1305"/>
      <c r="X329" s="1305"/>
      <c r="Y329" s="1305"/>
    </row>
    <row r="330" spans="1:25" x14ac:dyDescent="0.2">
      <c r="A330" s="1305" t="s">
        <v>1476</v>
      </c>
      <c r="B330" s="1305"/>
      <c r="C330" s="1305"/>
      <c r="D330" s="1305"/>
      <c r="E330" s="1305"/>
      <c r="F330" s="1305"/>
      <c r="G330" s="1315">
        <v>29.975000000000001</v>
      </c>
      <c r="H330" s="1315">
        <v>38.976999999999997</v>
      </c>
      <c r="I330" s="1315">
        <v>49.113999999999997</v>
      </c>
      <c r="J330" s="1315">
        <v>67.292000000000002</v>
      </c>
      <c r="K330" s="1315">
        <v>0</v>
      </c>
      <c r="L330" s="1315">
        <v>0</v>
      </c>
      <c r="M330" s="1315">
        <v>0</v>
      </c>
      <c r="N330" s="1315">
        <v>0</v>
      </c>
      <c r="O330" s="1315">
        <v>0</v>
      </c>
      <c r="P330" s="1315">
        <v>0</v>
      </c>
      <c r="Q330" s="1315">
        <v>0</v>
      </c>
      <c r="R330" s="1315">
        <v>0</v>
      </c>
      <c r="S330" s="1315">
        <v>0</v>
      </c>
      <c r="T330" s="1315">
        <v>0</v>
      </c>
      <c r="U330" s="1315">
        <v>0</v>
      </c>
      <c r="V330" s="1315">
        <v>0</v>
      </c>
      <c r="W330" s="1315">
        <v>0</v>
      </c>
      <c r="X330" s="1315">
        <v>0</v>
      </c>
      <c r="Y330" s="1315">
        <v>0</v>
      </c>
    </row>
    <row r="331" spans="1:25" ht="10.5" x14ac:dyDescent="0.2">
      <c r="A331" s="1314" t="s">
        <v>1484</v>
      </c>
      <c r="B331" s="1314"/>
      <c r="C331" s="1314"/>
      <c r="D331" s="1314"/>
      <c r="E331" s="1314"/>
      <c r="F331" s="1314"/>
      <c r="G331" s="1317">
        <v>29.975000000000001</v>
      </c>
      <c r="H331" s="1317">
        <v>38.976999999999997</v>
      </c>
      <c r="I331" s="1317">
        <v>49.113999999999997</v>
      </c>
      <c r="J331" s="1317">
        <v>67.292000000000002</v>
      </c>
      <c r="K331" s="1317">
        <v>0</v>
      </c>
      <c r="L331" s="1317">
        <v>0</v>
      </c>
      <c r="M331" s="1317">
        <v>0</v>
      </c>
      <c r="N331" s="1317">
        <v>0</v>
      </c>
      <c r="O331" s="1317">
        <v>0</v>
      </c>
      <c r="P331" s="1317">
        <v>0</v>
      </c>
      <c r="Q331" s="1317">
        <v>0</v>
      </c>
      <c r="R331" s="1317">
        <v>0</v>
      </c>
      <c r="S331" s="1317">
        <v>0</v>
      </c>
      <c r="T331" s="1317">
        <v>0</v>
      </c>
      <c r="U331" s="1317">
        <v>0</v>
      </c>
      <c r="V331" s="1317">
        <v>0</v>
      </c>
      <c r="W331" s="1317">
        <v>0</v>
      </c>
      <c r="X331" s="1317">
        <v>0</v>
      </c>
      <c r="Y331" s="1317">
        <v>0</v>
      </c>
    </row>
    <row r="332" spans="1:25" x14ac:dyDescent="0.2">
      <c r="A332" s="1305"/>
      <c r="B332" s="1305"/>
      <c r="C332" s="1305"/>
      <c r="D332" s="1305"/>
      <c r="E332" s="1305"/>
      <c r="F332" s="1305"/>
      <c r="G332" s="1305"/>
      <c r="H332" s="1305"/>
      <c r="I332" s="1305"/>
      <c r="J332" s="1305"/>
      <c r="K332" s="1305"/>
      <c r="L332" s="1305"/>
      <c r="M332" s="1305"/>
      <c r="N332" s="1305"/>
      <c r="O332" s="1305"/>
      <c r="P332" s="1305"/>
      <c r="Q332" s="1305"/>
      <c r="R332" s="1305"/>
      <c r="S332" s="1305"/>
      <c r="T332" s="1305"/>
      <c r="U332" s="1305"/>
      <c r="V332" s="1305"/>
      <c r="W332" s="1305"/>
      <c r="X332" s="1305"/>
      <c r="Y332" s="1305"/>
    </row>
    <row r="333" spans="1:25" ht="10.5" x14ac:dyDescent="0.2">
      <c r="A333" s="1314" t="s">
        <v>1485</v>
      </c>
      <c r="B333" s="1314"/>
      <c r="C333" s="1314"/>
      <c r="D333" s="1314"/>
      <c r="E333" s="1314"/>
      <c r="F333" s="1314"/>
      <c r="G333" s="1305"/>
      <c r="H333" s="1305"/>
      <c r="I333" s="1305"/>
      <c r="J333" s="1305"/>
      <c r="K333" s="1305"/>
      <c r="L333" s="1305"/>
      <c r="M333" s="1305"/>
      <c r="N333" s="1305"/>
      <c r="O333" s="1305"/>
      <c r="P333" s="1305"/>
      <c r="Q333" s="1305"/>
      <c r="R333" s="1305"/>
      <c r="S333" s="1305"/>
      <c r="T333" s="1305"/>
      <c r="U333" s="1305"/>
      <c r="V333" s="1305"/>
      <c r="W333" s="1305"/>
      <c r="X333" s="1305"/>
      <c r="Y333" s="1305"/>
    </row>
    <row r="334" spans="1:25" x14ac:dyDescent="0.2">
      <c r="A334" s="1305" t="s">
        <v>1476</v>
      </c>
      <c r="B334" s="1305"/>
      <c r="C334" s="1305"/>
      <c r="D334" s="1305"/>
      <c r="E334" s="1305"/>
      <c r="F334" s="1305"/>
      <c r="G334" s="1315">
        <v>46.296999999999997</v>
      </c>
      <c r="H334" s="1315">
        <v>59.005000000000003</v>
      </c>
      <c r="I334" s="1315">
        <v>71.191000000000003</v>
      </c>
      <c r="J334" s="1315">
        <v>0</v>
      </c>
      <c r="K334" s="1315">
        <v>0</v>
      </c>
      <c r="L334" s="1315">
        <v>0</v>
      </c>
      <c r="M334" s="1315">
        <v>0</v>
      </c>
      <c r="N334" s="1315">
        <v>0</v>
      </c>
      <c r="O334" s="1315">
        <v>0</v>
      </c>
      <c r="P334" s="1315">
        <v>0</v>
      </c>
      <c r="Q334" s="1315">
        <v>0</v>
      </c>
      <c r="R334" s="1315">
        <v>0</v>
      </c>
      <c r="S334" s="1315">
        <v>0</v>
      </c>
      <c r="T334" s="1315">
        <v>0</v>
      </c>
      <c r="U334" s="1315">
        <v>0</v>
      </c>
      <c r="V334" s="1315">
        <v>0</v>
      </c>
      <c r="W334" s="1315">
        <v>0</v>
      </c>
      <c r="X334" s="1315">
        <v>0</v>
      </c>
      <c r="Y334" s="1315">
        <v>0</v>
      </c>
    </row>
    <row r="335" spans="1:25" ht="10.5" x14ac:dyDescent="0.2">
      <c r="A335" s="1314" t="s">
        <v>1486</v>
      </c>
      <c r="B335" s="1314"/>
      <c r="C335" s="1314"/>
      <c r="D335" s="1314"/>
      <c r="E335" s="1314"/>
      <c r="F335" s="1314"/>
      <c r="G335" s="1317">
        <v>46.296999999999997</v>
      </c>
      <c r="H335" s="1317">
        <v>59.005000000000003</v>
      </c>
      <c r="I335" s="1317">
        <v>71.191000000000003</v>
      </c>
      <c r="J335" s="1317">
        <v>0</v>
      </c>
      <c r="K335" s="1317">
        <v>0</v>
      </c>
      <c r="L335" s="1317">
        <v>0</v>
      </c>
      <c r="M335" s="1317">
        <v>0</v>
      </c>
      <c r="N335" s="1317">
        <v>0</v>
      </c>
      <c r="O335" s="1317">
        <v>0</v>
      </c>
      <c r="P335" s="1317">
        <v>0</v>
      </c>
      <c r="Q335" s="1317">
        <v>0</v>
      </c>
      <c r="R335" s="1317">
        <v>0</v>
      </c>
      <c r="S335" s="1317">
        <v>0</v>
      </c>
      <c r="T335" s="1317">
        <v>0</v>
      </c>
      <c r="U335" s="1317">
        <v>0</v>
      </c>
      <c r="V335" s="1317">
        <v>0</v>
      </c>
      <c r="W335" s="1317">
        <v>0</v>
      </c>
      <c r="X335" s="1317">
        <v>0</v>
      </c>
      <c r="Y335" s="1317">
        <v>0</v>
      </c>
    </row>
    <row r="336" spans="1:25" x14ac:dyDescent="0.2">
      <c r="A336" s="1305"/>
      <c r="B336" s="1305"/>
      <c r="C336" s="1305"/>
      <c r="D336" s="1305"/>
      <c r="E336" s="1305"/>
      <c r="F336" s="1305"/>
      <c r="G336" s="1305"/>
      <c r="H336" s="1305"/>
      <c r="I336" s="1305"/>
      <c r="J336" s="1305"/>
      <c r="K336" s="1305"/>
      <c r="L336" s="1305"/>
      <c r="M336" s="1305"/>
      <c r="N336" s="1305"/>
      <c r="O336" s="1305"/>
      <c r="P336" s="1305"/>
      <c r="Q336" s="1305"/>
      <c r="R336" s="1305"/>
      <c r="S336" s="1305"/>
      <c r="T336" s="1305"/>
      <c r="U336" s="1305"/>
      <c r="V336" s="1305"/>
      <c r="W336" s="1305"/>
      <c r="X336" s="1305"/>
      <c r="Y336" s="1305"/>
    </row>
    <row r="337" spans="1:25" ht="10.5" x14ac:dyDescent="0.2">
      <c r="A337" s="1314" t="s">
        <v>796</v>
      </c>
      <c r="B337" s="1314"/>
      <c r="C337" s="1314"/>
      <c r="D337" s="1314"/>
      <c r="E337" s="1314"/>
      <c r="F337" s="1314"/>
      <c r="G337" s="1305"/>
      <c r="H337" s="1305"/>
      <c r="I337" s="1305"/>
      <c r="J337" s="1305"/>
      <c r="K337" s="1305"/>
      <c r="L337" s="1305"/>
      <c r="M337" s="1305"/>
      <c r="N337" s="1305"/>
      <c r="O337" s="1305"/>
      <c r="P337" s="1305"/>
      <c r="Q337" s="1305"/>
      <c r="R337" s="1305"/>
      <c r="S337" s="1305"/>
      <c r="T337" s="1305"/>
      <c r="U337" s="1305"/>
      <c r="V337" s="1305"/>
      <c r="W337" s="1305"/>
      <c r="X337" s="1305"/>
      <c r="Y337" s="1305"/>
    </row>
    <row r="338" spans="1:25" x14ac:dyDescent="0.2">
      <c r="A338" s="1305" t="s">
        <v>1470</v>
      </c>
      <c r="B338" s="1305"/>
      <c r="C338" s="1305"/>
      <c r="D338" s="1305"/>
      <c r="E338" s="1305"/>
      <c r="F338" s="1305"/>
      <c r="G338" s="1315">
        <v>0</v>
      </c>
      <c r="H338" s="1315">
        <v>0</v>
      </c>
      <c r="I338" s="1315">
        <v>0</v>
      </c>
      <c r="J338" s="1315">
        <v>0</v>
      </c>
      <c r="K338" s="1315">
        <v>0</v>
      </c>
      <c r="L338" s="1315">
        <v>730.85799999999995</v>
      </c>
      <c r="M338" s="1315">
        <v>792.85299999999995</v>
      </c>
      <c r="N338" s="1315">
        <v>870.22500000000002</v>
      </c>
      <c r="O338" s="1315">
        <v>969.5</v>
      </c>
      <c r="P338" s="1315">
        <v>732.64599999999996</v>
      </c>
      <c r="Q338" s="1315">
        <v>920.553</v>
      </c>
      <c r="R338" s="1315">
        <v>1112.002</v>
      </c>
      <c r="S338" s="1315">
        <v>1263.0239999999999</v>
      </c>
      <c r="T338" s="1315">
        <v>1016.005</v>
      </c>
      <c r="U338" s="1315">
        <v>901.18</v>
      </c>
      <c r="V338" s="1315">
        <v>790.53700000000003</v>
      </c>
      <c r="W338" s="1315">
        <v>824.89499999999998</v>
      </c>
      <c r="X338" s="1315">
        <v>648.755</v>
      </c>
      <c r="Y338" s="1315">
        <v>599.79</v>
      </c>
    </row>
    <row r="339" spans="1:25" x14ac:dyDescent="0.2">
      <c r="A339" s="1305" t="s">
        <v>1471</v>
      </c>
      <c r="B339" s="1305"/>
      <c r="C339" s="1305"/>
      <c r="D339" s="1305"/>
      <c r="E339" s="1305"/>
      <c r="F339" s="1305"/>
      <c r="G339" s="1315">
        <v>0</v>
      </c>
      <c r="H339" s="1315">
        <v>0</v>
      </c>
      <c r="I339" s="1315">
        <v>0</v>
      </c>
      <c r="J339" s="1315">
        <v>0</v>
      </c>
      <c r="K339" s="1315">
        <v>0</v>
      </c>
      <c r="L339" s="1315">
        <v>0</v>
      </c>
      <c r="M339" s="1315">
        <v>0</v>
      </c>
      <c r="N339" s="1315">
        <v>0</v>
      </c>
      <c r="O339" s="1315">
        <v>0</v>
      </c>
      <c r="P339" s="1315">
        <v>0</v>
      </c>
      <c r="Q339" s="1315">
        <v>0</v>
      </c>
      <c r="R339" s="1315">
        <v>0</v>
      </c>
      <c r="S339" s="1315">
        <v>627.60699999999997</v>
      </c>
      <c r="T339" s="1315">
        <v>435.00900000000001</v>
      </c>
      <c r="U339" s="1315">
        <v>376.07100000000003</v>
      </c>
      <c r="V339" s="1315">
        <v>359.90300000000002</v>
      </c>
      <c r="W339" s="1315">
        <v>668.47299999999996</v>
      </c>
      <c r="X339" s="1315">
        <v>588.43399999999997</v>
      </c>
      <c r="Y339" s="1315">
        <v>704.20699999999999</v>
      </c>
    </row>
    <row r="340" spans="1:25" x14ac:dyDescent="0.2">
      <c r="A340" s="1305" t="s">
        <v>124</v>
      </c>
      <c r="B340" s="1305"/>
      <c r="C340" s="1305"/>
      <c r="D340" s="1305"/>
      <c r="E340" s="1305"/>
      <c r="F340" s="1305"/>
      <c r="G340" s="1315">
        <v>0</v>
      </c>
      <c r="H340" s="1315">
        <v>0</v>
      </c>
      <c r="I340" s="1315">
        <v>0</v>
      </c>
      <c r="J340" s="1315">
        <v>0</v>
      </c>
      <c r="K340" s="1315">
        <v>0</v>
      </c>
      <c r="L340" s="1315">
        <v>62.616</v>
      </c>
      <c r="M340" s="1315">
        <v>70.466999999999999</v>
      </c>
      <c r="N340" s="1315">
        <v>155.881</v>
      </c>
      <c r="O340" s="1315">
        <v>161.75200000000001</v>
      </c>
      <c r="P340" s="1315">
        <v>68.941999999999993</v>
      </c>
      <c r="Q340" s="1315">
        <v>39.734999999999999</v>
      </c>
      <c r="R340" s="1315">
        <v>37.590000000000003</v>
      </c>
      <c r="S340" s="1315">
        <v>1710.82</v>
      </c>
      <c r="T340" s="1315">
        <v>1818.692</v>
      </c>
      <c r="U340" s="1315">
        <v>1591.0709999999999</v>
      </c>
      <c r="V340" s="1315">
        <v>1847.5070000000001</v>
      </c>
      <c r="W340" s="1315">
        <v>1587.6769999999999</v>
      </c>
      <c r="X340" s="1315">
        <v>963.875</v>
      </c>
      <c r="Y340" s="1315">
        <v>708.90899999999999</v>
      </c>
    </row>
    <row r="341" spans="1:25" x14ac:dyDescent="0.2">
      <c r="A341" s="1305" t="s">
        <v>1472</v>
      </c>
      <c r="B341" s="1305"/>
      <c r="C341" s="1305"/>
      <c r="D341" s="1305"/>
      <c r="E341" s="1305"/>
      <c r="F341" s="1305"/>
      <c r="G341" s="1315">
        <v>0</v>
      </c>
      <c r="H341" s="1315">
        <v>0</v>
      </c>
      <c r="I341" s="1315">
        <v>0</v>
      </c>
      <c r="J341" s="1315">
        <v>0</v>
      </c>
      <c r="K341" s="1315">
        <v>0</v>
      </c>
      <c r="L341" s="1315">
        <v>0</v>
      </c>
      <c r="M341" s="1315">
        <v>0</v>
      </c>
      <c r="N341" s="1315">
        <v>0</v>
      </c>
      <c r="O341" s="1315">
        <v>0</v>
      </c>
      <c r="P341" s="1315">
        <v>0</v>
      </c>
      <c r="Q341" s="1315">
        <v>0</v>
      </c>
      <c r="R341" s="1315">
        <v>778.41600000000005</v>
      </c>
      <c r="S341" s="1315">
        <v>0</v>
      </c>
      <c r="T341" s="1315">
        <v>0</v>
      </c>
      <c r="U341" s="1315">
        <v>0</v>
      </c>
      <c r="V341" s="1315">
        <v>0</v>
      </c>
      <c r="W341" s="1315">
        <v>0</v>
      </c>
      <c r="X341" s="1315">
        <v>0</v>
      </c>
      <c r="Y341" s="1315">
        <v>0</v>
      </c>
    </row>
    <row r="342" spans="1:25" x14ac:dyDescent="0.2">
      <c r="A342" s="1305" t="s">
        <v>1473</v>
      </c>
      <c r="B342" s="1305"/>
      <c r="C342" s="1305"/>
      <c r="D342" s="1305"/>
      <c r="E342" s="1305"/>
      <c r="F342" s="1305"/>
      <c r="G342" s="1315">
        <v>0</v>
      </c>
      <c r="H342" s="1315">
        <v>0</v>
      </c>
      <c r="I342" s="1315">
        <v>0</v>
      </c>
      <c r="J342" s="1315">
        <v>0</v>
      </c>
      <c r="K342" s="1315">
        <v>0</v>
      </c>
      <c r="L342" s="1315">
        <v>0</v>
      </c>
      <c r="M342" s="1315">
        <v>0</v>
      </c>
      <c r="N342" s="1315">
        <v>0</v>
      </c>
      <c r="O342" s="1315">
        <v>0</v>
      </c>
      <c r="P342" s="1315">
        <v>0</v>
      </c>
      <c r="Q342" s="1315">
        <v>131.68899999999999</v>
      </c>
      <c r="R342" s="1315">
        <v>148.125</v>
      </c>
      <c r="S342" s="1315">
        <v>0</v>
      </c>
      <c r="T342" s="1315">
        <v>0</v>
      </c>
      <c r="U342" s="1315">
        <v>0</v>
      </c>
      <c r="V342" s="1315">
        <v>0</v>
      </c>
      <c r="W342" s="1315">
        <v>0</v>
      </c>
      <c r="X342" s="1315">
        <v>0</v>
      </c>
      <c r="Y342" s="1315">
        <v>0</v>
      </c>
    </row>
    <row r="343" spans="1:25" x14ac:dyDescent="0.2">
      <c r="A343" s="1305" t="s">
        <v>1474</v>
      </c>
      <c r="B343" s="1305"/>
      <c r="C343" s="1305"/>
      <c r="D343" s="1305"/>
      <c r="E343" s="1305"/>
      <c r="F343" s="1305"/>
      <c r="G343" s="1315">
        <v>0</v>
      </c>
      <c r="H343" s="1315">
        <v>0</v>
      </c>
      <c r="I343" s="1315">
        <v>0</v>
      </c>
      <c r="J343" s="1315">
        <v>0</v>
      </c>
      <c r="K343" s="1315">
        <v>0</v>
      </c>
      <c r="L343" s="1315">
        <v>584.73</v>
      </c>
      <c r="M343" s="1315">
        <v>631.78099999999995</v>
      </c>
      <c r="N343" s="1315">
        <v>255.44200000000001</v>
      </c>
      <c r="O343" s="1315">
        <v>151.75299999999999</v>
      </c>
      <c r="P343" s="1315">
        <v>631.70000000000005</v>
      </c>
      <c r="Q343" s="1315">
        <v>748.14099999999996</v>
      </c>
      <c r="R343" s="1315">
        <v>1160.654</v>
      </c>
      <c r="S343" s="1315">
        <v>0</v>
      </c>
      <c r="T343" s="1315">
        <v>0</v>
      </c>
      <c r="U343" s="1315">
        <v>0</v>
      </c>
      <c r="V343" s="1315">
        <v>0</v>
      </c>
      <c r="W343" s="1315">
        <v>0</v>
      </c>
      <c r="X343" s="1315">
        <v>0</v>
      </c>
      <c r="Y343" s="1315">
        <v>0</v>
      </c>
    </row>
    <row r="344" spans="1:25" x14ac:dyDescent="0.2">
      <c r="A344" s="1305" t="s">
        <v>1475</v>
      </c>
      <c r="B344" s="1305"/>
      <c r="C344" s="1305"/>
      <c r="D344" s="1305"/>
      <c r="E344" s="1305"/>
      <c r="F344" s="1305"/>
      <c r="G344" s="1315">
        <v>0</v>
      </c>
      <c r="H344" s="1315">
        <v>0</v>
      </c>
      <c r="I344" s="1315">
        <v>0</v>
      </c>
      <c r="J344" s="1315">
        <v>0</v>
      </c>
      <c r="K344" s="1315">
        <v>0</v>
      </c>
      <c r="L344" s="1315">
        <v>0</v>
      </c>
      <c r="M344" s="1315">
        <v>0</v>
      </c>
      <c r="N344" s="1315">
        <v>0</v>
      </c>
      <c r="O344" s="1315">
        <v>0</v>
      </c>
      <c r="P344" s="1315">
        <v>16.574999999999999</v>
      </c>
      <c r="Q344" s="1315">
        <v>20.294</v>
      </c>
      <c r="R344" s="1315">
        <v>26.59</v>
      </c>
      <c r="S344" s="1315">
        <v>0</v>
      </c>
      <c r="T344" s="1315">
        <v>0</v>
      </c>
      <c r="U344" s="1315">
        <v>0</v>
      </c>
      <c r="V344" s="1315">
        <v>0</v>
      </c>
      <c r="W344" s="1315">
        <v>0</v>
      </c>
      <c r="X344" s="1315">
        <v>0</v>
      </c>
      <c r="Y344" s="1315">
        <v>0</v>
      </c>
    </row>
    <row r="345" spans="1:25" x14ac:dyDescent="0.2">
      <c r="A345" s="1305" t="s">
        <v>1476</v>
      </c>
      <c r="B345" s="1305"/>
      <c r="C345" s="1305"/>
      <c r="D345" s="1305"/>
      <c r="E345" s="1305"/>
      <c r="F345" s="1305"/>
      <c r="G345" s="1315">
        <v>0</v>
      </c>
      <c r="H345" s="1315">
        <v>348.34199999999998</v>
      </c>
      <c r="I345" s="1315">
        <v>404.79</v>
      </c>
      <c r="J345" s="1315">
        <v>680.34299999999996</v>
      </c>
      <c r="K345" s="1315">
        <v>979.64200000000005</v>
      </c>
      <c r="L345" s="1315">
        <v>0</v>
      </c>
      <c r="M345" s="1315">
        <v>0</v>
      </c>
      <c r="N345" s="1315">
        <v>0</v>
      </c>
      <c r="O345" s="1315">
        <v>0</v>
      </c>
      <c r="P345" s="1315">
        <v>0</v>
      </c>
      <c r="Q345" s="1315">
        <v>0</v>
      </c>
      <c r="R345" s="1315">
        <v>0</v>
      </c>
      <c r="S345" s="1315">
        <v>0</v>
      </c>
      <c r="T345" s="1315">
        <v>0</v>
      </c>
      <c r="U345" s="1315">
        <v>0</v>
      </c>
      <c r="V345" s="1315">
        <v>0</v>
      </c>
      <c r="W345" s="1315">
        <v>0</v>
      </c>
      <c r="X345" s="1315">
        <v>0</v>
      </c>
      <c r="Y345" s="1315">
        <v>0</v>
      </c>
    </row>
    <row r="346" spans="1:25" ht="10.5" x14ac:dyDescent="0.2">
      <c r="A346" s="1314" t="s">
        <v>1487</v>
      </c>
      <c r="B346" s="1314"/>
      <c r="C346" s="1314"/>
      <c r="D346" s="1314"/>
      <c r="E346" s="1314"/>
      <c r="F346" s="1314"/>
      <c r="G346" s="1317">
        <v>0</v>
      </c>
      <c r="H346" s="1317">
        <v>348.34199999999998</v>
      </c>
      <c r="I346" s="1317">
        <v>404.79</v>
      </c>
      <c r="J346" s="1317">
        <v>680.34299999999996</v>
      </c>
      <c r="K346" s="1317">
        <v>979.64200000000005</v>
      </c>
      <c r="L346" s="1317">
        <v>1378.204</v>
      </c>
      <c r="M346" s="1317">
        <v>1495.1010000000001</v>
      </c>
      <c r="N346" s="1317">
        <v>1281.548</v>
      </c>
      <c r="O346" s="1317">
        <v>1283.0050000000001</v>
      </c>
      <c r="P346" s="1317">
        <v>1449.8630000000001</v>
      </c>
      <c r="Q346" s="1317">
        <v>1860.412</v>
      </c>
      <c r="R346" s="1317">
        <v>3263.377</v>
      </c>
      <c r="S346" s="1317">
        <v>3601.451</v>
      </c>
      <c r="T346" s="1317">
        <v>3269.7060000000001</v>
      </c>
      <c r="U346" s="1317">
        <v>2868.3220000000001</v>
      </c>
      <c r="V346" s="1317">
        <v>2997.9470000000001</v>
      </c>
      <c r="W346" s="1317">
        <v>3081.0450000000001</v>
      </c>
      <c r="X346" s="1317">
        <v>2201.0639999999999</v>
      </c>
      <c r="Y346" s="1317">
        <v>2012.9059999999999</v>
      </c>
    </row>
    <row r="347" spans="1:25" x14ac:dyDescent="0.2">
      <c r="A347" s="1305"/>
      <c r="B347" s="1305"/>
      <c r="C347" s="1305"/>
      <c r="D347" s="1305"/>
      <c r="E347" s="1305"/>
      <c r="F347" s="1305"/>
      <c r="G347" s="1305"/>
      <c r="H347" s="1305"/>
      <c r="I347" s="1305"/>
      <c r="J347" s="1305"/>
      <c r="K347" s="1305"/>
      <c r="L347" s="1305"/>
      <c r="M347" s="1305"/>
      <c r="N347" s="1305"/>
      <c r="O347" s="1305"/>
      <c r="P347" s="1305"/>
      <c r="Q347" s="1305"/>
      <c r="R347" s="1305"/>
      <c r="S347" s="1305"/>
      <c r="T347" s="1305"/>
      <c r="U347" s="1305"/>
      <c r="V347" s="1305"/>
      <c r="W347" s="1305"/>
      <c r="X347" s="1305"/>
      <c r="Y347" s="1305"/>
    </row>
    <row r="348" spans="1:25" ht="10.5" x14ac:dyDescent="0.2">
      <c r="A348" s="1314" t="s">
        <v>1488</v>
      </c>
      <c r="B348" s="1314"/>
      <c r="C348" s="1314"/>
      <c r="D348" s="1314"/>
      <c r="E348" s="1314"/>
      <c r="F348" s="1314"/>
      <c r="G348" s="1305"/>
      <c r="H348" s="1305"/>
      <c r="I348" s="1305"/>
      <c r="J348" s="1305"/>
      <c r="K348" s="1305"/>
      <c r="L348" s="1305"/>
      <c r="M348" s="1305"/>
      <c r="N348" s="1305"/>
      <c r="O348" s="1305"/>
      <c r="P348" s="1305"/>
      <c r="Q348" s="1305"/>
      <c r="R348" s="1305"/>
      <c r="S348" s="1305"/>
      <c r="T348" s="1305"/>
      <c r="U348" s="1305"/>
      <c r="V348" s="1305"/>
      <c r="W348" s="1305"/>
      <c r="X348" s="1305"/>
      <c r="Y348" s="1305"/>
    </row>
    <row r="349" spans="1:25" x14ac:dyDescent="0.2">
      <c r="A349" s="1305" t="s">
        <v>1470</v>
      </c>
      <c r="B349" s="1305"/>
      <c r="C349" s="1305"/>
      <c r="D349" s="1305"/>
      <c r="E349" s="1305"/>
      <c r="F349" s="1305"/>
      <c r="G349" s="1315">
        <v>0</v>
      </c>
      <c r="H349" s="1315">
        <v>0</v>
      </c>
      <c r="I349" s="1315">
        <v>0</v>
      </c>
      <c r="J349" s="1315">
        <v>0</v>
      </c>
      <c r="K349" s="1315">
        <v>24.521000000000001</v>
      </c>
      <c r="L349" s="1315">
        <v>28.132000000000001</v>
      </c>
      <c r="M349" s="1315">
        <v>33.08</v>
      </c>
      <c r="N349" s="1315">
        <v>26.187000000000001</v>
      </c>
      <c r="O349" s="1315">
        <v>40.238999999999997</v>
      </c>
      <c r="P349" s="1315">
        <v>38.539000000000001</v>
      </c>
      <c r="Q349" s="1315">
        <v>53.39</v>
      </c>
      <c r="R349" s="1315">
        <v>59.337000000000003</v>
      </c>
      <c r="S349" s="1315">
        <v>50.77</v>
      </c>
      <c r="T349" s="1315">
        <v>53.680999999999997</v>
      </c>
      <c r="U349" s="1315">
        <v>64.643000000000001</v>
      </c>
      <c r="V349" s="1315">
        <v>45.084000000000003</v>
      </c>
      <c r="W349" s="1315">
        <v>26.783000000000001</v>
      </c>
      <c r="X349" s="1315">
        <v>18.001999999999999</v>
      </c>
      <c r="Y349" s="1315">
        <v>13.576000000000001</v>
      </c>
    </row>
    <row r="350" spans="1:25" x14ac:dyDescent="0.2">
      <c r="A350" s="1305" t="s">
        <v>1471</v>
      </c>
      <c r="B350" s="1305"/>
      <c r="C350" s="1305"/>
      <c r="D350" s="1305"/>
      <c r="E350" s="1305"/>
      <c r="F350" s="1305"/>
      <c r="G350" s="1315">
        <v>0</v>
      </c>
      <c r="H350" s="1315">
        <v>0</v>
      </c>
      <c r="I350" s="1315">
        <v>0</v>
      </c>
      <c r="J350" s="1315">
        <v>0</v>
      </c>
      <c r="K350" s="1315">
        <v>0</v>
      </c>
      <c r="L350" s="1315">
        <v>0</v>
      </c>
      <c r="M350" s="1315">
        <v>0</v>
      </c>
      <c r="N350" s="1315">
        <v>0</v>
      </c>
      <c r="O350" s="1315">
        <v>0</v>
      </c>
      <c r="P350" s="1315">
        <v>0</v>
      </c>
      <c r="Q350" s="1315">
        <v>0</v>
      </c>
      <c r="R350" s="1315">
        <v>0</v>
      </c>
      <c r="S350" s="1315">
        <v>40.914999999999999</v>
      </c>
      <c r="T350" s="1315">
        <v>30.004000000000001</v>
      </c>
      <c r="U350" s="1315">
        <v>24.297000000000001</v>
      </c>
      <c r="V350" s="1315">
        <v>25.981999999999999</v>
      </c>
      <c r="W350" s="1315">
        <v>38.167999999999999</v>
      </c>
      <c r="X350" s="1315">
        <v>39.375999999999998</v>
      </c>
      <c r="Y350" s="1315">
        <v>38.807000000000002</v>
      </c>
    </row>
    <row r="351" spans="1:25" x14ac:dyDescent="0.2">
      <c r="A351" s="1305" t="s">
        <v>124</v>
      </c>
      <c r="B351" s="1305"/>
      <c r="C351" s="1305"/>
      <c r="D351" s="1305"/>
      <c r="E351" s="1305"/>
      <c r="F351" s="1305"/>
      <c r="G351" s="1315">
        <v>0</v>
      </c>
      <c r="H351" s="1315">
        <v>0</v>
      </c>
      <c r="I351" s="1315">
        <v>0</v>
      </c>
      <c r="J351" s="1315">
        <v>0</v>
      </c>
      <c r="K351" s="1315">
        <v>2.8130000000000002</v>
      </c>
      <c r="L351" s="1315">
        <v>3.13</v>
      </c>
      <c r="M351" s="1315">
        <v>2.9550000000000001</v>
      </c>
      <c r="N351" s="1315">
        <v>4.6859999999999999</v>
      </c>
      <c r="O351" s="1315">
        <v>4.72</v>
      </c>
      <c r="P351" s="1315">
        <v>4.9489999999999998</v>
      </c>
      <c r="Q351" s="1315">
        <v>0.84199999999999997</v>
      </c>
      <c r="R351" s="1315">
        <v>1.405</v>
      </c>
      <c r="S351" s="1315">
        <v>55.35</v>
      </c>
      <c r="T351" s="1315">
        <v>75.320999999999998</v>
      </c>
      <c r="U351" s="1315">
        <v>89.293999999999997</v>
      </c>
      <c r="V351" s="1315">
        <v>78.712000000000003</v>
      </c>
      <c r="W351" s="1315">
        <v>73.858999999999995</v>
      </c>
      <c r="X351" s="1315">
        <v>67.924999999999997</v>
      </c>
      <c r="Y351" s="1315">
        <v>57.555</v>
      </c>
    </row>
    <row r="352" spans="1:25" x14ac:dyDescent="0.2">
      <c r="A352" s="1305" t="s">
        <v>1472</v>
      </c>
      <c r="B352" s="1305"/>
      <c r="C352" s="1305"/>
      <c r="D352" s="1305"/>
      <c r="E352" s="1305"/>
      <c r="F352" s="1305"/>
      <c r="G352" s="1315">
        <v>0</v>
      </c>
      <c r="H352" s="1315">
        <v>0</v>
      </c>
      <c r="I352" s="1315">
        <v>0</v>
      </c>
      <c r="J352" s="1315">
        <v>0</v>
      </c>
      <c r="K352" s="1315">
        <v>0</v>
      </c>
      <c r="L352" s="1315">
        <v>0</v>
      </c>
      <c r="M352" s="1315">
        <v>0</v>
      </c>
      <c r="N352" s="1315">
        <v>0</v>
      </c>
      <c r="O352" s="1315">
        <v>0</v>
      </c>
      <c r="P352" s="1315">
        <v>0</v>
      </c>
      <c r="Q352" s="1315">
        <v>0</v>
      </c>
      <c r="R352" s="1315">
        <v>3.1150000000000002</v>
      </c>
      <c r="S352" s="1315">
        <v>0</v>
      </c>
      <c r="T352" s="1315">
        <v>0</v>
      </c>
      <c r="U352" s="1315">
        <v>0</v>
      </c>
      <c r="V352" s="1315">
        <v>0</v>
      </c>
      <c r="W352" s="1315">
        <v>0</v>
      </c>
      <c r="X352" s="1315">
        <v>0</v>
      </c>
      <c r="Y352" s="1315">
        <v>0</v>
      </c>
    </row>
    <row r="353" spans="1:25" x14ac:dyDescent="0.2">
      <c r="A353" s="1305" t="s">
        <v>1473</v>
      </c>
      <c r="B353" s="1305"/>
      <c r="C353" s="1305"/>
      <c r="D353" s="1305"/>
      <c r="E353" s="1305"/>
      <c r="F353" s="1305"/>
      <c r="G353" s="1315">
        <v>0</v>
      </c>
      <c r="H353" s="1315">
        <v>0</v>
      </c>
      <c r="I353" s="1315">
        <v>0</v>
      </c>
      <c r="J353" s="1315">
        <v>0</v>
      </c>
      <c r="K353" s="1315">
        <v>0</v>
      </c>
      <c r="L353" s="1315">
        <v>0</v>
      </c>
      <c r="M353" s="1315">
        <v>0</v>
      </c>
      <c r="N353" s="1315">
        <v>0</v>
      </c>
      <c r="O353" s="1315">
        <v>0</v>
      </c>
      <c r="P353" s="1315">
        <v>0</v>
      </c>
      <c r="Q353" s="1315">
        <v>2.7749999999999999</v>
      </c>
      <c r="R353" s="1315">
        <v>6.8010000000000002</v>
      </c>
      <c r="S353" s="1315">
        <v>0</v>
      </c>
      <c r="T353" s="1315">
        <v>0</v>
      </c>
      <c r="U353" s="1315">
        <v>0</v>
      </c>
      <c r="V353" s="1315">
        <v>0</v>
      </c>
      <c r="W353" s="1315">
        <v>0</v>
      </c>
      <c r="X353" s="1315">
        <v>0</v>
      </c>
      <c r="Y353" s="1315">
        <v>0</v>
      </c>
    </row>
    <row r="354" spans="1:25" x14ac:dyDescent="0.2">
      <c r="A354" s="1305" t="s">
        <v>1474</v>
      </c>
      <c r="B354" s="1305"/>
      <c r="C354" s="1305"/>
      <c r="D354" s="1305"/>
      <c r="E354" s="1305"/>
      <c r="F354" s="1305"/>
      <c r="G354" s="1315">
        <v>0</v>
      </c>
      <c r="H354" s="1315">
        <v>0</v>
      </c>
      <c r="I354" s="1315">
        <v>0</v>
      </c>
      <c r="J354" s="1315">
        <v>0</v>
      </c>
      <c r="K354" s="1315">
        <v>7.8449999999999998</v>
      </c>
      <c r="L354" s="1315">
        <v>9.0429999999999993</v>
      </c>
      <c r="M354" s="1315">
        <v>9.7520000000000007</v>
      </c>
      <c r="N354" s="1315">
        <v>14.718999999999999</v>
      </c>
      <c r="O354" s="1315">
        <v>22.331</v>
      </c>
      <c r="P354" s="1315">
        <v>26.997</v>
      </c>
      <c r="Q354" s="1315">
        <v>35.488999999999997</v>
      </c>
      <c r="R354" s="1315">
        <v>42.692</v>
      </c>
      <c r="S354" s="1315">
        <v>0</v>
      </c>
      <c r="T354" s="1315">
        <v>0</v>
      </c>
      <c r="U354" s="1315">
        <v>0</v>
      </c>
      <c r="V354" s="1315">
        <v>0</v>
      </c>
      <c r="W354" s="1315">
        <v>0</v>
      </c>
      <c r="X354" s="1315">
        <v>0</v>
      </c>
      <c r="Y354" s="1315">
        <v>0</v>
      </c>
    </row>
    <row r="355" spans="1:25" x14ac:dyDescent="0.2">
      <c r="A355" s="1305" t="s">
        <v>1475</v>
      </c>
      <c r="B355" s="1305"/>
      <c r="C355" s="1305"/>
      <c r="D355" s="1305"/>
      <c r="E355" s="1305"/>
      <c r="F355" s="1305"/>
      <c r="G355" s="1315">
        <v>0</v>
      </c>
      <c r="H355" s="1315">
        <v>0</v>
      </c>
      <c r="I355" s="1315">
        <v>0</v>
      </c>
      <c r="J355" s="1315">
        <v>0</v>
      </c>
      <c r="K355" s="1315">
        <v>0</v>
      </c>
      <c r="L355" s="1315">
        <v>0</v>
      </c>
      <c r="M355" s="1315">
        <v>0</v>
      </c>
      <c r="N355" s="1315">
        <v>0</v>
      </c>
      <c r="O355" s="1315">
        <v>0</v>
      </c>
      <c r="P355" s="1315">
        <v>0.63</v>
      </c>
      <c r="Q355" s="1315">
        <v>0</v>
      </c>
      <c r="R355" s="1315">
        <v>0</v>
      </c>
      <c r="S355" s="1315">
        <v>0</v>
      </c>
      <c r="T355" s="1315">
        <v>0</v>
      </c>
      <c r="U355" s="1315">
        <v>0</v>
      </c>
      <c r="V355" s="1315">
        <v>0</v>
      </c>
      <c r="W355" s="1315">
        <v>0</v>
      </c>
      <c r="X355" s="1315">
        <v>0</v>
      </c>
      <c r="Y355" s="1315">
        <v>0</v>
      </c>
    </row>
    <row r="356" spans="1:25" x14ac:dyDescent="0.2">
      <c r="A356" s="1305" t="s">
        <v>1476</v>
      </c>
      <c r="B356" s="1305"/>
      <c r="C356" s="1305"/>
      <c r="D356" s="1305"/>
      <c r="E356" s="1305"/>
      <c r="F356" s="1305"/>
      <c r="G356" s="1315">
        <v>12.786</v>
      </c>
      <c r="H356" s="1315">
        <v>19.971</v>
      </c>
      <c r="I356" s="1315">
        <v>27.052</v>
      </c>
      <c r="J356" s="1315">
        <v>32.74</v>
      </c>
      <c r="K356" s="1315">
        <v>0</v>
      </c>
      <c r="L356" s="1315">
        <v>0</v>
      </c>
      <c r="M356" s="1315">
        <v>0</v>
      </c>
      <c r="N356" s="1315">
        <v>0</v>
      </c>
      <c r="O356" s="1315">
        <v>0</v>
      </c>
      <c r="P356" s="1315">
        <v>0</v>
      </c>
      <c r="Q356" s="1315">
        <v>0</v>
      </c>
      <c r="R356" s="1315">
        <v>0</v>
      </c>
      <c r="S356" s="1315">
        <v>0</v>
      </c>
      <c r="T356" s="1315">
        <v>0</v>
      </c>
      <c r="U356" s="1315">
        <v>0</v>
      </c>
      <c r="V356" s="1315">
        <v>0</v>
      </c>
      <c r="W356" s="1315">
        <v>0</v>
      </c>
      <c r="X356" s="1315">
        <v>0</v>
      </c>
      <c r="Y356" s="1315">
        <v>0</v>
      </c>
    </row>
    <row r="357" spans="1:25" ht="10.5" x14ac:dyDescent="0.2">
      <c r="A357" s="1314" t="s">
        <v>1489</v>
      </c>
      <c r="B357" s="1314"/>
      <c r="C357" s="1314"/>
      <c r="D357" s="1314"/>
      <c r="E357" s="1314"/>
      <c r="F357" s="1314"/>
      <c r="G357" s="1317">
        <v>12.786</v>
      </c>
      <c r="H357" s="1317">
        <v>19.971</v>
      </c>
      <c r="I357" s="1317">
        <v>27.052</v>
      </c>
      <c r="J357" s="1317">
        <v>32.74</v>
      </c>
      <c r="K357" s="1317">
        <v>35.179000000000002</v>
      </c>
      <c r="L357" s="1317">
        <v>40.305</v>
      </c>
      <c r="M357" s="1317">
        <v>45.786999999999999</v>
      </c>
      <c r="N357" s="1317">
        <v>45.591999999999999</v>
      </c>
      <c r="O357" s="1317">
        <v>67.290000000000006</v>
      </c>
      <c r="P357" s="1317">
        <v>71.114999999999995</v>
      </c>
      <c r="Q357" s="1317">
        <v>92.495999999999995</v>
      </c>
      <c r="R357" s="1317">
        <v>113.35</v>
      </c>
      <c r="S357" s="1317">
        <v>147.035</v>
      </c>
      <c r="T357" s="1317">
        <v>159.006</v>
      </c>
      <c r="U357" s="1317">
        <v>178.23400000000001</v>
      </c>
      <c r="V357" s="1317">
        <v>149.77799999999999</v>
      </c>
      <c r="W357" s="1317">
        <v>138.81</v>
      </c>
      <c r="X357" s="1317">
        <v>125.303</v>
      </c>
      <c r="Y357" s="1317">
        <v>109.938</v>
      </c>
    </row>
    <row r="358" spans="1:25" x14ac:dyDescent="0.2">
      <c r="A358" s="1305"/>
      <c r="B358" s="1305"/>
      <c r="C358" s="1305"/>
      <c r="D358" s="1305"/>
      <c r="E358" s="1305"/>
      <c r="F358" s="1305"/>
      <c r="G358" s="1305"/>
      <c r="H358" s="1305"/>
      <c r="I358" s="1305"/>
      <c r="J358" s="1305"/>
      <c r="K358" s="1305"/>
      <c r="L358" s="1305"/>
      <c r="M358" s="1305"/>
      <c r="N358" s="1305"/>
      <c r="O358" s="1305"/>
      <c r="P358" s="1305"/>
      <c r="Q358" s="1305"/>
      <c r="R358" s="1305"/>
      <c r="S358" s="1305"/>
      <c r="T358" s="1305"/>
      <c r="U358" s="1305"/>
      <c r="V358" s="1305"/>
      <c r="W358" s="1305"/>
      <c r="X358" s="1305"/>
      <c r="Y358" s="1305"/>
    </row>
    <row r="359" spans="1:25" ht="10.5" x14ac:dyDescent="0.2">
      <c r="A359" s="1314" t="s">
        <v>1424</v>
      </c>
      <c r="B359" s="1314"/>
      <c r="C359" s="1314"/>
      <c r="D359" s="1314"/>
      <c r="E359" s="1314"/>
      <c r="F359" s="1314"/>
      <c r="G359" s="1305"/>
      <c r="H359" s="1305"/>
      <c r="I359" s="1305"/>
      <c r="J359" s="1305"/>
      <c r="K359" s="1305"/>
      <c r="L359" s="1305"/>
      <c r="M359" s="1305"/>
      <c r="N359" s="1305"/>
      <c r="O359" s="1305"/>
      <c r="P359" s="1305"/>
      <c r="Q359" s="1305"/>
      <c r="R359" s="1305"/>
      <c r="S359" s="1305"/>
      <c r="T359" s="1305"/>
      <c r="U359" s="1305"/>
      <c r="V359" s="1305"/>
      <c r="W359" s="1305"/>
      <c r="X359" s="1305"/>
      <c r="Y359" s="1305"/>
    </row>
    <row r="360" spans="1:25" x14ac:dyDescent="0.2">
      <c r="A360" s="1305" t="s">
        <v>1470</v>
      </c>
      <c r="B360" s="1305"/>
      <c r="C360" s="1305"/>
      <c r="D360" s="1305"/>
      <c r="E360" s="1305"/>
      <c r="F360" s="1305"/>
      <c r="G360" s="1315">
        <v>0</v>
      </c>
      <c r="H360" s="1315">
        <v>0</v>
      </c>
      <c r="I360" s="1315">
        <v>0</v>
      </c>
      <c r="J360" s="1315">
        <v>0</v>
      </c>
      <c r="K360" s="1315">
        <v>-24.1</v>
      </c>
      <c r="L360" s="1315">
        <v>-34.700000000000003</v>
      </c>
      <c r="M360" s="1315">
        <v>-79.2</v>
      </c>
      <c r="N360" s="1315">
        <v>-57.8</v>
      </c>
      <c r="O360" s="1315">
        <v>-42.7</v>
      </c>
      <c r="P360" s="1315">
        <v>-41.4</v>
      </c>
      <c r="Q360" s="1315">
        <v>-37.1</v>
      </c>
      <c r="R360" s="1315">
        <v>-49</v>
      </c>
      <c r="S360" s="1315">
        <v>-39.6</v>
      </c>
      <c r="T360" s="1315">
        <v>-53.8</v>
      </c>
      <c r="U360" s="1315">
        <v>-20.100000000000001</v>
      </c>
      <c r="V360" s="1315">
        <v>-7</v>
      </c>
      <c r="W360" s="1315">
        <v>-8.3000000000000007</v>
      </c>
      <c r="X360" s="1315">
        <v>-12.8</v>
      </c>
      <c r="Y360" s="1315">
        <v>-23</v>
      </c>
    </row>
    <row r="361" spans="1:25" x14ac:dyDescent="0.2">
      <c r="A361" s="1305" t="s">
        <v>1471</v>
      </c>
      <c r="B361" s="1305"/>
      <c r="C361" s="1305"/>
      <c r="D361" s="1305"/>
      <c r="E361" s="1305"/>
      <c r="F361" s="1305"/>
      <c r="G361" s="1315">
        <v>0</v>
      </c>
      <c r="H361" s="1315">
        <v>0</v>
      </c>
      <c r="I361" s="1315">
        <v>0</v>
      </c>
      <c r="J361" s="1315">
        <v>0</v>
      </c>
      <c r="K361" s="1315">
        <v>0</v>
      </c>
      <c r="L361" s="1315">
        <v>0</v>
      </c>
      <c r="M361" s="1315">
        <v>0</v>
      </c>
      <c r="N361" s="1315">
        <v>0</v>
      </c>
      <c r="O361" s="1315">
        <v>0</v>
      </c>
      <c r="P361" s="1315">
        <v>0</v>
      </c>
      <c r="Q361" s="1315">
        <v>0</v>
      </c>
      <c r="R361" s="1315">
        <v>0</v>
      </c>
      <c r="S361" s="1315">
        <v>-16.3</v>
      </c>
      <c r="T361" s="1315">
        <v>-20.6</v>
      </c>
      <c r="U361" s="1315">
        <v>-36.5</v>
      </c>
      <c r="V361" s="1315">
        <v>-33.6</v>
      </c>
      <c r="W361" s="1315">
        <v>-22.2</v>
      </c>
      <c r="X361" s="1315">
        <v>-25.6</v>
      </c>
      <c r="Y361" s="1315">
        <v>-19.399999999999999</v>
      </c>
    </row>
    <row r="362" spans="1:25" x14ac:dyDescent="0.2">
      <c r="A362" s="1305" t="s">
        <v>124</v>
      </c>
      <c r="B362" s="1305"/>
      <c r="C362" s="1305"/>
      <c r="D362" s="1305"/>
      <c r="E362" s="1305"/>
      <c r="F362" s="1305"/>
      <c r="G362" s="1315">
        <v>0</v>
      </c>
      <c r="H362" s="1315">
        <v>0</v>
      </c>
      <c r="I362" s="1315">
        <v>0</v>
      </c>
      <c r="J362" s="1315">
        <v>0</v>
      </c>
      <c r="K362" s="1315">
        <v>-1.4</v>
      </c>
      <c r="L362" s="1315">
        <v>-1.7</v>
      </c>
      <c r="M362" s="1315">
        <v>-2.9</v>
      </c>
      <c r="N362" s="1315">
        <v>-4.2</v>
      </c>
      <c r="O362" s="1315">
        <v>-1.5</v>
      </c>
      <c r="P362" s="1315">
        <v>-0.5</v>
      </c>
      <c r="Q362" s="1315">
        <v>-0.4</v>
      </c>
      <c r="R362" s="1315">
        <v>-0.6</v>
      </c>
      <c r="S362" s="1315">
        <v>-112.3</v>
      </c>
      <c r="T362" s="1315">
        <v>-88.2</v>
      </c>
      <c r="U362" s="1315">
        <v>-58.5</v>
      </c>
      <c r="V362" s="1315">
        <v>-78.7</v>
      </c>
      <c r="W362" s="1315">
        <v>-70.2</v>
      </c>
      <c r="X362" s="1315">
        <v>-59.6</v>
      </c>
      <c r="Y362" s="1315">
        <v>-30.7</v>
      </c>
    </row>
    <row r="363" spans="1:25" x14ac:dyDescent="0.2">
      <c r="A363" s="1305" t="s">
        <v>1472</v>
      </c>
      <c r="B363" s="1305"/>
      <c r="C363" s="1305"/>
      <c r="D363" s="1305"/>
      <c r="E363" s="1305"/>
      <c r="F363" s="1305"/>
      <c r="G363" s="1315">
        <v>0</v>
      </c>
      <c r="H363" s="1315">
        <v>0</v>
      </c>
      <c r="I363" s="1315">
        <v>0</v>
      </c>
      <c r="J363" s="1315">
        <v>0</v>
      </c>
      <c r="K363" s="1315">
        <v>0</v>
      </c>
      <c r="L363" s="1315">
        <v>0</v>
      </c>
      <c r="M363" s="1315">
        <v>0</v>
      </c>
      <c r="N363" s="1315">
        <v>0</v>
      </c>
      <c r="O363" s="1315">
        <v>0</v>
      </c>
      <c r="P363" s="1315">
        <v>0</v>
      </c>
      <c r="Q363" s="1315">
        <v>0</v>
      </c>
      <c r="R363" s="1315">
        <v>-0.5</v>
      </c>
      <c r="S363" s="1315">
        <v>0</v>
      </c>
      <c r="T363" s="1315">
        <v>0</v>
      </c>
      <c r="U363" s="1315">
        <v>0</v>
      </c>
      <c r="V363" s="1315">
        <v>0</v>
      </c>
      <c r="W363" s="1315">
        <v>0</v>
      </c>
      <c r="X363" s="1315">
        <v>0</v>
      </c>
      <c r="Y363" s="1315">
        <v>0</v>
      </c>
    </row>
    <row r="364" spans="1:25" x14ac:dyDescent="0.2">
      <c r="A364" s="1305" t="s">
        <v>1473</v>
      </c>
      <c r="B364" s="1305"/>
      <c r="C364" s="1305"/>
      <c r="D364" s="1305"/>
      <c r="E364" s="1305"/>
      <c r="F364" s="1305"/>
      <c r="G364" s="1315">
        <v>0</v>
      </c>
      <c r="H364" s="1315">
        <v>0</v>
      </c>
      <c r="I364" s="1315">
        <v>0</v>
      </c>
      <c r="J364" s="1315">
        <v>0</v>
      </c>
      <c r="K364" s="1315">
        <v>0</v>
      </c>
      <c r="L364" s="1315">
        <v>0</v>
      </c>
      <c r="M364" s="1315">
        <v>0</v>
      </c>
      <c r="N364" s="1315">
        <v>0</v>
      </c>
      <c r="O364" s="1315">
        <v>0</v>
      </c>
      <c r="P364" s="1315">
        <v>0</v>
      </c>
      <c r="Q364" s="1315">
        <v>-0.5</v>
      </c>
      <c r="R364" s="1315">
        <v>-6.5</v>
      </c>
      <c r="S364" s="1315">
        <v>0</v>
      </c>
      <c r="T364" s="1315">
        <v>0</v>
      </c>
      <c r="U364" s="1315">
        <v>0</v>
      </c>
      <c r="V364" s="1315">
        <v>0</v>
      </c>
      <c r="W364" s="1315">
        <v>0</v>
      </c>
      <c r="X364" s="1315">
        <v>0</v>
      </c>
      <c r="Y364" s="1315">
        <v>0</v>
      </c>
    </row>
    <row r="365" spans="1:25" x14ac:dyDescent="0.2">
      <c r="A365" s="1305" t="s">
        <v>1474</v>
      </c>
      <c r="B365" s="1305"/>
      <c r="C365" s="1305"/>
      <c r="D365" s="1305"/>
      <c r="E365" s="1305"/>
      <c r="F365" s="1305"/>
      <c r="G365" s="1315">
        <v>0</v>
      </c>
      <c r="H365" s="1315">
        <v>0</v>
      </c>
      <c r="I365" s="1315">
        <v>0</v>
      </c>
      <c r="J365" s="1315">
        <v>0</v>
      </c>
      <c r="K365" s="1315">
        <v>-11.2</v>
      </c>
      <c r="L365" s="1315">
        <v>-20.3</v>
      </c>
      <c r="M365" s="1315">
        <v>-27.5</v>
      </c>
      <c r="N365" s="1315">
        <v>-32.4</v>
      </c>
      <c r="O365" s="1315">
        <v>-67.099999999999994</v>
      </c>
      <c r="P365" s="1315">
        <v>-61.7</v>
      </c>
      <c r="Q365" s="1315">
        <v>-66.8</v>
      </c>
      <c r="R365" s="1315">
        <v>-70.7</v>
      </c>
      <c r="S365" s="1315">
        <v>0</v>
      </c>
      <c r="T365" s="1315">
        <v>0</v>
      </c>
      <c r="U365" s="1315">
        <v>0</v>
      </c>
      <c r="V365" s="1315">
        <v>0</v>
      </c>
      <c r="W365" s="1315">
        <v>0</v>
      </c>
      <c r="X365" s="1315">
        <v>0</v>
      </c>
      <c r="Y365" s="1315">
        <v>0</v>
      </c>
    </row>
    <row r="366" spans="1:25" x14ac:dyDescent="0.2">
      <c r="A366" s="1305" t="s">
        <v>1475</v>
      </c>
      <c r="B366" s="1305"/>
      <c r="C366" s="1305"/>
      <c r="D366" s="1305"/>
      <c r="E366" s="1305"/>
      <c r="F366" s="1305"/>
      <c r="G366" s="1315">
        <v>0</v>
      </c>
      <c r="H366" s="1315">
        <v>0</v>
      </c>
      <c r="I366" s="1315">
        <v>0</v>
      </c>
      <c r="J366" s="1315">
        <v>0</v>
      </c>
      <c r="K366" s="1315">
        <v>0</v>
      </c>
      <c r="L366" s="1315">
        <v>0</v>
      </c>
      <c r="M366" s="1315">
        <v>0</v>
      </c>
      <c r="N366" s="1315">
        <v>0</v>
      </c>
      <c r="O366" s="1315">
        <v>0</v>
      </c>
      <c r="P366" s="1315">
        <v>-1</v>
      </c>
      <c r="Q366" s="1315">
        <v>0</v>
      </c>
      <c r="R366" s="1315">
        <v>0</v>
      </c>
      <c r="S366" s="1315">
        <v>0</v>
      </c>
      <c r="T366" s="1315">
        <v>0</v>
      </c>
      <c r="U366" s="1315">
        <v>0</v>
      </c>
      <c r="V366" s="1315">
        <v>0</v>
      </c>
      <c r="W366" s="1315">
        <v>0</v>
      </c>
      <c r="X366" s="1315">
        <v>0</v>
      </c>
      <c r="Y366" s="1315">
        <v>0</v>
      </c>
    </row>
    <row r="367" spans="1:25" x14ac:dyDescent="0.2">
      <c r="A367" s="1305" t="s">
        <v>1476</v>
      </c>
      <c r="B367" s="1305"/>
      <c r="C367" s="1305"/>
      <c r="D367" s="1305"/>
      <c r="E367" s="1305"/>
      <c r="F367" s="1305"/>
      <c r="G367" s="1315">
        <v>-30.9</v>
      </c>
      <c r="H367" s="1315">
        <v>-44.7</v>
      </c>
      <c r="I367" s="1315">
        <v>-34.799999999999997</v>
      </c>
      <c r="J367" s="1315">
        <v>-52.1</v>
      </c>
      <c r="K367" s="1315">
        <v>0</v>
      </c>
      <c r="L367" s="1315">
        <v>0</v>
      </c>
      <c r="M367" s="1315">
        <v>0</v>
      </c>
      <c r="N367" s="1315">
        <v>0</v>
      </c>
      <c r="O367" s="1315">
        <v>0</v>
      </c>
      <c r="P367" s="1315">
        <v>0</v>
      </c>
      <c r="Q367" s="1315">
        <v>0</v>
      </c>
      <c r="R367" s="1315">
        <v>0</v>
      </c>
      <c r="S367" s="1315">
        <v>0</v>
      </c>
      <c r="T367" s="1315">
        <v>0</v>
      </c>
      <c r="U367" s="1315">
        <v>0</v>
      </c>
      <c r="V367" s="1315">
        <v>0</v>
      </c>
      <c r="W367" s="1315">
        <v>0</v>
      </c>
      <c r="X367" s="1315">
        <v>0</v>
      </c>
      <c r="Y367" s="1315">
        <v>0</v>
      </c>
    </row>
    <row r="368" spans="1:25" ht="10.5" x14ac:dyDescent="0.2">
      <c r="A368" s="1314" t="s">
        <v>1490</v>
      </c>
      <c r="B368" s="1314"/>
      <c r="C368" s="1314"/>
      <c r="D368" s="1314"/>
      <c r="E368" s="1314"/>
      <c r="F368" s="1314"/>
      <c r="G368" s="1317">
        <v>-30.9</v>
      </c>
      <c r="H368" s="1317">
        <v>-44.7</v>
      </c>
      <c r="I368" s="1317">
        <v>-34.799999999999997</v>
      </c>
      <c r="J368" s="1317">
        <v>-52.1</v>
      </c>
      <c r="K368" s="1317">
        <v>-36.700000000000003</v>
      </c>
      <c r="L368" s="1317">
        <v>-56.7</v>
      </c>
      <c r="M368" s="1317">
        <v>-109.5</v>
      </c>
      <c r="N368" s="1317">
        <v>-94.5</v>
      </c>
      <c r="O368" s="1317">
        <v>-111.2</v>
      </c>
      <c r="P368" s="1317">
        <v>-104.6</v>
      </c>
      <c r="Q368" s="1317">
        <v>-104.9</v>
      </c>
      <c r="R368" s="1317">
        <v>-127.4</v>
      </c>
      <c r="S368" s="1317">
        <v>-168.2</v>
      </c>
      <c r="T368" s="1317">
        <v>-162.6</v>
      </c>
      <c r="U368" s="1317">
        <v>-115.2</v>
      </c>
      <c r="V368" s="1317">
        <v>-119.3</v>
      </c>
      <c r="W368" s="1317">
        <v>-100.7</v>
      </c>
      <c r="X368" s="1317">
        <v>-98</v>
      </c>
      <c r="Y368" s="1317">
        <v>-73.099999999999994</v>
      </c>
    </row>
    <row r="369" spans="1:256" x14ac:dyDescent="0.2">
      <c r="A369" s="1305"/>
      <c r="B369" s="1305"/>
      <c r="C369" s="1305"/>
      <c r="D369" s="1305"/>
      <c r="E369" s="1305"/>
      <c r="F369" s="1305"/>
      <c r="G369" s="1305"/>
      <c r="H369" s="1305"/>
      <c r="I369" s="1305"/>
      <c r="J369" s="1305"/>
      <c r="K369" s="1305"/>
      <c r="L369" s="1305"/>
      <c r="M369" s="1305"/>
      <c r="N369" s="1305"/>
      <c r="O369" s="1305"/>
      <c r="P369" s="1305"/>
      <c r="Q369" s="1305"/>
      <c r="R369" s="1305"/>
      <c r="S369" s="1305"/>
      <c r="T369" s="1305"/>
      <c r="U369" s="1305"/>
      <c r="V369" s="1305"/>
      <c r="W369" s="1305"/>
      <c r="X369" s="1305"/>
      <c r="Y369" s="1305"/>
    </row>
    <row r="370" spans="1:256" x14ac:dyDescent="0.2">
      <c r="A370" s="1305"/>
      <c r="B370" s="1305"/>
      <c r="C370" s="1305"/>
      <c r="D370" s="1305"/>
      <c r="E370" s="1305"/>
      <c r="F370" s="1305"/>
      <c r="G370" s="1305" t="s">
        <v>1241</v>
      </c>
      <c r="H370" s="1305" t="s">
        <v>1241</v>
      </c>
      <c r="I370" s="1305" t="s">
        <v>1241</v>
      </c>
      <c r="J370" s="1305" t="s">
        <v>1241</v>
      </c>
      <c r="K370" s="1305" t="s">
        <v>1241</v>
      </c>
      <c r="L370" s="1305" t="s">
        <v>1241</v>
      </c>
      <c r="M370" s="1305" t="s">
        <v>1241</v>
      </c>
      <c r="N370" s="1305" t="s">
        <v>1241</v>
      </c>
      <c r="O370" s="1305" t="s">
        <v>1241</v>
      </c>
      <c r="P370" s="1305" t="s">
        <v>1241</v>
      </c>
      <c r="Q370" s="1305" t="s">
        <v>1241</v>
      </c>
      <c r="R370" s="1305" t="s">
        <v>1241</v>
      </c>
      <c r="S370" s="1305" t="s">
        <v>1241</v>
      </c>
      <c r="T370" s="1305" t="s">
        <v>1241</v>
      </c>
      <c r="U370" s="1305" t="s">
        <v>1241</v>
      </c>
      <c r="V370" s="1305" t="s">
        <v>1241</v>
      </c>
      <c r="W370" s="1305" t="s">
        <v>1241</v>
      </c>
      <c r="X370" s="1305" t="s">
        <v>1241</v>
      </c>
      <c r="Y370" s="1305" t="s">
        <v>1241</v>
      </c>
    </row>
    <row r="371" spans="1:256" x14ac:dyDescent="0.2">
      <c r="A371" s="1305" t="s">
        <v>1301</v>
      </c>
      <c r="B371" s="1305"/>
      <c r="C371" s="1305"/>
      <c r="D371" s="1305"/>
      <c r="E371" s="1305"/>
      <c r="F371" s="1305"/>
      <c r="G371" s="1322">
        <v>36854</v>
      </c>
      <c r="H371" s="1322">
        <v>37223</v>
      </c>
      <c r="I371" s="1322">
        <v>37587</v>
      </c>
      <c r="J371" s="1322">
        <v>37951</v>
      </c>
      <c r="K371" s="1322">
        <v>38306</v>
      </c>
      <c r="L371" s="1322">
        <v>38670</v>
      </c>
      <c r="M371" s="1322">
        <v>39224</v>
      </c>
      <c r="N371" s="1322">
        <v>39384</v>
      </c>
      <c r="O371" s="1322">
        <v>39749</v>
      </c>
      <c r="P371" s="1322">
        <v>40113</v>
      </c>
      <c r="Q371" s="1322">
        <v>40472</v>
      </c>
      <c r="R371" s="1322">
        <v>40836</v>
      </c>
      <c r="S371" s="1322">
        <v>41204</v>
      </c>
      <c r="T371" s="1322">
        <v>41569</v>
      </c>
      <c r="U371" s="1322">
        <v>41933</v>
      </c>
      <c r="V371" s="1322">
        <v>42299</v>
      </c>
      <c r="W371" s="1322">
        <v>42663</v>
      </c>
      <c r="X371" s="1322">
        <v>42663</v>
      </c>
      <c r="Y371" s="1322">
        <v>42663</v>
      </c>
    </row>
    <row r="372" spans="1:256" x14ac:dyDescent="0.2">
      <c r="A372" s="1328"/>
      <c r="B372" s="1328"/>
      <c r="C372" s="1328"/>
      <c r="D372" s="1328"/>
      <c r="E372" s="1328"/>
      <c r="F372" s="1328"/>
      <c r="G372" s="1328"/>
      <c r="H372" s="1328"/>
      <c r="I372" s="1328"/>
      <c r="J372" s="1328"/>
      <c r="K372" s="1328"/>
      <c r="L372" s="1328"/>
      <c r="M372" s="1328"/>
      <c r="N372" s="1328"/>
      <c r="O372" s="1328"/>
      <c r="P372" s="1328"/>
      <c r="Q372" s="1328"/>
      <c r="R372" s="1328"/>
      <c r="S372" s="1328"/>
      <c r="T372" s="1328"/>
      <c r="U372" s="1328"/>
      <c r="V372" s="1328"/>
      <c r="W372" s="1328"/>
      <c r="X372" s="1328"/>
      <c r="Y372" s="1328"/>
    </row>
    <row r="374" spans="1:256" x14ac:dyDescent="0.2">
      <c r="A374" s="1308" t="s">
        <v>1491</v>
      </c>
      <c r="B374" s="1308"/>
      <c r="C374" s="1308"/>
      <c r="D374" s="1308"/>
      <c r="E374" s="1308"/>
      <c r="F374" s="1308"/>
      <c r="G374" s="1308"/>
      <c r="H374" s="1308"/>
      <c r="I374" s="1308"/>
      <c r="J374" s="1308"/>
      <c r="K374" s="1308"/>
      <c r="L374" s="1308"/>
      <c r="M374" s="1308"/>
      <c r="N374" s="1308"/>
      <c r="O374" s="1308"/>
      <c r="P374" s="1308"/>
      <c r="Q374" s="1308"/>
      <c r="R374" s="1308"/>
      <c r="S374" s="1308"/>
      <c r="T374" s="1308"/>
      <c r="U374" s="1308"/>
      <c r="V374" s="1308"/>
      <c r="W374" s="1308"/>
      <c r="X374" s="1308"/>
      <c r="Y374" s="1308"/>
      <c r="Z374" s="1309"/>
      <c r="AA374" s="1309"/>
      <c r="AB374" s="1309"/>
      <c r="AC374" s="1309"/>
      <c r="AD374" s="1309"/>
      <c r="AE374" s="1309"/>
      <c r="AF374" s="1309"/>
      <c r="AG374" s="1309"/>
      <c r="AH374" s="1309"/>
      <c r="AI374" s="1309"/>
      <c r="AJ374" s="1309"/>
      <c r="AK374" s="1309"/>
      <c r="AL374" s="1309"/>
      <c r="AM374" s="1309"/>
      <c r="AN374" s="1309"/>
      <c r="AO374" s="1309"/>
      <c r="AP374" s="1309"/>
      <c r="AQ374" s="1309"/>
      <c r="AR374" s="1309"/>
      <c r="AS374" s="1309"/>
      <c r="AT374" s="1309"/>
      <c r="AU374" s="1309"/>
      <c r="AV374" s="1309"/>
      <c r="AW374" s="1309"/>
      <c r="AX374" s="1309"/>
      <c r="AY374" s="1309"/>
      <c r="AZ374" s="1309"/>
      <c r="BA374" s="1309"/>
      <c r="BB374" s="1309"/>
      <c r="BC374" s="1309"/>
      <c r="BD374" s="1309"/>
      <c r="BE374" s="1309"/>
      <c r="BF374" s="1309"/>
      <c r="BG374" s="1309"/>
      <c r="BH374" s="1309"/>
      <c r="BI374" s="1309"/>
      <c r="BJ374" s="1309"/>
      <c r="BK374" s="1309"/>
      <c r="BL374" s="1309"/>
      <c r="BM374" s="1309"/>
      <c r="BN374" s="1309"/>
      <c r="BO374" s="1309"/>
      <c r="BP374" s="1309"/>
      <c r="BQ374" s="1309"/>
      <c r="BR374" s="1309"/>
      <c r="BS374" s="1309"/>
      <c r="BT374" s="1309"/>
      <c r="BU374" s="1309"/>
      <c r="BV374" s="1309"/>
      <c r="BW374" s="1309"/>
      <c r="BX374" s="1309"/>
      <c r="BY374" s="1309"/>
      <c r="BZ374" s="1309"/>
      <c r="CA374" s="1309"/>
      <c r="CB374" s="1309"/>
      <c r="CC374" s="1309"/>
      <c r="CD374" s="1309"/>
      <c r="CE374" s="1309"/>
      <c r="CF374" s="1309"/>
      <c r="CG374" s="1309"/>
      <c r="CH374" s="1309"/>
      <c r="CI374" s="1309"/>
      <c r="CJ374" s="1309"/>
      <c r="CK374" s="1309"/>
      <c r="CL374" s="1309"/>
      <c r="CM374" s="1309"/>
      <c r="CN374" s="1309"/>
      <c r="CO374" s="1309"/>
      <c r="CP374" s="1309"/>
      <c r="CQ374" s="1309"/>
      <c r="CR374" s="1309"/>
      <c r="CS374" s="1309"/>
      <c r="CT374" s="1309"/>
      <c r="CU374" s="1309"/>
      <c r="CV374" s="1309"/>
      <c r="CW374" s="1309"/>
      <c r="CX374" s="1309"/>
      <c r="CY374" s="1309"/>
      <c r="CZ374" s="1309"/>
      <c r="DA374" s="1309"/>
      <c r="DB374" s="1309"/>
      <c r="DC374" s="1309"/>
      <c r="DD374" s="1309"/>
      <c r="DE374" s="1309"/>
      <c r="DF374" s="1309"/>
      <c r="DG374" s="1309"/>
      <c r="DH374" s="1309"/>
      <c r="DI374" s="1309"/>
      <c r="DJ374" s="1309"/>
      <c r="DK374" s="1309"/>
      <c r="DL374" s="1309"/>
      <c r="DM374" s="1309"/>
      <c r="DN374" s="1309"/>
      <c r="DO374" s="1309"/>
      <c r="DP374" s="1309"/>
      <c r="DQ374" s="1309"/>
      <c r="DR374" s="1309"/>
      <c r="DS374" s="1309"/>
      <c r="DT374" s="1309"/>
      <c r="DU374" s="1309"/>
      <c r="DV374" s="1309"/>
      <c r="DW374" s="1309"/>
      <c r="DX374" s="1309"/>
      <c r="DY374" s="1309"/>
      <c r="DZ374" s="1309"/>
      <c r="EA374" s="1309"/>
      <c r="EB374" s="1309"/>
      <c r="EC374" s="1309"/>
      <c r="ED374" s="1309"/>
      <c r="EE374" s="1309"/>
      <c r="EF374" s="1309"/>
      <c r="EG374" s="1309"/>
      <c r="EH374" s="1309"/>
      <c r="EI374" s="1309"/>
      <c r="EJ374" s="1309"/>
      <c r="EK374" s="1309"/>
      <c r="EL374" s="1309"/>
      <c r="EM374" s="1309"/>
      <c r="EN374" s="1309"/>
      <c r="EO374" s="1309"/>
      <c r="EP374" s="1309"/>
      <c r="EQ374" s="1309"/>
      <c r="ER374" s="1309"/>
      <c r="ES374" s="1309"/>
      <c r="ET374" s="1309"/>
      <c r="EU374" s="1309"/>
      <c r="EV374" s="1309"/>
      <c r="EW374" s="1309"/>
      <c r="EX374" s="1309"/>
      <c r="EY374" s="1309"/>
      <c r="EZ374" s="1309"/>
      <c r="FA374" s="1309"/>
      <c r="FB374" s="1309"/>
      <c r="FC374" s="1309"/>
      <c r="FD374" s="1309"/>
      <c r="FE374" s="1309"/>
      <c r="FF374" s="1309"/>
      <c r="FG374" s="1309"/>
      <c r="FH374" s="1309"/>
      <c r="FI374" s="1309"/>
      <c r="FJ374" s="1309"/>
      <c r="FK374" s="1309"/>
      <c r="FL374" s="1309"/>
      <c r="FM374" s="1309"/>
      <c r="FN374" s="1309"/>
      <c r="FO374" s="1309"/>
      <c r="FP374" s="1309"/>
      <c r="FQ374" s="1309"/>
      <c r="FR374" s="1309"/>
      <c r="FS374" s="1309"/>
      <c r="FT374" s="1309"/>
      <c r="FU374" s="1309"/>
      <c r="FV374" s="1309"/>
      <c r="FW374" s="1309"/>
      <c r="FX374" s="1309"/>
      <c r="FY374" s="1309"/>
      <c r="FZ374" s="1309"/>
      <c r="GA374" s="1309"/>
      <c r="GB374" s="1309"/>
      <c r="GC374" s="1309"/>
      <c r="GD374" s="1309"/>
      <c r="GE374" s="1309"/>
      <c r="GF374" s="1309"/>
      <c r="GG374" s="1309"/>
      <c r="GH374" s="1309"/>
      <c r="GI374" s="1309"/>
      <c r="GJ374" s="1309"/>
      <c r="GK374" s="1309"/>
      <c r="GL374" s="1309"/>
      <c r="GM374" s="1309"/>
      <c r="GN374" s="1309"/>
      <c r="GO374" s="1309"/>
      <c r="GP374" s="1309"/>
      <c r="GQ374" s="1309"/>
      <c r="GR374" s="1309"/>
      <c r="GS374" s="1309"/>
      <c r="GT374" s="1309"/>
      <c r="GU374" s="1309"/>
      <c r="GV374" s="1309"/>
      <c r="GW374" s="1309"/>
      <c r="GX374" s="1309"/>
      <c r="GY374" s="1309"/>
      <c r="GZ374" s="1309"/>
      <c r="HA374" s="1309"/>
      <c r="HB374" s="1309"/>
      <c r="HC374" s="1309"/>
      <c r="HD374" s="1309"/>
      <c r="HE374" s="1309"/>
      <c r="HF374" s="1309"/>
      <c r="HG374" s="1309"/>
      <c r="HH374" s="1309"/>
      <c r="HI374" s="1309"/>
      <c r="HJ374" s="1309"/>
      <c r="HK374" s="1309"/>
      <c r="HL374" s="1309"/>
      <c r="HM374" s="1309"/>
      <c r="HN374" s="1309"/>
      <c r="HO374" s="1309"/>
      <c r="HP374" s="1309"/>
      <c r="HQ374" s="1309"/>
      <c r="HR374" s="1309"/>
      <c r="HS374" s="1309"/>
      <c r="HT374" s="1309"/>
      <c r="HU374" s="1309"/>
      <c r="HV374" s="1309"/>
      <c r="HW374" s="1309"/>
      <c r="HX374" s="1309"/>
      <c r="HY374" s="1309"/>
      <c r="HZ374" s="1309"/>
      <c r="IA374" s="1309"/>
      <c r="IB374" s="1309"/>
      <c r="IC374" s="1309"/>
      <c r="ID374" s="1309"/>
      <c r="IE374" s="1309"/>
      <c r="IF374" s="1309"/>
      <c r="IG374" s="1309"/>
      <c r="IH374" s="1309"/>
      <c r="II374" s="1309"/>
      <c r="IJ374" s="1309"/>
      <c r="IK374" s="1309"/>
      <c r="IL374" s="1309"/>
      <c r="IM374" s="1309"/>
      <c r="IN374" s="1309"/>
      <c r="IO374" s="1309"/>
      <c r="IP374" s="1309"/>
      <c r="IQ374" s="1309"/>
      <c r="IR374" s="1309"/>
      <c r="IS374" s="1309"/>
      <c r="IT374" s="1309"/>
      <c r="IU374" s="1309"/>
      <c r="IV374" s="1309"/>
    </row>
    <row r="375" spans="1:256" ht="31.5" x14ac:dyDescent="0.25">
      <c r="A375" s="1310" t="s">
        <v>1214</v>
      </c>
      <c r="B375" s="1310"/>
      <c r="C375" s="1310"/>
      <c r="D375" s="1310"/>
      <c r="E375" s="1310"/>
      <c r="F375" s="1310"/>
      <c r="G375" s="1311" t="s">
        <v>1220</v>
      </c>
      <c r="H375" s="1311" t="s">
        <v>1221</v>
      </c>
      <c r="I375" s="1311" t="s">
        <v>1222</v>
      </c>
      <c r="J375" s="1311" t="s">
        <v>1223</v>
      </c>
      <c r="K375" s="1311" t="s">
        <v>1224</v>
      </c>
      <c r="L375" s="1311" t="s">
        <v>1225</v>
      </c>
      <c r="M375" s="1311" t="s">
        <v>1226</v>
      </c>
      <c r="N375" s="1311" t="s">
        <v>1227</v>
      </c>
      <c r="O375" s="1311" t="s">
        <v>1228</v>
      </c>
      <c r="P375" s="1311" t="s">
        <v>1229</v>
      </c>
      <c r="Q375" s="1311" t="s">
        <v>1230</v>
      </c>
      <c r="R375" s="1311" t="s">
        <v>1231</v>
      </c>
      <c r="S375" s="1311" t="s">
        <v>1232</v>
      </c>
      <c r="T375" s="1311" t="s">
        <v>1233</v>
      </c>
      <c r="U375" s="1311" t="s">
        <v>1234</v>
      </c>
      <c r="V375" s="1311" t="s">
        <v>1235</v>
      </c>
      <c r="W375" s="1311" t="s">
        <v>1236</v>
      </c>
      <c r="X375" s="1311" t="s">
        <v>1237</v>
      </c>
      <c r="Y375" s="1311" t="s">
        <v>1238</v>
      </c>
    </row>
    <row r="376" spans="1:256" x14ac:dyDescent="0.2">
      <c r="A376" s="1312" t="s">
        <v>1240</v>
      </c>
      <c r="B376" s="1312"/>
      <c r="C376" s="1312"/>
      <c r="D376" s="1312"/>
      <c r="E376" s="1312"/>
      <c r="F376" s="1312"/>
      <c r="G376" s="1313" t="s">
        <v>10</v>
      </c>
      <c r="H376" s="1313" t="s">
        <v>10</v>
      </c>
      <c r="I376" s="1313" t="s">
        <v>10</v>
      </c>
      <c r="J376" s="1313" t="s">
        <v>10</v>
      </c>
      <c r="K376" s="1313" t="s">
        <v>10</v>
      </c>
      <c r="L376" s="1313" t="s">
        <v>10</v>
      </c>
      <c r="M376" s="1313" t="s">
        <v>10</v>
      </c>
      <c r="N376" s="1313" t="s">
        <v>10</v>
      </c>
      <c r="O376" s="1313" t="s">
        <v>10</v>
      </c>
      <c r="P376" s="1313" t="s">
        <v>10</v>
      </c>
      <c r="Q376" s="1313" t="s">
        <v>10</v>
      </c>
      <c r="R376" s="1313" t="s">
        <v>10</v>
      </c>
      <c r="S376" s="1313" t="s">
        <v>10</v>
      </c>
      <c r="T376" s="1313" t="s">
        <v>10</v>
      </c>
      <c r="U376" s="1313" t="s">
        <v>10</v>
      </c>
      <c r="V376" s="1313" t="s">
        <v>10</v>
      </c>
      <c r="W376" s="1313" t="s">
        <v>10</v>
      </c>
      <c r="X376" s="1313" t="s">
        <v>10</v>
      </c>
      <c r="Y376" s="1313" t="s">
        <v>10</v>
      </c>
    </row>
    <row r="377" spans="1:256" ht="10.5" x14ac:dyDescent="0.2">
      <c r="A377" s="1314" t="s">
        <v>39</v>
      </c>
      <c r="B377" s="1314"/>
      <c r="C377" s="1314"/>
      <c r="D377" s="1314"/>
      <c r="E377" s="1314"/>
      <c r="F377" s="1314"/>
      <c r="G377" s="1305"/>
      <c r="H377" s="1305"/>
      <c r="I377" s="1305"/>
      <c r="J377" s="1305"/>
      <c r="K377" s="1305"/>
      <c r="L377" s="1305"/>
      <c r="M377" s="1305"/>
      <c r="N377" s="1305"/>
      <c r="O377" s="1305"/>
      <c r="P377" s="1305"/>
      <c r="Q377" s="1305"/>
      <c r="R377" s="1305"/>
      <c r="S377" s="1305"/>
      <c r="T377" s="1305"/>
      <c r="U377" s="1305"/>
      <c r="V377" s="1305"/>
      <c r="W377" s="1305"/>
      <c r="X377" s="1305"/>
      <c r="Y377" s="1305"/>
    </row>
    <row r="378" spans="1:256" x14ac:dyDescent="0.2">
      <c r="A378" s="1305" t="s">
        <v>1492</v>
      </c>
      <c r="B378" s="1305"/>
      <c r="C378" s="1305"/>
      <c r="D378" s="1305"/>
      <c r="E378" s="1305"/>
      <c r="F378" s="1305"/>
      <c r="G378" s="1315">
        <v>0</v>
      </c>
      <c r="H378" s="1315">
        <v>0</v>
      </c>
      <c r="I378" s="1315">
        <v>0</v>
      </c>
      <c r="J378" s="1315">
        <v>0</v>
      </c>
      <c r="K378" s="1315">
        <v>0</v>
      </c>
      <c r="L378" s="1315">
        <v>0</v>
      </c>
      <c r="M378" s="1315">
        <v>0</v>
      </c>
      <c r="N378" s="1315">
        <v>0</v>
      </c>
      <c r="O378" s="1315">
        <v>2471.87</v>
      </c>
      <c r="P378" s="1315">
        <v>2718.5250000000001</v>
      </c>
      <c r="Q378" s="1315">
        <v>3114.777</v>
      </c>
      <c r="R378" s="1315">
        <v>3879.6149999999998</v>
      </c>
      <c r="S378" s="1315">
        <v>4617.5330000000004</v>
      </c>
      <c r="T378" s="1315">
        <v>4437.0789999999997</v>
      </c>
      <c r="U378" s="1315">
        <v>3923.6489999999999</v>
      </c>
      <c r="V378" s="1315">
        <v>3338.2429999999999</v>
      </c>
      <c r="W378" s="1315">
        <v>2659.2579999999998</v>
      </c>
      <c r="X378" s="1315">
        <v>2175.058</v>
      </c>
      <c r="Y378" s="1315">
        <v>1668.03</v>
      </c>
    </row>
    <row r="379" spans="1:256" x14ac:dyDescent="0.2">
      <c r="A379" s="1305" t="s">
        <v>1493</v>
      </c>
      <c r="B379" s="1305"/>
      <c r="C379" s="1305"/>
      <c r="D379" s="1305"/>
      <c r="E379" s="1305"/>
      <c r="F379" s="1305"/>
      <c r="G379" s="1315">
        <v>0</v>
      </c>
      <c r="H379" s="1315">
        <v>0</v>
      </c>
      <c r="I379" s="1315">
        <v>0</v>
      </c>
      <c r="J379" s="1315">
        <v>0</v>
      </c>
      <c r="K379" s="1315">
        <v>0</v>
      </c>
      <c r="L379" s="1315">
        <v>0</v>
      </c>
      <c r="M379" s="1315">
        <v>0</v>
      </c>
      <c r="N379" s="1315">
        <v>0</v>
      </c>
      <c r="O379" s="1315">
        <v>0</v>
      </c>
      <c r="P379" s="1315">
        <v>0</v>
      </c>
      <c r="Q379" s="1315">
        <v>0</v>
      </c>
      <c r="R379" s="1315">
        <v>13.061999999999999</v>
      </c>
      <c r="S379" s="1315">
        <v>208.971</v>
      </c>
      <c r="T379" s="1315">
        <v>200.75899999999999</v>
      </c>
      <c r="U379" s="1315">
        <v>198.40799999999999</v>
      </c>
      <c r="V379" s="1315">
        <v>205.66200000000001</v>
      </c>
      <c r="W379" s="1315">
        <v>229.50800000000001</v>
      </c>
      <c r="X379" s="1315">
        <v>230.596</v>
      </c>
      <c r="Y379" s="1315">
        <v>224.46700000000001</v>
      </c>
    </row>
    <row r="380" spans="1:256" x14ac:dyDescent="0.2">
      <c r="A380" s="1305" t="s">
        <v>124</v>
      </c>
      <c r="B380" s="1305"/>
      <c r="C380" s="1305"/>
      <c r="D380" s="1305"/>
      <c r="E380" s="1305"/>
      <c r="F380" s="1305"/>
      <c r="G380" s="1315">
        <v>0</v>
      </c>
      <c r="H380" s="1315">
        <v>0</v>
      </c>
      <c r="I380" s="1315">
        <v>0</v>
      </c>
      <c r="J380" s="1315">
        <v>0</v>
      </c>
      <c r="K380" s="1315">
        <v>0</v>
      </c>
      <c r="L380" s="1315">
        <v>0</v>
      </c>
      <c r="M380" s="1315">
        <v>0</v>
      </c>
      <c r="N380" s="1315">
        <v>0</v>
      </c>
      <c r="O380" s="1315">
        <v>5.56</v>
      </c>
      <c r="P380" s="1315">
        <v>5.01</v>
      </c>
      <c r="Q380" s="1315">
        <v>4.9470000000000001</v>
      </c>
      <c r="R380" s="1315">
        <v>6.3529999999999998</v>
      </c>
      <c r="S380" s="1315">
        <v>26.344000000000001</v>
      </c>
      <c r="T380" s="1315">
        <v>22.486000000000001</v>
      </c>
      <c r="U380" s="1315">
        <v>71.132999999999996</v>
      </c>
      <c r="V380" s="1315">
        <v>69.945999999999998</v>
      </c>
      <c r="W380" s="1315">
        <v>108.099</v>
      </c>
      <c r="X380" s="1315">
        <v>160.62299999999999</v>
      </c>
      <c r="Y380" s="1315">
        <v>209.35300000000001</v>
      </c>
    </row>
    <row r="381" spans="1:256" x14ac:dyDescent="0.2">
      <c r="A381" s="1305" t="s">
        <v>1494</v>
      </c>
      <c r="B381" s="1305"/>
      <c r="C381" s="1305"/>
      <c r="D381" s="1305"/>
      <c r="E381" s="1305"/>
      <c r="F381" s="1305"/>
      <c r="G381" s="1315">
        <v>0</v>
      </c>
      <c r="H381" s="1315">
        <v>0</v>
      </c>
      <c r="I381" s="1315">
        <v>0</v>
      </c>
      <c r="J381" s="1315">
        <v>0</v>
      </c>
      <c r="K381" s="1315">
        <v>0</v>
      </c>
      <c r="L381" s="1315">
        <v>0</v>
      </c>
      <c r="M381" s="1315">
        <v>0</v>
      </c>
      <c r="N381" s="1315">
        <v>0</v>
      </c>
      <c r="O381" s="1315">
        <v>0.10299999999999999</v>
      </c>
      <c r="P381" s="1315">
        <v>0.25800000000000001</v>
      </c>
      <c r="Q381" s="1315">
        <v>13.712</v>
      </c>
      <c r="R381" s="1315">
        <v>54.536000000000001</v>
      </c>
      <c r="S381" s="1315">
        <v>53.765000000000001</v>
      </c>
      <c r="T381" s="1315">
        <v>50.725000000000001</v>
      </c>
      <c r="U381" s="1315">
        <v>0</v>
      </c>
      <c r="V381" s="1315">
        <v>0</v>
      </c>
      <c r="W381" s="1315">
        <v>0</v>
      </c>
      <c r="X381" s="1315">
        <v>0</v>
      </c>
      <c r="Y381" s="1315">
        <v>0</v>
      </c>
    </row>
    <row r="382" spans="1:256" ht="10.5" x14ac:dyDescent="0.2">
      <c r="A382" s="1314" t="s">
        <v>1477</v>
      </c>
      <c r="B382" s="1314"/>
      <c r="C382" s="1314"/>
      <c r="D382" s="1314"/>
      <c r="E382" s="1314"/>
      <c r="F382" s="1314"/>
      <c r="G382" s="1317">
        <v>0</v>
      </c>
      <c r="H382" s="1317">
        <v>0</v>
      </c>
      <c r="I382" s="1317">
        <v>0</v>
      </c>
      <c r="J382" s="1317">
        <v>0</v>
      </c>
      <c r="K382" s="1317">
        <v>0</v>
      </c>
      <c r="L382" s="1317">
        <v>0</v>
      </c>
      <c r="M382" s="1317">
        <v>0</v>
      </c>
      <c r="N382" s="1317">
        <v>0</v>
      </c>
      <c r="O382" s="1317">
        <v>2477.5329999999999</v>
      </c>
      <c r="P382" s="1317">
        <v>2723.7930000000001</v>
      </c>
      <c r="Q382" s="1317">
        <v>3133.4360000000001</v>
      </c>
      <c r="R382" s="1317">
        <v>3953.5659999999998</v>
      </c>
      <c r="S382" s="1317">
        <v>4906.6130000000003</v>
      </c>
      <c r="T382" s="1317">
        <v>4711.049</v>
      </c>
      <c r="U382" s="1317">
        <v>4193.1899999999996</v>
      </c>
      <c r="V382" s="1317">
        <v>3613.8510000000001</v>
      </c>
      <c r="W382" s="1317">
        <v>2996.8649999999998</v>
      </c>
      <c r="X382" s="1317">
        <v>2566.277</v>
      </c>
      <c r="Y382" s="1317">
        <v>2101.85</v>
      </c>
    </row>
    <row r="383" spans="1:256" x14ac:dyDescent="0.2">
      <c r="A383" s="1305"/>
      <c r="B383" s="1305"/>
      <c r="C383" s="1305"/>
      <c r="D383" s="1305"/>
      <c r="E383" s="1305"/>
      <c r="F383" s="1305"/>
      <c r="G383" s="1305"/>
      <c r="H383" s="1305"/>
      <c r="I383" s="1305"/>
      <c r="J383" s="1305"/>
      <c r="K383" s="1305"/>
      <c r="L383" s="1305"/>
      <c r="M383" s="1305"/>
      <c r="N383" s="1305"/>
      <c r="O383" s="1305"/>
      <c r="P383" s="1305"/>
      <c r="Q383" s="1305"/>
      <c r="R383" s="1305"/>
      <c r="S383" s="1305"/>
      <c r="T383" s="1305"/>
      <c r="U383" s="1305"/>
      <c r="V383" s="1305"/>
      <c r="W383" s="1305"/>
      <c r="X383" s="1305"/>
      <c r="Y383" s="1305"/>
    </row>
    <row r="384" spans="1:256" ht="10.5" x14ac:dyDescent="0.2">
      <c r="A384" s="1314" t="s">
        <v>796</v>
      </c>
      <c r="B384" s="1314"/>
      <c r="C384" s="1314"/>
      <c r="D384" s="1314"/>
      <c r="E384" s="1314"/>
      <c r="F384" s="1314"/>
      <c r="G384" s="1305"/>
      <c r="H384" s="1305"/>
      <c r="I384" s="1305"/>
      <c r="J384" s="1305"/>
      <c r="K384" s="1305"/>
      <c r="L384" s="1305"/>
      <c r="M384" s="1305"/>
      <c r="N384" s="1305"/>
      <c r="O384" s="1305"/>
      <c r="P384" s="1305"/>
      <c r="Q384" s="1305"/>
      <c r="R384" s="1305"/>
      <c r="S384" s="1305"/>
      <c r="T384" s="1305"/>
      <c r="U384" s="1305"/>
      <c r="V384" s="1305"/>
      <c r="W384" s="1305"/>
      <c r="X384" s="1305"/>
      <c r="Y384" s="1305"/>
    </row>
    <row r="385" spans="1:25" x14ac:dyDescent="0.2">
      <c r="A385" s="1305" t="s">
        <v>1492</v>
      </c>
      <c r="B385" s="1305"/>
      <c r="C385" s="1305"/>
      <c r="D385" s="1305"/>
      <c r="E385" s="1305"/>
      <c r="F385" s="1305"/>
      <c r="G385" s="1315">
        <v>0</v>
      </c>
      <c r="H385" s="1315">
        <v>0</v>
      </c>
      <c r="I385" s="1315">
        <v>0</v>
      </c>
      <c r="J385" s="1315">
        <v>0</v>
      </c>
      <c r="K385" s="1315">
        <v>0</v>
      </c>
      <c r="L385" s="1315">
        <v>0</v>
      </c>
      <c r="M385" s="1315">
        <v>0</v>
      </c>
      <c r="N385" s="1315">
        <v>0</v>
      </c>
      <c r="O385" s="1315">
        <v>0</v>
      </c>
      <c r="P385" s="1315">
        <v>395.52600000000001</v>
      </c>
      <c r="Q385" s="1315">
        <v>470.09199999999998</v>
      </c>
      <c r="R385" s="1315">
        <v>496.49299999999999</v>
      </c>
      <c r="S385" s="1315">
        <v>547.71500000000003</v>
      </c>
      <c r="T385" s="1315">
        <v>471.70299999999997</v>
      </c>
      <c r="U385" s="1315">
        <v>580.45699999999999</v>
      </c>
      <c r="V385" s="1315">
        <v>472.81099999999998</v>
      </c>
      <c r="W385" s="1315">
        <v>309.81200000000001</v>
      </c>
      <c r="X385" s="1315">
        <v>257.99200000000002</v>
      </c>
      <c r="Y385" s="1315">
        <v>220.536</v>
      </c>
    </row>
    <row r="386" spans="1:25" x14ac:dyDescent="0.2">
      <c r="A386" s="1305" t="s">
        <v>1493</v>
      </c>
      <c r="B386" s="1305"/>
      <c r="C386" s="1305"/>
      <c r="D386" s="1305"/>
      <c r="E386" s="1305"/>
      <c r="F386" s="1305"/>
      <c r="G386" s="1315">
        <v>0</v>
      </c>
      <c r="H386" s="1315">
        <v>0</v>
      </c>
      <c r="I386" s="1315">
        <v>0</v>
      </c>
      <c r="J386" s="1315">
        <v>0</v>
      </c>
      <c r="K386" s="1315">
        <v>0</v>
      </c>
      <c r="L386" s="1315">
        <v>0</v>
      </c>
      <c r="M386" s="1315">
        <v>0</v>
      </c>
      <c r="N386" s="1315">
        <v>0</v>
      </c>
      <c r="O386" s="1315">
        <v>0</v>
      </c>
      <c r="P386" s="1315">
        <v>0</v>
      </c>
      <c r="Q386" s="1315">
        <v>0</v>
      </c>
      <c r="R386" s="1315">
        <v>698.27300000000002</v>
      </c>
      <c r="S386" s="1315">
        <v>430.47500000000002</v>
      </c>
      <c r="T386" s="1315">
        <v>214.07300000000001</v>
      </c>
      <c r="U386" s="1315">
        <v>174.22900000000001</v>
      </c>
      <c r="V386" s="1315">
        <v>169.37100000000001</v>
      </c>
      <c r="W386" s="1315">
        <v>81.578999999999994</v>
      </c>
      <c r="X386" s="1315">
        <v>73.801000000000002</v>
      </c>
      <c r="Y386" s="1315">
        <v>58.953000000000003</v>
      </c>
    </row>
    <row r="387" spans="1:25" x14ac:dyDescent="0.2">
      <c r="A387" s="1305" t="s">
        <v>124</v>
      </c>
      <c r="B387" s="1305"/>
      <c r="C387" s="1305"/>
      <c r="D387" s="1305"/>
      <c r="E387" s="1305"/>
      <c r="F387" s="1305"/>
      <c r="G387" s="1315">
        <v>0</v>
      </c>
      <c r="H387" s="1315">
        <v>0</v>
      </c>
      <c r="I387" s="1315">
        <v>0</v>
      </c>
      <c r="J387" s="1315">
        <v>0</v>
      </c>
      <c r="K387" s="1315">
        <v>0</v>
      </c>
      <c r="L387" s="1315">
        <v>0</v>
      </c>
      <c r="M387" s="1315">
        <v>0</v>
      </c>
      <c r="N387" s="1315">
        <v>0</v>
      </c>
      <c r="O387" s="1315">
        <v>0</v>
      </c>
      <c r="P387" s="1315">
        <v>0.30199999999999999</v>
      </c>
      <c r="Q387" s="1315">
        <v>0.86</v>
      </c>
      <c r="R387" s="1315">
        <v>2.633</v>
      </c>
      <c r="S387" s="1315">
        <v>32.228999999999999</v>
      </c>
      <c r="T387" s="1315">
        <v>35.561999999999998</v>
      </c>
      <c r="U387" s="1315">
        <v>69.322000000000003</v>
      </c>
      <c r="V387" s="1315">
        <v>66.244</v>
      </c>
      <c r="W387" s="1315">
        <v>41.079000000000001</v>
      </c>
      <c r="X387" s="1315">
        <v>32.777000000000001</v>
      </c>
      <c r="Y387" s="1315">
        <v>32.289000000000001</v>
      </c>
    </row>
    <row r="388" spans="1:25" x14ac:dyDescent="0.2">
      <c r="A388" s="1305" t="s">
        <v>1495</v>
      </c>
      <c r="B388" s="1305"/>
      <c r="C388" s="1305"/>
      <c r="D388" s="1305"/>
      <c r="E388" s="1305"/>
      <c r="F388" s="1305"/>
      <c r="G388" s="1315">
        <v>0</v>
      </c>
      <c r="H388" s="1315">
        <v>0</v>
      </c>
      <c r="I388" s="1315">
        <v>0</v>
      </c>
      <c r="J388" s="1315">
        <v>0</v>
      </c>
      <c r="K388" s="1315">
        <v>0</v>
      </c>
      <c r="L388" s="1315">
        <v>0</v>
      </c>
      <c r="M388" s="1315">
        <v>0</v>
      </c>
      <c r="N388" s="1315">
        <v>0</v>
      </c>
      <c r="O388" s="1315">
        <v>0</v>
      </c>
      <c r="P388" s="1315">
        <v>0</v>
      </c>
      <c r="Q388" s="1315">
        <v>0</v>
      </c>
      <c r="R388" s="1315">
        <v>0</v>
      </c>
      <c r="S388" s="1315">
        <v>0</v>
      </c>
      <c r="T388" s="1315">
        <v>0</v>
      </c>
      <c r="U388" s="1315">
        <v>0</v>
      </c>
      <c r="V388" s="1315">
        <v>0</v>
      </c>
      <c r="W388" s="1315">
        <v>0</v>
      </c>
      <c r="X388" s="1315">
        <v>0</v>
      </c>
      <c r="Y388" s="1315">
        <v>14.776999999999999</v>
      </c>
    </row>
    <row r="389" spans="1:25" x14ac:dyDescent="0.2">
      <c r="A389" s="1305" t="s">
        <v>1496</v>
      </c>
      <c r="B389" s="1305"/>
      <c r="C389" s="1305"/>
      <c r="D389" s="1305"/>
      <c r="E389" s="1305"/>
      <c r="F389" s="1305"/>
      <c r="G389" s="1315">
        <v>0</v>
      </c>
      <c r="H389" s="1315">
        <v>0</v>
      </c>
      <c r="I389" s="1315">
        <v>0</v>
      </c>
      <c r="J389" s="1315">
        <v>0</v>
      </c>
      <c r="K389" s="1315">
        <v>0</v>
      </c>
      <c r="L389" s="1315">
        <v>0</v>
      </c>
      <c r="M389" s="1315">
        <v>0</v>
      </c>
      <c r="N389" s="1315">
        <v>0</v>
      </c>
      <c r="O389" s="1315">
        <v>0</v>
      </c>
      <c r="P389" s="1315">
        <v>0</v>
      </c>
      <c r="Q389" s="1315">
        <v>0</v>
      </c>
      <c r="R389" s="1315">
        <v>0</v>
      </c>
      <c r="S389" s="1315">
        <v>0</v>
      </c>
      <c r="T389" s="1315">
        <v>0</v>
      </c>
      <c r="U389" s="1315">
        <v>0</v>
      </c>
      <c r="V389" s="1315">
        <v>0</v>
      </c>
      <c r="W389" s="1315">
        <v>3.2629999999999999</v>
      </c>
      <c r="X389" s="1315">
        <v>5.7110000000000003</v>
      </c>
      <c r="Y389" s="1315">
        <v>6.1470000000000002</v>
      </c>
    </row>
    <row r="390" spans="1:25" x14ac:dyDescent="0.2">
      <c r="A390" s="1305" t="s">
        <v>1494</v>
      </c>
      <c r="B390" s="1305"/>
      <c r="C390" s="1305"/>
      <c r="D390" s="1305"/>
      <c r="E390" s="1305"/>
      <c r="F390" s="1305"/>
      <c r="G390" s="1315">
        <v>0</v>
      </c>
      <c r="H390" s="1315">
        <v>0</v>
      </c>
      <c r="I390" s="1315">
        <v>0</v>
      </c>
      <c r="J390" s="1315">
        <v>0</v>
      </c>
      <c r="K390" s="1315">
        <v>0</v>
      </c>
      <c r="L390" s="1315">
        <v>0</v>
      </c>
      <c r="M390" s="1315">
        <v>0</v>
      </c>
      <c r="N390" s="1315">
        <v>0</v>
      </c>
      <c r="O390" s="1315">
        <v>0</v>
      </c>
      <c r="P390" s="1315">
        <v>0.22600000000000001</v>
      </c>
      <c r="Q390" s="1315">
        <v>77.247</v>
      </c>
      <c r="R390" s="1315">
        <v>86.137</v>
      </c>
      <c r="S390" s="1315">
        <v>81.87</v>
      </c>
      <c r="T390" s="1315">
        <v>86.102999999999994</v>
      </c>
      <c r="U390" s="1315">
        <v>0</v>
      </c>
      <c r="V390" s="1315">
        <v>0</v>
      </c>
      <c r="W390" s="1315">
        <v>0</v>
      </c>
      <c r="X390" s="1315">
        <v>0</v>
      </c>
      <c r="Y390" s="1315">
        <v>0</v>
      </c>
    </row>
    <row r="391" spans="1:25" ht="10.5" x14ac:dyDescent="0.2">
      <c r="A391" s="1314" t="s">
        <v>1487</v>
      </c>
      <c r="B391" s="1314"/>
      <c r="C391" s="1314"/>
      <c r="D391" s="1314"/>
      <c r="E391" s="1314"/>
      <c r="F391" s="1314"/>
      <c r="G391" s="1317">
        <v>0</v>
      </c>
      <c r="H391" s="1317">
        <v>0</v>
      </c>
      <c r="I391" s="1317">
        <v>0</v>
      </c>
      <c r="J391" s="1317">
        <v>0</v>
      </c>
      <c r="K391" s="1317">
        <v>0</v>
      </c>
      <c r="L391" s="1317">
        <v>0</v>
      </c>
      <c r="M391" s="1317">
        <v>0</v>
      </c>
      <c r="N391" s="1317">
        <v>0</v>
      </c>
      <c r="O391" s="1317">
        <v>0</v>
      </c>
      <c r="P391" s="1317">
        <v>396.05399999999997</v>
      </c>
      <c r="Q391" s="1317">
        <v>548.19899999999996</v>
      </c>
      <c r="R391" s="1317">
        <v>1283.5360000000001</v>
      </c>
      <c r="S391" s="1317">
        <v>1092.289</v>
      </c>
      <c r="T391" s="1317">
        <v>807.44100000000003</v>
      </c>
      <c r="U391" s="1317">
        <v>824.00800000000004</v>
      </c>
      <c r="V391" s="1317">
        <v>708.42600000000004</v>
      </c>
      <c r="W391" s="1317">
        <v>435.733</v>
      </c>
      <c r="X391" s="1317">
        <v>370.28100000000001</v>
      </c>
      <c r="Y391" s="1317">
        <v>332.702</v>
      </c>
    </row>
    <row r="392" spans="1:25" x14ac:dyDescent="0.2">
      <c r="A392" s="1305"/>
      <c r="B392" s="1305"/>
      <c r="C392" s="1305"/>
      <c r="D392" s="1305"/>
      <c r="E392" s="1305"/>
      <c r="F392" s="1305"/>
      <c r="G392" s="1305"/>
      <c r="H392" s="1305"/>
      <c r="I392" s="1305"/>
      <c r="J392" s="1305"/>
      <c r="K392" s="1305"/>
      <c r="L392" s="1305"/>
      <c r="M392" s="1305"/>
      <c r="N392" s="1305"/>
      <c r="O392" s="1305"/>
      <c r="P392" s="1305"/>
      <c r="Q392" s="1305"/>
      <c r="R392" s="1305"/>
      <c r="S392" s="1305"/>
      <c r="T392" s="1305"/>
      <c r="U392" s="1305"/>
      <c r="V392" s="1305"/>
      <c r="W392" s="1305"/>
      <c r="X392" s="1305"/>
      <c r="Y392" s="1305"/>
    </row>
    <row r="393" spans="1:25" x14ac:dyDescent="0.2">
      <c r="A393" s="1305"/>
      <c r="B393" s="1305"/>
      <c r="C393" s="1305"/>
      <c r="D393" s="1305"/>
      <c r="E393" s="1305"/>
      <c r="F393" s="1305"/>
      <c r="G393" s="1305" t="s">
        <v>1241</v>
      </c>
      <c r="H393" s="1305" t="s">
        <v>1241</v>
      </c>
      <c r="I393" s="1305" t="s">
        <v>1241</v>
      </c>
      <c r="J393" s="1305" t="s">
        <v>1241</v>
      </c>
      <c r="K393" s="1305" t="s">
        <v>1241</v>
      </c>
      <c r="L393" s="1305" t="s">
        <v>1241</v>
      </c>
      <c r="M393" s="1305" t="s">
        <v>1241</v>
      </c>
      <c r="N393" s="1305" t="s">
        <v>1241</v>
      </c>
      <c r="O393" s="1305" t="s">
        <v>1241</v>
      </c>
      <c r="P393" s="1305" t="s">
        <v>1241</v>
      </c>
      <c r="Q393" s="1305" t="s">
        <v>1241</v>
      </c>
      <c r="R393" s="1305" t="s">
        <v>1241</v>
      </c>
      <c r="S393" s="1305" t="s">
        <v>1241</v>
      </c>
      <c r="T393" s="1305" t="s">
        <v>1241</v>
      </c>
      <c r="U393" s="1305" t="s">
        <v>1241</v>
      </c>
      <c r="V393" s="1305" t="s">
        <v>1241</v>
      </c>
      <c r="W393" s="1305" t="s">
        <v>1241</v>
      </c>
      <c r="X393" s="1305" t="s">
        <v>1241</v>
      </c>
      <c r="Y393" s="1305" t="s">
        <v>1241</v>
      </c>
    </row>
    <row r="394" spans="1:25" x14ac:dyDescent="0.2">
      <c r="A394" s="1305" t="s">
        <v>1301</v>
      </c>
      <c r="B394" s="1305"/>
      <c r="C394" s="1305"/>
      <c r="D394" s="1305"/>
      <c r="E394" s="1305"/>
      <c r="F394" s="1305"/>
      <c r="G394" s="1322">
        <v>36854</v>
      </c>
      <c r="H394" s="1322">
        <v>37223</v>
      </c>
      <c r="I394" s="1322">
        <v>37587</v>
      </c>
      <c r="J394" s="1322">
        <v>37951</v>
      </c>
      <c r="K394" s="1322">
        <v>38306</v>
      </c>
      <c r="L394" s="1322">
        <v>38670</v>
      </c>
      <c r="M394" s="1322">
        <v>39224</v>
      </c>
      <c r="N394" s="1322">
        <v>39384</v>
      </c>
      <c r="O394" s="1322">
        <v>39749</v>
      </c>
      <c r="P394" s="1322">
        <v>40113</v>
      </c>
      <c r="Q394" s="1322">
        <v>40472</v>
      </c>
      <c r="R394" s="1322">
        <v>40836</v>
      </c>
      <c r="S394" s="1322">
        <v>41204</v>
      </c>
      <c r="T394" s="1322">
        <v>41569</v>
      </c>
      <c r="U394" s="1322">
        <v>41933</v>
      </c>
      <c r="V394" s="1322">
        <v>42299</v>
      </c>
      <c r="W394" s="1322">
        <v>42663</v>
      </c>
      <c r="X394" s="1322">
        <v>42663</v>
      </c>
      <c r="Y394" s="1322">
        <v>42663</v>
      </c>
    </row>
    <row r="395" spans="1:25" x14ac:dyDescent="0.2">
      <c r="A395" s="1328"/>
      <c r="B395" s="1328"/>
      <c r="C395" s="1328"/>
      <c r="D395" s="1328"/>
      <c r="E395" s="1328"/>
      <c r="F395" s="1328"/>
      <c r="G395" s="1328"/>
      <c r="H395" s="1328"/>
      <c r="I395" s="1328"/>
      <c r="J395" s="1328"/>
      <c r="K395" s="1328"/>
      <c r="L395" s="1328"/>
      <c r="M395" s="1328"/>
      <c r="N395" s="1328"/>
      <c r="O395" s="1328"/>
      <c r="P395" s="1328"/>
      <c r="Q395" s="1328"/>
      <c r="R395" s="1328"/>
      <c r="S395" s="1328"/>
      <c r="T395" s="1328"/>
      <c r="U395" s="1328"/>
      <c r="V395" s="1328"/>
      <c r="W395" s="1328"/>
      <c r="X395" s="1328"/>
      <c r="Y395" s="1328"/>
    </row>
    <row r="396" spans="1:25" x14ac:dyDescent="0.2">
      <c r="A396" s="1329" t="s">
        <v>1497</v>
      </c>
      <c r="B396" s="1329"/>
      <c r="C396" s="1329"/>
      <c r="D396" s="1329"/>
      <c r="E396" s="1329"/>
      <c r="F396" s="1329"/>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1A54-2E57-4733-B277-1B53D4226067}">
  <dimension ref="A1:AI322"/>
  <sheetViews>
    <sheetView topLeftCell="A214" workbookViewId="0">
      <selection activeCell="L244" sqref="L244"/>
    </sheetView>
  </sheetViews>
  <sheetFormatPr defaultRowHeight="14.5" x14ac:dyDescent="0.35"/>
  <sheetData>
    <row r="1" spans="1:35" x14ac:dyDescent="0.35">
      <c r="A1" t="s">
        <v>379</v>
      </c>
      <c r="B1" t="s">
        <v>490</v>
      </c>
    </row>
    <row r="2" spans="1:35" x14ac:dyDescent="0.35">
      <c r="B2" t="s">
        <v>381</v>
      </c>
      <c r="H2" t="s">
        <v>650</v>
      </c>
    </row>
    <row r="5" spans="1:35" x14ac:dyDescent="0.35">
      <c r="A5" t="s">
        <v>651</v>
      </c>
      <c r="S5">
        <v>45583</v>
      </c>
    </row>
    <row r="6" spans="1:35" x14ac:dyDescent="0.35">
      <c r="A6" t="s">
        <v>1049</v>
      </c>
    </row>
    <row r="7" spans="1:35" x14ac:dyDescent="0.35">
      <c r="AB7" t="s">
        <v>758</v>
      </c>
      <c r="AC7" t="s">
        <v>757</v>
      </c>
      <c r="AD7" t="s">
        <v>759</v>
      </c>
      <c r="AE7" t="s">
        <v>760</v>
      </c>
      <c r="AF7" t="s">
        <v>967</v>
      </c>
      <c r="AG7" t="s">
        <v>968</v>
      </c>
      <c r="AH7" t="s">
        <v>969</v>
      </c>
      <c r="AI7" t="s">
        <v>970</v>
      </c>
    </row>
    <row r="8" spans="1:35" x14ac:dyDescent="0.35">
      <c r="K8" t="s">
        <v>279</v>
      </c>
      <c r="O8" t="s">
        <v>280</v>
      </c>
      <c r="R8" t="s">
        <v>281</v>
      </c>
    </row>
    <row r="9" spans="1:35" x14ac:dyDescent="0.35">
      <c r="B9" t="s">
        <v>283</v>
      </c>
      <c r="D9" t="s">
        <v>1050</v>
      </c>
      <c r="E9" t="s">
        <v>285</v>
      </c>
      <c r="F9" t="s">
        <v>1051</v>
      </c>
      <c r="G9" t="s">
        <v>1052</v>
      </c>
      <c r="H9" t="s">
        <v>1053</v>
      </c>
      <c r="K9" t="s">
        <v>255</v>
      </c>
      <c r="L9" t="s">
        <v>254</v>
      </c>
      <c r="M9" t="s">
        <v>287</v>
      </c>
      <c r="O9" t="s">
        <v>283</v>
      </c>
      <c r="P9" t="s">
        <v>1054</v>
      </c>
      <c r="R9" t="s">
        <v>289</v>
      </c>
      <c r="S9" t="s">
        <v>290</v>
      </c>
      <c r="U9" t="s">
        <v>292</v>
      </c>
    </row>
    <row r="10" spans="1:35" x14ac:dyDescent="0.35">
      <c r="A10">
        <v>310</v>
      </c>
      <c r="B10" t="s">
        <v>1085</v>
      </c>
      <c r="D10" t="s">
        <v>61</v>
      </c>
      <c r="E10" t="s">
        <v>293</v>
      </c>
      <c r="F10">
        <v>45510</v>
      </c>
      <c r="H10" t="s">
        <v>1055</v>
      </c>
      <c r="K10">
        <v>2700</v>
      </c>
      <c r="L10">
        <v>3300</v>
      </c>
      <c r="M10">
        <v>3000</v>
      </c>
      <c r="O10" t="s">
        <v>1086</v>
      </c>
      <c r="P10">
        <v>2989.9420231903759</v>
      </c>
      <c r="R10">
        <v>-10.057976809624051</v>
      </c>
      <c r="S10">
        <v>-3.3526589365413507E-3</v>
      </c>
      <c r="U10" t="s">
        <v>487</v>
      </c>
    </row>
    <row r="11" spans="1:35" x14ac:dyDescent="0.35">
      <c r="A11">
        <v>309</v>
      </c>
      <c r="B11" t="s">
        <v>1085</v>
      </c>
      <c r="D11" t="s">
        <v>504</v>
      </c>
      <c r="E11" t="s">
        <v>483</v>
      </c>
      <c r="F11">
        <v>45510</v>
      </c>
      <c r="H11" t="s">
        <v>1055</v>
      </c>
      <c r="K11">
        <v>415</v>
      </c>
      <c r="L11">
        <v>585</v>
      </c>
      <c r="M11">
        <v>500</v>
      </c>
      <c r="O11" t="s">
        <v>1086</v>
      </c>
      <c r="P11">
        <v>483.52147740898522</v>
      </c>
      <c r="R11">
        <v>-16.47852259101478</v>
      </c>
      <c r="S11">
        <v>-3.2957045182029562E-2</v>
      </c>
      <c r="U11" t="s">
        <v>487</v>
      </c>
    </row>
    <row r="12" spans="1:35" x14ac:dyDescent="0.35">
      <c r="A12">
        <v>308</v>
      </c>
      <c r="B12" t="s">
        <v>1085</v>
      </c>
      <c r="D12" t="s">
        <v>86</v>
      </c>
      <c r="E12" t="s">
        <v>1056</v>
      </c>
      <c r="F12">
        <v>45510</v>
      </c>
      <c r="H12" t="s">
        <v>1055</v>
      </c>
      <c r="K12">
        <v>6.15</v>
      </c>
      <c r="L12">
        <v>8.35</v>
      </c>
      <c r="M12">
        <v>7.25</v>
      </c>
      <c r="O12" t="s">
        <v>1086</v>
      </c>
      <c r="P12">
        <v>7.4591552880603311</v>
      </c>
      <c r="R12">
        <v>0.20915528806033112</v>
      </c>
      <c r="S12">
        <v>2.8849005249700844E-2</v>
      </c>
      <c r="U12" t="s">
        <v>487</v>
      </c>
    </row>
    <row r="13" spans="1:35" x14ac:dyDescent="0.35">
      <c r="A13">
        <v>307</v>
      </c>
    </row>
    <row r="14" spans="1:35" x14ac:dyDescent="0.35">
      <c r="A14">
        <v>306</v>
      </c>
      <c r="B14" t="s">
        <v>1085</v>
      </c>
      <c r="D14" t="s">
        <v>61</v>
      </c>
      <c r="E14" t="s">
        <v>293</v>
      </c>
      <c r="F14">
        <v>45405</v>
      </c>
      <c r="H14" t="s">
        <v>1055</v>
      </c>
      <c r="K14">
        <v>2700</v>
      </c>
      <c r="L14">
        <v>3300</v>
      </c>
      <c r="M14">
        <v>3000</v>
      </c>
      <c r="O14" t="s">
        <v>1086</v>
      </c>
      <c r="P14">
        <v>2989.9420231903759</v>
      </c>
      <c r="R14">
        <v>-10.057976809624051</v>
      </c>
      <c r="S14">
        <v>-3.3526589365413507E-3</v>
      </c>
      <c r="U14" t="s">
        <v>487</v>
      </c>
    </row>
    <row r="15" spans="1:35" x14ac:dyDescent="0.35">
      <c r="A15">
        <v>305</v>
      </c>
      <c r="B15" t="s">
        <v>1085</v>
      </c>
      <c r="D15" t="s">
        <v>504</v>
      </c>
      <c r="E15" t="s">
        <v>483</v>
      </c>
      <c r="F15">
        <v>45405</v>
      </c>
      <c r="H15" t="s">
        <v>1055</v>
      </c>
      <c r="K15">
        <v>415</v>
      </c>
      <c r="L15">
        <v>585</v>
      </c>
      <c r="M15">
        <v>500</v>
      </c>
      <c r="O15" t="s">
        <v>1086</v>
      </c>
      <c r="P15">
        <v>483.52147740898522</v>
      </c>
      <c r="R15">
        <v>-16.47852259101478</v>
      </c>
      <c r="S15">
        <v>-3.2957045182029562E-2</v>
      </c>
      <c r="U15" t="s">
        <v>487</v>
      </c>
    </row>
    <row r="16" spans="1:35" x14ac:dyDescent="0.35">
      <c r="A16">
        <v>304</v>
      </c>
      <c r="B16" t="s">
        <v>1085</v>
      </c>
      <c r="D16" t="s">
        <v>86</v>
      </c>
      <c r="E16" t="s">
        <v>1056</v>
      </c>
      <c r="F16">
        <v>45405</v>
      </c>
      <c r="H16" t="s">
        <v>1055</v>
      </c>
      <c r="K16">
        <v>6.15</v>
      </c>
      <c r="L16">
        <v>8.35</v>
      </c>
      <c r="M16">
        <v>7.25</v>
      </c>
      <c r="O16" t="s">
        <v>1086</v>
      </c>
      <c r="P16">
        <v>7.4591552880603311</v>
      </c>
      <c r="R16">
        <v>0.20915528806033112</v>
      </c>
      <c r="S16">
        <v>2.8849005249700844E-2</v>
      </c>
      <c r="U16" t="s">
        <v>487</v>
      </c>
    </row>
    <row r="17" spans="1:21" x14ac:dyDescent="0.35">
      <c r="A17">
        <v>303</v>
      </c>
    </row>
    <row r="18" spans="1:21" x14ac:dyDescent="0.35">
      <c r="A18">
        <v>302</v>
      </c>
      <c r="B18" t="s">
        <v>1087</v>
      </c>
      <c r="D18" t="s">
        <v>61</v>
      </c>
      <c r="E18" t="s">
        <v>293</v>
      </c>
      <c r="F18">
        <v>45405</v>
      </c>
      <c r="G18" t="s">
        <v>1057</v>
      </c>
      <c r="H18" t="s">
        <v>650</v>
      </c>
      <c r="K18">
        <v>2025</v>
      </c>
      <c r="L18">
        <v>2040</v>
      </c>
      <c r="M18">
        <v>2032.5</v>
      </c>
      <c r="O18" t="s">
        <v>1054</v>
      </c>
      <c r="P18">
        <v>2040.069</v>
      </c>
      <c r="R18">
        <v>7.56899999999996</v>
      </c>
      <c r="S18">
        <v>3.7239852398523788E-3</v>
      </c>
      <c r="U18" t="s">
        <v>295</v>
      </c>
    </row>
    <row r="19" spans="1:21" x14ac:dyDescent="0.35">
      <c r="A19">
        <v>301</v>
      </c>
      <c r="B19" t="s">
        <v>1087</v>
      </c>
      <c r="D19" t="s">
        <v>94</v>
      </c>
      <c r="E19" t="s">
        <v>296</v>
      </c>
      <c r="F19">
        <v>45405</v>
      </c>
      <c r="G19" t="s">
        <v>1057</v>
      </c>
      <c r="H19" t="s">
        <v>650</v>
      </c>
      <c r="K19">
        <v>-65</v>
      </c>
      <c r="L19">
        <v>-60</v>
      </c>
      <c r="M19">
        <v>-62.5</v>
      </c>
      <c r="O19" t="s">
        <v>1054</v>
      </c>
      <c r="P19">
        <v>-61.588999999999999</v>
      </c>
      <c r="R19">
        <v>0.91100000000000136</v>
      </c>
      <c r="S19">
        <v>1.4576000000000021E-2</v>
      </c>
      <c r="U19" t="s">
        <v>295</v>
      </c>
    </row>
    <row r="20" spans="1:21" x14ac:dyDescent="0.35">
      <c r="A20">
        <v>300</v>
      </c>
      <c r="B20" t="s">
        <v>1087</v>
      </c>
      <c r="D20" t="s">
        <v>391</v>
      </c>
      <c r="F20">
        <v>45405</v>
      </c>
      <c r="G20" t="s">
        <v>1057</v>
      </c>
      <c r="H20" t="s">
        <v>650</v>
      </c>
      <c r="K20">
        <v>0.24</v>
      </c>
      <c r="L20">
        <v>0.26</v>
      </c>
      <c r="M20">
        <v>0.25</v>
      </c>
      <c r="O20" t="s">
        <v>1054</v>
      </c>
      <c r="P20">
        <v>0.24088491079166788</v>
      </c>
      <c r="R20">
        <v>-9.1150892083321222E-3</v>
      </c>
      <c r="S20">
        <v>-3.6460356833328489E-2</v>
      </c>
      <c r="U20" t="s">
        <v>295</v>
      </c>
    </row>
    <row r="21" spans="1:21" x14ac:dyDescent="0.35">
      <c r="A21">
        <v>299</v>
      </c>
      <c r="B21" t="s">
        <v>1087</v>
      </c>
      <c r="D21" t="s">
        <v>67</v>
      </c>
      <c r="E21" t="s">
        <v>298</v>
      </c>
      <c r="F21">
        <v>45405</v>
      </c>
      <c r="G21" t="s">
        <v>1057</v>
      </c>
      <c r="H21" t="s">
        <v>650</v>
      </c>
      <c r="K21">
        <v>240.5</v>
      </c>
      <c r="L21">
        <v>247</v>
      </c>
      <c r="M21">
        <v>243.75</v>
      </c>
      <c r="O21" t="s">
        <v>1054</v>
      </c>
      <c r="P21">
        <v>249.60000000000002</v>
      </c>
      <c r="R21">
        <v>5.8500000000000227</v>
      </c>
      <c r="S21">
        <v>2.4000000000000094E-2</v>
      </c>
      <c r="U21" t="s">
        <v>295</v>
      </c>
    </row>
    <row r="22" spans="1:21" x14ac:dyDescent="0.35">
      <c r="A22">
        <v>298</v>
      </c>
      <c r="B22" t="s">
        <v>1087</v>
      </c>
      <c r="D22" t="s">
        <v>66</v>
      </c>
      <c r="E22" t="s">
        <v>415</v>
      </c>
      <c r="F22">
        <v>45405</v>
      </c>
      <c r="G22" t="s">
        <v>1057</v>
      </c>
      <c r="H22" t="s">
        <v>650</v>
      </c>
      <c r="K22">
        <v>28</v>
      </c>
      <c r="L22">
        <v>31</v>
      </c>
      <c r="M22">
        <v>29.5</v>
      </c>
      <c r="O22" t="s">
        <v>1054</v>
      </c>
      <c r="P22">
        <v>31.462</v>
      </c>
      <c r="R22">
        <v>1.9619999999999997</v>
      </c>
      <c r="S22">
        <v>6.6508474576271182E-2</v>
      </c>
      <c r="U22" t="s">
        <v>295</v>
      </c>
    </row>
    <row r="23" spans="1:21" x14ac:dyDescent="0.35">
      <c r="A23">
        <v>297</v>
      </c>
      <c r="B23" t="s">
        <v>1087</v>
      </c>
      <c r="D23" t="s">
        <v>533</v>
      </c>
      <c r="E23" t="s">
        <v>543</v>
      </c>
      <c r="F23">
        <v>45405</v>
      </c>
      <c r="G23" t="s">
        <v>1057</v>
      </c>
      <c r="H23" t="s">
        <v>650</v>
      </c>
      <c r="K23">
        <v>11.5</v>
      </c>
      <c r="L23">
        <v>12</v>
      </c>
      <c r="M23">
        <v>11.75</v>
      </c>
      <c r="O23" t="s">
        <v>1054</v>
      </c>
      <c r="P23">
        <v>0</v>
      </c>
      <c r="R23">
        <v>-11.75</v>
      </c>
      <c r="S23">
        <v>-1</v>
      </c>
      <c r="U23" t="s">
        <v>295</v>
      </c>
    </row>
    <row r="24" spans="1:21" x14ac:dyDescent="0.35">
      <c r="A24">
        <v>296</v>
      </c>
      <c r="B24" t="s">
        <v>1087</v>
      </c>
      <c r="D24" t="s">
        <v>504</v>
      </c>
      <c r="E24" t="s">
        <v>483</v>
      </c>
      <c r="F24">
        <v>45405</v>
      </c>
      <c r="G24" t="s">
        <v>1057</v>
      </c>
      <c r="H24" t="s">
        <v>650</v>
      </c>
      <c r="K24">
        <v>280</v>
      </c>
      <c r="L24">
        <v>290</v>
      </c>
      <c r="M24">
        <v>285</v>
      </c>
      <c r="O24" t="s">
        <v>1054</v>
      </c>
      <c r="P24">
        <v>293.94</v>
      </c>
      <c r="R24">
        <v>8.9399999999999977</v>
      </c>
      <c r="S24">
        <v>3.1368421052631573E-2</v>
      </c>
      <c r="U24" t="s">
        <v>295</v>
      </c>
    </row>
    <row r="25" spans="1:21" x14ac:dyDescent="0.35">
      <c r="A25">
        <v>295</v>
      </c>
    </row>
    <row r="26" spans="1:21" x14ac:dyDescent="0.35">
      <c r="A26">
        <v>294</v>
      </c>
      <c r="B26" t="s">
        <v>1087</v>
      </c>
      <c r="D26" t="s">
        <v>61</v>
      </c>
      <c r="E26" t="s">
        <v>293</v>
      </c>
      <c r="F26">
        <v>45314</v>
      </c>
      <c r="G26" t="s">
        <v>1058</v>
      </c>
      <c r="H26" t="s">
        <v>650</v>
      </c>
      <c r="K26">
        <v>1990</v>
      </c>
      <c r="L26">
        <v>2040</v>
      </c>
      <c r="M26">
        <v>2015</v>
      </c>
      <c r="O26" t="s">
        <v>1054</v>
      </c>
      <c r="P26">
        <v>2040.069</v>
      </c>
      <c r="R26">
        <v>25.06899999999996</v>
      </c>
      <c r="S26">
        <v>1.2441191066997499E-2</v>
      </c>
      <c r="U26" t="s">
        <v>295</v>
      </c>
    </row>
    <row r="27" spans="1:21" x14ac:dyDescent="0.35">
      <c r="A27">
        <v>293</v>
      </c>
      <c r="B27" t="s">
        <v>1087</v>
      </c>
      <c r="D27" t="s">
        <v>94</v>
      </c>
      <c r="E27" t="s">
        <v>296</v>
      </c>
      <c r="F27">
        <v>45314</v>
      </c>
      <c r="G27" t="s">
        <v>1058</v>
      </c>
      <c r="H27" t="s">
        <v>650</v>
      </c>
      <c r="K27">
        <v>-65</v>
      </c>
      <c r="L27">
        <v>-60</v>
      </c>
      <c r="M27">
        <v>-62.5</v>
      </c>
      <c r="O27" t="s">
        <v>1054</v>
      </c>
      <c r="P27">
        <v>-61.588999999999999</v>
      </c>
      <c r="R27">
        <v>0.91100000000000136</v>
      </c>
      <c r="S27">
        <v>1.4576000000000021E-2</v>
      </c>
      <c r="U27" t="s">
        <v>295</v>
      </c>
    </row>
    <row r="28" spans="1:21" x14ac:dyDescent="0.35">
      <c r="A28">
        <v>292</v>
      </c>
      <c r="B28" t="s">
        <v>1087</v>
      </c>
      <c r="D28" t="s">
        <v>391</v>
      </c>
      <c r="F28">
        <v>45314</v>
      </c>
      <c r="G28" t="s">
        <v>1058</v>
      </c>
      <c r="H28" t="s">
        <v>650</v>
      </c>
      <c r="K28">
        <v>0.25</v>
      </c>
      <c r="L28">
        <v>0.27</v>
      </c>
      <c r="M28">
        <v>0.26</v>
      </c>
      <c r="O28" t="s">
        <v>1054</v>
      </c>
      <c r="P28">
        <v>0.24088491079166788</v>
      </c>
      <c r="R28">
        <v>-1.9115089208332131E-2</v>
      </c>
      <c r="S28">
        <v>-7.3519573878200503E-2</v>
      </c>
      <c r="U28" t="s">
        <v>295</v>
      </c>
    </row>
    <row r="29" spans="1:21" x14ac:dyDescent="0.35">
      <c r="A29">
        <v>291</v>
      </c>
      <c r="B29" t="s">
        <v>1087</v>
      </c>
      <c r="D29" t="s">
        <v>67</v>
      </c>
      <c r="E29" t="s">
        <v>298</v>
      </c>
      <c r="F29">
        <v>45314</v>
      </c>
      <c r="G29" t="s">
        <v>1058</v>
      </c>
      <c r="H29" t="s">
        <v>650</v>
      </c>
      <c r="K29">
        <v>224.5</v>
      </c>
      <c r="L29">
        <v>238.5</v>
      </c>
      <c r="M29">
        <v>231.5</v>
      </c>
      <c r="O29" t="s">
        <v>1054</v>
      </c>
      <c r="P29">
        <v>249.60000000000002</v>
      </c>
      <c r="R29">
        <v>18.100000000000023</v>
      </c>
      <c r="S29">
        <v>7.8185745140388868E-2</v>
      </c>
      <c r="U29" t="s">
        <v>295</v>
      </c>
    </row>
    <row r="30" spans="1:21" x14ac:dyDescent="0.35">
      <c r="A30">
        <v>290</v>
      </c>
      <c r="B30" t="s">
        <v>1087</v>
      </c>
      <c r="D30" t="s">
        <v>66</v>
      </c>
      <c r="E30" t="s">
        <v>415</v>
      </c>
      <c r="F30">
        <v>45314</v>
      </c>
      <c r="G30" t="s">
        <v>1058</v>
      </c>
      <c r="H30" t="s">
        <v>650</v>
      </c>
      <c r="K30">
        <v>29</v>
      </c>
      <c r="L30">
        <v>33</v>
      </c>
      <c r="M30">
        <v>31</v>
      </c>
      <c r="O30" t="s">
        <v>1054</v>
      </c>
      <c r="P30">
        <v>31.462</v>
      </c>
      <c r="R30">
        <v>0.46199999999999974</v>
      </c>
      <c r="S30">
        <v>1.4903225806451604E-2</v>
      </c>
      <c r="U30" t="s">
        <v>295</v>
      </c>
    </row>
    <row r="31" spans="1:21" x14ac:dyDescent="0.35">
      <c r="A31">
        <v>289</v>
      </c>
      <c r="B31" t="s">
        <v>1087</v>
      </c>
      <c r="D31" t="s">
        <v>533</v>
      </c>
      <c r="E31" t="s">
        <v>543</v>
      </c>
      <c r="F31">
        <v>45314</v>
      </c>
      <c r="G31" t="s">
        <v>1058</v>
      </c>
      <c r="H31" t="s">
        <v>650</v>
      </c>
      <c r="K31">
        <v>11.5</v>
      </c>
      <c r="L31">
        <v>13.5</v>
      </c>
      <c r="M31">
        <v>12.5</v>
      </c>
      <c r="O31" t="s">
        <v>1054</v>
      </c>
      <c r="P31">
        <v>0</v>
      </c>
      <c r="R31">
        <v>-12.5</v>
      </c>
      <c r="S31">
        <v>-1</v>
      </c>
      <c r="U31" t="s">
        <v>295</v>
      </c>
    </row>
    <row r="32" spans="1:21" x14ac:dyDescent="0.35">
      <c r="A32">
        <v>288</v>
      </c>
      <c r="B32" t="s">
        <v>1087</v>
      </c>
      <c r="D32" t="s">
        <v>504</v>
      </c>
      <c r="E32" t="s">
        <v>483</v>
      </c>
      <c r="F32">
        <v>45314</v>
      </c>
      <c r="G32" t="s">
        <v>1058</v>
      </c>
      <c r="H32" t="s">
        <v>650</v>
      </c>
      <c r="K32">
        <v>265</v>
      </c>
      <c r="L32">
        <v>285</v>
      </c>
      <c r="M32">
        <v>275</v>
      </c>
      <c r="O32" t="s">
        <v>1054</v>
      </c>
      <c r="P32">
        <v>293.94</v>
      </c>
      <c r="R32">
        <v>18.939999999999998</v>
      </c>
      <c r="S32">
        <v>6.8872727272727266E-2</v>
      </c>
      <c r="U32" t="s">
        <v>295</v>
      </c>
    </row>
    <row r="33" spans="1:21" x14ac:dyDescent="0.35">
      <c r="A33">
        <v>287</v>
      </c>
    </row>
    <row r="34" spans="1:21" x14ac:dyDescent="0.35">
      <c r="A34">
        <v>286</v>
      </c>
      <c r="B34" t="s">
        <v>1087</v>
      </c>
      <c r="D34" t="s">
        <v>61</v>
      </c>
      <c r="E34" t="s">
        <v>293</v>
      </c>
      <c r="F34">
        <v>45314</v>
      </c>
      <c r="G34" t="s">
        <v>1058</v>
      </c>
      <c r="H34" t="s">
        <v>1059</v>
      </c>
      <c r="K34">
        <v>500</v>
      </c>
      <c r="L34">
        <v>520</v>
      </c>
      <c r="M34">
        <v>510</v>
      </c>
      <c r="O34" t="s">
        <v>1054</v>
      </c>
      <c r="P34">
        <v>520.83699999999999</v>
      </c>
      <c r="R34">
        <v>10.836999999999989</v>
      </c>
      <c r="S34">
        <v>2.1249019607843117E-2</v>
      </c>
      <c r="U34" t="s">
        <v>295</v>
      </c>
    </row>
    <row r="35" spans="1:21" x14ac:dyDescent="0.35">
      <c r="A35">
        <v>285</v>
      </c>
      <c r="B35" t="s">
        <v>1087</v>
      </c>
      <c r="D35" t="s">
        <v>94</v>
      </c>
      <c r="E35" t="s">
        <v>296</v>
      </c>
      <c r="F35">
        <v>45314</v>
      </c>
      <c r="G35" t="s">
        <v>1058</v>
      </c>
      <c r="H35" t="s">
        <v>1059</v>
      </c>
      <c r="K35">
        <v>-17</v>
      </c>
      <c r="L35">
        <v>-14</v>
      </c>
      <c r="M35">
        <v>-15.5</v>
      </c>
      <c r="O35" t="s">
        <v>1054</v>
      </c>
      <c r="P35">
        <v>-16.327999999999999</v>
      </c>
      <c r="R35">
        <v>-0.8279999999999994</v>
      </c>
      <c r="S35">
        <v>-5.3419354838709639E-2</v>
      </c>
      <c r="U35" t="s">
        <v>295</v>
      </c>
    </row>
    <row r="36" spans="1:21" x14ac:dyDescent="0.35">
      <c r="A36">
        <v>284</v>
      </c>
      <c r="B36" t="s">
        <v>1087</v>
      </c>
      <c r="D36" t="s">
        <v>67</v>
      </c>
      <c r="E36" t="s">
        <v>298</v>
      </c>
      <c r="F36">
        <v>45314</v>
      </c>
      <c r="G36" t="s">
        <v>1058</v>
      </c>
      <c r="H36" t="s">
        <v>1059</v>
      </c>
      <c r="K36">
        <v>76</v>
      </c>
      <c r="L36">
        <v>83</v>
      </c>
      <c r="M36">
        <v>79.5</v>
      </c>
      <c r="O36" t="s">
        <v>1054</v>
      </c>
      <c r="P36">
        <v>88.313000000000002</v>
      </c>
      <c r="R36">
        <v>8.8130000000000024</v>
      </c>
      <c r="S36">
        <v>0.11085534591194972</v>
      </c>
      <c r="U36" t="s">
        <v>295</v>
      </c>
    </row>
    <row r="37" spans="1:21" x14ac:dyDescent="0.35">
      <c r="A37">
        <v>283</v>
      </c>
      <c r="B37" t="s">
        <v>1087</v>
      </c>
      <c r="D37" t="s">
        <v>66</v>
      </c>
      <c r="E37" t="s">
        <v>415</v>
      </c>
      <c r="F37">
        <v>45314</v>
      </c>
      <c r="G37" t="s">
        <v>1058</v>
      </c>
      <c r="H37" t="s">
        <v>1059</v>
      </c>
      <c r="K37">
        <v>6.5</v>
      </c>
      <c r="L37">
        <v>8.5</v>
      </c>
      <c r="M37">
        <v>7.5</v>
      </c>
      <c r="O37" t="s">
        <v>1054</v>
      </c>
      <c r="P37">
        <v>5.25</v>
      </c>
      <c r="R37">
        <v>-2.25</v>
      </c>
      <c r="S37">
        <v>-0.3</v>
      </c>
      <c r="U37" t="s">
        <v>295</v>
      </c>
    </row>
    <row r="38" spans="1:21" x14ac:dyDescent="0.35">
      <c r="A38">
        <v>282</v>
      </c>
      <c r="B38" t="s">
        <v>1087</v>
      </c>
      <c r="D38" t="s">
        <v>533</v>
      </c>
      <c r="E38" t="s">
        <v>543</v>
      </c>
      <c r="F38">
        <v>45314</v>
      </c>
      <c r="G38" t="s">
        <v>1058</v>
      </c>
      <c r="H38" t="s">
        <v>1059</v>
      </c>
      <c r="K38">
        <v>2.5</v>
      </c>
      <c r="L38">
        <v>3.5</v>
      </c>
      <c r="M38">
        <v>3</v>
      </c>
      <c r="O38" t="s">
        <v>1054</v>
      </c>
      <c r="P38">
        <v>3.1</v>
      </c>
      <c r="R38">
        <v>0.10000000000000009</v>
      </c>
      <c r="S38">
        <v>3.3333333333333361E-2</v>
      </c>
      <c r="U38" t="s">
        <v>295</v>
      </c>
    </row>
    <row r="39" spans="1:21" x14ac:dyDescent="0.35">
      <c r="A39">
        <v>281</v>
      </c>
      <c r="B39" t="s">
        <v>1087</v>
      </c>
      <c r="D39" t="s">
        <v>504</v>
      </c>
      <c r="E39" t="s">
        <v>483</v>
      </c>
      <c r="F39">
        <v>45314</v>
      </c>
      <c r="G39" t="s">
        <v>1058</v>
      </c>
      <c r="H39" t="s">
        <v>1059</v>
      </c>
      <c r="K39">
        <v>85</v>
      </c>
      <c r="L39">
        <v>95</v>
      </c>
      <c r="M39">
        <v>90</v>
      </c>
      <c r="O39" t="s">
        <v>1054</v>
      </c>
      <c r="P39">
        <v>96.410000000000011</v>
      </c>
      <c r="R39">
        <v>6.4100000000000108</v>
      </c>
      <c r="S39">
        <v>7.1222222222222339E-2</v>
      </c>
      <c r="U39" t="s">
        <v>295</v>
      </c>
    </row>
    <row r="40" spans="1:21" x14ac:dyDescent="0.35">
      <c r="A40">
        <v>280</v>
      </c>
    </row>
    <row r="41" spans="1:21" x14ac:dyDescent="0.35">
      <c r="A41">
        <v>279</v>
      </c>
      <c r="B41" t="s">
        <v>1085</v>
      </c>
      <c r="D41" t="s">
        <v>61</v>
      </c>
      <c r="E41" t="s">
        <v>293</v>
      </c>
      <c r="F41">
        <v>45223</v>
      </c>
      <c r="G41" t="s">
        <v>1060</v>
      </c>
      <c r="H41" t="s">
        <v>486</v>
      </c>
      <c r="K41">
        <v>1900</v>
      </c>
      <c r="L41">
        <v>2200</v>
      </c>
      <c r="M41">
        <v>2050</v>
      </c>
      <c r="O41" t="s">
        <v>1086</v>
      </c>
      <c r="P41">
        <v>2242.7517215999997</v>
      </c>
      <c r="R41">
        <v>192.75172159999966</v>
      </c>
      <c r="S41">
        <v>9.4025230048780314E-2</v>
      </c>
      <c r="U41" t="s">
        <v>487</v>
      </c>
    </row>
    <row r="42" spans="1:21" x14ac:dyDescent="0.35">
      <c r="A42">
        <v>278</v>
      </c>
      <c r="B42" t="s">
        <v>1085</v>
      </c>
      <c r="D42" t="s">
        <v>504</v>
      </c>
      <c r="E42" t="s">
        <v>483</v>
      </c>
      <c r="F42">
        <v>45223</v>
      </c>
      <c r="G42" t="s">
        <v>1060</v>
      </c>
      <c r="H42" t="s">
        <v>486</v>
      </c>
      <c r="K42">
        <v>250</v>
      </c>
      <c r="L42">
        <v>350</v>
      </c>
      <c r="M42">
        <v>300</v>
      </c>
      <c r="O42" t="s">
        <v>1086</v>
      </c>
      <c r="P42">
        <v>351.54445238400001</v>
      </c>
      <c r="R42">
        <v>51.54445238400001</v>
      </c>
      <c r="S42">
        <v>0.17181484128000005</v>
      </c>
      <c r="U42" t="s">
        <v>487</v>
      </c>
    </row>
    <row r="43" spans="1:21" x14ac:dyDescent="0.35">
      <c r="A43">
        <v>277</v>
      </c>
    </row>
    <row r="44" spans="1:21" x14ac:dyDescent="0.35">
      <c r="A44">
        <v>276</v>
      </c>
      <c r="B44" t="s">
        <v>1087</v>
      </c>
      <c r="D44" t="s">
        <v>61</v>
      </c>
      <c r="E44" t="s">
        <v>293</v>
      </c>
      <c r="F44">
        <v>45223</v>
      </c>
      <c r="G44" t="s">
        <v>1060</v>
      </c>
      <c r="H44" t="s">
        <v>650</v>
      </c>
      <c r="K44">
        <v>1960</v>
      </c>
      <c r="L44">
        <v>2030</v>
      </c>
      <c r="M44">
        <v>1995</v>
      </c>
      <c r="O44" t="s">
        <v>1054</v>
      </c>
      <c r="P44">
        <v>2040.069</v>
      </c>
      <c r="R44">
        <v>45.06899999999996</v>
      </c>
      <c r="S44">
        <v>2.2590977443609002E-2</v>
      </c>
      <c r="U44" t="s">
        <v>295</v>
      </c>
    </row>
    <row r="45" spans="1:21" x14ac:dyDescent="0.35">
      <c r="A45">
        <v>275</v>
      </c>
      <c r="B45" t="s">
        <v>1087</v>
      </c>
      <c r="D45" t="s">
        <v>94</v>
      </c>
      <c r="E45" t="s">
        <v>296</v>
      </c>
      <c r="F45">
        <v>45223</v>
      </c>
      <c r="G45" t="s">
        <v>1060</v>
      </c>
      <c r="H45" t="s">
        <v>650</v>
      </c>
      <c r="K45">
        <v>-75</v>
      </c>
      <c r="L45">
        <v>-65</v>
      </c>
      <c r="M45">
        <v>-70</v>
      </c>
      <c r="O45" t="s">
        <v>1054</v>
      </c>
      <c r="P45">
        <v>-61.588999999999999</v>
      </c>
      <c r="R45">
        <v>8.4110000000000014</v>
      </c>
      <c r="S45">
        <v>0.12015714285714288</v>
      </c>
      <c r="U45" t="s">
        <v>295</v>
      </c>
    </row>
    <row r="46" spans="1:21" x14ac:dyDescent="0.35">
      <c r="A46">
        <v>274</v>
      </c>
      <c r="B46" t="s">
        <v>1087</v>
      </c>
      <c r="D46" t="s">
        <v>391</v>
      </c>
      <c r="F46">
        <v>45223</v>
      </c>
      <c r="G46" t="s">
        <v>1060</v>
      </c>
      <c r="H46" t="s">
        <v>650</v>
      </c>
      <c r="K46">
        <v>0.25</v>
      </c>
      <c r="L46">
        <v>0.27</v>
      </c>
      <c r="M46">
        <v>0.26</v>
      </c>
      <c r="O46" t="s">
        <v>1054</v>
      </c>
      <c r="P46">
        <v>0.24088491079166788</v>
      </c>
      <c r="R46">
        <v>-1.9115089208332131E-2</v>
      </c>
      <c r="S46">
        <v>-7.3519573878200503E-2</v>
      </c>
      <c r="U46" t="s">
        <v>295</v>
      </c>
    </row>
    <row r="47" spans="1:21" x14ac:dyDescent="0.35">
      <c r="A47">
        <v>273</v>
      </c>
      <c r="B47" t="s">
        <v>1087</v>
      </c>
      <c r="D47" t="s">
        <v>67</v>
      </c>
      <c r="E47" t="s">
        <v>298</v>
      </c>
      <c r="F47">
        <v>45223</v>
      </c>
      <c r="G47" t="s">
        <v>1060</v>
      </c>
      <c r="H47" t="s">
        <v>650</v>
      </c>
      <c r="K47">
        <v>210.5</v>
      </c>
      <c r="L47">
        <v>228.5</v>
      </c>
      <c r="M47">
        <v>219.5</v>
      </c>
      <c r="O47" t="s">
        <v>1054</v>
      </c>
      <c r="P47">
        <v>249.60000000000002</v>
      </c>
      <c r="R47">
        <v>30.100000000000023</v>
      </c>
      <c r="S47">
        <v>0.13712984054669713</v>
      </c>
      <c r="U47" t="s">
        <v>295</v>
      </c>
    </row>
    <row r="48" spans="1:21" x14ac:dyDescent="0.35">
      <c r="A48">
        <v>272</v>
      </c>
      <c r="B48" t="s">
        <v>1087</v>
      </c>
      <c r="D48" t="s">
        <v>66</v>
      </c>
      <c r="E48" t="s">
        <v>415</v>
      </c>
      <c r="F48">
        <v>45223</v>
      </c>
      <c r="G48" t="s">
        <v>1060</v>
      </c>
      <c r="H48" t="s">
        <v>650</v>
      </c>
      <c r="K48">
        <v>28</v>
      </c>
      <c r="L48">
        <v>33</v>
      </c>
      <c r="M48">
        <v>30.5</v>
      </c>
      <c r="O48" t="s">
        <v>1054</v>
      </c>
      <c r="P48">
        <v>31.462</v>
      </c>
      <c r="R48">
        <v>0.96199999999999974</v>
      </c>
      <c r="S48">
        <v>3.1540983606557368E-2</v>
      </c>
      <c r="U48" t="s">
        <v>295</v>
      </c>
    </row>
    <row r="49" spans="1:21" x14ac:dyDescent="0.35">
      <c r="A49">
        <v>271</v>
      </c>
      <c r="B49" t="s">
        <v>1087</v>
      </c>
      <c r="D49" t="s">
        <v>533</v>
      </c>
      <c r="E49" t="s">
        <v>543</v>
      </c>
      <c r="F49">
        <v>45223</v>
      </c>
      <c r="G49" t="s">
        <v>1060</v>
      </c>
      <c r="H49" t="s">
        <v>650</v>
      </c>
      <c r="K49">
        <v>11.5</v>
      </c>
      <c r="L49">
        <v>13.5</v>
      </c>
      <c r="M49">
        <v>12.5</v>
      </c>
      <c r="O49" t="s">
        <v>1054</v>
      </c>
      <c r="P49">
        <v>0</v>
      </c>
      <c r="R49">
        <v>-12.5</v>
      </c>
      <c r="S49">
        <v>-1</v>
      </c>
      <c r="U49" t="s">
        <v>295</v>
      </c>
    </row>
    <row r="50" spans="1:21" x14ac:dyDescent="0.35">
      <c r="A50">
        <v>270</v>
      </c>
      <c r="B50" t="s">
        <v>1087</v>
      </c>
      <c r="D50" t="s">
        <v>504</v>
      </c>
      <c r="E50" t="s">
        <v>483</v>
      </c>
      <c r="F50">
        <v>45223</v>
      </c>
      <c r="G50" t="s">
        <v>1060</v>
      </c>
      <c r="H50" t="s">
        <v>650</v>
      </c>
      <c r="K50">
        <v>250</v>
      </c>
      <c r="L50">
        <v>275</v>
      </c>
      <c r="M50">
        <v>262.5</v>
      </c>
      <c r="O50" t="s">
        <v>1054</v>
      </c>
      <c r="P50">
        <v>293.94</v>
      </c>
      <c r="R50">
        <v>31.439999999999998</v>
      </c>
      <c r="S50">
        <v>0.11977142857142856</v>
      </c>
      <c r="U50" t="s">
        <v>295</v>
      </c>
    </row>
    <row r="51" spans="1:21" x14ac:dyDescent="0.35">
      <c r="A51">
        <v>269</v>
      </c>
    </row>
    <row r="52" spans="1:21" x14ac:dyDescent="0.35">
      <c r="A52">
        <v>268</v>
      </c>
      <c r="B52" t="s">
        <v>1087</v>
      </c>
      <c r="D52" t="s">
        <v>61</v>
      </c>
      <c r="E52" t="s">
        <v>293</v>
      </c>
      <c r="F52">
        <v>45223</v>
      </c>
      <c r="G52" t="s">
        <v>1060</v>
      </c>
      <c r="H52" t="s">
        <v>649</v>
      </c>
      <c r="K52">
        <v>490</v>
      </c>
      <c r="L52">
        <v>510</v>
      </c>
      <c r="M52">
        <v>500</v>
      </c>
      <c r="O52" t="s">
        <v>1054</v>
      </c>
      <c r="P52">
        <v>504.86799999999999</v>
      </c>
      <c r="R52">
        <v>4.867999999999995</v>
      </c>
      <c r="S52">
        <v>9.7359999999999895E-3</v>
      </c>
      <c r="U52" t="s">
        <v>295</v>
      </c>
    </row>
    <row r="53" spans="1:21" x14ac:dyDescent="0.35">
      <c r="A53">
        <v>267</v>
      </c>
      <c r="B53" t="s">
        <v>1087</v>
      </c>
      <c r="D53" t="s">
        <v>94</v>
      </c>
      <c r="E53" t="s">
        <v>296</v>
      </c>
      <c r="F53">
        <v>45223</v>
      </c>
      <c r="G53" t="s">
        <v>1060</v>
      </c>
      <c r="H53" t="s">
        <v>649</v>
      </c>
      <c r="K53">
        <v>-18</v>
      </c>
      <c r="L53">
        <v>-15</v>
      </c>
      <c r="M53">
        <v>-16.5</v>
      </c>
      <c r="O53" t="s">
        <v>1054</v>
      </c>
      <c r="P53">
        <v>-12.687000000000001</v>
      </c>
      <c r="R53">
        <v>3.8129999999999988</v>
      </c>
      <c r="S53">
        <v>0.23109090909090901</v>
      </c>
      <c r="U53" t="s">
        <v>295</v>
      </c>
    </row>
    <row r="54" spans="1:21" x14ac:dyDescent="0.35">
      <c r="A54">
        <v>266</v>
      </c>
      <c r="B54" t="s">
        <v>1087</v>
      </c>
      <c r="D54" t="s">
        <v>67</v>
      </c>
      <c r="E54" t="s">
        <v>298</v>
      </c>
      <c r="F54">
        <v>45223</v>
      </c>
      <c r="G54" t="s">
        <v>1060</v>
      </c>
      <c r="H54" t="s">
        <v>649</v>
      </c>
      <c r="K54">
        <v>70.5</v>
      </c>
      <c r="L54">
        <v>79</v>
      </c>
      <c r="M54">
        <v>74.75</v>
      </c>
      <c r="O54" t="s">
        <v>1054</v>
      </c>
      <c r="P54">
        <v>84.288999999999973</v>
      </c>
      <c r="R54">
        <v>9.5389999999999731</v>
      </c>
      <c r="S54">
        <v>0.12761204013377891</v>
      </c>
      <c r="U54" t="s">
        <v>295</v>
      </c>
    </row>
    <row r="55" spans="1:21" x14ac:dyDescent="0.35">
      <c r="A55">
        <v>265</v>
      </c>
      <c r="B55" t="s">
        <v>1087</v>
      </c>
      <c r="D55" t="s">
        <v>66</v>
      </c>
      <c r="E55" t="s">
        <v>415</v>
      </c>
      <c r="F55">
        <v>45223</v>
      </c>
      <c r="G55" t="s">
        <v>1060</v>
      </c>
      <c r="H55" t="s">
        <v>649</v>
      </c>
      <c r="K55">
        <v>6.5</v>
      </c>
      <c r="L55">
        <v>7.5</v>
      </c>
      <c r="M55">
        <v>7</v>
      </c>
      <c r="O55" t="s">
        <v>1054</v>
      </c>
      <c r="P55">
        <v>7.5959999999999983</v>
      </c>
      <c r="R55">
        <v>0.59599999999999831</v>
      </c>
      <c r="S55">
        <v>8.5142857142856895E-2</v>
      </c>
      <c r="U55" t="s">
        <v>295</v>
      </c>
    </row>
    <row r="56" spans="1:21" x14ac:dyDescent="0.35">
      <c r="A56">
        <v>264</v>
      </c>
      <c r="B56" t="s">
        <v>1087</v>
      </c>
      <c r="D56" t="s">
        <v>533</v>
      </c>
      <c r="E56" t="s">
        <v>543</v>
      </c>
      <c r="F56">
        <v>45223</v>
      </c>
      <c r="G56" t="s">
        <v>1060</v>
      </c>
      <c r="H56" t="s">
        <v>649</v>
      </c>
      <c r="K56">
        <v>3</v>
      </c>
      <c r="L56">
        <v>3.5</v>
      </c>
      <c r="M56">
        <v>3.25</v>
      </c>
      <c r="O56" t="s">
        <v>1054</v>
      </c>
      <c r="P56">
        <v>3.3</v>
      </c>
      <c r="R56">
        <v>4.9999999999999822E-2</v>
      </c>
      <c r="S56">
        <v>1.538461538461533E-2</v>
      </c>
      <c r="U56" t="s">
        <v>295</v>
      </c>
    </row>
    <row r="57" spans="1:21" x14ac:dyDescent="0.35">
      <c r="A57">
        <v>263</v>
      </c>
      <c r="B57" t="s">
        <v>1087</v>
      </c>
      <c r="D57" t="s">
        <v>504</v>
      </c>
      <c r="E57" t="s">
        <v>483</v>
      </c>
      <c r="F57">
        <v>45223</v>
      </c>
      <c r="G57" t="s">
        <v>1060</v>
      </c>
      <c r="H57" t="s">
        <v>649</v>
      </c>
      <c r="K57">
        <v>80</v>
      </c>
      <c r="L57">
        <v>90</v>
      </c>
      <c r="M57">
        <v>85</v>
      </c>
      <c r="O57" t="s">
        <v>1054</v>
      </c>
      <c r="P57">
        <v>94.87299999999999</v>
      </c>
      <c r="R57">
        <v>9.8729999999999905</v>
      </c>
      <c r="S57">
        <v>0.11615294117647047</v>
      </c>
      <c r="U57" t="s">
        <v>295</v>
      </c>
    </row>
    <row r="58" spans="1:21" x14ac:dyDescent="0.35">
      <c r="A58">
        <v>262</v>
      </c>
    </row>
    <row r="59" spans="1:21" x14ac:dyDescent="0.35">
      <c r="A59">
        <v>261</v>
      </c>
      <c r="B59" t="s">
        <v>1085</v>
      </c>
      <c r="D59" t="s">
        <v>61</v>
      </c>
      <c r="E59" t="s">
        <v>293</v>
      </c>
      <c r="F59">
        <v>45153</v>
      </c>
      <c r="G59" t="s">
        <v>1061</v>
      </c>
      <c r="H59" t="s">
        <v>486</v>
      </c>
      <c r="K59">
        <v>1900</v>
      </c>
      <c r="L59">
        <v>2200</v>
      </c>
      <c r="M59">
        <v>2050</v>
      </c>
      <c r="O59" t="s">
        <v>1086</v>
      </c>
      <c r="P59">
        <v>2242.7517215999997</v>
      </c>
      <c r="R59">
        <v>192.75172159999966</v>
      </c>
      <c r="S59">
        <v>9.4025230048780314E-2</v>
      </c>
      <c r="U59" t="s">
        <v>487</v>
      </c>
    </row>
    <row r="60" spans="1:21" x14ac:dyDescent="0.35">
      <c r="A60">
        <v>260</v>
      </c>
      <c r="B60" t="s">
        <v>1085</v>
      </c>
      <c r="D60" t="s">
        <v>33</v>
      </c>
      <c r="E60" t="s">
        <v>508</v>
      </c>
      <c r="F60">
        <v>45153</v>
      </c>
      <c r="H60" t="s">
        <v>486</v>
      </c>
      <c r="K60">
        <v>0.36</v>
      </c>
      <c r="L60">
        <v>0.39</v>
      </c>
      <c r="M60">
        <v>0.375</v>
      </c>
      <c r="O60" t="s">
        <v>1086</v>
      </c>
      <c r="P60">
        <v>0</v>
      </c>
      <c r="R60">
        <v>-0.375</v>
      </c>
      <c r="S60">
        <v>-1</v>
      </c>
      <c r="U60" t="s">
        <v>487</v>
      </c>
    </row>
    <row r="61" spans="1:21" x14ac:dyDescent="0.35">
      <c r="A61">
        <v>259</v>
      </c>
      <c r="B61" t="s">
        <v>1085</v>
      </c>
      <c r="D61" t="s">
        <v>504</v>
      </c>
      <c r="E61" t="s">
        <v>483</v>
      </c>
      <c r="F61">
        <v>45153</v>
      </c>
      <c r="H61" t="s">
        <v>486</v>
      </c>
      <c r="K61">
        <v>250</v>
      </c>
      <c r="L61">
        <v>350</v>
      </c>
      <c r="M61">
        <v>300</v>
      </c>
      <c r="O61" t="s">
        <v>1086</v>
      </c>
      <c r="P61">
        <v>351.54445238400001</v>
      </c>
      <c r="R61">
        <v>51.54445238400001</v>
      </c>
      <c r="S61">
        <v>0.17181484128000005</v>
      </c>
      <c r="U61" t="s">
        <v>487</v>
      </c>
    </row>
    <row r="62" spans="1:21" x14ac:dyDescent="0.35">
      <c r="A62">
        <v>258</v>
      </c>
    </row>
    <row r="63" spans="1:21" x14ac:dyDescent="0.35">
      <c r="A63">
        <v>257</v>
      </c>
      <c r="B63" t="s">
        <v>1085</v>
      </c>
      <c r="D63" t="s">
        <v>61</v>
      </c>
      <c r="E63" t="s">
        <v>293</v>
      </c>
      <c r="F63">
        <v>45041</v>
      </c>
      <c r="H63" t="s">
        <v>486</v>
      </c>
      <c r="K63">
        <v>1900</v>
      </c>
      <c r="L63">
        <v>2200</v>
      </c>
      <c r="M63">
        <v>2050</v>
      </c>
      <c r="O63" t="s">
        <v>1086</v>
      </c>
      <c r="P63">
        <v>2242.7517215999997</v>
      </c>
      <c r="R63">
        <v>192.75172159999966</v>
      </c>
      <c r="S63">
        <v>9.4025230048780314E-2</v>
      </c>
      <c r="U63" t="s">
        <v>487</v>
      </c>
    </row>
    <row r="64" spans="1:21" x14ac:dyDescent="0.35">
      <c r="A64">
        <v>256</v>
      </c>
      <c r="B64" t="s">
        <v>1085</v>
      </c>
      <c r="D64" t="s">
        <v>504</v>
      </c>
      <c r="E64" t="s">
        <v>483</v>
      </c>
      <c r="F64">
        <v>45041</v>
      </c>
      <c r="H64" t="s">
        <v>486</v>
      </c>
      <c r="K64">
        <v>250</v>
      </c>
      <c r="L64">
        <v>350</v>
      </c>
      <c r="M64">
        <v>300</v>
      </c>
      <c r="O64" t="s">
        <v>1086</v>
      </c>
      <c r="P64">
        <v>351.54445238400001</v>
      </c>
      <c r="R64">
        <v>51.54445238400001</v>
      </c>
      <c r="S64">
        <v>0.17181484128000005</v>
      </c>
      <c r="U64" t="s">
        <v>487</v>
      </c>
    </row>
    <row r="65" spans="1:21" x14ac:dyDescent="0.35">
      <c r="A65">
        <v>255</v>
      </c>
    </row>
    <row r="66" spans="1:21" x14ac:dyDescent="0.35">
      <c r="A66">
        <v>254</v>
      </c>
      <c r="B66" t="s">
        <v>1087</v>
      </c>
      <c r="D66" t="s">
        <v>61</v>
      </c>
      <c r="E66" t="s">
        <v>293</v>
      </c>
      <c r="F66">
        <v>45041</v>
      </c>
      <c r="G66" t="s">
        <v>1062</v>
      </c>
      <c r="H66" t="s">
        <v>622</v>
      </c>
      <c r="K66">
        <v>1805</v>
      </c>
      <c r="L66">
        <v>1825</v>
      </c>
      <c r="M66">
        <v>1815</v>
      </c>
      <c r="O66" t="s">
        <v>1054</v>
      </c>
      <c r="P66">
        <v>1837.3579999999999</v>
      </c>
      <c r="R66">
        <v>22.357999999999947</v>
      </c>
      <c r="S66">
        <v>1.2318457300275453E-2</v>
      </c>
      <c r="U66" t="s">
        <v>295</v>
      </c>
    </row>
    <row r="67" spans="1:21" x14ac:dyDescent="0.35">
      <c r="A67">
        <v>253</v>
      </c>
      <c r="B67" t="s">
        <v>1087</v>
      </c>
      <c r="D67" t="s">
        <v>94</v>
      </c>
      <c r="E67" t="s">
        <v>296</v>
      </c>
      <c r="F67">
        <v>45041</v>
      </c>
      <c r="G67" t="s">
        <v>1062</v>
      </c>
      <c r="H67" t="s">
        <v>622</v>
      </c>
      <c r="K67">
        <v>-70</v>
      </c>
      <c r="L67">
        <v>-65</v>
      </c>
      <c r="M67">
        <v>-67.5</v>
      </c>
      <c r="O67" t="s">
        <v>1054</v>
      </c>
      <c r="P67">
        <v>-66.548000000000002</v>
      </c>
      <c r="R67">
        <v>0.95199999999999818</v>
      </c>
      <c r="S67">
        <v>1.4103703703703677E-2</v>
      </c>
      <c r="U67" t="s">
        <v>295</v>
      </c>
    </row>
    <row r="68" spans="1:21" x14ac:dyDescent="0.35">
      <c r="A68">
        <v>252</v>
      </c>
      <c r="B68" t="s">
        <v>1087</v>
      </c>
      <c r="D68" t="s">
        <v>391</v>
      </c>
      <c r="F68">
        <v>45041</v>
      </c>
      <c r="G68" t="s">
        <v>1062</v>
      </c>
      <c r="H68" t="s">
        <v>622</v>
      </c>
      <c r="K68">
        <v>0.26</v>
      </c>
      <c r="L68">
        <v>0.28000000000000003</v>
      </c>
      <c r="M68">
        <v>0.27</v>
      </c>
      <c r="O68" t="s">
        <v>1054</v>
      </c>
      <c r="P68">
        <v>0.26280375781671089</v>
      </c>
      <c r="R68">
        <v>-7.1962421832891255E-3</v>
      </c>
      <c r="S68">
        <v>-2.665274882699676E-2</v>
      </c>
      <c r="U68" t="s">
        <v>295</v>
      </c>
    </row>
    <row r="69" spans="1:21" x14ac:dyDescent="0.35">
      <c r="A69">
        <v>251</v>
      </c>
      <c r="B69" t="s">
        <v>1087</v>
      </c>
      <c r="D69" t="s">
        <v>67</v>
      </c>
      <c r="E69" t="s">
        <v>298</v>
      </c>
      <c r="F69">
        <v>45041</v>
      </c>
      <c r="G69" t="s">
        <v>1062</v>
      </c>
      <c r="H69" t="s">
        <v>622</v>
      </c>
      <c r="K69">
        <v>161</v>
      </c>
      <c r="L69">
        <v>165.5</v>
      </c>
      <c r="M69">
        <v>163.25</v>
      </c>
      <c r="O69" t="s">
        <v>1054</v>
      </c>
      <c r="P69">
        <v>165.49899999999991</v>
      </c>
      <c r="R69">
        <v>2.24899999999991</v>
      </c>
      <c r="S69">
        <v>1.3776416539049985E-2</v>
      </c>
      <c r="U69" t="s">
        <v>295</v>
      </c>
    </row>
    <row r="70" spans="1:21" x14ac:dyDescent="0.35">
      <c r="A70">
        <v>250</v>
      </c>
      <c r="B70" t="s">
        <v>1087</v>
      </c>
      <c r="D70" t="s">
        <v>66</v>
      </c>
      <c r="E70" t="s">
        <v>415</v>
      </c>
      <c r="F70">
        <v>45041</v>
      </c>
      <c r="G70" t="s">
        <v>1062</v>
      </c>
      <c r="H70" t="s">
        <v>622</v>
      </c>
      <c r="K70">
        <v>19</v>
      </c>
      <c r="L70">
        <v>21</v>
      </c>
      <c r="M70">
        <v>20</v>
      </c>
      <c r="O70" t="s">
        <v>1054</v>
      </c>
      <c r="P70">
        <v>20.32</v>
      </c>
      <c r="R70">
        <v>0.32000000000000028</v>
      </c>
      <c r="S70">
        <v>1.6000000000000014E-2</v>
      </c>
      <c r="U70" t="s">
        <v>295</v>
      </c>
    </row>
    <row r="71" spans="1:21" x14ac:dyDescent="0.35">
      <c r="A71">
        <v>249</v>
      </c>
      <c r="B71" t="s">
        <v>1087</v>
      </c>
      <c r="D71" t="s">
        <v>533</v>
      </c>
      <c r="E71" t="s">
        <v>543</v>
      </c>
      <c r="F71">
        <v>45041</v>
      </c>
      <c r="G71" t="s">
        <v>1062</v>
      </c>
      <c r="H71" t="s">
        <v>622</v>
      </c>
      <c r="K71">
        <v>13</v>
      </c>
      <c r="L71">
        <v>13.5</v>
      </c>
      <c r="M71">
        <v>13.25</v>
      </c>
      <c r="O71" t="s">
        <v>1054</v>
      </c>
      <c r="P71">
        <v>0</v>
      </c>
      <c r="R71">
        <v>-13.25</v>
      </c>
      <c r="S71">
        <v>-1</v>
      </c>
      <c r="U71" t="s">
        <v>295</v>
      </c>
    </row>
    <row r="72" spans="1:21" x14ac:dyDescent="0.35">
      <c r="A72">
        <v>248</v>
      </c>
      <c r="B72" t="s">
        <v>1087</v>
      </c>
      <c r="D72" t="s">
        <v>504</v>
      </c>
      <c r="E72" t="s">
        <v>483</v>
      </c>
      <c r="F72">
        <v>45041</v>
      </c>
      <c r="G72" t="s">
        <v>1062</v>
      </c>
      <c r="H72" t="s">
        <v>622</v>
      </c>
      <c r="K72">
        <v>193</v>
      </c>
      <c r="L72">
        <v>200</v>
      </c>
      <c r="M72">
        <v>196.5</v>
      </c>
      <c r="O72" t="s">
        <v>1054</v>
      </c>
      <c r="P72">
        <v>201.0269999999999</v>
      </c>
      <c r="R72">
        <v>4.5269999999999015</v>
      </c>
      <c r="S72">
        <v>2.3038167938930796E-2</v>
      </c>
      <c r="U72" t="s">
        <v>295</v>
      </c>
    </row>
    <row r="73" spans="1:21" x14ac:dyDescent="0.35">
      <c r="A73">
        <v>247</v>
      </c>
    </row>
    <row r="74" spans="1:21" x14ac:dyDescent="0.35">
      <c r="A74">
        <v>246</v>
      </c>
      <c r="B74" t="s">
        <v>1085</v>
      </c>
      <c r="D74" t="s">
        <v>61</v>
      </c>
      <c r="E74" t="s">
        <v>293</v>
      </c>
      <c r="F74">
        <v>44950</v>
      </c>
      <c r="H74" t="s">
        <v>486</v>
      </c>
      <c r="K74">
        <v>1900</v>
      </c>
      <c r="L74">
        <v>2200</v>
      </c>
      <c r="M74">
        <v>2050</v>
      </c>
      <c r="O74" t="s">
        <v>1086</v>
      </c>
      <c r="P74">
        <v>2242.7517215999997</v>
      </c>
      <c r="R74">
        <v>192.75172159999966</v>
      </c>
      <c r="S74">
        <v>9.4025230048780314E-2</v>
      </c>
      <c r="U74" t="s">
        <v>487</v>
      </c>
    </row>
    <row r="75" spans="1:21" x14ac:dyDescent="0.35">
      <c r="A75">
        <v>245</v>
      </c>
      <c r="B75" t="s">
        <v>1085</v>
      </c>
      <c r="D75" t="s">
        <v>504</v>
      </c>
      <c r="E75" t="s">
        <v>483</v>
      </c>
      <c r="F75">
        <v>44950</v>
      </c>
      <c r="H75" t="s">
        <v>486</v>
      </c>
      <c r="K75">
        <v>250</v>
      </c>
      <c r="L75">
        <v>350</v>
      </c>
      <c r="M75">
        <v>300</v>
      </c>
      <c r="O75" t="s">
        <v>1086</v>
      </c>
      <c r="P75">
        <v>351.54445238400001</v>
      </c>
      <c r="R75">
        <v>51.54445238400001</v>
      </c>
      <c r="S75">
        <v>0.17181484128000005</v>
      </c>
      <c r="U75" t="s">
        <v>487</v>
      </c>
    </row>
    <row r="76" spans="1:21" x14ac:dyDescent="0.35">
      <c r="A76">
        <v>244</v>
      </c>
    </row>
    <row r="77" spans="1:21" x14ac:dyDescent="0.35">
      <c r="A77">
        <v>243</v>
      </c>
      <c r="B77" t="s">
        <v>1087</v>
      </c>
      <c r="D77" t="s">
        <v>61</v>
      </c>
      <c r="E77" t="s">
        <v>293</v>
      </c>
      <c r="F77">
        <v>44950</v>
      </c>
      <c r="G77" t="s">
        <v>1063</v>
      </c>
      <c r="H77" t="s">
        <v>622</v>
      </c>
      <c r="K77">
        <v>1775</v>
      </c>
      <c r="L77">
        <v>1815</v>
      </c>
      <c r="M77">
        <v>1795</v>
      </c>
      <c r="O77" t="s">
        <v>1054</v>
      </c>
      <c r="P77">
        <v>1837.3579999999999</v>
      </c>
      <c r="R77">
        <v>42.357999999999947</v>
      </c>
      <c r="S77">
        <v>2.3597771587743704E-2</v>
      </c>
      <c r="U77" t="s">
        <v>295</v>
      </c>
    </row>
    <row r="78" spans="1:21" x14ac:dyDescent="0.35">
      <c r="A78">
        <v>242</v>
      </c>
      <c r="B78" t="s">
        <v>1087</v>
      </c>
      <c r="D78" t="s">
        <v>94</v>
      </c>
      <c r="E78" t="s">
        <v>296</v>
      </c>
      <c r="F78">
        <v>44950</v>
      </c>
      <c r="G78" t="s">
        <v>1063</v>
      </c>
      <c r="H78" t="s">
        <v>622</v>
      </c>
      <c r="K78">
        <v>-75</v>
      </c>
      <c r="L78">
        <v>-70</v>
      </c>
      <c r="M78">
        <v>-72.5</v>
      </c>
      <c r="O78" t="s">
        <v>1054</v>
      </c>
      <c r="P78">
        <v>-66.548000000000002</v>
      </c>
      <c r="R78">
        <v>5.9519999999999982</v>
      </c>
      <c r="S78">
        <v>8.2096551724137906E-2</v>
      </c>
      <c r="U78" t="s">
        <v>295</v>
      </c>
    </row>
    <row r="79" spans="1:21" x14ac:dyDescent="0.35">
      <c r="A79">
        <v>241</v>
      </c>
      <c r="B79" t="s">
        <v>1087</v>
      </c>
      <c r="D79" t="s">
        <v>391</v>
      </c>
      <c r="F79">
        <v>44950</v>
      </c>
      <c r="G79" t="s">
        <v>1063</v>
      </c>
      <c r="H79" t="s">
        <v>622</v>
      </c>
      <c r="K79">
        <v>0.27</v>
      </c>
      <c r="L79">
        <v>0.28999999999999998</v>
      </c>
      <c r="M79">
        <v>0.28000000000000003</v>
      </c>
      <c r="O79" t="s">
        <v>1054</v>
      </c>
      <c r="P79">
        <v>0.26280375781671089</v>
      </c>
      <c r="R79">
        <v>-1.7196242183289134E-2</v>
      </c>
      <c r="S79">
        <v>-6.1415150654604046E-2</v>
      </c>
      <c r="U79" t="s">
        <v>295</v>
      </c>
    </row>
    <row r="80" spans="1:21" x14ac:dyDescent="0.35">
      <c r="A80">
        <v>240</v>
      </c>
      <c r="B80" t="s">
        <v>1087</v>
      </c>
      <c r="D80" t="s">
        <v>67</v>
      </c>
      <c r="E80" t="s">
        <v>298</v>
      </c>
      <c r="F80">
        <v>44950</v>
      </c>
      <c r="G80" t="s">
        <v>1063</v>
      </c>
      <c r="H80" t="s">
        <v>622</v>
      </c>
      <c r="K80">
        <v>147.5</v>
      </c>
      <c r="L80">
        <v>164.5</v>
      </c>
      <c r="M80">
        <v>156</v>
      </c>
      <c r="O80" t="s">
        <v>1054</v>
      </c>
      <c r="P80">
        <v>165.49899999999991</v>
      </c>
      <c r="R80">
        <v>9.49899999999991</v>
      </c>
      <c r="S80">
        <v>6.0891025641025061E-2</v>
      </c>
      <c r="U80" t="s">
        <v>295</v>
      </c>
    </row>
    <row r="81" spans="1:21" x14ac:dyDescent="0.35">
      <c r="A81">
        <v>239</v>
      </c>
      <c r="B81" t="s">
        <v>1087</v>
      </c>
      <c r="D81" t="s">
        <v>66</v>
      </c>
      <c r="E81" t="s">
        <v>415</v>
      </c>
      <c r="F81">
        <v>44950</v>
      </c>
      <c r="G81" t="s">
        <v>1063</v>
      </c>
      <c r="H81" t="s">
        <v>622</v>
      </c>
      <c r="K81">
        <v>20</v>
      </c>
      <c r="L81">
        <v>22</v>
      </c>
      <c r="M81">
        <v>21</v>
      </c>
      <c r="O81" t="s">
        <v>1054</v>
      </c>
      <c r="P81">
        <v>20.32</v>
      </c>
      <c r="R81">
        <v>-0.67999999999999972</v>
      </c>
      <c r="S81">
        <v>-3.2380952380952364E-2</v>
      </c>
      <c r="U81" t="s">
        <v>295</v>
      </c>
    </row>
    <row r="82" spans="1:21" x14ac:dyDescent="0.35">
      <c r="A82">
        <v>238</v>
      </c>
      <c r="B82" t="s">
        <v>1087</v>
      </c>
      <c r="D82" t="s">
        <v>533</v>
      </c>
      <c r="E82" t="s">
        <v>543</v>
      </c>
      <c r="F82">
        <v>44950</v>
      </c>
      <c r="G82" t="s">
        <v>1063</v>
      </c>
      <c r="H82" t="s">
        <v>622</v>
      </c>
      <c r="K82">
        <v>12.5</v>
      </c>
      <c r="L82">
        <v>13.5</v>
      </c>
      <c r="M82">
        <v>13</v>
      </c>
      <c r="O82" t="s">
        <v>1054</v>
      </c>
      <c r="P82">
        <v>0</v>
      </c>
      <c r="R82">
        <v>-13</v>
      </c>
      <c r="S82">
        <v>-1</v>
      </c>
      <c r="U82" t="s">
        <v>295</v>
      </c>
    </row>
    <row r="83" spans="1:21" x14ac:dyDescent="0.35">
      <c r="A83">
        <v>237</v>
      </c>
      <c r="B83" t="s">
        <v>1087</v>
      </c>
      <c r="D83" t="s">
        <v>504</v>
      </c>
      <c r="E83" t="s">
        <v>483</v>
      </c>
      <c r="F83">
        <v>44950</v>
      </c>
      <c r="G83" t="s">
        <v>1063</v>
      </c>
      <c r="H83" t="s">
        <v>622</v>
      </c>
      <c r="K83">
        <v>180</v>
      </c>
      <c r="L83">
        <v>200</v>
      </c>
      <c r="M83">
        <v>190</v>
      </c>
      <c r="O83" t="s">
        <v>1054</v>
      </c>
      <c r="P83">
        <v>201.0269999999999</v>
      </c>
      <c r="R83">
        <v>11.026999999999902</v>
      </c>
      <c r="S83">
        <v>5.8036842105262637E-2</v>
      </c>
      <c r="U83" t="s">
        <v>295</v>
      </c>
    </row>
    <row r="84" spans="1:21" x14ac:dyDescent="0.35">
      <c r="A84">
        <v>236</v>
      </c>
    </row>
    <row r="85" spans="1:21" x14ac:dyDescent="0.35">
      <c r="A85">
        <v>235</v>
      </c>
      <c r="B85" t="s">
        <v>1087</v>
      </c>
      <c r="D85" t="s">
        <v>61</v>
      </c>
      <c r="E85" t="s">
        <v>293</v>
      </c>
      <c r="F85">
        <v>44950</v>
      </c>
      <c r="G85" t="s">
        <v>1063</v>
      </c>
      <c r="H85" t="s">
        <v>628</v>
      </c>
      <c r="K85">
        <v>445</v>
      </c>
      <c r="L85">
        <v>465</v>
      </c>
      <c r="M85">
        <v>455</v>
      </c>
      <c r="O85" t="s">
        <v>1054</v>
      </c>
      <c r="P85">
        <v>470.28399999999999</v>
      </c>
      <c r="R85">
        <v>15.283999999999992</v>
      </c>
      <c r="S85">
        <v>3.3591208791208776E-2</v>
      </c>
      <c r="U85" t="s">
        <v>295</v>
      </c>
    </row>
    <row r="86" spans="1:21" x14ac:dyDescent="0.35">
      <c r="A86">
        <v>234</v>
      </c>
      <c r="B86" t="s">
        <v>1087</v>
      </c>
      <c r="D86" t="s">
        <v>94</v>
      </c>
      <c r="E86" t="s">
        <v>296</v>
      </c>
      <c r="F86">
        <v>44950</v>
      </c>
      <c r="G86" t="s">
        <v>1063</v>
      </c>
      <c r="H86" t="s">
        <v>628</v>
      </c>
      <c r="K86">
        <v>-19</v>
      </c>
      <c r="L86">
        <v>-16</v>
      </c>
      <c r="M86">
        <v>-17.5</v>
      </c>
      <c r="O86" t="s">
        <v>1054</v>
      </c>
      <c r="P86">
        <v>-15.201999999999998</v>
      </c>
      <c r="R86">
        <v>2.2980000000000018</v>
      </c>
      <c r="S86">
        <v>0.13131428571428583</v>
      </c>
      <c r="U86" t="s">
        <v>295</v>
      </c>
    </row>
    <row r="87" spans="1:21" x14ac:dyDescent="0.35">
      <c r="A87">
        <v>233</v>
      </c>
      <c r="B87" t="s">
        <v>1087</v>
      </c>
      <c r="D87" t="s">
        <v>67</v>
      </c>
      <c r="E87" t="s">
        <v>298</v>
      </c>
      <c r="F87">
        <v>44950</v>
      </c>
      <c r="G87" t="s">
        <v>1063</v>
      </c>
      <c r="H87" t="s">
        <v>628</v>
      </c>
      <c r="K87">
        <v>62.5</v>
      </c>
      <c r="L87">
        <v>70.5</v>
      </c>
      <c r="M87">
        <v>66.5</v>
      </c>
      <c r="O87" t="s">
        <v>1054</v>
      </c>
      <c r="P87">
        <v>72.199000000000012</v>
      </c>
      <c r="R87">
        <v>5.6990000000000123</v>
      </c>
      <c r="S87">
        <v>8.5699248120300942E-2</v>
      </c>
      <c r="U87" t="s">
        <v>295</v>
      </c>
    </row>
    <row r="88" spans="1:21" x14ac:dyDescent="0.35">
      <c r="A88">
        <v>232</v>
      </c>
      <c r="B88" t="s">
        <v>1087</v>
      </c>
      <c r="D88" t="s">
        <v>66</v>
      </c>
      <c r="E88" t="s">
        <v>415</v>
      </c>
      <c r="F88">
        <v>44950</v>
      </c>
      <c r="G88" t="s">
        <v>1063</v>
      </c>
      <c r="H88" t="s">
        <v>628</v>
      </c>
      <c r="K88">
        <v>4.5</v>
      </c>
      <c r="L88">
        <v>5.5</v>
      </c>
      <c r="M88">
        <v>5</v>
      </c>
      <c r="O88" t="s">
        <v>1054</v>
      </c>
      <c r="P88">
        <v>4.7449999999999992</v>
      </c>
      <c r="R88">
        <v>-0.25500000000000078</v>
      </c>
      <c r="S88">
        <v>-5.1000000000000156E-2</v>
      </c>
      <c r="U88" t="s">
        <v>295</v>
      </c>
    </row>
    <row r="89" spans="1:21" x14ac:dyDescent="0.35">
      <c r="A89">
        <v>231</v>
      </c>
      <c r="B89" t="s">
        <v>1087</v>
      </c>
      <c r="D89" t="s">
        <v>533</v>
      </c>
      <c r="E89" t="s">
        <v>543</v>
      </c>
      <c r="F89">
        <v>44950</v>
      </c>
      <c r="G89" t="s">
        <v>1063</v>
      </c>
      <c r="H89" t="s">
        <v>628</v>
      </c>
      <c r="K89">
        <v>3</v>
      </c>
      <c r="L89">
        <v>4</v>
      </c>
      <c r="M89">
        <v>3.5</v>
      </c>
      <c r="O89" t="s">
        <v>1054</v>
      </c>
      <c r="P89">
        <v>3.2800000000000002</v>
      </c>
      <c r="R89">
        <v>-0.21999999999999975</v>
      </c>
      <c r="S89">
        <v>-6.2857142857142792E-2</v>
      </c>
      <c r="U89" t="s">
        <v>295</v>
      </c>
    </row>
    <row r="90" spans="1:21" x14ac:dyDescent="0.35">
      <c r="A90">
        <v>230</v>
      </c>
      <c r="B90" t="s">
        <v>1087</v>
      </c>
      <c r="D90" t="s">
        <v>504</v>
      </c>
      <c r="E90" t="s">
        <v>483</v>
      </c>
      <c r="F90">
        <v>44950</v>
      </c>
      <c r="G90" t="s">
        <v>1063</v>
      </c>
      <c r="H90" t="s">
        <v>628</v>
      </c>
      <c r="K90">
        <v>70</v>
      </c>
      <c r="L90">
        <v>80</v>
      </c>
      <c r="M90">
        <v>75</v>
      </c>
      <c r="O90" t="s">
        <v>1054</v>
      </c>
      <c r="P90">
        <v>80.224000000000018</v>
      </c>
      <c r="R90">
        <v>5.224000000000018</v>
      </c>
      <c r="S90">
        <v>6.9653333333333567E-2</v>
      </c>
      <c r="U90" t="s">
        <v>295</v>
      </c>
    </row>
    <row r="91" spans="1:21" x14ac:dyDescent="0.35">
      <c r="A91">
        <v>229</v>
      </c>
    </row>
    <row r="92" spans="1:21" x14ac:dyDescent="0.35">
      <c r="A92">
        <v>228</v>
      </c>
      <c r="B92" t="s">
        <v>1085</v>
      </c>
      <c r="D92" t="s">
        <v>61</v>
      </c>
      <c r="E92" t="s">
        <v>293</v>
      </c>
      <c r="F92">
        <v>44859</v>
      </c>
      <c r="H92" t="s">
        <v>486</v>
      </c>
      <c r="K92">
        <v>1900</v>
      </c>
      <c r="L92">
        <v>2200</v>
      </c>
      <c r="M92">
        <v>2050</v>
      </c>
      <c r="O92" t="s">
        <v>1086</v>
      </c>
      <c r="P92">
        <v>2242.7517215999997</v>
      </c>
      <c r="R92">
        <v>192.75172159999966</v>
      </c>
      <c r="S92">
        <v>9.4025230048780314E-2</v>
      </c>
      <c r="U92" t="s">
        <v>487</v>
      </c>
    </row>
    <row r="93" spans="1:21" x14ac:dyDescent="0.35">
      <c r="A93">
        <v>227</v>
      </c>
      <c r="B93" t="s">
        <v>1085</v>
      </c>
      <c r="D93" t="s">
        <v>504</v>
      </c>
      <c r="E93" t="s">
        <v>483</v>
      </c>
      <c r="F93">
        <v>44859</v>
      </c>
      <c r="H93" t="s">
        <v>486</v>
      </c>
      <c r="K93">
        <v>250</v>
      </c>
      <c r="L93">
        <v>350</v>
      </c>
      <c r="M93">
        <v>300</v>
      </c>
      <c r="O93" t="s">
        <v>1086</v>
      </c>
      <c r="P93">
        <v>351.54445238400001</v>
      </c>
      <c r="R93">
        <v>51.54445238400001</v>
      </c>
      <c r="S93">
        <v>0.17181484128000005</v>
      </c>
      <c r="U93" t="s">
        <v>487</v>
      </c>
    </row>
    <row r="94" spans="1:21" x14ac:dyDescent="0.35">
      <c r="A94">
        <v>226</v>
      </c>
      <c r="B94" t="s">
        <v>1085</v>
      </c>
      <c r="D94" t="s">
        <v>494</v>
      </c>
      <c r="E94" t="s">
        <v>590</v>
      </c>
      <c r="F94">
        <v>44859</v>
      </c>
      <c r="H94" t="s">
        <v>486</v>
      </c>
      <c r="K94">
        <v>1250</v>
      </c>
      <c r="L94">
        <v>1400</v>
      </c>
      <c r="M94">
        <v>1325</v>
      </c>
      <c r="O94" t="s">
        <v>1086</v>
      </c>
      <c r="P94">
        <v>0</v>
      </c>
      <c r="R94">
        <v>-1325</v>
      </c>
      <c r="S94">
        <v>-1</v>
      </c>
      <c r="U94" t="s">
        <v>487</v>
      </c>
    </row>
    <row r="95" spans="1:21" x14ac:dyDescent="0.35">
      <c r="A95">
        <v>225</v>
      </c>
      <c r="B95" t="s">
        <v>1085</v>
      </c>
      <c r="D95" t="s">
        <v>495</v>
      </c>
      <c r="E95" t="s">
        <v>501</v>
      </c>
      <c r="F95">
        <v>44859</v>
      </c>
      <c r="H95" t="s">
        <v>486</v>
      </c>
      <c r="K95">
        <v>650</v>
      </c>
      <c r="L95">
        <v>800</v>
      </c>
      <c r="M95">
        <v>725</v>
      </c>
      <c r="O95" t="s">
        <v>1086</v>
      </c>
      <c r="P95">
        <v>0</v>
      </c>
      <c r="R95">
        <v>-725</v>
      </c>
      <c r="S95">
        <v>-1</v>
      </c>
      <c r="U95" t="s">
        <v>487</v>
      </c>
    </row>
    <row r="96" spans="1:21" x14ac:dyDescent="0.35">
      <c r="A96">
        <v>224</v>
      </c>
    </row>
    <row r="97" spans="1:21" x14ac:dyDescent="0.35">
      <c r="A97">
        <v>223</v>
      </c>
      <c r="B97" t="s">
        <v>1087</v>
      </c>
      <c r="D97" t="s">
        <v>61</v>
      </c>
      <c r="E97" t="s">
        <v>293</v>
      </c>
      <c r="F97">
        <v>44859</v>
      </c>
      <c r="G97" t="s">
        <v>1064</v>
      </c>
      <c r="H97" t="s">
        <v>622</v>
      </c>
      <c r="K97">
        <v>1710</v>
      </c>
      <c r="L97">
        <v>1790</v>
      </c>
      <c r="M97">
        <v>1750</v>
      </c>
      <c r="O97" t="s">
        <v>1054</v>
      </c>
      <c r="P97">
        <v>1837.3579999999999</v>
      </c>
      <c r="R97">
        <v>87.357999999999947</v>
      </c>
      <c r="S97">
        <v>4.9918857142857112E-2</v>
      </c>
      <c r="U97" t="s">
        <v>295</v>
      </c>
    </row>
    <row r="98" spans="1:21" x14ac:dyDescent="0.35">
      <c r="A98">
        <v>222</v>
      </c>
      <c r="B98" t="s">
        <v>1087</v>
      </c>
      <c r="D98" t="s">
        <v>94</v>
      </c>
      <c r="E98" t="s">
        <v>296</v>
      </c>
      <c r="F98">
        <v>44859</v>
      </c>
      <c r="G98" t="s">
        <v>1064</v>
      </c>
      <c r="H98" t="s">
        <v>622</v>
      </c>
      <c r="K98">
        <v>-80</v>
      </c>
      <c r="L98">
        <v>-70</v>
      </c>
      <c r="M98">
        <v>-75</v>
      </c>
      <c r="O98" t="s">
        <v>1054</v>
      </c>
      <c r="P98">
        <v>-66.548000000000002</v>
      </c>
      <c r="R98">
        <v>8.4519999999999982</v>
      </c>
      <c r="S98">
        <v>0.11269333333333331</v>
      </c>
      <c r="U98" t="s">
        <v>295</v>
      </c>
    </row>
    <row r="99" spans="1:21" x14ac:dyDescent="0.35">
      <c r="A99">
        <v>221</v>
      </c>
      <c r="B99" t="s">
        <v>1087</v>
      </c>
      <c r="D99" t="s">
        <v>391</v>
      </c>
      <c r="F99">
        <v>44859</v>
      </c>
      <c r="G99" t="s">
        <v>1064</v>
      </c>
      <c r="H99" t="s">
        <v>622</v>
      </c>
      <c r="K99">
        <v>0.27</v>
      </c>
      <c r="L99">
        <v>0.28999999999999998</v>
      </c>
      <c r="M99">
        <v>0.28000000000000003</v>
      </c>
      <c r="O99" t="s">
        <v>1054</v>
      </c>
      <c r="P99">
        <v>0.26280375781671089</v>
      </c>
      <c r="R99">
        <v>-1.7196242183289134E-2</v>
      </c>
      <c r="S99">
        <v>-6.1415150654604046E-2</v>
      </c>
      <c r="U99" t="s">
        <v>295</v>
      </c>
    </row>
    <row r="100" spans="1:21" x14ac:dyDescent="0.35">
      <c r="A100">
        <v>220</v>
      </c>
      <c r="B100" t="s">
        <v>1087</v>
      </c>
      <c r="D100" t="s">
        <v>67</v>
      </c>
      <c r="E100" t="s">
        <v>298</v>
      </c>
      <c r="F100">
        <v>44859</v>
      </c>
      <c r="G100" t="s">
        <v>1064</v>
      </c>
      <c r="H100" t="s">
        <v>622</v>
      </c>
      <c r="K100">
        <v>127.5</v>
      </c>
      <c r="L100">
        <v>151.5</v>
      </c>
      <c r="M100">
        <v>139.5</v>
      </c>
      <c r="O100" t="s">
        <v>1054</v>
      </c>
      <c r="P100">
        <v>165.49899999999991</v>
      </c>
      <c r="R100">
        <v>25.99899999999991</v>
      </c>
      <c r="S100">
        <v>0.18637275985663018</v>
      </c>
      <c r="U100" t="s">
        <v>295</v>
      </c>
    </row>
    <row r="101" spans="1:21" x14ac:dyDescent="0.35">
      <c r="A101">
        <v>219</v>
      </c>
      <c r="B101" t="s">
        <v>1087</v>
      </c>
      <c r="D101" t="s">
        <v>66</v>
      </c>
      <c r="E101" t="s">
        <v>415</v>
      </c>
      <c r="F101">
        <v>44859</v>
      </c>
      <c r="G101" t="s">
        <v>1064</v>
      </c>
      <c r="H101" t="s">
        <v>622</v>
      </c>
      <c r="K101">
        <v>20</v>
      </c>
      <c r="L101">
        <v>25</v>
      </c>
      <c r="M101">
        <v>22.5</v>
      </c>
      <c r="O101" t="s">
        <v>1054</v>
      </c>
      <c r="P101">
        <v>20.32</v>
      </c>
      <c r="R101">
        <v>-2.1799999999999997</v>
      </c>
      <c r="S101">
        <v>-9.6888888888888872E-2</v>
      </c>
      <c r="U101" t="s">
        <v>295</v>
      </c>
    </row>
    <row r="102" spans="1:21" x14ac:dyDescent="0.35">
      <c r="A102">
        <v>218</v>
      </c>
      <c r="B102" t="s">
        <v>1087</v>
      </c>
      <c r="D102" t="s">
        <v>533</v>
      </c>
      <c r="E102" t="s">
        <v>543</v>
      </c>
      <c r="F102">
        <v>44859</v>
      </c>
      <c r="G102" t="s">
        <v>1064</v>
      </c>
      <c r="H102" t="s">
        <v>622</v>
      </c>
      <c r="K102">
        <v>12.5</v>
      </c>
      <c r="L102">
        <v>13.5</v>
      </c>
      <c r="M102">
        <v>13</v>
      </c>
      <c r="O102" t="s">
        <v>1054</v>
      </c>
      <c r="P102">
        <v>0</v>
      </c>
      <c r="R102">
        <v>-13</v>
      </c>
      <c r="S102">
        <v>-1</v>
      </c>
      <c r="U102" t="s">
        <v>295</v>
      </c>
    </row>
    <row r="103" spans="1:21" x14ac:dyDescent="0.35">
      <c r="A103">
        <v>217</v>
      </c>
      <c r="B103" t="s">
        <v>1087</v>
      </c>
      <c r="D103" t="s">
        <v>504</v>
      </c>
      <c r="E103" t="s">
        <v>483</v>
      </c>
      <c r="F103">
        <v>44859</v>
      </c>
      <c r="G103" t="s">
        <v>1064</v>
      </c>
      <c r="H103" t="s">
        <v>622</v>
      </c>
      <c r="K103">
        <v>160</v>
      </c>
      <c r="L103">
        <v>190</v>
      </c>
      <c r="M103">
        <v>175</v>
      </c>
      <c r="O103" t="s">
        <v>1054</v>
      </c>
      <c r="P103">
        <v>201.0269999999999</v>
      </c>
      <c r="R103">
        <v>26.026999999999902</v>
      </c>
      <c r="S103">
        <v>0.14872571428571371</v>
      </c>
      <c r="U103" t="s">
        <v>295</v>
      </c>
    </row>
    <row r="104" spans="1:21" x14ac:dyDescent="0.35">
      <c r="A104">
        <v>216</v>
      </c>
    </row>
    <row r="105" spans="1:21" x14ac:dyDescent="0.35">
      <c r="A105">
        <v>215</v>
      </c>
      <c r="B105" t="s">
        <v>1087</v>
      </c>
      <c r="D105" t="s">
        <v>61</v>
      </c>
      <c r="E105" t="s">
        <v>293</v>
      </c>
      <c r="F105">
        <v>44859</v>
      </c>
      <c r="G105" t="s">
        <v>1064</v>
      </c>
      <c r="H105" t="s">
        <v>623</v>
      </c>
      <c r="K105">
        <v>435</v>
      </c>
      <c r="L105">
        <v>465</v>
      </c>
      <c r="M105">
        <v>450</v>
      </c>
      <c r="O105" t="s">
        <v>1054</v>
      </c>
      <c r="P105">
        <v>458.435</v>
      </c>
      <c r="R105">
        <v>8.4350000000000023</v>
      </c>
      <c r="S105">
        <v>1.8744444444444449E-2</v>
      </c>
      <c r="U105" t="s">
        <v>295</v>
      </c>
    </row>
    <row r="106" spans="1:21" x14ac:dyDescent="0.35">
      <c r="A106">
        <v>214</v>
      </c>
      <c r="B106" t="s">
        <v>1087</v>
      </c>
      <c r="D106" t="s">
        <v>94</v>
      </c>
      <c r="E106" t="s">
        <v>296</v>
      </c>
      <c r="F106">
        <v>44859</v>
      </c>
      <c r="G106" t="s">
        <v>1064</v>
      </c>
      <c r="H106" t="s">
        <v>623</v>
      </c>
      <c r="K106">
        <v>-20</v>
      </c>
      <c r="L106">
        <v>-17</v>
      </c>
      <c r="M106">
        <v>-18.5</v>
      </c>
      <c r="O106" t="s">
        <v>1054</v>
      </c>
      <c r="P106">
        <v>-16.898000000000003</v>
      </c>
      <c r="R106">
        <v>1.6019999999999968</v>
      </c>
      <c r="S106">
        <v>8.6594594594594426E-2</v>
      </c>
      <c r="U106" t="s">
        <v>295</v>
      </c>
    </row>
    <row r="107" spans="1:21" x14ac:dyDescent="0.35">
      <c r="A107">
        <v>213</v>
      </c>
      <c r="B107" t="s">
        <v>1087</v>
      </c>
      <c r="D107" t="s">
        <v>67</v>
      </c>
      <c r="E107" t="s">
        <v>298</v>
      </c>
      <c r="F107">
        <v>44859</v>
      </c>
      <c r="G107" t="s">
        <v>1064</v>
      </c>
      <c r="H107" t="s">
        <v>623</v>
      </c>
      <c r="K107">
        <v>62</v>
      </c>
      <c r="L107">
        <v>70.5</v>
      </c>
      <c r="M107">
        <v>66.25</v>
      </c>
      <c r="O107" t="s">
        <v>1054</v>
      </c>
      <c r="P107">
        <v>68.073000000000022</v>
      </c>
      <c r="R107">
        <v>1.8230000000000217</v>
      </c>
      <c r="S107">
        <v>2.7516981132075801E-2</v>
      </c>
      <c r="U107" t="s">
        <v>295</v>
      </c>
    </row>
    <row r="108" spans="1:21" x14ac:dyDescent="0.35">
      <c r="A108">
        <v>212</v>
      </c>
      <c r="B108" t="s">
        <v>1087</v>
      </c>
      <c r="D108" t="s">
        <v>66</v>
      </c>
      <c r="E108" t="s">
        <v>415</v>
      </c>
      <c r="F108">
        <v>44859</v>
      </c>
      <c r="G108" t="s">
        <v>1064</v>
      </c>
      <c r="H108" t="s">
        <v>623</v>
      </c>
      <c r="K108">
        <v>5</v>
      </c>
      <c r="L108">
        <v>6</v>
      </c>
      <c r="M108">
        <v>5.5</v>
      </c>
      <c r="O108" t="s">
        <v>1054</v>
      </c>
      <c r="P108">
        <v>4.9410000000000007</v>
      </c>
      <c r="R108">
        <v>-0.55899999999999928</v>
      </c>
      <c r="S108">
        <v>-0.10163636363636351</v>
      </c>
      <c r="U108" t="s">
        <v>295</v>
      </c>
    </row>
    <row r="109" spans="1:21" x14ac:dyDescent="0.35">
      <c r="A109">
        <v>211</v>
      </c>
      <c r="B109" t="s">
        <v>1087</v>
      </c>
      <c r="D109" t="s">
        <v>533</v>
      </c>
      <c r="E109" t="s">
        <v>543</v>
      </c>
      <c r="F109">
        <v>44859</v>
      </c>
      <c r="G109" t="s">
        <v>1064</v>
      </c>
      <c r="H109" t="s">
        <v>623</v>
      </c>
      <c r="K109">
        <v>3</v>
      </c>
      <c r="L109">
        <v>3.5</v>
      </c>
      <c r="M109">
        <v>3.25</v>
      </c>
      <c r="O109" t="s">
        <v>1054</v>
      </c>
      <c r="P109">
        <v>3.2789999999999999</v>
      </c>
      <c r="R109">
        <v>2.8999999999999915E-2</v>
      </c>
      <c r="S109">
        <v>8.9230769230768964E-3</v>
      </c>
      <c r="U109" t="s">
        <v>295</v>
      </c>
    </row>
    <row r="110" spans="1:21" x14ac:dyDescent="0.35">
      <c r="A110">
        <v>210</v>
      </c>
      <c r="B110" t="s">
        <v>1087</v>
      </c>
      <c r="D110" t="s">
        <v>504</v>
      </c>
      <c r="E110" t="s">
        <v>483</v>
      </c>
      <c r="F110">
        <v>44859</v>
      </c>
      <c r="G110" t="s">
        <v>1064</v>
      </c>
      <c r="H110" t="s">
        <v>623</v>
      </c>
      <c r="K110">
        <v>70</v>
      </c>
      <c r="L110">
        <v>80</v>
      </c>
      <c r="M110">
        <v>75</v>
      </c>
      <c r="O110" t="s">
        <v>1054</v>
      </c>
      <c r="P110">
        <v>76.293000000000035</v>
      </c>
      <c r="R110">
        <v>1.2930000000000348</v>
      </c>
      <c r="S110">
        <v>1.7240000000000463E-2</v>
      </c>
      <c r="U110" t="s">
        <v>295</v>
      </c>
    </row>
    <row r="111" spans="1:21" x14ac:dyDescent="0.35">
      <c r="A111">
        <v>209</v>
      </c>
    </row>
    <row r="112" spans="1:21" x14ac:dyDescent="0.35">
      <c r="A112">
        <v>208</v>
      </c>
      <c r="B112" t="s">
        <v>1085</v>
      </c>
      <c r="D112" t="s">
        <v>61</v>
      </c>
      <c r="E112" t="s">
        <v>293</v>
      </c>
      <c r="F112">
        <v>44782</v>
      </c>
      <c r="H112" t="s">
        <v>486</v>
      </c>
      <c r="K112">
        <v>1900</v>
      </c>
      <c r="L112">
        <v>2200</v>
      </c>
      <c r="M112">
        <v>2050</v>
      </c>
      <c r="O112" t="s">
        <v>1086</v>
      </c>
      <c r="P112">
        <v>2242.7517215999997</v>
      </c>
      <c r="R112">
        <v>192.75172159999966</v>
      </c>
      <c r="S112">
        <v>9.4025230048780314E-2</v>
      </c>
      <c r="U112" t="s">
        <v>487</v>
      </c>
    </row>
    <row r="113" spans="1:21" x14ac:dyDescent="0.35">
      <c r="A113">
        <v>207</v>
      </c>
      <c r="B113" t="s">
        <v>1085</v>
      </c>
      <c r="D113" t="s">
        <v>504</v>
      </c>
      <c r="E113" t="s">
        <v>483</v>
      </c>
      <c r="F113">
        <v>44782</v>
      </c>
      <c r="H113" t="s">
        <v>486</v>
      </c>
      <c r="K113">
        <v>250</v>
      </c>
      <c r="L113">
        <v>350</v>
      </c>
      <c r="M113">
        <v>300</v>
      </c>
      <c r="O113" t="s">
        <v>1086</v>
      </c>
      <c r="P113">
        <v>351.54445238400001</v>
      </c>
      <c r="R113">
        <v>51.54445238400001</v>
      </c>
      <c r="S113">
        <v>0.17181484128000005</v>
      </c>
      <c r="U113" t="s">
        <v>487</v>
      </c>
    </row>
    <row r="114" spans="1:21" x14ac:dyDescent="0.35">
      <c r="A114">
        <v>206</v>
      </c>
      <c r="B114" t="s">
        <v>1085</v>
      </c>
      <c r="D114" t="s">
        <v>494</v>
      </c>
      <c r="E114" t="s">
        <v>590</v>
      </c>
      <c r="F114">
        <v>44782</v>
      </c>
      <c r="H114" t="s">
        <v>486</v>
      </c>
      <c r="K114">
        <v>1250</v>
      </c>
      <c r="L114">
        <v>1400</v>
      </c>
      <c r="M114">
        <v>1325</v>
      </c>
      <c r="O114" t="s">
        <v>1086</v>
      </c>
      <c r="P114">
        <v>0</v>
      </c>
      <c r="R114">
        <v>-1325</v>
      </c>
      <c r="S114">
        <v>-1</v>
      </c>
      <c r="U114" t="s">
        <v>487</v>
      </c>
    </row>
    <row r="115" spans="1:21" x14ac:dyDescent="0.35">
      <c r="A115">
        <v>205</v>
      </c>
      <c r="B115" t="s">
        <v>1085</v>
      </c>
      <c r="D115" t="s">
        <v>477</v>
      </c>
      <c r="E115" t="s">
        <v>586</v>
      </c>
      <c r="F115">
        <v>44782</v>
      </c>
      <c r="H115" t="s">
        <v>486</v>
      </c>
      <c r="K115">
        <v>170</v>
      </c>
      <c r="L115">
        <v>180</v>
      </c>
      <c r="M115">
        <v>175</v>
      </c>
      <c r="O115" t="s">
        <v>1086</v>
      </c>
      <c r="P115">
        <v>0</v>
      </c>
      <c r="R115">
        <v>-175</v>
      </c>
      <c r="S115">
        <v>-1</v>
      </c>
      <c r="U115" t="s">
        <v>487</v>
      </c>
    </row>
    <row r="116" spans="1:21" x14ac:dyDescent="0.35">
      <c r="A116">
        <v>204</v>
      </c>
      <c r="B116" t="s">
        <v>1085</v>
      </c>
      <c r="D116" t="s">
        <v>600</v>
      </c>
      <c r="F116">
        <v>44782</v>
      </c>
      <c r="H116" t="s">
        <v>486</v>
      </c>
      <c r="K116">
        <v>8</v>
      </c>
      <c r="L116">
        <v>10</v>
      </c>
      <c r="M116">
        <v>9</v>
      </c>
      <c r="O116" t="s">
        <v>1086</v>
      </c>
      <c r="P116" t="s">
        <v>1088</v>
      </c>
      <c r="R116" t="s">
        <v>1088</v>
      </c>
      <c r="S116" t="s">
        <v>1088</v>
      </c>
      <c r="U116" t="s">
        <v>487</v>
      </c>
    </row>
    <row r="117" spans="1:21" x14ac:dyDescent="0.35">
      <c r="A117">
        <v>203</v>
      </c>
      <c r="B117" t="s">
        <v>1085</v>
      </c>
      <c r="D117" t="s">
        <v>587</v>
      </c>
      <c r="F117">
        <v>44782</v>
      </c>
      <c r="H117" t="s">
        <v>486</v>
      </c>
      <c r="K117">
        <v>34</v>
      </c>
      <c r="L117">
        <v>36</v>
      </c>
      <c r="M117">
        <v>35</v>
      </c>
      <c r="O117" t="s">
        <v>1086</v>
      </c>
      <c r="P117" t="s">
        <v>1088</v>
      </c>
      <c r="R117" t="s">
        <v>1088</v>
      </c>
      <c r="S117" t="s">
        <v>1088</v>
      </c>
      <c r="U117" t="s">
        <v>487</v>
      </c>
    </row>
    <row r="118" spans="1:21" x14ac:dyDescent="0.35">
      <c r="A118">
        <v>202</v>
      </c>
      <c r="B118" t="s">
        <v>1085</v>
      </c>
      <c r="D118" t="s">
        <v>465</v>
      </c>
      <c r="E118" t="s">
        <v>589</v>
      </c>
      <c r="F118">
        <v>44782</v>
      </c>
      <c r="H118" t="s">
        <v>486</v>
      </c>
      <c r="K118">
        <v>0</v>
      </c>
      <c r="L118">
        <v>0.02</v>
      </c>
      <c r="M118">
        <v>0.01</v>
      </c>
      <c r="O118" t="s">
        <v>1086</v>
      </c>
      <c r="P118" t="s">
        <v>1088</v>
      </c>
      <c r="R118" t="s">
        <v>1088</v>
      </c>
      <c r="S118" t="s">
        <v>1088</v>
      </c>
      <c r="U118" t="s">
        <v>487</v>
      </c>
    </row>
    <row r="119" spans="1:21" x14ac:dyDescent="0.35">
      <c r="A119">
        <v>201</v>
      </c>
      <c r="B119" t="s">
        <v>1085</v>
      </c>
      <c r="D119" t="s">
        <v>495</v>
      </c>
      <c r="E119" t="s">
        <v>501</v>
      </c>
      <c r="F119">
        <v>44782</v>
      </c>
      <c r="H119" t="s">
        <v>486</v>
      </c>
      <c r="K119">
        <v>650</v>
      </c>
      <c r="L119">
        <v>800</v>
      </c>
      <c r="M119">
        <v>725</v>
      </c>
      <c r="O119" t="s">
        <v>1086</v>
      </c>
      <c r="P119">
        <v>0</v>
      </c>
      <c r="R119">
        <v>-725</v>
      </c>
      <c r="S119">
        <v>-1</v>
      </c>
      <c r="U119" t="s">
        <v>487</v>
      </c>
    </row>
    <row r="120" spans="1:21" x14ac:dyDescent="0.35">
      <c r="A120">
        <v>200</v>
      </c>
      <c r="B120" t="s">
        <v>1085</v>
      </c>
      <c r="D120" t="s">
        <v>462</v>
      </c>
      <c r="E120" t="s">
        <v>591</v>
      </c>
      <c r="F120">
        <v>44782</v>
      </c>
      <c r="H120" t="s">
        <v>486</v>
      </c>
      <c r="K120">
        <v>140</v>
      </c>
      <c r="L120">
        <v>150</v>
      </c>
      <c r="M120">
        <v>145</v>
      </c>
      <c r="O120" t="s">
        <v>1086</v>
      </c>
      <c r="P120">
        <v>0</v>
      </c>
      <c r="R120">
        <v>-145</v>
      </c>
      <c r="S120">
        <v>-1</v>
      </c>
      <c r="U120" t="s">
        <v>487</v>
      </c>
    </row>
    <row r="121" spans="1:21" x14ac:dyDescent="0.35">
      <c r="A121">
        <v>199</v>
      </c>
      <c r="B121" t="s">
        <v>1085</v>
      </c>
      <c r="D121" t="s">
        <v>478</v>
      </c>
      <c r="E121" t="s">
        <v>592</v>
      </c>
      <c r="F121">
        <v>44782</v>
      </c>
      <c r="H121" t="s">
        <v>486</v>
      </c>
      <c r="K121">
        <v>80</v>
      </c>
      <c r="L121">
        <v>85</v>
      </c>
      <c r="M121">
        <v>82.5</v>
      </c>
      <c r="O121" t="s">
        <v>1086</v>
      </c>
      <c r="P121">
        <v>0</v>
      </c>
      <c r="R121">
        <v>-82.5</v>
      </c>
      <c r="S121">
        <v>-1</v>
      </c>
      <c r="U121" t="s">
        <v>487</v>
      </c>
    </row>
    <row r="122" spans="1:21" x14ac:dyDescent="0.35">
      <c r="A122">
        <v>198</v>
      </c>
      <c r="B122" t="s">
        <v>1085</v>
      </c>
      <c r="D122" t="s">
        <v>593</v>
      </c>
      <c r="F122">
        <v>44782</v>
      </c>
      <c r="H122" t="s">
        <v>486</v>
      </c>
      <c r="K122">
        <v>15</v>
      </c>
      <c r="L122">
        <v>20</v>
      </c>
      <c r="M122">
        <v>17.5</v>
      </c>
      <c r="O122" t="s">
        <v>1086</v>
      </c>
      <c r="P122" t="s">
        <v>1088</v>
      </c>
      <c r="R122" t="s">
        <v>1088</v>
      </c>
      <c r="S122" t="s">
        <v>1088</v>
      </c>
      <c r="U122" t="s">
        <v>487</v>
      </c>
    </row>
    <row r="123" spans="1:21" x14ac:dyDescent="0.35">
      <c r="A123">
        <v>197</v>
      </c>
      <c r="B123" t="s">
        <v>1085</v>
      </c>
      <c r="D123" t="s">
        <v>594</v>
      </c>
      <c r="F123">
        <v>44782</v>
      </c>
      <c r="H123" t="s">
        <v>486</v>
      </c>
      <c r="K123">
        <v>30</v>
      </c>
      <c r="L123">
        <v>36</v>
      </c>
      <c r="M123">
        <v>33</v>
      </c>
      <c r="O123" t="s">
        <v>1086</v>
      </c>
      <c r="P123" t="s">
        <v>1088</v>
      </c>
      <c r="R123" t="s">
        <v>1088</v>
      </c>
      <c r="S123" t="s">
        <v>1088</v>
      </c>
      <c r="U123" t="s">
        <v>487</v>
      </c>
    </row>
    <row r="124" spans="1:21" x14ac:dyDescent="0.35">
      <c r="A124">
        <v>196</v>
      </c>
      <c r="B124" t="s">
        <v>1085</v>
      </c>
      <c r="D124" t="s">
        <v>466</v>
      </c>
      <c r="E124" t="s">
        <v>595</v>
      </c>
      <c r="F124">
        <v>44782</v>
      </c>
      <c r="H124" t="s">
        <v>486</v>
      </c>
      <c r="K124">
        <v>0</v>
      </c>
      <c r="L124">
        <v>0.02</v>
      </c>
      <c r="M124">
        <v>0.01</v>
      </c>
      <c r="O124" t="s">
        <v>1086</v>
      </c>
      <c r="P124" t="s">
        <v>1088</v>
      </c>
      <c r="R124" t="s">
        <v>1088</v>
      </c>
      <c r="S124" t="s">
        <v>1088</v>
      </c>
      <c r="U124" t="s">
        <v>487</v>
      </c>
    </row>
    <row r="125" spans="1:21" x14ac:dyDescent="0.35">
      <c r="A125">
        <v>195</v>
      </c>
    </row>
    <row r="126" spans="1:21" x14ac:dyDescent="0.35">
      <c r="A126">
        <v>194</v>
      </c>
      <c r="B126" t="s">
        <v>1085</v>
      </c>
      <c r="D126" t="s">
        <v>61</v>
      </c>
      <c r="E126" t="s">
        <v>293</v>
      </c>
      <c r="F126">
        <v>44670</v>
      </c>
      <c r="H126" t="s">
        <v>486</v>
      </c>
      <c r="K126">
        <v>1900</v>
      </c>
      <c r="L126">
        <v>2200</v>
      </c>
      <c r="M126">
        <v>2050</v>
      </c>
      <c r="O126" t="s">
        <v>1086</v>
      </c>
      <c r="P126">
        <v>2242.7517215999997</v>
      </c>
      <c r="R126">
        <v>192.75172159999966</v>
      </c>
      <c r="S126">
        <v>9.4025230048780314E-2</v>
      </c>
      <c r="U126" t="s">
        <v>487</v>
      </c>
    </row>
    <row r="127" spans="1:21" x14ac:dyDescent="0.35">
      <c r="A127">
        <v>193</v>
      </c>
      <c r="B127" t="s">
        <v>1085</v>
      </c>
      <c r="D127" t="s">
        <v>504</v>
      </c>
      <c r="E127" t="s">
        <v>483</v>
      </c>
      <c r="F127">
        <v>44670</v>
      </c>
      <c r="H127" t="s">
        <v>486</v>
      </c>
      <c r="K127">
        <v>250</v>
      </c>
      <c r="L127">
        <v>350</v>
      </c>
      <c r="M127">
        <v>300</v>
      </c>
      <c r="O127" t="s">
        <v>1086</v>
      </c>
      <c r="P127">
        <v>351.54445238400001</v>
      </c>
      <c r="R127">
        <v>51.54445238400001</v>
      </c>
      <c r="S127">
        <v>0.17181484128000005</v>
      </c>
      <c r="U127" t="s">
        <v>487</v>
      </c>
    </row>
    <row r="128" spans="1:21" x14ac:dyDescent="0.35">
      <c r="A128">
        <v>192</v>
      </c>
      <c r="B128" t="s">
        <v>1085</v>
      </c>
      <c r="D128" t="s">
        <v>494</v>
      </c>
      <c r="E128" t="s">
        <v>590</v>
      </c>
      <c r="F128">
        <v>44670</v>
      </c>
      <c r="H128" t="s">
        <v>486</v>
      </c>
      <c r="K128">
        <v>1250</v>
      </c>
      <c r="L128">
        <v>1400</v>
      </c>
      <c r="M128">
        <v>1325</v>
      </c>
      <c r="O128" t="s">
        <v>1086</v>
      </c>
      <c r="P128">
        <v>0</v>
      </c>
      <c r="R128">
        <v>-1325</v>
      </c>
      <c r="S128">
        <v>-1</v>
      </c>
      <c r="U128" t="s">
        <v>487</v>
      </c>
    </row>
    <row r="129" spans="1:21" x14ac:dyDescent="0.35">
      <c r="A129">
        <v>191</v>
      </c>
      <c r="B129" t="s">
        <v>1085</v>
      </c>
      <c r="D129" t="s">
        <v>477</v>
      </c>
      <c r="E129" t="s">
        <v>586</v>
      </c>
      <c r="F129">
        <v>44670</v>
      </c>
      <c r="H129" t="s">
        <v>486</v>
      </c>
      <c r="K129">
        <v>170</v>
      </c>
      <c r="L129">
        <v>180</v>
      </c>
      <c r="M129">
        <v>175</v>
      </c>
      <c r="O129" t="s">
        <v>1086</v>
      </c>
      <c r="P129">
        <v>0</v>
      </c>
      <c r="R129">
        <v>-175</v>
      </c>
      <c r="S129">
        <v>-1</v>
      </c>
      <c r="U129" t="s">
        <v>487</v>
      </c>
    </row>
    <row r="130" spans="1:21" x14ac:dyDescent="0.35">
      <c r="A130">
        <v>190</v>
      </c>
      <c r="B130" t="s">
        <v>1085</v>
      </c>
      <c r="D130" t="s">
        <v>600</v>
      </c>
      <c r="F130">
        <v>44670</v>
      </c>
      <c r="H130" t="s">
        <v>486</v>
      </c>
      <c r="K130">
        <v>8</v>
      </c>
      <c r="L130">
        <v>10</v>
      </c>
      <c r="M130">
        <v>9</v>
      </c>
      <c r="O130" t="s">
        <v>1086</v>
      </c>
      <c r="P130" t="s">
        <v>1088</v>
      </c>
      <c r="R130" t="s">
        <v>1088</v>
      </c>
      <c r="S130" t="s">
        <v>1088</v>
      </c>
      <c r="U130" t="s">
        <v>487</v>
      </c>
    </row>
    <row r="131" spans="1:21" x14ac:dyDescent="0.35">
      <c r="A131">
        <v>189</v>
      </c>
      <c r="B131" t="s">
        <v>1085</v>
      </c>
      <c r="D131" t="s">
        <v>587</v>
      </c>
      <c r="F131">
        <v>44670</v>
      </c>
      <c r="H131" t="s">
        <v>486</v>
      </c>
      <c r="K131">
        <v>34</v>
      </c>
      <c r="L131">
        <v>36</v>
      </c>
      <c r="M131">
        <v>35</v>
      </c>
      <c r="O131" t="s">
        <v>1086</v>
      </c>
      <c r="P131" t="s">
        <v>1088</v>
      </c>
      <c r="R131" t="s">
        <v>1088</v>
      </c>
      <c r="S131" t="s">
        <v>1088</v>
      </c>
      <c r="U131" t="s">
        <v>487</v>
      </c>
    </row>
    <row r="132" spans="1:21" x14ac:dyDescent="0.35">
      <c r="A132">
        <v>188</v>
      </c>
      <c r="B132" t="s">
        <v>1085</v>
      </c>
      <c r="D132" t="s">
        <v>465</v>
      </c>
      <c r="E132" t="s">
        <v>589</v>
      </c>
      <c r="F132">
        <v>44670</v>
      </c>
      <c r="H132" t="s">
        <v>486</v>
      </c>
      <c r="K132">
        <v>0</v>
      </c>
      <c r="L132">
        <v>0.02</v>
      </c>
      <c r="M132">
        <v>0.01</v>
      </c>
      <c r="O132" t="s">
        <v>1086</v>
      </c>
      <c r="P132" t="s">
        <v>1088</v>
      </c>
      <c r="R132" t="s">
        <v>1088</v>
      </c>
      <c r="S132" t="s">
        <v>1088</v>
      </c>
      <c r="U132" t="s">
        <v>487</v>
      </c>
    </row>
    <row r="133" spans="1:21" x14ac:dyDescent="0.35">
      <c r="A133">
        <v>187</v>
      </c>
      <c r="B133" t="s">
        <v>1085</v>
      </c>
      <c r="D133" t="s">
        <v>495</v>
      </c>
      <c r="E133" t="s">
        <v>501</v>
      </c>
      <c r="F133">
        <v>44670</v>
      </c>
      <c r="H133" t="s">
        <v>486</v>
      </c>
      <c r="K133">
        <v>650</v>
      </c>
      <c r="L133">
        <v>800</v>
      </c>
      <c r="M133">
        <v>725</v>
      </c>
      <c r="O133" t="s">
        <v>1086</v>
      </c>
      <c r="P133">
        <v>0</v>
      </c>
      <c r="R133">
        <v>-725</v>
      </c>
      <c r="S133">
        <v>-1</v>
      </c>
      <c r="U133" t="s">
        <v>487</v>
      </c>
    </row>
    <row r="134" spans="1:21" x14ac:dyDescent="0.35">
      <c r="A134">
        <v>186</v>
      </c>
      <c r="B134" t="s">
        <v>1085</v>
      </c>
      <c r="D134" t="s">
        <v>462</v>
      </c>
      <c r="E134" t="s">
        <v>591</v>
      </c>
      <c r="F134">
        <v>44670</v>
      </c>
      <c r="H134" t="s">
        <v>486</v>
      </c>
      <c r="K134">
        <v>140</v>
      </c>
      <c r="L134">
        <v>150</v>
      </c>
      <c r="M134">
        <v>145</v>
      </c>
      <c r="O134" t="s">
        <v>1086</v>
      </c>
      <c r="P134">
        <v>0</v>
      </c>
      <c r="R134">
        <v>-145</v>
      </c>
      <c r="S134">
        <v>-1</v>
      </c>
      <c r="U134" t="s">
        <v>487</v>
      </c>
    </row>
    <row r="135" spans="1:21" x14ac:dyDescent="0.35">
      <c r="A135">
        <v>185</v>
      </c>
      <c r="B135" t="s">
        <v>1085</v>
      </c>
      <c r="D135" t="s">
        <v>478</v>
      </c>
      <c r="E135" t="s">
        <v>592</v>
      </c>
      <c r="F135">
        <v>44670</v>
      </c>
      <c r="H135" t="s">
        <v>486</v>
      </c>
      <c r="K135">
        <v>80</v>
      </c>
      <c r="L135">
        <v>85</v>
      </c>
      <c r="M135">
        <v>82.5</v>
      </c>
      <c r="O135" t="s">
        <v>1086</v>
      </c>
      <c r="P135">
        <v>0</v>
      </c>
      <c r="R135">
        <v>-82.5</v>
      </c>
      <c r="S135">
        <v>-1</v>
      </c>
      <c r="U135" t="s">
        <v>487</v>
      </c>
    </row>
    <row r="136" spans="1:21" x14ac:dyDescent="0.35">
      <c r="A136">
        <v>184</v>
      </c>
      <c r="B136" t="s">
        <v>1085</v>
      </c>
      <c r="D136" t="s">
        <v>593</v>
      </c>
      <c r="F136">
        <v>44670</v>
      </c>
      <c r="H136" t="s">
        <v>486</v>
      </c>
      <c r="K136">
        <v>15</v>
      </c>
      <c r="L136">
        <v>20</v>
      </c>
      <c r="M136">
        <v>17.5</v>
      </c>
      <c r="O136" t="s">
        <v>1086</v>
      </c>
      <c r="P136" t="s">
        <v>1088</v>
      </c>
      <c r="R136" t="s">
        <v>1088</v>
      </c>
      <c r="S136" t="s">
        <v>1088</v>
      </c>
      <c r="U136" t="s">
        <v>487</v>
      </c>
    </row>
    <row r="137" spans="1:21" x14ac:dyDescent="0.35">
      <c r="A137">
        <v>183</v>
      </c>
      <c r="B137" t="s">
        <v>1085</v>
      </c>
      <c r="D137" t="s">
        <v>594</v>
      </c>
      <c r="F137">
        <v>44670</v>
      </c>
      <c r="H137" t="s">
        <v>486</v>
      </c>
      <c r="K137">
        <v>30</v>
      </c>
      <c r="L137">
        <v>36</v>
      </c>
      <c r="M137">
        <v>33</v>
      </c>
      <c r="O137" t="s">
        <v>1086</v>
      </c>
      <c r="P137" t="s">
        <v>1088</v>
      </c>
      <c r="R137" t="s">
        <v>1088</v>
      </c>
      <c r="S137" t="s">
        <v>1088</v>
      </c>
      <c r="U137" t="s">
        <v>487</v>
      </c>
    </row>
    <row r="138" spans="1:21" x14ac:dyDescent="0.35">
      <c r="A138">
        <v>182</v>
      </c>
      <c r="B138" t="s">
        <v>1085</v>
      </c>
      <c r="D138" t="s">
        <v>466</v>
      </c>
      <c r="E138" t="s">
        <v>595</v>
      </c>
      <c r="F138">
        <v>44670</v>
      </c>
      <c r="H138" t="s">
        <v>486</v>
      </c>
      <c r="K138">
        <v>0</v>
      </c>
      <c r="L138">
        <v>0.02</v>
      </c>
      <c r="M138">
        <v>0.01</v>
      </c>
      <c r="O138" t="s">
        <v>1086</v>
      </c>
      <c r="P138" t="s">
        <v>1088</v>
      </c>
      <c r="R138" t="s">
        <v>1088</v>
      </c>
      <c r="S138" t="s">
        <v>1088</v>
      </c>
      <c r="U138" t="s">
        <v>487</v>
      </c>
    </row>
    <row r="139" spans="1:21" x14ac:dyDescent="0.35">
      <c r="A139">
        <v>181</v>
      </c>
    </row>
    <row r="140" spans="1:21" x14ac:dyDescent="0.35">
      <c r="A140">
        <v>180</v>
      </c>
      <c r="B140" t="s">
        <v>1087</v>
      </c>
      <c r="D140" t="s">
        <v>61</v>
      </c>
      <c r="E140" t="s">
        <v>293</v>
      </c>
      <c r="F140">
        <v>44670</v>
      </c>
      <c r="G140" t="s">
        <v>1065</v>
      </c>
      <c r="H140" t="s">
        <v>584</v>
      </c>
      <c r="K140">
        <v>1645</v>
      </c>
      <c r="L140">
        <v>1660</v>
      </c>
      <c r="M140">
        <v>1652.5</v>
      </c>
      <c r="O140" t="s">
        <v>1054</v>
      </c>
      <c r="P140">
        <v>1686.6659999999999</v>
      </c>
      <c r="R140">
        <v>34.16599999999994</v>
      </c>
      <c r="S140">
        <v>2.0675340393343383E-2</v>
      </c>
      <c r="U140" t="s">
        <v>295</v>
      </c>
    </row>
    <row r="141" spans="1:21" x14ac:dyDescent="0.35">
      <c r="A141">
        <v>179</v>
      </c>
      <c r="B141" t="s">
        <v>1087</v>
      </c>
      <c r="D141" t="s">
        <v>94</v>
      </c>
      <c r="E141" t="s">
        <v>296</v>
      </c>
      <c r="F141">
        <v>44670</v>
      </c>
      <c r="G141" t="s">
        <v>1065</v>
      </c>
      <c r="H141" t="s">
        <v>584</v>
      </c>
      <c r="K141">
        <v>-70</v>
      </c>
      <c r="L141">
        <v>-65</v>
      </c>
      <c r="M141">
        <v>-67.5</v>
      </c>
      <c r="O141" t="s">
        <v>1054</v>
      </c>
      <c r="P141">
        <v>-67.626000000000005</v>
      </c>
      <c r="R141">
        <v>-0.12600000000000477</v>
      </c>
      <c r="S141">
        <v>-1.8666666666667373E-3</v>
      </c>
      <c r="U141" t="s">
        <v>295</v>
      </c>
    </row>
    <row r="142" spans="1:21" x14ac:dyDescent="0.35">
      <c r="A142">
        <v>178</v>
      </c>
      <c r="B142" t="s">
        <v>1087</v>
      </c>
      <c r="D142" t="s">
        <v>391</v>
      </c>
      <c r="F142">
        <v>44670</v>
      </c>
      <c r="G142" t="s">
        <v>1065</v>
      </c>
      <c r="H142" t="s">
        <v>584</v>
      </c>
      <c r="K142">
        <v>0.27</v>
      </c>
      <c r="L142">
        <v>0.28999999999999998</v>
      </c>
      <c r="M142">
        <v>0.28000000000000003</v>
      </c>
      <c r="O142" t="s">
        <v>1054</v>
      </c>
      <c r="P142">
        <v>0.27257027074805895</v>
      </c>
      <c r="R142">
        <v>-7.4297292519410751E-3</v>
      </c>
      <c r="S142">
        <v>-2.6534747328360982E-2</v>
      </c>
      <c r="U142" t="s">
        <v>295</v>
      </c>
    </row>
    <row r="143" spans="1:21" x14ac:dyDescent="0.35">
      <c r="A143">
        <v>177</v>
      </c>
      <c r="B143" t="s">
        <v>1087</v>
      </c>
      <c r="D143" t="s">
        <v>67</v>
      </c>
      <c r="E143" t="s">
        <v>298</v>
      </c>
      <c r="F143">
        <v>44670</v>
      </c>
      <c r="G143" t="s">
        <v>1065</v>
      </c>
      <c r="H143" t="s">
        <v>584</v>
      </c>
      <c r="K143">
        <v>148</v>
      </c>
      <c r="L143">
        <v>151</v>
      </c>
      <c r="M143">
        <v>149.5</v>
      </c>
      <c r="O143" t="s">
        <v>1054</v>
      </c>
      <c r="P143">
        <v>156.62799999999993</v>
      </c>
      <c r="R143">
        <v>7.1279999999999291</v>
      </c>
      <c r="S143">
        <v>4.7678929765885815E-2</v>
      </c>
      <c r="U143" t="s">
        <v>295</v>
      </c>
    </row>
    <row r="144" spans="1:21" x14ac:dyDescent="0.35">
      <c r="A144">
        <v>176</v>
      </c>
      <c r="B144" t="s">
        <v>1087</v>
      </c>
      <c r="D144" t="s">
        <v>66</v>
      </c>
      <c r="E144" t="s">
        <v>415</v>
      </c>
      <c r="F144">
        <v>44670</v>
      </c>
      <c r="G144" t="s">
        <v>1065</v>
      </c>
      <c r="H144" t="s">
        <v>584</v>
      </c>
      <c r="K144">
        <v>19</v>
      </c>
      <c r="L144">
        <v>21</v>
      </c>
      <c r="M144">
        <v>20</v>
      </c>
      <c r="O144" t="s">
        <v>1054</v>
      </c>
      <c r="P144">
        <v>18.57</v>
      </c>
      <c r="R144">
        <v>-1.4299999999999997</v>
      </c>
      <c r="S144">
        <v>-7.149999999999998E-2</v>
      </c>
      <c r="U144" t="s">
        <v>295</v>
      </c>
    </row>
    <row r="145" spans="1:21" x14ac:dyDescent="0.35">
      <c r="A145">
        <v>175</v>
      </c>
      <c r="B145" t="s">
        <v>1087</v>
      </c>
      <c r="D145" t="s">
        <v>533</v>
      </c>
      <c r="E145" t="s">
        <v>543</v>
      </c>
      <c r="F145">
        <v>44670</v>
      </c>
      <c r="G145" t="s">
        <v>1065</v>
      </c>
      <c r="H145" t="s">
        <v>584</v>
      </c>
      <c r="K145">
        <v>13</v>
      </c>
      <c r="L145">
        <v>13</v>
      </c>
      <c r="M145">
        <v>13</v>
      </c>
      <c r="O145" t="s">
        <v>1054</v>
      </c>
      <c r="P145">
        <v>0</v>
      </c>
      <c r="R145">
        <v>-13</v>
      </c>
      <c r="S145">
        <v>-1</v>
      </c>
      <c r="U145" t="s">
        <v>295</v>
      </c>
    </row>
    <row r="146" spans="1:21" x14ac:dyDescent="0.35">
      <c r="A146">
        <v>174</v>
      </c>
      <c r="B146" t="s">
        <v>1087</v>
      </c>
      <c r="D146" t="s">
        <v>504</v>
      </c>
      <c r="E146" t="s">
        <v>483</v>
      </c>
      <c r="F146">
        <v>44670</v>
      </c>
      <c r="G146" t="s">
        <v>1065</v>
      </c>
      <c r="H146" t="s">
        <v>584</v>
      </c>
      <c r="K146">
        <v>180</v>
      </c>
      <c r="L146">
        <v>185</v>
      </c>
      <c r="M146">
        <v>182.5</v>
      </c>
      <c r="O146" t="s">
        <v>1054</v>
      </c>
      <c r="P146">
        <v>188.16599999999994</v>
      </c>
      <c r="R146">
        <v>5.66599999999994</v>
      </c>
      <c r="S146">
        <v>3.1046575342465424E-2</v>
      </c>
      <c r="U146" t="s">
        <v>295</v>
      </c>
    </row>
    <row r="147" spans="1:21" x14ac:dyDescent="0.35">
      <c r="A147">
        <v>173</v>
      </c>
    </row>
    <row r="148" spans="1:21" x14ac:dyDescent="0.35">
      <c r="A148">
        <v>172</v>
      </c>
      <c r="B148" t="s">
        <v>1085</v>
      </c>
      <c r="D148" t="s">
        <v>61</v>
      </c>
      <c r="E148" t="s">
        <v>293</v>
      </c>
      <c r="F148">
        <v>44586</v>
      </c>
      <c r="H148" t="s">
        <v>486</v>
      </c>
      <c r="K148">
        <v>1900</v>
      </c>
      <c r="L148">
        <v>2200</v>
      </c>
      <c r="M148">
        <v>2050</v>
      </c>
      <c r="O148" t="s">
        <v>1086</v>
      </c>
      <c r="P148">
        <v>2242.7517215999997</v>
      </c>
      <c r="R148">
        <v>192.75172159999966</v>
      </c>
      <c r="S148">
        <v>9.4025230048780314E-2</v>
      </c>
      <c r="U148" t="s">
        <v>487</v>
      </c>
    </row>
    <row r="149" spans="1:21" x14ac:dyDescent="0.35">
      <c r="A149">
        <v>171</v>
      </c>
      <c r="B149" t="s">
        <v>1085</v>
      </c>
      <c r="D149" t="s">
        <v>504</v>
      </c>
      <c r="E149" t="s">
        <v>483</v>
      </c>
      <c r="F149">
        <v>44586</v>
      </c>
      <c r="H149" t="s">
        <v>486</v>
      </c>
      <c r="K149">
        <v>250</v>
      </c>
      <c r="L149">
        <v>350</v>
      </c>
      <c r="M149">
        <v>300</v>
      </c>
      <c r="O149" t="s">
        <v>1086</v>
      </c>
      <c r="P149">
        <v>351.54445238400001</v>
      </c>
      <c r="R149">
        <v>51.54445238400001</v>
      </c>
      <c r="S149">
        <v>0.17181484128000005</v>
      </c>
      <c r="U149" t="s">
        <v>487</v>
      </c>
    </row>
    <row r="150" spans="1:21" x14ac:dyDescent="0.35">
      <c r="A150">
        <v>170</v>
      </c>
      <c r="B150" t="s">
        <v>1085</v>
      </c>
      <c r="D150" t="s">
        <v>494</v>
      </c>
      <c r="E150" t="s">
        <v>590</v>
      </c>
      <c r="F150">
        <v>44586</v>
      </c>
      <c r="H150" t="s">
        <v>486</v>
      </c>
      <c r="K150">
        <v>1250</v>
      </c>
      <c r="L150">
        <v>1400</v>
      </c>
      <c r="M150">
        <v>1325</v>
      </c>
      <c r="O150" t="s">
        <v>1086</v>
      </c>
      <c r="P150">
        <v>0</v>
      </c>
      <c r="R150">
        <v>-1325</v>
      </c>
      <c r="S150">
        <v>-1</v>
      </c>
      <c r="U150" t="s">
        <v>487</v>
      </c>
    </row>
    <row r="151" spans="1:21" x14ac:dyDescent="0.35">
      <c r="A151">
        <v>169</v>
      </c>
      <c r="B151" t="s">
        <v>1085</v>
      </c>
      <c r="D151" t="s">
        <v>477</v>
      </c>
      <c r="E151" t="s">
        <v>586</v>
      </c>
      <c r="F151">
        <v>44586</v>
      </c>
      <c r="H151" t="s">
        <v>486</v>
      </c>
      <c r="K151">
        <v>170</v>
      </c>
      <c r="L151">
        <v>180</v>
      </c>
      <c r="M151">
        <v>175</v>
      </c>
      <c r="O151" t="s">
        <v>1086</v>
      </c>
      <c r="P151">
        <v>0</v>
      </c>
      <c r="R151">
        <v>-175</v>
      </c>
      <c r="S151">
        <v>-1</v>
      </c>
      <c r="U151" t="s">
        <v>487</v>
      </c>
    </row>
    <row r="152" spans="1:21" x14ac:dyDescent="0.35">
      <c r="A152">
        <v>168</v>
      </c>
      <c r="B152" t="s">
        <v>1085</v>
      </c>
      <c r="D152" t="s">
        <v>600</v>
      </c>
      <c r="F152">
        <v>44586</v>
      </c>
      <c r="H152" t="s">
        <v>486</v>
      </c>
      <c r="K152">
        <v>8</v>
      </c>
      <c r="L152">
        <v>10</v>
      </c>
      <c r="M152">
        <v>9</v>
      </c>
      <c r="O152" t="s">
        <v>1086</v>
      </c>
      <c r="P152" t="s">
        <v>1088</v>
      </c>
      <c r="R152" t="s">
        <v>1088</v>
      </c>
      <c r="S152" t="s">
        <v>1088</v>
      </c>
      <c r="U152" t="s">
        <v>487</v>
      </c>
    </row>
    <row r="153" spans="1:21" x14ac:dyDescent="0.35">
      <c r="A153">
        <v>167</v>
      </c>
      <c r="B153" t="s">
        <v>1085</v>
      </c>
      <c r="D153" t="s">
        <v>587</v>
      </c>
      <c r="F153">
        <v>44586</v>
      </c>
      <c r="H153" t="s">
        <v>486</v>
      </c>
      <c r="K153">
        <v>34</v>
      </c>
      <c r="L153">
        <v>36</v>
      </c>
      <c r="M153">
        <v>35</v>
      </c>
      <c r="O153" t="s">
        <v>1086</v>
      </c>
      <c r="P153" t="s">
        <v>1088</v>
      </c>
      <c r="R153" t="s">
        <v>1088</v>
      </c>
      <c r="S153" t="s">
        <v>1088</v>
      </c>
      <c r="U153" t="s">
        <v>487</v>
      </c>
    </row>
    <row r="154" spans="1:21" x14ac:dyDescent="0.35">
      <c r="A154">
        <v>166</v>
      </c>
      <c r="B154" t="s">
        <v>1085</v>
      </c>
      <c r="D154" t="s">
        <v>465</v>
      </c>
      <c r="E154" t="s">
        <v>589</v>
      </c>
      <c r="F154">
        <v>44586</v>
      </c>
      <c r="H154" t="s">
        <v>486</v>
      </c>
      <c r="K154">
        <v>0</v>
      </c>
      <c r="L154">
        <v>0.02</v>
      </c>
      <c r="M154">
        <v>0.01</v>
      </c>
      <c r="O154" t="s">
        <v>1086</v>
      </c>
      <c r="P154" t="s">
        <v>1088</v>
      </c>
      <c r="R154" t="s">
        <v>1088</v>
      </c>
      <c r="S154" t="s">
        <v>1088</v>
      </c>
      <c r="U154" t="s">
        <v>487</v>
      </c>
    </row>
    <row r="155" spans="1:21" x14ac:dyDescent="0.35">
      <c r="A155">
        <v>165</v>
      </c>
      <c r="B155" t="s">
        <v>1085</v>
      </c>
      <c r="D155" t="s">
        <v>495</v>
      </c>
      <c r="E155" t="s">
        <v>501</v>
      </c>
      <c r="F155">
        <v>44586</v>
      </c>
      <c r="H155" t="s">
        <v>486</v>
      </c>
      <c r="K155">
        <v>650</v>
      </c>
      <c r="L155">
        <v>800</v>
      </c>
      <c r="M155">
        <v>725</v>
      </c>
      <c r="O155" t="s">
        <v>1086</v>
      </c>
      <c r="P155">
        <v>0</v>
      </c>
      <c r="R155">
        <v>-725</v>
      </c>
      <c r="S155">
        <v>-1</v>
      </c>
      <c r="U155" t="s">
        <v>487</v>
      </c>
    </row>
    <row r="156" spans="1:21" x14ac:dyDescent="0.35">
      <c r="A156">
        <v>164</v>
      </c>
      <c r="B156" t="s">
        <v>1085</v>
      </c>
      <c r="D156" t="s">
        <v>462</v>
      </c>
      <c r="E156" t="s">
        <v>591</v>
      </c>
      <c r="F156">
        <v>44586</v>
      </c>
      <c r="H156" t="s">
        <v>486</v>
      </c>
      <c r="K156">
        <v>140</v>
      </c>
      <c r="L156">
        <v>150</v>
      </c>
      <c r="M156">
        <v>145</v>
      </c>
      <c r="O156" t="s">
        <v>1086</v>
      </c>
      <c r="P156">
        <v>0</v>
      </c>
      <c r="R156">
        <v>-145</v>
      </c>
      <c r="S156">
        <v>-1</v>
      </c>
      <c r="U156" t="s">
        <v>487</v>
      </c>
    </row>
    <row r="157" spans="1:21" x14ac:dyDescent="0.35">
      <c r="A157">
        <v>163</v>
      </c>
      <c r="B157" t="s">
        <v>1085</v>
      </c>
      <c r="D157" t="s">
        <v>478</v>
      </c>
      <c r="E157" t="s">
        <v>592</v>
      </c>
      <c r="F157">
        <v>44586</v>
      </c>
      <c r="H157" t="s">
        <v>486</v>
      </c>
      <c r="K157">
        <v>80</v>
      </c>
      <c r="L157">
        <v>85</v>
      </c>
      <c r="M157">
        <v>82.5</v>
      </c>
      <c r="O157" t="s">
        <v>1086</v>
      </c>
      <c r="P157">
        <v>0</v>
      </c>
      <c r="R157">
        <v>-82.5</v>
      </c>
      <c r="S157">
        <v>-1</v>
      </c>
      <c r="U157" t="s">
        <v>487</v>
      </c>
    </row>
    <row r="158" spans="1:21" x14ac:dyDescent="0.35">
      <c r="A158">
        <v>162</v>
      </c>
      <c r="B158" t="s">
        <v>1085</v>
      </c>
      <c r="D158" t="s">
        <v>593</v>
      </c>
      <c r="F158">
        <v>44586</v>
      </c>
      <c r="H158" t="s">
        <v>486</v>
      </c>
      <c r="K158">
        <v>15</v>
      </c>
      <c r="L158">
        <v>20</v>
      </c>
      <c r="M158">
        <v>17.5</v>
      </c>
      <c r="O158" t="s">
        <v>1086</v>
      </c>
      <c r="P158" t="s">
        <v>1088</v>
      </c>
      <c r="R158" t="s">
        <v>1088</v>
      </c>
      <c r="S158" t="s">
        <v>1088</v>
      </c>
      <c r="U158" t="s">
        <v>487</v>
      </c>
    </row>
    <row r="159" spans="1:21" x14ac:dyDescent="0.35">
      <c r="A159">
        <v>161</v>
      </c>
      <c r="B159" t="s">
        <v>1085</v>
      </c>
      <c r="D159" t="s">
        <v>594</v>
      </c>
      <c r="F159">
        <v>44586</v>
      </c>
      <c r="H159" t="s">
        <v>486</v>
      </c>
      <c r="K159">
        <v>30</v>
      </c>
      <c r="L159">
        <v>36</v>
      </c>
      <c r="M159">
        <v>33</v>
      </c>
      <c r="O159" t="s">
        <v>1086</v>
      </c>
      <c r="P159" t="s">
        <v>1088</v>
      </c>
      <c r="R159" t="s">
        <v>1088</v>
      </c>
      <c r="S159" t="s">
        <v>1088</v>
      </c>
      <c r="U159" t="s">
        <v>487</v>
      </c>
    </row>
    <row r="160" spans="1:21" x14ac:dyDescent="0.35">
      <c r="A160">
        <v>160</v>
      </c>
      <c r="B160" t="s">
        <v>1085</v>
      </c>
      <c r="D160" t="s">
        <v>466</v>
      </c>
      <c r="E160" t="s">
        <v>595</v>
      </c>
      <c r="F160">
        <v>44586</v>
      </c>
      <c r="H160" t="s">
        <v>486</v>
      </c>
      <c r="K160">
        <v>0</v>
      </c>
      <c r="L160">
        <v>0.02</v>
      </c>
      <c r="M160">
        <v>0.01</v>
      </c>
      <c r="O160" t="s">
        <v>1086</v>
      </c>
      <c r="P160" t="s">
        <v>1088</v>
      </c>
      <c r="R160" t="s">
        <v>1088</v>
      </c>
      <c r="S160" t="s">
        <v>1088</v>
      </c>
      <c r="U160" t="s">
        <v>487</v>
      </c>
    </row>
    <row r="161" spans="1:21" x14ac:dyDescent="0.35">
      <c r="A161">
        <v>159</v>
      </c>
    </row>
    <row r="162" spans="1:21" x14ac:dyDescent="0.35">
      <c r="A162">
        <v>158</v>
      </c>
      <c r="B162" t="s">
        <v>1087</v>
      </c>
      <c r="D162" t="s">
        <v>61</v>
      </c>
      <c r="E162" t="s">
        <v>293</v>
      </c>
      <c r="F162">
        <v>44586</v>
      </c>
      <c r="G162" t="s">
        <v>1066</v>
      </c>
      <c r="H162" t="s">
        <v>584</v>
      </c>
      <c r="K162">
        <v>1620</v>
      </c>
      <c r="L162">
        <v>1640</v>
      </c>
      <c r="M162">
        <v>1630</v>
      </c>
      <c r="O162" t="s">
        <v>1054</v>
      </c>
      <c r="P162">
        <v>1686.6659999999999</v>
      </c>
      <c r="R162">
        <v>56.66599999999994</v>
      </c>
      <c r="S162">
        <v>3.4764417177914071E-2</v>
      </c>
      <c r="U162" t="s">
        <v>487</v>
      </c>
    </row>
    <row r="163" spans="1:21" x14ac:dyDescent="0.35">
      <c r="A163">
        <v>157</v>
      </c>
      <c r="B163" t="s">
        <v>1087</v>
      </c>
      <c r="D163" t="s">
        <v>94</v>
      </c>
      <c r="E163" t="s">
        <v>296</v>
      </c>
      <c r="F163">
        <v>44586</v>
      </c>
      <c r="G163" t="s">
        <v>1066</v>
      </c>
      <c r="H163" t="s">
        <v>584</v>
      </c>
      <c r="K163">
        <v>-75</v>
      </c>
      <c r="L163">
        <v>-65</v>
      </c>
      <c r="M163">
        <v>-70</v>
      </c>
      <c r="O163" t="s">
        <v>1054</v>
      </c>
      <c r="P163">
        <v>-67.626000000000005</v>
      </c>
      <c r="R163">
        <v>2.3739999999999952</v>
      </c>
      <c r="S163">
        <v>3.3914285714285647E-2</v>
      </c>
      <c r="U163" t="s">
        <v>487</v>
      </c>
    </row>
    <row r="164" spans="1:21" x14ac:dyDescent="0.35">
      <c r="A164">
        <v>156</v>
      </c>
      <c r="B164" t="s">
        <v>1087</v>
      </c>
      <c r="D164" t="s">
        <v>391</v>
      </c>
      <c r="F164">
        <v>44586</v>
      </c>
      <c r="G164" t="s">
        <v>1066</v>
      </c>
      <c r="H164" t="s">
        <v>584</v>
      </c>
      <c r="K164">
        <v>0.27</v>
      </c>
      <c r="L164">
        <v>0.3</v>
      </c>
      <c r="M164">
        <v>0.28500000000000003</v>
      </c>
      <c r="O164" t="s">
        <v>1054</v>
      </c>
      <c r="P164">
        <v>0.27257027074805895</v>
      </c>
      <c r="R164">
        <v>-1.242972925194108E-2</v>
      </c>
      <c r="S164">
        <v>-4.3613085094530102E-2</v>
      </c>
      <c r="U164" t="s">
        <v>487</v>
      </c>
    </row>
    <row r="165" spans="1:21" x14ac:dyDescent="0.35">
      <c r="A165">
        <v>155</v>
      </c>
      <c r="B165" t="s">
        <v>1087</v>
      </c>
      <c r="D165" t="s">
        <v>67</v>
      </c>
      <c r="E165" t="s">
        <v>298</v>
      </c>
      <c r="F165">
        <v>44586</v>
      </c>
      <c r="G165" t="s">
        <v>1066</v>
      </c>
      <c r="H165" t="s">
        <v>584</v>
      </c>
      <c r="K165">
        <v>142</v>
      </c>
      <c r="L165">
        <v>150</v>
      </c>
      <c r="M165">
        <v>146</v>
      </c>
      <c r="O165" t="s">
        <v>1054</v>
      </c>
      <c r="P165">
        <v>156.62799999999993</v>
      </c>
      <c r="R165">
        <v>10.627999999999929</v>
      </c>
      <c r="S165">
        <v>7.2794520547944719E-2</v>
      </c>
      <c r="U165" t="s">
        <v>487</v>
      </c>
    </row>
    <row r="166" spans="1:21" x14ac:dyDescent="0.35">
      <c r="A166">
        <v>154</v>
      </c>
      <c r="B166" t="s">
        <v>1087</v>
      </c>
      <c r="D166" t="s">
        <v>66</v>
      </c>
      <c r="E166" t="s">
        <v>415</v>
      </c>
      <c r="F166">
        <v>44586</v>
      </c>
      <c r="G166" t="s">
        <v>1066</v>
      </c>
      <c r="H166" t="s">
        <v>584</v>
      </c>
      <c r="K166">
        <v>20</v>
      </c>
      <c r="L166">
        <v>22</v>
      </c>
      <c r="M166">
        <v>21</v>
      </c>
      <c r="O166" t="s">
        <v>1054</v>
      </c>
      <c r="P166">
        <v>18.57</v>
      </c>
      <c r="R166">
        <v>-2.4299999999999997</v>
      </c>
      <c r="S166">
        <v>-0.1157142857142857</v>
      </c>
      <c r="U166" t="s">
        <v>487</v>
      </c>
    </row>
    <row r="167" spans="1:21" x14ac:dyDescent="0.35">
      <c r="A167">
        <v>153</v>
      </c>
      <c r="B167" t="s">
        <v>1087</v>
      </c>
      <c r="D167" t="s">
        <v>533</v>
      </c>
      <c r="E167" t="s">
        <v>543</v>
      </c>
      <c r="F167">
        <v>44586</v>
      </c>
      <c r="G167" t="s">
        <v>1066</v>
      </c>
      <c r="H167" t="s">
        <v>584</v>
      </c>
      <c r="K167">
        <v>13</v>
      </c>
      <c r="L167">
        <v>13</v>
      </c>
      <c r="M167">
        <v>13</v>
      </c>
      <c r="O167" t="s">
        <v>1054</v>
      </c>
      <c r="P167">
        <v>0</v>
      </c>
      <c r="R167">
        <v>-13</v>
      </c>
      <c r="S167">
        <v>-1</v>
      </c>
      <c r="U167" t="s">
        <v>487</v>
      </c>
    </row>
    <row r="168" spans="1:21" x14ac:dyDescent="0.35">
      <c r="A168">
        <v>152</v>
      </c>
      <c r="B168" t="s">
        <v>1087</v>
      </c>
      <c r="D168" t="s">
        <v>504</v>
      </c>
      <c r="E168" t="s">
        <v>483</v>
      </c>
      <c r="F168">
        <v>44586</v>
      </c>
      <c r="G168" t="s">
        <v>1066</v>
      </c>
      <c r="H168" t="s">
        <v>584</v>
      </c>
      <c r="K168">
        <v>175</v>
      </c>
      <c r="L168">
        <v>185</v>
      </c>
      <c r="M168">
        <v>180</v>
      </c>
      <c r="O168" t="s">
        <v>1054</v>
      </c>
      <c r="P168">
        <v>188.16599999999994</v>
      </c>
      <c r="R168">
        <v>8.16599999999994</v>
      </c>
      <c r="S168">
        <v>4.5366666666666333E-2</v>
      </c>
      <c r="U168" t="s">
        <v>487</v>
      </c>
    </row>
    <row r="169" spans="1:21" x14ac:dyDescent="0.35">
      <c r="A169">
        <v>151</v>
      </c>
      <c r="B169" t="s">
        <v>1087</v>
      </c>
      <c r="D169" t="s">
        <v>463</v>
      </c>
      <c r="E169" t="s">
        <v>588</v>
      </c>
      <c r="F169">
        <v>44586</v>
      </c>
      <c r="G169" t="s">
        <v>1066</v>
      </c>
      <c r="H169" t="s">
        <v>584</v>
      </c>
      <c r="K169">
        <v>8000</v>
      </c>
      <c r="L169">
        <v>8000</v>
      </c>
      <c r="M169">
        <v>8000</v>
      </c>
      <c r="O169" t="s">
        <v>1054</v>
      </c>
      <c r="P169">
        <v>0</v>
      </c>
      <c r="R169">
        <v>-8000</v>
      </c>
      <c r="S169">
        <v>-1</v>
      </c>
      <c r="U169" t="s">
        <v>487</v>
      </c>
    </row>
    <row r="170" spans="1:21" x14ac:dyDescent="0.35">
      <c r="A170">
        <v>150</v>
      </c>
      <c r="B170" t="s">
        <v>1087</v>
      </c>
      <c r="D170" t="s">
        <v>464</v>
      </c>
      <c r="E170" t="s">
        <v>596</v>
      </c>
      <c r="F170">
        <v>44586</v>
      </c>
      <c r="G170" t="s">
        <v>1066</v>
      </c>
      <c r="H170" t="s">
        <v>584</v>
      </c>
      <c r="K170">
        <v>7600</v>
      </c>
      <c r="L170">
        <v>7600</v>
      </c>
      <c r="M170">
        <v>7600</v>
      </c>
      <c r="O170" t="s">
        <v>1054</v>
      </c>
      <c r="P170">
        <v>0</v>
      </c>
      <c r="R170">
        <v>-7600</v>
      </c>
      <c r="S170">
        <v>-1</v>
      </c>
      <c r="U170" t="s">
        <v>487</v>
      </c>
    </row>
    <row r="171" spans="1:21" x14ac:dyDescent="0.35">
      <c r="A171">
        <v>149</v>
      </c>
    </row>
    <row r="172" spans="1:21" x14ac:dyDescent="0.35">
      <c r="A172">
        <v>148</v>
      </c>
      <c r="B172" t="s">
        <v>1087</v>
      </c>
      <c r="D172" t="s">
        <v>61</v>
      </c>
      <c r="E172" t="s">
        <v>293</v>
      </c>
      <c r="F172">
        <v>44586</v>
      </c>
      <c r="G172" t="s">
        <v>1066</v>
      </c>
      <c r="H172" t="s">
        <v>599</v>
      </c>
      <c r="K172">
        <v>405</v>
      </c>
      <c r="L172">
        <v>415</v>
      </c>
      <c r="M172">
        <v>410</v>
      </c>
      <c r="O172" t="s">
        <v>1054</v>
      </c>
      <c r="P172">
        <v>421.72199999999998</v>
      </c>
      <c r="R172">
        <v>11.72199999999998</v>
      </c>
      <c r="S172">
        <v>2.8590243902438976E-2</v>
      </c>
      <c r="U172" t="s">
        <v>487</v>
      </c>
    </row>
    <row r="173" spans="1:21" x14ac:dyDescent="0.35">
      <c r="A173">
        <v>147</v>
      </c>
      <c r="B173" t="s">
        <v>1087</v>
      </c>
      <c r="D173" t="s">
        <v>94</v>
      </c>
      <c r="E173" t="s">
        <v>296</v>
      </c>
      <c r="F173">
        <v>44586</v>
      </c>
      <c r="G173" t="s">
        <v>1066</v>
      </c>
      <c r="H173" t="s">
        <v>599</v>
      </c>
      <c r="K173">
        <v>-18</v>
      </c>
      <c r="L173">
        <v>-15</v>
      </c>
      <c r="M173">
        <v>-16.5</v>
      </c>
      <c r="O173" t="s">
        <v>1054</v>
      </c>
      <c r="P173">
        <v>-18.436</v>
      </c>
      <c r="R173">
        <v>-1.9359999999999999</v>
      </c>
      <c r="S173">
        <v>-0.11733333333333333</v>
      </c>
      <c r="U173" t="s">
        <v>487</v>
      </c>
    </row>
    <row r="174" spans="1:21" x14ac:dyDescent="0.35">
      <c r="A174">
        <v>146</v>
      </c>
      <c r="B174" t="s">
        <v>1087</v>
      </c>
      <c r="D174" t="s">
        <v>67</v>
      </c>
      <c r="E174" t="s">
        <v>298</v>
      </c>
      <c r="F174">
        <v>44586</v>
      </c>
      <c r="G174" t="s">
        <v>1066</v>
      </c>
      <c r="H174" t="s">
        <v>599</v>
      </c>
      <c r="K174">
        <v>50.7</v>
      </c>
      <c r="L174">
        <v>54.7</v>
      </c>
      <c r="M174">
        <v>52.7</v>
      </c>
      <c r="O174" t="s">
        <v>1054</v>
      </c>
      <c r="P174">
        <v>60.593999999999994</v>
      </c>
      <c r="R174">
        <v>7.8939999999999912</v>
      </c>
      <c r="S174">
        <v>0.1497912713472484</v>
      </c>
      <c r="U174" t="s">
        <v>487</v>
      </c>
    </row>
    <row r="175" spans="1:21" x14ac:dyDescent="0.35">
      <c r="A175">
        <v>145</v>
      </c>
      <c r="B175" t="s">
        <v>1087</v>
      </c>
      <c r="D175" t="s">
        <v>66</v>
      </c>
      <c r="E175" t="s">
        <v>415</v>
      </c>
      <c r="F175">
        <v>44586</v>
      </c>
      <c r="G175" t="s">
        <v>1066</v>
      </c>
      <c r="H175" t="s">
        <v>599</v>
      </c>
      <c r="K175">
        <v>6</v>
      </c>
      <c r="L175">
        <v>7</v>
      </c>
      <c r="M175">
        <v>6.5</v>
      </c>
      <c r="O175" t="s">
        <v>1054</v>
      </c>
      <c r="P175">
        <v>5.5760000000000005</v>
      </c>
      <c r="R175">
        <v>-0.92399999999999949</v>
      </c>
      <c r="S175">
        <v>-0.14215384615384608</v>
      </c>
      <c r="U175" t="s">
        <v>487</v>
      </c>
    </row>
    <row r="176" spans="1:21" x14ac:dyDescent="0.35">
      <c r="A176">
        <v>144</v>
      </c>
      <c r="B176" t="s">
        <v>1087</v>
      </c>
      <c r="D176" t="s">
        <v>533</v>
      </c>
      <c r="E176" t="s">
        <v>543</v>
      </c>
      <c r="F176">
        <v>44586</v>
      </c>
      <c r="G176" t="s">
        <v>1066</v>
      </c>
      <c r="H176" t="s">
        <v>599</v>
      </c>
      <c r="K176">
        <v>3.3</v>
      </c>
      <c r="L176">
        <v>3.3</v>
      </c>
      <c r="M176">
        <v>3.3</v>
      </c>
      <c r="O176" t="s">
        <v>1054</v>
      </c>
      <c r="P176">
        <v>3.27</v>
      </c>
      <c r="R176">
        <v>-2.9999999999999805E-2</v>
      </c>
      <c r="S176">
        <v>-9.0909090909090315E-3</v>
      </c>
      <c r="U176" t="s">
        <v>487</v>
      </c>
    </row>
    <row r="177" spans="1:21" x14ac:dyDescent="0.35">
      <c r="A177">
        <v>143</v>
      </c>
      <c r="B177" t="s">
        <v>1087</v>
      </c>
      <c r="D177" t="s">
        <v>504</v>
      </c>
      <c r="E177" t="s">
        <v>483</v>
      </c>
      <c r="F177">
        <v>44586</v>
      </c>
      <c r="G177" t="s">
        <v>1066</v>
      </c>
      <c r="H177" t="s">
        <v>599</v>
      </c>
      <c r="K177">
        <v>60</v>
      </c>
      <c r="L177">
        <v>65</v>
      </c>
      <c r="M177">
        <v>62.5</v>
      </c>
      <c r="O177" t="s">
        <v>1054</v>
      </c>
      <c r="P177">
        <v>69.439999999999984</v>
      </c>
      <c r="R177">
        <v>6.9399999999999835</v>
      </c>
      <c r="S177">
        <v>0.11103999999999974</v>
      </c>
      <c r="U177" t="s">
        <v>487</v>
      </c>
    </row>
    <row r="178" spans="1:21" x14ac:dyDescent="0.35">
      <c r="A178">
        <v>142</v>
      </c>
    </row>
    <row r="179" spans="1:21" x14ac:dyDescent="0.35">
      <c r="A179">
        <v>141</v>
      </c>
      <c r="B179" t="s">
        <v>1085</v>
      </c>
      <c r="D179" t="s">
        <v>61</v>
      </c>
      <c r="E179" t="s">
        <v>293</v>
      </c>
      <c r="F179">
        <v>44550</v>
      </c>
      <c r="H179" t="s">
        <v>486</v>
      </c>
      <c r="K179">
        <v>1900</v>
      </c>
      <c r="L179">
        <v>2200</v>
      </c>
      <c r="M179">
        <v>2050</v>
      </c>
      <c r="O179" t="s">
        <v>1086</v>
      </c>
      <c r="P179">
        <v>2242.7517215999997</v>
      </c>
      <c r="R179">
        <v>192.75172159999966</v>
      </c>
      <c r="S179">
        <v>9.4025230048780314E-2</v>
      </c>
      <c r="U179" t="s">
        <v>487</v>
      </c>
    </row>
    <row r="180" spans="1:21" x14ac:dyDescent="0.35">
      <c r="A180">
        <v>140</v>
      </c>
      <c r="B180" t="s">
        <v>1085</v>
      </c>
      <c r="D180" t="s">
        <v>504</v>
      </c>
      <c r="E180" t="s">
        <v>483</v>
      </c>
      <c r="F180">
        <v>44550</v>
      </c>
      <c r="H180" t="s">
        <v>486</v>
      </c>
      <c r="K180">
        <v>250</v>
      </c>
      <c r="L180">
        <v>350</v>
      </c>
      <c r="M180">
        <v>300</v>
      </c>
      <c r="O180" t="s">
        <v>1086</v>
      </c>
      <c r="P180">
        <v>351.54445238400001</v>
      </c>
      <c r="R180">
        <v>51.54445238400001</v>
      </c>
      <c r="S180">
        <v>0.17181484128000005</v>
      </c>
      <c r="U180" t="s">
        <v>487</v>
      </c>
    </row>
    <row r="181" spans="1:21" x14ac:dyDescent="0.35">
      <c r="A181">
        <v>139</v>
      </c>
      <c r="B181" t="s">
        <v>1085</v>
      </c>
      <c r="D181" t="s">
        <v>494</v>
      </c>
      <c r="E181" t="s">
        <v>590</v>
      </c>
      <c r="F181">
        <v>44550</v>
      </c>
      <c r="H181" t="s">
        <v>486</v>
      </c>
      <c r="K181">
        <v>1250</v>
      </c>
      <c r="L181">
        <v>1400</v>
      </c>
      <c r="M181">
        <v>1325</v>
      </c>
      <c r="O181" t="s">
        <v>1086</v>
      </c>
      <c r="P181">
        <v>0</v>
      </c>
      <c r="R181">
        <v>-1325</v>
      </c>
      <c r="S181">
        <v>-1</v>
      </c>
      <c r="U181" t="s">
        <v>487</v>
      </c>
    </row>
    <row r="182" spans="1:21" x14ac:dyDescent="0.35">
      <c r="A182">
        <v>138</v>
      </c>
      <c r="B182" t="s">
        <v>1085</v>
      </c>
      <c r="D182" t="s">
        <v>477</v>
      </c>
      <c r="E182" t="s">
        <v>586</v>
      </c>
      <c r="F182">
        <v>44550</v>
      </c>
      <c r="H182" t="s">
        <v>486</v>
      </c>
      <c r="K182">
        <v>170</v>
      </c>
      <c r="L182">
        <v>180</v>
      </c>
      <c r="M182">
        <v>175</v>
      </c>
      <c r="O182" t="s">
        <v>1086</v>
      </c>
      <c r="P182">
        <v>0</v>
      </c>
      <c r="R182">
        <v>-175</v>
      </c>
      <c r="S182">
        <v>-1</v>
      </c>
      <c r="U182" t="s">
        <v>487</v>
      </c>
    </row>
    <row r="183" spans="1:21" x14ac:dyDescent="0.35">
      <c r="A183">
        <v>137</v>
      </c>
      <c r="B183" t="s">
        <v>1085</v>
      </c>
      <c r="D183" t="s">
        <v>600</v>
      </c>
      <c r="F183">
        <v>44550</v>
      </c>
      <c r="H183" t="s">
        <v>486</v>
      </c>
      <c r="K183">
        <v>8</v>
      </c>
      <c r="L183">
        <v>10</v>
      </c>
      <c r="M183">
        <v>9</v>
      </c>
      <c r="O183" t="s">
        <v>1086</v>
      </c>
      <c r="P183" t="s">
        <v>1088</v>
      </c>
      <c r="R183" t="s">
        <v>1088</v>
      </c>
      <c r="S183" t="s">
        <v>1088</v>
      </c>
      <c r="U183" t="s">
        <v>487</v>
      </c>
    </row>
    <row r="184" spans="1:21" x14ac:dyDescent="0.35">
      <c r="A184">
        <v>136</v>
      </c>
      <c r="B184" t="s">
        <v>1085</v>
      </c>
      <c r="D184" t="s">
        <v>587</v>
      </c>
      <c r="F184">
        <v>44550</v>
      </c>
      <c r="H184" t="s">
        <v>486</v>
      </c>
      <c r="K184">
        <v>34</v>
      </c>
      <c r="L184">
        <v>36</v>
      </c>
      <c r="M184">
        <v>35</v>
      </c>
      <c r="O184" t="s">
        <v>1086</v>
      </c>
      <c r="P184" t="s">
        <v>1088</v>
      </c>
      <c r="R184" t="s">
        <v>1088</v>
      </c>
      <c r="S184" t="s">
        <v>1088</v>
      </c>
      <c r="U184" t="s">
        <v>487</v>
      </c>
    </row>
    <row r="185" spans="1:21" x14ac:dyDescent="0.35">
      <c r="A185">
        <v>135</v>
      </c>
      <c r="B185" t="s">
        <v>1085</v>
      </c>
      <c r="D185" t="s">
        <v>465</v>
      </c>
      <c r="E185" t="s">
        <v>589</v>
      </c>
      <c r="F185">
        <v>44550</v>
      </c>
      <c r="H185" t="s">
        <v>486</v>
      </c>
      <c r="K185">
        <v>0</v>
      </c>
      <c r="L185">
        <v>0.02</v>
      </c>
      <c r="M185">
        <v>0.01</v>
      </c>
      <c r="O185" t="s">
        <v>1086</v>
      </c>
      <c r="P185" t="s">
        <v>1088</v>
      </c>
      <c r="R185" t="s">
        <v>1088</v>
      </c>
      <c r="S185" t="s">
        <v>1088</v>
      </c>
      <c r="U185" t="s">
        <v>487</v>
      </c>
    </row>
    <row r="186" spans="1:21" x14ac:dyDescent="0.35">
      <c r="A186">
        <v>134</v>
      </c>
      <c r="B186" t="s">
        <v>1085</v>
      </c>
      <c r="D186" t="s">
        <v>495</v>
      </c>
      <c r="E186" t="s">
        <v>501</v>
      </c>
      <c r="F186">
        <v>44550</v>
      </c>
      <c r="H186" t="s">
        <v>486</v>
      </c>
      <c r="K186">
        <v>650</v>
      </c>
      <c r="L186">
        <v>800</v>
      </c>
      <c r="M186">
        <v>725</v>
      </c>
      <c r="O186" t="s">
        <v>1086</v>
      </c>
      <c r="P186">
        <v>0</v>
      </c>
      <c r="R186">
        <v>-725</v>
      </c>
      <c r="S186">
        <v>-1</v>
      </c>
      <c r="U186" t="s">
        <v>487</v>
      </c>
    </row>
    <row r="187" spans="1:21" x14ac:dyDescent="0.35">
      <c r="A187">
        <v>133</v>
      </c>
      <c r="B187" t="s">
        <v>1085</v>
      </c>
      <c r="D187" t="s">
        <v>462</v>
      </c>
      <c r="E187" t="s">
        <v>591</v>
      </c>
      <c r="F187">
        <v>44550</v>
      </c>
      <c r="H187" t="s">
        <v>486</v>
      </c>
      <c r="K187">
        <v>140</v>
      </c>
      <c r="L187">
        <v>150</v>
      </c>
      <c r="M187">
        <v>145</v>
      </c>
      <c r="O187" t="s">
        <v>1086</v>
      </c>
      <c r="P187">
        <v>0</v>
      </c>
      <c r="R187">
        <v>-145</v>
      </c>
      <c r="S187">
        <v>-1</v>
      </c>
      <c r="U187" t="s">
        <v>487</v>
      </c>
    </row>
    <row r="188" spans="1:21" x14ac:dyDescent="0.35">
      <c r="A188">
        <v>132</v>
      </c>
      <c r="B188" t="s">
        <v>1085</v>
      </c>
      <c r="D188" t="s">
        <v>478</v>
      </c>
      <c r="E188" t="s">
        <v>592</v>
      </c>
      <c r="F188">
        <v>44550</v>
      </c>
      <c r="H188" t="s">
        <v>486</v>
      </c>
      <c r="K188">
        <v>80</v>
      </c>
      <c r="L188">
        <v>85</v>
      </c>
      <c r="M188">
        <v>82.5</v>
      </c>
      <c r="O188" t="s">
        <v>1086</v>
      </c>
      <c r="P188">
        <v>0</v>
      </c>
      <c r="R188">
        <v>-82.5</v>
      </c>
      <c r="S188">
        <v>-1</v>
      </c>
      <c r="U188" t="s">
        <v>487</v>
      </c>
    </row>
    <row r="189" spans="1:21" x14ac:dyDescent="0.35">
      <c r="A189">
        <v>131</v>
      </c>
      <c r="B189" t="s">
        <v>1085</v>
      </c>
      <c r="D189" t="s">
        <v>593</v>
      </c>
      <c r="F189">
        <v>44550</v>
      </c>
      <c r="H189" t="s">
        <v>486</v>
      </c>
      <c r="K189">
        <v>15</v>
      </c>
      <c r="L189">
        <v>20</v>
      </c>
      <c r="M189">
        <v>17.5</v>
      </c>
      <c r="O189" t="s">
        <v>1086</v>
      </c>
      <c r="P189" t="s">
        <v>1088</v>
      </c>
      <c r="R189" t="s">
        <v>1088</v>
      </c>
      <c r="S189" t="s">
        <v>1088</v>
      </c>
      <c r="U189" t="s">
        <v>487</v>
      </c>
    </row>
    <row r="190" spans="1:21" x14ac:dyDescent="0.35">
      <c r="A190">
        <v>130</v>
      </c>
      <c r="B190" t="s">
        <v>1085</v>
      </c>
      <c r="D190" t="s">
        <v>594</v>
      </c>
      <c r="F190">
        <v>44550</v>
      </c>
      <c r="H190" t="s">
        <v>486</v>
      </c>
      <c r="K190">
        <v>30</v>
      </c>
      <c r="L190">
        <v>36</v>
      </c>
      <c r="M190">
        <v>33</v>
      </c>
      <c r="O190" t="s">
        <v>1086</v>
      </c>
      <c r="P190" t="s">
        <v>1088</v>
      </c>
      <c r="R190" t="s">
        <v>1088</v>
      </c>
      <c r="S190" t="s">
        <v>1088</v>
      </c>
      <c r="U190" t="s">
        <v>487</v>
      </c>
    </row>
    <row r="191" spans="1:21" x14ac:dyDescent="0.35">
      <c r="A191">
        <v>129</v>
      </c>
      <c r="B191" t="s">
        <v>1085</v>
      </c>
      <c r="D191" t="s">
        <v>466</v>
      </c>
      <c r="E191" t="s">
        <v>595</v>
      </c>
      <c r="F191">
        <v>44550</v>
      </c>
      <c r="H191" t="s">
        <v>486</v>
      </c>
      <c r="K191">
        <v>0</v>
      </c>
      <c r="L191">
        <v>0.02</v>
      </c>
      <c r="M191">
        <v>0.01</v>
      </c>
      <c r="O191" t="s">
        <v>1086</v>
      </c>
      <c r="P191" t="s">
        <v>1088</v>
      </c>
      <c r="R191" t="s">
        <v>1088</v>
      </c>
      <c r="S191" t="s">
        <v>1088</v>
      </c>
      <c r="U191" t="s">
        <v>487</v>
      </c>
    </row>
    <row r="192" spans="1:21" x14ac:dyDescent="0.35">
      <c r="A192">
        <v>128</v>
      </c>
    </row>
    <row r="193" spans="1:21" x14ac:dyDescent="0.35">
      <c r="A193">
        <v>127</v>
      </c>
      <c r="B193" t="s">
        <v>1087</v>
      </c>
      <c r="D193" t="s">
        <v>61</v>
      </c>
      <c r="E193" t="s">
        <v>293</v>
      </c>
      <c r="F193">
        <v>44550</v>
      </c>
      <c r="H193" t="s">
        <v>584</v>
      </c>
      <c r="K193">
        <v>1560</v>
      </c>
      <c r="L193">
        <v>1600</v>
      </c>
      <c r="M193">
        <v>1580</v>
      </c>
      <c r="O193" t="s">
        <v>1054</v>
      </c>
      <c r="P193">
        <v>1686.6659999999999</v>
      </c>
      <c r="R193">
        <v>106.66599999999994</v>
      </c>
      <c r="S193">
        <v>6.7510126582278437E-2</v>
      </c>
      <c r="U193" t="s">
        <v>487</v>
      </c>
    </row>
    <row r="194" spans="1:21" x14ac:dyDescent="0.35">
      <c r="A194">
        <v>126</v>
      </c>
      <c r="B194" t="s">
        <v>1087</v>
      </c>
      <c r="D194" t="s">
        <v>67</v>
      </c>
      <c r="E194" t="s">
        <v>298</v>
      </c>
      <c r="F194">
        <v>44550</v>
      </c>
      <c r="H194" t="s">
        <v>584</v>
      </c>
      <c r="K194">
        <v>123</v>
      </c>
      <c r="L194">
        <v>136</v>
      </c>
      <c r="M194">
        <v>129.5</v>
      </c>
      <c r="O194" t="s">
        <v>1054</v>
      </c>
      <c r="P194">
        <v>156.62799999999993</v>
      </c>
      <c r="R194">
        <v>27.127999999999929</v>
      </c>
      <c r="S194">
        <v>0.20948262548262495</v>
      </c>
      <c r="U194" t="s">
        <v>487</v>
      </c>
    </row>
    <row r="195" spans="1:21" x14ac:dyDescent="0.35">
      <c r="A195">
        <v>125</v>
      </c>
      <c r="B195" t="s">
        <v>1087</v>
      </c>
      <c r="D195" t="s">
        <v>66</v>
      </c>
      <c r="E195" t="s">
        <v>415</v>
      </c>
      <c r="F195">
        <v>44550</v>
      </c>
      <c r="H195" t="s">
        <v>584</v>
      </c>
      <c r="K195">
        <v>29</v>
      </c>
      <c r="L195">
        <v>31</v>
      </c>
      <c r="M195">
        <v>30</v>
      </c>
      <c r="O195" t="s">
        <v>1054</v>
      </c>
      <c r="P195">
        <v>18.57</v>
      </c>
      <c r="R195">
        <v>-11.43</v>
      </c>
      <c r="S195">
        <v>-0.38100000000000001</v>
      </c>
      <c r="U195" t="s">
        <v>487</v>
      </c>
    </row>
    <row r="196" spans="1:21" x14ac:dyDescent="0.35">
      <c r="A196">
        <v>124</v>
      </c>
      <c r="B196" t="s">
        <v>1087</v>
      </c>
      <c r="D196" t="s">
        <v>533</v>
      </c>
      <c r="E196" t="s">
        <v>543</v>
      </c>
      <c r="F196">
        <v>44550</v>
      </c>
      <c r="H196" t="s">
        <v>584</v>
      </c>
      <c r="K196">
        <v>13</v>
      </c>
      <c r="L196">
        <v>13</v>
      </c>
      <c r="M196">
        <v>13</v>
      </c>
      <c r="O196" t="s">
        <v>1054</v>
      </c>
      <c r="P196">
        <v>0</v>
      </c>
      <c r="R196">
        <v>-13</v>
      </c>
      <c r="S196">
        <v>-1</v>
      </c>
      <c r="U196" t="s">
        <v>487</v>
      </c>
    </row>
    <row r="197" spans="1:21" x14ac:dyDescent="0.35">
      <c r="A197">
        <v>123</v>
      </c>
      <c r="B197" t="s">
        <v>1087</v>
      </c>
      <c r="D197" t="s">
        <v>504</v>
      </c>
      <c r="E197" t="s">
        <v>483</v>
      </c>
      <c r="F197">
        <v>44550</v>
      </c>
      <c r="H197" t="s">
        <v>584</v>
      </c>
      <c r="K197">
        <v>165</v>
      </c>
      <c r="L197">
        <v>180</v>
      </c>
      <c r="M197">
        <v>172.5</v>
      </c>
      <c r="O197" t="s">
        <v>1054</v>
      </c>
      <c r="P197">
        <v>188.16599999999994</v>
      </c>
      <c r="R197">
        <v>15.66599999999994</v>
      </c>
      <c r="S197">
        <v>9.0817391304347475E-2</v>
      </c>
      <c r="U197" t="s">
        <v>487</v>
      </c>
    </row>
    <row r="198" spans="1:21" x14ac:dyDescent="0.35">
      <c r="A198">
        <v>122</v>
      </c>
      <c r="B198" t="s">
        <v>1087</v>
      </c>
      <c r="D198" t="s">
        <v>463</v>
      </c>
      <c r="E198" t="s">
        <v>588</v>
      </c>
      <c r="F198">
        <v>44550</v>
      </c>
      <c r="H198" t="s">
        <v>584</v>
      </c>
      <c r="K198">
        <v>8000</v>
      </c>
      <c r="L198">
        <v>8000</v>
      </c>
      <c r="M198">
        <v>8000</v>
      </c>
      <c r="O198" t="s">
        <v>1054</v>
      </c>
      <c r="P198">
        <v>0</v>
      </c>
      <c r="R198">
        <v>-8000</v>
      </c>
      <c r="S198">
        <v>-1</v>
      </c>
      <c r="U198" t="s">
        <v>487</v>
      </c>
    </row>
    <row r="199" spans="1:21" x14ac:dyDescent="0.35">
      <c r="A199">
        <v>121</v>
      </c>
      <c r="B199" t="s">
        <v>1087</v>
      </c>
      <c r="D199" t="s">
        <v>464</v>
      </c>
      <c r="E199" t="s">
        <v>596</v>
      </c>
      <c r="F199">
        <v>44550</v>
      </c>
      <c r="H199" t="s">
        <v>584</v>
      </c>
      <c r="K199">
        <v>7600</v>
      </c>
      <c r="L199">
        <v>7600</v>
      </c>
      <c r="M199">
        <v>7600</v>
      </c>
      <c r="O199" t="s">
        <v>1054</v>
      </c>
      <c r="P199">
        <v>0</v>
      </c>
      <c r="R199">
        <v>-7600</v>
      </c>
      <c r="S199">
        <v>-1</v>
      </c>
      <c r="U199" t="s">
        <v>487</v>
      </c>
    </row>
    <row r="200" spans="1:21" x14ac:dyDescent="0.35">
      <c r="A200">
        <v>120</v>
      </c>
    </row>
    <row r="201" spans="1:21" x14ac:dyDescent="0.35">
      <c r="A201">
        <v>119</v>
      </c>
      <c r="B201" t="s">
        <v>1087</v>
      </c>
      <c r="D201" t="s">
        <v>67</v>
      </c>
      <c r="E201" t="s">
        <v>298</v>
      </c>
      <c r="F201">
        <v>44550</v>
      </c>
      <c r="H201" t="s">
        <v>585</v>
      </c>
      <c r="K201">
        <v>44.3</v>
      </c>
      <c r="L201">
        <v>48.8</v>
      </c>
      <c r="M201">
        <v>46.55</v>
      </c>
      <c r="O201" t="s">
        <v>1054</v>
      </c>
      <c r="P201">
        <v>56.91500000000002</v>
      </c>
      <c r="R201">
        <v>10.365000000000023</v>
      </c>
      <c r="S201">
        <v>0.222663802363051</v>
      </c>
      <c r="U201" t="s">
        <v>487</v>
      </c>
    </row>
    <row r="202" spans="1:21" x14ac:dyDescent="0.35">
      <c r="A202">
        <v>118</v>
      </c>
      <c r="B202" t="s">
        <v>1087</v>
      </c>
      <c r="D202" t="s">
        <v>66</v>
      </c>
      <c r="E202" t="s">
        <v>415</v>
      </c>
      <c r="F202">
        <v>44550</v>
      </c>
      <c r="H202" t="s">
        <v>585</v>
      </c>
      <c r="K202">
        <v>7.5</v>
      </c>
      <c r="L202">
        <v>8</v>
      </c>
      <c r="M202">
        <v>7.75</v>
      </c>
      <c r="O202" t="s">
        <v>1054</v>
      </c>
      <c r="P202">
        <v>0.60200000000000031</v>
      </c>
      <c r="R202">
        <v>-7.1479999999999997</v>
      </c>
      <c r="S202">
        <v>-0.92232258064516126</v>
      </c>
      <c r="U202" t="s">
        <v>487</v>
      </c>
    </row>
    <row r="203" spans="1:21" x14ac:dyDescent="0.35">
      <c r="A203">
        <v>117</v>
      </c>
      <c r="B203" t="s">
        <v>1087</v>
      </c>
      <c r="D203" t="s">
        <v>533</v>
      </c>
      <c r="E203" t="s">
        <v>543</v>
      </c>
      <c r="F203">
        <v>44550</v>
      </c>
      <c r="H203" t="s">
        <v>585</v>
      </c>
      <c r="K203">
        <v>3.2</v>
      </c>
      <c r="L203">
        <v>3.2</v>
      </c>
      <c r="M203">
        <v>3.2</v>
      </c>
      <c r="O203" t="s">
        <v>1054</v>
      </c>
      <c r="P203">
        <v>3.214</v>
      </c>
      <c r="R203">
        <v>1.399999999999979E-2</v>
      </c>
      <c r="S203">
        <v>4.3749999999999345E-3</v>
      </c>
      <c r="U203" t="s">
        <v>487</v>
      </c>
    </row>
    <row r="204" spans="1:21" x14ac:dyDescent="0.35">
      <c r="A204">
        <v>116</v>
      </c>
      <c r="B204" t="s">
        <v>1087</v>
      </c>
      <c r="D204" t="s">
        <v>504</v>
      </c>
      <c r="E204" t="s">
        <v>483</v>
      </c>
      <c r="F204">
        <v>44550</v>
      </c>
      <c r="H204" t="s">
        <v>585</v>
      </c>
      <c r="K204">
        <v>55</v>
      </c>
      <c r="L204">
        <v>60</v>
      </c>
      <c r="M204">
        <v>57.5</v>
      </c>
      <c r="O204" t="s">
        <v>1054</v>
      </c>
      <c r="P204">
        <v>60.731000000000023</v>
      </c>
      <c r="R204">
        <v>3.231000000000023</v>
      </c>
      <c r="S204">
        <v>5.6191304347826487E-2</v>
      </c>
      <c r="U204" t="s">
        <v>487</v>
      </c>
    </row>
    <row r="205" spans="1:21" x14ac:dyDescent="0.35">
      <c r="A205">
        <v>115</v>
      </c>
    </row>
    <row r="206" spans="1:21" x14ac:dyDescent="0.35">
      <c r="A206">
        <v>114</v>
      </c>
      <c r="B206" t="s">
        <v>1087</v>
      </c>
      <c r="D206" t="s">
        <v>61</v>
      </c>
      <c r="E206" t="s">
        <v>293</v>
      </c>
      <c r="F206">
        <v>44488</v>
      </c>
      <c r="G206" t="s">
        <v>1067</v>
      </c>
      <c r="H206" t="s">
        <v>584</v>
      </c>
      <c r="K206">
        <v>1560</v>
      </c>
      <c r="L206">
        <v>1600</v>
      </c>
      <c r="M206">
        <v>1580</v>
      </c>
      <c r="O206" t="s">
        <v>1054</v>
      </c>
      <c r="P206">
        <v>1686.6659999999999</v>
      </c>
      <c r="R206">
        <v>106.66599999999994</v>
      </c>
      <c r="S206">
        <v>6.7510126582278437E-2</v>
      </c>
      <c r="U206" t="s">
        <v>295</v>
      </c>
    </row>
    <row r="207" spans="1:21" x14ac:dyDescent="0.35">
      <c r="A207">
        <v>113</v>
      </c>
      <c r="B207" t="s">
        <v>1087</v>
      </c>
      <c r="D207" t="s">
        <v>94</v>
      </c>
      <c r="E207" t="s">
        <v>296</v>
      </c>
      <c r="F207">
        <v>44488</v>
      </c>
      <c r="G207" t="s">
        <v>1067</v>
      </c>
      <c r="H207" t="s">
        <v>584</v>
      </c>
      <c r="K207">
        <v>-75</v>
      </c>
      <c r="L207">
        <v>-65</v>
      </c>
      <c r="M207">
        <v>-70</v>
      </c>
      <c r="O207" t="s">
        <v>1054</v>
      </c>
      <c r="P207">
        <v>-67.626000000000005</v>
      </c>
      <c r="R207">
        <v>2.3739999999999952</v>
      </c>
      <c r="S207">
        <v>3.3914285714285647E-2</v>
      </c>
      <c r="U207" t="s">
        <v>295</v>
      </c>
    </row>
    <row r="208" spans="1:21" x14ac:dyDescent="0.35">
      <c r="A208">
        <v>112</v>
      </c>
      <c r="B208" t="s">
        <v>1087</v>
      </c>
      <c r="D208" t="s">
        <v>391</v>
      </c>
      <c r="F208">
        <v>44488</v>
      </c>
      <c r="G208" t="s">
        <v>1067</v>
      </c>
      <c r="H208" t="s">
        <v>584</v>
      </c>
      <c r="K208">
        <v>0.28000000000000003</v>
      </c>
      <c r="L208">
        <v>0.3</v>
      </c>
      <c r="M208">
        <v>0.29000000000000004</v>
      </c>
      <c r="O208" t="s">
        <v>1054</v>
      </c>
      <c r="P208">
        <v>0.27257027074805895</v>
      </c>
      <c r="R208">
        <v>-1.7429729251941084E-2</v>
      </c>
      <c r="S208">
        <v>-6.0102514661865801E-2</v>
      </c>
      <c r="U208" t="s">
        <v>295</v>
      </c>
    </row>
    <row r="209" spans="1:21" x14ac:dyDescent="0.35">
      <c r="A209">
        <v>111</v>
      </c>
      <c r="B209" t="s">
        <v>1087</v>
      </c>
      <c r="D209" t="s">
        <v>67</v>
      </c>
      <c r="E209" t="s">
        <v>298</v>
      </c>
      <c r="F209">
        <v>44488</v>
      </c>
      <c r="G209" t="s">
        <v>1067</v>
      </c>
      <c r="H209" t="s">
        <v>584</v>
      </c>
      <c r="K209">
        <v>123</v>
      </c>
      <c r="L209">
        <v>136</v>
      </c>
      <c r="M209">
        <v>129.5</v>
      </c>
      <c r="O209" t="s">
        <v>1054</v>
      </c>
      <c r="P209">
        <v>156.62799999999993</v>
      </c>
      <c r="R209">
        <v>27.127999999999929</v>
      </c>
      <c r="S209">
        <v>0.20948262548262495</v>
      </c>
      <c r="U209" t="s">
        <v>295</v>
      </c>
    </row>
    <row r="210" spans="1:21" x14ac:dyDescent="0.35">
      <c r="A210">
        <v>110</v>
      </c>
      <c r="B210" t="s">
        <v>1087</v>
      </c>
      <c r="D210" t="s">
        <v>66</v>
      </c>
      <c r="E210" t="s">
        <v>415</v>
      </c>
      <c r="F210">
        <v>44488</v>
      </c>
      <c r="G210" t="s">
        <v>1067</v>
      </c>
      <c r="H210" t="s">
        <v>584</v>
      </c>
      <c r="K210">
        <v>29</v>
      </c>
      <c r="L210">
        <v>31</v>
      </c>
      <c r="M210">
        <v>30</v>
      </c>
      <c r="O210" t="s">
        <v>1054</v>
      </c>
      <c r="P210">
        <v>18.57</v>
      </c>
      <c r="R210">
        <v>-11.43</v>
      </c>
      <c r="S210">
        <v>-0.38100000000000001</v>
      </c>
      <c r="U210" t="s">
        <v>295</v>
      </c>
    </row>
    <row r="211" spans="1:21" x14ac:dyDescent="0.35">
      <c r="A211">
        <v>109</v>
      </c>
      <c r="B211" t="s">
        <v>1087</v>
      </c>
      <c r="D211" t="s">
        <v>533</v>
      </c>
      <c r="E211" t="s">
        <v>543</v>
      </c>
      <c r="F211">
        <v>44488</v>
      </c>
      <c r="G211" t="s">
        <v>1067</v>
      </c>
      <c r="H211" t="s">
        <v>584</v>
      </c>
      <c r="K211">
        <v>13</v>
      </c>
      <c r="L211">
        <v>13</v>
      </c>
      <c r="M211">
        <v>13</v>
      </c>
      <c r="O211" t="s">
        <v>1054</v>
      </c>
      <c r="P211">
        <v>0</v>
      </c>
      <c r="R211">
        <v>-13</v>
      </c>
      <c r="S211">
        <v>-1</v>
      </c>
      <c r="U211" t="s">
        <v>295</v>
      </c>
    </row>
    <row r="212" spans="1:21" x14ac:dyDescent="0.35">
      <c r="A212">
        <v>108</v>
      </c>
      <c r="B212" t="s">
        <v>1087</v>
      </c>
      <c r="D212" t="s">
        <v>504</v>
      </c>
      <c r="E212" t="s">
        <v>483</v>
      </c>
      <c r="F212">
        <v>44488</v>
      </c>
      <c r="G212" t="s">
        <v>1067</v>
      </c>
      <c r="H212" t="s">
        <v>584</v>
      </c>
      <c r="K212">
        <v>165</v>
      </c>
      <c r="L212">
        <v>180</v>
      </c>
      <c r="M212">
        <v>172.5</v>
      </c>
      <c r="O212" t="s">
        <v>1054</v>
      </c>
      <c r="P212">
        <v>188.16599999999994</v>
      </c>
      <c r="R212">
        <v>15.66599999999994</v>
      </c>
      <c r="S212">
        <v>9.0817391304347475E-2</v>
      </c>
      <c r="U212" t="s">
        <v>295</v>
      </c>
    </row>
    <row r="213" spans="1:21" x14ac:dyDescent="0.35">
      <c r="A213">
        <v>107</v>
      </c>
    </row>
    <row r="214" spans="1:21" x14ac:dyDescent="0.35">
      <c r="A214">
        <v>106</v>
      </c>
      <c r="B214" t="s">
        <v>1087</v>
      </c>
      <c r="D214" t="s">
        <v>61</v>
      </c>
      <c r="E214" t="s">
        <v>293</v>
      </c>
      <c r="F214">
        <v>44488</v>
      </c>
      <c r="G214" t="s">
        <v>1067</v>
      </c>
      <c r="H214" t="s">
        <v>585</v>
      </c>
      <c r="K214">
        <v>390</v>
      </c>
      <c r="L214">
        <v>400</v>
      </c>
      <c r="M214">
        <v>395</v>
      </c>
      <c r="O214" t="s">
        <v>1054</v>
      </c>
      <c r="P214">
        <v>409.50700000000001</v>
      </c>
      <c r="R214">
        <v>14.507000000000005</v>
      </c>
      <c r="S214">
        <v>3.6726582278481024E-2</v>
      </c>
      <c r="U214" t="s">
        <v>295</v>
      </c>
    </row>
    <row r="215" spans="1:21" x14ac:dyDescent="0.35">
      <c r="A215">
        <v>105</v>
      </c>
      <c r="B215" t="s">
        <v>1087</v>
      </c>
      <c r="D215" t="s">
        <v>94</v>
      </c>
      <c r="E215" t="s">
        <v>296</v>
      </c>
      <c r="F215">
        <v>44488</v>
      </c>
      <c r="G215" t="s">
        <v>1067</v>
      </c>
      <c r="H215" t="s">
        <v>585</v>
      </c>
      <c r="K215">
        <v>-17</v>
      </c>
      <c r="L215">
        <v>-14</v>
      </c>
      <c r="M215">
        <v>-15.5</v>
      </c>
      <c r="O215" t="s">
        <v>1054</v>
      </c>
      <c r="P215">
        <v>-14.151999999999997</v>
      </c>
      <c r="R215">
        <v>1.3480000000000025</v>
      </c>
      <c r="S215">
        <v>8.6967741935484039E-2</v>
      </c>
      <c r="U215" t="s">
        <v>295</v>
      </c>
    </row>
    <row r="216" spans="1:21" x14ac:dyDescent="0.35">
      <c r="A216">
        <v>104</v>
      </c>
      <c r="B216" t="s">
        <v>1087</v>
      </c>
      <c r="D216" t="s">
        <v>67</v>
      </c>
      <c r="E216" t="s">
        <v>298</v>
      </c>
      <c r="F216">
        <v>44488</v>
      </c>
      <c r="G216" t="s">
        <v>1067</v>
      </c>
      <c r="H216" t="s">
        <v>585</v>
      </c>
      <c r="K216">
        <v>44.3</v>
      </c>
      <c r="L216">
        <v>48.8</v>
      </c>
      <c r="M216">
        <v>46.55</v>
      </c>
      <c r="O216" t="s">
        <v>1054</v>
      </c>
      <c r="P216">
        <v>56.91500000000002</v>
      </c>
      <c r="R216">
        <v>10.365000000000023</v>
      </c>
      <c r="S216">
        <v>0.222663802363051</v>
      </c>
      <c r="U216" t="s">
        <v>295</v>
      </c>
    </row>
    <row r="217" spans="1:21" x14ac:dyDescent="0.35">
      <c r="A217">
        <v>103</v>
      </c>
      <c r="B217" t="s">
        <v>1087</v>
      </c>
      <c r="D217" t="s">
        <v>66</v>
      </c>
      <c r="E217" t="s">
        <v>415</v>
      </c>
      <c r="F217">
        <v>44488</v>
      </c>
      <c r="G217" t="s">
        <v>1067</v>
      </c>
      <c r="H217" t="s">
        <v>585</v>
      </c>
      <c r="K217">
        <v>7.5</v>
      </c>
      <c r="L217">
        <v>8</v>
      </c>
      <c r="M217">
        <v>7.75</v>
      </c>
      <c r="O217" t="s">
        <v>1054</v>
      </c>
      <c r="P217">
        <v>0.60200000000000031</v>
      </c>
      <c r="R217">
        <v>-7.1479999999999997</v>
      </c>
      <c r="S217">
        <v>-0.92232258064516126</v>
      </c>
      <c r="U217" t="s">
        <v>295</v>
      </c>
    </row>
    <row r="218" spans="1:21" x14ac:dyDescent="0.35">
      <c r="A218">
        <v>102</v>
      </c>
      <c r="B218" t="s">
        <v>1087</v>
      </c>
      <c r="D218" t="s">
        <v>533</v>
      </c>
      <c r="E218" t="s">
        <v>543</v>
      </c>
      <c r="F218">
        <v>44488</v>
      </c>
      <c r="G218" t="s">
        <v>1067</v>
      </c>
      <c r="H218" t="s">
        <v>585</v>
      </c>
      <c r="K218">
        <v>3.2</v>
      </c>
      <c r="L218">
        <v>3.2</v>
      </c>
      <c r="M218">
        <v>3.2</v>
      </c>
      <c r="O218" t="s">
        <v>1054</v>
      </c>
      <c r="P218">
        <v>3.214</v>
      </c>
      <c r="R218">
        <v>1.399999999999979E-2</v>
      </c>
      <c r="S218">
        <v>4.3749999999999345E-3</v>
      </c>
      <c r="U218" t="s">
        <v>295</v>
      </c>
    </row>
    <row r="219" spans="1:21" x14ac:dyDescent="0.35">
      <c r="A219">
        <v>101</v>
      </c>
      <c r="B219" t="s">
        <v>1087</v>
      </c>
      <c r="D219" t="s">
        <v>504</v>
      </c>
      <c r="E219" t="s">
        <v>483</v>
      </c>
      <c r="F219">
        <v>44488</v>
      </c>
      <c r="G219" t="s">
        <v>1067</v>
      </c>
      <c r="H219" t="s">
        <v>585</v>
      </c>
      <c r="K219">
        <v>55</v>
      </c>
      <c r="L219">
        <v>60</v>
      </c>
      <c r="M219">
        <v>57.5</v>
      </c>
      <c r="O219" t="s">
        <v>1054</v>
      </c>
      <c r="P219">
        <v>60.731000000000023</v>
      </c>
      <c r="R219">
        <v>3.231000000000023</v>
      </c>
      <c r="S219">
        <v>5.6191304347826487E-2</v>
      </c>
      <c r="U219" t="s">
        <v>295</v>
      </c>
    </row>
    <row r="220" spans="1:21" x14ac:dyDescent="0.35">
      <c r="A220">
        <v>100</v>
      </c>
    </row>
    <row r="221" spans="1:21" x14ac:dyDescent="0.35">
      <c r="A221">
        <v>99</v>
      </c>
      <c r="B221" t="s">
        <v>1087</v>
      </c>
      <c r="D221" t="s">
        <v>61</v>
      </c>
      <c r="E221" t="s">
        <v>293</v>
      </c>
      <c r="F221">
        <v>44306</v>
      </c>
      <c r="G221" t="s">
        <v>1068</v>
      </c>
      <c r="H221" t="s">
        <v>438</v>
      </c>
      <c r="K221">
        <v>1525</v>
      </c>
      <c r="L221">
        <v>1530</v>
      </c>
      <c r="M221">
        <v>1527.5</v>
      </c>
      <c r="O221" t="s">
        <v>1054</v>
      </c>
      <c r="P221">
        <v>1536.76</v>
      </c>
      <c r="R221">
        <v>9.2599999999999909</v>
      </c>
      <c r="S221">
        <v>6.062193126022907E-3</v>
      </c>
      <c r="U221" t="s">
        <v>295</v>
      </c>
    </row>
    <row r="222" spans="1:21" x14ac:dyDescent="0.35">
      <c r="A222">
        <v>98</v>
      </c>
      <c r="B222" t="s">
        <v>1087</v>
      </c>
      <c r="D222" t="s">
        <v>94</v>
      </c>
      <c r="E222" t="s">
        <v>296</v>
      </c>
      <c r="F222">
        <v>44306</v>
      </c>
      <c r="G222" t="s">
        <v>1068</v>
      </c>
      <c r="H222" t="s">
        <v>438</v>
      </c>
      <c r="K222">
        <v>-55</v>
      </c>
      <c r="L222">
        <v>-50</v>
      </c>
      <c r="M222">
        <v>-52.5</v>
      </c>
      <c r="O222" t="s">
        <v>1054</v>
      </c>
      <c r="P222">
        <v>-52.263000000000005</v>
      </c>
      <c r="R222">
        <v>0.23699999999999477</v>
      </c>
      <c r="S222">
        <v>4.5142857142856149E-3</v>
      </c>
      <c r="U222" t="s">
        <v>295</v>
      </c>
    </row>
    <row r="223" spans="1:21" x14ac:dyDescent="0.35">
      <c r="A223">
        <v>97</v>
      </c>
      <c r="B223" t="s">
        <v>1087</v>
      </c>
      <c r="D223" t="s">
        <v>391</v>
      </c>
      <c r="F223">
        <v>44306</v>
      </c>
      <c r="G223" t="s">
        <v>1068</v>
      </c>
      <c r="H223" t="s">
        <v>438</v>
      </c>
      <c r="K223">
        <v>0.27</v>
      </c>
      <c r="L223">
        <v>0.28999999999999998</v>
      </c>
      <c r="M223">
        <v>0.28000000000000003</v>
      </c>
      <c r="O223" t="s">
        <v>1054</v>
      </c>
      <c r="P223">
        <v>0.25747591966927597</v>
      </c>
      <c r="R223">
        <v>-2.2524080330724061E-2</v>
      </c>
      <c r="S223">
        <v>-8.0443144038300204E-2</v>
      </c>
      <c r="U223" t="s">
        <v>295</v>
      </c>
    </row>
    <row r="224" spans="1:21" x14ac:dyDescent="0.35">
      <c r="A224">
        <v>96</v>
      </c>
      <c r="B224" t="s">
        <v>1087</v>
      </c>
      <c r="D224" t="s">
        <v>67</v>
      </c>
      <c r="E224" t="s">
        <v>298</v>
      </c>
      <c r="F224">
        <v>44306</v>
      </c>
      <c r="G224" t="s">
        <v>1068</v>
      </c>
      <c r="H224" t="s">
        <v>438</v>
      </c>
      <c r="K224">
        <v>102.5</v>
      </c>
      <c r="L224">
        <v>103.5</v>
      </c>
      <c r="M224">
        <v>103</v>
      </c>
      <c r="O224" t="s">
        <v>1054</v>
      </c>
      <c r="P224">
        <v>110.45599999999996</v>
      </c>
      <c r="R224">
        <v>7.4559999999999604</v>
      </c>
      <c r="S224">
        <v>7.2388349514562716E-2</v>
      </c>
      <c r="U224" t="s">
        <v>295</v>
      </c>
    </row>
    <row r="225" spans="1:21" x14ac:dyDescent="0.35">
      <c r="A225">
        <v>95</v>
      </c>
      <c r="B225" t="s">
        <v>1087</v>
      </c>
      <c r="D225" t="s">
        <v>66</v>
      </c>
      <c r="E225" t="s">
        <v>415</v>
      </c>
      <c r="F225">
        <v>44306</v>
      </c>
      <c r="G225" t="s">
        <v>1068</v>
      </c>
      <c r="H225" t="s">
        <v>438</v>
      </c>
      <c r="K225">
        <v>42</v>
      </c>
      <c r="L225">
        <v>44</v>
      </c>
      <c r="M225">
        <v>43</v>
      </c>
      <c r="O225" t="s">
        <v>1054</v>
      </c>
      <c r="P225">
        <v>39.332999999999998</v>
      </c>
      <c r="R225">
        <v>-3.6670000000000016</v>
      </c>
      <c r="S225">
        <v>-8.5279069767441901E-2</v>
      </c>
      <c r="U225" t="s">
        <v>295</v>
      </c>
    </row>
    <row r="226" spans="1:21" x14ac:dyDescent="0.35">
      <c r="A226">
        <v>94</v>
      </c>
      <c r="B226" t="s">
        <v>1087</v>
      </c>
      <c r="D226" t="s">
        <v>533</v>
      </c>
      <c r="E226" t="s">
        <v>543</v>
      </c>
      <c r="F226">
        <v>44306</v>
      </c>
      <c r="G226" t="s">
        <v>1068</v>
      </c>
      <c r="H226" t="s">
        <v>438</v>
      </c>
      <c r="K226">
        <v>11.5</v>
      </c>
      <c r="L226">
        <v>11.5</v>
      </c>
      <c r="M226">
        <v>11.5</v>
      </c>
      <c r="O226" t="s">
        <v>1054</v>
      </c>
      <c r="P226">
        <v>0</v>
      </c>
      <c r="R226">
        <v>-11.5</v>
      </c>
      <c r="S226">
        <v>-1</v>
      </c>
      <c r="U226" t="s">
        <v>295</v>
      </c>
    </row>
    <row r="227" spans="1:21" x14ac:dyDescent="0.35">
      <c r="A227">
        <v>93</v>
      </c>
      <c r="B227" t="s">
        <v>1087</v>
      </c>
      <c r="D227" t="s">
        <v>504</v>
      </c>
      <c r="E227" t="s">
        <v>483</v>
      </c>
      <c r="F227">
        <v>44306</v>
      </c>
      <c r="G227" t="s">
        <v>1068</v>
      </c>
      <c r="H227" t="s">
        <v>438</v>
      </c>
      <c r="K227">
        <v>156</v>
      </c>
      <c r="L227">
        <v>159</v>
      </c>
      <c r="M227">
        <v>157.5</v>
      </c>
      <c r="O227" t="s">
        <v>1054</v>
      </c>
      <c r="P227">
        <v>161.43099999999995</v>
      </c>
      <c r="R227">
        <v>3.9309999999999548</v>
      </c>
      <c r="S227">
        <v>2.4958730158729871E-2</v>
      </c>
      <c r="U227" t="s">
        <v>295</v>
      </c>
    </row>
    <row r="228" spans="1:21" x14ac:dyDescent="0.35">
      <c r="A228">
        <v>92</v>
      </c>
    </row>
    <row r="229" spans="1:21" x14ac:dyDescent="0.35">
      <c r="A229">
        <v>91</v>
      </c>
      <c r="B229" t="s">
        <v>1087</v>
      </c>
      <c r="D229" t="s">
        <v>495</v>
      </c>
      <c r="E229" t="s">
        <v>501</v>
      </c>
      <c r="F229">
        <v>44222</v>
      </c>
      <c r="G229" t="s">
        <v>1069</v>
      </c>
      <c r="H229" t="s">
        <v>438</v>
      </c>
      <c r="K229">
        <v>250</v>
      </c>
      <c r="L229">
        <v>250</v>
      </c>
      <c r="M229">
        <v>250</v>
      </c>
      <c r="O229" t="s">
        <v>1054</v>
      </c>
      <c r="P229">
        <v>0</v>
      </c>
      <c r="R229">
        <v>-250</v>
      </c>
      <c r="S229">
        <v>-1</v>
      </c>
      <c r="U229" t="s">
        <v>487</v>
      </c>
    </row>
    <row r="230" spans="1:21" x14ac:dyDescent="0.35">
      <c r="A230">
        <v>90</v>
      </c>
      <c r="B230" t="s">
        <v>1087</v>
      </c>
      <c r="D230" t="s">
        <v>61</v>
      </c>
      <c r="E230" t="s">
        <v>293</v>
      </c>
      <c r="F230">
        <v>44222</v>
      </c>
      <c r="G230" t="s">
        <v>1069</v>
      </c>
      <c r="H230" t="s">
        <v>438</v>
      </c>
      <c r="K230">
        <v>1500</v>
      </c>
      <c r="L230">
        <v>1525</v>
      </c>
      <c r="M230">
        <v>1512.5</v>
      </c>
      <c r="O230" t="s">
        <v>1054</v>
      </c>
      <c r="P230">
        <v>1536.76</v>
      </c>
      <c r="R230">
        <v>24.259999999999991</v>
      </c>
      <c r="S230">
        <v>1.6039669421487598E-2</v>
      </c>
      <c r="U230" t="s">
        <v>295</v>
      </c>
    </row>
    <row r="231" spans="1:21" x14ac:dyDescent="0.35">
      <c r="A231">
        <v>89</v>
      </c>
      <c r="B231" t="s">
        <v>1087</v>
      </c>
      <c r="D231" t="s">
        <v>94</v>
      </c>
      <c r="E231" t="s">
        <v>296</v>
      </c>
      <c r="F231">
        <v>44222</v>
      </c>
      <c r="G231" t="s">
        <v>1069</v>
      </c>
      <c r="H231" t="s">
        <v>438</v>
      </c>
      <c r="K231">
        <v>-60</v>
      </c>
      <c r="L231">
        <v>-50</v>
      </c>
      <c r="M231">
        <v>-55</v>
      </c>
      <c r="O231" t="s">
        <v>1054</v>
      </c>
      <c r="P231">
        <v>-52.263000000000005</v>
      </c>
      <c r="R231">
        <v>2.7369999999999948</v>
      </c>
      <c r="S231">
        <v>4.9763636363636267E-2</v>
      </c>
      <c r="U231" t="s">
        <v>295</v>
      </c>
    </row>
    <row r="232" spans="1:21" x14ac:dyDescent="0.35">
      <c r="A232">
        <v>88</v>
      </c>
      <c r="B232" t="s">
        <v>1087</v>
      </c>
      <c r="D232" t="s">
        <v>391</v>
      </c>
      <c r="F232">
        <v>44222</v>
      </c>
      <c r="G232" t="s">
        <v>1069</v>
      </c>
      <c r="H232" t="s">
        <v>438</v>
      </c>
      <c r="K232">
        <v>0.26</v>
      </c>
      <c r="L232">
        <v>0.28999999999999998</v>
      </c>
      <c r="M232">
        <v>0.27500000000000002</v>
      </c>
      <c r="O232" t="s">
        <v>1054</v>
      </c>
      <c r="P232">
        <v>0.25747591966927597</v>
      </c>
      <c r="R232">
        <v>-1.7524080330724057E-2</v>
      </c>
      <c r="S232">
        <v>-6.3723928475360195E-2</v>
      </c>
      <c r="U232" t="s">
        <v>295</v>
      </c>
    </row>
    <row r="233" spans="1:21" x14ac:dyDescent="0.35">
      <c r="A233">
        <v>87</v>
      </c>
      <c r="B233" t="s">
        <v>1087</v>
      </c>
      <c r="D233" t="s">
        <v>67</v>
      </c>
      <c r="E233" t="s">
        <v>298</v>
      </c>
      <c r="F233">
        <v>44222</v>
      </c>
      <c r="G233" t="s">
        <v>1069</v>
      </c>
      <c r="H233" t="s">
        <v>438</v>
      </c>
      <c r="K233">
        <v>90.5</v>
      </c>
      <c r="L233">
        <v>98.5</v>
      </c>
      <c r="M233">
        <v>94.5</v>
      </c>
      <c r="O233" t="s">
        <v>1054</v>
      </c>
      <c r="P233">
        <v>110.45599999999996</v>
      </c>
      <c r="R233">
        <v>15.95599999999996</v>
      </c>
      <c r="S233">
        <v>0.16884656084656044</v>
      </c>
      <c r="U233" t="s">
        <v>295</v>
      </c>
    </row>
    <row r="234" spans="1:21" x14ac:dyDescent="0.35">
      <c r="A234">
        <v>86</v>
      </c>
      <c r="B234" t="s">
        <v>1087</v>
      </c>
      <c r="D234" t="s">
        <v>66</v>
      </c>
      <c r="E234" t="s">
        <v>415</v>
      </c>
      <c r="F234">
        <v>44222</v>
      </c>
      <c r="G234" t="s">
        <v>1069</v>
      </c>
      <c r="H234" t="s">
        <v>438</v>
      </c>
      <c r="K234">
        <v>43</v>
      </c>
      <c r="L234">
        <v>45</v>
      </c>
      <c r="M234">
        <v>44</v>
      </c>
      <c r="O234" t="s">
        <v>1054</v>
      </c>
      <c r="P234">
        <v>39.332999999999998</v>
      </c>
      <c r="R234">
        <v>-4.6670000000000016</v>
      </c>
      <c r="S234">
        <v>-0.10606818181818185</v>
      </c>
      <c r="U234" t="s">
        <v>295</v>
      </c>
    </row>
    <row r="235" spans="1:21" x14ac:dyDescent="0.35">
      <c r="A235">
        <v>85</v>
      </c>
      <c r="B235" t="s">
        <v>1087</v>
      </c>
      <c r="D235" t="s">
        <v>533</v>
      </c>
      <c r="E235" t="s">
        <v>543</v>
      </c>
      <c r="F235">
        <v>44222</v>
      </c>
      <c r="G235" t="s">
        <v>1069</v>
      </c>
      <c r="H235" t="s">
        <v>438</v>
      </c>
      <c r="K235">
        <v>11.5</v>
      </c>
      <c r="L235">
        <v>11.5</v>
      </c>
      <c r="M235">
        <v>11.5</v>
      </c>
      <c r="O235" t="s">
        <v>1054</v>
      </c>
      <c r="P235">
        <v>0</v>
      </c>
      <c r="R235">
        <v>-11.5</v>
      </c>
      <c r="S235">
        <v>-1</v>
      </c>
      <c r="U235" t="s">
        <v>295</v>
      </c>
    </row>
    <row r="236" spans="1:21" x14ac:dyDescent="0.35">
      <c r="A236">
        <v>84</v>
      </c>
      <c r="B236" t="s">
        <v>1087</v>
      </c>
      <c r="D236" t="s">
        <v>504</v>
      </c>
      <c r="E236" t="s">
        <v>483</v>
      </c>
      <c r="F236">
        <v>44222</v>
      </c>
      <c r="G236" t="s">
        <v>1069</v>
      </c>
      <c r="H236" t="s">
        <v>438</v>
      </c>
      <c r="K236">
        <v>145</v>
      </c>
      <c r="L236">
        <v>155</v>
      </c>
      <c r="M236">
        <v>150</v>
      </c>
      <c r="O236" t="s">
        <v>1054</v>
      </c>
      <c r="P236">
        <v>161.43099999999995</v>
      </c>
      <c r="R236">
        <v>11.430999999999955</v>
      </c>
      <c r="S236">
        <v>7.6206666666666367E-2</v>
      </c>
      <c r="U236" t="s">
        <v>295</v>
      </c>
    </row>
    <row r="237" spans="1:21" x14ac:dyDescent="0.35">
      <c r="A237">
        <v>83</v>
      </c>
    </row>
    <row r="238" spans="1:21" x14ac:dyDescent="0.35">
      <c r="A238">
        <v>82</v>
      </c>
      <c r="B238" t="s">
        <v>1087</v>
      </c>
      <c r="D238" t="s">
        <v>61</v>
      </c>
      <c r="E238" t="s">
        <v>293</v>
      </c>
      <c r="F238">
        <v>44222</v>
      </c>
      <c r="G238" t="s">
        <v>1069</v>
      </c>
      <c r="H238" t="s">
        <v>500</v>
      </c>
      <c r="K238">
        <v>375</v>
      </c>
      <c r="L238">
        <v>385</v>
      </c>
      <c r="M238">
        <v>380</v>
      </c>
      <c r="O238" t="s">
        <v>1054</v>
      </c>
      <c r="P238">
        <v>392.14499999999998</v>
      </c>
      <c r="R238">
        <v>12.144999999999982</v>
      </c>
      <c r="S238">
        <v>3.1960526315789425E-2</v>
      </c>
      <c r="U238" t="s">
        <v>295</v>
      </c>
    </row>
    <row r="239" spans="1:21" x14ac:dyDescent="0.35">
      <c r="A239">
        <v>81</v>
      </c>
      <c r="B239" t="s">
        <v>1087</v>
      </c>
      <c r="D239" t="s">
        <v>94</v>
      </c>
      <c r="E239" t="s">
        <v>296</v>
      </c>
      <c r="F239">
        <v>44222</v>
      </c>
      <c r="G239" t="s">
        <v>1069</v>
      </c>
      <c r="H239" t="s">
        <v>500</v>
      </c>
      <c r="K239">
        <v>-15</v>
      </c>
      <c r="L239">
        <v>-12</v>
      </c>
      <c r="M239">
        <v>-13.5</v>
      </c>
      <c r="O239" t="s">
        <v>1054</v>
      </c>
      <c r="P239">
        <v>-11.344000000000001</v>
      </c>
      <c r="R239">
        <v>2.1559999999999988</v>
      </c>
      <c r="S239">
        <v>0.15970370370370363</v>
      </c>
      <c r="U239" t="s">
        <v>295</v>
      </c>
    </row>
    <row r="240" spans="1:21" x14ac:dyDescent="0.35">
      <c r="A240">
        <v>80</v>
      </c>
      <c r="B240" t="s">
        <v>1087</v>
      </c>
      <c r="D240" t="s">
        <v>67</v>
      </c>
      <c r="E240" t="s">
        <v>298</v>
      </c>
      <c r="F240">
        <v>44222</v>
      </c>
      <c r="G240" t="s">
        <v>1069</v>
      </c>
      <c r="H240" t="s">
        <v>500</v>
      </c>
      <c r="K240">
        <v>30.5</v>
      </c>
      <c r="L240">
        <v>34.5</v>
      </c>
      <c r="M240">
        <v>32.5</v>
      </c>
      <c r="O240" t="s">
        <v>1054</v>
      </c>
      <c r="P240">
        <v>38.552999999999997</v>
      </c>
      <c r="R240">
        <v>6.0529999999999973</v>
      </c>
      <c r="S240">
        <v>0.18624615384615376</v>
      </c>
      <c r="U240" t="s">
        <v>295</v>
      </c>
    </row>
    <row r="241" spans="1:21" x14ac:dyDescent="0.35">
      <c r="A241">
        <v>79</v>
      </c>
      <c r="B241" t="s">
        <v>1087</v>
      </c>
      <c r="D241" t="s">
        <v>66</v>
      </c>
      <c r="E241" t="s">
        <v>415</v>
      </c>
      <c r="F241">
        <v>44222</v>
      </c>
      <c r="G241" t="s">
        <v>1069</v>
      </c>
      <c r="H241" t="s">
        <v>500</v>
      </c>
      <c r="K241">
        <v>13</v>
      </c>
      <c r="L241">
        <v>14</v>
      </c>
      <c r="M241">
        <v>13.5</v>
      </c>
      <c r="O241" t="s">
        <v>1054</v>
      </c>
      <c r="P241">
        <v>12.854000000000003</v>
      </c>
      <c r="R241">
        <v>-0.64599999999999724</v>
      </c>
      <c r="S241">
        <v>-4.7851851851851646E-2</v>
      </c>
      <c r="U241" t="s">
        <v>295</v>
      </c>
    </row>
    <row r="242" spans="1:21" x14ac:dyDescent="0.35">
      <c r="A242">
        <v>78</v>
      </c>
      <c r="B242" t="s">
        <v>1087</v>
      </c>
      <c r="D242" t="s">
        <v>533</v>
      </c>
      <c r="E242" t="s">
        <v>543</v>
      </c>
      <c r="F242">
        <v>44222</v>
      </c>
      <c r="G242" t="s">
        <v>1069</v>
      </c>
      <c r="H242" t="s">
        <v>500</v>
      </c>
      <c r="K242">
        <v>3.5</v>
      </c>
      <c r="L242">
        <v>3.5</v>
      </c>
      <c r="M242">
        <v>3.5</v>
      </c>
      <c r="O242" t="s">
        <v>1054</v>
      </c>
      <c r="P242">
        <v>3.4990000000000001</v>
      </c>
      <c r="R242">
        <v>-9.9999999999988987E-4</v>
      </c>
      <c r="S242">
        <v>-2.8571428571425424E-4</v>
      </c>
      <c r="U242" t="s">
        <v>295</v>
      </c>
    </row>
    <row r="243" spans="1:21" x14ac:dyDescent="0.35">
      <c r="A243">
        <v>77</v>
      </c>
      <c r="B243" t="s">
        <v>1087</v>
      </c>
      <c r="D243" t="s">
        <v>504</v>
      </c>
      <c r="E243" t="s">
        <v>483</v>
      </c>
      <c r="F243">
        <v>44222</v>
      </c>
      <c r="G243" t="s">
        <v>1069</v>
      </c>
      <c r="H243" t="s">
        <v>500</v>
      </c>
      <c r="K243">
        <v>47</v>
      </c>
      <c r="L243">
        <v>52</v>
      </c>
      <c r="M243">
        <v>49.5</v>
      </c>
      <c r="O243" t="s">
        <v>1054</v>
      </c>
      <c r="P243">
        <v>54.905999999999999</v>
      </c>
      <c r="R243">
        <v>5.4059999999999988</v>
      </c>
      <c r="S243">
        <v>0.10921212121212119</v>
      </c>
      <c r="U243" t="s">
        <v>295</v>
      </c>
    </row>
    <row r="245" spans="1:21" x14ac:dyDescent="0.35">
      <c r="H245" t="s">
        <v>1070</v>
      </c>
    </row>
    <row r="246" spans="1:21" x14ac:dyDescent="0.35">
      <c r="A246">
        <v>75</v>
      </c>
      <c r="B246" t="s">
        <v>1085</v>
      </c>
      <c r="D246" t="s">
        <v>61</v>
      </c>
      <c r="E246" t="s">
        <v>293</v>
      </c>
      <c r="F246">
        <v>44153</v>
      </c>
      <c r="H246" t="s">
        <v>486</v>
      </c>
      <c r="K246">
        <v>1900</v>
      </c>
      <c r="L246">
        <v>2200</v>
      </c>
      <c r="M246">
        <v>2050</v>
      </c>
      <c r="O246" t="s">
        <v>1086</v>
      </c>
      <c r="P246">
        <v>2242.7517215999997</v>
      </c>
      <c r="R246">
        <v>192.75172159999966</v>
      </c>
      <c r="S246">
        <v>9.4025230048780314E-2</v>
      </c>
      <c r="U246" t="s">
        <v>487</v>
      </c>
    </row>
    <row r="247" spans="1:21" x14ac:dyDescent="0.35">
      <c r="A247">
        <v>74</v>
      </c>
      <c r="B247" t="s">
        <v>1085</v>
      </c>
      <c r="D247" t="s">
        <v>504</v>
      </c>
      <c r="E247" t="s">
        <v>483</v>
      </c>
      <c r="F247">
        <v>44153</v>
      </c>
      <c r="H247" t="s">
        <v>486</v>
      </c>
      <c r="K247">
        <v>250</v>
      </c>
      <c r="L247">
        <v>350</v>
      </c>
      <c r="M247">
        <v>300</v>
      </c>
      <c r="O247" t="s">
        <v>1086</v>
      </c>
      <c r="P247">
        <v>351.54445238400001</v>
      </c>
      <c r="R247">
        <v>51.54445238400001</v>
      </c>
      <c r="S247">
        <v>0.17181484128000005</v>
      </c>
      <c r="U247" t="s">
        <v>487</v>
      </c>
    </row>
    <row r="248" spans="1:21" x14ac:dyDescent="0.35">
      <c r="A248">
        <v>73</v>
      </c>
      <c r="B248" t="s">
        <v>1085</v>
      </c>
      <c r="D248" t="s">
        <v>99</v>
      </c>
      <c r="E248" t="s">
        <v>488</v>
      </c>
      <c r="F248">
        <v>44153</v>
      </c>
      <c r="H248" t="s">
        <v>486</v>
      </c>
      <c r="K248">
        <v>260</v>
      </c>
      <c r="L248">
        <v>360</v>
      </c>
      <c r="M248">
        <v>310</v>
      </c>
      <c r="O248" t="s">
        <v>1086</v>
      </c>
      <c r="P248">
        <v>0</v>
      </c>
      <c r="R248">
        <v>-310</v>
      </c>
      <c r="S248">
        <v>-1</v>
      </c>
      <c r="U248" t="s">
        <v>487</v>
      </c>
    </row>
    <row r="249" spans="1:21" x14ac:dyDescent="0.35">
      <c r="A249">
        <v>72</v>
      </c>
      <c r="B249" t="s">
        <v>1085</v>
      </c>
      <c r="D249" t="s">
        <v>33</v>
      </c>
      <c r="E249" t="s">
        <v>508</v>
      </c>
      <c r="F249">
        <v>44153</v>
      </c>
      <c r="H249" t="s">
        <v>486</v>
      </c>
      <c r="K249">
        <v>0.36</v>
      </c>
      <c r="L249">
        <v>0.39</v>
      </c>
      <c r="M249">
        <v>0.375</v>
      </c>
      <c r="O249" t="s">
        <v>1086</v>
      </c>
      <c r="P249">
        <v>0</v>
      </c>
      <c r="R249">
        <v>-0.375</v>
      </c>
      <c r="S249">
        <v>-1</v>
      </c>
      <c r="U249" t="s">
        <v>487</v>
      </c>
    </row>
    <row r="250" spans="1:21" x14ac:dyDescent="0.35">
      <c r="A250">
        <v>71</v>
      </c>
      <c r="B250" t="s">
        <v>1085</v>
      </c>
      <c r="D250" t="s">
        <v>611</v>
      </c>
      <c r="E250" t="s">
        <v>489</v>
      </c>
      <c r="F250">
        <v>44153</v>
      </c>
      <c r="H250" t="s">
        <v>486</v>
      </c>
      <c r="K250">
        <v>0.21</v>
      </c>
      <c r="L250">
        <v>0.24</v>
      </c>
      <c r="M250">
        <v>0.22499999999999998</v>
      </c>
      <c r="O250" t="s">
        <v>1086</v>
      </c>
      <c r="P250">
        <v>0.19375030229696327</v>
      </c>
      <c r="R250">
        <v>-3.1249697703036705E-2</v>
      </c>
      <c r="S250">
        <v>-0.13888754534682982</v>
      </c>
      <c r="U250" t="s">
        <v>487</v>
      </c>
    </row>
    <row r="251" spans="1:21" x14ac:dyDescent="0.35">
      <c r="A251">
        <v>70</v>
      </c>
    </row>
    <row r="252" spans="1:21" x14ac:dyDescent="0.35">
      <c r="A252">
        <v>69</v>
      </c>
      <c r="B252" t="s">
        <v>1087</v>
      </c>
      <c r="D252" t="s">
        <v>61</v>
      </c>
      <c r="E252" t="s">
        <v>293</v>
      </c>
      <c r="F252">
        <v>44152</v>
      </c>
      <c r="G252" t="s">
        <v>1071</v>
      </c>
      <c r="H252" t="s">
        <v>438</v>
      </c>
      <c r="K252">
        <v>1457</v>
      </c>
      <c r="L252">
        <v>1485</v>
      </c>
      <c r="M252">
        <v>1471</v>
      </c>
      <c r="O252" t="s">
        <v>1054</v>
      </c>
      <c r="P252">
        <v>1536.76</v>
      </c>
      <c r="R252">
        <v>65.759999999999991</v>
      </c>
      <c r="S252">
        <v>4.4704282800815766E-2</v>
      </c>
      <c r="U252" t="s">
        <v>295</v>
      </c>
    </row>
    <row r="253" spans="1:21" x14ac:dyDescent="0.35">
      <c r="A253">
        <v>68</v>
      </c>
      <c r="B253" t="s">
        <v>1087</v>
      </c>
      <c r="D253" t="s">
        <v>94</v>
      </c>
      <c r="E253" t="s">
        <v>296</v>
      </c>
      <c r="F253">
        <v>44152</v>
      </c>
      <c r="H253" t="s">
        <v>438</v>
      </c>
      <c r="K253">
        <v>-60</v>
      </c>
      <c r="L253">
        <v>-50</v>
      </c>
      <c r="M253">
        <v>-55</v>
      </c>
      <c r="O253" t="s">
        <v>1054</v>
      </c>
      <c r="P253">
        <v>-52.263000000000005</v>
      </c>
      <c r="R253">
        <v>2.7369999999999948</v>
      </c>
      <c r="S253">
        <v>4.9763636363636267E-2</v>
      </c>
      <c r="U253" t="s">
        <v>295</v>
      </c>
    </row>
    <row r="254" spans="1:21" x14ac:dyDescent="0.35">
      <c r="A254">
        <v>67</v>
      </c>
      <c r="B254" t="s">
        <v>1087</v>
      </c>
      <c r="D254" t="s">
        <v>391</v>
      </c>
      <c r="F254">
        <v>44152</v>
      </c>
      <c r="H254" t="s">
        <v>438</v>
      </c>
      <c r="K254">
        <v>0.26</v>
      </c>
      <c r="L254">
        <v>0.28999999999999998</v>
      </c>
      <c r="M254">
        <v>0.27500000000000002</v>
      </c>
      <c r="O254" t="s">
        <v>1054</v>
      </c>
      <c r="P254">
        <v>0.25747591966927597</v>
      </c>
      <c r="R254">
        <v>-1.7524080330724057E-2</v>
      </c>
      <c r="S254">
        <v>-6.3723928475360195E-2</v>
      </c>
      <c r="U254" t="s">
        <v>295</v>
      </c>
    </row>
    <row r="255" spans="1:21" x14ac:dyDescent="0.35">
      <c r="A255">
        <v>66</v>
      </c>
      <c r="B255" t="s">
        <v>1087</v>
      </c>
      <c r="D255" t="s">
        <v>504</v>
      </c>
      <c r="E255" t="s">
        <v>483</v>
      </c>
      <c r="F255">
        <v>44152</v>
      </c>
      <c r="H255" t="s">
        <v>438</v>
      </c>
      <c r="K255">
        <v>120</v>
      </c>
      <c r="L255">
        <v>130</v>
      </c>
      <c r="M255">
        <v>125</v>
      </c>
      <c r="O255" t="s">
        <v>1054</v>
      </c>
      <c r="P255">
        <v>161.43099999999995</v>
      </c>
      <c r="R255">
        <v>36.430999999999955</v>
      </c>
      <c r="S255">
        <v>0.29144799999999965</v>
      </c>
      <c r="U255" t="s">
        <v>295</v>
      </c>
    </row>
    <row r="256" spans="1:21" x14ac:dyDescent="0.35">
      <c r="A256">
        <v>65</v>
      </c>
    </row>
    <row r="258" spans="1:21" x14ac:dyDescent="0.35">
      <c r="A258">
        <v>64</v>
      </c>
      <c r="B258" t="s">
        <v>1087</v>
      </c>
      <c r="D258" t="s">
        <v>61</v>
      </c>
      <c r="E258" t="s">
        <v>293</v>
      </c>
      <c r="F258">
        <v>44130</v>
      </c>
      <c r="G258" t="s">
        <v>1071</v>
      </c>
      <c r="H258" t="s">
        <v>438</v>
      </c>
      <c r="K258">
        <v>1445</v>
      </c>
      <c r="L258">
        <v>1470</v>
      </c>
      <c r="M258">
        <v>1457.5</v>
      </c>
      <c r="O258" t="s">
        <v>1054</v>
      </c>
      <c r="P258">
        <v>1536.76</v>
      </c>
      <c r="R258">
        <v>79.259999999999991</v>
      </c>
      <c r="S258">
        <v>5.4380789022298447E-2</v>
      </c>
      <c r="U258" t="s">
        <v>295</v>
      </c>
    </row>
    <row r="259" spans="1:21" x14ac:dyDescent="0.35">
      <c r="A259">
        <v>63</v>
      </c>
      <c r="B259" t="s">
        <v>1087</v>
      </c>
      <c r="D259" t="s">
        <v>94</v>
      </c>
      <c r="E259" t="s">
        <v>296</v>
      </c>
      <c r="F259">
        <v>44130</v>
      </c>
      <c r="G259" t="s">
        <v>1071</v>
      </c>
      <c r="H259" t="s">
        <v>438</v>
      </c>
      <c r="K259">
        <v>-60</v>
      </c>
      <c r="L259">
        <v>-50</v>
      </c>
      <c r="M259">
        <v>-55</v>
      </c>
      <c r="O259" t="s">
        <v>1054</v>
      </c>
      <c r="P259">
        <v>-52.263000000000005</v>
      </c>
      <c r="R259">
        <v>2.7369999999999948</v>
      </c>
      <c r="S259">
        <v>4.9763636363636267E-2</v>
      </c>
      <c r="U259" t="s">
        <v>295</v>
      </c>
    </row>
    <row r="260" spans="1:21" x14ac:dyDescent="0.35">
      <c r="A260">
        <v>62</v>
      </c>
      <c r="B260" t="s">
        <v>1087</v>
      </c>
      <c r="D260" t="s">
        <v>391</v>
      </c>
      <c r="F260">
        <v>44130</v>
      </c>
      <c r="G260" t="s">
        <v>1071</v>
      </c>
      <c r="H260" t="s">
        <v>438</v>
      </c>
      <c r="K260">
        <v>0.26</v>
      </c>
      <c r="L260">
        <v>0.28999999999999998</v>
      </c>
      <c r="M260">
        <v>0.27500000000000002</v>
      </c>
      <c r="O260" t="s">
        <v>1054</v>
      </c>
      <c r="P260">
        <v>0.25747591966927597</v>
      </c>
      <c r="R260">
        <v>-1.7524080330724057E-2</v>
      </c>
      <c r="S260">
        <v>-6.3723928475360195E-2</v>
      </c>
      <c r="U260" t="s">
        <v>295</v>
      </c>
    </row>
    <row r="261" spans="1:21" x14ac:dyDescent="0.35">
      <c r="A261">
        <v>61</v>
      </c>
      <c r="B261" t="s">
        <v>1087</v>
      </c>
      <c r="D261" t="s">
        <v>67</v>
      </c>
      <c r="E261" t="s">
        <v>298</v>
      </c>
      <c r="F261">
        <v>44130</v>
      </c>
      <c r="G261" t="s">
        <v>1071</v>
      </c>
      <c r="H261" t="s">
        <v>438</v>
      </c>
      <c r="K261">
        <v>76.5</v>
      </c>
      <c r="L261">
        <v>86.5</v>
      </c>
      <c r="M261">
        <v>81.5</v>
      </c>
      <c r="O261" t="s">
        <v>1054</v>
      </c>
      <c r="P261">
        <v>110.45599999999996</v>
      </c>
      <c r="R261">
        <v>28.95599999999996</v>
      </c>
      <c r="S261">
        <v>0.35528834355828171</v>
      </c>
      <c r="U261" t="s">
        <v>295</v>
      </c>
    </row>
    <row r="262" spans="1:21" x14ac:dyDescent="0.35">
      <c r="A262">
        <v>60</v>
      </c>
      <c r="B262" t="s">
        <v>1087</v>
      </c>
      <c r="D262" t="s">
        <v>66</v>
      </c>
      <c r="E262" t="s">
        <v>415</v>
      </c>
      <c r="F262">
        <v>44130</v>
      </c>
      <c r="G262" t="s">
        <v>1071</v>
      </c>
      <c r="H262" t="s">
        <v>438</v>
      </c>
      <c r="K262">
        <v>35.5</v>
      </c>
      <c r="L262">
        <v>35.5</v>
      </c>
      <c r="M262">
        <v>35.5</v>
      </c>
      <c r="O262" t="s">
        <v>1054</v>
      </c>
      <c r="P262">
        <v>39.332999999999998</v>
      </c>
      <c r="R262">
        <v>3.8329999999999984</v>
      </c>
      <c r="S262">
        <v>0.10797183098591545</v>
      </c>
      <c r="U262" t="s">
        <v>295</v>
      </c>
    </row>
    <row r="263" spans="1:21" x14ac:dyDescent="0.35">
      <c r="A263">
        <v>59</v>
      </c>
      <c r="B263" t="s">
        <v>1087</v>
      </c>
      <c r="D263" t="s">
        <v>533</v>
      </c>
      <c r="E263" t="s">
        <v>543</v>
      </c>
      <c r="F263">
        <v>44130</v>
      </c>
      <c r="G263" t="s">
        <v>1071</v>
      </c>
      <c r="H263" t="s">
        <v>438</v>
      </c>
      <c r="K263">
        <v>8</v>
      </c>
      <c r="L263">
        <v>8</v>
      </c>
      <c r="M263">
        <v>8</v>
      </c>
      <c r="O263" t="s">
        <v>1054</v>
      </c>
      <c r="P263">
        <v>0</v>
      </c>
      <c r="R263">
        <v>-8</v>
      </c>
      <c r="S263">
        <v>-1</v>
      </c>
      <c r="U263" t="s">
        <v>295</v>
      </c>
    </row>
    <row r="264" spans="1:21" x14ac:dyDescent="0.35">
      <c r="A264">
        <v>58</v>
      </c>
      <c r="B264" t="s">
        <v>1087</v>
      </c>
      <c r="D264" t="s">
        <v>504</v>
      </c>
      <c r="E264" t="s">
        <v>483</v>
      </c>
      <c r="F264">
        <v>44130</v>
      </c>
      <c r="G264" t="s">
        <v>1071</v>
      </c>
      <c r="H264" t="s">
        <v>438</v>
      </c>
      <c r="K264">
        <v>120</v>
      </c>
      <c r="L264">
        <v>130</v>
      </c>
      <c r="M264">
        <v>125</v>
      </c>
      <c r="O264" t="s">
        <v>1054</v>
      </c>
      <c r="P264">
        <v>161.43099999999995</v>
      </c>
      <c r="R264">
        <v>36.430999999999955</v>
      </c>
      <c r="S264">
        <v>0.29144799999999965</v>
      </c>
      <c r="U264" t="s">
        <v>295</v>
      </c>
    </row>
    <row r="265" spans="1:21" x14ac:dyDescent="0.35">
      <c r="A265">
        <v>57</v>
      </c>
    </row>
    <row r="266" spans="1:21" x14ac:dyDescent="0.35">
      <c r="A266">
        <v>56</v>
      </c>
      <c r="B266" t="s">
        <v>1087</v>
      </c>
      <c r="D266" t="s">
        <v>61</v>
      </c>
      <c r="E266" t="s">
        <v>293</v>
      </c>
      <c r="F266">
        <v>44130</v>
      </c>
      <c r="G266" t="s">
        <v>1071</v>
      </c>
      <c r="H266" t="s">
        <v>481</v>
      </c>
      <c r="K266">
        <v>358</v>
      </c>
      <c r="L266">
        <v>366</v>
      </c>
      <c r="M266">
        <v>362</v>
      </c>
      <c r="O266" t="s">
        <v>1054</v>
      </c>
      <c r="P266">
        <v>376.14499999999998</v>
      </c>
      <c r="R266">
        <v>14.144999999999982</v>
      </c>
      <c r="S266">
        <v>3.9074585635359066E-2</v>
      </c>
      <c r="U266" t="s">
        <v>295</v>
      </c>
    </row>
    <row r="267" spans="1:21" x14ac:dyDescent="0.35">
      <c r="A267">
        <v>55</v>
      </c>
      <c r="B267" t="s">
        <v>1087</v>
      </c>
      <c r="D267" t="s">
        <v>94</v>
      </c>
      <c r="E267" t="s">
        <v>296</v>
      </c>
      <c r="F267">
        <v>44130</v>
      </c>
      <c r="G267" t="s">
        <v>1071</v>
      </c>
      <c r="H267" t="s">
        <v>481</v>
      </c>
      <c r="K267">
        <v>-15</v>
      </c>
      <c r="L267">
        <v>-12</v>
      </c>
      <c r="M267">
        <v>-13.5</v>
      </c>
      <c r="O267" t="s">
        <v>1054</v>
      </c>
      <c r="P267">
        <v>-10.756</v>
      </c>
      <c r="R267">
        <v>2.7439999999999998</v>
      </c>
      <c r="S267">
        <v>0.20325925925925925</v>
      </c>
      <c r="U267" t="s">
        <v>295</v>
      </c>
    </row>
    <row r="268" spans="1:21" x14ac:dyDescent="0.35">
      <c r="A268">
        <v>54</v>
      </c>
      <c r="B268" t="s">
        <v>1087</v>
      </c>
      <c r="D268" t="s">
        <v>67</v>
      </c>
      <c r="E268" t="s">
        <v>298</v>
      </c>
      <c r="F268">
        <v>44130</v>
      </c>
      <c r="G268" t="s">
        <v>1071</v>
      </c>
      <c r="H268" t="s">
        <v>481</v>
      </c>
      <c r="K268">
        <v>32.5</v>
      </c>
      <c r="L268">
        <v>35.5</v>
      </c>
      <c r="M268">
        <v>34</v>
      </c>
      <c r="O268" t="s">
        <v>1054</v>
      </c>
      <c r="P268">
        <v>38.451999999999956</v>
      </c>
      <c r="R268">
        <v>4.4519999999999555</v>
      </c>
      <c r="S268">
        <v>0.13094117647058692</v>
      </c>
      <c r="U268" t="s">
        <v>295</v>
      </c>
    </row>
    <row r="269" spans="1:21" x14ac:dyDescent="0.35">
      <c r="A269">
        <v>53</v>
      </c>
      <c r="B269" t="s">
        <v>1087</v>
      </c>
      <c r="D269" t="s">
        <v>66</v>
      </c>
      <c r="E269" t="s">
        <v>415</v>
      </c>
      <c r="F269">
        <v>44130</v>
      </c>
      <c r="G269" t="s">
        <v>1071</v>
      </c>
      <c r="H269" t="s">
        <v>481</v>
      </c>
      <c r="K269">
        <v>7.5</v>
      </c>
      <c r="L269">
        <v>7.5</v>
      </c>
      <c r="M269">
        <v>7.5</v>
      </c>
      <c r="O269" t="s">
        <v>1054</v>
      </c>
      <c r="P269">
        <v>9.0739999999999981</v>
      </c>
      <c r="R269">
        <v>1.5739999999999981</v>
      </c>
      <c r="S269">
        <v>0.2098666666666664</v>
      </c>
      <c r="U269" t="s">
        <v>295</v>
      </c>
    </row>
    <row r="270" spans="1:21" x14ac:dyDescent="0.35">
      <c r="A270">
        <v>52</v>
      </c>
      <c r="B270" t="s">
        <v>1087</v>
      </c>
      <c r="D270" t="s">
        <v>533</v>
      </c>
      <c r="E270" t="s">
        <v>543</v>
      </c>
      <c r="F270">
        <v>44130</v>
      </c>
      <c r="G270" t="s">
        <v>1071</v>
      </c>
      <c r="H270" t="s">
        <v>481</v>
      </c>
      <c r="K270">
        <v>2</v>
      </c>
      <c r="L270">
        <v>2</v>
      </c>
      <c r="M270">
        <v>2</v>
      </c>
      <c r="O270" t="s">
        <v>1054</v>
      </c>
      <c r="P270">
        <v>2.524</v>
      </c>
      <c r="R270">
        <v>0.52400000000000002</v>
      </c>
      <c r="S270">
        <v>0.26200000000000001</v>
      </c>
      <c r="U270" t="s">
        <v>295</v>
      </c>
    </row>
    <row r="271" spans="1:21" x14ac:dyDescent="0.35">
      <c r="A271">
        <v>51</v>
      </c>
      <c r="B271" t="s">
        <v>1087</v>
      </c>
      <c r="D271" t="s">
        <v>504</v>
      </c>
      <c r="E271" t="s">
        <v>483</v>
      </c>
      <c r="F271">
        <v>44130</v>
      </c>
      <c r="G271" t="s">
        <v>1071</v>
      </c>
      <c r="H271" t="s">
        <v>481</v>
      </c>
      <c r="K271">
        <v>42</v>
      </c>
      <c r="L271">
        <v>45</v>
      </c>
      <c r="M271">
        <v>43.5</v>
      </c>
      <c r="O271" t="s">
        <v>1054</v>
      </c>
      <c r="P271">
        <v>50.049999999999955</v>
      </c>
      <c r="R271">
        <v>6.5499999999999545</v>
      </c>
      <c r="S271">
        <v>0.15057471264367711</v>
      </c>
      <c r="U271" t="s">
        <v>295</v>
      </c>
    </row>
    <row r="272" spans="1:21" x14ac:dyDescent="0.35">
      <c r="A272">
        <v>50</v>
      </c>
    </row>
    <row r="273" spans="1:21" x14ac:dyDescent="0.35">
      <c r="A273">
        <v>49</v>
      </c>
      <c r="B273" t="s">
        <v>1087</v>
      </c>
      <c r="D273" t="s">
        <v>17</v>
      </c>
      <c r="E273" t="s">
        <v>435</v>
      </c>
      <c r="F273">
        <v>44054</v>
      </c>
      <c r="H273" t="s">
        <v>438</v>
      </c>
      <c r="K273">
        <v>0.1</v>
      </c>
      <c r="L273">
        <v>0.35</v>
      </c>
      <c r="M273">
        <v>0.22499999999999998</v>
      </c>
      <c r="O273" t="s">
        <v>1054</v>
      </c>
      <c r="P273">
        <v>0</v>
      </c>
      <c r="R273">
        <v>-0.22499999999999998</v>
      </c>
      <c r="S273">
        <v>-1</v>
      </c>
      <c r="U273" t="s">
        <v>295</v>
      </c>
    </row>
    <row r="274" spans="1:21" x14ac:dyDescent="0.35">
      <c r="A274">
        <v>48</v>
      </c>
      <c r="B274" t="s">
        <v>1087</v>
      </c>
      <c r="D274" t="s">
        <v>436</v>
      </c>
      <c r="F274">
        <v>44054</v>
      </c>
      <c r="H274" t="s">
        <v>438</v>
      </c>
      <c r="K274">
        <v>0.1</v>
      </c>
      <c r="L274">
        <v>0.15</v>
      </c>
      <c r="M274">
        <v>0.125</v>
      </c>
      <c r="O274" t="s">
        <v>1054</v>
      </c>
      <c r="P274" t="s">
        <v>1088</v>
      </c>
      <c r="R274" t="s">
        <v>1088</v>
      </c>
      <c r="S274" t="s">
        <v>1088</v>
      </c>
      <c r="U274" t="s">
        <v>295</v>
      </c>
    </row>
    <row r="275" spans="1:21" x14ac:dyDescent="0.35">
      <c r="A275">
        <v>47</v>
      </c>
      <c r="B275" t="s">
        <v>1087</v>
      </c>
      <c r="D275" t="s">
        <v>416</v>
      </c>
      <c r="E275" t="s">
        <v>437</v>
      </c>
      <c r="F275">
        <v>44054</v>
      </c>
      <c r="H275" t="s">
        <v>438</v>
      </c>
      <c r="K275">
        <v>150</v>
      </c>
      <c r="L275">
        <v>150</v>
      </c>
      <c r="M275">
        <v>150</v>
      </c>
      <c r="O275" t="s">
        <v>1054</v>
      </c>
      <c r="P275">
        <v>0</v>
      </c>
      <c r="R275">
        <v>-150</v>
      </c>
      <c r="S275">
        <v>-1</v>
      </c>
      <c r="U275" t="s">
        <v>295</v>
      </c>
    </row>
    <row r="276" spans="1:21" x14ac:dyDescent="0.35">
      <c r="A276">
        <v>46</v>
      </c>
    </row>
    <row r="277" spans="1:21" x14ac:dyDescent="0.35">
      <c r="A277">
        <v>45</v>
      </c>
      <c r="B277" t="s">
        <v>1087</v>
      </c>
      <c r="D277" t="s">
        <v>61</v>
      </c>
      <c r="E277" t="s">
        <v>293</v>
      </c>
      <c r="F277">
        <v>43948</v>
      </c>
      <c r="G277" t="s">
        <v>1072</v>
      </c>
      <c r="H277" t="s">
        <v>390</v>
      </c>
      <c r="K277">
        <v>1033</v>
      </c>
      <c r="L277">
        <v>1040</v>
      </c>
      <c r="M277">
        <v>1036.5</v>
      </c>
      <c r="O277" t="s">
        <v>1054</v>
      </c>
      <c r="P277">
        <v>1040.7650000000001</v>
      </c>
      <c r="R277">
        <v>4.2650000000001</v>
      </c>
      <c r="S277">
        <v>4.1148094548963824E-3</v>
      </c>
      <c r="U277" t="s">
        <v>295</v>
      </c>
    </row>
    <row r="278" spans="1:21" x14ac:dyDescent="0.35">
      <c r="A278">
        <v>44</v>
      </c>
      <c r="B278" t="s">
        <v>1087</v>
      </c>
      <c r="D278" t="s">
        <v>94</v>
      </c>
      <c r="E278" t="s">
        <v>296</v>
      </c>
      <c r="F278">
        <v>43948</v>
      </c>
      <c r="G278" t="s">
        <v>1072</v>
      </c>
      <c r="H278" t="s">
        <v>390</v>
      </c>
      <c r="K278">
        <v>-45</v>
      </c>
      <c r="L278">
        <v>-49</v>
      </c>
      <c r="M278">
        <v>-47</v>
      </c>
      <c r="O278" t="s">
        <v>1054</v>
      </c>
      <c r="P278">
        <v>-44.997</v>
      </c>
      <c r="R278">
        <v>2.0030000000000001</v>
      </c>
      <c r="S278">
        <v>4.2617021276595744E-2</v>
      </c>
      <c r="U278" t="s">
        <v>295</v>
      </c>
    </row>
    <row r="279" spans="1:21" x14ac:dyDescent="0.35">
      <c r="A279">
        <v>43</v>
      </c>
      <c r="B279" t="s">
        <v>1087</v>
      </c>
      <c r="D279" t="s">
        <v>391</v>
      </c>
      <c r="F279">
        <v>43948</v>
      </c>
      <c r="G279" t="s">
        <v>1072</v>
      </c>
      <c r="H279" t="s">
        <v>390</v>
      </c>
      <c r="K279">
        <v>0.28000000000000003</v>
      </c>
      <c r="L279">
        <v>0.3</v>
      </c>
      <c r="M279">
        <v>0.29000000000000004</v>
      </c>
      <c r="O279" t="s">
        <v>1054</v>
      </c>
      <c r="P279">
        <v>0.25551201124839124</v>
      </c>
      <c r="R279">
        <v>-3.44879887516088E-2</v>
      </c>
      <c r="S279">
        <v>-0.11892409914347861</v>
      </c>
      <c r="U279" t="s">
        <v>295</v>
      </c>
    </row>
    <row r="280" spans="1:21" x14ac:dyDescent="0.35">
      <c r="A280">
        <v>42</v>
      </c>
      <c r="B280" t="s">
        <v>1087</v>
      </c>
      <c r="D280" t="s">
        <v>297</v>
      </c>
      <c r="F280">
        <v>43948</v>
      </c>
      <c r="G280" t="s">
        <v>1072</v>
      </c>
      <c r="H280" t="s">
        <v>390</v>
      </c>
      <c r="K280">
        <v>48</v>
      </c>
      <c r="L280">
        <v>52</v>
      </c>
      <c r="M280">
        <v>50</v>
      </c>
      <c r="O280" t="s">
        <v>1054</v>
      </c>
      <c r="P280">
        <v>56.066000000000109</v>
      </c>
      <c r="R280">
        <v>6.0660000000001091</v>
      </c>
      <c r="S280">
        <v>0.12132000000000218</v>
      </c>
      <c r="U280" t="s">
        <v>295</v>
      </c>
    </row>
    <row r="281" spans="1:21" x14ac:dyDescent="0.35">
      <c r="A281">
        <v>41</v>
      </c>
      <c r="B281" t="s">
        <v>1087</v>
      </c>
      <c r="D281" t="s">
        <v>416</v>
      </c>
      <c r="E281" t="s">
        <v>415</v>
      </c>
      <c r="F281">
        <v>43948</v>
      </c>
      <c r="G281" t="s">
        <v>1072</v>
      </c>
      <c r="H281" t="s">
        <v>390</v>
      </c>
      <c r="K281">
        <v>24.1</v>
      </c>
      <c r="L281">
        <v>24.1</v>
      </c>
      <c r="M281">
        <v>24.1</v>
      </c>
      <c r="O281" t="s">
        <v>1054</v>
      </c>
      <c r="P281">
        <v>23.609000000000002</v>
      </c>
      <c r="R281">
        <v>-0.49099999999999966</v>
      </c>
      <c r="S281">
        <v>-2.0373443983402476E-2</v>
      </c>
      <c r="U281" t="s">
        <v>295</v>
      </c>
    </row>
    <row r="282" spans="1:21" x14ac:dyDescent="0.35">
      <c r="A282">
        <v>40</v>
      </c>
      <c r="B282" t="s">
        <v>1087</v>
      </c>
      <c r="D282" t="s">
        <v>44</v>
      </c>
      <c r="E282" t="s">
        <v>298</v>
      </c>
      <c r="F282">
        <v>43948</v>
      </c>
      <c r="G282" t="s">
        <v>1072</v>
      </c>
      <c r="H282" t="s">
        <v>390</v>
      </c>
      <c r="K282">
        <v>23.9</v>
      </c>
      <c r="L282">
        <v>27.9</v>
      </c>
      <c r="M282">
        <v>25.9</v>
      </c>
      <c r="O282" t="s">
        <v>1054</v>
      </c>
      <c r="P282">
        <v>32.457000000000107</v>
      </c>
      <c r="R282">
        <v>6.5570000000001087</v>
      </c>
      <c r="S282">
        <v>0.25316602316602738</v>
      </c>
      <c r="U282" t="s">
        <v>295</v>
      </c>
    </row>
    <row r="283" spans="1:21" x14ac:dyDescent="0.35">
      <c r="A283">
        <v>39</v>
      </c>
    </row>
    <row r="284" spans="1:21" x14ac:dyDescent="0.35">
      <c r="A284">
        <v>38</v>
      </c>
      <c r="B284" t="s">
        <v>1087</v>
      </c>
      <c r="D284" t="s">
        <v>61</v>
      </c>
      <c r="E284" t="s">
        <v>293</v>
      </c>
      <c r="F284">
        <v>43857</v>
      </c>
      <c r="G284" t="s">
        <v>1073</v>
      </c>
      <c r="H284" t="s">
        <v>390</v>
      </c>
      <c r="K284">
        <v>1033</v>
      </c>
      <c r="L284">
        <v>1040</v>
      </c>
      <c r="M284">
        <v>1036.5</v>
      </c>
      <c r="O284" t="s">
        <v>1054</v>
      </c>
      <c r="P284">
        <v>1040.7650000000001</v>
      </c>
      <c r="R284">
        <v>4.2650000000001</v>
      </c>
      <c r="S284">
        <v>4.1148094548963824E-3</v>
      </c>
      <c r="U284" t="s">
        <v>295</v>
      </c>
    </row>
    <row r="285" spans="1:21" x14ac:dyDescent="0.35">
      <c r="A285">
        <v>37</v>
      </c>
      <c r="B285" t="s">
        <v>1087</v>
      </c>
      <c r="D285" t="s">
        <v>94</v>
      </c>
      <c r="E285" t="s">
        <v>296</v>
      </c>
      <c r="F285">
        <v>43857</v>
      </c>
      <c r="G285" t="s">
        <v>1073</v>
      </c>
      <c r="H285" t="s">
        <v>390</v>
      </c>
      <c r="K285">
        <v>-45</v>
      </c>
      <c r="L285">
        <v>-49</v>
      </c>
      <c r="M285">
        <v>-47</v>
      </c>
      <c r="O285" t="s">
        <v>1054</v>
      </c>
      <c r="P285">
        <v>-44.997</v>
      </c>
      <c r="R285">
        <v>2.0030000000000001</v>
      </c>
      <c r="S285">
        <v>4.2617021276595744E-2</v>
      </c>
      <c r="U285" t="s">
        <v>295</v>
      </c>
    </row>
    <row r="286" spans="1:21" x14ac:dyDescent="0.35">
      <c r="A286">
        <v>36</v>
      </c>
      <c r="B286" t="s">
        <v>1087</v>
      </c>
      <c r="D286" t="s">
        <v>391</v>
      </c>
      <c r="F286">
        <v>43857</v>
      </c>
      <c r="G286" t="s">
        <v>1073</v>
      </c>
      <c r="H286" t="s">
        <v>390</v>
      </c>
      <c r="K286">
        <v>0.28000000000000003</v>
      </c>
      <c r="L286">
        <v>0.3</v>
      </c>
      <c r="M286">
        <v>0.29000000000000004</v>
      </c>
      <c r="O286" t="s">
        <v>1054</v>
      </c>
      <c r="P286">
        <v>0.25551201124839124</v>
      </c>
      <c r="R286">
        <v>-3.44879887516088E-2</v>
      </c>
      <c r="S286">
        <v>-0.11892409914347861</v>
      </c>
      <c r="U286" t="s">
        <v>295</v>
      </c>
    </row>
    <row r="287" spans="1:21" x14ac:dyDescent="0.35">
      <c r="A287">
        <v>35</v>
      </c>
      <c r="B287" t="s">
        <v>1087</v>
      </c>
      <c r="D287" t="s">
        <v>297</v>
      </c>
      <c r="E287" t="s">
        <v>298</v>
      </c>
      <c r="F287">
        <v>43857</v>
      </c>
      <c r="G287" t="s">
        <v>1073</v>
      </c>
      <c r="H287" t="s">
        <v>390</v>
      </c>
      <c r="K287">
        <v>48</v>
      </c>
      <c r="L287">
        <v>52</v>
      </c>
      <c r="M287">
        <v>50</v>
      </c>
      <c r="O287" t="s">
        <v>1054</v>
      </c>
      <c r="P287">
        <v>32.457000000000107</v>
      </c>
      <c r="R287">
        <v>-17.542999999999893</v>
      </c>
      <c r="S287">
        <v>-0.35085999999999784</v>
      </c>
      <c r="U287" t="s">
        <v>295</v>
      </c>
    </row>
    <row r="288" spans="1:21" x14ac:dyDescent="0.35">
      <c r="A288">
        <v>34</v>
      </c>
    </row>
    <row r="289" spans="1:21" x14ac:dyDescent="0.35">
      <c r="A289">
        <v>33</v>
      </c>
      <c r="B289" t="s">
        <v>1087</v>
      </c>
      <c r="D289" t="s">
        <v>61</v>
      </c>
      <c r="E289" t="s">
        <v>293</v>
      </c>
      <c r="F289">
        <v>43857</v>
      </c>
      <c r="G289" t="s">
        <v>1073</v>
      </c>
      <c r="H289" t="s">
        <v>406</v>
      </c>
      <c r="K289">
        <v>252</v>
      </c>
      <c r="L289">
        <v>255</v>
      </c>
      <c r="M289">
        <v>253.5</v>
      </c>
      <c r="O289" t="s">
        <v>1054</v>
      </c>
      <c r="P289">
        <v>257.154</v>
      </c>
      <c r="R289">
        <v>3.6539999999999964</v>
      </c>
      <c r="S289">
        <v>1.4414201183431938E-2</v>
      </c>
      <c r="U289" t="s">
        <v>295</v>
      </c>
    </row>
    <row r="290" spans="1:21" x14ac:dyDescent="0.35">
      <c r="A290">
        <v>32</v>
      </c>
      <c r="B290" t="s">
        <v>1087</v>
      </c>
      <c r="D290" t="s">
        <v>94</v>
      </c>
      <c r="E290" t="s">
        <v>296</v>
      </c>
      <c r="F290">
        <v>43857</v>
      </c>
      <c r="G290" t="s">
        <v>1073</v>
      </c>
      <c r="H290" t="s">
        <v>406</v>
      </c>
      <c r="K290">
        <v>-8</v>
      </c>
      <c r="L290">
        <v>-10</v>
      </c>
      <c r="M290">
        <v>-9</v>
      </c>
      <c r="O290" t="s">
        <v>1054</v>
      </c>
      <c r="P290">
        <v>-9.4740000000000002</v>
      </c>
      <c r="R290">
        <v>-0.4740000000000002</v>
      </c>
      <c r="S290">
        <v>-5.2666666666666688E-2</v>
      </c>
      <c r="U290" t="s">
        <v>295</v>
      </c>
    </row>
    <row r="291" spans="1:21" x14ac:dyDescent="0.35">
      <c r="A291">
        <v>31</v>
      </c>
      <c r="B291" t="s">
        <v>1087</v>
      </c>
      <c r="D291" t="s">
        <v>297</v>
      </c>
      <c r="E291" t="s">
        <v>298</v>
      </c>
      <c r="F291">
        <v>43857</v>
      </c>
      <c r="G291" t="s">
        <v>1073</v>
      </c>
      <c r="H291" t="s">
        <v>406</v>
      </c>
      <c r="K291">
        <v>18</v>
      </c>
      <c r="L291">
        <v>20</v>
      </c>
      <c r="M291">
        <v>19</v>
      </c>
      <c r="O291" t="s">
        <v>1054</v>
      </c>
      <c r="P291">
        <v>14.499000000000009</v>
      </c>
      <c r="R291">
        <v>-4.5009999999999906</v>
      </c>
      <c r="S291">
        <v>-0.23689473684210477</v>
      </c>
      <c r="U291" t="s">
        <v>295</v>
      </c>
    </row>
    <row r="292" spans="1:21" x14ac:dyDescent="0.35">
      <c r="A292">
        <v>30</v>
      </c>
    </row>
    <row r="293" spans="1:21" x14ac:dyDescent="0.35">
      <c r="A293">
        <v>29</v>
      </c>
      <c r="B293" t="s">
        <v>1087</v>
      </c>
      <c r="D293" t="s">
        <v>61</v>
      </c>
      <c r="E293" t="s">
        <v>293</v>
      </c>
      <c r="F293">
        <v>43760</v>
      </c>
      <c r="G293" t="s">
        <v>1074</v>
      </c>
      <c r="H293" t="s">
        <v>390</v>
      </c>
      <c r="K293">
        <v>1020</v>
      </c>
      <c r="L293">
        <v>1035</v>
      </c>
      <c r="M293">
        <v>1027.5</v>
      </c>
      <c r="O293" t="s">
        <v>1054</v>
      </c>
      <c r="P293">
        <v>1040.7650000000001</v>
      </c>
      <c r="R293">
        <v>13.2650000000001</v>
      </c>
      <c r="S293">
        <v>1.2909975669099854E-2</v>
      </c>
      <c r="U293" t="s">
        <v>295</v>
      </c>
    </row>
    <row r="294" spans="1:21" x14ac:dyDescent="0.35">
      <c r="A294">
        <v>28</v>
      </c>
      <c r="B294" t="s">
        <v>1087</v>
      </c>
      <c r="D294" t="s">
        <v>94</v>
      </c>
      <c r="E294" t="s">
        <v>296</v>
      </c>
      <c r="F294">
        <v>43760</v>
      </c>
      <c r="G294" t="s">
        <v>1074</v>
      </c>
      <c r="H294" t="s">
        <v>390</v>
      </c>
      <c r="K294">
        <v>-45</v>
      </c>
      <c r="L294">
        <v>-49</v>
      </c>
      <c r="M294">
        <v>-47</v>
      </c>
      <c r="O294" t="s">
        <v>1054</v>
      </c>
      <c r="P294">
        <v>-44.997</v>
      </c>
      <c r="R294">
        <v>2.0030000000000001</v>
      </c>
      <c r="S294">
        <v>4.2617021276595744E-2</v>
      </c>
      <c r="U294" t="s">
        <v>295</v>
      </c>
    </row>
    <row r="295" spans="1:21" x14ac:dyDescent="0.35">
      <c r="A295">
        <v>27</v>
      </c>
      <c r="B295" t="s">
        <v>1087</v>
      </c>
      <c r="D295" t="s">
        <v>391</v>
      </c>
      <c r="F295">
        <v>43760</v>
      </c>
      <c r="G295" t="s">
        <v>1074</v>
      </c>
      <c r="H295" t="s">
        <v>390</v>
      </c>
      <c r="K295">
        <v>0.28000000000000003</v>
      </c>
      <c r="L295">
        <v>0.3</v>
      </c>
      <c r="M295">
        <v>0.29000000000000004</v>
      </c>
      <c r="O295" t="s">
        <v>1054</v>
      </c>
      <c r="P295">
        <v>0.25551201124839124</v>
      </c>
      <c r="R295">
        <v>-3.44879887516088E-2</v>
      </c>
      <c r="S295">
        <v>-0.11892409914347861</v>
      </c>
      <c r="U295" t="s">
        <v>295</v>
      </c>
    </row>
    <row r="296" spans="1:21" x14ac:dyDescent="0.35">
      <c r="A296">
        <v>26</v>
      </c>
      <c r="B296" t="s">
        <v>1087</v>
      </c>
      <c r="D296" t="s">
        <v>297</v>
      </c>
      <c r="E296" t="s">
        <v>298</v>
      </c>
      <c r="F296">
        <v>43760</v>
      </c>
      <c r="G296" t="s">
        <v>1074</v>
      </c>
      <c r="H296" t="s">
        <v>390</v>
      </c>
      <c r="K296">
        <v>68</v>
      </c>
      <c r="L296">
        <v>72</v>
      </c>
      <c r="M296">
        <v>70</v>
      </c>
      <c r="O296" t="s">
        <v>1054</v>
      </c>
      <c r="P296">
        <v>32.457000000000107</v>
      </c>
      <c r="R296">
        <v>-37.542999999999893</v>
      </c>
      <c r="S296">
        <v>-0.53632857142856993</v>
      </c>
      <c r="U296" t="s">
        <v>295</v>
      </c>
    </row>
    <row r="297" spans="1:21" x14ac:dyDescent="0.35">
      <c r="A297">
        <v>25</v>
      </c>
    </row>
    <row r="298" spans="1:21" x14ac:dyDescent="0.35">
      <c r="A298">
        <v>24</v>
      </c>
      <c r="B298" t="s">
        <v>1087</v>
      </c>
      <c r="D298" t="s">
        <v>61</v>
      </c>
      <c r="E298" t="s">
        <v>293</v>
      </c>
      <c r="F298">
        <v>43760</v>
      </c>
      <c r="G298" t="s">
        <v>1074</v>
      </c>
      <c r="H298" t="s">
        <v>392</v>
      </c>
      <c r="K298">
        <v>255</v>
      </c>
      <c r="L298">
        <v>260</v>
      </c>
      <c r="M298">
        <v>257.5</v>
      </c>
      <c r="O298" t="s">
        <v>1054</v>
      </c>
      <c r="P298">
        <v>257.55900000000003</v>
      </c>
      <c r="R298">
        <v>5.9000000000025921E-2</v>
      </c>
      <c r="S298">
        <v>2.2912621359233367E-4</v>
      </c>
      <c r="U298" t="s">
        <v>295</v>
      </c>
    </row>
    <row r="299" spans="1:21" x14ac:dyDescent="0.35">
      <c r="A299">
        <v>23</v>
      </c>
      <c r="B299" t="s">
        <v>1087</v>
      </c>
      <c r="D299" t="s">
        <v>94</v>
      </c>
      <c r="E299" t="s">
        <v>296</v>
      </c>
      <c r="F299">
        <v>43760</v>
      </c>
      <c r="G299" t="s">
        <v>1074</v>
      </c>
      <c r="H299" t="s">
        <v>392</v>
      </c>
      <c r="K299">
        <v>-9</v>
      </c>
      <c r="L299">
        <v>-11</v>
      </c>
      <c r="M299">
        <v>-10</v>
      </c>
      <c r="O299" t="s">
        <v>1054</v>
      </c>
      <c r="P299">
        <v>-9.3369999999999997</v>
      </c>
      <c r="R299">
        <v>0.66300000000000026</v>
      </c>
      <c r="S299">
        <v>6.6300000000000026E-2</v>
      </c>
      <c r="U299" t="s">
        <v>295</v>
      </c>
    </row>
    <row r="300" spans="1:21" x14ac:dyDescent="0.35">
      <c r="A300">
        <v>22</v>
      </c>
      <c r="B300" t="s">
        <v>1087</v>
      </c>
      <c r="D300" t="s">
        <v>297</v>
      </c>
      <c r="E300" t="s">
        <v>298</v>
      </c>
      <c r="F300">
        <v>43760</v>
      </c>
      <c r="G300" t="s">
        <v>1074</v>
      </c>
      <c r="H300" t="s">
        <v>392</v>
      </c>
      <c r="K300">
        <v>35</v>
      </c>
      <c r="L300">
        <v>37</v>
      </c>
      <c r="M300">
        <v>36</v>
      </c>
      <c r="O300" t="s">
        <v>1054</v>
      </c>
      <c r="P300">
        <v>30.305000000000028</v>
      </c>
      <c r="R300">
        <v>-5.6949999999999719</v>
      </c>
      <c r="S300">
        <v>-0.15819444444444367</v>
      </c>
      <c r="U300" t="s">
        <v>295</v>
      </c>
    </row>
    <row r="301" spans="1:21" x14ac:dyDescent="0.35">
      <c r="A301">
        <v>21</v>
      </c>
    </row>
    <row r="302" spans="1:21" x14ac:dyDescent="0.35">
      <c r="A302">
        <v>20</v>
      </c>
      <c r="B302" t="s">
        <v>1087</v>
      </c>
      <c r="D302" t="s">
        <v>61</v>
      </c>
      <c r="E302" t="s">
        <v>293</v>
      </c>
      <c r="F302">
        <v>43578</v>
      </c>
      <c r="G302" t="s">
        <v>1075</v>
      </c>
      <c r="H302" t="s">
        <v>294</v>
      </c>
      <c r="K302">
        <v>1005</v>
      </c>
      <c r="L302">
        <v>1010</v>
      </c>
      <c r="M302">
        <v>1007.5</v>
      </c>
      <c r="O302" t="s">
        <v>1054</v>
      </c>
      <c r="P302">
        <v>1015.752</v>
      </c>
      <c r="R302">
        <v>8.2519999999999527</v>
      </c>
      <c r="S302">
        <v>8.1905707196029305E-3</v>
      </c>
      <c r="U302" t="s">
        <v>295</v>
      </c>
    </row>
    <row r="303" spans="1:21" x14ac:dyDescent="0.35">
      <c r="A303">
        <v>19</v>
      </c>
      <c r="B303" t="s">
        <v>1087</v>
      </c>
      <c r="D303" t="s">
        <v>94</v>
      </c>
      <c r="E303" t="s">
        <v>296</v>
      </c>
      <c r="F303">
        <v>43578</v>
      </c>
      <c r="G303" t="s">
        <v>1075</v>
      </c>
      <c r="H303" t="s">
        <v>294</v>
      </c>
      <c r="K303">
        <v>-47</v>
      </c>
      <c r="L303">
        <v>-50</v>
      </c>
      <c r="M303">
        <v>-48.5</v>
      </c>
      <c r="O303" t="s">
        <v>1054</v>
      </c>
      <c r="P303">
        <v>-48.406000000000006</v>
      </c>
      <c r="R303">
        <v>9.3999999999994088E-2</v>
      </c>
      <c r="S303">
        <v>1.9381443298967854E-3</v>
      </c>
      <c r="U303" t="s">
        <v>295</v>
      </c>
    </row>
    <row r="304" spans="1:21" x14ac:dyDescent="0.35">
      <c r="A304">
        <v>18</v>
      </c>
      <c r="B304" t="s">
        <v>1087</v>
      </c>
      <c r="D304" t="s">
        <v>297</v>
      </c>
      <c r="E304" t="s">
        <v>298</v>
      </c>
      <c r="F304">
        <v>43578</v>
      </c>
      <c r="G304" t="s">
        <v>1075</v>
      </c>
      <c r="H304" t="s">
        <v>294</v>
      </c>
      <c r="K304">
        <v>58</v>
      </c>
      <c r="L304">
        <v>60</v>
      </c>
      <c r="M304">
        <v>59</v>
      </c>
      <c r="O304" t="s">
        <v>1054</v>
      </c>
      <c r="P304">
        <v>45.485999999999933</v>
      </c>
      <c r="R304">
        <v>-13.514000000000067</v>
      </c>
      <c r="S304">
        <v>-0.22905084745762824</v>
      </c>
      <c r="U304" t="s">
        <v>295</v>
      </c>
    </row>
    <row r="305" spans="1:21" x14ac:dyDescent="0.35">
      <c r="A305">
        <v>17</v>
      </c>
    </row>
    <row r="306" spans="1:21" x14ac:dyDescent="0.35">
      <c r="A306">
        <v>16</v>
      </c>
      <c r="B306" t="s">
        <v>1087</v>
      </c>
      <c r="D306" t="s">
        <v>61</v>
      </c>
      <c r="E306" t="s">
        <v>293</v>
      </c>
      <c r="F306">
        <v>43488</v>
      </c>
      <c r="G306" t="s">
        <v>1076</v>
      </c>
      <c r="H306" t="s">
        <v>299</v>
      </c>
      <c r="K306">
        <v>250</v>
      </c>
      <c r="L306">
        <v>255</v>
      </c>
      <c r="M306">
        <v>252.5</v>
      </c>
      <c r="O306" t="s">
        <v>1054</v>
      </c>
      <c r="P306">
        <v>253.25200000000001</v>
      </c>
      <c r="R306">
        <v>0.75200000000000955</v>
      </c>
      <c r="S306">
        <v>2.9782178217822161E-3</v>
      </c>
      <c r="U306" t="s">
        <v>295</v>
      </c>
    </row>
    <row r="307" spans="1:21" x14ac:dyDescent="0.35">
      <c r="A307">
        <v>15</v>
      </c>
      <c r="B307" t="s">
        <v>1087</v>
      </c>
      <c r="D307" t="s">
        <v>94</v>
      </c>
      <c r="E307" t="s">
        <v>296</v>
      </c>
      <c r="F307">
        <v>43488</v>
      </c>
      <c r="G307" t="s">
        <v>1076</v>
      </c>
      <c r="H307" t="s">
        <v>299</v>
      </c>
      <c r="K307">
        <v>-11</v>
      </c>
      <c r="L307">
        <v>-9</v>
      </c>
      <c r="M307">
        <v>-10</v>
      </c>
      <c r="O307" t="s">
        <v>1054</v>
      </c>
      <c r="P307">
        <v>-9.4469999999999992</v>
      </c>
      <c r="R307">
        <v>0.55300000000000082</v>
      </c>
      <c r="S307">
        <v>5.5300000000000085E-2</v>
      </c>
      <c r="U307" t="s">
        <v>295</v>
      </c>
    </row>
    <row r="308" spans="1:21" x14ac:dyDescent="0.35">
      <c r="A308">
        <v>14</v>
      </c>
      <c r="B308" t="s">
        <v>1087</v>
      </c>
      <c r="D308" t="s">
        <v>297</v>
      </c>
      <c r="E308" t="s">
        <v>298</v>
      </c>
      <c r="F308">
        <v>43488</v>
      </c>
      <c r="G308" t="s">
        <v>1076</v>
      </c>
      <c r="H308" t="s">
        <v>299</v>
      </c>
      <c r="K308">
        <v>24</v>
      </c>
      <c r="L308">
        <v>26</v>
      </c>
      <c r="M308">
        <v>25</v>
      </c>
      <c r="O308" t="s">
        <v>1054</v>
      </c>
      <c r="P308">
        <v>23.267000000000017</v>
      </c>
      <c r="R308">
        <v>-1.7329999999999828</v>
      </c>
      <c r="S308">
        <v>-6.9319999999999313E-2</v>
      </c>
      <c r="U308" t="s">
        <v>295</v>
      </c>
    </row>
    <row r="309" spans="1:21" x14ac:dyDescent="0.35">
      <c r="A309">
        <v>13</v>
      </c>
    </row>
    <row r="310" spans="1:21" x14ac:dyDescent="0.35">
      <c r="A310">
        <v>12</v>
      </c>
      <c r="B310" t="s">
        <v>1087</v>
      </c>
      <c r="D310" t="s">
        <v>61</v>
      </c>
      <c r="E310" t="s">
        <v>293</v>
      </c>
      <c r="F310">
        <v>43397</v>
      </c>
      <c r="G310" t="s">
        <v>1077</v>
      </c>
      <c r="H310" t="s">
        <v>300</v>
      </c>
      <c r="K310">
        <v>250</v>
      </c>
      <c r="L310">
        <v>255</v>
      </c>
      <c r="M310">
        <v>252.5</v>
      </c>
      <c r="O310" t="s">
        <v>1054</v>
      </c>
      <c r="P310">
        <v>254.87200000000001</v>
      </c>
      <c r="R310">
        <v>2.3720000000000141</v>
      </c>
      <c r="S310">
        <v>9.3940594059406506E-3</v>
      </c>
      <c r="U310" t="s">
        <v>295</v>
      </c>
    </row>
    <row r="311" spans="1:21" x14ac:dyDescent="0.35">
      <c r="A311">
        <v>11</v>
      </c>
      <c r="B311" t="s">
        <v>1087</v>
      </c>
      <c r="D311" t="s">
        <v>94</v>
      </c>
      <c r="E311" t="s">
        <v>296</v>
      </c>
      <c r="F311">
        <v>43397</v>
      </c>
      <c r="G311" t="s">
        <v>1077</v>
      </c>
      <c r="H311" t="s">
        <v>300</v>
      </c>
      <c r="K311">
        <v>-13</v>
      </c>
      <c r="L311">
        <v>-11</v>
      </c>
      <c r="M311">
        <v>-12</v>
      </c>
      <c r="O311" t="s">
        <v>1054</v>
      </c>
      <c r="P311">
        <v>-9.5360000000000014</v>
      </c>
      <c r="R311">
        <v>2.4639999999999986</v>
      </c>
      <c r="S311">
        <v>0.20533333333333323</v>
      </c>
      <c r="U311" t="s">
        <v>295</v>
      </c>
    </row>
    <row r="312" spans="1:21" x14ac:dyDescent="0.35">
      <c r="A312">
        <v>10</v>
      </c>
      <c r="B312" t="s">
        <v>1087</v>
      </c>
      <c r="D312" t="s">
        <v>297</v>
      </c>
      <c r="F312">
        <v>43397</v>
      </c>
      <c r="G312" t="s">
        <v>1077</v>
      </c>
      <c r="H312" t="s">
        <v>300</v>
      </c>
      <c r="K312">
        <v>35</v>
      </c>
      <c r="L312">
        <v>38</v>
      </c>
      <c r="M312">
        <v>36.5</v>
      </c>
      <c r="O312" t="s">
        <v>1054</v>
      </c>
      <c r="P312" t="s">
        <v>1088</v>
      </c>
      <c r="R312" t="s">
        <v>1088</v>
      </c>
      <c r="S312" t="s">
        <v>1088</v>
      </c>
      <c r="U312" t="s">
        <v>295</v>
      </c>
    </row>
    <row r="313" spans="1:21" x14ac:dyDescent="0.35">
      <c r="A313">
        <v>9</v>
      </c>
    </row>
    <row r="314" spans="1:21" x14ac:dyDescent="0.35">
      <c r="A314">
        <v>8</v>
      </c>
      <c r="B314" t="s">
        <v>1087</v>
      </c>
      <c r="D314" t="s">
        <v>61</v>
      </c>
      <c r="E314" t="s">
        <v>293</v>
      </c>
      <c r="F314">
        <v>43397</v>
      </c>
      <c r="G314" t="s">
        <v>1077</v>
      </c>
      <c r="H314" t="s">
        <v>294</v>
      </c>
      <c r="K314">
        <v>1000</v>
      </c>
      <c r="L314">
        <v>1010</v>
      </c>
      <c r="M314">
        <v>1005</v>
      </c>
      <c r="O314" t="s">
        <v>1054</v>
      </c>
      <c r="P314">
        <v>1015.752</v>
      </c>
      <c r="R314">
        <v>10.751999999999953</v>
      </c>
      <c r="S314">
        <v>1.0698507462686521E-2</v>
      </c>
      <c r="U314" t="s">
        <v>295</v>
      </c>
    </row>
    <row r="315" spans="1:21" x14ac:dyDescent="0.35">
      <c r="A315">
        <v>7</v>
      </c>
      <c r="B315" t="s">
        <v>1087</v>
      </c>
      <c r="D315" t="s">
        <v>94</v>
      </c>
      <c r="E315" t="s">
        <v>296</v>
      </c>
      <c r="F315">
        <v>43397</v>
      </c>
      <c r="G315" t="s">
        <v>1077</v>
      </c>
      <c r="H315" t="s">
        <v>294</v>
      </c>
      <c r="K315">
        <v>-50</v>
      </c>
      <c r="L315">
        <v>-47</v>
      </c>
      <c r="M315">
        <v>-48.5</v>
      </c>
      <c r="O315" t="s">
        <v>1054</v>
      </c>
      <c r="P315">
        <v>-48.406000000000006</v>
      </c>
      <c r="R315">
        <v>9.3999999999994088E-2</v>
      </c>
      <c r="S315">
        <v>1.9381443298967854E-3</v>
      </c>
      <c r="U315" t="s">
        <v>295</v>
      </c>
    </row>
    <row r="316" spans="1:21" x14ac:dyDescent="0.35">
      <c r="A316">
        <v>6</v>
      </c>
      <c r="B316" t="s">
        <v>1087</v>
      </c>
      <c r="D316" t="s">
        <v>301</v>
      </c>
      <c r="F316">
        <v>43397</v>
      </c>
      <c r="G316" t="s">
        <v>1077</v>
      </c>
      <c r="H316" t="s">
        <v>294</v>
      </c>
      <c r="K316">
        <v>0.25</v>
      </c>
      <c r="L316">
        <v>0.3</v>
      </c>
      <c r="M316">
        <v>0.27500000000000002</v>
      </c>
      <c r="O316" t="s">
        <v>1054</v>
      </c>
      <c r="P316">
        <v>0.21753065486652495</v>
      </c>
      <c r="R316">
        <v>-5.7469345133475069E-2</v>
      </c>
      <c r="S316">
        <v>-0.20897943684900022</v>
      </c>
      <c r="U316" t="s">
        <v>295</v>
      </c>
    </row>
    <row r="317" spans="1:21" x14ac:dyDescent="0.35">
      <c r="A317">
        <v>5</v>
      </c>
      <c r="B317" t="s">
        <v>1087</v>
      </c>
      <c r="D317" t="s">
        <v>297</v>
      </c>
      <c r="F317">
        <v>43397</v>
      </c>
      <c r="G317" t="s">
        <v>1077</v>
      </c>
      <c r="H317" t="s">
        <v>294</v>
      </c>
      <c r="K317">
        <v>56</v>
      </c>
      <c r="L317">
        <v>60</v>
      </c>
      <c r="M317">
        <v>58</v>
      </c>
      <c r="O317" t="s">
        <v>1054</v>
      </c>
      <c r="P317" t="s">
        <v>1088</v>
      </c>
      <c r="R317" t="s">
        <v>1088</v>
      </c>
      <c r="S317" t="s">
        <v>1088</v>
      </c>
      <c r="U317" t="s">
        <v>295</v>
      </c>
    </row>
    <row r="318" spans="1:21" x14ac:dyDescent="0.35">
      <c r="A318">
        <v>4</v>
      </c>
    </row>
    <row r="319" spans="1:21" x14ac:dyDescent="0.35">
      <c r="A319">
        <v>3</v>
      </c>
      <c r="B319" t="s">
        <v>1087</v>
      </c>
      <c r="D319" t="s">
        <v>61</v>
      </c>
      <c r="E319" t="s">
        <v>293</v>
      </c>
      <c r="F319">
        <v>43215</v>
      </c>
      <c r="H319" t="s">
        <v>302</v>
      </c>
      <c r="K319">
        <v>906</v>
      </c>
      <c r="L319">
        <v>912</v>
      </c>
      <c r="M319">
        <v>909</v>
      </c>
      <c r="O319" t="s">
        <v>1054</v>
      </c>
      <c r="P319">
        <v>917.73400000000004</v>
      </c>
      <c r="R319">
        <v>8.7340000000000373</v>
      </c>
      <c r="S319">
        <v>9.60836083608365E-3</v>
      </c>
      <c r="U319" t="s">
        <v>295</v>
      </c>
    </row>
    <row r="320" spans="1:21" x14ac:dyDescent="0.35">
      <c r="A320">
        <v>2</v>
      </c>
      <c r="B320" t="s">
        <v>1087</v>
      </c>
      <c r="D320" t="s">
        <v>94</v>
      </c>
      <c r="E320" t="s">
        <v>296</v>
      </c>
      <c r="F320">
        <v>43215</v>
      </c>
      <c r="H320" t="s">
        <v>302</v>
      </c>
      <c r="K320">
        <v>-47</v>
      </c>
      <c r="L320">
        <v>-43</v>
      </c>
      <c r="M320">
        <v>-45</v>
      </c>
      <c r="O320" t="s">
        <v>1054</v>
      </c>
      <c r="P320">
        <v>-43.203000000000003</v>
      </c>
      <c r="R320">
        <v>1.796999999999997</v>
      </c>
      <c r="S320">
        <v>3.9933333333333265E-2</v>
      </c>
      <c r="U320" t="s">
        <v>295</v>
      </c>
    </row>
    <row r="321" spans="1:21" x14ac:dyDescent="0.35">
      <c r="A321">
        <v>1</v>
      </c>
      <c r="B321" t="s">
        <v>1087</v>
      </c>
      <c r="D321" t="s">
        <v>297</v>
      </c>
      <c r="F321">
        <v>43215</v>
      </c>
      <c r="H321" t="s">
        <v>302</v>
      </c>
      <c r="K321">
        <v>46</v>
      </c>
      <c r="L321">
        <v>50</v>
      </c>
      <c r="M321">
        <v>48</v>
      </c>
      <c r="O321" t="s">
        <v>1054</v>
      </c>
      <c r="P321" t="s">
        <v>1088</v>
      </c>
      <c r="R321" t="s">
        <v>1088</v>
      </c>
      <c r="S321" t="s">
        <v>1088</v>
      </c>
      <c r="U321" t="s">
        <v>295</v>
      </c>
    </row>
    <row r="322" spans="1:21" x14ac:dyDescent="0.35">
      <c r="A322">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2EDEC-A2FF-4D04-AED8-5C40BBBBB966}">
  <sheetPr codeName="Sheet3">
    <pageSetUpPr fitToPage="1"/>
  </sheetPr>
  <dimension ref="A1:BX141"/>
  <sheetViews>
    <sheetView workbookViewId="0">
      <pane xSplit="2" ySplit="2" topLeftCell="C3" activePane="bottomRight" state="frozen"/>
      <selection activeCell="C22" sqref="C22:P41"/>
      <selection pane="topRight" activeCell="C22" sqref="C22:P41"/>
      <selection pane="bottomLeft" activeCell="C22" sqref="C22:P41"/>
      <selection pane="bottomRight" activeCell="C22" sqref="C22:P41"/>
    </sheetView>
  </sheetViews>
  <sheetFormatPr defaultColWidth="9.1796875" defaultRowHeight="14.5" outlineLevelRow="1" outlineLevelCol="1" x14ac:dyDescent="0.35"/>
  <cols>
    <col min="1" max="1" width="41.26953125" style="64" customWidth="1"/>
    <col min="2" max="2" width="9.7265625" style="64" customWidth="1"/>
    <col min="3" max="10" width="9.54296875" style="64" hidden="1" customWidth="1" outlineLevel="1"/>
    <col min="11" max="11" width="9.54296875" style="64" hidden="1" customWidth="1" outlineLevel="1" collapsed="1"/>
    <col min="12" max="15" width="9.54296875" style="64" hidden="1" customWidth="1" outlineLevel="1"/>
    <col min="16" max="16" width="9.54296875" style="64" hidden="1" customWidth="1" outlineLevel="1" collapsed="1"/>
    <col min="17" max="20" width="9.54296875" style="64" hidden="1" customWidth="1" outlineLevel="1"/>
    <col min="21" max="21" width="9.54296875" style="64" hidden="1" customWidth="1" outlineLevel="1" collapsed="1"/>
    <col min="22" max="25" width="9.54296875" style="64" hidden="1" customWidth="1" outlineLevel="1"/>
    <col min="26" max="26" width="9.54296875" style="64" hidden="1" customWidth="1" outlineLevel="1" collapsed="1"/>
    <col min="27" max="30" width="9.54296875" style="64" hidden="1" customWidth="1" outlineLevel="1"/>
    <col min="31" max="31" width="9.54296875" style="64" hidden="1" customWidth="1" outlineLevel="1" collapsed="1"/>
    <col min="32" max="35" width="9.54296875" style="64" hidden="1" customWidth="1" outlineLevel="1"/>
    <col min="36" max="36" width="9.54296875" style="64" hidden="1" customWidth="1" outlineLevel="1" collapsed="1"/>
    <col min="37" max="40" width="9.54296875" style="64" hidden="1" customWidth="1" outlineLevel="1"/>
    <col min="41" max="41" width="9.54296875" style="64" hidden="1" customWidth="1" outlineLevel="1" collapsed="1"/>
    <col min="42" max="42" width="9.54296875" style="64" hidden="1" customWidth="1" outlineLevel="1"/>
    <col min="43" max="43" width="9.54296875" style="64" customWidth="1" collapsed="1"/>
    <col min="44" max="45" width="9.54296875" style="64" customWidth="1"/>
    <col min="46" max="46" width="9.54296875" style="64" customWidth="1" collapsed="1"/>
    <col min="47" max="50" width="9.54296875" style="64" customWidth="1"/>
    <col min="51" max="55" width="9.54296875" style="64" customWidth="1" collapsed="1"/>
    <col min="56" max="56" width="9.54296875" style="64" hidden="1" customWidth="1" outlineLevel="1"/>
    <col min="57" max="60" width="9.54296875" style="64" hidden="1" customWidth="1" outlineLevel="1" collapsed="1"/>
    <col min="61" max="61" width="9.54296875" style="64" hidden="1" customWidth="1" outlineLevel="1"/>
    <col min="62" max="65" width="9.54296875" style="64" hidden="1" customWidth="1" outlineLevel="1" collapsed="1"/>
    <col min="66" max="67" width="9.54296875" style="64" hidden="1" customWidth="1" outlineLevel="1"/>
    <col min="68" max="70" width="9.54296875" style="64" customWidth="1" collapsed="1"/>
    <col min="71" max="71" width="9.54296875" style="64" customWidth="1"/>
    <col min="72" max="72" width="9.54296875" style="64" customWidth="1" collapsed="1"/>
    <col min="73" max="75" width="9.54296875" style="64" customWidth="1"/>
    <col min="76" max="76" width="8.81640625" style="64" customWidth="1"/>
    <col min="77" max="16384" width="9.1796875" style="64"/>
  </cols>
  <sheetData>
    <row r="1" spans="1:76" ht="28.5" x14ac:dyDescent="0.65">
      <c r="A1" s="140" t="str">
        <f>MO.CompanyName</f>
        <v>Stride, Inc.</v>
      </c>
      <c r="B1" s="543"/>
      <c r="C1" s="126">
        <f t="shared" ref="C1:AH1" si="0">INDEX(MO_Common_QEndDate,0,COLUMN())</f>
        <v>41182</v>
      </c>
      <c r="D1" s="126">
        <f t="shared" si="0"/>
        <v>41274</v>
      </c>
      <c r="E1" s="126">
        <f t="shared" si="0"/>
        <v>41364</v>
      </c>
      <c r="F1" s="126">
        <f t="shared" si="0"/>
        <v>41455</v>
      </c>
      <c r="G1" s="126">
        <f t="shared" si="0"/>
        <v>41547</v>
      </c>
      <c r="H1" s="126">
        <f t="shared" si="0"/>
        <v>41639</v>
      </c>
      <c r="I1" s="126">
        <f t="shared" si="0"/>
        <v>41729</v>
      </c>
      <c r="J1" s="126">
        <f t="shared" si="0"/>
        <v>41820</v>
      </c>
      <c r="K1" s="126">
        <f t="shared" si="0"/>
        <v>41912</v>
      </c>
      <c r="L1" s="126">
        <f t="shared" si="0"/>
        <v>42004</v>
      </c>
      <c r="M1" s="126">
        <f t="shared" si="0"/>
        <v>42094</v>
      </c>
      <c r="N1" s="126">
        <f t="shared" si="0"/>
        <v>42185</v>
      </c>
      <c r="O1" s="126">
        <f t="shared" si="0"/>
        <v>42277</v>
      </c>
      <c r="P1" s="126">
        <f t="shared" si="0"/>
        <v>42369</v>
      </c>
      <c r="Q1" s="126">
        <f t="shared" si="0"/>
        <v>42460</v>
      </c>
      <c r="R1" s="126">
        <f t="shared" si="0"/>
        <v>42551</v>
      </c>
      <c r="S1" s="126">
        <f t="shared" si="0"/>
        <v>42643</v>
      </c>
      <c r="T1" s="126">
        <f t="shared" si="0"/>
        <v>42735</v>
      </c>
      <c r="U1" s="126">
        <f t="shared" si="0"/>
        <v>42825</v>
      </c>
      <c r="V1" s="126">
        <f t="shared" si="0"/>
        <v>42916</v>
      </c>
      <c r="W1" s="126">
        <f t="shared" si="0"/>
        <v>43008</v>
      </c>
      <c r="X1" s="126">
        <f t="shared" si="0"/>
        <v>43100</v>
      </c>
      <c r="Y1" s="126">
        <f t="shared" si="0"/>
        <v>43190</v>
      </c>
      <c r="Z1" s="126">
        <f t="shared" si="0"/>
        <v>43281</v>
      </c>
      <c r="AA1" s="126">
        <f t="shared" si="0"/>
        <v>43373</v>
      </c>
      <c r="AB1" s="126">
        <f t="shared" si="0"/>
        <v>43465</v>
      </c>
      <c r="AC1" s="126">
        <f t="shared" si="0"/>
        <v>43555</v>
      </c>
      <c r="AD1" s="126">
        <f t="shared" si="0"/>
        <v>43646</v>
      </c>
      <c r="AE1" s="126">
        <f t="shared" si="0"/>
        <v>43738</v>
      </c>
      <c r="AF1" s="126">
        <f t="shared" si="0"/>
        <v>43830</v>
      </c>
      <c r="AG1" s="126">
        <f t="shared" si="0"/>
        <v>43921</v>
      </c>
      <c r="AH1" s="126">
        <f t="shared" si="0"/>
        <v>44012</v>
      </c>
      <c r="AI1" s="126">
        <f t="shared" ref="AI1:BB1" si="1">INDEX(MO_Common_QEndDate,0,COLUMN())</f>
        <v>44104</v>
      </c>
      <c r="AJ1" s="126">
        <f t="shared" si="1"/>
        <v>44196</v>
      </c>
      <c r="AK1" s="126">
        <f t="shared" si="1"/>
        <v>44286</v>
      </c>
      <c r="AL1" s="126">
        <f t="shared" si="1"/>
        <v>44377</v>
      </c>
      <c r="AM1" s="126">
        <f t="shared" si="1"/>
        <v>44469</v>
      </c>
      <c r="AN1" s="126">
        <f t="shared" si="1"/>
        <v>44561</v>
      </c>
      <c r="AO1" s="126">
        <f t="shared" si="1"/>
        <v>44651</v>
      </c>
      <c r="AP1" s="126">
        <f t="shared" si="1"/>
        <v>44742</v>
      </c>
      <c r="AQ1" s="126">
        <f t="shared" si="1"/>
        <v>44834</v>
      </c>
      <c r="AR1" s="126">
        <f t="shared" si="1"/>
        <v>44926</v>
      </c>
      <c r="AS1" s="126">
        <f t="shared" si="1"/>
        <v>45016</v>
      </c>
      <c r="AT1" s="126">
        <f t="shared" si="1"/>
        <v>45107</v>
      </c>
      <c r="AU1" s="512">
        <f t="shared" si="1"/>
        <v>45199</v>
      </c>
      <c r="AV1" s="126">
        <f t="shared" si="1"/>
        <v>45291</v>
      </c>
      <c r="AW1" s="126">
        <f t="shared" si="1"/>
        <v>45382</v>
      </c>
      <c r="AX1" s="126">
        <f t="shared" si="1"/>
        <v>45473</v>
      </c>
      <c r="AY1" s="126">
        <f t="shared" si="1"/>
        <v>0</v>
      </c>
      <c r="AZ1" s="126">
        <f t="shared" si="1"/>
        <v>39994</v>
      </c>
      <c r="BA1" s="126">
        <f t="shared" si="1"/>
        <v>40359</v>
      </c>
      <c r="BB1" s="126">
        <f t="shared" si="1"/>
        <v>40724</v>
      </c>
      <c r="BC1" s="126"/>
      <c r="BD1" s="837">
        <f t="shared" ref="BD1:BW1" si="2">INDEX(MO_Common_QEndDate,0,COLUMN())</f>
        <v>41455</v>
      </c>
      <c r="BE1" s="838">
        <f t="shared" si="2"/>
        <v>41820</v>
      </c>
      <c r="BF1" s="838">
        <f t="shared" si="2"/>
        <v>42185</v>
      </c>
      <c r="BG1" s="838">
        <f t="shared" si="2"/>
        <v>42551</v>
      </c>
      <c r="BH1" s="838">
        <f t="shared" si="2"/>
        <v>42916</v>
      </c>
      <c r="BI1" s="838">
        <f t="shared" si="2"/>
        <v>43281</v>
      </c>
      <c r="BJ1" s="838">
        <f t="shared" si="2"/>
        <v>43646</v>
      </c>
      <c r="BK1" s="838">
        <f t="shared" si="2"/>
        <v>44012</v>
      </c>
      <c r="BL1" s="838">
        <f t="shared" si="2"/>
        <v>44377</v>
      </c>
      <c r="BM1" s="838">
        <f t="shared" si="2"/>
        <v>44742</v>
      </c>
      <c r="BN1" s="838">
        <f t="shared" si="2"/>
        <v>45107</v>
      </c>
      <c r="BO1" s="838">
        <f t="shared" si="2"/>
        <v>45473</v>
      </c>
      <c r="BP1" s="838" t="e">
        <f t="shared" si="2"/>
        <v>#REF!</v>
      </c>
      <c r="BQ1" s="838" t="e">
        <f t="shared" si="2"/>
        <v>#REF!</v>
      </c>
      <c r="BR1" s="839" t="e">
        <f t="shared" si="2"/>
        <v>#REF!</v>
      </c>
      <c r="BS1" s="838" t="e">
        <f t="shared" si="2"/>
        <v>#REF!</v>
      </c>
      <c r="BT1" s="838">
        <f t="shared" si="2"/>
        <v>0</v>
      </c>
      <c r="BU1" s="838">
        <f t="shared" si="2"/>
        <v>0</v>
      </c>
      <c r="BV1" s="838">
        <f t="shared" si="2"/>
        <v>0</v>
      </c>
      <c r="BW1" s="838">
        <f t="shared" si="2"/>
        <v>0</v>
      </c>
      <c r="BX1" s="543"/>
    </row>
    <row r="2" spans="1:76" s="458" customFormat="1" x14ac:dyDescent="0.35">
      <c r="A2" s="163" t="s">
        <v>303</v>
      </c>
      <c r="B2" s="164" t="str">
        <f>MO.ReportFX</f>
        <v>USD</v>
      </c>
      <c r="C2" s="75" t="str">
        <f t="shared" ref="C2:AH2" si="3">INDEX(MO_Common_ColumnHeader,0,COLUMN())</f>
        <v>Q1-2013</v>
      </c>
      <c r="D2" s="75" t="str">
        <f t="shared" si="3"/>
        <v>Q2-2013</v>
      </c>
      <c r="E2" s="75" t="str">
        <f t="shared" si="3"/>
        <v>Q3-2013</v>
      </c>
      <c r="F2" s="75" t="str">
        <f t="shared" si="3"/>
        <v>Q4-2013</v>
      </c>
      <c r="G2" s="75" t="str">
        <f t="shared" si="3"/>
        <v>Q1-2014</v>
      </c>
      <c r="H2" s="75" t="str">
        <f t="shared" si="3"/>
        <v>Q2-2014</v>
      </c>
      <c r="I2" s="75" t="str">
        <f t="shared" si="3"/>
        <v>Q3-2014</v>
      </c>
      <c r="J2" s="75" t="str">
        <f t="shared" si="3"/>
        <v>Q4-2014</v>
      </c>
      <c r="K2" s="75" t="str">
        <f t="shared" si="3"/>
        <v>Q1-2015</v>
      </c>
      <c r="L2" s="75" t="str">
        <f t="shared" si="3"/>
        <v>Q2-2015</v>
      </c>
      <c r="M2" s="75" t="str">
        <f t="shared" si="3"/>
        <v>Q3-2015</v>
      </c>
      <c r="N2" s="75" t="str">
        <f t="shared" si="3"/>
        <v>Q4-2015</v>
      </c>
      <c r="O2" s="75" t="str">
        <f t="shared" si="3"/>
        <v>Q1-2016</v>
      </c>
      <c r="P2" s="75" t="str">
        <f t="shared" si="3"/>
        <v>Q2-2016</v>
      </c>
      <c r="Q2" s="75" t="str">
        <f t="shared" si="3"/>
        <v>Q3-2016</v>
      </c>
      <c r="R2" s="75" t="str">
        <f t="shared" si="3"/>
        <v>Q4-2016</v>
      </c>
      <c r="S2" s="75" t="str">
        <f t="shared" si="3"/>
        <v>Q1-2017</v>
      </c>
      <c r="T2" s="75" t="str">
        <f t="shared" si="3"/>
        <v>Q2-2017</v>
      </c>
      <c r="U2" s="75" t="str">
        <f t="shared" si="3"/>
        <v>Q3-2017</v>
      </c>
      <c r="V2" s="75" t="str">
        <f t="shared" si="3"/>
        <v>Q4-2017</v>
      </c>
      <c r="W2" s="75" t="str">
        <f t="shared" si="3"/>
        <v>Q1-2018</v>
      </c>
      <c r="X2" s="75" t="str">
        <f t="shared" si="3"/>
        <v>Q2-2018</v>
      </c>
      <c r="Y2" s="75" t="str">
        <f t="shared" si="3"/>
        <v>Q3-2018</v>
      </c>
      <c r="Z2" s="75" t="str">
        <f t="shared" si="3"/>
        <v>Q4-2018</v>
      </c>
      <c r="AA2" s="75" t="str">
        <f t="shared" si="3"/>
        <v>Q1-2019</v>
      </c>
      <c r="AB2" s="75" t="str">
        <f t="shared" si="3"/>
        <v>Q2-2019</v>
      </c>
      <c r="AC2" s="75" t="str">
        <f t="shared" si="3"/>
        <v>Q3-2019</v>
      </c>
      <c r="AD2" s="75" t="str">
        <f t="shared" si="3"/>
        <v>Q4-2019</v>
      </c>
      <c r="AE2" s="75" t="str">
        <f t="shared" si="3"/>
        <v>Q1-2020</v>
      </c>
      <c r="AF2" s="75" t="str">
        <f t="shared" si="3"/>
        <v>Q2-2020</v>
      </c>
      <c r="AG2" s="75" t="str">
        <f t="shared" si="3"/>
        <v>Q3-2020</v>
      </c>
      <c r="AH2" s="75" t="str">
        <f t="shared" si="3"/>
        <v>Q4-2020</v>
      </c>
      <c r="AI2" s="75" t="str">
        <f t="shared" ref="AI2:BB2" si="4">INDEX(MO_Common_ColumnHeader,0,COLUMN())</f>
        <v>Q1-2021</v>
      </c>
      <c r="AJ2" s="75" t="str">
        <f t="shared" si="4"/>
        <v>Q2-2021</v>
      </c>
      <c r="AK2" s="75" t="str">
        <f t="shared" si="4"/>
        <v>Q3-2021</v>
      </c>
      <c r="AL2" s="75" t="str">
        <f t="shared" si="4"/>
        <v>Q4-2021</v>
      </c>
      <c r="AM2" s="75" t="str">
        <f t="shared" si="4"/>
        <v>Q1-2022</v>
      </c>
      <c r="AN2" s="75" t="str">
        <f t="shared" si="4"/>
        <v>Q2-2022</v>
      </c>
      <c r="AO2" s="75" t="str">
        <f t="shared" si="4"/>
        <v>Q3-2022</v>
      </c>
      <c r="AP2" s="75" t="str">
        <f t="shared" si="4"/>
        <v>Q4-2022</v>
      </c>
      <c r="AQ2" s="75" t="str">
        <f t="shared" si="4"/>
        <v>Q1-2023</v>
      </c>
      <c r="AR2" s="75" t="str">
        <f t="shared" si="4"/>
        <v>Q2-2023</v>
      </c>
      <c r="AS2" s="75" t="str">
        <f t="shared" si="4"/>
        <v>Q3-2023</v>
      </c>
      <c r="AT2" s="75" t="str">
        <f t="shared" si="4"/>
        <v>Q4-2023</v>
      </c>
      <c r="AU2" s="513" t="str">
        <f t="shared" si="4"/>
        <v>Q1-2024</v>
      </c>
      <c r="AV2" s="75" t="str">
        <f t="shared" si="4"/>
        <v>Q2-2024</v>
      </c>
      <c r="AW2" s="75" t="str">
        <f t="shared" si="4"/>
        <v>Q3-2024</v>
      </c>
      <c r="AX2" s="75" t="str">
        <f t="shared" si="4"/>
        <v>Q4-2024</v>
      </c>
      <c r="AY2" s="75">
        <f t="shared" si="4"/>
        <v>0</v>
      </c>
      <c r="AZ2" s="75" t="str">
        <f t="shared" si="4"/>
        <v>FY2009</v>
      </c>
      <c r="BA2" s="75" t="str">
        <f t="shared" si="4"/>
        <v>FY2010</v>
      </c>
      <c r="BB2" s="75" t="str">
        <f t="shared" si="4"/>
        <v>FY2011</v>
      </c>
      <c r="BC2" s="75"/>
      <c r="BD2" s="840" t="str">
        <f t="shared" ref="BD2:BW2" si="5">INDEX(MO_Common_ColumnHeader,0,COLUMN())</f>
        <v>FY2013</v>
      </c>
      <c r="BE2" s="841" t="str">
        <f t="shared" si="5"/>
        <v>FY2014</v>
      </c>
      <c r="BF2" s="841" t="str">
        <f t="shared" si="5"/>
        <v>FY2015</v>
      </c>
      <c r="BG2" s="841" t="str">
        <f t="shared" si="5"/>
        <v>FY2016</v>
      </c>
      <c r="BH2" s="841" t="str">
        <f t="shared" si="5"/>
        <v>FY2017</v>
      </c>
      <c r="BI2" s="841" t="str">
        <f t="shared" si="5"/>
        <v>FY2018</v>
      </c>
      <c r="BJ2" s="841" t="str">
        <f t="shared" si="5"/>
        <v>FY2019</v>
      </c>
      <c r="BK2" s="841" t="str">
        <f t="shared" si="5"/>
        <v>FY2020</v>
      </c>
      <c r="BL2" s="841" t="str">
        <f t="shared" si="5"/>
        <v>FY2021</v>
      </c>
      <c r="BM2" s="841" t="str">
        <f t="shared" si="5"/>
        <v>FY2022</v>
      </c>
      <c r="BN2" s="841" t="str">
        <f t="shared" si="5"/>
        <v>FY2023</v>
      </c>
      <c r="BO2" s="841" t="str">
        <f t="shared" si="5"/>
        <v>FY2024</v>
      </c>
      <c r="BP2" s="841" t="str">
        <f t="shared" si="5"/>
        <v>FY2025</v>
      </c>
      <c r="BQ2" s="841" t="str">
        <f t="shared" si="5"/>
        <v>FY2026</v>
      </c>
      <c r="BR2" s="842" t="str">
        <f t="shared" si="5"/>
        <v>FY2027</v>
      </c>
      <c r="BS2" s="841" t="str">
        <f t="shared" si="5"/>
        <v>FY2028</v>
      </c>
      <c r="BT2" s="841">
        <f t="shared" si="5"/>
        <v>0</v>
      </c>
      <c r="BU2" s="841">
        <f t="shared" si="5"/>
        <v>0</v>
      </c>
      <c r="BV2" s="841">
        <f t="shared" si="5"/>
        <v>0</v>
      </c>
      <c r="BW2" s="841">
        <f t="shared" si="5"/>
        <v>0</v>
      </c>
      <c r="BX2" s="543"/>
    </row>
    <row r="3" spans="1:76" x14ac:dyDescent="0.35">
      <c r="A3" s="117" t="s">
        <v>304</v>
      </c>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c r="AT3" s="117"/>
      <c r="AU3" s="392"/>
      <c r="AV3" s="117"/>
      <c r="AW3" s="117"/>
      <c r="AX3" s="117"/>
      <c r="AY3" s="117"/>
      <c r="AZ3" s="117"/>
      <c r="BA3" s="117"/>
      <c r="BB3" s="117"/>
      <c r="BC3" s="117"/>
      <c r="BD3" s="117"/>
      <c r="BE3" s="117"/>
      <c r="BF3" s="117"/>
      <c r="BG3" s="117"/>
      <c r="BH3" s="117"/>
      <c r="BI3" s="117"/>
      <c r="BJ3" s="117"/>
      <c r="BK3" s="117"/>
      <c r="BL3" s="117"/>
      <c r="BM3" s="117"/>
      <c r="BN3" s="117"/>
      <c r="BO3" s="117"/>
      <c r="BP3" s="117"/>
      <c r="BQ3" s="117"/>
      <c r="BR3" s="392"/>
      <c r="BS3" s="117"/>
      <c r="BT3" s="117"/>
      <c r="BU3" s="117"/>
      <c r="BV3" s="117"/>
      <c r="BW3" s="117"/>
      <c r="BX3" s="186"/>
    </row>
    <row r="4" spans="1:76" s="65" customFormat="1" x14ac:dyDescent="0.35">
      <c r="A4" s="312" t="str">
        <f>"Stock Price - "&amp;SP.ValuationToggle</f>
        <v>Stock Price - EoP</v>
      </c>
      <c r="B4" s="621" t="s">
        <v>647</v>
      </c>
      <c r="C4" s="76">
        <f t="shared" ref="C4:AH4" si="6">IF(INDEX(MO_SNA_IsHistoricalPeriod,1,COLUMN())=FALSE,MO.LastPrice/HP.MRFX,CHOOSE(VLOOKUP(SP.ValuationToggle,tb_ValuationToggle,COLUMNS(tb_ValuationToggle),FALSE),INDEX(MO_SPT_StockHigh,1,COLUMN()),INDEX(MO_SPT_StockLow,1,COLUMN()),INDEX(MO_SPT_StockAverage,1,COLUMN()),INDEX(MO_SPT_StockEoP,1,COLUMN()))/IF(SP.ValuationToggle="EoP",IF(INDEX(MO_SPT_FXEoP,1,COLUMN())=0,1,INDEX(MO_SPT_FXEoP,1,COLUMN())),IF(INDEX(MO_SPT_FXAverage,1,COLUMN())=0,1,INDEX(MO_SPT_FXAverage,1,COLUMN()))))</f>
        <v>20.2</v>
      </c>
      <c r="D4" s="76">
        <f t="shared" si="6"/>
        <v>20.11</v>
      </c>
      <c r="E4" s="76">
        <f t="shared" si="6"/>
        <v>24.11</v>
      </c>
      <c r="F4" s="76">
        <f t="shared" si="6"/>
        <v>26.27</v>
      </c>
      <c r="G4" s="76">
        <f t="shared" si="6"/>
        <v>31.44</v>
      </c>
      <c r="H4" s="76">
        <f t="shared" si="6"/>
        <v>21.72</v>
      </c>
      <c r="I4" s="76">
        <f t="shared" si="6"/>
        <v>22.1</v>
      </c>
      <c r="J4" s="76">
        <f t="shared" si="6"/>
        <v>24.32</v>
      </c>
      <c r="K4" s="76">
        <f t="shared" si="6"/>
        <v>16.350000000000001</v>
      </c>
      <c r="L4" s="76">
        <f t="shared" si="6"/>
        <v>11.85</v>
      </c>
      <c r="M4" s="76">
        <f t="shared" si="6"/>
        <v>15.96</v>
      </c>
      <c r="N4" s="76">
        <f t="shared" si="6"/>
        <v>13.2</v>
      </c>
      <c r="O4" s="76">
        <f t="shared" si="6"/>
        <v>12.62</v>
      </c>
      <c r="P4" s="76">
        <f t="shared" si="6"/>
        <v>8.8800000000000008</v>
      </c>
      <c r="Q4" s="76">
        <f t="shared" si="6"/>
        <v>10.050000000000001</v>
      </c>
      <c r="R4" s="76">
        <f t="shared" si="6"/>
        <v>12.09</v>
      </c>
      <c r="S4" s="76">
        <f t="shared" si="6"/>
        <v>14.05</v>
      </c>
      <c r="T4" s="76">
        <f t="shared" si="6"/>
        <v>17.16</v>
      </c>
      <c r="U4" s="76">
        <f t="shared" si="6"/>
        <v>18.649999999999999</v>
      </c>
      <c r="V4" s="76">
        <f t="shared" si="6"/>
        <v>18.03</v>
      </c>
      <c r="W4" s="76">
        <f t="shared" si="6"/>
        <v>17.84</v>
      </c>
      <c r="X4" s="76">
        <f t="shared" si="6"/>
        <v>15.9</v>
      </c>
      <c r="Y4" s="76">
        <f t="shared" si="6"/>
        <v>14.18</v>
      </c>
      <c r="Z4" s="76">
        <f t="shared" si="6"/>
        <v>16.37</v>
      </c>
      <c r="AA4" s="76">
        <f t="shared" si="6"/>
        <v>17.7</v>
      </c>
      <c r="AB4" s="76">
        <f t="shared" si="6"/>
        <v>24.42</v>
      </c>
      <c r="AC4" s="76">
        <f t="shared" si="6"/>
        <v>34.130000000000003</v>
      </c>
      <c r="AD4" s="76">
        <f t="shared" si="6"/>
        <v>30.41</v>
      </c>
      <c r="AE4" s="76">
        <f t="shared" si="6"/>
        <v>26.48</v>
      </c>
      <c r="AF4" s="76">
        <f t="shared" si="6"/>
        <v>19.850000000000001</v>
      </c>
      <c r="AG4" s="76">
        <f t="shared" si="6"/>
        <v>18.57</v>
      </c>
      <c r="AH4" s="76">
        <f t="shared" si="6"/>
        <v>26.72</v>
      </c>
      <c r="AI4" s="76">
        <f t="shared" ref="AI4:BB4" si="7">IF(INDEX(MO_SNA_IsHistoricalPeriod,1,COLUMN())=FALSE,MO.LastPrice/HP.MRFX,CHOOSE(VLOOKUP(SP.ValuationToggle,tb_ValuationToggle,COLUMNS(tb_ValuationToggle),FALSE),INDEX(MO_SPT_StockHigh,1,COLUMN()),INDEX(MO_SPT_StockLow,1,COLUMN()),INDEX(MO_SPT_StockAverage,1,COLUMN()),INDEX(MO_SPT_StockEoP,1,COLUMN()))/IF(SP.ValuationToggle="EoP",IF(INDEX(MO_SPT_FXEoP,1,COLUMN())=0,1,INDEX(MO_SPT_FXEoP,1,COLUMN())),IF(INDEX(MO_SPT_FXAverage,1,COLUMN())=0,1,INDEX(MO_SPT_FXAverage,1,COLUMN()))))</f>
        <v>27.08</v>
      </c>
      <c r="AJ4" s="76">
        <f t="shared" si="7"/>
        <v>21.58</v>
      </c>
      <c r="AK4" s="76">
        <f t="shared" si="7"/>
        <v>29.6</v>
      </c>
      <c r="AL4" s="76">
        <f t="shared" si="7"/>
        <v>32.630000000000003</v>
      </c>
      <c r="AM4" s="76">
        <f t="shared" si="7"/>
        <v>35.07</v>
      </c>
      <c r="AN4" s="76">
        <f t="shared" si="7"/>
        <v>33.11</v>
      </c>
      <c r="AO4" s="76">
        <f t="shared" si="7"/>
        <v>35.770000000000003</v>
      </c>
      <c r="AP4" s="76">
        <f t="shared" si="7"/>
        <v>41.31</v>
      </c>
      <c r="AQ4" s="76">
        <f t="shared" si="7"/>
        <v>42.37</v>
      </c>
      <c r="AR4" s="76">
        <f t="shared" si="7"/>
        <v>31.28</v>
      </c>
      <c r="AS4" s="76">
        <f t="shared" si="7"/>
        <v>39.03</v>
      </c>
      <c r="AT4" s="76">
        <f t="shared" si="7"/>
        <v>37.29</v>
      </c>
      <c r="AU4" s="514">
        <f t="shared" si="7"/>
        <v>45.03</v>
      </c>
      <c r="AV4" s="76">
        <f t="shared" ca="1" si="7"/>
        <v>54.44</v>
      </c>
      <c r="AW4" s="76">
        <f t="shared" ca="1" si="7"/>
        <v>54.44</v>
      </c>
      <c r="AX4" s="76">
        <f t="shared" ca="1" si="7"/>
        <v>54.44</v>
      </c>
      <c r="AY4" s="76">
        <f t="shared" ca="1" si="7"/>
        <v>54.44</v>
      </c>
      <c r="AZ4" s="76">
        <f t="shared" si="7"/>
        <v>20.88</v>
      </c>
      <c r="BA4" s="76">
        <f t="shared" si="7"/>
        <v>23.02</v>
      </c>
      <c r="BB4" s="76">
        <f t="shared" si="7"/>
        <v>32.76</v>
      </c>
      <c r="BC4" s="76"/>
      <c r="BD4" s="843">
        <f t="shared" ref="BD4:BW4" si="8">IF(INDEX(MO_SNA_IsHistoricalPeriod,1,COLUMN())=FALSE,MO.LastPrice/HP.MRFX,CHOOSE(VLOOKUP(SP.ValuationToggle,tb_ValuationToggle,COLUMNS(tb_ValuationToggle),FALSE),INDEX(MO_SPT_StockHigh,1,COLUMN()),INDEX(MO_SPT_StockLow,1,COLUMN()),INDEX(MO_SPT_StockAverage,1,COLUMN()),INDEX(MO_SPT_StockEoP,1,COLUMN()))/IF(SP.ValuationToggle="EoP",IF(INDEX(MO_SPT_FXEoP,1,COLUMN())=0,1,INDEX(MO_SPT_FXEoP,1,COLUMN())),IF(INDEX(MO_SPT_FXAverage,1,COLUMN())=0,1,INDEX(MO_SPT_FXAverage,1,COLUMN()))))</f>
        <v>26.27</v>
      </c>
      <c r="BE4" s="843">
        <f t="shared" si="8"/>
        <v>24.32</v>
      </c>
      <c r="BF4" s="843">
        <f t="shared" si="8"/>
        <v>13.2</v>
      </c>
      <c r="BG4" s="843">
        <f t="shared" si="8"/>
        <v>12.09</v>
      </c>
      <c r="BH4" s="843">
        <f t="shared" si="8"/>
        <v>18.03</v>
      </c>
      <c r="BI4" s="843">
        <f t="shared" si="8"/>
        <v>16.37</v>
      </c>
      <c r="BJ4" s="843">
        <f t="shared" si="8"/>
        <v>30.41</v>
      </c>
      <c r="BK4" s="844">
        <f t="shared" si="8"/>
        <v>26.72</v>
      </c>
      <c r="BL4" s="844">
        <f t="shared" si="8"/>
        <v>32.630000000000003</v>
      </c>
      <c r="BM4" s="844">
        <f t="shared" si="8"/>
        <v>41.31</v>
      </c>
      <c r="BN4" s="844">
        <f t="shared" si="8"/>
        <v>37.29</v>
      </c>
      <c r="BO4" s="844">
        <f t="shared" ca="1" si="8"/>
        <v>54.44</v>
      </c>
      <c r="BP4" s="844">
        <f t="shared" ca="1" si="8"/>
        <v>54.44</v>
      </c>
      <c r="BQ4" s="844">
        <f t="shared" ca="1" si="8"/>
        <v>54.44</v>
      </c>
      <c r="BR4" s="845">
        <f t="shared" ca="1" si="8"/>
        <v>54.44</v>
      </c>
      <c r="BS4" s="844">
        <f t="shared" ca="1" si="8"/>
        <v>54.44</v>
      </c>
      <c r="BT4" s="844">
        <f t="shared" ca="1" si="8"/>
        <v>54.44</v>
      </c>
      <c r="BU4" s="844">
        <f t="shared" ca="1" si="8"/>
        <v>54.44</v>
      </c>
      <c r="BV4" s="844">
        <f t="shared" ca="1" si="8"/>
        <v>54.44</v>
      </c>
      <c r="BW4" s="844">
        <f t="shared" ca="1" si="8"/>
        <v>54.44</v>
      </c>
      <c r="BX4" s="80"/>
    </row>
    <row r="5" spans="1:76" s="65" customFormat="1" x14ac:dyDescent="0.35">
      <c r="A5" s="477" t="str">
        <f>INDEX(MO_SCA_ShareCount_EoP_Diluted,0,COLUMN())</f>
        <v>Total diluted common stock outstanding - EoP, mm shares</v>
      </c>
      <c r="B5" s="478"/>
      <c r="C5" s="610">
        <f t="shared" ref="C5:AH5" si="9">INDEX(MO_SCA_ShareCount_EoP_Diluted,0,COLUMN())</f>
        <v>39.594093000000001</v>
      </c>
      <c r="D5" s="610">
        <f t="shared" si="9"/>
        <v>39.622799999999998</v>
      </c>
      <c r="E5" s="610">
        <f t="shared" si="9"/>
        <v>39.914431</v>
      </c>
      <c r="F5" s="610">
        <f t="shared" si="9"/>
        <v>43.023359000000006</v>
      </c>
      <c r="G5" s="610">
        <f t="shared" si="9"/>
        <v>43.976685000000003</v>
      </c>
      <c r="H5" s="610">
        <f t="shared" si="9"/>
        <v>43.659571</v>
      </c>
      <c r="I5" s="610">
        <f t="shared" si="9"/>
        <v>39.895938000000001</v>
      </c>
      <c r="J5" s="610">
        <f t="shared" si="9"/>
        <v>39.150781000000002</v>
      </c>
      <c r="K5" s="610">
        <f t="shared" si="9"/>
        <v>38.511825999999999</v>
      </c>
      <c r="L5" s="610">
        <f t="shared" si="9"/>
        <v>38.403323999999998</v>
      </c>
      <c r="M5" s="610">
        <f t="shared" si="9"/>
        <v>38.567008000000008</v>
      </c>
      <c r="N5" s="610">
        <f t="shared" si="9"/>
        <v>38.532573000000006</v>
      </c>
      <c r="O5" s="610">
        <f t="shared" si="9"/>
        <v>39.145793000000005</v>
      </c>
      <c r="P5" s="610">
        <f t="shared" si="9"/>
        <v>39.042245000000001</v>
      </c>
      <c r="Q5" s="610">
        <f t="shared" si="9"/>
        <v>40.397542000000001</v>
      </c>
      <c r="R5" s="610">
        <f t="shared" si="9"/>
        <v>40.988515</v>
      </c>
      <c r="S5" s="610">
        <f t="shared" si="9"/>
        <v>41.968430000000005</v>
      </c>
      <c r="T5" s="610">
        <f t="shared" si="9"/>
        <v>41.57685</v>
      </c>
      <c r="U5" s="610">
        <f t="shared" si="9"/>
        <v>41.509820000000005</v>
      </c>
      <c r="V5" s="610">
        <f t="shared" si="9"/>
        <v>41.774317000000003</v>
      </c>
      <c r="W5" s="610">
        <f t="shared" si="9"/>
        <v>42.285611000000003</v>
      </c>
      <c r="X5" s="610">
        <f t="shared" si="9"/>
        <v>42.734254999999997</v>
      </c>
      <c r="Y5" s="610">
        <f t="shared" si="9"/>
        <v>42.284328999999993</v>
      </c>
      <c r="Z5" s="610">
        <f t="shared" si="9"/>
        <v>40.513210000000001</v>
      </c>
      <c r="AA5" s="610">
        <f t="shared" si="9"/>
        <v>41.183923</v>
      </c>
      <c r="AB5" s="610">
        <f t="shared" si="9"/>
        <v>41.724164000000002</v>
      </c>
      <c r="AC5" s="610">
        <f t="shared" si="9"/>
        <v>42.951616000000001</v>
      </c>
      <c r="AD5" s="610">
        <f t="shared" si="9"/>
        <v>42.772080000000003</v>
      </c>
      <c r="AE5" s="610">
        <f t="shared" si="9"/>
        <v>43.487414000000001</v>
      </c>
      <c r="AF5" s="610">
        <f t="shared" si="9"/>
        <v>41.471345999999997</v>
      </c>
      <c r="AG5" s="610">
        <f t="shared" si="9"/>
        <v>41.338633999999999</v>
      </c>
      <c r="AH5" s="610">
        <f t="shared" si="9"/>
        <v>42.536331000000004</v>
      </c>
      <c r="AI5" s="610">
        <f t="shared" ref="AI5:BB5" si="10">INDEX(MO_SCA_ShareCount_EoP_Diluted,0,COLUMN())</f>
        <v>43.742488000000002</v>
      </c>
      <c r="AJ5" s="610">
        <f t="shared" si="10"/>
        <v>42.501253999999996</v>
      </c>
      <c r="AK5" s="610">
        <f t="shared" si="10"/>
        <v>42.947590999999996</v>
      </c>
      <c r="AL5" s="610">
        <f t="shared" si="10"/>
        <v>43.415182000000001</v>
      </c>
      <c r="AM5" s="610">
        <f t="shared" si="10"/>
        <v>43.615258999999995</v>
      </c>
      <c r="AN5" s="610">
        <f t="shared" si="10"/>
        <v>43.187330000000003</v>
      </c>
      <c r="AO5" s="610">
        <f t="shared" si="10"/>
        <v>43.080680000000008</v>
      </c>
      <c r="AP5" s="610">
        <f t="shared" si="10"/>
        <v>43.456593999999996</v>
      </c>
      <c r="AQ5" s="610">
        <f t="shared" si="10"/>
        <v>43.730401999999998</v>
      </c>
      <c r="AR5" s="610">
        <f t="shared" si="10"/>
        <v>43.385105999999993</v>
      </c>
      <c r="AS5" s="610">
        <f t="shared" si="10"/>
        <v>43.380274999999997</v>
      </c>
      <c r="AT5" s="610">
        <f t="shared" si="10"/>
        <v>43.419263000000008</v>
      </c>
      <c r="AU5" s="611">
        <f t="shared" si="10"/>
        <v>43.828910999999998</v>
      </c>
      <c r="AV5" s="610">
        <f t="shared" ca="1" si="10"/>
        <v>43.780002369999998</v>
      </c>
      <c r="AW5" s="610">
        <f t="shared" ca="1" si="10"/>
        <v>43.780002369999998</v>
      </c>
      <c r="AX5" s="610">
        <f t="shared" ca="1" si="10"/>
        <v>43.780002369999998</v>
      </c>
      <c r="AY5" s="610">
        <f t="shared" si="10"/>
        <v>0</v>
      </c>
      <c r="AZ5" s="610">
        <f t="shared" si="10"/>
        <v>30.184272</v>
      </c>
      <c r="BA5" s="610">
        <f t="shared" si="10"/>
        <v>30.898122000000001</v>
      </c>
      <c r="BB5" s="610">
        <f t="shared" si="10"/>
        <v>39.214455000000001</v>
      </c>
      <c r="BC5" s="610"/>
      <c r="BD5" s="846">
        <f t="shared" ref="BD5:BW5" si="11">INDEX(MO_SCA_ShareCount_EoP_Diluted,0,COLUMN())</f>
        <v>43.023359000000006</v>
      </c>
      <c r="BE5" s="846">
        <f t="shared" si="11"/>
        <v>39.150781000000002</v>
      </c>
      <c r="BF5" s="846">
        <f t="shared" si="11"/>
        <v>38.532573000000006</v>
      </c>
      <c r="BG5" s="846">
        <f t="shared" si="11"/>
        <v>40.988515</v>
      </c>
      <c r="BH5" s="846">
        <f t="shared" si="11"/>
        <v>41.774317000000003</v>
      </c>
      <c r="BI5" s="846">
        <f t="shared" si="11"/>
        <v>40.513210000000001</v>
      </c>
      <c r="BJ5" s="846">
        <f t="shared" si="11"/>
        <v>42.772080000000003</v>
      </c>
      <c r="BK5" s="847">
        <f t="shared" si="11"/>
        <v>42.536331000000004</v>
      </c>
      <c r="BL5" s="847">
        <f t="shared" si="11"/>
        <v>43.415182000000001</v>
      </c>
      <c r="BM5" s="847">
        <f t="shared" si="11"/>
        <v>43.456593999999996</v>
      </c>
      <c r="BN5" s="847">
        <f t="shared" si="11"/>
        <v>43.419263000000008</v>
      </c>
      <c r="BO5" s="847">
        <f t="shared" ca="1" si="11"/>
        <v>43.780002369999998</v>
      </c>
      <c r="BP5" s="847" t="e">
        <f t="shared" si="11"/>
        <v>#REF!</v>
      </c>
      <c r="BQ5" s="847" t="e">
        <f t="shared" ca="1" si="11"/>
        <v>#REF!</v>
      </c>
      <c r="BR5" s="848" t="e">
        <f t="shared" ca="1" si="11"/>
        <v>#REF!</v>
      </c>
      <c r="BS5" s="847" t="e">
        <f t="shared" ca="1" si="11"/>
        <v>#REF!</v>
      </c>
      <c r="BT5" s="847">
        <f t="shared" si="11"/>
        <v>0</v>
      </c>
      <c r="BU5" s="847">
        <f t="shared" si="11"/>
        <v>0</v>
      </c>
      <c r="BV5" s="847">
        <f t="shared" si="11"/>
        <v>0</v>
      </c>
      <c r="BW5" s="847">
        <f t="shared" si="11"/>
        <v>0</v>
      </c>
      <c r="BX5" s="80"/>
    </row>
    <row r="6" spans="1:76" s="66" customFormat="1" x14ac:dyDescent="0.35">
      <c r="A6" s="168" t="str">
        <f>"Market Cap - "&amp;SP.ValuationToggle</f>
        <v>Market Cap - EoP</v>
      </c>
      <c r="B6" s="169"/>
      <c r="C6" s="612">
        <f t="shared" ref="C6:AH6" si="12">INDEX(SP_CS_StockPrice,0,COLUMN())*INDEX(SP_CS_ShareCount_EoP_Diluted,0,COLUMN())</f>
        <v>799.80067859999997</v>
      </c>
      <c r="D6" s="612">
        <f t="shared" si="12"/>
        <v>796.81450799999993</v>
      </c>
      <c r="E6" s="612">
        <f t="shared" si="12"/>
        <v>962.33693141000003</v>
      </c>
      <c r="F6" s="612">
        <f t="shared" si="12"/>
        <v>1130.2236409300001</v>
      </c>
      <c r="G6" s="612">
        <f t="shared" si="12"/>
        <v>1382.6269764000001</v>
      </c>
      <c r="H6" s="612">
        <f t="shared" si="12"/>
        <v>948.28588212</v>
      </c>
      <c r="I6" s="612">
        <f t="shared" si="12"/>
        <v>881.7002298000001</v>
      </c>
      <c r="J6" s="612">
        <f t="shared" si="12"/>
        <v>952.14699392000011</v>
      </c>
      <c r="K6" s="612">
        <f t="shared" si="12"/>
        <v>629.6683551000001</v>
      </c>
      <c r="L6" s="612">
        <f t="shared" si="12"/>
        <v>455.07938939999997</v>
      </c>
      <c r="M6" s="612">
        <f t="shared" si="12"/>
        <v>615.5294476800002</v>
      </c>
      <c r="N6" s="612">
        <f t="shared" si="12"/>
        <v>508.62996360000005</v>
      </c>
      <c r="O6" s="612">
        <f t="shared" si="12"/>
        <v>494.01990766</v>
      </c>
      <c r="P6" s="612">
        <f t="shared" si="12"/>
        <v>346.69513560000001</v>
      </c>
      <c r="Q6" s="612">
        <f t="shared" si="12"/>
        <v>405.99529710000002</v>
      </c>
      <c r="R6" s="612">
        <f t="shared" si="12"/>
        <v>495.55114635000001</v>
      </c>
      <c r="S6" s="612">
        <f t="shared" si="12"/>
        <v>589.65644150000014</v>
      </c>
      <c r="T6" s="612">
        <f t="shared" si="12"/>
        <v>713.45874600000002</v>
      </c>
      <c r="U6" s="612">
        <f t="shared" si="12"/>
        <v>774.158143</v>
      </c>
      <c r="V6" s="612">
        <f t="shared" si="12"/>
        <v>753.19093551000014</v>
      </c>
      <c r="W6" s="612">
        <f t="shared" si="12"/>
        <v>754.37530024</v>
      </c>
      <c r="X6" s="612">
        <f t="shared" si="12"/>
        <v>679.47465449999993</v>
      </c>
      <c r="Y6" s="612">
        <f t="shared" si="12"/>
        <v>599.59178521999991</v>
      </c>
      <c r="Z6" s="612">
        <f t="shared" si="12"/>
        <v>663.20124770000007</v>
      </c>
      <c r="AA6" s="612">
        <f t="shared" si="12"/>
        <v>728.95543709999993</v>
      </c>
      <c r="AB6" s="612">
        <f t="shared" si="12"/>
        <v>1018.9040848800001</v>
      </c>
      <c r="AC6" s="612">
        <f t="shared" si="12"/>
        <v>1465.9386540800001</v>
      </c>
      <c r="AD6" s="612">
        <f t="shared" si="12"/>
        <v>1300.6989528000001</v>
      </c>
      <c r="AE6" s="612">
        <f t="shared" si="12"/>
        <v>1151.5467227200002</v>
      </c>
      <c r="AF6" s="612">
        <f t="shared" si="12"/>
        <v>823.2062181</v>
      </c>
      <c r="AG6" s="612">
        <f t="shared" si="12"/>
        <v>767.65843338000002</v>
      </c>
      <c r="AH6" s="612">
        <f t="shared" si="12"/>
        <v>1136.5707643200001</v>
      </c>
      <c r="AI6" s="612">
        <f t="shared" ref="AI6:BB6" si="13">INDEX(SP_CS_StockPrice,0,COLUMN())*INDEX(SP_CS_ShareCount_EoP_Diluted,0,COLUMN())</f>
        <v>1184.5465750399999</v>
      </c>
      <c r="AJ6" s="612">
        <f t="shared" si="13"/>
        <v>917.17706131999989</v>
      </c>
      <c r="AK6" s="612">
        <f t="shared" si="13"/>
        <v>1271.2486936</v>
      </c>
      <c r="AL6" s="612">
        <f t="shared" si="13"/>
        <v>1416.6373886600002</v>
      </c>
      <c r="AM6" s="612">
        <f t="shared" si="13"/>
        <v>1529.5871331299998</v>
      </c>
      <c r="AN6" s="612">
        <f t="shared" si="13"/>
        <v>1429.9324963000001</v>
      </c>
      <c r="AO6" s="612">
        <f t="shared" si="13"/>
        <v>1540.9959236000004</v>
      </c>
      <c r="AP6" s="612">
        <f t="shared" si="13"/>
        <v>1795.1918981399999</v>
      </c>
      <c r="AQ6" s="612">
        <f t="shared" si="13"/>
        <v>1852.8571327399998</v>
      </c>
      <c r="AR6" s="612">
        <f t="shared" si="13"/>
        <v>1357.0861156799999</v>
      </c>
      <c r="AS6" s="612">
        <f t="shared" si="13"/>
        <v>1693.1321332499999</v>
      </c>
      <c r="AT6" s="612">
        <f t="shared" si="13"/>
        <v>1619.1043172700004</v>
      </c>
      <c r="AU6" s="613">
        <f t="shared" si="13"/>
        <v>1973.61586233</v>
      </c>
      <c r="AV6" s="612">
        <f t="shared" ca="1" si="13"/>
        <v>2383.3833290227999</v>
      </c>
      <c r="AW6" s="612">
        <f t="shared" ca="1" si="13"/>
        <v>2383.3833290227999</v>
      </c>
      <c r="AX6" s="612">
        <f t="shared" ca="1" si="13"/>
        <v>2383.3833290227999</v>
      </c>
      <c r="AY6" s="612">
        <f t="shared" ca="1" si="13"/>
        <v>0</v>
      </c>
      <c r="AZ6" s="612">
        <f t="shared" si="13"/>
        <v>630.24759935999998</v>
      </c>
      <c r="BA6" s="612">
        <f t="shared" si="13"/>
        <v>711.27476844</v>
      </c>
      <c r="BB6" s="612">
        <f t="shared" si="13"/>
        <v>1284.6655458</v>
      </c>
      <c r="BC6" s="612"/>
      <c r="BD6" s="849">
        <f t="shared" ref="BD6:BW6" si="14">INDEX(SP_CS_StockPrice,0,COLUMN())*INDEX(SP_CS_ShareCount_EoP_Diluted,0,COLUMN())</f>
        <v>1130.2236409300001</v>
      </c>
      <c r="BE6" s="849">
        <f t="shared" si="14"/>
        <v>952.14699392000011</v>
      </c>
      <c r="BF6" s="849">
        <f t="shared" si="14"/>
        <v>508.62996360000005</v>
      </c>
      <c r="BG6" s="849">
        <f t="shared" si="14"/>
        <v>495.55114635000001</v>
      </c>
      <c r="BH6" s="849">
        <f t="shared" si="14"/>
        <v>753.19093551000014</v>
      </c>
      <c r="BI6" s="849">
        <f t="shared" si="14"/>
        <v>663.20124770000007</v>
      </c>
      <c r="BJ6" s="849">
        <f t="shared" si="14"/>
        <v>1300.6989528000001</v>
      </c>
      <c r="BK6" s="849">
        <f t="shared" si="14"/>
        <v>1136.5707643200001</v>
      </c>
      <c r="BL6" s="849">
        <f t="shared" si="14"/>
        <v>1416.6373886600002</v>
      </c>
      <c r="BM6" s="849">
        <f t="shared" si="14"/>
        <v>1795.1918981399999</v>
      </c>
      <c r="BN6" s="849">
        <f t="shared" si="14"/>
        <v>1619.1043172700004</v>
      </c>
      <c r="BO6" s="849">
        <f t="shared" ca="1" si="14"/>
        <v>2383.3833290227999</v>
      </c>
      <c r="BP6" s="849" t="e">
        <f t="shared" ca="1" si="14"/>
        <v>#REF!</v>
      </c>
      <c r="BQ6" s="849" t="e">
        <f t="shared" ca="1" si="14"/>
        <v>#REF!</v>
      </c>
      <c r="BR6" s="850" t="e">
        <f t="shared" ca="1" si="14"/>
        <v>#REF!</v>
      </c>
      <c r="BS6" s="849" t="e">
        <f t="shared" ca="1" si="14"/>
        <v>#REF!</v>
      </c>
      <c r="BT6" s="849">
        <f t="shared" ca="1" si="14"/>
        <v>0</v>
      </c>
      <c r="BU6" s="849">
        <f t="shared" ca="1" si="14"/>
        <v>0</v>
      </c>
      <c r="BV6" s="849">
        <f t="shared" ca="1" si="14"/>
        <v>0</v>
      </c>
      <c r="BW6" s="849">
        <f t="shared" ca="1" si="14"/>
        <v>0</v>
      </c>
      <c r="BX6" s="544"/>
    </row>
    <row r="7" spans="1:76" s="458" customFormat="1" x14ac:dyDescent="0.35">
      <c r="A7" s="166" t="str">
        <f>INDEX(MO_BSS_Cash,0,COLUMN())</f>
        <v>Cash</v>
      </c>
      <c r="B7" s="167"/>
      <c r="C7" s="543">
        <f t="shared" ref="C7:AH7" si="15">INDEX(MO_BSS_Cash,0,COLUMN())</f>
        <v>107.938</v>
      </c>
      <c r="D7" s="543">
        <f t="shared" si="15"/>
        <v>143.19200000000001</v>
      </c>
      <c r="E7" s="543">
        <f t="shared" si="15"/>
        <v>156.96799999999999</v>
      </c>
      <c r="F7" s="543">
        <f t="shared" si="15"/>
        <v>181.48</v>
      </c>
      <c r="G7" s="543">
        <f t="shared" si="15"/>
        <v>163.47399999999999</v>
      </c>
      <c r="H7" s="543">
        <f t="shared" si="15"/>
        <v>162.88900000000001</v>
      </c>
      <c r="I7" s="543">
        <f t="shared" si="15"/>
        <v>185.33199999999999</v>
      </c>
      <c r="J7" s="543">
        <f t="shared" si="15"/>
        <v>196.10900000000001</v>
      </c>
      <c r="K7" s="543">
        <f t="shared" si="15"/>
        <v>109.196</v>
      </c>
      <c r="L7" s="543">
        <f t="shared" si="15"/>
        <v>124.23399999999999</v>
      </c>
      <c r="M7" s="543">
        <f t="shared" si="15"/>
        <v>142.85</v>
      </c>
      <c r="N7" s="543">
        <f t="shared" si="15"/>
        <v>195.852</v>
      </c>
      <c r="O7" s="543">
        <f t="shared" si="15"/>
        <v>150.864</v>
      </c>
      <c r="P7" s="543">
        <f t="shared" si="15"/>
        <v>171.27699999999999</v>
      </c>
      <c r="Q7" s="543">
        <f t="shared" si="15"/>
        <v>199.50800000000001</v>
      </c>
      <c r="R7" s="543">
        <f t="shared" si="15"/>
        <v>213.989</v>
      </c>
      <c r="S7" s="543">
        <f t="shared" si="15"/>
        <v>135.08799999999999</v>
      </c>
      <c r="T7" s="543">
        <f t="shared" si="15"/>
        <v>182.14599999999999</v>
      </c>
      <c r="U7" s="543">
        <f t="shared" si="15"/>
        <v>194.708</v>
      </c>
      <c r="V7" s="543">
        <f t="shared" si="15"/>
        <v>230.864</v>
      </c>
      <c r="W7" s="543">
        <f t="shared" si="15"/>
        <v>147.34200000000001</v>
      </c>
      <c r="X7" s="543">
        <f t="shared" si="15"/>
        <v>189.50200000000001</v>
      </c>
      <c r="Y7" s="543">
        <f t="shared" si="15"/>
        <v>227.90700000000001</v>
      </c>
      <c r="Z7" s="543">
        <f t="shared" si="15"/>
        <v>233.113</v>
      </c>
      <c r="AA7" s="543">
        <f t="shared" si="15"/>
        <v>145.04900000000001</v>
      </c>
      <c r="AB7" s="543">
        <f t="shared" si="15"/>
        <v>205.27500000000001</v>
      </c>
      <c r="AC7" s="543">
        <f t="shared" si="15"/>
        <v>236.02500000000001</v>
      </c>
      <c r="AD7" s="543">
        <f t="shared" si="15"/>
        <v>284.62099999999998</v>
      </c>
      <c r="AE7" s="543">
        <f t="shared" si="15"/>
        <v>167.44399999999999</v>
      </c>
      <c r="AF7" s="543">
        <f t="shared" si="15"/>
        <v>213.14099999999999</v>
      </c>
      <c r="AG7" s="543">
        <f t="shared" si="15"/>
        <v>151.53399999999999</v>
      </c>
      <c r="AH7" s="543">
        <f t="shared" si="15"/>
        <v>213.29900000000001</v>
      </c>
      <c r="AI7" s="543">
        <f t="shared" ref="AI7:BB7" si="16">INDEX(MO_BSS_Cash,0,COLUMN())</f>
        <v>309.78399999999999</v>
      </c>
      <c r="AJ7" s="543">
        <f t="shared" si="16"/>
        <v>259.17800000000005</v>
      </c>
      <c r="AK7" s="543">
        <f t="shared" si="16"/>
        <v>330.03300000000002</v>
      </c>
      <c r="AL7" s="543">
        <f t="shared" si="16"/>
        <v>386.58199999999999</v>
      </c>
      <c r="AM7" s="543">
        <f t="shared" si="16"/>
        <v>219.024</v>
      </c>
      <c r="AN7" s="543">
        <f t="shared" si="16"/>
        <v>257.49099999999999</v>
      </c>
      <c r="AO7" s="543">
        <f t="shared" si="16"/>
        <v>308.56400000000002</v>
      </c>
      <c r="AP7" s="543">
        <f t="shared" si="16"/>
        <v>389.39800000000002</v>
      </c>
      <c r="AQ7" s="543">
        <f t="shared" si="16"/>
        <v>194.524</v>
      </c>
      <c r="AR7" s="543">
        <f t="shared" si="16"/>
        <v>318.279</v>
      </c>
      <c r="AS7" s="543">
        <f t="shared" si="16"/>
        <v>373.678</v>
      </c>
      <c r="AT7" s="543">
        <f t="shared" si="16"/>
        <v>410.80700000000002</v>
      </c>
      <c r="AU7" s="614">
        <f t="shared" si="16"/>
        <v>254.626</v>
      </c>
      <c r="AV7" s="543">
        <f t="shared" ca="1" si="16"/>
        <v>428.60242402342146</v>
      </c>
      <c r="AW7" s="543">
        <f t="shared" ca="1" si="16"/>
        <v>512.58276416856916</v>
      </c>
      <c r="AX7" s="543">
        <f t="shared" ca="1" si="16"/>
        <v>601.40412634458812</v>
      </c>
      <c r="AY7" s="543">
        <f t="shared" si="16"/>
        <v>0</v>
      </c>
      <c r="AZ7" s="543">
        <f t="shared" si="16"/>
        <v>51.960999999999999</v>
      </c>
      <c r="BA7" s="543">
        <f t="shared" si="16"/>
        <v>85.094000000000008</v>
      </c>
      <c r="BB7" s="543">
        <f t="shared" si="16"/>
        <v>194.6</v>
      </c>
      <c r="BC7" s="543"/>
      <c r="BD7" s="851">
        <f t="shared" ref="BD7:BW7" si="17">INDEX(MO_BSS_Cash,0,COLUMN())</f>
        <v>181.48</v>
      </c>
      <c r="BE7" s="851">
        <f t="shared" si="17"/>
        <v>196.10900000000001</v>
      </c>
      <c r="BF7" s="851">
        <f t="shared" si="17"/>
        <v>195.852</v>
      </c>
      <c r="BG7" s="851">
        <f t="shared" si="17"/>
        <v>213.989</v>
      </c>
      <c r="BH7" s="851">
        <f t="shared" si="17"/>
        <v>230.864</v>
      </c>
      <c r="BI7" s="851">
        <f t="shared" si="17"/>
        <v>233.113</v>
      </c>
      <c r="BJ7" s="851">
        <f t="shared" si="17"/>
        <v>284.62099999999998</v>
      </c>
      <c r="BK7" s="851">
        <f t="shared" si="17"/>
        <v>213.29900000000001</v>
      </c>
      <c r="BL7" s="851">
        <f t="shared" si="17"/>
        <v>386.58199999999999</v>
      </c>
      <c r="BM7" s="851">
        <f t="shared" si="17"/>
        <v>389.39800000000002</v>
      </c>
      <c r="BN7" s="851">
        <f t="shared" si="17"/>
        <v>410.80700000000002</v>
      </c>
      <c r="BO7" s="851">
        <f t="shared" ca="1" si="17"/>
        <v>601.40412634458812</v>
      </c>
      <c r="BP7" s="851" t="e">
        <f t="shared" si="17"/>
        <v>#REF!</v>
      </c>
      <c r="BQ7" s="851" t="e">
        <f t="shared" si="17"/>
        <v>#REF!</v>
      </c>
      <c r="BR7" s="852" t="e">
        <f t="shared" ca="1" si="17"/>
        <v>#REF!</v>
      </c>
      <c r="BS7" s="851" t="e">
        <f t="shared" ca="1" si="17"/>
        <v>#REF!</v>
      </c>
      <c r="BT7" s="851">
        <f t="shared" si="17"/>
        <v>0</v>
      </c>
      <c r="BU7" s="851">
        <f t="shared" si="17"/>
        <v>0</v>
      </c>
      <c r="BV7" s="851">
        <f t="shared" si="17"/>
        <v>0</v>
      </c>
      <c r="BW7" s="851">
        <f t="shared" si="17"/>
        <v>0</v>
      </c>
      <c r="BX7" s="543"/>
    </row>
    <row r="8" spans="1:76" s="458" customFormat="1" x14ac:dyDescent="0.35">
      <c r="A8" s="166" t="str">
        <f>INDEX(MO_BSS_Debt,0,COLUMN())</f>
        <v>Debt</v>
      </c>
      <c r="B8" s="167"/>
      <c r="C8" s="543">
        <f t="shared" ref="C8:AH8" si="18">INDEX(MO_BSS_Debt,0,COLUMN())</f>
        <v>42.298999999999999</v>
      </c>
      <c r="D8" s="543">
        <f t="shared" si="18"/>
        <v>41.555999999999997</v>
      </c>
      <c r="E8" s="543">
        <f t="shared" si="18"/>
        <v>41.817</v>
      </c>
      <c r="F8" s="543">
        <f t="shared" si="18"/>
        <v>35.891999999999996</v>
      </c>
      <c r="G8" s="543">
        <f t="shared" si="18"/>
        <v>40.645000000000003</v>
      </c>
      <c r="H8" s="543">
        <f t="shared" si="18"/>
        <v>41.646000000000001</v>
      </c>
      <c r="I8" s="543">
        <f t="shared" si="18"/>
        <v>37.605000000000004</v>
      </c>
      <c r="J8" s="543">
        <f t="shared" si="18"/>
        <v>36.939</v>
      </c>
      <c r="K8" s="543">
        <f t="shared" si="18"/>
        <v>35.305999999999997</v>
      </c>
      <c r="L8" s="543">
        <f t="shared" si="18"/>
        <v>32.363999999999997</v>
      </c>
      <c r="M8" s="543">
        <f t="shared" si="18"/>
        <v>32.293999999999997</v>
      </c>
      <c r="N8" s="543">
        <f t="shared" si="18"/>
        <v>29.657000000000004</v>
      </c>
      <c r="O8" s="543">
        <f t="shared" si="18"/>
        <v>27.304000000000002</v>
      </c>
      <c r="P8" s="543">
        <f t="shared" si="18"/>
        <v>24.427999999999997</v>
      </c>
      <c r="Q8" s="543">
        <f t="shared" si="18"/>
        <v>23.113</v>
      </c>
      <c r="R8" s="543">
        <f t="shared" si="18"/>
        <v>23.132000000000001</v>
      </c>
      <c r="S8" s="543">
        <f t="shared" si="18"/>
        <v>27.752000000000002</v>
      </c>
      <c r="T8" s="543">
        <f t="shared" si="18"/>
        <v>25.282</v>
      </c>
      <c r="U8" s="543">
        <f t="shared" si="18"/>
        <v>25.222000000000001</v>
      </c>
      <c r="V8" s="543">
        <f t="shared" si="18"/>
        <v>21.905000000000001</v>
      </c>
      <c r="W8" s="543">
        <f t="shared" si="18"/>
        <v>29.288</v>
      </c>
      <c r="X8" s="543">
        <f t="shared" si="18"/>
        <v>27.347000000000001</v>
      </c>
      <c r="Y8" s="543">
        <f t="shared" si="18"/>
        <v>27.71</v>
      </c>
      <c r="Z8" s="543">
        <f t="shared" si="18"/>
        <v>26.018000000000001</v>
      </c>
      <c r="AA8" s="543">
        <f t="shared" si="18"/>
        <v>37.692</v>
      </c>
      <c r="AB8" s="543">
        <f t="shared" si="18"/>
        <v>34.750999999999998</v>
      </c>
      <c r="AC8" s="543">
        <f t="shared" si="18"/>
        <v>31.196999999999999</v>
      </c>
      <c r="AD8" s="543">
        <f t="shared" si="18"/>
        <v>24.648</v>
      </c>
      <c r="AE8" s="543">
        <f t="shared" si="18"/>
        <v>25.513999999999999</v>
      </c>
      <c r="AF8" s="543">
        <f t="shared" si="18"/>
        <v>25.481999999999999</v>
      </c>
      <c r="AG8" s="543">
        <f t="shared" si="18"/>
        <v>123.253</v>
      </c>
      <c r="AH8" s="543">
        <f t="shared" si="18"/>
        <v>117.938</v>
      </c>
      <c r="AI8" s="543">
        <f t="shared" ref="AI8:BB8" si="19">INDEX(MO_BSS_Debt,0,COLUMN())</f>
        <v>320.596</v>
      </c>
      <c r="AJ8" s="543">
        <f t="shared" si="19"/>
        <v>350.92600000000004</v>
      </c>
      <c r="AK8" s="543">
        <f t="shared" si="19"/>
        <v>364.54099999999994</v>
      </c>
      <c r="AL8" s="543">
        <f t="shared" si="19"/>
        <v>368.17500000000001</v>
      </c>
      <c r="AM8" s="543">
        <f t="shared" si="19"/>
        <v>489.42899999999997</v>
      </c>
      <c r="AN8" s="543">
        <f t="shared" si="19"/>
        <v>491.36599999999999</v>
      </c>
      <c r="AO8" s="543">
        <f t="shared" si="19"/>
        <v>485.62900000000002</v>
      </c>
      <c r="AP8" s="543">
        <f t="shared" si="19"/>
        <v>477.71499999999997</v>
      </c>
      <c r="AQ8" s="543">
        <f t="shared" si="19"/>
        <v>489.87600000000003</v>
      </c>
      <c r="AR8" s="543">
        <f t="shared" si="19"/>
        <v>485.56200000000001</v>
      </c>
      <c r="AS8" s="543">
        <f t="shared" si="19"/>
        <v>479.66800000000001</v>
      </c>
      <c r="AT8" s="543">
        <f t="shared" si="19"/>
        <v>469.93400000000003</v>
      </c>
      <c r="AU8" s="614">
        <f t="shared" si="19"/>
        <v>478.15800000000002</v>
      </c>
      <c r="AV8" s="543">
        <f t="shared" si="19"/>
        <v>478.15800000000002</v>
      </c>
      <c r="AW8" s="543">
        <f t="shared" si="19"/>
        <v>478.15800000000002</v>
      </c>
      <c r="AX8" s="543">
        <f t="shared" si="19"/>
        <v>478.15800000000002</v>
      </c>
      <c r="AY8" s="543">
        <f t="shared" si="19"/>
        <v>0</v>
      </c>
      <c r="AZ8" s="543">
        <f t="shared" si="19"/>
        <v>22.402000000000001</v>
      </c>
      <c r="BA8" s="543">
        <f t="shared" si="19"/>
        <v>20.612000000000002</v>
      </c>
      <c r="BB8" s="543">
        <f t="shared" si="19"/>
        <v>24.207999999999998</v>
      </c>
      <c r="BC8" s="543"/>
      <c r="BD8" s="851">
        <f t="shared" ref="BD8:BW8" si="20">INDEX(MO_BSS_Debt,0,COLUMN())</f>
        <v>35.891999999999996</v>
      </c>
      <c r="BE8" s="851">
        <f t="shared" si="20"/>
        <v>36.939</v>
      </c>
      <c r="BF8" s="851">
        <f t="shared" si="20"/>
        <v>29.657000000000004</v>
      </c>
      <c r="BG8" s="851">
        <f t="shared" si="20"/>
        <v>23.132000000000001</v>
      </c>
      <c r="BH8" s="851">
        <f t="shared" si="20"/>
        <v>21.905000000000001</v>
      </c>
      <c r="BI8" s="851">
        <f t="shared" si="20"/>
        <v>26.018000000000001</v>
      </c>
      <c r="BJ8" s="851">
        <f t="shared" si="20"/>
        <v>24.648</v>
      </c>
      <c r="BK8" s="851">
        <f t="shared" si="20"/>
        <v>117.938</v>
      </c>
      <c r="BL8" s="851">
        <f t="shared" si="20"/>
        <v>368.17500000000001</v>
      </c>
      <c r="BM8" s="851">
        <f t="shared" si="20"/>
        <v>477.71499999999997</v>
      </c>
      <c r="BN8" s="851">
        <f t="shared" si="20"/>
        <v>469.93400000000003</v>
      </c>
      <c r="BO8" s="851">
        <f t="shared" si="20"/>
        <v>478.15800000000002</v>
      </c>
      <c r="BP8" s="851" t="e">
        <f t="shared" si="20"/>
        <v>#REF!</v>
      </c>
      <c r="BQ8" s="851" t="e">
        <f t="shared" si="20"/>
        <v>#REF!</v>
      </c>
      <c r="BR8" s="852" t="e">
        <f t="shared" si="20"/>
        <v>#REF!</v>
      </c>
      <c r="BS8" s="851" t="e">
        <f t="shared" si="20"/>
        <v>#REF!</v>
      </c>
      <c r="BT8" s="851">
        <f t="shared" si="20"/>
        <v>0</v>
      </c>
      <c r="BU8" s="851">
        <f t="shared" si="20"/>
        <v>0</v>
      </c>
      <c r="BV8" s="851">
        <f t="shared" si="20"/>
        <v>0</v>
      </c>
      <c r="BW8" s="851">
        <f t="shared" si="20"/>
        <v>0</v>
      </c>
      <c r="BX8" s="543"/>
    </row>
    <row r="9" spans="1:76" s="458" customFormat="1" x14ac:dyDescent="0.35">
      <c r="A9" s="166" t="s">
        <v>401</v>
      </c>
      <c r="B9" s="167"/>
      <c r="C9" s="543">
        <f t="shared" ref="C9:AH9" si="21">INDEX(MO_BSS_OL,0,COLUMN())</f>
        <v>0</v>
      </c>
      <c r="D9" s="543">
        <f t="shared" si="21"/>
        <v>0</v>
      </c>
      <c r="E9" s="543">
        <f t="shared" si="21"/>
        <v>0</v>
      </c>
      <c r="F9" s="543">
        <f t="shared" si="21"/>
        <v>0</v>
      </c>
      <c r="G9" s="543">
        <f t="shared" si="21"/>
        <v>0</v>
      </c>
      <c r="H9" s="543">
        <f t="shared" si="21"/>
        <v>0</v>
      </c>
      <c r="I9" s="543">
        <f t="shared" si="21"/>
        <v>0</v>
      </c>
      <c r="J9" s="543">
        <f t="shared" si="21"/>
        <v>0</v>
      </c>
      <c r="K9" s="543">
        <f t="shared" si="21"/>
        <v>0</v>
      </c>
      <c r="L9" s="543">
        <f t="shared" si="21"/>
        <v>0</v>
      </c>
      <c r="M9" s="543">
        <f t="shared" si="21"/>
        <v>0</v>
      </c>
      <c r="N9" s="543">
        <f t="shared" si="21"/>
        <v>0</v>
      </c>
      <c r="O9" s="543">
        <f t="shared" si="21"/>
        <v>0</v>
      </c>
      <c r="P9" s="543">
        <f t="shared" si="21"/>
        <v>0</v>
      </c>
      <c r="Q9" s="543">
        <f t="shared" si="21"/>
        <v>0</v>
      </c>
      <c r="R9" s="543">
        <f t="shared" si="21"/>
        <v>0</v>
      </c>
      <c r="S9" s="543">
        <f t="shared" si="21"/>
        <v>0</v>
      </c>
      <c r="T9" s="543">
        <f t="shared" si="21"/>
        <v>0</v>
      </c>
      <c r="U9" s="543">
        <f t="shared" si="21"/>
        <v>0</v>
      </c>
      <c r="V9" s="543">
        <f t="shared" si="21"/>
        <v>0</v>
      </c>
      <c r="W9" s="543">
        <f t="shared" si="21"/>
        <v>0</v>
      </c>
      <c r="X9" s="543">
        <f t="shared" si="21"/>
        <v>0</v>
      </c>
      <c r="Y9" s="543">
        <f t="shared" si="21"/>
        <v>0</v>
      </c>
      <c r="Z9" s="543">
        <f t="shared" si="21"/>
        <v>0</v>
      </c>
      <c r="AA9" s="543">
        <f t="shared" si="21"/>
        <v>0</v>
      </c>
      <c r="AB9" s="543">
        <f t="shared" si="21"/>
        <v>0</v>
      </c>
      <c r="AC9" s="543">
        <f t="shared" si="21"/>
        <v>0</v>
      </c>
      <c r="AD9" s="543">
        <f t="shared" si="21"/>
        <v>0</v>
      </c>
      <c r="AE9" s="543">
        <f t="shared" si="21"/>
        <v>25.418999999999997</v>
      </c>
      <c r="AF9" s="543">
        <f t="shared" si="21"/>
        <v>23.402000000000001</v>
      </c>
      <c r="AG9" s="543">
        <f t="shared" si="21"/>
        <v>121.244</v>
      </c>
      <c r="AH9" s="543">
        <f t="shared" si="21"/>
        <v>117.233</v>
      </c>
      <c r="AI9" s="543">
        <f t="shared" ref="AI9:BB9" si="22">INDEX(MO_BSS_OL,0,COLUMN())</f>
        <v>112.279</v>
      </c>
      <c r="AJ9" s="543">
        <f t="shared" si="22"/>
        <v>108.18100000000001</v>
      </c>
      <c r="AK9" s="543">
        <f t="shared" si="22"/>
        <v>103.85899999999999</v>
      </c>
      <c r="AL9" s="543">
        <f t="shared" si="22"/>
        <v>98.106999999999999</v>
      </c>
      <c r="AM9" s="543">
        <f t="shared" si="22"/>
        <v>99.590999999999994</v>
      </c>
      <c r="AN9" s="543">
        <f t="shared" si="22"/>
        <v>94.253</v>
      </c>
      <c r="AO9" s="543">
        <f t="shared" si="22"/>
        <v>90.132000000000005</v>
      </c>
      <c r="AP9" s="543">
        <f t="shared" si="22"/>
        <v>87.956999999999994</v>
      </c>
      <c r="AQ9" s="543">
        <f t="shared" si="22"/>
        <v>82.468999999999994</v>
      </c>
      <c r="AR9" s="543">
        <f t="shared" si="22"/>
        <v>79.108000000000004</v>
      </c>
      <c r="AS9" s="543">
        <f t="shared" si="22"/>
        <v>76.471000000000004</v>
      </c>
      <c r="AT9" s="543">
        <f t="shared" si="22"/>
        <v>73.873999999999995</v>
      </c>
      <c r="AU9" s="614">
        <f t="shared" si="22"/>
        <v>69.707999999999998</v>
      </c>
      <c r="AV9" s="543">
        <f t="shared" si="22"/>
        <v>69.707999999999998</v>
      </c>
      <c r="AW9" s="543">
        <f t="shared" si="22"/>
        <v>69.707999999999998</v>
      </c>
      <c r="AX9" s="543">
        <f t="shared" si="22"/>
        <v>69.707999999999998</v>
      </c>
      <c r="AY9" s="543">
        <f t="shared" si="22"/>
        <v>0</v>
      </c>
      <c r="AZ9" s="543">
        <f t="shared" si="22"/>
        <v>0</v>
      </c>
      <c r="BA9" s="543">
        <f t="shared" si="22"/>
        <v>0</v>
      </c>
      <c r="BB9" s="543">
        <f t="shared" si="22"/>
        <v>0</v>
      </c>
      <c r="BC9" s="543"/>
      <c r="BD9" s="851">
        <f t="shared" ref="BD9:BW9" si="23">INDEX(MO_BSS_OL,0,COLUMN())</f>
        <v>0</v>
      </c>
      <c r="BE9" s="851">
        <f t="shared" si="23"/>
        <v>0</v>
      </c>
      <c r="BF9" s="851">
        <f t="shared" si="23"/>
        <v>0</v>
      </c>
      <c r="BG9" s="851">
        <f t="shared" si="23"/>
        <v>0</v>
      </c>
      <c r="BH9" s="851">
        <f t="shared" si="23"/>
        <v>0</v>
      </c>
      <c r="BI9" s="851">
        <f t="shared" si="23"/>
        <v>0</v>
      </c>
      <c r="BJ9" s="851">
        <f t="shared" si="23"/>
        <v>0</v>
      </c>
      <c r="BK9" s="851">
        <f t="shared" si="23"/>
        <v>117.233</v>
      </c>
      <c r="BL9" s="851">
        <f t="shared" si="23"/>
        <v>98.106999999999999</v>
      </c>
      <c r="BM9" s="851">
        <f t="shared" si="23"/>
        <v>87.956999999999994</v>
      </c>
      <c r="BN9" s="851">
        <f t="shared" si="23"/>
        <v>73.873999999999995</v>
      </c>
      <c r="BO9" s="851">
        <f t="shared" si="23"/>
        <v>69.707999999999998</v>
      </c>
      <c r="BP9" s="851" t="e">
        <f t="shared" si="23"/>
        <v>#REF!</v>
      </c>
      <c r="BQ9" s="851" t="e">
        <f t="shared" si="23"/>
        <v>#REF!</v>
      </c>
      <c r="BR9" s="852" t="e">
        <f t="shared" si="23"/>
        <v>#REF!</v>
      </c>
      <c r="BS9" s="851" t="e">
        <f t="shared" si="23"/>
        <v>#REF!</v>
      </c>
      <c r="BT9" s="851">
        <f t="shared" si="23"/>
        <v>0</v>
      </c>
      <c r="BU9" s="851">
        <f t="shared" si="23"/>
        <v>0</v>
      </c>
      <c r="BV9" s="851">
        <f t="shared" si="23"/>
        <v>0</v>
      </c>
      <c r="BW9" s="851">
        <f t="shared" si="23"/>
        <v>0</v>
      </c>
      <c r="BX9" s="543"/>
    </row>
    <row r="10" spans="1:76" s="458" customFormat="1" x14ac:dyDescent="0.35">
      <c r="A10" s="477" t="s">
        <v>113</v>
      </c>
      <c r="B10" s="276"/>
      <c r="C10" s="615">
        <f t="shared" ref="C10:AH10" si="24">INDEX(MO_VA_EVCalc_NCI,0,COLUMN())+INDEX(MO_VA_EVCalc_Prefs,0,COLUMN())+INDEX(MO_VA_EVCalc_Other,0,COLUMN())</f>
        <v>21.268000000000001</v>
      </c>
      <c r="D10" s="615">
        <f t="shared" si="24"/>
        <v>21.332999999999998</v>
      </c>
      <c r="E10" s="615">
        <f t="shared" si="24"/>
        <v>21.398</v>
      </c>
      <c r="F10" s="615">
        <f t="shared" si="24"/>
        <v>18.795999999999999</v>
      </c>
      <c r="G10" s="615">
        <f t="shared" si="24"/>
        <v>18.649000000000001</v>
      </c>
      <c r="H10" s="615">
        <f t="shared" si="24"/>
        <v>18.622</v>
      </c>
      <c r="I10" s="615">
        <f t="shared" si="24"/>
        <v>18.587</v>
      </c>
      <c r="J10" s="615">
        <f t="shared" si="24"/>
        <v>16.800999999999998</v>
      </c>
      <c r="K10" s="615">
        <f t="shared" si="24"/>
        <v>19.800999999999998</v>
      </c>
      <c r="L10" s="615">
        <f t="shared" si="24"/>
        <v>19.800999999999998</v>
      </c>
      <c r="M10" s="615">
        <f t="shared" si="24"/>
        <v>19.800999999999998</v>
      </c>
      <c r="N10" s="615">
        <f t="shared" si="24"/>
        <v>9.6010000000000009</v>
      </c>
      <c r="O10" s="615">
        <f t="shared" si="24"/>
        <v>9.6010000000000009</v>
      </c>
      <c r="P10" s="615">
        <f t="shared" si="24"/>
        <v>9.8010000000000002</v>
      </c>
      <c r="Q10" s="615">
        <f t="shared" si="24"/>
        <v>9.8010000000000002</v>
      </c>
      <c r="R10" s="615">
        <f t="shared" si="24"/>
        <v>7.5019999999999998</v>
      </c>
      <c r="S10" s="615">
        <f t="shared" si="24"/>
        <v>9.9019999999999992</v>
      </c>
      <c r="T10" s="615">
        <f t="shared" si="24"/>
        <v>0.7</v>
      </c>
      <c r="U10" s="615">
        <f t="shared" si="24"/>
        <v>0.7</v>
      </c>
      <c r="V10" s="615">
        <f t="shared" si="24"/>
        <v>0.7</v>
      </c>
      <c r="W10" s="615">
        <f t="shared" si="24"/>
        <v>0.7</v>
      </c>
      <c r="X10" s="615">
        <f t="shared" si="24"/>
        <v>0.5</v>
      </c>
      <c r="Y10" s="615">
        <f t="shared" si="24"/>
        <v>0</v>
      </c>
      <c r="Z10" s="615">
        <f t="shared" si="24"/>
        <v>0</v>
      </c>
      <c r="AA10" s="615">
        <f t="shared" si="24"/>
        <v>0</v>
      </c>
      <c r="AB10" s="615">
        <f t="shared" si="24"/>
        <v>0</v>
      </c>
      <c r="AC10" s="615">
        <f t="shared" si="24"/>
        <v>0</v>
      </c>
      <c r="AD10" s="615">
        <f t="shared" si="24"/>
        <v>0</v>
      </c>
      <c r="AE10" s="615">
        <f t="shared" si="24"/>
        <v>0</v>
      </c>
      <c r="AF10" s="615">
        <f t="shared" si="24"/>
        <v>0</v>
      </c>
      <c r="AG10" s="615">
        <f t="shared" si="24"/>
        <v>0</v>
      </c>
      <c r="AH10" s="615">
        <f t="shared" si="24"/>
        <v>0</v>
      </c>
      <c r="AI10" s="615">
        <f t="shared" ref="AI10:BB10" si="25">INDEX(MO_VA_EVCalc_NCI,0,COLUMN())+INDEX(MO_VA_EVCalc_Prefs,0,COLUMN())+INDEX(MO_VA_EVCalc_Other,0,COLUMN())</f>
        <v>0</v>
      </c>
      <c r="AJ10" s="615">
        <f t="shared" si="25"/>
        <v>0</v>
      </c>
      <c r="AK10" s="615">
        <f t="shared" si="25"/>
        <v>0</v>
      </c>
      <c r="AL10" s="615">
        <f t="shared" si="25"/>
        <v>0</v>
      </c>
      <c r="AM10" s="615">
        <f t="shared" si="25"/>
        <v>0</v>
      </c>
      <c r="AN10" s="615">
        <f t="shared" si="25"/>
        <v>0</v>
      </c>
      <c r="AO10" s="615">
        <f t="shared" si="25"/>
        <v>0</v>
      </c>
      <c r="AP10" s="615">
        <f t="shared" si="25"/>
        <v>0</v>
      </c>
      <c r="AQ10" s="615">
        <f t="shared" si="25"/>
        <v>0</v>
      </c>
      <c r="AR10" s="615">
        <f t="shared" si="25"/>
        <v>0</v>
      </c>
      <c r="AS10" s="615">
        <f t="shared" si="25"/>
        <v>0</v>
      </c>
      <c r="AT10" s="615">
        <f t="shared" si="25"/>
        <v>0</v>
      </c>
      <c r="AU10" s="616">
        <f t="shared" si="25"/>
        <v>0</v>
      </c>
      <c r="AV10" s="615">
        <f t="shared" si="25"/>
        <v>0</v>
      </c>
      <c r="AW10" s="615">
        <f t="shared" si="25"/>
        <v>0</v>
      </c>
      <c r="AX10" s="615">
        <f t="shared" si="25"/>
        <v>0</v>
      </c>
      <c r="AY10" s="615">
        <f t="shared" si="25"/>
        <v>0</v>
      </c>
      <c r="AZ10" s="615">
        <f t="shared" si="25"/>
        <v>4.4139999999999997</v>
      </c>
      <c r="BA10" s="615">
        <f t="shared" si="25"/>
        <v>21.515000000000001</v>
      </c>
      <c r="BB10" s="615">
        <f t="shared" si="25"/>
        <v>21.326000000000001</v>
      </c>
      <c r="BC10" s="615"/>
      <c r="BD10" s="847">
        <f t="shared" ref="BD10:BW10" si="26">INDEX(MO_VA_EVCalc_NCI,0,COLUMN())+INDEX(MO_VA_EVCalc_Prefs,0,COLUMN())+INDEX(MO_VA_EVCalc_Other,0,COLUMN())</f>
        <v>18.795999999999999</v>
      </c>
      <c r="BE10" s="847">
        <f t="shared" si="26"/>
        <v>16.800999999999998</v>
      </c>
      <c r="BF10" s="847">
        <f t="shared" si="26"/>
        <v>9.6010000000000009</v>
      </c>
      <c r="BG10" s="847">
        <f t="shared" si="26"/>
        <v>7.5019999999999998</v>
      </c>
      <c r="BH10" s="847">
        <f t="shared" si="26"/>
        <v>0.7</v>
      </c>
      <c r="BI10" s="847">
        <f t="shared" si="26"/>
        <v>0</v>
      </c>
      <c r="BJ10" s="847">
        <f t="shared" si="26"/>
        <v>0</v>
      </c>
      <c r="BK10" s="847">
        <f t="shared" si="26"/>
        <v>0</v>
      </c>
      <c r="BL10" s="847">
        <f t="shared" si="26"/>
        <v>0</v>
      </c>
      <c r="BM10" s="847">
        <f t="shared" si="26"/>
        <v>0</v>
      </c>
      <c r="BN10" s="847">
        <f t="shared" si="26"/>
        <v>0</v>
      </c>
      <c r="BO10" s="847">
        <f t="shared" si="26"/>
        <v>0</v>
      </c>
      <c r="BP10" s="847" t="e">
        <f t="shared" si="26"/>
        <v>#REF!</v>
      </c>
      <c r="BQ10" s="847" t="e">
        <f t="shared" si="26"/>
        <v>#REF!</v>
      </c>
      <c r="BR10" s="848" t="e">
        <f t="shared" si="26"/>
        <v>#REF!</v>
      </c>
      <c r="BS10" s="847" t="e">
        <f t="shared" si="26"/>
        <v>#REF!</v>
      </c>
      <c r="BT10" s="847">
        <f t="shared" si="26"/>
        <v>0</v>
      </c>
      <c r="BU10" s="847">
        <f t="shared" si="26"/>
        <v>0</v>
      </c>
      <c r="BV10" s="847">
        <f t="shared" si="26"/>
        <v>0</v>
      </c>
      <c r="BW10" s="847">
        <f t="shared" si="26"/>
        <v>0</v>
      </c>
      <c r="BX10" s="543"/>
    </row>
    <row r="11" spans="1:76" s="66" customFormat="1" x14ac:dyDescent="0.35">
      <c r="A11" s="168" t="str">
        <f>"Enterprise Value - "&amp;SP.ValuationToggle</f>
        <v>Enterprise Value - EoP</v>
      </c>
      <c r="B11" s="169"/>
      <c r="C11" s="612">
        <f t="shared" ref="C11:AH11" si="27">INDEX(SP_CS_MarketCap,0,COLUMN())-INDEX(SP_CS_Cash,0,COLUMN())+INDEX(SP_CS_Debt,0,COLUMN())+INDEX(SP_CS_OL,0,COLUMN())+INDEX(SP_CS_EVCalc_Other,0,COLUMN())</f>
        <v>755.42967859999999</v>
      </c>
      <c r="D11" s="612">
        <f t="shared" si="27"/>
        <v>716.51150799999994</v>
      </c>
      <c r="E11" s="612">
        <f t="shared" si="27"/>
        <v>868.5839314100001</v>
      </c>
      <c r="F11" s="612">
        <f t="shared" si="27"/>
        <v>1003.4316409300002</v>
      </c>
      <c r="G11" s="612">
        <f t="shared" si="27"/>
        <v>1278.4469764</v>
      </c>
      <c r="H11" s="612">
        <f t="shared" si="27"/>
        <v>845.6648821199999</v>
      </c>
      <c r="I11" s="612">
        <f t="shared" si="27"/>
        <v>752.56022980000012</v>
      </c>
      <c r="J11" s="612">
        <f t="shared" si="27"/>
        <v>809.77799392000009</v>
      </c>
      <c r="K11" s="612">
        <f t="shared" si="27"/>
        <v>575.57935510000016</v>
      </c>
      <c r="L11" s="612">
        <f t="shared" si="27"/>
        <v>383.01038939999995</v>
      </c>
      <c r="M11" s="612">
        <f t="shared" si="27"/>
        <v>524.77444768000021</v>
      </c>
      <c r="N11" s="612">
        <f t="shared" si="27"/>
        <v>352.0359636</v>
      </c>
      <c r="O11" s="612">
        <f t="shared" si="27"/>
        <v>380.06090766</v>
      </c>
      <c r="P11" s="612">
        <f t="shared" si="27"/>
        <v>209.64713560000001</v>
      </c>
      <c r="Q11" s="612">
        <f t="shared" si="27"/>
        <v>239.40129709999999</v>
      </c>
      <c r="R11" s="612">
        <f t="shared" si="27"/>
        <v>312.19614635000005</v>
      </c>
      <c r="S11" s="612">
        <f t="shared" si="27"/>
        <v>492.22244150000017</v>
      </c>
      <c r="T11" s="612">
        <f t="shared" si="27"/>
        <v>557.29474600000015</v>
      </c>
      <c r="U11" s="612">
        <f t="shared" si="27"/>
        <v>605.37214300000005</v>
      </c>
      <c r="V11" s="612">
        <f t="shared" si="27"/>
        <v>544.93193551000013</v>
      </c>
      <c r="W11" s="612">
        <f t="shared" si="27"/>
        <v>637.02130024000007</v>
      </c>
      <c r="X11" s="612">
        <f t="shared" si="27"/>
        <v>517.81965449999996</v>
      </c>
      <c r="Y11" s="612">
        <f t="shared" si="27"/>
        <v>399.39478521999985</v>
      </c>
      <c r="Z11" s="612">
        <f t="shared" si="27"/>
        <v>456.10624770000004</v>
      </c>
      <c r="AA11" s="612">
        <f t="shared" si="27"/>
        <v>621.59843709999996</v>
      </c>
      <c r="AB11" s="612">
        <f t="shared" si="27"/>
        <v>848.38008488000014</v>
      </c>
      <c r="AC11" s="612">
        <f t="shared" si="27"/>
        <v>1261.1106540799999</v>
      </c>
      <c r="AD11" s="612">
        <f t="shared" si="27"/>
        <v>1040.7259528000002</v>
      </c>
      <c r="AE11" s="612">
        <f t="shared" si="27"/>
        <v>1035.0357227200002</v>
      </c>
      <c r="AF11" s="612">
        <f t="shared" si="27"/>
        <v>658.94921810000005</v>
      </c>
      <c r="AG11" s="612">
        <f t="shared" si="27"/>
        <v>860.6214333800001</v>
      </c>
      <c r="AH11" s="612">
        <f t="shared" si="27"/>
        <v>1158.4427643200002</v>
      </c>
      <c r="AI11" s="612">
        <f t="shared" ref="AI11:BB11" si="28">INDEX(SP_CS_MarketCap,0,COLUMN())-INDEX(SP_CS_Cash,0,COLUMN())+INDEX(SP_CS_Debt,0,COLUMN())+INDEX(SP_CS_OL,0,COLUMN())+INDEX(SP_CS_EVCalc_Other,0,COLUMN())</f>
        <v>1307.6375750399998</v>
      </c>
      <c r="AJ11" s="612">
        <f t="shared" si="28"/>
        <v>1117.1060613199998</v>
      </c>
      <c r="AK11" s="612">
        <f t="shared" si="28"/>
        <v>1409.6156935999998</v>
      </c>
      <c r="AL11" s="612">
        <f t="shared" si="28"/>
        <v>1496.33738866</v>
      </c>
      <c r="AM11" s="612">
        <f t="shared" si="28"/>
        <v>1899.5831331299996</v>
      </c>
      <c r="AN11" s="612">
        <f t="shared" si="28"/>
        <v>1758.0604963000001</v>
      </c>
      <c r="AO11" s="612">
        <f t="shared" si="28"/>
        <v>1808.1929236000005</v>
      </c>
      <c r="AP11" s="612">
        <f t="shared" si="28"/>
        <v>1971.4658981399998</v>
      </c>
      <c r="AQ11" s="612">
        <f t="shared" si="28"/>
        <v>2230.6781327399999</v>
      </c>
      <c r="AR11" s="612">
        <f t="shared" si="28"/>
        <v>1603.47711568</v>
      </c>
      <c r="AS11" s="612">
        <f t="shared" si="28"/>
        <v>1875.5931332499999</v>
      </c>
      <c r="AT11" s="612">
        <f t="shared" si="28"/>
        <v>1752.1053172700003</v>
      </c>
      <c r="AU11" s="613">
        <f t="shared" si="28"/>
        <v>2266.85586233</v>
      </c>
      <c r="AV11" s="612">
        <f t="shared" ca="1" si="28"/>
        <v>2502.6469049993784</v>
      </c>
      <c r="AW11" s="612">
        <f t="shared" ca="1" si="28"/>
        <v>2418.6665648542307</v>
      </c>
      <c r="AX11" s="612">
        <f t="shared" ca="1" si="28"/>
        <v>2329.845202678212</v>
      </c>
      <c r="AY11" s="612">
        <f t="shared" ca="1" si="28"/>
        <v>0</v>
      </c>
      <c r="AZ11" s="612">
        <f t="shared" si="28"/>
        <v>605.10259936</v>
      </c>
      <c r="BA11" s="612">
        <f t="shared" si="28"/>
        <v>668.3077684399999</v>
      </c>
      <c r="BB11" s="612">
        <f t="shared" si="28"/>
        <v>1135.5995458000002</v>
      </c>
      <c r="BC11" s="612"/>
      <c r="BD11" s="849">
        <f t="shared" ref="BD11:BW11" si="29">INDEX(SP_CS_MarketCap,0,COLUMN())-INDEX(SP_CS_Cash,0,COLUMN())+INDEX(SP_CS_Debt,0,COLUMN())+INDEX(SP_CS_OL,0,COLUMN())+INDEX(SP_CS_EVCalc_Other,0,COLUMN())</f>
        <v>1003.4316409300002</v>
      </c>
      <c r="BE11" s="849">
        <f t="shared" si="29"/>
        <v>809.77799392000009</v>
      </c>
      <c r="BF11" s="849">
        <f t="shared" si="29"/>
        <v>352.0359636</v>
      </c>
      <c r="BG11" s="849">
        <f t="shared" si="29"/>
        <v>312.19614635000005</v>
      </c>
      <c r="BH11" s="849">
        <f t="shared" si="29"/>
        <v>544.93193551000013</v>
      </c>
      <c r="BI11" s="849">
        <f t="shared" si="29"/>
        <v>456.10624770000004</v>
      </c>
      <c r="BJ11" s="849">
        <f t="shared" si="29"/>
        <v>1040.7259528000002</v>
      </c>
      <c r="BK11" s="849">
        <f t="shared" si="29"/>
        <v>1158.4427643200002</v>
      </c>
      <c r="BL11" s="849">
        <f t="shared" si="29"/>
        <v>1496.33738866</v>
      </c>
      <c r="BM11" s="849">
        <f t="shared" si="29"/>
        <v>1971.4658981399998</v>
      </c>
      <c r="BN11" s="849">
        <f t="shared" si="29"/>
        <v>1752.1053172700003</v>
      </c>
      <c r="BO11" s="849">
        <f t="shared" ca="1" si="29"/>
        <v>2329.845202678212</v>
      </c>
      <c r="BP11" s="849" t="e">
        <f t="shared" ca="1" si="29"/>
        <v>#REF!</v>
      </c>
      <c r="BQ11" s="849" t="e">
        <f t="shared" ca="1" si="29"/>
        <v>#REF!</v>
      </c>
      <c r="BR11" s="850" t="e">
        <f t="shared" ca="1" si="29"/>
        <v>#REF!</v>
      </c>
      <c r="BS11" s="849" t="e">
        <f t="shared" ca="1" si="29"/>
        <v>#REF!</v>
      </c>
      <c r="BT11" s="849">
        <f t="shared" ca="1" si="29"/>
        <v>0</v>
      </c>
      <c r="BU11" s="849">
        <f t="shared" ca="1" si="29"/>
        <v>0</v>
      </c>
      <c r="BV11" s="849">
        <f t="shared" ca="1" si="29"/>
        <v>0</v>
      </c>
      <c r="BW11" s="849">
        <f t="shared" ca="1" si="29"/>
        <v>0</v>
      </c>
      <c r="BX11" s="544"/>
    </row>
    <row r="12" spans="1:76" s="66" customFormat="1" x14ac:dyDescent="0.35">
      <c r="A12" s="165"/>
      <c r="B12" s="170"/>
      <c r="C12" s="544"/>
      <c r="D12" s="544"/>
      <c r="E12" s="544"/>
      <c r="F12" s="544"/>
      <c r="G12" s="544"/>
      <c r="H12" s="544"/>
      <c r="I12" s="544"/>
      <c r="J12" s="544"/>
      <c r="K12" s="544"/>
      <c r="L12" s="544"/>
      <c r="M12" s="544"/>
      <c r="N12" s="544"/>
      <c r="O12" s="544"/>
      <c r="P12" s="544"/>
      <c r="Q12" s="544"/>
      <c r="R12" s="544"/>
      <c r="S12" s="544"/>
      <c r="T12" s="544"/>
      <c r="U12" s="544"/>
      <c r="V12" s="544"/>
      <c r="W12" s="544"/>
      <c r="X12" s="544"/>
      <c r="Y12" s="544"/>
      <c r="Z12" s="544"/>
      <c r="AA12" s="544"/>
      <c r="AB12" s="544"/>
      <c r="AC12" s="544"/>
      <c r="AD12" s="544"/>
      <c r="AE12" s="544"/>
      <c r="AF12" s="544"/>
      <c r="AG12" s="544"/>
      <c r="AH12" s="544"/>
      <c r="AI12" s="544"/>
      <c r="AJ12" s="544"/>
      <c r="AK12" s="544"/>
      <c r="AL12" s="544"/>
      <c r="AM12" s="544"/>
      <c r="AN12" s="544"/>
      <c r="AO12" s="544"/>
      <c r="AP12" s="544"/>
      <c r="AQ12" s="544"/>
      <c r="AR12" s="544"/>
      <c r="AS12" s="544"/>
      <c r="AT12" s="544"/>
      <c r="AU12" s="617"/>
      <c r="AV12" s="544"/>
      <c r="AW12" s="544"/>
      <c r="AX12" s="544"/>
      <c r="AY12" s="544"/>
      <c r="AZ12" s="544"/>
      <c r="BA12" s="544"/>
      <c r="BB12" s="544"/>
      <c r="BC12" s="544"/>
      <c r="BD12" s="853"/>
      <c r="BE12" s="853"/>
      <c r="BF12" s="853"/>
      <c r="BG12" s="853"/>
      <c r="BH12" s="853"/>
      <c r="BI12" s="853"/>
      <c r="BJ12" s="853"/>
      <c r="BK12" s="853"/>
      <c r="BL12" s="853"/>
      <c r="BM12" s="853"/>
      <c r="BN12" s="853"/>
      <c r="BO12" s="853"/>
      <c r="BP12" s="853"/>
      <c r="BQ12" s="853"/>
      <c r="BR12" s="854"/>
      <c r="BS12" s="853"/>
      <c r="BT12" s="853"/>
      <c r="BU12" s="853"/>
      <c r="BV12" s="853"/>
      <c r="BW12" s="853"/>
      <c r="BX12" s="544"/>
    </row>
    <row r="13" spans="1:76" x14ac:dyDescent="0.35">
      <c r="A13" s="117" t="s">
        <v>305</v>
      </c>
      <c r="B13" s="545"/>
      <c r="C13" s="545"/>
      <c r="D13" s="545"/>
      <c r="E13" s="545"/>
      <c r="F13" s="545"/>
      <c r="G13" s="545"/>
      <c r="H13" s="545"/>
      <c r="I13" s="545"/>
      <c r="J13" s="545"/>
      <c r="K13" s="545"/>
      <c r="L13" s="545"/>
      <c r="M13" s="545"/>
      <c r="N13" s="545"/>
      <c r="O13" s="545"/>
      <c r="P13" s="545"/>
      <c r="Q13" s="545"/>
      <c r="R13" s="545"/>
      <c r="S13" s="545"/>
      <c r="T13" s="545"/>
      <c r="U13" s="545"/>
      <c r="V13" s="545"/>
      <c r="W13" s="545"/>
      <c r="X13" s="545"/>
      <c r="Y13" s="545"/>
      <c r="Z13" s="545"/>
      <c r="AA13" s="545"/>
      <c r="AB13" s="545"/>
      <c r="AC13" s="545"/>
      <c r="AD13" s="545"/>
      <c r="AE13" s="545"/>
      <c r="AF13" s="545"/>
      <c r="AG13" s="545"/>
      <c r="AH13" s="545"/>
      <c r="AI13" s="545"/>
      <c r="AJ13" s="545"/>
      <c r="AK13" s="545"/>
      <c r="AL13" s="545"/>
      <c r="AM13" s="545"/>
      <c r="AN13" s="545"/>
      <c r="AO13" s="545"/>
      <c r="AP13" s="545"/>
      <c r="AQ13" s="545"/>
      <c r="AR13" s="545"/>
      <c r="AS13" s="545"/>
      <c r="AT13" s="545"/>
      <c r="AU13" s="618"/>
      <c r="AV13" s="545"/>
      <c r="AW13" s="545"/>
      <c r="AX13" s="545"/>
      <c r="AY13" s="545"/>
      <c r="AZ13" s="545"/>
      <c r="BA13" s="545"/>
      <c r="BB13" s="545"/>
      <c r="BC13" s="545"/>
      <c r="BD13" s="545"/>
      <c r="BE13" s="545"/>
      <c r="BF13" s="545"/>
      <c r="BG13" s="545"/>
      <c r="BH13" s="545"/>
      <c r="BI13" s="545"/>
      <c r="BJ13" s="545"/>
      <c r="BK13" s="545"/>
      <c r="BL13" s="545"/>
      <c r="BM13" s="545"/>
      <c r="BN13" s="545"/>
      <c r="BO13" s="545"/>
      <c r="BP13" s="545"/>
      <c r="BQ13" s="545"/>
      <c r="BR13" s="618"/>
      <c r="BS13" s="545"/>
      <c r="BT13" s="545"/>
      <c r="BU13" s="545"/>
      <c r="BV13" s="545"/>
      <c r="BW13" s="545"/>
      <c r="BX13" s="543"/>
    </row>
    <row r="14" spans="1:76" s="19" customFormat="1" x14ac:dyDescent="0.35">
      <c r="A14" s="121" t="str">
        <f>Model!A7</f>
        <v>General Education Revenue Growth, %</v>
      </c>
      <c r="B14" s="106"/>
      <c r="C14" s="78"/>
      <c r="D14" s="78"/>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f>Model!AE7</f>
        <v>-2.0749219126679708E-2</v>
      </c>
      <c r="AF14" s="78">
        <f>Model!AF7</f>
        <v>-4.1042976399052078E-2</v>
      </c>
      <c r="AG14" s="78">
        <f>Model!AG7</f>
        <v>-3.3531479546999754E-2</v>
      </c>
      <c r="AH14" s="78">
        <f>Model!AH7</f>
        <v>-3.7474600275035352E-2</v>
      </c>
      <c r="AI14" s="78">
        <f>Model!AI7</f>
        <v>0.34372297337797453</v>
      </c>
      <c r="AJ14" s="78">
        <f>Model!AJ7</f>
        <v>0.34979945748197738</v>
      </c>
      <c r="AK14" s="78">
        <f>Model!AK7</f>
        <v>0.38240680772216673</v>
      </c>
      <c r="AL14" s="78">
        <f>Model!AL7</f>
        <v>0.40764086729558646</v>
      </c>
      <c r="AM14" s="78">
        <f>Model!AM7</f>
        <v>-2.391922204379171E-2</v>
      </c>
      <c r="AN14" s="78">
        <f>Model!AN7</f>
        <v>-2.3822490596805412E-3</v>
      </c>
      <c r="AO14" s="78">
        <f>Model!AO7</f>
        <v>-1.9999751787132536E-2</v>
      </c>
      <c r="AP14" s="78">
        <f>Model!AP7</f>
        <v>2.510164880111998E-2</v>
      </c>
      <c r="AQ14" s="78">
        <f>Model!AQ7</f>
        <v>-0.11321697063076763</v>
      </c>
      <c r="AR14" s="78">
        <f>Model!AR7</f>
        <v>-0.12283513333184348</v>
      </c>
      <c r="AS14" s="78">
        <f>Model!AS7</f>
        <v>-8.3239936933685477E-2</v>
      </c>
      <c r="AT14" s="78">
        <f>Model!AT7</f>
        <v>-0.12691558566306982</v>
      </c>
      <c r="AU14" s="484">
        <f>Model!AU7</f>
        <v>0.10189282112067377</v>
      </c>
      <c r="AV14" s="78">
        <f>Model!AV7</f>
        <v>9.1800000000000104E-2</v>
      </c>
      <c r="AW14" s="78">
        <f>Model!AW7</f>
        <v>6.0499999999999998E-2</v>
      </c>
      <c r="AX14" s="78">
        <f>Model!AX7</f>
        <v>6.0000000000000275E-2</v>
      </c>
      <c r="AY14" s="78" t="e">
        <f>Model!#REF!</f>
        <v>#REF!</v>
      </c>
      <c r="AZ14" s="78" t="e">
        <f>Model!#REF!</f>
        <v>#REF!</v>
      </c>
      <c r="BA14" s="78" t="e">
        <f>Model!#REF!</f>
        <v>#REF!</v>
      </c>
      <c r="BB14" s="78" t="e">
        <f>Model!#REF!</f>
        <v>#REF!</v>
      </c>
      <c r="BC14" s="78"/>
      <c r="BD14" s="673"/>
      <c r="BE14" s="673"/>
      <c r="BF14" s="673"/>
      <c r="BG14" s="673"/>
      <c r="BH14" s="673"/>
      <c r="BI14" s="673"/>
      <c r="BJ14" s="673"/>
      <c r="BK14" s="673"/>
      <c r="BL14" s="673"/>
      <c r="BM14" s="673"/>
      <c r="BN14" s="673"/>
      <c r="BO14" s="673">
        <f>Model!BK7</f>
        <v>-3.3255998616878335E-2</v>
      </c>
      <c r="BP14" s="673">
        <f>Model!BL7</f>
        <v>0.37094456247965324</v>
      </c>
      <c r="BQ14" s="673">
        <f>Model!BM7</f>
        <v>-5.0117208340266783E-3</v>
      </c>
      <c r="BR14" s="682">
        <f>Model!BN7</f>
        <v>-0.11178670150253212</v>
      </c>
      <c r="BS14" s="673">
        <f>Model!BO7</f>
        <v>7.7908696639800157E-2</v>
      </c>
      <c r="BT14" s="673" t="e">
        <f>Model!BP7</f>
        <v>#REF!</v>
      </c>
      <c r="BU14" s="673" t="e">
        <f>Model!BQ7</f>
        <v>#REF!</v>
      </c>
      <c r="BV14" s="673" t="e">
        <f>Model!BR7</f>
        <v>#REF!</v>
      </c>
      <c r="BW14" s="673" t="e">
        <f>Model!BS7</f>
        <v>#REF!</v>
      </c>
      <c r="BX14" s="217"/>
    </row>
    <row r="15" spans="1:76" s="132" customFormat="1" x14ac:dyDescent="0.35">
      <c r="A15" s="171" t="str">
        <f>Model!A8</f>
        <v>Career Learning - Middle-High School revenue growth, %</v>
      </c>
      <c r="B15" s="105"/>
      <c r="C15" s="61"/>
      <c r="D15" s="61"/>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61">
        <f>Model!AE8</f>
        <v>0</v>
      </c>
      <c r="AF15" s="61">
        <f>Model!AF8</f>
        <v>0</v>
      </c>
      <c r="AG15" s="61">
        <f>Model!AG8</f>
        <v>0</v>
      </c>
      <c r="AH15" s="61">
        <f>Model!AH8</f>
        <v>0</v>
      </c>
      <c r="AI15" s="61">
        <f>Model!AI8</f>
        <v>1.0705158140522184</v>
      </c>
      <c r="AJ15" s="61">
        <f>Model!AJ8</f>
        <v>1.0599839615076179</v>
      </c>
      <c r="AK15" s="61">
        <f>Model!AK8</f>
        <v>1.5159462055715656</v>
      </c>
      <c r="AL15" s="61">
        <f>Model!AL8</f>
        <v>0.80767357338229218</v>
      </c>
      <c r="AM15" s="61">
        <f>Model!AM8</f>
        <v>0.4642102889011912</v>
      </c>
      <c r="AN15" s="61">
        <f>Model!AN8</f>
        <v>0.46541186546247304</v>
      </c>
      <c r="AO15" s="61">
        <f>Model!AO8</f>
        <v>0.58905730976289572</v>
      </c>
      <c r="AP15" s="61">
        <f>Model!AP8</f>
        <v>0.89613431443672931</v>
      </c>
      <c r="AQ15" s="61">
        <f>Model!AQ8</f>
        <v>0.75792244892243477</v>
      </c>
      <c r="AR15" s="61">
        <f>Model!AR8</f>
        <v>1.0427829505757962</v>
      </c>
      <c r="AS15" s="61">
        <f>Model!AS8</f>
        <v>0.81133616857685187</v>
      </c>
      <c r="AT15" s="61">
        <f>Model!AT8</f>
        <v>0.71261163764361224</v>
      </c>
      <c r="AU15" s="482">
        <f>Model!AU8</f>
        <v>0.20264468076632003</v>
      </c>
      <c r="AV15" s="61">
        <f>Model!AV8</f>
        <v>9.1999999999999638E-2</v>
      </c>
      <c r="AW15" s="61">
        <f>Model!AW8</f>
        <v>9.0800000000000214E-2</v>
      </c>
      <c r="AX15" s="61">
        <f>Model!AX8</f>
        <v>8.0699999999999994E-2</v>
      </c>
      <c r="AY15" s="61" t="e">
        <f>Model!#REF!</f>
        <v>#REF!</v>
      </c>
      <c r="AZ15" s="61" t="e">
        <f>Model!#REF!</f>
        <v>#REF!</v>
      </c>
      <c r="BA15" s="61" t="e">
        <f>Model!#REF!</f>
        <v>#REF!</v>
      </c>
      <c r="BB15" s="61" t="e">
        <f>Model!#REF!</f>
        <v>#REF!</v>
      </c>
      <c r="BC15" s="61"/>
      <c r="BD15" s="676"/>
      <c r="BE15" s="676"/>
      <c r="BF15" s="676"/>
      <c r="BG15" s="676"/>
      <c r="BH15" s="676"/>
      <c r="BI15" s="676"/>
      <c r="BJ15" s="676"/>
      <c r="BK15" s="676"/>
      <c r="BL15" s="676"/>
      <c r="BM15" s="676"/>
      <c r="BN15" s="676"/>
      <c r="BO15" s="676">
        <f>Model!BK8</f>
        <v>0</v>
      </c>
      <c r="BP15" s="676">
        <f>Model!BL8</f>
        <v>1.0913086954710223</v>
      </c>
      <c r="BQ15" s="676">
        <f>Model!BM8</f>
        <v>0.60088457668821649</v>
      </c>
      <c r="BR15" s="677">
        <f>Model!BN8</f>
        <v>0.82557806705328907</v>
      </c>
      <c r="BS15" s="676">
        <f>Model!BO8</f>
        <v>0.1123461410774238</v>
      </c>
      <c r="BT15" s="676" t="e">
        <f>Model!BP8</f>
        <v>#REF!</v>
      </c>
      <c r="BU15" s="676" t="e">
        <f>Model!BQ8</f>
        <v>#REF!</v>
      </c>
      <c r="BV15" s="676" t="e">
        <f>Model!BR8</f>
        <v>#REF!</v>
      </c>
      <c r="BW15" s="676" t="e">
        <f>Model!BS8</f>
        <v>#REF!</v>
      </c>
      <c r="BX15" s="114"/>
    </row>
    <row r="16" spans="1:76" s="132" customFormat="1" x14ac:dyDescent="0.35">
      <c r="A16" s="277" t="str">
        <f>Model!A9</f>
        <v>Career Learning - Adult revenue growth, %</v>
      </c>
      <c r="B16" s="278"/>
      <c r="C16" s="279"/>
      <c r="D16" s="279"/>
      <c r="E16" s="279"/>
      <c r="F16" s="279"/>
      <c r="G16" s="279"/>
      <c r="H16" s="279"/>
      <c r="I16" s="279"/>
      <c r="J16" s="279"/>
      <c r="K16" s="279"/>
      <c r="L16" s="279"/>
      <c r="M16" s="279"/>
      <c r="N16" s="279"/>
      <c r="O16" s="279"/>
      <c r="P16" s="279"/>
      <c r="Q16" s="279"/>
      <c r="R16" s="279"/>
      <c r="S16" s="279"/>
      <c r="T16" s="279"/>
      <c r="U16" s="279"/>
      <c r="V16" s="279"/>
      <c r="W16" s="279"/>
      <c r="X16" s="279"/>
      <c r="Y16" s="279"/>
      <c r="Z16" s="279"/>
      <c r="AA16" s="279"/>
      <c r="AB16" s="279"/>
      <c r="AC16" s="279"/>
      <c r="AD16" s="279"/>
      <c r="AE16" s="279">
        <f>Model!AE9</f>
        <v>0</v>
      </c>
      <c r="AF16" s="279">
        <f>Model!AF9</f>
        <v>0</v>
      </c>
      <c r="AG16" s="279">
        <f>Model!AG9</f>
        <v>0</v>
      </c>
      <c r="AH16" s="279">
        <f>Model!AH9</f>
        <v>0</v>
      </c>
      <c r="AI16" s="279">
        <f>Model!AI9</f>
        <v>0</v>
      </c>
      <c r="AJ16" s="279">
        <f>Model!AJ9</f>
        <v>0</v>
      </c>
      <c r="AK16" s="279">
        <f>Model!AK9</f>
        <v>4.4781926576717916</v>
      </c>
      <c r="AL16" s="279">
        <f>Model!AL9</f>
        <v>1.4732165851146024</v>
      </c>
      <c r="AM16" s="279">
        <f>Model!AM9</f>
        <v>1.6944011509411343</v>
      </c>
      <c r="AN16" s="279">
        <f>Model!AN9</f>
        <v>0.94610389610389611</v>
      </c>
      <c r="AO16" s="279">
        <f>Model!AO9</f>
        <v>0.29595051262958938</v>
      </c>
      <c r="AP16" s="279">
        <f>Model!AP9</f>
        <v>0.3218618212110167</v>
      </c>
      <c r="AQ16" s="279">
        <f>Model!AQ9</f>
        <v>0.24397081071460347</v>
      </c>
      <c r="AR16" s="279">
        <f>Model!AR9</f>
        <v>0.42409075742409086</v>
      </c>
      <c r="AS16" s="279">
        <f>Model!AS9</f>
        <v>0.32352161230442844</v>
      </c>
      <c r="AT16" s="279">
        <f>Model!AT9</f>
        <v>0.23750443105281827</v>
      </c>
      <c r="AU16" s="485">
        <f>Model!AU9</f>
        <v>6.8390742926637271E-2</v>
      </c>
      <c r="AV16" s="279">
        <f>Model!AV9</f>
        <v>0.05</v>
      </c>
      <c r="AW16" s="279">
        <f>Model!AW9</f>
        <v>0.05</v>
      </c>
      <c r="AX16" s="279">
        <f>Model!AX9</f>
        <v>0.05</v>
      </c>
      <c r="AY16" s="279" t="e">
        <f>Model!#REF!</f>
        <v>#REF!</v>
      </c>
      <c r="AZ16" s="279" t="e">
        <f>Model!#REF!</f>
        <v>#REF!</v>
      </c>
      <c r="BA16" s="279" t="e">
        <f>Model!#REF!</f>
        <v>#REF!</v>
      </c>
      <c r="BB16" s="279" t="e">
        <f>Model!#REF!</f>
        <v>#REF!</v>
      </c>
      <c r="BC16" s="279"/>
      <c r="BD16" s="684"/>
      <c r="BE16" s="684"/>
      <c r="BF16" s="684"/>
      <c r="BG16" s="684"/>
      <c r="BH16" s="684"/>
      <c r="BI16" s="684"/>
      <c r="BJ16" s="684"/>
      <c r="BK16" s="684"/>
      <c r="BL16" s="684"/>
      <c r="BM16" s="684"/>
      <c r="BN16" s="684"/>
      <c r="BO16" s="684">
        <f>Model!BK9</f>
        <v>0</v>
      </c>
      <c r="BP16" s="684">
        <f>Model!BL9</f>
        <v>4.0933077695608509</v>
      </c>
      <c r="BQ16" s="684">
        <f>Model!BM9</f>
        <v>0.63957552834889841</v>
      </c>
      <c r="BR16" s="686">
        <f>Model!BN9</f>
        <v>0.30316944909092891</v>
      </c>
      <c r="BS16" s="684">
        <f>Model!BO9</f>
        <v>5.4322256432628446E-2</v>
      </c>
      <c r="BT16" s="684" t="e">
        <f>Model!BP9</f>
        <v>#REF!</v>
      </c>
      <c r="BU16" s="684">
        <f>Model!BQ9</f>
        <v>0.05</v>
      </c>
      <c r="BV16" s="684">
        <f>Model!BR9</f>
        <v>0.05</v>
      </c>
      <c r="BW16" s="684">
        <f>Model!BS9</f>
        <v>0.05</v>
      </c>
      <c r="BX16" s="114"/>
    </row>
    <row r="17" spans="1:76" s="19" customFormat="1" x14ac:dyDescent="0.35">
      <c r="A17" s="108" t="str">
        <f>Model!A10</f>
        <v>Career Learning Revenue Growth, %</v>
      </c>
      <c r="B17" s="109"/>
      <c r="C17" s="77"/>
      <c r="D17" s="77"/>
      <c r="E17" s="77"/>
      <c r="F17" s="77"/>
      <c r="G17" s="77"/>
      <c r="H17" s="77"/>
      <c r="I17" s="77"/>
      <c r="J17" s="77"/>
      <c r="K17" s="77"/>
      <c r="L17" s="77"/>
      <c r="M17" s="77"/>
      <c r="N17" s="77"/>
      <c r="O17" s="77"/>
      <c r="P17" s="77"/>
      <c r="Q17" s="77"/>
      <c r="R17" s="77"/>
      <c r="S17" s="77"/>
      <c r="T17" s="77"/>
      <c r="U17" s="77"/>
      <c r="V17" s="77"/>
      <c r="W17" s="77"/>
      <c r="X17" s="77"/>
      <c r="Y17" s="77"/>
      <c r="Z17" s="77"/>
      <c r="AA17" s="77"/>
      <c r="AB17" s="77"/>
      <c r="AC17" s="77"/>
      <c r="AD17" s="77"/>
      <c r="AE17" s="77">
        <f>Model!AE10</f>
        <v>0.84037815454332376</v>
      </c>
      <c r="AF17" s="77">
        <f>Model!AF10</f>
        <v>1.028136943970074</v>
      </c>
      <c r="AG17" s="77">
        <f>Model!AG10</f>
        <v>0.99791944074567263</v>
      </c>
      <c r="AH17" s="77">
        <f>Model!AH10</f>
        <v>1.7110708946415927</v>
      </c>
      <c r="AI17" s="77">
        <f>Model!AI10</f>
        <v>1.424623222245808</v>
      </c>
      <c r="AJ17" s="77">
        <f>Model!AJ10</f>
        <v>1.4922213311948673</v>
      </c>
      <c r="AK17" s="77">
        <f>Model!AK10</f>
        <v>1.9091931519973335</v>
      </c>
      <c r="AL17" s="77">
        <f>Model!AL10</f>
        <v>0.95768393556813236</v>
      </c>
      <c r="AM17" s="77">
        <f>Model!AM10</f>
        <v>0.64387519260400627</v>
      </c>
      <c r="AN17" s="77">
        <f>Model!AN10</f>
        <v>0.54878048780487809</v>
      </c>
      <c r="AO17" s="77">
        <f>Model!AO10</f>
        <v>0.51578585644535457</v>
      </c>
      <c r="AP17" s="77">
        <f>Model!AP10</f>
        <v>0.73260985589752714</v>
      </c>
      <c r="AQ17" s="77">
        <f>Model!AQ10</f>
        <v>0.63489375299568596</v>
      </c>
      <c r="AR17" s="77">
        <f>Model!AR10</f>
        <v>0.90795296366318312</v>
      </c>
      <c r="AS17" s="77">
        <f>Model!AS10</f>
        <v>0.70707700445855037</v>
      </c>
      <c r="AT17" s="77">
        <f>Model!AT10</f>
        <v>0.60939692644693189</v>
      </c>
      <c r="AU17" s="486">
        <f>Model!AU10</f>
        <v>0.17819169728715512</v>
      </c>
      <c r="AV17" s="77">
        <f>Model!AV10</f>
        <v>8.5168262817755469E-2</v>
      </c>
      <c r="AW17" s="77">
        <f>Model!AW10</f>
        <v>8.4039208047897995E-2</v>
      </c>
      <c r="AX17" s="77">
        <f>Model!AX10</f>
        <v>7.5571717343569711E-2</v>
      </c>
      <c r="AY17" s="77" t="e">
        <f>Model!#REF!</f>
        <v>#REF!</v>
      </c>
      <c r="AZ17" s="77" t="e">
        <f>Model!#REF!</f>
        <v>#REF!</v>
      </c>
      <c r="BA17" s="77" t="e">
        <f>Model!#REF!</f>
        <v>#REF!</v>
      </c>
      <c r="BB17" s="77" t="e">
        <f>Model!#REF!</f>
        <v>#REF!</v>
      </c>
      <c r="BC17" s="77"/>
      <c r="BD17" s="679"/>
      <c r="BE17" s="679"/>
      <c r="BF17" s="679"/>
      <c r="BG17" s="679"/>
      <c r="BH17" s="679"/>
      <c r="BI17" s="679"/>
      <c r="BJ17" s="679"/>
      <c r="BK17" s="679"/>
      <c r="BL17" s="679"/>
      <c r="BM17" s="679"/>
      <c r="BN17" s="679"/>
      <c r="BO17" s="679">
        <f>Model!BK10</f>
        <v>1.1468256357760782</v>
      </c>
      <c r="BP17" s="679">
        <f>Model!BL10</f>
        <v>1.398730330880634</v>
      </c>
      <c r="BQ17" s="679">
        <f>Model!BM10</f>
        <v>0.60929759394451999</v>
      </c>
      <c r="BR17" s="687">
        <f>Model!BN10</f>
        <v>0.70984758394024472</v>
      </c>
      <c r="BS17" s="679">
        <f>Model!BO10</f>
        <v>0.10254926250093854</v>
      </c>
      <c r="BT17" s="679" t="e">
        <f>Model!BP10</f>
        <v>#REF!</v>
      </c>
      <c r="BU17" s="679" t="e">
        <f>Model!BQ10</f>
        <v>#REF!</v>
      </c>
      <c r="BV17" s="679" t="e">
        <f>Model!BR10</f>
        <v>#REF!</v>
      </c>
      <c r="BW17" s="679" t="e">
        <f>Model!BS10</f>
        <v>#REF!</v>
      </c>
      <c r="BX17" s="217"/>
    </row>
    <row r="18" spans="1:76" s="19" customFormat="1" x14ac:dyDescent="0.35">
      <c r="A18" s="172" t="str">
        <f>Model!A11</f>
        <v>Total Revenue Growth, %</v>
      </c>
      <c r="B18" s="109"/>
      <c r="C18" s="77"/>
      <c r="D18" s="77"/>
      <c r="E18" s="77"/>
      <c r="F18" s="77"/>
      <c r="G18" s="77">
        <f>Model!G11</f>
        <v>3.2881644172667146E-2</v>
      </c>
      <c r="H18" s="77">
        <f>Model!H11</f>
        <v>8.6837711379035953E-2</v>
      </c>
      <c r="I18" s="77">
        <f>Model!I11</f>
        <v>7.8955455967414379E-2</v>
      </c>
      <c r="J18" s="77">
        <f>Model!J11</f>
        <v>0.14259406067350455</v>
      </c>
      <c r="K18" s="77">
        <f>Model!K11</f>
        <v>3.6546596253382635E-2</v>
      </c>
      <c r="L18" s="77">
        <f>Model!L11</f>
        <v>3.2980676048035118E-2</v>
      </c>
      <c r="M18" s="77">
        <f>Model!M11</f>
        <v>3.9966499732167815E-2</v>
      </c>
      <c r="N18" s="77">
        <f>Model!N11</f>
        <v>1.5552950708049629E-2</v>
      </c>
      <c r="O18" s="77">
        <f>Model!O11</f>
        <v>-6.5404373246814695E-2</v>
      </c>
      <c r="P18" s="77">
        <f>Model!P11</f>
        <v>-9.7244319164389692E-2</v>
      </c>
      <c r="Q18" s="77">
        <f>Model!Q11</f>
        <v>-9.517911234838905E-2</v>
      </c>
      <c r="R18" s="77">
        <f>Model!R11</f>
        <v>-6.083469478687098E-2</v>
      </c>
      <c r="S18" s="77">
        <f>Model!S11</f>
        <v>3.5745604122406682E-2</v>
      </c>
      <c r="T18" s="77">
        <f>Model!T11</f>
        <v>5.8804373332822513E-2</v>
      </c>
      <c r="U18" s="77">
        <f>Model!U11</f>
        <v>5.3898978946416154E-3</v>
      </c>
      <c r="V18" s="77">
        <f>Model!V11</f>
        <v>-2.5126627176157657E-2</v>
      </c>
      <c r="W18" s="77">
        <f>Model!W11</f>
        <v>-1.5405563459575111E-3</v>
      </c>
      <c r="X18" s="77">
        <f>Model!X11</f>
        <v>-1.7544891220769743E-2</v>
      </c>
      <c r="Y18" s="77">
        <f>Model!Y11</f>
        <v>4.6424575231538867E-2</v>
      </c>
      <c r="Z18" s="77">
        <f>Model!Z11</f>
        <v>0.10713855337924927</v>
      </c>
      <c r="AA18" s="77">
        <f>Model!AA11</f>
        <v>9.8472364884061525E-2</v>
      </c>
      <c r="AB18" s="77">
        <f>Model!AB11</f>
        <v>0.17338440502552821</v>
      </c>
      <c r="AC18" s="77">
        <f>Model!AC11</f>
        <v>8.7553249965645286E-2</v>
      </c>
      <c r="AD18" s="77">
        <f>Model!AD11</f>
        <v>7.3009201503721588E-2</v>
      </c>
      <c r="AE18" s="77">
        <f>Model!AE11</f>
        <v>2.3106551962883026E-2</v>
      </c>
      <c r="AF18" s="77">
        <f>Model!AF11</f>
        <v>1.0542546847044809E-2</v>
      </c>
      <c r="AG18" s="77">
        <f>Model!AG11</f>
        <v>1.5407578222481844E-2</v>
      </c>
      <c r="AH18" s="77">
        <f>Model!AH11</f>
        <v>4.9224778982030593E-2</v>
      </c>
      <c r="AI18" s="77">
        <f>Model!AI11</f>
        <v>0.44274485553494269</v>
      </c>
      <c r="AJ18" s="77">
        <f>Model!AJ11</f>
        <v>0.46042266043896718</v>
      </c>
      <c r="AK18" s="77">
        <f>Model!AK11</f>
        <v>0.52494225250239146</v>
      </c>
      <c r="AL18" s="77">
        <f>Model!AL11</f>
        <v>0.47811148584581109</v>
      </c>
      <c r="AM18" s="77">
        <f>Model!AM11</f>
        <v>7.8892602976062154E-2</v>
      </c>
      <c r="AN18" s="77">
        <f>Model!AN11</f>
        <v>8.8694519400763117E-2</v>
      </c>
      <c r="AO18" s="77">
        <f>Model!AO11</f>
        <v>7.5423631564854876E-2</v>
      </c>
      <c r="AP18" s="77">
        <f>Model!AP11</f>
        <v>0.14515609670196938</v>
      </c>
      <c r="AQ18" s="77">
        <f>Model!AQ11</f>
        <v>6.2274814729677663E-2</v>
      </c>
      <c r="AR18" s="77">
        <f>Model!AR11</f>
        <v>0.11948025308480692</v>
      </c>
      <c r="AS18" s="77">
        <f>Model!AS11</f>
        <v>0.11515168760463057</v>
      </c>
      <c r="AT18" s="77">
        <f>Model!AT11</f>
        <v>6.2120642954586414E-2</v>
      </c>
      <c r="AU18" s="486">
        <f>Model!AU11</f>
        <v>0.12943902152181574</v>
      </c>
      <c r="AV18" s="77">
        <f>Model!AV11</f>
        <v>8.9143008714430483E-2</v>
      </c>
      <c r="AW18" s="77">
        <f>Model!AW11</f>
        <v>6.9545509947180895E-2</v>
      </c>
      <c r="AX18" s="77">
        <f>Model!AX11</f>
        <v>6.6057712998640827E-2</v>
      </c>
      <c r="AY18" s="77" t="e">
        <f>Model!#REF!</f>
        <v>#REF!</v>
      </c>
      <c r="AZ18" s="77" t="e">
        <f>Model!#REF!</f>
        <v>#REF!</v>
      </c>
      <c r="BA18" s="77" t="e">
        <f>Model!#REF!</f>
        <v>#REF!</v>
      </c>
      <c r="BB18" s="77" t="e">
        <f>Model!#REF!</f>
        <v>#REF!</v>
      </c>
      <c r="BC18" s="77"/>
      <c r="BD18" s="679"/>
      <c r="BE18" s="679">
        <f>Model!BA11</f>
        <v>0.21832349408853124</v>
      </c>
      <c r="BF18" s="679">
        <f>Model!BB11</f>
        <v>0.35884204229198624</v>
      </c>
      <c r="BG18" s="679">
        <f>Model!BC11</f>
        <v>0.35597415175888258</v>
      </c>
      <c r="BH18" s="679">
        <f>Model!BD11</f>
        <v>0.197362533120085</v>
      </c>
      <c r="BI18" s="679">
        <f>Model!BE11</f>
        <v>8.4097286081441069E-2</v>
      </c>
      <c r="BJ18" s="679">
        <f>Model!BF11</f>
        <v>3.125540344058475E-2</v>
      </c>
      <c r="BK18" s="679">
        <f>Model!BG11</f>
        <v>-7.9715784345361196E-2</v>
      </c>
      <c r="BL18" s="679">
        <f>Model!BH11</f>
        <v>1.8126503953248552E-2</v>
      </c>
      <c r="BM18" s="679">
        <f>Model!BI11</f>
        <v>3.2880557421957279E-2</v>
      </c>
      <c r="BN18" s="679">
        <f>Model!BJ11</f>
        <v>0.10680436815024819</v>
      </c>
      <c r="BO18" s="679">
        <f>Model!BK11</f>
        <v>2.4625105340673858E-2</v>
      </c>
      <c r="BP18" s="679">
        <f>Model!BL11</f>
        <v>0.47656771701584866</v>
      </c>
      <c r="BQ18" s="679">
        <f>Model!BM11</f>
        <v>9.7546786746141256E-2</v>
      </c>
      <c r="BR18" s="687">
        <f>Model!BN11</f>
        <v>8.9343118317438019E-2</v>
      </c>
      <c r="BS18" s="679">
        <f>Model!BO11</f>
        <v>8.7376326986901898E-2</v>
      </c>
      <c r="BT18" s="679" t="e">
        <f>Model!BP11</f>
        <v>#REF!</v>
      </c>
      <c r="BU18" s="679" t="e">
        <f>Model!BQ11</f>
        <v>#REF!</v>
      </c>
      <c r="BV18" s="679" t="e">
        <f>Model!BR11</f>
        <v>#REF!</v>
      </c>
      <c r="BW18" s="679" t="e">
        <f>Model!BS11</f>
        <v>#REF!</v>
      </c>
      <c r="BX18" s="217"/>
    </row>
    <row r="19" spans="1:76" s="19" customFormat="1" x14ac:dyDescent="0.35">
      <c r="A19" s="173"/>
      <c r="B19" s="106"/>
      <c r="C19" s="78"/>
      <c r="D19" s="78"/>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484"/>
      <c r="AV19" s="78"/>
      <c r="AW19" s="78"/>
      <c r="AX19" s="78"/>
      <c r="AY19" s="78"/>
      <c r="AZ19" s="78"/>
      <c r="BA19" s="78"/>
      <c r="BB19" s="78"/>
      <c r="BC19" s="78"/>
      <c r="BD19" s="673"/>
      <c r="BE19" s="673"/>
      <c r="BF19" s="673"/>
      <c r="BG19" s="673"/>
      <c r="BH19" s="673"/>
      <c r="BI19" s="673"/>
      <c r="BJ19" s="673"/>
      <c r="BK19" s="673"/>
      <c r="BL19" s="673"/>
      <c r="BM19" s="673"/>
      <c r="BN19" s="673"/>
      <c r="BO19" s="673"/>
      <c r="BP19" s="673"/>
      <c r="BQ19" s="673"/>
      <c r="BR19" s="682"/>
      <c r="BS19" s="673"/>
      <c r="BT19" s="673"/>
      <c r="BU19" s="673"/>
      <c r="BV19" s="673"/>
      <c r="BW19" s="673"/>
      <c r="BX19" s="217"/>
    </row>
    <row r="20" spans="1:76" s="1" customFormat="1" x14ac:dyDescent="0.35">
      <c r="A20" s="328" t="str">
        <f>Model!A28</f>
        <v>General Education Revenue, mm</v>
      </c>
      <c r="B20" s="331"/>
      <c r="C20" s="529"/>
      <c r="D20" s="529"/>
      <c r="E20" s="529"/>
      <c r="F20" s="529"/>
      <c r="G20" s="529"/>
      <c r="H20" s="529"/>
      <c r="I20" s="529"/>
      <c r="J20" s="529"/>
      <c r="K20" s="529"/>
      <c r="L20" s="529"/>
      <c r="M20" s="529"/>
      <c r="N20" s="529"/>
      <c r="O20" s="529"/>
      <c r="P20" s="529"/>
      <c r="Q20" s="529"/>
      <c r="R20" s="529"/>
      <c r="S20" s="529"/>
      <c r="T20" s="529"/>
      <c r="U20" s="529"/>
      <c r="V20" s="529"/>
      <c r="W20" s="529"/>
      <c r="X20" s="529"/>
      <c r="Y20" s="529"/>
      <c r="Z20" s="529"/>
      <c r="AA20" s="529">
        <f>Model!AA28</f>
        <v>238.51499999999999</v>
      </c>
      <c r="AB20" s="529">
        <f>Model!AB28</f>
        <v>242.57500000000002</v>
      </c>
      <c r="AC20" s="529">
        <f>Model!AC28</f>
        <v>241.23600000000002</v>
      </c>
      <c r="AD20" s="529">
        <f>Model!AD28</f>
        <v>243.60500000000002</v>
      </c>
      <c r="AE20" s="529">
        <f>Model!AE28</f>
        <v>233.56599999999997</v>
      </c>
      <c r="AF20" s="529">
        <f>Model!AF28</f>
        <v>232.61899999999997</v>
      </c>
      <c r="AG20" s="529">
        <f>Model!AG28</f>
        <v>233.14699999999999</v>
      </c>
      <c r="AH20" s="529">
        <f>Model!AH28</f>
        <v>234.47600000000003</v>
      </c>
      <c r="AI20" s="529">
        <f>Model!AI28</f>
        <v>313.84799999999996</v>
      </c>
      <c r="AJ20" s="529">
        <f>Model!AJ28</f>
        <v>313.98900000000003</v>
      </c>
      <c r="AK20" s="529">
        <f>Model!AK28</f>
        <v>322.30399999999997</v>
      </c>
      <c r="AL20" s="529">
        <f>Model!AL28</f>
        <v>330.05799999999999</v>
      </c>
      <c r="AM20" s="529">
        <f>Model!AM28</f>
        <v>306.34100000000001</v>
      </c>
      <c r="AN20" s="529">
        <f>Model!AN28</f>
        <v>313.24099999999999</v>
      </c>
      <c r="AO20" s="529">
        <f>Model!AO28</f>
        <v>315.858</v>
      </c>
      <c r="AP20" s="529">
        <f>Model!AP28</f>
        <v>338.34300000000002</v>
      </c>
      <c r="AQ20" s="529">
        <f>Model!AQ28</f>
        <v>271.65800000000002</v>
      </c>
      <c r="AR20" s="529">
        <f>Model!AR28</f>
        <v>274.76400000000001</v>
      </c>
      <c r="AS20" s="529">
        <f>Model!AS28</f>
        <v>289.56599999999997</v>
      </c>
      <c r="AT20" s="529">
        <f>Model!AT28</f>
        <v>295.40199999999999</v>
      </c>
      <c r="AU20" s="531">
        <f>Model!AU28</f>
        <v>299.33800000000002</v>
      </c>
      <c r="AV20" s="529">
        <f>Model!AV28</f>
        <v>299.98733520000002</v>
      </c>
      <c r="AW20" s="529">
        <f>Model!AW28</f>
        <v>307.08474299999995</v>
      </c>
      <c r="AX20" s="529">
        <f>Model!AX28</f>
        <v>313.12612000000007</v>
      </c>
      <c r="AY20" s="529" t="e">
        <f>Model!#REF!</f>
        <v>#REF!</v>
      </c>
      <c r="AZ20" s="529" t="e">
        <f>Model!#REF!</f>
        <v>#REF!</v>
      </c>
      <c r="BA20" s="529" t="e">
        <f>Model!#REF!</f>
        <v>#REF!</v>
      </c>
      <c r="BB20" s="529" t="e">
        <f>Model!#REF!</f>
        <v>#REF!</v>
      </c>
      <c r="BC20" s="529"/>
      <c r="BD20" s="726"/>
      <c r="BE20" s="726"/>
      <c r="BF20" s="726"/>
      <c r="BG20" s="726"/>
      <c r="BH20" s="726"/>
      <c r="BI20" s="726"/>
      <c r="BJ20" s="726"/>
      <c r="BK20" s="726"/>
      <c r="BL20" s="726"/>
      <c r="BM20" s="726"/>
      <c r="BN20" s="726">
        <f>Model!BJ28</f>
        <v>965.93099999999993</v>
      </c>
      <c r="BO20" s="726">
        <f>Model!BK28</f>
        <v>933.80799999999999</v>
      </c>
      <c r="BP20" s="726">
        <f>Model!BL28</f>
        <v>1280.1990000000001</v>
      </c>
      <c r="BQ20" s="726">
        <f>Model!BM28</f>
        <v>1273.7829999999999</v>
      </c>
      <c r="BR20" s="728">
        <f>Model!BN28</f>
        <v>1131.3910000000001</v>
      </c>
      <c r="BS20" s="726">
        <f>Model!BO28</f>
        <v>1219.5361982000002</v>
      </c>
      <c r="BT20" s="726" t="e">
        <f>Model!BP28</f>
        <v>#REF!</v>
      </c>
      <c r="BU20" s="726" t="e">
        <f>Model!BQ28</f>
        <v>#REF!</v>
      </c>
      <c r="BV20" s="726" t="e">
        <f>Model!BR28</f>
        <v>#REF!</v>
      </c>
      <c r="BW20" s="726" t="e">
        <f>Model!BS28</f>
        <v>#REF!</v>
      </c>
      <c r="BX20" s="529"/>
    </row>
    <row r="21" spans="1:76" s="17" customFormat="1" x14ac:dyDescent="0.35">
      <c r="A21" s="174" t="str">
        <f>Model!A29</f>
        <v>Career Learning - Middle-High School revenue, mm</v>
      </c>
      <c r="B21" s="175"/>
      <c r="C21" s="532"/>
      <c r="D21" s="532"/>
      <c r="E21" s="532"/>
      <c r="F21" s="532"/>
      <c r="G21" s="532"/>
      <c r="H21" s="532"/>
      <c r="I21" s="532"/>
      <c r="J21" s="532"/>
      <c r="K21" s="532"/>
      <c r="L21" s="532"/>
      <c r="M21" s="532"/>
      <c r="N21" s="532"/>
      <c r="O21" s="532"/>
      <c r="P21" s="532"/>
      <c r="Q21" s="532"/>
      <c r="R21" s="532"/>
      <c r="S21" s="532"/>
      <c r="T21" s="532"/>
      <c r="U21" s="532"/>
      <c r="V21" s="532"/>
      <c r="W21" s="532"/>
      <c r="X21" s="532"/>
      <c r="Y21" s="532"/>
      <c r="Z21" s="532"/>
      <c r="AA21" s="532">
        <f>Model!AA29</f>
        <v>0</v>
      </c>
      <c r="AB21" s="532">
        <f>Model!AB29</f>
        <v>0</v>
      </c>
      <c r="AC21" s="532">
        <f>Model!AC29</f>
        <v>0</v>
      </c>
      <c r="AD21" s="532">
        <f>Model!AD29</f>
        <v>0</v>
      </c>
      <c r="AE21" s="532">
        <f>Model!AE29</f>
        <v>23.555</v>
      </c>
      <c r="AF21" s="532">
        <f>Model!AF29</f>
        <v>24.94</v>
      </c>
      <c r="AG21" s="532">
        <f>Model!AG29</f>
        <v>20.82</v>
      </c>
      <c r="AH21" s="532">
        <f>Model!AH29</f>
        <v>26.689</v>
      </c>
      <c r="AI21" s="532">
        <f>Model!AI29</f>
        <v>48.771000000000001</v>
      </c>
      <c r="AJ21" s="532">
        <f>Model!AJ29</f>
        <v>51.375999999999998</v>
      </c>
      <c r="AK21" s="532">
        <f>Model!AK29</f>
        <v>52.381999999999998</v>
      </c>
      <c r="AL21" s="532">
        <f>Model!AL29</f>
        <v>48.244999999999997</v>
      </c>
      <c r="AM21" s="532">
        <f>Model!AM29</f>
        <v>71.411000000000001</v>
      </c>
      <c r="AN21" s="532">
        <f>Model!AN29</f>
        <v>75.287000000000006</v>
      </c>
      <c r="AO21" s="532">
        <f>Model!AO29</f>
        <v>83.238</v>
      </c>
      <c r="AP21" s="532">
        <f>Model!AP29</f>
        <v>91.478999999999999</v>
      </c>
      <c r="AQ21" s="532">
        <f>Model!AQ29</f>
        <v>125.535</v>
      </c>
      <c r="AR21" s="532">
        <f>Model!AR29</f>
        <v>153.79499999999999</v>
      </c>
      <c r="AS21" s="532">
        <f>Model!AS29</f>
        <v>150.77199999999999</v>
      </c>
      <c r="AT21" s="532">
        <f>Model!AT29</f>
        <v>156.66800000000001</v>
      </c>
      <c r="AU21" s="534">
        <f>Model!AU29</f>
        <v>150.97399999999999</v>
      </c>
      <c r="AV21" s="532">
        <f>Model!AV29</f>
        <v>167.94413999999995</v>
      </c>
      <c r="AW21" s="532">
        <f>Model!AW29</f>
        <v>164.46209760000002</v>
      </c>
      <c r="AX21" s="532">
        <f>Model!AX29</f>
        <v>169.31110760000001</v>
      </c>
      <c r="AY21" s="532" t="e">
        <f>Model!#REF!</f>
        <v>#REF!</v>
      </c>
      <c r="AZ21" s="532" t="e">
        <f>Model!#REF!</f>
        <v>#REF!</v>
      </c>
      <c r="BA21" s="532" t="e">
        <f>Model!#REF!</f>
        <v>#REF!</v>
      </c>
      <c r="BB21" s="532" t="e">
        <f>Model!#REF!</f>
        <v>#REF!</v>
      </c>
      <c r="BC21" s="532"/>
      <c r="BD21" s="156"/>
      <c r="BE21" s="156"/>
      <c r="BF21" s="156"/>
      <c r="BG21" s="156"/>
      <c r="BH21" s="156"/>
      <c r="BI21" s="156"/>
      <c r="BJ21" s="156"/>
      <c r="BK21" s="156"/>
      <c r="BL21" s="156"/>
      <c r="BM21" s="156"/>
      <c r="BN21" s="156">
        <f>Model!BJ29</f>
        <v>0</v>
      </c>
      <c r="BO21" s="156">
        <f>Model!BK29</f>
        <v>96.003999999999991</v>
      </c>
      <c r="BP21" s="156">
        <f>Model!BL29</f>
        <v>200.774</v>
      </c>
      <c r="BQ21" s="156">
        <f>Model!BM29</f>
        <v>321.416</v>
      </c>
      <c r="BR21" s="730">
        <f>Model!BN29</f>
        <v>586.77</v>
      </c>
      <c r="BS21" s="156">
        <f>Model!BO29</f>
        <v>652.6913452</v>
      </c>
      <c r="BT21" s="156" t="e">
        <f>Model!BP29</f>
        <v>#REF!</v>
      </c>
      <c r="BU21" s="156" t="e">
        <f>Model!BQ29</f>
        <v>#REF!</v>
      </c>
      <c r="BV21" s="156" t="e">
        <f>Model!BR29</f>
        <v>#REF!</v>
      </c>
      <c r="BW21" s="156" t="e">
        <f>Model!BS29</f>
        <v>#REF!</v>
      </c>
      <c r="BX21" s="532"/>
    </row>
    <row r="22" spans="1:76" s="39" customFormat="1" x14ac:dyDescent="0.35">
      <c r="A22" s="174" t="str">
        <f>Model!A30</f>
        <v>Career Learning - Adult revenue, mm</v>
      </c>
      <c r="B22" s="180"/>
      <c r="C22" s="532"/>
      <c r="D22" s="532"/>
      <c r="E22" s="532"/>
      <c r="F22" s="532"/>
      <c r="G22" s="532"/>
      <c r="H22" s="532"/>
      <c r="I22" s="532"/>
      <c r="J22" s="532"/>
      <c r="K22" s="532"/>
      <c r="L22" s="532"/>
      <c r="M22" s="532"/>
      <c r="N22" s="532"/>
      <c r="O22" s="532"/>
      <c r="P22" s="532"/>
      <c r="Q22" s="532"/>
      <c r="R22" s="532"/>
      <c r="S22" s="532"/>
      <c r="T22" s="532"/>
      <c r="U22" s="532"/>
      <c r="V22" s="532"/>
      <c r="W22" s="532"/>
      <c r="X22" s="532"/>
      <c r="Y22" s="532"/>
      <c r="Z22" s="532"/>
      <c r="AA22" s="532">
        <f>Model!AA30</f>
        <v>0</v>
      </c>
      <c r="AB22" s="532">
        <f>Model!AB30</f>
        <v>0</v>
      </c>
      <c r="AC22" s="532">
        <f>Model!AC30</f>
        <v>0</v>
      </c>
      <c r="AD22" s="532">
        <f>Model!AD30</f>
        <v>0</v>
      </c>
      <c r="AE22" s="532">
        <f>Model!AE30</f>
        <v>0</v>
      </c>
      <c r="AF22" s="532">
        <f>Model!AF30</f>
        <v>0</v>
      </c>
      <c r="AG22" s="532">
        <f>Model!AG30</f>
        <v>3.1869999999999998</v>
      </c>
      <c r="AH22" s="532">
        <f>Model!AH30</f>
        <v>7.766</v>
      </c>
      <c r="AI22" s="532">
        <f>Model!AI30</f>
        <v>8.3409999999999993</v>
      </c>
      <c r="AJ22" s="532">
        <f>Model!AJ30</f>
        <v>10.78</v>
      </c>
      <c r="AK22" s="532">
        <f>Model!AK30</f>
        <v>17.459</v>
      </c>
      <c r="AL22" s="532">
        <f>Model!AL30</f>
        <v>19.207000000000001</v>
      </c>
      <c r="AM22" s="532">
        <f>Model!AM30</f>
        <v>22.474</v>
      </c>
      <c r="AN22" s="532">
        <f>Model!AN30</f>
        <v>20.978999999999999</v>
      </c>
      <c r="AO22" s="532">
        <f>Model!AO30</f>
        <v>22.626000000000001</v>
      </c>
      <c r="AP22" s="532">
        <f>Model!AP30</f>
        <v>25.388999999999999</v>
      </c>
      <c r="AQ22" s="532">
        <f>Model!AQ30</f>
        <v>27.957000000000001</v>
      </c>
      <c r="AR22" s="532">
        <f>Model!AR30</f>
        <v>29.876000000000001</v>
      </c>
      <c r="AS22" s="532">
        <f>Model!AS30</f>
        <v>29.946000000000002</v>
      </c>
      <c r="AT22" s="532">
        <f>Model!AT30</f>
        <v>31.419</v>
      </c>
      <c r="AU22" s="534">
        <f>Model!AU30</f>
        <v>29.869</v>
      </c>
      <c r="AV22" s="532">
        <f>Model!AV30</f>
        <v>31.369800000000001</v>
      </c>
      <c r="AW22" s="532">
        <f>Model!AW30</f>
        <v>31.443300000000004</v>
      </c>
      <c r="AX22" s="532">
        <f>Model!AX30</f>
        <v>32.98995</v>
      </c>
      <c r="AY22" s="532" t="e">
        <f>Model!#REF!</f>
        <v>#REF!</v>
      </c>
      <c r="AZ22" s="532" t="e">
        <f>Model!#REF!</f>
        <v>#REF!</v>
      </c>
      <c r="BA22" s="532" t="e">
        <f>Model!#REF!</f>
        <v>#REF!</v>
      </c>
      <c r="BB22" s="532" t="e">
        <f>Model!#REF!</f>
        <v>#REF!</v>
      </c>
      <c r="BC22" s="532"/>
      <c r="BD22" s="156"/>
      <c r="BE22" s="156"/>
      <c r="BF22" s="156"/>
      <c r="BG22" s="156"/>
      <c r="BH22" s="156"/>
      <c r="BI22" s="156"/>
      <c r="BJ22" s="156"/>
      <c r="BK22" s="156"/>
      <c r="BL22" s="156"/>
      <c r="BM22" s="156"/>
      <c r="BN22" s="156">
        <f>Model!BJ30</f>
        <v>0</v>
      </c>
      <c r="BO22" s="156">
        <f>Model!BK30</f>
        <v>10.952999999999999</v>
      </c>
      <c r="BP22" s="156">
        <f>Model!BL30</f>
        <v>55.786999999999999</v>
      </c>
      <c r="BQ22" s="156">
        <f>Model!BM30</f>
        <v>91.466999999999999</v>
      </c>
      <c r="BR22" s="730">
        <f>Model!BN30</f>
        <v>119.197</v>
      </c>
      <c r="BS22" s="156">
        <f>Model!BO30</f>
        <v>125.67205000000001</v>
      </c>
      <c r="BT22" s="156" t="e">
        <f>Model!BP30</f>
        <v>#REF!</v>
      </c>
      <c r="BU22" s="156" t="e">
        <f>Model!BQ30</f>
        <v>#REF!</v>
      </c>
      <c r="BV22" s="156" t="e">
        <f>Model!BR30</f>
        <v>#REF!</v>
      </c>
      <c r="BW22" s="156" t="e">
        <f>Model!BS30</f>
        <v>#REF!</v>
      </c>
      <c r="BX22" s="220"/>
    </row>
    <row r="23" spans="1:76" s="330" customFormat="1" x14ac:dyDescent="0.35">
      <c r="A23" s="176" t="str">
        <f>Model!A31</f>
        <v>Career Learning Revenue, mm</v>
      </c>
      <c r="B23" s="332"/>
      <c r="C23" s="572"/>
      <c r="D23" s="572"/>
      <c r="E23" s="572"/>
      <c r="F23" s="572"/>
      <c r="G23" s="572"/>
      <c r="H23" s="572"/>
      <c r="I23" s="572"/>
      <c r="J23" s="572"/>
      <c r="K23" s="572"/>
      <c r="L23" s="572"/>
      <c r="M23" s="572"/>
      <c r="N23" s="572"/>
      <c r="O23" s="572"/>
      <c r="P23" s="572"/>
      <c r="Q23" s="572"/>
      <c r="R23" s="572"/>
      <c r="S23" s="572"/>
      <c r="T23" s="572"/>
      <c r="U23" s="572"/>
      <c r="V23" s="572"/>
      <c r="W23" s="572"/>
      <c r="X23" s="572"/>
      <c r="Y23" s="572"/>
      <c r="Z23" s="572"/>
      <c r="AA23" s="572">
        <f>Model!AA31</f>
        <v>12.798999999999999</v>
      </c>
      <c r="AB23" s="572">
        <f>Model!AB31</f>
        <v>12.297000000000001</v>
      </c>
      <c r="AC23" s="572">
        <f>Model!AC31</f>
        <v>12.016</v>
      </c>
      <c r="AD23" s="572">
        <f>Model!AD31</f>
        <v>12.709</v>
      </c>
      <c r="AE23" s="572">
        <f>Model!AE31</f>
        <v>23.555</v>
      </c>
      <c r="AF23" s="572">
        <f>Model!AF31</f>
        <v>24.94</v>
      </c>
      <c r="AG23" s="572">
        <f>Model!AG31</f>
        <v>24.007000000000001</v>
      </c>
      <c r="AH23" s="572">
        <f>Model!AH31</f>
        <v>34.454999999999998</v>
      </c>
      <c r="AI23" s="572">
        <f>Model!AI31</f>
        <v>57.112000000000002</v>
      </c>
      <c r="AJ23" s="572">
        <f>Model!AJ31</f>
        <v>62.155999999999999</v>
      </c>
      <c r="AK23" s="572">
        <f>Model!AK31</f>
        <v>69.840999999999994</v>
      </c>
      <c r="AL23" s="572">
        <f>Model!AL31</f>
        <v>67.451999999999998</v>
      </c>
      <c r="AM23" s="572">
        <f>Model!AM31</f>
        <v>93.885000000000005</v>
      </c>
      <c r="AN23" s="572">
        <f>Model!AN31</f>
        <v>96.266000000000005</v>
      </c>
      <c r="AO23" s="572">
        <f>Model!AO31</f>
        <v>105.864</v>
      </c>
      <c r="AP23" s="572">
        <f>Model!AP31</f>
        <v>116.86799999999999</v>
      </c>
      <c r="AQ23" s="572">
        <f>Model!AQ31</f>
        <v>153.49199999999999</v>
      </c>
      <c r="AR23" s="572">
        <f>Model!AR31</f>
        <v>183.67099999999999</v>
      </c>
      <c r="AS23" s="572">
        <f>Model!AS31</f>
        <v>180.71799999999999</v>
      </c>
      <c r="AT23" s="572">
        <f>Model!AT31</f>
        <v>188.08700000000002</v>
      </c>
      <c r="AU23" s="574">
        <f>Model!AU31</f>
        <v>180.84299999999999</v>
      </c>
      <c r="AV23" s="572">
        <f>Model!AV31</f>
        <v>199.31393999999995</v>
      </c>
      <c r="AW23" s="572">
        <f>Model!AW31</f>
        <v>195.90539760000001</v>
      </c>
      <c r="AX23" s="572">
        <f>Model!AX31</f>
        <v>202.30105760000001</v>
      </c>
      <c r="AY23" s="572" t="e">
        <f>Model!#REF!</f>
        <v>#REF!</v>
      </c>
      <c r="AZ23" s="572" t="e">
        <f>Model!#REF!</f>
        <v>#REF!</v>
      </c>
      <c r="BA23" s="572" t="e">
        <f>Model!#REF!</f>
        <v>#REF!</v>
      </c>
      <c r="BB23" s="572" t="e">
        <f>Model!#REF!</f>
        <v>#REF!</v>
      </c>
      <c r="BC23" s="572"/>
      <c r="BD23" s="734"/>
      <c r="BE23" s="734"/>
      <c r="BF23" s="734"/>
      <c r="BG23" s="734"/>
      <c r="BH23" s="734"/>
      <c r="BI23" s="734"/>
      <c r="BJ23" s="734"/>
      <c r="BK23" s="734"/>
      <c r="BL23" s="734"/>
      <c r="BM23" s="734"/>
      <c r="BN23" s="734">
        <f>Model!BJ31</f>
        <v>49.820999999999998</v>
      </c>
      <c r="BO23" s="734">
        <f>Model!BK31</f>
        <v>106.95699999999999</v>
      </c>
      <c r="BP23" s="734">
        <f>Model!BL31</f>
        <v>256.56099999999998</v>
      </c>
      <c r="BQ23" s="734">
        <f>Model!BM31</f>
        <v>412.88299999999998</v>
      </c>
      <c r="BR23" s="736">
        <f>Model!BN31</f>
        <v>705.96699999999998</v>
      </c>
      <c r="BS23" s="734">
        <f>Model!BO31</f>
        <v>778.36339520000001</v>
      </c>
      <c r="BT23" s="734" t="e">
        <f>Model!BP31</f>
        <v>#REF!</v>
      </c>
      <c r="BU23" s="734" t="e">
        <f>Model!BQ31</f>
        <v>#REF!</v>
      </c>
      <c r="BV23" s="734" t="e">
        <f>Model!BR31</f>
        <v>#REF!</v>
      </c>
      <c r="BW23" s="734" t="e">
        <f>Model!BS31</f>
        <v>#REF!</v>
      </c>
      <c r="BX23" s="329"/>
    </row>
    <row r="24" spans="1:76" s="1" customFormat="1" x14ac:dyDescent="0.35">
      <c r="A24" s="179" t="str">
        <f>Model!A32</f>
        <v>Total Revenue, mm</v>
      </c>
      <c r="B24" s="177"/>
      <c r="C24" s="572"/>
      <c r="D24" s="572"/>
      <c r="E24" s="572"/>
      <c r="F24" s="572"/>
      <c r="G24" s="572"/>
      <c r="H24" s="572"/>
      <c r="I24" s="572"/>
      <c r="J24" s="572"/>
      <c r="K24" s="572"/>
      <c r="L24" s="572"/>
      <c r="M24" s="572"/>
      <c r="N24" s="572"/>
      <c r="O24" s="572"/>
      <c r="P24" s="572"/>
      <c r="Q24" s="572"/>
      <c r="R24" s="572"/>
      <c r="S24" s="572"/>
      <c r="T24" s="572"/>
      <c r="U24" s="572"/>
      <c r="V24" s="572"/>
      <c r="W24" s="572"/>
      <c r="X24" s="572"/>
      <c r="Y24" s="572"/>
      <c r="Z24" s="572"/>
      <c r="AA24" s="572">
        <f>Model!AA32</f>
        <v>251.31399999999999</v>
      </c>
      <c r="AB24" s="572">
        <f>Model!AB32</f>
        <v>254.87200000000001</v>
      </c>
      <c r="AC24" s="572">
        <f>Model!AC32</f>
        <v>253.25200000000001</v>
      </c>
      <c r="AD24" s="572">
        <f>Model!AD32</f>
        <v>256.31400000000002</v>
      </c>
      <c r="AE24" s="572">
        <f>Model!AE32</f>
        <v>257.12099999999998</v>
      </c>
      <c r="AF24" s="572">
        <f>Model!AF32</f>
        <v>257.55899999999997</v>
      </c>
      <c r="AG24" s="572">
        <f>Model!AG32</f>
        <v>257.154</v>
      </c>
      <c r="AH24" s="572">
        <f>Model!AH32</f>
        <v>268.93100000000004</v>
      </c>
      <c r="AI24" s="572">
        <f>Model!AI32</f>
        <v>370.96</v>
      </c>
      <c r="AJ24" s="572">
        <f>Model!AJ32</f>
        <v>376.14500000000004</v>
      </c>
      <c r="AK24" s="572">
        <f>Model!AK32</f>
        <v>392.14499999999998</v>
      </c>
      <c r="AL24" s="572">
        <f>Model!AL32</f>
        <v>397.51</v>
      </c>
      <c r="AM24" s="572">
        <f>Model!AM32</f>
        <v>400.226</v>
      </c>
      <c r="AN24" s="572">
        <f>Model!AN32</f>
        <v>409.50700000000001</v>
      </c>
      <c r="AO24" s="572">
        <f>Model!AO32</f>
        <v>421.72199999999998</v>
      </c>
      <c r="AP24" s="572">
        <f>Model!AP32</f>
        <v>455.21100000000001</v>
      </c>
      <c r="AQ24" s="572">
        <f>Model!AQ32</f>
        <v>425.15</v>
      </c>
      <c r="AR24" s="572">
        <f>Model!AR32</f>
        <v>458.435</v>
      </c>
      <c r="AS24" s="572">
        <f>Model!AS32</f>
        <v>470.28399999999999</v>
      </c>
      <c r="AT24" s="572">
        <f>Model!AT32</f>
        <v>483.48900000000003</v>
      </c>
      <c r="AU24" s="574">
        <f>Model!AU32</f>
        <v>480.18100000000004</v>
      </c>
      <c r="AV24" s="572">
        <f>Model!AV32</f>
        <v>499.30127519999996</v>
      </c>
      <c r="AW24" s="572">
        <f>Model!AW32</f>
        <v>502.99014059999996</v>
      </c>
      <c r="AX24" s="572">
        <f>Model!AX32</f>
        <v>515.42717760000005</v>
      </c>
      <c r="AY24" s="572" t="e">
        <f>Model!#REF!</f>
        <v>#REF!</v>
      </c>
      <c r="AZ24" s="572" t="e">
        <f>Model!#REF!</f>
        <v>#REF!</v>
      </c>
      <c r="BA24" s="572" t="e">
        <f>Model!#REF!</f>
        <v>#REF!</v>
      </c>
      <c r="BB24" s="572" t="e">
        <f>Model!#REF!</f>
        <v>#REF!</v>
      </c>
      <c r="BC24" s="572"/>
      <c r="BD24" s="734"/>
      <c r="BE24" s="734"/>
      <c r="BF24" s="734"/>
      <c r="BG24" s="734"/>
      <c r="BH24" s="734"/>
      <c r="BI24" s="734"/>
      <c r="BJ24" s="734"/>
      <c r="BK24" s="734"/>
      <c r="BL24" s="734"/>
      <c r="BM24" s="734"/>
      <c r="BN24" s="734">
        <f>Model!BJ32</f>
        <v>1015.752</v>
      </c>
      <c r="BO24" s="734">
        <f>Model!BK32</f>
        <v>1040.7649999999999</v>
      </c>
      <c r="BP24" s="734">
        <f>Model!BL32</f>
        <v>1536.76</v>
      </c>
      <c r="BQ24" s="734">
        <f>Model!BM32</f>
        <v>1686.6659999999999</v>
      </c>
      <c r="BR24" s="736">
        <f>Model!BN32</f>
        <v>1837.3580000000002</v>
      </c>
      <c r="BS24" s="734">
        <f>Model!BO32</f>
        <v>1997.8995934000002</v>
      </c>
      <c r="BT24" s="734" t="e">
        <f>Model!BP32</f>
        <v>#REF!</v>
      </c>
      <c r="BU24" s="734" t="e">
        <f>Model!BQ32</f>
        <v>#REF!</v>
      </c>
      <c r="BV24" s="734" t="e">
        <f>Model!BR32</f>
        <v>#REF!</v>
      </c>
      <c r="BW24" s="734" t="e">
        <f>Model!BS32</f>
        <v>#REF!</v>
      </c>
      <c r="BX24" s="529"/>
    </row>
    <row r="25" spans="1:76" s="39" customFormat="1" x14ac:dyDescent="0.35">
      <c r="A25" s="174"/>
      <c r="B25" s="180"/>
      <c r="C25" s="619"/>
      <c r="D25" s="619"/>
      <c r="E25" s="619"/>
      <c r="F25" s="619"/>
      <c r="G25" s="619"/>
      <c r="H25" s="619"/>
      <c r="I25" s="619"/>
      <c r="J25" s="619"/>
      <c r="K25" s="619"/>
      <c r="L25" s="619"/>
      <c r="M25" s="619"/>
      <c r="N25" s="619"/>
      <c r="O25" s="619"/>
      <c r="P25" s="619"/>
      <c r="Q25" s="619"/>
      <c r="R25" s="619"/>
      <c r="S25" s="619"/>
      <c r="T25" s="619"/>
      <c r="U25" s="619"/>
      <c r="V25" s="619"/>
      <c r="W25" s="619"/>
      <c r="X25" s="619"/>
      <c r="Y25" s="619"/>
      <c r="Z25" s="619"/>
      <c r="AA25" s="619"/>
      <c r="AB25" s="619"/>
      <c r="AC25" s="619"/>
      <c r="AD25" s="619"/>
      <c r="AE25" s="619"/>
      <c r="AF25" s="619"/>
      <c r="AG25" s="619"/>
      <c r="AH25" s="619"/>
      <c r="AI25" s="619"/>
      <c r="AJ25" s="619"/>
      <c r="AK25" s="619"/>
      <c r="AL25" s="619"/>
      <c r="AM25" s="619"/>
      <c r="AN25" s="619"/>
      <c r="AO25" s="619"/>
      <c r="AP25" s="619"/>
      <c r="AQ25" s="619"/>
      <c r="AR25" s="619"/>
      <c r="AS25" s="619"/>
      <c r="AT25" s="619"/>
      <c r="AU25" s="620"/>
      <c r="AV25" s="619"/>
      <c r="AW25" s="619"/>
      <c r="AX25" s="619"/>
      <c r="AY25" s="619"/>
      <c r="AZ25" s="619"/>
      <c r="BA25" s="619"/>
      <c r="BB25" s="619"/>
      <c r="BC25" s="619"/>
      <c r="BD25" s="855"/>
      <c r="BE25" s="855"/>
      <c r="BF25" s="855"/>
      <c r="BG25" s="855"/>
      <c r="BH25" s="855"/>
      <c r="BI25" s="855"/>
      <c r="BJ25" s="855"/>
      <c r="BK25" s="855"/>
      <c r="BL25" s="855"/>
      <c r="BM25" s="855"/>
      <c r="BN25" s="855"/>
      <c r="BO25" s="855"/>
      <c r="BP25" s="855"/>
      <c r="BQ25" s="855"/>
      <c r="BR25" s="856"/>
      <c r="BS25" s="855"/>
      <c r="BT25" s="855"/>
      <c r="BU25" s="855"/>
      <c r="BV25" s="855"/>
      <c r="BW25" s="855"/>
      <c r="BX25" s="220"/>
    </row>
    <row r="26" spans="1:76" s="132" customFormat="1" x14ac:dyDescent="0.35">
      <c r="A26" s="321" t="str">
        <f>Model!A13</f>
        <v>General Education average enrollment growth, %</v>
      </c>
      <c r="B26" s="105"/>
      <c r="C26" s="61"/>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f>Model!AE13</f>
        <v>-2.8070175438596467E-2</v>
      </c>
      <c r="AF26" s="61">
        <f>Model!AF13</f>
        <v>-4.5576407506702443E-2</v>
      </c>
      <c r="AG26" s="61">
        <f>Model!AG13</f>
        <v>-3.4574468085106336E-2</v>
      </c>
      <c r="AH26" s="61">
        <f>Model!AH13</f>
        <v>-1.87969924812037E-3</v>
      </c>
      <c r="AI26" s="61">
        <f>Model!AI13</f>
        <v>0.48555956678700363</v>
      </c>
      <c r="AJ26" s="61">
        <f>Model!AJ13</f>
        <v>0.50936329588014972</v>
      </c>
      <c r="AK26" s="61">
        <f>Model!AK13</f>
        <v>0.4306703397612488</v>
      </c>
      <c r="AL26" s="61">
        <f>Model!AL13</f>
        <v>0.38606403013182655</v>
      </c>
      <c r="AM26" s="61">
        <f>Model!AM13</f>
        <v>-0.10328068043742411</v>
      </c>
      <c r="AN26" s="61">
        <f>Model!AN13</f>
        <v>-9.6774193548387122E-2</v>
      </c>
      <c r="AO26" s="61">
        <f>Model!AO13</f>
        <v>-7.7021822849807409E-2</v>
      </c>
      <c r="AP26" s="61">
        <f>Model!AP13</f>
        <v>-7.2690217391304324E-2</v>
      </c>
      <c r="AQ26" s="61">
        <f>Model!AQ13</f>
        <v>-0.23915989159891593</v>
      </c>
      <c r="AR26" s="61">
        <f>Model!AR13</f>
        <v>-0.2362637362637362</v>
      </c>
      <c r="AS26" s="61">
        <f>Model!AS13</f>
        <v>-0.20305980528511836</v>
      </c>
      <c r="AT26" s="61">
        <f>Model!AT13</f>
        <v>-0.18974358974358974</v>
      </c>
      <c r="AU26" s="482">
        <f>Model!AU13</f>
        <v>4.7195013357079318E-2</v>
      </c>
      <c r="AV26" s="61">
        <f>Model!AV13</f>
        <v>0.06</v>
      </c>
      <c r="AW26" s="61">
        <f>Model!AW13</f>
        <v>0.05</v>
      </c>
      <c r="AX26" s="61">
        <f>Model!AX13</f>
        <v>0.06</v>
      </c>
      <c r="AY26" s="61" t="e">
        <f>Model!#REF!</f>
        <v>#REF!</v>
      </c>
      <c r="AZ26" s="61" t="e">
        <f>Model!#REF!</f>
        <v>#REF!</v>
      </c>
      <c r="BA26" s="61" t="e">
        <f>Model!#REF!</f>
        <v>#REF!</v>
      </c>
      <c r="BB26" s="61" t="e">
        <f>Model!#REF!</f>
        <v>#REF!</v>
      </c>
      <c r="BC26" s="61"/>
      <c r="BD26" s="676"/>
      <c r="BE26" s="676"/>
      <c r="BF26" s="676"/>
      <c r="BG26" s="676"/>
      <c r="BH26" s="676"/>
      <c r="BI26" s="676"/>
      <c r="BJ26" s="676"/>
      <c r="BK26" s="676"/>
      <c r="BL26" s="676"/>
      <c r="BM26" s="676"/>
      <c r="BN26" s="676"/>
      <c r="BO26" s="676">
        <f>Model!BK13</f>
        <v>-3.0575539568345356E-2</v>
      </c>
      <c r="BP26" s="676">
        <f>Model!BL13</f>
        <v>0.45361781076066787</v>
      </c>
      <c r="BQ26" s="676">
        <f>Model!BM13</f>
        <v>-8.6151882578174854E-2</v>
      </c>
      <c r="BR26" s="677">
        <f>Model!BN13</f>
        <v>-0.21578212290502785</v>
      </c>
      <c r="BS26" s="676">
        <f>Model!BO13</f>
        <v>5.3067675868210262E-2</v>
      </c>
      <c r="BT26" s="676" t="e">
        <f>Model!BP13</f>
        <v>#REF!</v>
      </c>
      <c r="BU26" s="676">
        <f>Model!BQ13</f>
        <v>0.02</v>
      </c>
      <c r="BV26" s="676">
        <f>Model!BR13</f>
        <v>0.02</v>
      </c>
      <c r="BW26" s="676">
        <f>Model!BS13</f>
        <v>0.02</v>
      </c>
      <c r="BX26" s="114"/>
    </row>
    <row r="27" spans="1:76" s="132" customFormat="1" x14ac:dyDescent="0.35">
      <c r="A27" s="321" t="str">
        <f>Model!A14</f>
        <v>Career Learning average enrollment growth, %</v>
      </c>
      <c r="B27" s="105"/>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f>Model!AE14</f>
        <v>0.91549295774647899</v>
      </c>
      <c r="AF27" s="61">
        <f>Model!AF14</f>
        <v>0.92647058823529416</v>
      </c>
      <c r="AG27" s="61">
        <f>Model!AG14</f>
        <v>0.9701492537313432</v>
      </c>
      <c r="AH27" s="61">
        <f>Model!AH14</f>
        <v>0.98437499999999978</v>
      </c>
      <c r="AI27" s="61">
        <f>Model!AI14</f>
        <v>1.2647058823529411</v>
      </c>
      <c r="AJ27" s="61">
        <f>Model!AJ14</f>
        <v>1.3129770992366412</v>
      </c>
      <c r="AK27" s="61">
        <f>Model!AK14</f>
        <v>1.2348484848484849</v>
      </c>
      <c r="AL27" s="61">
        <f>Model!AL14</f>
        <v>1.2204724409448819</v>
      </c>
      <c r="AM27" s="61">
        <f>Model!AM14</f>
        <v>0.36363636363636354</v>
      </c>
      <c r="AN27" s="61">
        <f>Model!AN14</f>
        <v>0.38283828382838281</v>
      </c>
      <c r="AO27" s="61">
        <f>Model!AO14</f>
        <v>0.42372881355932202</v>
      </c>
      <c r="AP27" s="61">
        <f>Model!AP14</f>
        <v>0.48581560283687941</v>
      </c>
      <c r="AQ27" s="61">
        <f>Model!AQ14</f>
        <v>0.46666666666666679</v>
      </c>
      <c r="AR27" s="61">
        <f>Model!AR14</f>
        <v>0.58233890214797124</v>
      </c>
      <c r="AS27" s="61">
        <f>Model!AS14</f>
        <v>0.60000000000000009</v>
      </c>
      <c r="AT27" s="61">
        <f>Model!AT14</f>
        <v>0.56324582338902163</v>
      </c>
      <c r="AU27" s="482">
        <f>Model!AU14</f>
        <v>0.14123376623376616</v>
      </c>
      <c r="AV27" s="61">
        <f>Model!AV14</f>
        <v>0.05</v>
      </c>
      <c r="AW27" s="61">
        <f>Model!AW14</f>
        <v>0.08</v>
      </c>
      <c r="AX27" s="61">
        <f>Model!AX14</f>
        <v>7.0000000000000007E-2</v>
      </c>
      <c r="AY27" s="61" t="e">
        <f>Model!#REF!</f>
        <v>#REF!</v>
      </c>
      <c r="AZ27" s="61" t="e">
        <f>Model!#REF!</f>
        <v>#REF!</v>
      </c>
      <c r="BA27" s="61" t="e">
        <f>Model!#REF!</f>
        <v>#REF!</v>
      </c>
      <c r="BB27" s="61" t="e">
        <f>Model!#REF!</f>
        <v>#REF!</v>
      </c>
      <c r="BC27" s="61"/>
      <c r="BD27" s="676"/>
      <c r="BE27" s="676"/>
      <c r="BF27" s="676"/>
      <c r="BG27" s="676"/>
      <c r="BH27" s="676"/>
      <c r="BI27" s="676"/>
      <c r="BJ27" s="676"/>
      <c r="BK27" s="676"/>
      <c r="BL27" s="676"/>
      <c r="BM27" s="676"/>
      <c r="BN27" s="676"/>
      <c r="BO27" s="676">
        <f>Model!BK14</f>
        <v>0.9552238805970148</v>
      </c>
      <c r="BP27" s="676">
        <f>Model!BL14</f>
        <v>1.2595419847328246</v>
      </c>
      <c r="BQ27" s="676">
        <f>Model!BM14</f>
        <v>0.41554054054054035</v>
      </c>
      <c r="BR27" s="677">
        <f>Model!BN14</f>
        <v>0.57279236276849654</v>
      </c>
      <c r="BS27" s="676">
        <f>Model!BO14</f>
        <v>7.1987860394537195E-2</v>
      </c>
      <c r="BT27" s="676" t="e">
        <f>Model!BP14</f>
        <v>#REF!</v>
      </c>
      <c r="BU27" s="676">
        <f>Model!BQ14</f>
        <v>0.01</v>
      </c>
      <c r="BV27" s="676">
        <f>Model!BR14</f>
        <v>0.01</v>
      </c>
      <c r="BW27" s="676">
        <f>Model!BS14</f>
        <v>0.01</v>
      </c>
      <c r="BX27" s="114"/>
    </row>
    <row r="28" spans="1:76" s="19" customFormat="1" x14ac:dyDescent="0.35">
      <c r="A28" s="172" t="str">
        <f>Model!A15</f>
        <v>Total Average Enrollment Growth, %</v>
      </c>
      <c r="B28" s="109"/>
      <c r="C28" s="77"/>
      <c r="D28" s="77"/>
      <c r="E28" s="77"/>
      <c r="F28" s="77"/>
      <c r="G28" s="77"/>
      <c r="H28" s="77"/>
      <c r="I28" s="77"/>
      <c r="J28" s="77"/>
      <c r="K28" s="77"/>
      <c r="L28" s="77"/>
      <c r="M28" s="77"/>
      <c r="N28" s="77"/>
      <c r="O28" s="77"/>
      <c r="P28" s="77"/>
      <c r="Q28" s="77"/>
      <c r="R28" s="77"/>
      <c r="S28" s="77"/>
      <c r="T28" s="77"/>
      <c r="U28" s="77"/>
      <c r="V28" s="77"/>
      <c r="W28" s="77"/>
      <c r="X28" s="77"/>
      <c r="Y28" s="77"/>
      <c r="Z28" s="77"/>
      <c r="AA28" s="77"/>
      <c r="AB28" s="77"/>
      <c r="AC28" s="77"/>
      <c r="AD28" s="77"/>
      <c r="AE28" s="77">
        <f>Model!AE15</f>
        <v>2.725020644095788E-2</v>
      </c>
      <c r="AF28" s="77">
        <f>Model!AF15</f>
        <v>1.0109519797809607E-2</v>
      </c>
      <c r="AG28" s="77">
        <f>Model!AG15</f>
        <v>2.1757322175732341E-2</v>
      </c>
      <c r="AH28" s="77">
        <f>Model!AH15</f>
        <v>5.4078014184397061E-2</v>
      </c>
      <c r="AI28" s="77">
        <f>Model!AI15</f>
        <v>0.57073954983922848</v>
      </c>
      <c r="AJ28" s="77">
        <f>Model!AJ15</f>
        <v>0.59716430358632211</v>
      </c>
      <c r="AK28" s="77">
        <f>Model!AK15</f>
        <v>0.51760851760851767</v>
      </c>
      <c r="AL28" s="77">
        <f>Model!AL15</f>
        <v>0.47518923465096696</v>
      </c>
      <c r="AM28" s="77">
        <f>Model!AM15</f>
        <v>-2.9682702149437135E-2</v>
      </c>
      <c r="AN28" s="77">
        <f>Model!AN15</f>
        <v>-2.0887728459530019E-2</v>
      </c>
      <c r="AO28" s="77">
        <f>Model!AO15</f>
        <v>2.6983270372369361E-3</v>
      </c>
      <c r="AP28" s="77">
        <f>Model!AP15</f>
        <v>1.7103762827822333E-2</v>
      </c>
      <c r="AQ28" s="77">
        <f>Model!AQ15</f>
        <v>-8.2805907172995741E-2</v>
      </c>
      <c r="AR28" s="77">
        <f>Model!AR15</f>
        <v>-5.3333333333333344E-2</v>
      </c>
      <c r="AS28" s="77">
        <f>Model!AS15</f>
        <v>-2.1528525296017231E-2</v>
      </c>
      <c r="AT28" s="77">
        <f>Model!AT15</f>
        <v>-1.2892376681614359E-2</v>
      </c>
      <c r="AU28" s="486">
        <f>Model!AU15</f>
        <v>8.0506037952846388E-2</v>
      </c>
      <c r="AV28" s="77">
        <f>Model!AV15</f>
        <v>5.6264788732394599E-2</v>
      </c>
      <c r="AW28" s="77">
        <f>Model!AW15</f>
        <v>6.1089108910891143E-2</v>
      </c>
      <c r="AX28" s="77">
        <f>Model!AX15</f>
        <v>6.3719477569562866E-2</v>
      </c>
      <c r="AY28" s="77" t="e">
        <f>Model!#REF!</f>
        <v>#REF!</v>
      </c>
      <c r="AZ28" s="77" t="e">
        <f>Model!#REF!</f>
        <v>#REF!</v>
      </c>
      <c r="BA28" s="77" t="e">
        <f>Model!#REF!</f>
        <v>#REF!</v>
      </c>
      <c r="BB28" s="77" t="e">
        <f>Model!#REF!</f>
        <v>#REF!</v>
      </c>
      <c r="BC28" s="77"/>
      <c r="BD28" s="679"/>
      <c r="BE28" s="679"/>
      <c r="BF28" s="679"/>
      <c r="BG28" s="679"/>
      <c r="BH28" s="679"/>
      <c r="BI28" s="679"/>
      <c r="BJ28" s="679"/>
      <c r="BK28" s="679"/>
      <c r="BL28" s="679"/>
      <c r="BM28" s="679"/>
      <c r="BN28" s="679"/>
      <c r="BO28" s="679">
        <f>Model!BK15</f>
        <v>2.5445292620865034E-2</v>
      </c>
      <c r="BP28" s="679">
        <f>Model!BL15</f>
        <v>0.54094292803970223</v>
      </c>
      <c r="BQ28" s="679">
        <f>Model!BM15</f>
        <v>-6.4412238325280979E-3</v>
      </c>
      <c r="BR28" s="687">
        <f>Model!BN15</f>
        <v>-3.7277147487844386E-2</v>
      </c>
      <c r="BS28" s="679">
        <f>Model!BO15</f>
        <v>6.006453423120095E-2</v>
      </c>
      <c r="BT28" s="679" t="e">
        <f>Model!BP15</f>
        <v>#REF!</v>
      </c>
      <c r="BU28" s="679" t="e">
        <f>Model!BQ15</f>
        <v>#REF!</v>
      </c>
      <c r="BV28" s="679" t="e">
        <f>Model!BR15</f>
        <v>#REF!</v>
      </c>
      <c r="BW28" s="679" t="e">
        <f>Model!BS15</f>
        <v>#REF!</v>
      </c>
      <c r="BX28" s="217"/>
    </row>
    <row r="29" spans="1:76" s="19" customFormat="1" x14ac:dyDescent="0.35">
      <c r="A29" s="173"/>
      <c r="B29" s="106"/>
      <c r="C29" s="78"/>
      <c r="D29" s="78"/>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484"/>
      <c r="AV29" s="78"/>
      <c r="AW29" s="78"/>
      <c r="AX29" s="78"/>
      <c r="AY29" s="78"/>
      <c r="AZ29" s="78"/>
      <c r="BA29" s="78"/>
      <c r="BB29" s="78"/>
      <c r="BC29" s="78"/>
      <c r="BD29" s="673"/>
      <c r="BE29" s="673"/>
      <c r="BF29" s="673"/>
      <c r="BG29" s="673"/>
      <c r="BH29" s="673"/>
      <c r="BI29" s="673"/>
      <c r="BJ29" s="673"/>
      <c r="BK29" s="673"/>
      <c r="BL29" s="673"/>
      <c r="BM29" s="673"/>
      <c r="BN29" s="673"/>
      <c r="BO29" s="673"/>
      <c r="BP29" s="673"/>
      <c r="BQ29" s="673"/>
      <c r="BR29" s="682"/>
      <c r="BS29" s="673"/>
      <c r="BT29" s="673"/>
      <c r="BU29" s="673"/>
      <c r="BV29" s="673"/>
      <c r="BW29" s="673"/>
      <c r="BX29" s="217"/>
    </row>
    <row r="30" spans="1:76" s="17" customFormat="1" x14ac:dyDescent="0.35">
      <c r="A30" s="178" t="str">
        <f>Model!A56</f>
        <v>General Education average enrollment, 000s students</v>
      </c>
      <c r="B30" s="175"/>
      <c r="C30" s="532"/>
      <c r="D30" s="532"/>
      <c r="E30" s="532"/>
      <c r="F30" s="532"/>
      <c r="G30" s="532"/>
      <c r="H30" s="532"/>
      <c r="I30" s="532"/>
      <c r="J30" s="532"/>
      <c r="K30" s="532"/>
      <c r="L30" s="532"/>
      <c r="M30" s="532"/>
      <c r="N30" s="532"/>
      <c r="O30" s="532"/>
      <c r="P30" s="532"/>
      <c r="Q30" s="532"/>
      <c r="R30" s="532"/>
      <c r="S30" s="532"/>
      <c r="T30" s="532"/>
      <c r="U30" s="532"/>
      <c r="V30" s="532"/>
      <c r="W30" s="532"/>
      <c r="X30" s="532"/>
      <c r="Y30" s="532"/>
      <c r="Z30" s="532"/>
      <c r="AA30" s="532">
        <f>Model!AA56</f>
        <v>114</v>
      </c>
      <c r="AB30" s="532">
        <f>Model!AB56</f>
        <v>111.9</v>
      </c>
      <c r="AC30" s="532">
        <f>Model!AC56</f>
        <v>112.8</v>
      </c>
      <c r="AD30" s="532">
        <f>Model!AD56</f>
        <v>106.4</v>
      </c>
      <c r="AE30" s="532">
        <f>Model!AE56</f>
        <v>110.8</v>
      </c>
      <c r="AF30" s="532">
        <f>Model!AF56</f>
        <v>106.8</v>
      </c>
      <c r="AG30" s="532">
        <f>Model!AG56</f>
        <v>108.9</v>
      </c>
      <c r="AH30" s="532">
        <f>Model!AH56</f>
        <v>106.2</v>
      </c>
      <c r="AI30" s="532">
        <f>Model!AI56</f>
        <v>164.6</v>
      </c>
      <c r="AJ30" s="532">
        <f>Model!AJ56</f>
        <v>161.19999999999999</v>
      </c>
      <c r="AK30" s="532">
        <f>Model!AK56</f>
        <v>155.80000000000001</v>
      </c>
      <c r="AL30" s="532">
        <f>Model!AL56</f>
        <v>147.19999999999999</v>
      </c>
      <c r="AM30" s="532">
        <f>Model!AM56</f>
        <v>147.6</v>
      </c>
      <c r="AN30" s="532">
        <f>Model!AN56</f>
        <v>145.6</v>
      </c>
      <c r="AO30" s="532">
        <f>Model!AO56</f>
        <v>143.80000000000001</v>
      </c>
      <c r="AP30" s="532">
        <f>Model!AP56</f>
        <v>136.5</v>
      </c>
      <c r="AQ30" s="532">
        <f>Model!AQ56</f>
        <v>112.3</v>
      </c>
      <c r="AR30" s="532">
        <f>Model!AR56</f>
        <v>111.2</v>
      </c>
      <c r="AS30" s="532">
        <f>Model!AS56</f>
        <v>114.6</v>
      </c>
      <c r="AT30" s="532">
        <f>Model!AT56</f>
        <v>110.6</v>
      </c>
      <c r="AU30" s="534">
        <f>Model!AU56</f>
        <v>117.6</v>
      </c>
      <c r="AV30" s="532">
        <f>Model!AV56</f>
        <v>117.87200000000001</v>
      </c>
      <c r="AW30" s="532">
        <f>Model!AW56</f>
        <v>120.33</v>
      </c>
      <c r="AX30" s="532">
        <f>Model!AX56</f>
        <v>117.236</v>
      </c>
      <c r="AY30" s="532" t="e">
        <f>Model!#REF!</f>
        <v>#REF!</v>
      </c>
      <c r="AZ30" s="532" t="e">
        <f>Model!#REF!</f>
        <v>#REF!</v>
      </c>
      <c r="BA30" s="532" t="e">
        <f>Model!#REF!</f>
        <v>#REF!</v>
      </c>
      <c r="BB30" s="532" t="e">
        <f>Model!#REF!</f>
        <v>#REF!</v>
      </c>
      <c r="BC30" s="532"/>
      <c r="BD30" s="156"/>
      <c r="BE30" s="156"/>
      <c r="BF30" s="156"/>
      <c r="BG30" s="156"/>
      <c r="BH30" s="156"/>
      <c r="BI30" s="156"/>
      <c r="BJ30" s="156"/>
      <c r="BK30" s="156"/>
      <c r="BL30" s="156"/>
      <c r="BM30" s="156"/>
      <c r="BN30" s="156">
        <f>Model!BJ56</f>
        <v>111.2</v>
      </c>
      <c r="BO30" s="156">
        <f>Model!BK56</f>
        <v>107.8</v>
      </c>
      <c r="BP30" s="156">
        <f>Model!BL56</f>
        <v>156.69999999999999</v>
      </c>
      <c r="BQ30" s="156">
        <f>Model!BM56</f>
        <v>143.19999999999999</v>
      </c>
      <c r="BR30" s="730">
        <f>Model!BN56</f>
        <v>112.3</v>
      </c>
      <c r="BS30" s="156">
        <f>Model!BO56</f>
        <v>118.2595</v>
      </c>
      <c r="BT30" s="156" t="e">
        <f>Model!BP56</f>
        <v>#REF!</v>
      </c>
      <c r="BU30" s="156" t="e">
        <f>Model!BQ56</f>
        <v>#REF!</v>
      </c>
      <c r="BV30" s="156" t="e">
        <f>Model!BR56</f>
        <v>#REF!</v>
      </c>
      <c r="BW30" s="156" t="e">
        <f>Model!BS56</f>
        <v>#REF!</v>
      </c>
      <c r="BX30" s="532"/>
    </row>
    <row r="31" spans="1:76" s="17" customFormat="1" x14ac:dyDescent="0.35">
      <c r="A31" s="178" t="str">
        <f>Model!A57</f>
        <v>Career Learning average enrollment, 000s students</v>
      </c>
      <c r="B31" s="175"/>
      <c r="C31" s="532"/>
      <c r="D31" s="532"/>
      <c r="E31" s="532"/>
      <c r="F31" s="532"/>
      <c r="G31" s="532"/>
      <c r="H31" s="532"/>
      <c r="I31" s="532"/>
      <c r="J31" s="532"/>
      <c r="K31" s="532"/>
      <c r="L31" s="532"/>
      <c r="M31" s="532"/>
      <c r="N31" s="532"/>
      <c r="O31" s="532"/>
      <c r="P31" s="532"/>
      <c r="Q31" s="532"/>
      <c r="R31" s="532"/>
      <c r="S31" s="532"/>
      <c r="T31" s="532"/>
      <c r="U31" s="532"/>
      <c r="V31" s="532"/>
      <c r="W31" s="532"/>
      <c r="X31" s="532"/>
      <c r="Y31" s="532"/>
      <c r="Z31" s="532"/>
      <c r="AA31" s="532">
        <f>Model!AA57</f>
        <v>7.1</v>
      </c>
      <c r="AB31" s="532">
        <f>Model!AB57</f>
        <v>6.8</v>
      </c>
      <c r="AC31" s="532">
        <f>Model!AC57</f>
        <v>6.7</v>
      </c>
      <c r="AD31" s="532">
        <f>Model!AD57</f>
        <v>6.4</v>
      </c>
      <c r="AE31" s="532">
        <f>Model!AE57</f>
        <v>13.6</v>
      </c>
      <c r="AF31" s="532">
        <f>Model!AF57</f>
        <v>13.1</v>
      </c>
      <c r="AG31" s="532">
        <f>Model!AG57</f>
        <v>13.2</v>
      </c>
      <c r="AH31" s="532">
        <f>Model!AH57</f>
        <v>12.7</v>
      </c>
      <c r="AI31" s="532">
        <f>Model!AI57</f>
        <v>30.8</v>
      </c>
      <c r="AJ31" s="532">
        <f>Model!AJ57</f>
        <v>30.3</v>
      </c>
      <c r="AK31" s="532">
        <f>Model!AK57</f>
        <v>29.5</v>
      </c>
      <c r="AL31" s="532">
        <f>Model!AL57</f>
        <v>28.2</v>
      </c>
      <c r="AM31" s="532">
        <f>Model!AM57</f>
        <v>42</v>
      </c>
      <c r="AN31" s="532">
        <f>Model!AN57</f>
        <v>41.9</v>
      </c>
      <c r="AO31" s="532">
        <f>Model!AO57</f>
        <v>42</v>
      </c>
      <c r="AP31" s="532">
        <f>Model!AP57</f>
        <v>41.9</v>
      </c>
      <c r="AQ31" s="532">
        <f>Model!AQ57</f>
        <v>61.6</v>
      </c>
      <c r="AR31" s="532">
        <f>Model!AR57</f>
        <v>66.3</v>
      </c>
      <c r="AS31" s="532">
        <f>Model!AS57</f>
        <v>67.2</v>
      </c>
      <c r="AT31" s="532">
        <f>Model!AT57</f>
        <v>65.5</v>
      </c>
      <c r="AU31" s="534">
        <f>Model!AU57</f>
        <v>70.3</v>
      </c>
      <c r="AV31" s="532">
        <f>Model!AV57</f>
        <v>69.614999999999995</v>
      </c>
      <c r="AW31" s="532">
        <f>Model!AW57</f>
        <v>72.576000000000008</v>
      </c>
      <c r="AX31" s="532">
        <f>Model!AX57</f>
        <v>70.085000000000008</v>
      </c>
      <c r="AY31" s="532" t="e">
        <f>Model!#REF!</f>
        <v>#REF!</v>
      </c>
      <c r="AZ31" s="532" t="e">
        <f>Model!#REF!</f>
        <v>#REF!</v>
      </c>
      <c r="BA31" s="532" t="e">
        <f>Model!#REF!</f>
        <v>#REF!</v>
      </c>
      <c r="BB31" s="532" t="e">
        <f>Model!#REF!</f>
        <v>#REF!</v>
      </c>
      <c r="BC31" s="532"/>
      <c r="BD31" s="156"/>
      <c r="BE31" s="156"/>
      <c r="BF31" s="156"/>
      <c r="BG31" s="156"/>
      <c r="BH31" s="156"/>
      <c r="BI31" s="156"/>
      <c r="BJ31" s="156"/>
      <c r="BK31" s="156"/>
      <c r="BL31" s="156"/>
      <c r="BM31" s="156"/>
      <c r="BN31" s="156">
        <f>Model!BJ57</f>
        <v>6.7</v>
      </c>
      <c r="BO31" s="156">
        <f>Model!BK57</f>
        <v>13.1</v>
      </c>
      <c r="BP31" s="156">
        <f>Model!BL57</f>
        <v>29.6</v>
      </c>
      <c r="BQ31" s="156">
        <f>Model!BM57</f>
        <v>41.9</v>
      </c>
      <c r="BR31" s="730">
        <f>Model!BN57</f>
        <v>65.900000000000006</v>
      </c>
      <c r="BS31" s="156">
        <f>Model!BO57</f>
        <v>70.644000000000005</v>
      </c>
      <c r="BT31" s="156" t="e">
        <f>Model!BP57</f>
        <v>#REF!</v>
      </c>
      <c r="BU31" s="156" t="e">
        <f>Model!BQ57</f>
        <v>#REF!</v>
      </c>
      <c r="BV31" s="156" t="e">
        <f>Model!BR57</f>
        <v>#REF!</v>
      </c>
      <c r="BW31" s="156" t="e">
        <f>Model!BS57</f>
        <v>#REF!</v>
      </c>
      <c r="BX31" s="532"/>
    </row>
    <row r="32" spans="1:76" s="1" customFormat="1" x14ac:dyDescent="0.35">
      <c r="A32" s="179" t="str">
        <f>Model!A58</f>
        <v>Total Average Enrollment, 000s students</v>
      </c>
      <c r="B32" s="177"/>
      <c r="C32" s="572"/>
      <c r="D32" s="572"/>
      <c r="E32" s="572"/>
      <c r="F32" s="572"/>
      <c r="G32" s="572"/>
      <c r="H32" s="572"/>
      <c r="I32" s="572"/>
      <c r="J32" s="572"/>
      <c r="K32" s="572"/>
      <c r="L32" s="572"/>
      <c r="M32" s="572"/>
      <c r="N32" s="572"/>
      <c r="O32" s="572"/>
      <c r="P32" s="572"/>
      <c r="Q32" s="572"/>
      <c r="R32" s="572"/>
      <c r="S32" s="572"/>
      <c r="T32" s="572"/>
      <c r="U32" s="572"/>
      <c r="V32" s="572"/>
      <c r="W32" s="572"/>
      <c r="X32" s="572"/>
      <c r="Y32" s="572"/>
      <c r="Z32" s="572"/>
      <c r="AA32" s="572">
        <f>Model!AA58</f>
        <v>121.1</v>
      </c>
      <c r="AB32" s="572">
        <f>Model!AB58</f>
        <v>118.7</v>
      </c>
      <c r="AC32" s="572">
        <f>Model!AC58</f>
        <v>119.5</v>
      </c>
      <c r="AD32" s="572">
        <f>Model!AD58</f>
        <v>112.80000000000001</v>
      </c>
      <c r="AE32" s="572">
        <f>Model!AE58</f>
        <v>124.39999999999999</v>
      </c>
      <c r="AF32" s="572">
        <f>Model!AF58</f>
        <v>119.89999999999999</v>
      </c>
      <c r="AG32" s="572">
        <f>Model!AG58</f>
        <v>122.10000000000001</v>
      </c>
      <c r="AH32" s="572">
        <f>Model!AH58</f>
        <v>118.9</v>
      </c>
      <c r="AI32" s="572">
        <f>Model!AI58</f>
        <v>195.4</v>
      </c>
      <c r="AJ32" s="572">
        <f>Model!AJ58</f>
        <v>191.5</v>
      </c>
      <c r="AK32" s="572">
        <f>Model!AK58</f>
        <v>185.3</v>
      </c>
      <c r="AL32" s="572">
        <f>Model!AL58</f>
        <v>175.39999999999998</v>
      </c>
      <c r="AM32" s="572">
        <f>Model!AM58</f>
        <v>189.6</v>
      </c>
      <c r="AN32" s="572">
        <f>Model!AN58</f>
        <v>187.5</v>
      </c>
      <c r="AO32" s="572">
        <f>Model!AO58</f>
        <v>185.8</v>
      </c>
      <c r="AP32" s="572">
        <f>Model!AP58</f>
        <v>178.4</v>
      </c>
      <c r="AQ32" s="572">
        <f>Model!AQ58</f>
        <v>173.9</v>
      </c>
      <c r="AR32" s="572">
        <f>Model!AR58</f>
        <v>177.5</v>
      </c>
      <c r="AS32" s="572">
        <f>Model!AS58</f>
        <v>181.8</v>
      </c>
      <c r="AT32" s="572">
        <f>Model!AT58</f>
        <v>176.1</v>
      </c>
      <c r="AU32" s="574">
        <f>Model!AU58</f>
        <v>187.89999999999998</v>
      </c>
      <c r="AV32" s="572">
        <f>Model!AV58</f>
        <v>187.48700000000002</v>
      </c>
      <c r="AW32" s="572">
        <f>Model!AW58</f>
        <v>192.90600000000001</v>
      </c>
      <c r="AX32" s="572">
        <f>Model!AX58</f>
        <v>187.32100000000003</v>
      </c>
      <c r="AY32" s="572" t="e">
        <f>Model!#REF!</f>
        <v>#REF!</v>
      </c>
      <c r="AZ32" s="572" t="e">
        <f>Model!#REF!</f>
        <v>#REF!</v>
      </c>
      <c r="BA32" s="572" t="e">
        <f>Model!#REF!</f>
        <v>#REF!</v>
      </c>
      <c r="BB32" s="572" t="e">
        <f>Model!#REF!</f>
        <v>#REF!</v>
      </c>
      <c r="BC32" s="572"/>
      <c r="BD32" s="734"/>
      <c r="BE32" s="734"/>
      <c r="BF32" s="734"/>
      <c r="BG32" s="734"/>
      <c r="BH32" s="734"/>
      <c r="BI32" s="734"/>
      <c r="BJ32" s="734"/>
      <c r="BK32" s="734"/>
      <c r="BL32" s="734"/>
      <c r="BM32" s="734"/>
      <c r="BN32" s="734">
        <f>Model!BJ58</f>
        <v>117.9</v>
      </c>
      <c r="BO32" s="734">
        <f>Model!BK58</f>
        <v>120.89999999999999</v>
      </c>
      <c r="BP32" s="734">
        <f>Model!BL58</f>
        <v>186.29999999999998</v>
      </c>
      <c r="BQ32" s="734">
        <f>Model!BM58</f>
        <v>185.1</v>
      </c>
      <c r="BR32" s="736">
        <f>Model!BN58</f>
        <v>178.2</v>
      </c>
      <c r="BS32" s="734">
        <f>Model!BO58</f>
        <v>188.90350000000001</v>
      </c>
      <c r="BT32" s="734" t="e">
        <f>Model!BP58</f>
        <v>#REF!</v>
      </c>
      <c r="BU32" s="734" t="e">
        <f>Model!BQ58</f>
        <v>#REF!</v>
      </c>
      <c r="BV32" s="734" t="e">
        <f>Model!BR58</f>
        <v>#REF!</v>
      </c>
      <c r="BW32" s="734" t="e">
        <f>Model!BS58</f>
        <v>#REF!</v>
      </c>
      <c r="BX32" s="529"/>
    </row>
    <row r="33" spans="1:76" s="40" customFormat="1" x14ac:dyDescent="0.35">
      <c r="A33" s="174"/>
      <c r="B33" s="181"/>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79"/>
      <c r="AQ33" s="79"/>
      <c r="AR33" s="79"/>
      <c r="AS33" s="79"/>
      <c r="AT33" s="79"/>
      <c r="AU33" s="515"/>
      <c r="AV33" s="79"/>
      <c r="AW33" s="79"/>
      <c r="AX33" s="79"/>
      <c r="AY33" s="79"/>
      <c r="AZ33" s="79"/>
      <c r="BA33" s="79"/>
      <c r="BB33" s="79"/>
      <c r="BC33" s="79"/>
      <c r="BD33" s="857"/>
      <c r="BE33" s="857"/>
      <c r="BF33" s="857"/>
      <c r="BG33" s="857"/>
      <c r="BH33" s="857"/>
      <c r="BI33" s="857"/>
      <c r="BJ33" s="857"/>
      <c r="BK33" s="857"/>
      <c r="BL33" s="857"/>
      <c r="BM33" s="857"/>
      <c r="BN33" s="857"/>
      <c r="BO33" s="857"/>
      <c r="BP33" s="857"/>
      <c r="BQ33" s="857"/>
      <c r="BR33" s="858"/>
      <c r="BS33" s="857"/>
      <c r="BT33" s="857"/>
      <c r="BU33" s="857"/>
      <c r="BV33" s="857"/>
      <c r="BW33" s="857"/>
      <c r="BX33" s="79"/>
    </row>
    <row r="34" spans="1:76" s="425" customFormat="1" x14ac:dyDescent="0.35">
      <c r="A34" s="426" t="str">
        <f>Model!A34</f>
        <v>General Education revenue per enrollment (calculated), $/enrollment</v>
      </c>
      <c r="B34" s="424"/>
      <c r="C34" s="359"/>
      <c r="D34" s="359"/>
      <c r="E34" s="359"/>
      <c r="F34" s="359"/>
      <c r="G34" s="359"/>
      <c r="H34" s="359"/>
      <c r="I34" s="359"/>
      <c r="J34" s="359"/>
      <c r="K34" s="359"/>
      <c r="L34" s="359"/>
      <c r="M34" s="359"/>
      <c r="N34" s="359"/>
      <c r="O34" s="359"/>
      <c r="P34" s="359"/>
      <c r="Q34" s="359"/>
      <c r="R34" s="359"/>
      <c r="S34" s="359"/>
      <c r="T34" s="359"/>
      <c r="U34" s="359"/>
      <c r="V34" s="359"/>
      <c r="W34" s="359"/>
      <c r="X34" s="359"/>
      <c r="Y34" s="359"/>
      <c r="Z34" s="359"/>
      <c r="AA34" s="359">
        <f>Model!AA34</f>
        <v>2092.2368421052629</v>
      </c>
      <c r="AB34" s="359">
        <f>Model!AB34</f>
        <v>2167.7837354781054</v>
      </c>
      <c r="AC34" s="359">
        <f>Model!AC34</f>
        <v>2138.617021276596</v>
      </c>
      <c r="AD34" s="359">
        <f>Model!AD34</f>
        <v>2289.5206766917295</v>
      </c>
      <c r="AE34" s="359">
        <f>Model!AE34</f>
        <v>2107.9963898916967</v>
      </c>
      <c r="AF34" s="359">
        <f>Model!AF34</f>
        <v>2178.0805243445693</v>
      </c>
      <c r="AG34" s="359">
        <f>Model!AG34</f>
        <v>2140.9274563820018</v>
      </c>
      <c r="AH34" s="359">
        <f>Model!AH34</f>
        <v>2207.871939736347</v>
      </c>
      <c r="AI34" s="359">
        <f>Model!AI34</f>
        <v>1906.7314702308624</v>
      </c>
      <c r="AJ34" s="359">
        <f>Model!AJ34</f>
        <v>1947.8225806451617</v>
      </c>
      <c r="AK34" s="359">
        <f>Model!AK34</f>
        <v>2068.7034659820279</v>
      </c>
      <c r="AL34" s="359">
        <f>Model!AL34</f>
        <v>2242.241847826087</v>
      </c>
      <c r="AM34" s="359">
        <f>Model!AM34</f>
        <v>2075.481029810298</v>
      </c>
      <c r="AN34" s="359">
        <f>Model!AN34</f>
        <v>2151.3804945054944</v>
      </c>
      <c r="AO34" s="359">
        <f>Model!AO34</f>
        <v>2196.5090403337972</v>
      </c>
      <c r="AP34" s="359">
        <f>Model!AP34</f>
        <v>2478.7032967032969</v>
      </c>
      <c r="AQ34" s="359">
        <f>Model!AQ34</f>
        <v>2419.0382902938559</v>
      </c>
      <c r="AR34" s="359">
        <f>Model!AR34</f>
        <v>2470.8992805755393</v>
      </c>
      <c r="AS34" s="359">
        <f>Model!AS34</f>
        <v>2526.7539267015704</v>
      </c>
      <c r="AT34" s="359">
        <f>Model!AT34</f>
        <v>2670.9041591320074</v>
      </c>
      <c r="AU34" s="492">
        <f>Model!AU34</f>
        <v>2545.3911564625855</v>
      </c>
      <c r="AV34" s="359">
        <f>Model!AV34</f>
        <v>2545.0262589928057</v>
      </c>
      <c r="AW34" s="359">
        <f>Model!AW34</f>
        <v>2552.0214659685862</v>
      </c>
      <c r="AX34" s="359">
        <f>Model!AX34</f>
        <v>2670.9041591320074</v>
      </c>
      <c r="AY34" s="359" t="e">
        <f>Model!#REF!</f>
        <v>#REF!</v>
      </c>
      <c r="AZ34" s="359" t="e">
        <f>Model!#REF!</f>
        <v>#REF!</v>
      </c>
      <c r="BA34" s="359" t="e">
        <f>Model!#REF!</f>
        <v>#REF!</v>
      </c>
      <c r="BB34" s="359" t="e">
        <f>Model!#REF!</f>
        <v>#REF!</v>
      </c>
      <c r="BC34" s="359"/>
      <c r="BD34" s="420"/>
      <c r="BE34" s="420"/>
      <c r="BF34" s="420"/>
      <c r="BG34" s="420"/>
      <c r="BH34" s="420"/>
      <c r="BI34" s="420"/>
      <c r="BJ34" s="420"/>
      <c r="BK34" s="420"/>
      <c r="BL34" s="420"/>
      <c r="BM34" s="420"/>
      <c r="BN34" s="420">
        <f>Model!BJ34</f>
        <v>8686.4298561151063</v>
      </c>
      <c r="BO34" s="420">
        <f>Model!BK34</f>
        <v>8662.411873840445</v>
      </c>
      <c r="BP34" s="420">
        <f>Model!BL34</f>
        <v>8169.7447351627325</v>
      </c>
      <c r="BQ34" s="420">
        <f>Model!BM34</f>
        <v>8895.132681564246</v>
      </c>
      <c r="BR34" s="738">
        <f>Model!BN34</f>
        <v>10074.719501335709</v>
      </c>
      <c r="BS34" s="420">
        <f>Model!BO34</f>
        <v>10312.374043522932</v>
      </c>
      <c r="BT34" s="420" t="e">
        <f>Model!BP34</f>
        <v>#REF!</v>
      </c>
      <c r="BU34" s="420" t="e">
        <f>Model!BQ34</f>
        <v>#REF!</v>
      </c>
      <c r="BV34" s="420" t="e">
        <f>Model!BR34</f>
        <v>#REF!</v>
      </c>
      <c r="BW34" s="420" t="e">
        <f>Model!BS34</f>
        <v>#REF!</v>
      </c>
      <c r="BX34" s="359"/>
    </row>
    <row r="35" spans="1:76" s="425" customFormat="1" x14ac:dyDescent="0.35">
      <c r="A35" s="426" t="str">
        <f>Model!A36</f>
        <v>Career Learning revenue per enrollment (calculated), $/enrollment</v>
      </c>
      <c r="B35" s="424"/>
      <c r="C35" s="359"/>
      <c r="D35" s="359"/>
      <c r="E35" s="359"/>
      <c r="F35" s="359"/>
      <c r="G35" s="359"/>
      <c r="H35" s="359"/>
      <c r="I35" s="359"/>
      <c r="J35" s="359"/>
      <c r="K35" s="359"/>
      <c r="L35" s="359"/>
      <c r="M35" s="359"/>
      <c r="N35" s="359"/>
      <c r="O35" s="359"/>
      <c r="P35" s="359"/>
      <c r="Q35" s="359"/>
      <c r="R35" s="359"/>
      <c r="S35" s="359"/>
      <c r="T35" s="359"/>
      <c r="U35" s="359"/>
      <c r="V35" s="359"/>
      <c r="W35" s="359"/>
      <c r="X35" s="359"/>
      <c r="Y35" s="359"/>
      <c r="Z35" s="359"/>
      <c r="AA35" s="359">
        <f>Model!AA36</f>
        <v>1802.6760563380283</v>
      </c>
      <c r="AB35" s="359">
        <f>Model!AB36</f>
        <v>1808.3823529411766</v>
      </c>
      <c r="AC35" s="359">
        <f>Model!AC36</f>
        <v>1793.4328358208954</v>
      </c>
      <c r="AD35" s="359">
        <f>Model!AD36</f>
        <v>1985.7812499999998</v>
      </c>
      <c r="AE35" s="359">
        <f>Model!AE36</f>
        <v>1731.9852941176471</v>
      </c>
      <c r="AF35" s="359">
        <f>Model!AF36</f>
        <v>1903.8167938931299</v>
      </c>
      <c r="AG35" s="359">
        <f>Model!AG36</f>
        <v>1577.2727272727275</v>
      </c>
      <c r="AH35" s="359">
        <f>Model!AH36</f>
        <v>2101.4960629921261</v>
      </c>
      <c r="AI35" s="359">
        <f>Model!AI36</f>
        <v>1583.4740259740258</v>
      </c>
      <c r="AJ35" s="359">
        <f>Model!AJ36</f>
        <v>1695.5775577557754</v>
      </c>
      <c r="AK35" s="359">
        <f>Model!AK36</f>
        <v>1775.6610169491526</v>
      </c>
      <c r="AL35" s="359">
        <f>Model!AL36</f>
        <v>1710.8156028368792</v>
      </c>
      <c r="AM35" s="359">
        <f>Model!AM36</f>
        <v>1700.2619047619048</v>
      </c>
      <c r="AN35" s="359">
        <f>Model!AN36</f>
        <v>1796.8257756563248</v>
      </c>
      <c r="AO35" s="359">
        <f>Model!AO36</f>
        <v>1981.8571428571427</v>
      </c>
      <c r="AP35" s="359">
        <f>Model!AP36</f>
        <v>2183.2696897374703</v>
      </c>
      <c r="AQ35" s="359">
        <f>Model!AQ36</f>
        <v>2037.9058441558441</v>
      </c>
      <c r="AR35" s="359">
        <f>Model!AR36</f>
        <v>2319.6832579185516</v>
      </c>
      <c r="AS35" s="359">
        <f>Model!AS36</f>
        <v>2243.6309523809523</v>
      </c>
      <c r="AT35" s="359">
        <f>Model!AT36</f>
        <v>2391.8778625954201</v>
      </c>
      <c r="AU35" s="492">
        <f>Model!AU36</f>
        <v>2147.5675675675675</v>
      </c>
      <c r="AV35" s="359">
        <f>Model!AV36</f>
        <v>2412.4705882352937</v>
      </c>
      <c r="AW35" s="359">
        <f>Model!AW36</f>
        <v>2266.0672619047618</v>
      </c>
      <c r="AX35" s="359">
        <f>Model!AX36</f>
        <v>2415.7966412213741</v>
      </c>
      <c r="AY35" s="359" t="e">
        <f>Model!#REF!</f>
        <v>#REF!</v>
      </c>
      <c r="AZ35" s="359" t="e">
        <f>Model!#REF!</f>
        <v>#REF!</v>
      </c>
      <c r="BA35" s="359" t="e">
        <f>Model!#REF!</f>
        <v>#REF!</v>
      </c>
      <c r="BB35" s="359" t="e">
        <f>Model!#REF!</f>
        <v>#REF!</v>
      </c>
      <c r="BC35" s="359"/>
      <c r="BD35" s="420"/>
      <c r="BE35" s="420"/>
      <c r="BF35" s="420"/>
      <c r="BG35" s="420"/>
      <c r="BH35" s="420"/>
      <c r="BI35" s="420"/>
      <c r="BJ35" s="420"/>
      <c r="BK35" s="420"/>
      <c r="BL35" s="420"/>
      <c r="BM35" s="420"/>
      <c r="BN35" s="420">
        <f>Model!BJ36</f>
        <v>7435.9701492537306</v>
      </c>
      <c r="BO35" s="420">
        <f>Model!BK36</f>
        <v>7328.5496183206105</v>
      </c>
      <c r="BP35" s="420">
        <f>Model!BL36</f>
        <v>6782.905405405405</v>
      </c>
      <c r="BQ35" s="420">
        <f>Model!BM36</f>
        <v>7671.0262529832935</v>
      </c>
      <c r="BR35" s="738">
        <f>Model!BN36</f>
        <v>8903.9453717754168</v>
      </c>
      <c r="BS35" s="420">
        <f>Model!BO36</f>
        <v>9239.1617858558402</v>
      </c>
      <c r="BT35" s="420" t="e">
        <f>Model!BP36</f>
        <v>#REF!</v>
      </c>
      <c r="BU35" s="420" t="e">
        <f>Model!BQ36</f>
        <v>#REF!</v>
      </c>
      <c r="BV35" s="420" t="e">
        <f>Model!BR36</f>
        <v>#REF!</v>
      </c>
      <c r="BW35" s="420" t="e">
        <f>Model!BS36</f>
        <v>#REF!</v>
      </c>
      <c r="BX35" s="359"/>
    </row>
    <row r="36" spans="1:76" s="458" customFormat="1" x14ac:dyDescent="0.35">
      <c r="A36" s="166"/>
      <c r="B36" s="183"/>
      <c r="C36" s="543"/>
      <c r="D36" s="543"/>
      <c r="E36" s="543"/>
      <c r="F36" s="543"/>
      <c r="G36" s="543"/>
      <c r="H36" s="543"/>
      <c r="I36" s="543"/>
      <c r="J36" s="543"/>
      <c r="K36" s="543"/>
      <c r="L36" s="543"/>
      <c r="M36" s="543"/>
      <c r="N36" s="543"/>
      <c r="O36" s="543"/>
      <c r="P36" s="543"/>
      <c r="Q36" s="543"/>
      <c r="R36" s="543"/>
      <c r="S36" s="543"/>
      <c r="T36" s="543"/>
      <c r="U36" s="543"/>
      <c r="V36" s="543"/>
      <c r="W36" s="543"/>
      <c r="X36" s="543"/>
      <c r="Y36" s="543"/>
      <c r="Z36" s="543"/>
      <c r="AA36" s="543"/>
      <c r="AB36" s="543"/>
      <c r="AC36" s="543"/>
      <c r="AD36" s="543"/>
      <c r="AE36" s="543"/>
      <c r="AF36" s="543"/>
      <c r="AG36" s="543"/>
      <c r="AH36" s="543"/>
      <c r="AI36" s="543"/>
      <c r="AJ36" s="543"/>
      <c r="AK36" s="543"/>
      <c r="AL36" s="543"/>
      <c r="AM36" s="543"/>
      <c r="AN36" s="543"/>
      <c r="AO36" s="543"/>
      <c r="AP36" s="543"/>
      <c r="AQ36" s="543"/>
      <c r="AR36" s="543"/>
      <c r="AS36" s="543"/>
      <c r="AT36" s="543"/>
      <c r="AU36" s="614"/>
      <c r="AV36" s="543"/>
      <c r="AW36" s="543"/>
      <c r="AX36" s="543"/>
      <c r="AY36" s="543"/>
      <c r="AZ36" s="543"/>
      <c r="BA36" s="543"/>
      <c r="BB36" s="543"/>
      <c r="BC36" s="543"/>
      <c r="BD36" s="851"/>
      <c r="BE36" s="851"/>
      <c r="BF36" s="851"/>
      <c r="BG36" s="851"/>
      <c r="BH36" s="851"/>
      <c r="BI36" s="851"/>
      <c r="BJ36" s="851"/>
      <c r="BK36" s="851"/>
      <c r="BL36" s="851"/>
      <c r="BM36" s="851"/>
      <c r="BN36" s="851"/>
      <c r="BO36" s="851"/>
      <c r="BP36" s="851"/>
      <c r="BQ36" s="851"/>
      <c r="BR36" s="852"/>
      <c r="BS36" s="851"/>
      <c r="BT36" s="851"/>
      <c r="BU36" s="851"/>
      <c r="BV36" s="851"/>
      <c r="BW36" s="851"/>
      <c r="BX36" s="543"/>
    </row>
    <row r="37" spans="1:76" x14ac:dyDescent="0.35">
      <c r="A37" s="117" t="s">
        <v>306</v>
      </c>
      <c r="B37" s="545"/>
      <c r="C37" s="545"/>
      <c r="D37" s="545"/>
      <c r="E37" s="545"/>
      <c r="F37" s="545"/>
      <c r="G37" s="545"/>
      <c r="H37" s="545"/>
      <c r="I37" s="545"/>
      <c r="J37" s="545"/>
      <c r="K37" s="545"/>
      <c r="L37" s="545"/>
      <c r="M37" s="545"/>
      <c r="N37" s="545"/>
      <c r="O37" s="545"/>
      <c r="P37" s="545"/>
      <c r="Q37" s="545"/>
      <c r="R37" s="545"/>
      <c r="S37" s="545"/>
      <c r="T37" s="545"/>
      <c r="U37" s="545"/>
      <c r="V37" s="545"/>
      <c r="W37" s="545"/>
      <c r="X37" s="545"/>
      <c r="Y37" s="545"/>
      <c r="Z37" s="545"/>
      <c r="AA37" s="545"/>
      <c r="AB37" s="545"/>
      <c r="AC37" s="545"/>
      <c r="AD37" s="545"/>
      <c r="AE37" s="545"/>
      <c r="AF37" s="545"/>
      <c r="AG37" s="545"/>
      <c r="AH37" s="545"/>
      <c r="AI37" s="545"/>
      <c r="AJ37" s="545"/>
      <c r="AK37" s="545"/>
      <c r="AL37" s="545"/>
      <c r="AM37" s="545"/>
      <c r="AN37" s="545"/>
      <c r="AO37" s="545"/>
      <c r="AP37" s="545"/>
      <c r="AQ37" s="545"/>
      <c r="AR37" s="545"/>
      <c r="AS37" s="545"/>
      <c r="AT37" s="545"/>
      <c r="AU37" s="618"/>
      <c r="AV37" s="545"/>
      <c r="AW37" s="545"/>
      <c r="AX37" s="545"/>
      <c r="AY37" s="545"/>
      <c r="AZ37" s="545"/>
      <c r="BA37" s="545"/>
      <c r="BB37" s="545"/>
      <c r="BC37" s="545"/>
      <c r="BD37" s="545"/>
      <c r="BE37" s="545"/>
      <c r="BF37" s="545"/>
      <c r="BG37" s="545"/>
      <c r="BH37" s="545"/>
      <c r="BI37" s="545"/>
      <c r="BJ37" s="545"/>
      <c r="BK37" s="545"/>
      <c r="BL37" s="545"/>
      <c r="BM37" s="545"/>
      <c r="BN37" s="545"/>
      <c r="BO37" s="545"/>
      <c r="BP37" s="545"/>
      <c r="BQ37" s="545"/>
      <c r="BR37" s="618"/>
      <c r="BS37" s="545"/>
      <c r="BT37" s="545"/>
      <c r="BU37" s="545"/>
      <c r="BV37" s="545"/>
      <c r="BW37" s="545"/>
      <c r="BX37" s="544"/>
    </row>
    <row r="38" spans="1:76" s="66" customFormat="1" x14ac:dyDescent="0.35">
      <c r="A38" s="165" t="str">
        <f>INDEX(MO_RIS_REV,0,COLUMN())</f>
        <v>Net Revenue</v>
      </c>
      <c r="B38" s="170"/>
      <c r="C38" s="544">
        <f t="shared" ref="C38:AH38" si="30">INDEX(MO_RIS_REV,0,COLUMN())</f>
        <v>221.096</v>
      </c>
      <c r="D38" s="544">
        <f t="shared" si="30"/>
        <v>206.02799999999999</v>
      </c>
      <c r="E38" s="544">
        <f t="shared" si="30"/>
        <v>218.00899999999999</v>
      </c>
      <c r="F38" s="544">
        <f t="shared" si="30"/>
        <v>203.08699999999999</v>
      </c>
      <c r="G38" s="544">
        <f t="shared" si="30"/>
        <v>228.36600000000001</v>
      </c>
      <c r="H38" s="544">
        <f t="shared" si="30"/>
        <v>223.91900000000001</v>
      </c>
      <c r="I38" s="544">
        <f t="shared" si="30"/>
        <v>235.22200000000001</v>
      </c>
      <c r="J38" s="544">
        <f t="shared" si="30"/>
        <v>232.04600000000002</v>
      </c>
      <c r="K38" s="544">
        <f t="shared" si="30"/>
        <v>236.71199999999999</v>
      </c>
      <c r="L38" s="544">
        <f t="shared" si="30"/>
        <v>231.304</v>
      </c>
      <c r="M38" s="544">
        <f t="shared" si="30"/>
        <v>244.62299999999999</v>
      </c>
      <c r="N38" s="544">
        <f t="shared" si="30"/>
        <v>235.65500000000009</v>
      </c>
      <c r="O38" s="544">
        <f t="shared" si="30"/>
        <v>221.23</v>
      </c>
      <c r="P38" s="544">
        <f t="shared" si="30"/>
        <v>208.81100000000001</v>
      </c>
      <c r="Q38" s="544">
        <f t="shared" si="30"/>
        <v>221.34</v>
      </c>
      <c r="R38" s="544">
        <f t="shared" si="30"/>
        <v>221.31899999999999</v>
      </c>
      <c r="S38" s="544">
        <f t="shared" si="30"/>
        <v>229.13800000000001</v>
      </c>
      <c r="T38" s="544">
        <f t="shared" si="30"/>
        <v>221.09</v>
      </c>
      <c r="U38" s="544">
        <f t="shared" si="30"/>
        <v>222.53299999999999</v>
      </c>
      <c r="V38" s="544">
        <f t="shared" si="30"/>
        <v>215.75799999999995</v>
      </c>
      <c r="W38" s="544">
        <f t="shared" si="30"/>
        <v>228.785</v>
      </c>
      <c r="X38" s="544">
        <f t="shared" si="30"/>
        <v>217.21100000000001</v>
      </c>
      <c r="Y38" s="544">
        <f t="shared" si="30"/>
        <v>232.864</v>
      </c>
      <c r="Z38" s="544">
        <f t="shared" si="30"/>
        <v>238.874</v>
      </c>
      <c r="AA38" s="544">
        <f t="shared" si="30"/>
        <v>251.31399999999999</v>
      </c>
      <c r="AB38" s="544">
        <f t="shared" si="30"/>
        <v>254.87200000000001</v>
      </c>
      <c r="AC38" s="544">
        <f t="shared" si="30"/>
        <v>253.25200000000001</v>
      </c>
      <c r="AD38" s="544">
        <f t="shared" si="30"/>
        <v>256.31399999999996</v>
      </c>
      <c r="AE38" s="544">
        <f t="shared" si="30"/>
        <v>257.12099999999998</v>
      </c>
      <c r="AF38" s="544">
        <f t="shared" si="30"/>
        <v>257.55900000000003</v>
      </c>
      <c r="AG38" s="544">
        <f t="shared" si="30"/>
        <v>257.154</v>
      </c>
      <c r="AH38" s="544">
        <f t="shared" si="30"/>
        <v>268.93100000000015</v>
      </c>
      <c r="AI38" s="544">
        <f t="shared" ref="AI38:BB38" si="31">INDEX(MO_RIS_REV,0,COLUMN())</f>
        <v>370.96</v>
      </c>
      <c r="AJ38" s="544">
        <f t="shared" si="31"/>
        <v>376.14499999999998</v>
      </c>
      <c r="AK38" s="544">
        <f t="shared" si="31"/>
        <v>392.14499999999998</v>
      </c>
      <c r="AL38" s="544">
        <f t="shared" si="31"/>
        <v>397.51000000000005</v>
      </c>
      <c r="AM38" s="544">
        <f t="shared" si="31"/>
        <v>400.226</v>
      </c>
      <c r="AN38" s="544">
        <f t="shared" si="31"/>
        <v>409.50700000000001</v>
      </c>
      <c r="AO38" s="544">
        <f t="shared" si="31"/>
        <v>421.72199999999998</v>
      </c>
      <c r="AP38" s="544">
        <f t="shared" si="31"/>
        <v>455.2109999999999</v>
      </c>
      <c r="AQ38" s="544">
        <f t="shared" si="31"/>
        <v>425.15</v>
      </c>
      <c r="AR38" s="544">
        <f t="shared" si="31"/>
        <v>458.435</v>
      </c>
      <c r="AS38" s="544">
        <f t="shared" si="31"/>
        <v>470.28399999999999</v>
      </c>
      <c r="AT38" s="544">
        <f t="shared" si="31"/>
        <v>483.48900000000015</v>
      </c>
      <c r="AU38" s="617">
        <f t="shared" si="31"/>
        <v>480.18099999999998</v>
      </c>
      <c r="AV38" s="544">
        <f t="shared" si="31"/>
        <v>499.30127519999996</v>
      </c>
      <c r="AW38" s="544">
        <f t="shared" si="31"/>
        <v>502.99014059999996</v>
      </c>
      <c r="AX38" s="544">
        <f t="shared" si="31"/>
        <v>515.42717760000005</v>
      </c>
      <c r="AY38" s="544">
        <f t="shared" si="31"/>
        <v>0</v>
      </c>
      <c r="AZ38" s="544">
        <f t="shared" si="31"/>
        <v>315.57299999999998</v>
      </c>
      <c r="BA38" s="544">
        <f t="shared" si="31"/>
        <v>384.47</v>
      </c>
      <c r="BB38" s="544">
        <f t="shared" si="31"/>
        <v>522.43399999999997</v>
      </c>
      <c r="BC38" s="544"/>
      <c r="BD38" s="853">
        <f t="shared" ref="BD38:BW38" si="32">INDEX(MO_RIS_REV,0,COLUMN())</f>
        <v>848.22</v>
      </c>
      <c r="BE38" s="853">
        <f t="shared" si="32"/>
        <v>919.553</v>
      </c>
      <c r="BF38" s="853">
        <f t="shared" si="32"/>
        <v>948.29399999999998</v>
      </c>
      <c r="BG38" s="853">
        <f t="shared" si="32"/>
        <v>872.7</v>
      </c>
      <c r="BH38" s="853">
        <f t="shared" si="32"/>
        <v>888.51900000000001</v>
      </c>
      <c r="BI38" s="853">
        <f t="shared" si="32"/>
        <v>917.73400000000004</v>
      </c>
      <c r="BJ38" s="853">
        <f t="shared" si="32"/>
        <v>1015.752</v>
      </c>
      <c r="BK38" s="853">
        <f t="shared" si="32"/>
        <v>1040.7650000000001</v>
      </c>
      <c r="BL38" s="853">
        <f t="shared" si="32"/>
        <v>1536.76</v>
      </c>
      <c r="BM38" s="853">
        <f t="shared" si="32"/>
        <v>1686.6659999999999</v>
      </c>
      <c r="BN38" s="853">
        <f t="shared" si="32"/>
        <v>1837.3579999999999</v>
      </c>
      <c r="BO38" s="853">
        <f t="shared" si="32"/>
        <v>1997.8995934</v>
      </c>
      <c r="BP38" s="853" t="e">
        <f t="shared" si="32"/>
        <v>#REF!</v>
      </c>
      <c r="BQ38" s="853" t="e">
        <f t="shared" si="32"/>
        <v>#REF!</v>
      </c>
      <c r="BR38" s="854" t="e">
        <f t="shared" si="32"/>
        <v>#REF!</v>
      </c>
      <c r="BS38" s="853" t="e">
        <f t="shared" si="32"/>
        <v>#REF!</v>
      </c>
      <c r="BT38" s="853">
        <f t="shared" si="32"/>
        <v>0</v>
      </c>
      <c r="BU38" s="853">
        <f t="shared" si="32"/>
        <v>0</v>
      </c>
      <c r="BV38" s="853">
        <f t="shared" si="32"/>
        <v>0</v>
      </c>
      <c r="BW38" s="853">
        <f t="shared" si="32"/>
        <v>0</v>
      </c>
      <c r="BX38" s="544"/>
    </row>
    <row r="39" spans="1:76" s="458" customFormat="1" x14ac:dyDescent="0.35">
      <c r="A39" s="166" t="str">
        <f>INDEX(MO_RIS_COGS,0,COLUMN())</f>
        <v>COGS</v>
      </c>
      <c r="B39" s="167"/>
      <c r="C39" s="543">
        <f t="shared" ref="C39:AH39" si="33">INDEX(MO_RIS_COGS,0,COLUMN())</f>
        <v>118.648</v>
      </c>
      <c r="D39" s="543">
        <f t="shared" si="33"/>
        <v>122.79900000000001</v>
      </c>
      <c r="E39" s="543">
        <f t="shared" si="33"/>
        <v>127.759</v>
      </c>
      <c r="F39" s="543">
        <f t="shared" si="33"/>
        <v>129.19200000000001</v>
      </c>
      <c r="G39" s="543">
        <f t="shared" si="33"/>
        <v>132.90199999999999</v>
      </c>
      <c r="H39" s="543">
        <f t="shared" si="33"/>
        <v>153.672</v>
      </c>
      <c r="I39" s="543">
        <f t="shared" si="33"/>
        <v>140.59200000000001</v>
      </c>
      <c r="J39" s="543">
        <f t="shared" si="33"/>
        <v>142.05300000000005</v>
      </c>
      <c r="K39" s="543">
        <f t="shared" si="33"/>
        <v>146.84200000000001</v>
      </c>
      <c r="L39" s="543">
        <f t="shared" si="33"/>
        <v>145.029</v>
      </c>
      <c r="M39" s="543">
        <f t="shared" si="33"/>
        <v>148.98500000000001</v>
      </c>
      <c r="N39" s="543">
        <f t="shared" si="33"/>
        <v>166.89999999999995</v>
      </c>
      <c r="O39" s="543">
        <f t="shared" si="33"/>
        <v>139.00299999999999</v>
      </c>
      <c r="P39" s="543">
        <f t="shared" si="33"/>
        <v>129.61600000000001</v>
      </c>
      <c r="Q39" s="543">
        <f t="shared" si="33"/>
        <v>134.755</v>
      </c>
      <c r="R39" s="543">
        <f t="shared" si="33"/>
        <v>143.13600000000002</v>
      </c>
      <c r="S39" s="543">
        <f t="shared" si="33"/>
        <v>144.09899999999999</v>
      </c>
      <c r="T39" s="543">
        <f t="shared" si="33"/>
        <v>137.542</v>
      </c>
      <c r="U39" s="543">
        <f t="shared" si="33"/>
        <v>136.43100000000001</v>
      </c>
      <c r="V39" s="543">
        <f t="shared" si="33"/>
        <v>139.24399999999997</v>
      </c>
      <c r="W39" s="543">
        <f t="shared" si="33"/>
        <v>147.36699999999999</v>
      </c>
      <c r="X39" s="543">
        <f t="shared" si="33"/>
        <v>139.16300000000001</v>
      </c>
      <c r="Y39" s="543">
        <f t="shared" si="33"/>
        <v>148.87799999999999</v>
      </c>
      <c r="Z39" s="543">
        <f t="shared" si="33"/>
        <v>157.08700000000002</v>
      </c>
      <c r="AA39" s="543">
        <f t="shared" si="33"/>
        <v>158.98500000000001</v>
      </c>
      <c r="AB39" s="543">
        <f t="shared" si="33"/>
        <v>160.32900000000001</v>
      </c>
      <c r="AC39" s="543">
        <f t="shared" si="33"/>
        <v>168.26</v>
      </c>
      <c r="AD39" s="543">
        <f t="shared" si="33"/>
        <v>175.863</v>
      </c>
      <c r="AE39" s="543">
        <f t="shared" si="33"/>
        <v>169.358</v>
      </c>
      <c r="AF39" s="543">
        <f t="shared" si="33"/>
        <v>167.47</v>
      </c>
      <c r="AG39" s="543">
        <f t="shared" si="33"/>
        <v>178.96799999999999</v>
      </c>
      <c r="AH39" s="543">
        <f t="shared" si="33"/>
        <v>177.43599999999998</v>
      </c>
      <c r="AI39" s="543">
        <f t="shared" ref="AI39:BB39" si="34">INDEX(MO_RIS_COGS,0,COLUMN())</f>
        <v>241.06899999999999</v>
      </c>
      <c r="AJ39" s="543">
        <f t="shared" si="34"/>
        <v>246.75400000000002</v>
      </c>
      <c r="AK39" s="543">
        <f t="shared" si="34"/>
        <v>253.12799999999999</v>
      </c>
      <c r="AL39" s="543">
        <f t="shared" si="34"/>
        <v>260.90899999999999</v>
      </c>
      <c r="AM39" s="543">
        <f t="shared" si="34"/>
        <v>273.82400000000001</v>
      </c>
      <c r="AN39" s="543">
        <f t="shared" si="34"/>
        <v>261.95</v>
      </c>
      <c r="AO39" s="543">
        <f t="shared" si="34"/>
        <v>266.88299999999998</v>
      </c>
      <c r="AP39" s="543">
        <f t="shared" si="34"/>
        <v>287.53399999999993</v>
      </c>
      <c r="AQ39" s="543">
        <f t="shared" si="34"/>
        <v>295.50099999999998</v>
      </c>
      <c r="AR39" s="543">
        <f t="shared" si="34"/>
        <v>288.34699999999998</v>
      </c>
      <c r="AS39" s="543">
        <f t="shared" si="34"/>
        <v>295.03199999999998</v>
      </c>
      <c r="AT39" s="543">
        <f t="shared" si="34"/>
        <v>311.40800000000013</v>
      </c>
      <c r="AU39" s="614">
        <f t="shared" si="34"/>
        <v>307.29300000000001</v>
      </c>
      <c r="AV39" s="543">
        <f t="shared" si="34"/>
        <v>314.55980337599999</v>
      </c>
      <c r="AW39" s="543">
        <f t="shared" si="34"/>
        <v>316.88378857800001</v>
      </c>
      <c r="AX39" s="543">
        <f t="shared" si="34"/>
        <v>324.71912188800002</v>
      </c>
      <c r="AY39" s="543">
        <f t="shared" si="34"/>
        <v>0</v>
      </c>
      <c r="AZ39" s="543">
        <f t="shared" si="34"/>
        <v>196.976</v>
      </c>
      <c r="BA39" s="543">
        <f t="shared" si="34"/>
        <v>222.029</v>
      </c>
      <c r="BB39" s="543">
        <f t="shared" si="34"/>
        <v>307.11099999999999</v>
      </c>
      <c r="BC39" s="543"/>
      <c r="BD39" s="851">
        <f t="shared" ref="BD39:BW39" si="35">INDEX(MO_RIS_COGS,0,COLUMN())</f>
        <v>498.39800000000002</v>
      </c>
      <c r="BE39" s="851">
        <f t="shared" si="35"/>
        <v>569.21900000000005</v>
      </c>
      <c r="BF39" s="851">
        <f t="shared" si="35"/>
        <v>607.75599999999997</v>
      </c>
      <c r="BG39" s="851">
        <f t="shared" si="35"/>
        <v>546.51</v>
      </c>
      <c r="BH39" s="851">
        <f t="shared" si="35"/>
        <v>557.31600000000003</v>
      </c>
      <c r="BI39" s="851">
        <f t="shared" si="35"/>
        <v>592.495</v>
      </c>
      <c r="BJ39" s="851">
        <f t="shared" si="35"/>
        <v>663.43700000000001</v>
      </c>
      <c r="BK39" s="851">
        <f t="shared" si="35"/>
        <v>693.23199999999997</v>
      </c>
      <c r="BL39" s="851">
        <f t="shared" si="35"/>
        <v>1001.86</v>
      </c>
      <c r="BM39" s="851">
        <f t="shared" si="35"/>
        <v>1090.191</v>
      </c>
      <c r="BN39" s="851">
        <f t="shared" si="35"/>
        <v>1190.288</v>
      </c>
      <c r="BO39" s="851">
        <f t="shared" si="35"/>
        <v>1263.455713842</v>
      </c>
      <c r="BP39" s="851" t="e">
        <f t="shared" si="35"/>
        <v>#REF!</v>
      </c>
      <c r="BQ39" s="851" t="e">
        <f t="shared" si="35"/>
        <v>#REF!</v>
      </c>
      <c r="BR39" s="852" t="e">
        <f t="shared" si="35"/>
        <v>#REF!</v>
      </c>
      <c r="BS39" s="851" t="e">
        <f t="shared" si="35"/>
        <v>#REF!</v>
      </c>
      <c r="BT39" s="851">
        <f t="shared" si="35"/>
        <v>0</v>
      </c>
      <c r="BU39" s="851">
        <f t="shared" si="35"/>
        <v>0</v>
      </c>
      <c r="BV39" s="851">
        <f t="shared" si="35"/>
        <v>0</v>
      </c>
      <c r="BW39" s="851">
        <f t="shared" si="35"/>
        <v>0</v>
      </c>
      <c r="BX39" s="543"/>
    </row>
    <row r="40" spans="1:76" s="458" customFormat="1" x14ac:dyDescent="0.35">
      <c r="A40" s="166" t="str">
        <f>INDEX(MO_RIS_SGA,0,COLUMN())</f>
        <v>SG&amp;A</v>
      </c>
      <c r="B40" s="167"/>
      <c r="C40" s="543">
        <f t="shared" ref="C40:AH40" si="36">INDEX(MO_RIS_SGA,0,COLUMN())</f>
        <v>93.787000000000006</v>
      </c>
      <c r="D40" s="543">
        <f t="shared" si="36"/>
        <v>66.956999999999994</v>
      </c>
      <c r="E40" s="543">
        <f t="shared" si="36"/>
        <v>70.897999999999996</v>
      </c>
      <c r="F40" s="543">
        <f t="shared" si="36"/>
        <v>72.47399999999999</v>
      </c>
      <c r="G40" s="543">
        <f t="shared" si="36"/>
        <v>103.928</v>
      </c>
      <c r="H40" s="543">
        <f t="shared" si="36"/>
        <v>79.155000000000001</v>
      </c>
      <c r="I40" s="543">
        <f t="shared" si="36"/>
        <v>67.245000000000005</v>
      </c>
      <c r="J40" s="543">
        <f t="shared" si="36"/>
        <v>77.150000000000006</v>
      </c>
      <c r="K40" s="543">
        <f t="shared" si="36"/>
        <v>103.02800000000001</v>
      </c>
      <c r="L40" s="543">
        <f t="shared" si="36"/>
        <v>65.802000000000007</v>
      </c>
      <c r="M40" s="543">
        <f t="shared" si="36"/>
        <v>68.207999999999998</v>
      </c>
      <c r="N40" s="543">
        <f t="shared" si="36"/>
        <v>85.073000000000008</v>
      </c>
      <c r="O40" s="543">
        <f t="shared" si="36"/>
        <v>102.68299999999999</v>
      </c>
      <c r="P40" s="543">
        <f t="shared" si="36"/>
        <v>64.468000000000004</v>
      </c>
      <c r="Q40" s="543">
        <f t="shared" si="36"/>
        <v>67.451000000000008</v>
      </c>
      <c r="R40" s="543">
        <f t="shared" si="36"/>
        <v>77.673999999999978</v>
      </c>
      <c r="S40" s="543">
        <f t="shared" si="36"/>
        <v>107.708</v>
      </c>
      <c r="T40" s="543">
        <f t="shared" si="36"/>
        <v>65.224999999999994</v>
      </c>
      <c r="U40" s="543">
        <f t="shared" si="36"/>
        <v>73.338999999999999</v>
      </c>
      <c r="V40" s="543">
        <f t="shared" si="36"/>
        <v>71.802000000000007</v>
      </c>
      <c r="W40" s="543">
        <f t="shared" si="36"/>
        <v>99.179999999999993</v>
      </c>
      <c r="X40" s="543">
        <f t="shared" si="36"/>
        <v>64.334000000000003</v>
      </c>
      <c r="Y40" s="543">
        <f t="shared" si="36"/>
        <v>64.269000000000005</v>
      </c>
      <c r="Z40" s="543">
        <f t="shared" si="36"/>
        <v>71.91100000000003</v>
      </c>
      <c r="AA40" s="543">
        <f t="shared" si="36"/>
        <v>106.081</v>
      </c>
      <c r="AB40" s="543">
        <f t="shared" si="36"/>
        <v>61.253</v>
      </c>
      <c r="AC40" s="543">
        <f t="shared" si="36"/>
        <v>61.725000000000001</v>
      </c>
      <c r="AD40" s="543">
        <f t="shared" si="36"/>
        <v>77.77</v>
      </c>
      <c r="AE40" s="543">
        <f t="shared" si="36"/>
        <v>107.151</v>
      </c>
      <c r="AF40" s="543">
        <f t="shared" si="36"/>
        <v>59.783999999999999</v>
      </c>
      <c r="AG40" s="543">
        <f t="shared" si="36"/>
        <v>63.686999999999998</v>
      </c>
      <c r="AH40" s="543">
        <f t="shared" si="36"/>
        <v>84.454000000000022</v>
      </c>
      <c r="AI40" s="543">
        <f t="shared" ref="AI40:BB40" si="37">INDEX(MO_RIS_SGA,0,COLUMN())</f>
        <v>117.827</v>
      </c>
      <c r="AJ40" s="543">
        <f t="shared" si="37"/>
        <v>90.939000000000007</v>
      </c>
      <c r="AK40" s="543">
        <f t="shared" si="37"/>
        <v>100.464</v>
      </c>
      <c r="AL40" s="543">
        <f t="shared" si="37"/>
        <v>115.214</v>
      </c>
      <c r="AM40" s="543">
        <f t="shared" si="37"/>
        <v>133.37899999999999</v>
      </c>
      <c r="AN40" s="543">
        <f t="shared" si="37"/>
        <v>90.641999999999996</v>
      </c>
      <c r="AO40" s="543">
        <f t="shared" si="37"/>
        <v>94.245000000000005</v>
      </c>
      <c r="AP40" s="543">
        <f t="shared" si="37"/>
        <v>121.58099999999999</v>
      </c>
      <c r="AQ40" s="543">
        <f t="shared" si="37"/>
        <v>158.36799999999999</v>
      </c>
      <c r="AR40" s="543">
        <f t="shared" si="37"/>
        <v>102.015</v>
      </c>
      <c r="AS40" s="543">
        <f t="shared" si="37"/>
        <v>103.053</v>
      </c>
      <c r="AT40" s="543">
        <f t="shared" si="37"/>
        <v>118.13500000000005</v>
      </c>
      <c r="AU40" s="614">
        <f t="shared" si="37"/>
        <v>169.56800000000001</v>
      </c>
      <c r="AV40" s="543">
        <f t="shared" si="37"/>
        <v>109.846280544</v>
      </c>
      <c r="AW40" s="543">
        <f t="shared" si="37"/>
        <v>106.63390980719998</v>
      </c>
      <c r="AX40" s="543">
        <f t="shared" si="37"/>
        <v>128.85679440000001</v>
      </c>
      <c r="AY40" s="543">
        <f t="shared" si="37"/>
        <v>0</v>
      </c>
      <c r="AZ40" s="543">
        <f t="shared" si="37"/>
        <v>96.25800000000001</v>
      </c>
      <c r="BA40" s="543">
        <f t="shared" si="37"/>
        <v>126.97399999999999</v>
      </c>
      <c r="BB40" s="543">
        <f t="shared" si="37"/>
        <v>191.10900000000001</v>
      </c>
      <c r="BC40" s="543"/>
      <c r="BD40" s="851">
        <f t="shared" ref="BD40:BW40" si="38">INDEX(MO_RIS_SGA,0,COLUMN())</f>
        <v>304.11599999999999</v>
      </c>
      <c r="BE40" s="851">
        <f t="shared" si="38"/>
        <v>327.47800000000001</v>
      </c>
      <c r="BF40" s="851">
        <f t="shared" si="38"/>
        <v>322.11099999999999</v>
      </c>
      <c r="BG40" s="851">
        <f t="shared" si="38"/>
        <v>312.27600000000001</v>
      </c>
      <c r="BH40" s="851">
        <f t="shared" si="38"/>
        <v>318.07400000000001</v>
      </c>
      <c r="BI40" s="851">
        <f t="shared" si="38"/>
        <v>299.69400000000002</v>
      </c>
      <c r="BJ40" s="851">
        <f t="shared" si="38"/>
        <v>306.82900000000001</v>
      </c>
      <c r="BK40" s="851">
        <f t="shared" si="38"/>
        <v>315.07600000000002</v>
      </c>
      <c r="BL40" s="851">
        <f t="shared" si="38"/>
        <v>424.44400000000002</v>
      </c>
      <c r="BM40" s="851">
        <f t="shared" si="38"/>
        <v>439.84699999999998</v>
      </c>
      <c r="BN40" s="851">
        <f t="shared" si="38"/>
        <v>481.57100000000003</v>
      </c>
      <c r="BO40" s="851">
        <f t="shared" si="38"/>
        <v>514.9049847512</v>
      </c>
      <c r="BP40" s="851" t="e">
        <f t="shared" si="38"/>
        <v>#REF!</v>
      </c>
      <c r="BQ40" s="851" t="e">
        <f t="shared" si="38"/>
        <v>#REF!</v>
      </c>
      <c r="BR40" s="852" t="e">
        <f t="shared" si="38"/>
        <v>#REF!</v>
      </c>
      <c r="BS40" s="851" t="e">
        <f t="shared" si="38"/>
        <v>#REF!</v>
      </c>
      <c r="BT40" s="851">
        <f t="shared" si="38"/>
        <v>0</v>
      </c>
      <c r="BU40" s="851">
        <f t="shared" si="38"/>
        <v>0</v>
      </c>
      <c r="BV40" s="851">
        <f t="shared" si="38"/>
        <v>0</v>
      </c>
      <c r="BW40" s="851">
        <f t="shared" si="38"/>
        <v>0</v>
      </c>
      <c r="BX40" s="543"/>
    </row>
    <row r="41" spans="1:76" s="66" customFormat="1" x14ac:dyDescent="0.35">
      <c r="A41" s="168" t="str">
        <f>INDEX(MO_RIS_EBIT,0,COLUMN())</f>
        <v>EBIT</v>
      </c>
      <c r="B41" s="169"/>
      <c r="C41" s="612">
        <f>IFERROR(INDEX(SP_GF_Rev,0,COLUMN()),0)-IFERROR(INDEX(SP_GF_COGS,0,COLUMN()),0)-IFERROR(INDEX(SP_GF_SGA,0,COLUMN()),0)-IFERROR(INDEX(SP_GF_OI_Operating,0,COLUMN()),0)-IFERROR(INDEX(SP_GF_DA_Operating,0,COLUMN()),0)-IFERROR(INDEX(SP_GF_OPEX,0,COLUMN()),0)-IFERROR(INDEX(SP_GF_RD,0,COLUMN()),0)</f>
        <v>8.6610000000000014</v>
      </c>
      <c r="D41" s="612">
        <f>IFERROR(INDEX(SP_GF_Rev,0,COLUMN()),0)-IFERROR(INDEX(SP_GF_COGS,0,COLUMN()),0)-IFERROR(INDEX(SP_GF_SGA,0,COLUMN()),0)-IFERROR(INDEX(SP_GF_OI_Operating,0,COLUMN()),0)-IFERROR(INDEX(SP_GF_DA_Operating,0,COLUMN()),0)-IFERROR(INDEX(SP_GF_OPEX,0,COLUMN()),0)-IFERROR(INDEX(SP_GF_RD,0,COLUMN()),0)</f>
        <v>16.271999999999991</v>
      </c>
      <c r="E41" s="612">
        <f>IFERROR(INDEX(SP_GF_Rev,0,COLUMN()),0)-IFERROR(INDEX(SP_GF_COGS,0,COLUMN()),0)-IFERROR(INDEX(SP_GF_SGA,0,COLUMN()),0)-IFERROR(INDEX(SP_GF_OI_Operating,0,COLUMN()),0)-IFERROR(INDEX(SP_GF_DA_Operating,0,COLUMN()),0)-IFERROR(INDEX(SP_GF_OPEX,0,COLUMN()),0)-IFERROR(INDEX(SP_GF_RD,0,COLUMN()),0)</f>
        <v>19.35199999999999</v>
      </c>
      <c r="F41" s="612">
        <f>IFERROR(INDEX(SP_GF_Rev,0,COLUMN()),0)-IFERROR(INDEX(SP_GF_COGS,0,COLUMN()),0)-IFERROR(INDEX(SP_GF_SGA,0,COLUMN()),0)-IFERROR(INDEX(SP_GF_OI_Operating,0,COLUMN()),0)-IFERROR(INDEX(SP_GF_DA_Operating,0,COLUMN()),0)-IFERROR(INDEX(SP_GF_OPEX,0,COLUMN()),0)-IFERROR(INDEX(SP_GF_RD,0,COLUMN()),0)</f>
        <v>1.4209999999999923</v>
      </c>
      <c r="G41" s="612">
        <f>IFERROR(INDEX(SP_GF_Rev,0,COLUMN()),0)-IFERROR(INDEX(SP_GF_COGS,0,COLUMN()),0)-IFERROR(INDEX(SP_GF_SGA,0,COLUMN()),0)-IFERROR(INDEX(SP_GF_OI_Operating,0,COLUMN()),0)-IFERROR(INDEX(SP_GF_DA_Operating,0,COLUMN()),0)-IFERROR(INDEX(SP_GF_OPEX,0,COLUMN()),0)-IFERROR(INDEX(SP_GF_RD,0,COLUMN()),0)</f>
        <v>-8.4639999999999702</v>
      </c>
      <c r="H41" s="612">
        <f>IFERROR(INDEX(SP_GF_Rev,0,COLUMN()),0)-IFERROR(INDEX(SP_GF_COGS,0,COLUMN()),0)-IFERROR(INDEX(SP_GF_SGA,0,COLUMN()),0)-IFERROR(INDEX(SP_GF_OI_Operating,0,COLUMN()),0)-IFERROR(INDEX(SP_GF_DA_Operating,0,COLUMN()),0)-IFERROR(INDEX(SP_GF_OPEX,0,COLUMN()),0)-IFERROR(INDEX(SP_GF_RD,0,COLUMN()),0)</f>
        <v>-8.907999999999987</v>
      </c>
      <c r="I41" s="612">
        <f>IFERROR(INDEX(SP_GF_Rev,0,COLUMN()),0)-IFERROR(INDEX(SP_GF_COGS,0,COLUMN()),0)-IFERROR(INDEX(SP_GF_SGA,0,COLUMN()),0)-IFERROR(INDEX(SP_GF_OI_Operating,0,COLUMN()),0)-IFERROR(INDEX(SP_GF_DA_Operating,0,COLUMN()),0)-IFERROR(INDEX(SP_GF_OPEX,0,COLUMN()),0)-IFERROR(INDEX(SP_GF_RD,0,COLUMN()),0)</f>
        <v>27.384999999999991</v>
      </c>
      <c r="J41" s="612">
        <f>IFERROR(INDEX(SP_GF_Rev,0,COLUMN()),0)-IFERROR(INDEX(SP_GF_COGS,0,COLUMN()),0)-IFERROR(INDEX(SP_GF_SGA,0,COLUMN()),0)-IFERROR(INDEX(SP_GF_OI_Operating,0,COLUMN()),0)-IFERROR(INDEX(SP_GF_DA_Operating,0,COLUMN()),0)-IFERROR(INDEX(SP_GF_OPEX,0,COLUMN()),0)-IFERROR(INDEX(SP_GF_RD,0,COLUMN()),0)</f>
        <v>12.842999999999961</v>
      </c>
      <c r="K41" s="612">
        <f>IFERROR(INDEX(SP_GF_Rev,0,COLUMN()),0)-IFERROR(INDEX(SP_GF_COGS,0,COLUMN()),0)-IFERROR(INDEX(SP_GF_SGA,0,COLUMN()),0)-IFERROR(INDEX(SP_GF_OI_Operating,0,COLUMN()),0)-IFERROR(INDEX(SP_GF_DA_Operating,0,COLUMN()),0)-IFERROR(INDEX(SP_GF_OPEX,0,COLUMN()),0)-IFERROR(INDEX(SP_GF_RD,0,COLUMN()),0)</f>
        <v>-13.15800000000003</v>
      </c>
      <c r="L41" s="612">
        <f>IFERROR(INDEX(SP_GF_Rev,0,COLUMN()),0)-IFERROR(INDEX(SP_GF_COGS,0,COLUMN()),0)-IFERROR(INDEX(SP_GF_SGA,0,COLUMN()),0)-IFERROR(INDEX(SP_GF_OI_Operating,0,COLUMN()),0)-IFERROR(INDEX(SP_GF_DA_Operating,0,COLUMN()),0)-IFERROR(INDEX(SP_GF_OPEX,0,COLUMN()),0)-IFERROR(INDEX(SP_GF_RD,0,COLUMN()),0)</f>
        <v>20.472999999999999</v>
      </c>
      <c r="M41" s="612">
        <f>IFERROR(INDEX(SP_GF_Rev,0,COLUMN()),0)-IFERROR(INDEX(SP_GF_COGS,0,COLUMN()),0)-IFERROR(INDEX(SP_GF_SGA,0,COLUMN()),0)-IFERROR(INDEX(SP_GF_OI_Operating,0,COLUMN()),0)-IFERROR(INDEX(SP_GF_DA_Operating,0,COLUMN()),0)-IFERROR(INDEX(SP_GF_OPEX,0,COLUMN()),0)-IFERROR(INDEX(SP_GF_RD,0,COLUMN()),0)</f>
        <v>27.429999999999978</v>
      </c>
      <c r="N41" s="612">
        <f>IFERROR(INDEX(SP_GF_Rev,0,COLUMN()),0)-IFERROR(INDEX(SP_GF_COGS,0,COLUMN()),0)-IFERROR(INDEX(SP_GF_SGA,0,COLUMN()),0)-IFERROR(INDEX(SP_GF_OI_Operating,0,COLUMN()),0)-IFERROR(INDEX(SP_GF_DA_Operating,0,COLUMN()),0)-IFERROR(INDEX(SP_GF_OPEX,0,COLUMN()),0)-IFERROR(INDEX(SP_GF_RD,0,COLUMN()),0)</f>
        <v>-16.31799999999987</v>
      </c>
      <c r="O41" s="612">
        <f>IFERROR(INDEX(SP_GF_Rev,0,COLUMN()),0)-IFERROR(INDEX(SP_GF_COGS,0,COLUMN()),0)-IFERROR(INDEX(SP_GF_SGA,0,COLUMN()),0)-IFERROR(INDEX(SP_GF_OI_Operating,0,COLUMN()),0)-IFERROR(INDEX(SP_GF_DA_Operating,0,COLUMN()),0)-IFERROR(INDEX(SP_GF_OPEX,0,COLUMN()),0)-IFERROR(INDEX(SP_GF_RD,0,COLUMN()),0)</f>
        <v>-20.455999999999989</v>
      </c>
      <c r="P41" s="612">
        <f>IFERROR(INDEX(SP_GF_Rev,0,COLUMN()),0)-IFERROR(INDEX(SP_GF_COGS,0,COLUMN()),0)-IFERROR(INDEX(SP_GF_SGA,0,COLUMN()),0)-IFERROR(INDEX(SP_GF_OI_Operating,0,COLUMN()),0)-IFERROR(INDEX(SP_GF_DA_Operating,0,COLUMN()),0)-IFERROR(INDEX(SP_GF_OPEX,0,COLUMN()),0)-IFERROR(INDEX(SP_GF_RD,0,COLUMN()),0)</f>
        <v>14.72699999999999</v>
      </c>
      <c r="Q41" s="612">
        <f>IFERROR(INDEX(SP_GF_Rev,0,COLUMN()),0)-IFERROR(INDEX(SP_GF_COGS,0,COLUMN()),0)-IFERROR(INDEX(SP_GF_SGA,0,COLUMN()),0)-IFERROR(INDEX(SP_GF_OI_Operating,0,COLUMN()),0)-IFERROR(INDEX(SP_GF_DA_Operating,0,COLUMN()),0)-IFERROR(INDEX(SP_GF_OPEX,0,COLUMN()),0)-IFERROR(INDEX(SP_GF_RD,0,COLUMN()),0)</f>
        <v>19.134</v>
      </c>
      <c r="R41" s="612">
        <f>IFERROR(INDEX(SP_GF_Rev,0,COLUMN()),0)-IFERROR(INDEX(SP_GF_COGS,0,COLUMN()),0)-IFERROR(INDEX(SP_GF_SGA,0,COLUMN()),0)-IFERROR(INDEX(SP_GF_OI_Operating,0,COLUMN()),0)-IFERROR(INDEX(SP_GF_DA_Operating,0,COLUMN()),0)-IFERROR(INDEX(SP_GF_OPEX,0,COLUMN()),0)-IFERROR(INDEX(SP_GF_RD,0,COLUMN()),0)</f>
        <v>0.50899999999998613</v>
      </c>
      <c r="S41" s="612">
        <f>IFERROR(INDEX(SP_GF_Rev,0,COLUMN()),0)-IFERROR(INDEX(SP_GF_COGS,0,COLUMN()),0)-IFERROR(INDEX(SP_GF_SGA,0,COLUMN()),0)-IFERROR(INDEX(SP_GF_OI_Operating,0,COLUMN()),0)-IFERROR(INDEX(SP_GF_DA_Operating,0,COLUMN()),0)-IFERROR(INDEX(SP_GF_OPEX,0,COLUMN()),0)-IFERROR(INDEX(SP_GF_RD,0,COLUMN()),0)</f>
        <v>-22.668999999999983</v>
      </c>
      <c r="T41" s="612">
        <f>IFERROR(INDEX(SP_GF_Rev,0,COLUMN()),0)-IFERROR(INDEX(SP_GF_COGS,0,COLUMN()),0)-IFERROR(INDEX(SP_GF_SGA,0,COLUMN()),0)-IFERROR(INDEX(SP_GF_OI_Operating,0,COLUMN()),0)-IFERROR(INDEX(SP_GF_DA_Operating,0,COLUMN()),0)-IFERROR(INDEX(SP_GF_OPEX,0,COLUMN()),0)-IFERROR(INDEX(SP_GF_RD,0,COLUMN()),0)</f>
        <v>18.323000000000008</v>
      </c>
      <c r="U41" s="612">
        <f>IFERROR(INDEX(SP_GF_Rev,0,COLUMN()),0)-IFERROR(INDEX(SP_GF_COGS,0,COLUMN()),0)-IFERROR(INDEX(SP_GF_SGA,0,COLUMN()),0)-IFERROR(INDEX(SP_GF_OI_Operating,0,COLUMN()),0)-IFERROR(INDEX(SP_GF_DA_Operating,0,COLUMN()),0)-IFERROR(INDEX(SP_GF_OPEX,0,COLUMN()),0)-IFERROR(INDEX(SP_GF_RD,0,COLUMN()),0)</f>
        <v>12.762999999999977</v>
      </c>
      <c r="V41" s="612">
        <f>IFERROR(INDEX(SP_GF_Rev,0,COLUMN()),0)-IFERROR(INDEX(SP_GF_COGS,0,COLUMN()),0)-IFERROR(INDEX(SP_GF_SGA,0,COLUMN()),0)-IFERROR(INDEX(SP_GF_OI_Operating,0,COLUMN()),0)-IFERROR(INDEX(SP_GF_DA_Operating,0,COLUMN()),0)-IFERROR(INDEX(SP_GF_OPEX,0,COLUMN()),0)-IFERROR(INDEX(SP_GF_RD,0,COLUMN()),0)</f>
        <v>4.7119999999999749</v>
      </c>
      <c r="W41" s="612">
        <f>IFERROR(INDEX(SP_GF_Rev,0,COLUMN()),0)-IFERROR(INDEX(SP_GF_COGS,0,COLUMN()),0)-IFERROR(INDEX(SP_GF_SGA,0,COLUMN()),0)-IFERROR(INDEX(SP_GF_OI_Operating,0,COLUMN()),0)-IFERROR(INDEX(SP_GF_DA_Operating,0,COLUMN()),0)-IFERROR(INDEX(SP_GF_OPEX,0,COLUMN()),0)-IFERROR(INDEX(SP_GF_RD,0,COLUMN()),0)</f>
        <v>-17.761999999999986</v>
      </c>
      <c r="X41" s="612">
        <f>IFERROR(INDEX(SP_GF_Rev,0,COLUMN()),0)-IFERROR(INDEX(SP_GF_COGS,0,COLUMN()),0)-IFERROR(INDEX(SP_GF_SGA,0,COLUMN()),0)-IFERROR(INDEX(SP_GF_OI_Operating,0,COLUMN()),0)-IFERROR(INDEX(SP_GF_DA_Operating,0,COLUMN()),0)-IFERROR(INDEX(SP_GF_OPEX,0,COLUMN()),0)-IFERROR(INDEX(SP_GF_RD,0,COLUMN()),0)</f>
        <v>13.713999999999999</v>
      </c>
      <c r="Y41" s="612">
        <f>IFERROR(INDEX(SP_GF_Rev,0,COLUMN()),0)-IFERROR(INDEX(SP_GF_COGS,0,COLUMN()),0)-IFERROR(INDEX(SP_GF_SGA,0,COLUMN()),0)-IFERROR(INDEX(SP_GF_OI_Operating,0,COLUMN()),0)-IFERROR(INDEX(SP_GF_DA_Operating,0,COLUMN()),0)-IFERROR(INDEX(SP_GF_OPEX,0,COLUMN()),0)-IFERROR(INDEX(SP_GF_RD,0,COLUMN()),0)</f>
        <v>19.717000000000013</v>
      </c>
      <c r="Z41" s="612">
        <f>IFERROR(INDEX(SP_GF_Rev,0,COLUMN()),0)-IFERROR(INDEX(SP_GF_COGS,0,COLUMN()),0)-IFERROR(INDEX(SP_GF_SGA,0,COLUMN()),0)-IFERROR(INDEX(SP_GF_OI_Operating,0,COLUMN()),0)-IFERROR(INDEX(SP_GF_DA_Operating,0,COLUMN()),0)-IFERROR(INDEX(SP_GF_OPEX,0,COLUMN()),0)-IFERROR(INDEX(SP_GF_RD,0,COLUMN()),0)</f>
        <v>9.8759999999999479</v>
      </c>
      <c r="AA41" s="612">
        <f>IFERROR(INDEX(SP_GF_Rev,0,COLUMN()),0)-IFERROR(INDEX(SP_GF_COGS,0,COLUMN()),0)-IFERROR(INDEX(SP_GF_SGA,0,COLUMN()),0)-IFERROR(INDEX(SP_GF_OI_Operating,0,COLUMN()),0)-IFERROR(INDEX(SP_GF_DA_Operating,0,COLUMN()),0)-IFERROR(INDEX(SP_GF_OPEX,0,COLUMN()),0)-IFERROR(INDEX(SP_GF_RD,0,COLUMN()),0)</f>
        <v>-13.752000000000024</v>
      </c>
      <c r="AB41" s="612">
        <f>IFERROR(INDEX(SP_GF_Rev,0,COLUMN()),0)-IFERROR(INDEX(SP_GF_COGS,0,COLUMN()),0)-IFERROR(INDEX(SP_GF_SGA,0,COLUMN()),0)-IFERROR(INDEX(SP_GF_OI_Operating,0,COLUMN()),0)-IFERROR(INDEX(SP_GF_DA_Operating,0,COLUMN()),0)-IFERROR(INDEX(SP_GF_OPEX,0,COLUMN()),0)-IFERROR(INDEX(SP_GF_RD,0,COLUMN()),0)</f>
        <v>33.290000000000006</v>
      </c>
      <c r="AC41" s="612">
        <f>IFERROR(INDEX(SP_GF_Rev,0,COLUMN()),0)-IFERROR(INDEX(SP_GF_COGS,0,COLUMN()),0)-IFERROR(INDEX(SP_GF_SGA,0,COLUMN()),0)-IFERROR(INDEX(SP_GF_OI_Operating,0,COLUMN()),0)-IFERROR(INDEX(SP_GF_DA_Operating,0,COLUMN()),0)-IFERROR(INDEX(SP_GF_OPEX,0,COLUMN()),0)-IFERROR(INDEX(SP_GF_RD,0,COLUMN()),0)</f>
        <v>23.267000000000017</v>
      </c>
      <c r="AD41" s="612">
        <f>IFERROR(INDEX(SP_GF_Rev,0,COLUMN()),0)-IFERROR(INDEX(SP_GF_COGS,0,COLUMN()),0)-IFERROR(INDEX(SP_GF_SGA,0,COLUMN()),0)-IFERROR(INDEX(SP_GF_OI_Operating,0,COLUMN()),0)-IFERROR(INDEX(SP_GF_DA_Operating,0,COLUMN()),0)-IFERROR(INDEX(SP_GF_OPEX,0,COLUMN()),0)-IFERROR(INDEX(SP_GF_RD,0,COLUMN()),0)</f>
        <v>2.680999999999969</v>
      </c>
      <c r="AE41" s="612">
        <f>IFERROR(INDEX(SP_GF_Rev,0,COLUMN()),0)-IFERROR(INDEX(SP_GF_COGS,0,COLUMN()),0)-IFERROR(INDEX(SP_GF_SGA,0,COLUMN()),0)-IFERROR(INDEX(SP_GF_OI_Operating,0,COLUMN()),0)-IFERROR(INDEX(SP_GF_DA_Operating,0,COLUMN()),0)-IFERROR(INDEX(SP_GF_OPEX,0,COLUMN()),0)-IFERROR(INDEX(SP_GF_RD,0,COLUMN()),0)</f>
        <v>-19.388000000000019</v>
      </c>
      <c r="AF41" s="612">
        <f>IFERROR(INDEX(SP_GF_Rev,0,COLUMN()),0)-IFERROR(INDEX(SP_GF_COGS,0,COLUMN()),0)-IFERROR(INDEX(SP_GF_SGA,0,COLUMN()),0)-IFERROR(INDEX(SP_GF_OI_Operating,0,COLUMN()),0)-IFERROR(INDEX(SP_GF_DA_Operating,0,COLUMN()),0)-IFERROR(INDEX(SP_GF_OPEX,0,COLUMN()),0)-IFERROR(INDEX(SP_GF_RD,0,COLUMN()),0)</f>
        <v>30.305000000000028</v>
      </c>
      <c r="AG41" s="612">
        <f>IFERROR(INDEX(SP_GF_Rev,0,COLUMN()),0)-IFERROR(INDEX(SP_GF_COGS,0,COLUMN()),0)-IFERROR(INDEX(SP_GF_SGA,0,COLUMN()),0)-IFERROR(INDEX(SP_GF_OI_Operating,0,COLUMN()),0)-IFERROR(INDEX(SP_GF_DA_Operating,0,COLUMN()),0)-IFERROR(INDEX(SP_GF_OPEX,0,COLUMN()),0)-IFERROR(INDEX(SP_GF_RD,0,COLUMN()),0)</f>
        <v>14.499000000000009</v>
      </c>
      <c r="AH41" s="612">
        <f>IFERROR(INDEX(SP_GF_Rev,0,COLUMN()),0)-IFERROR(INDEX(SP_GF_COGS,0,COLUMN()),0)-IFERROR(INDEX(SP_GF_SGA,0,COLUMN()),0)-IFERROR(INDEX(SP_GF_OI_Operating,0,COLUMN()),0)-IFERROR(INDEX(SP_GF_DA_Operating,0,COLUMN()),0)-IFERROR(INDEX(SP_GF_OPEX,0,COLUMN()),0)-IFERROR(INDEX(SP_GF_RD,0,COLUMN()),0)</f>
        <v>7.0410000000001531</v>
      </c>
      <c r="AI41" s="612">
        <f>IFERROR(INDEX(SP_GF_Rev,0,COLUMN()),0)-IFERROR(INDEX(SP_GF_COGS,0,COLUMN()),0)-IFERROR(INDEX(SP_GF_SGA,0,COLUMN()),0)-IFERROR(INDEX(SP_GF_OI_Operating,0,COLUMN()),0)-IFERROR(INDEX(SP_GF_DA_Operating,0,COLUMN()),0)-IFERROR(INDEX(SP_GF_OPEX,0,COLUMN()),0)-IFERROR(INDEX(SP_GF_RD,0,COLUMN()),0)</f>
        <v>12.063999999999993</v>
      </c>
      <c r="AJ41" s="612">
        <f>IFERROR(INDEX(SP_GF_Rev,0,COLUMN()),0)-IFERROR(INDEX(SP_GF_COGS,0,COLUMN()),0)-IFERROR(INDEX(SP_GF_SGA,0,COLUMN()),0)-IFERROR(INDEX(SP_GF_OI_Operating,0,COLUMN()),0)-IFERROR(INDEX(SP_GF_DA_Operating,0,COLUMN()),0)-IFERROR(INDEX(SP_GF_OPEX,0,COLUMN()),0)-IFERROR(INDEX(SP_GF_RD,0,COLUMN()),0)</f>
        <v>38.451999999999956</v>
      </c>
      <c r="AK41" s="612">
        <f>IFERROR(INDEX(SP_GF_Rev,0,COLUMN()),0)-IFERROR(INDEX(SP_GF_COGS,0,COLUMN()),0)-IFERROR(INDEX(SP_GF_SGA,0,COLUMN()),0)-IFERROR(INDEX(SP_GF_OI_Operating,0,COLUMN()),0)-IFERROR(INDEX(SP_GF_DA_Operating,0,COLUMN()),0)-IFERROR(INDEX(SP_GF_OPEX,0,COLUMN()),0)-IFERROR(INDEX(SP_GF_RD,0,COLUMN()),0)</f>
        <v>38.552999999999997</v>
      </c>
      <c r="AL41" s="612">
        <f>IFERROR(INDEX(SP_GF_Rev,0,COLUMN()),0)-IFERROR(INDEX(SP_GF_COGS,0,COLUMN()),0)-IFERROR(INDEX(SP_GF_SGA,0,COLUMN()),0)-IFERROR(INDEX(SP_GF_OI_Operating,0,COLUMN()),0)-IFERROR(INDEX(SP_GF_DA_Operating,0,COLUMN()),0)-IFERROR(INDEX(SP_GF_OPEX,0,COLUMN()),0)-IFERROR(INDEX(SP_GF_RD,0,COLUMN()),0)</f>
        <v>21.387000000000057</v>
      </c>
      <c r="AM41" s="612">
        <f>IFERROR(INDEX(SP_GF_Rev,0,COLUMN()),0)-IFERROR(INDEX(SP_GF_COGS,0,COLUMN()),0)-IFERROR(INDEX(SP_GF_SGA,0,COLUMN()),0)-IFERROR(INDEX(SP_GF_OI_Operating,0,COLUMN()),0)-IFERROR(INDEX(SP_GF_DA_Operating,0,COLUMN()),0)-IFERROR(INDEX(SP_GF_OPEX,0,COLUMN()),0)-IFERROR(INDEX(SP_GF_RD,0,COLUMN()),0)</f>
        <v>-6.9770000000000039</v>
      </c>
      <c r="AN41" s="612">
        <f>IFERROR(INDEX(SP_GF_Rev,0,COLUMN()),0)-IFERROR(INDEX(SP_GF_COGS,0,COLUMN()),0)-IFERROR(INDEX(SP_GF_SGA,0,COLUMN()),0)-IFERROR(INDEX(SP_GF_OI_Operating,0,COLUMN()),0)-IFERROR(INDEX(SP_GF_DA_Operating,0,COLUMN()),0)-IFERROR(INDEX(SP_GF_OPEX,0,COLUMN()),0)-IFERROR(INDEX(SP_GF_RD,0,COLUMN()),0)</f>
        <v>56.91500000000002</v>
      </c>
      <c r="AO41" s="612">
        <f>IFERROR(INDEX(SP_GF_Rev,0,COLUMN()),0)-IFERROR(INDEX(SP_GF_COGS,0,COLUMN()),0)-IFERROR(INDEX(SP_GF_SGA,0,COLUMN()),0)-IFERROR(INDEX(SP_GF_OI_Operating,0,COLUMN()),0)-IFERROR(INDEX(SP_GF_DA_Operating,0,COLUMN()),0)-IFERROR(INDEX(SP_GF_OPEX,0,COLUMN()),0)-IFERROR(INDEX(SP_GF_RD,0,COLUMN()),0)</f>
        <v>60.593999999999994</v>
      </c>
      <c r="AP41" s="612">
        <f>IFERROR(INDEX(SP_GF_Rev,0,COLUMN()),0)-IFERROR(INDEX(SP_GF_COGS,0,COLUMN()),0)-IFERROR(INDEX(SP_GF_SGA,0,COLUMN()),0)-IFERROR(INDEX(SP_GF_OI_Operating,0,COLUMN()),0)-IFERROR(INDEX(SP_GF_DA_Operating,0,COLUMN()),0)-IFERROR(INDEX(SP_GF_OPEX,0,COLUMN()),0)-IFERROR(INDEX(SP_GF_RD,0,COLUMN()),0)</f>
        <v>46.095999999999975</v>
      </c>
      <c r="AQ41" s="612">
        <f>IFERROR(INDEX(SP_GF_Rev,0,COLUMN()),0)-IFERROR(INDEX(SP_GF_COGS,0,COLUMN()),0)-IFERROR(INDEX(SP_GF_SGA,0,COLUMN()),0)-IFERROR(INDEX(SP_GF_OI_Operating,0,COLUMN()),0)-IFERROR(INDEX(SP_GF_DA_Operating,0,COLUMN()),0)-IFERROR(INDEX(SP_GF_OPEX,0,COLUMN()),0)-IFERROR(INDEX(SP_GF_RD,0,COLUMN()),0)</f>
        <v>-28.718999999999994</v>
      </c>
      <c r="AR41" s="612">
        <f>IFERROR(INDEX(SP_GF_Rev,0,COLUMN()),0)-IFERROR(INDEX(SP_GF_COGS,0,COLUMN()),0)-IFERROR(INDEX(SP_GF_SGA,0,COLUMN()),0)-IFERROR(INDEX(SP_GF_OI_Operating,0,COLUMN()),0)-IFERROR(INDEX(SP_GF_DA_Operating,0,COLUMN()),0)-IFERROR(INDEX(SP_GF_OPEX,0,COLUMN()),0)-IFERROR(INDEX(SP_GF_RD,0,COLUMN()),0)</f>
        <v>68.073000000000022</v>
      </c>
      <c r="AS41" s="612">
        <f>IFERROR(INDEX(SP_GF_Rev,0,COLUMN()),0)-IFERROR(INDEX(SP_GF_COGS,0,COLUMN()),0)-IFERROR(INDEX(SP_GF_SGA,0,COLUMN()),0)-IFERROR(INDEX(SP_GF_OI_Operating,0,COLUMN()),0)-IFERROR(INDEX(SP_GF_DA_Operating,0,COLUMN()),0)-IFERROR(INDEX(SP_GF_OPEX,0,COLUMN()),0)-IFERROR(INDEX(SP_GF_RD,0,COLUMN()),0)</f>
        <v>72.199000000000012</v>
      </c>
      <c r="AT41" s="612">
        <f>IFERROR(INDEX(SP_GF_Rev,0,COLUMN()),0)-IFERROR(INDEX(SP_GF_COGS,0,COLUMN()),0)-IFERROR(INDEX(SP_GF_SGA,0,COLUMN()),0)-IFERROR(INDEX(SP_GF_OI_Operating,0,COLUMN()),0)-IFERROR(INDEX(SP_GF_DA_Operating,0,COLUMN()),0)-IFERROR(INDEX(SP_GF_OPEX,0,COLUMN()),0)-IFERROR(INDEX(SP_GF_RD,0,COLUMN()),0)</f>
        <v>53.94599999999997</v>
      </c>
      <c r="AU41" s="613">
        <f>IFERROR(INDEX(SP_GF_Rev,0,COLUMN()),0)-IFERROR(INDEX(SP_GF_COGS,0,COLUMN()),0)-IFERROR(INDEX(SP_GF_SGA,0,COLUMN()),0)-IFERROR(INDEX(SP_GF_OI_Operating,0,COLUMN()),0)-IFERROR(INDEX(SP_GF_DA_Operating,0,COLUMN()),0)-IFERROR(INDEX(SP_GF_OPEX,0,COLUMN()),0)-IFERROR(INDEX(SP_GF_RD,0,COLUMN()),0)</f>
        <v>3.3199999999999648</v>
      </c>
      <c r="AV41" s="612">
        <f>IFERROR(INDEX(SP_GF_Rev,0,COLUMN()),0)-IFERROR(INDEX(SP_GF_COGS,0,COLUMN()),0)-IFERROR(INDEX(SP_GF_SGA,0,COLUMN()),0)-IFERROR(INDEX(SP_GF_OI_Operating,0,COLUMN()),0)-IFERROR(INDEX(SP_GF_DA_Operating,0,COLUMN()),0)-IFERROR(INDEX(SP_GF_OPEX,0,COLUMN()),0)-IFERROR(INDEX(SP_GF_RD,0,COLUMN()),0)</f>
        <v>74.895191279999977</v>
      </c>
      <c r="AW41" s="612">
        <f>IFERROR(INDEX(SP_GF_Rev,0,COLUMN()),0)-IFERROR(INDEX(SP_GF_COGS,0,COLUMN()),0)-IFERROR(INDEX(SP_GF_SGA,0,COLUMN()),0)-IFERROR(INDEX(SP_GF_OI_Operating,0,COLUMN()),0)-IFERROR(INDEX(SP_GF_DA_Operating,0,COLUMN()),0)-IFERROR(INDEX(SP_GF_OPEX,0,COLUMN()),0)-IFERROR(INDEX(SP_GF_RD,0,COLUMN()),0)</f>
        <v>79.472442214799969</v>
      </c>
      <c r="AX41" s="612">
        <f>IFERROR(INDEX(SP_GF_Rev,0,COLUMN()),0)-IFERROR(INDEX(SP_GF_COGS,0,COLUMN()),0)-IFERROR(INDEX(SP_GF_SGA,0,COLUMN()),0)-IFERROR(INDEX(SP_GF_OI_Operating,0,COLUMN()),0)-IFERROR(INDEX(SP_GF_DA_Operating,0,COLUMN()),0)-IFERROR(INDEX(SP_GF_OPEX,0,COLUMN()),0)-IFERROR(INDEX(SP_GF_RD,0,COLUMN()),0)</f>
        <v>61.85126131200002</v>
      </c>
      <c r="AY41" s="612">
        <f>IFERROR(INDEX(SP_GF_Rev,0,COLUMN()),0)-IFERROR(INDEX(SP_GF_COGS,0,COLUMN()),0)-IFERROR(INDEX(SP_GF_SGA,0,COLUMN()),0)-IFERROR(INDEX(SP_GF_OI_Operating,0,COLUMN()),0)-IFERROR(INDEX(SP_GF_DA_Operating,0,COLUMN()),0)-IFERROR(INDEX(SP_GF_OPEX,0,COLUMN()),0)-IFERROR(INDEX(SP_GF_RD,0,COLUMN()),0)</f>
        <v>0</v>
      </c>
      <c r="AZ41" s="612">
        <f>IFERROR(INDEX(SP_GF_Rev,0,COLUMN()),0)-IFERROR(INDEX(SP_GF_COGS,0,COLUMN()),0)-IFERROR(INDEX(SP_GF_SGA,0,COLUMN()),0)-IFERROR(INDEX(SP_GF_OI_Operating,0,COLUMN()),0)-IFERROR(INDEX(SP_GF_DA_Operating,0,COLUMN()),0)-IFERROR(INDEX(SP_GF_OPEX,0,COLUMN()),0)-IFERROR(INDEX(SP_GF_RD,0,COLUMN()),0)</f>
        <v>22.33899999999997</v>
      </c>
      <c r="BA41" s="612">
        <f>IFERROR(INDEX(SP_GF_Rev,0,COLUMN()),0)-IFERROR(INDEX(SP_GF_COGS,0,COLUMN()),0)-IFERROR(INDEX(SP_GF_SGA,0,COLUMN()),0)-IFERROR(INDEX(SP_GF_OI_Operating,0,COLUMN()),0)-IFERROR(INDEX(SP_GF_DA_Operating,0,COLUMN()),0)-IFERROR(INDEX(SP_GF_OPEX,0,COLUMN()),0)-IFERROR(INDEX(SP_GF_RD,0,COLUMN()),0)</f>
        <v>35.467000000000041</v>
      </c>
      <c r="BB41" s="612">
        <f>IFERROR(INDEX(SP_GF_Rev,0,COLUMN()),0)-IFERROR(INDEX(SP_GF_COGS,0,COLUMN()),0)-IFERROR(INDEX(SP_GF_SGA,0,COLUMN()),0)-IFERROR(INDEX(SP_GF_OI_Operating,0,COLUMN()),0)-IFERROR(INDEX(SP_GF_DA_Operating,0,COLUMN()),0)-IFERROR(INDEX(SP_GF_OPEX,0,COLUMN()),0)-IFERROR(INDEX(SP_GF_RD,0,COLUMN()),0)</f>
        <v>24.21399999999997</v>
      </c>
      <c r="BC41" s="612"/>
      <c r="BD41" s="849">
        <f>IFERROR(INDEX(SP_GF_Rev,0,COLUMN()),0)-IFERROR(INDEX(SP_GF_COGS,0,COLUMN()),0)-IFERROR(INDEX(SP_GF_SGA,0,COLUMN()),0)-IFERROR(INDEX(SP_GF_OI_Operating,0,COLUMN()),0)-IFERROR(INDEX(SP_GF_DA_Operating,0,COLUMN()),0)-IFERROR(INDEX(SP_GF_OPEX,0,COLUMN()),0)-IFERROR(INDEX(SP_GF_RD,0,COLUMN()),0)</f>
        <v>45.706000000000017</v>
      </c>
      <c r="BE41" s="849">
        <f>IFERROR(INDEX(SP_GF_Rev,0,COLUMN()),0)-IFERROR(INDEX(SP_GF_COGS,0,COLUMN()),0)-IFERROR(INDEX(SP_GF_SGA,0,COLUMN()),0)-IFERROR(INDEX(SP_GF_OI_Operating,0,COLUMN()),0)-IFERROR(INDEX(SP_GF_DA_Operating,0,COLUMN()),0)-IFERROR(INDEX(SP_GF_OPEX,0,COLUMN()),0)-IFERROR(INDEX(SP_GF_RD,0,COLUMN()),0)</f>
        <v>22.855999999999938</v>
      </c>
      <c r="BF41" s="849">
        <f>IFERROR(INDEX(SP_GF_Rev,0,COLUMN()),0)-IFERROR(INDEX(SP_GF_COGS,0,COLUMN()),0)-IFERROR(INDEX(SP_GF_SGA,0,COLUMN()),0)-IFERROR(INDEX(SP_GF_OI_Operating,0,COLUMN()),0)-IFERROR(INDEX(SP_GF_DA_Operating,0,COLUMN()),0)-IFERROR(INDEX(SP_GF_OPEX,0,COLUMN()),0)-IFERROR(INDEX(SP_GF_RD,0,COLUMN()),0)</f>
        <v>18.427000000000021</v>
      </c>
      <c r="BG41" s="849">
        <f>IFERROR(INDEX(SP_GF_Rev,0,COLUMN()),0)-IFERROR(INDEX(SP_GF_COGS,0,COLUMN()),0)-IFERROR(INDEX(SP_GF_SGA,0,COLUMN()),0)-IFERROR(INDEX(SP_GF_OI_Operating,0,COLUMN()),0)-IFERROR(INDEX(SP_GF_DA_Operating,0,COLUMN()),0)-IFERROR(INDEX(SP_GF_OPEX,0,COLUMN()),0)-IFERROR(INDEX(SP_GF_RD,0,COLUMN()),0)</f>
        <v>13.914000000000044</v>
      </c>
      <c r="BH41" s="849">
        <f>IFERROR(INDEX(SP_GF_Rev,0,COLUMN()),0)-IFERROR(INDEX(SP_GF_COGS,0,COLUMN()),0)-IFERROR(INDEX(SP_GF_SGA,0,COLUMN()),0)-IFERROR(INDEX(SP_GF_OI_Operating,0,COLUMN()),0)-IFERROR(INDEX(SP_GF_DA_Operating,0,COLUMN()),0)-IFERROR(INDEX(SP_GF_OPEX,0,COLUMN()),0)-IFERROR(INDEX(SP_GF_RD,0,COLUMN()),0)</f>
        <v>13.128999999999962</v>
      </c>
      <c r="BI41" s="849">
        <f>IFERROR(INDEX(SP_GF_Rev,0,COLUMN()),0)-IFERROR(INDEX(SP_GF_COGS,0,COLUMN()),0)-IFERROR(INDEX(SP_GF_SGA,0,COLUMN()),0)-IFERROR(INDEX(SP_GF_OI_Operating,0,COLUMN()),0)-IFERROR(INDEX(SP_GF_DA_Operating,0,COLUMN()),0)-IFERROR(INDEX(SP_GF_OPEX,0,COLUMN()),0)-IFERROR(INDEX(SP_GF_RD,0,COLUMN()),0)</f>
        <v>25.545000000000016</v>
      </c>
      <c r="BJ41" s="849">
        <f>IFERROR(INDEX(SP_GF_Rev,0,COLUMN()),0)-IFERROR(INDEX(SP_GF_COGS,0,COLUMN()),0)-IFERROR(INDEX(SP_GF_SGA,0,COLUMN()),0)-IFERROR(INDEX(SP_GF_OI_Operating,0,COLUMN()),0)-IFERROR(INDEX(SP_GF_DA_Operating,0,COLUMN()),0)-IFERROR(INDEX(SP_GF_OPEX,0,COLUMN()),0)-IFERROR(INDEX(SP_GF_RD,0,COLUMN()),0)</f>
        <v>45.485999999999933</v>
      </c>
      <c r="BK41" s="849">
        <f>IFERROR(INDEX(SP_GF_Rev,0,COLUMN()),0)-IFERROR(INDEX(SP_GF_COGS,0,COLUMN()),0)-IFERROR(INDEX(SP_GF_SGA,0,COLUMN()),0)-IFERROR(INDEX(SP_GF_OI_Operating,0,COLUMN()),0)-IFERROR(INDEX(SP_GF_DA_Operating,0,COLUMN()),0)-IFERROR(INDEX(SP_GF_OPEX,0,COLUMN()),0)-IFERROR(INDEX(SP_GF_RD,0,COLUMN()),0)</f>
        <v>32.457000000000107</v>
      </c>
      <c r="BL41" s="849">
        <f>IFERROR(INDEX(SP_GF_Rev,0,COLUMN()),0)-IFERROR(INDEX(SP_GF_COGS,0,COLUMN()),0)-IFERROR(INDEX(SP_GF_SGA,0,COLUMN()),0)-IFERROR(INDEX(SP_GF_OI_Operating,0,COLUMN()),0)-IFERROR(INDEX(SP_GF_DA_Operating,0,COLUMN()),0)-IFERROR(INDEX(SP_GF_OPEX,0,COLUMN()),0)-IFERROR(INDEX(SP_GF_RD,0,COLUMN()),0)</f>
        <v>110.45599999999996</v>
      </c>
      <c r="BM41" s="849">
        <f>IFERROR(INDEX(SP_GF_Rev,0,COLUMN()),0)-IFERROR(INDEX(SP_GF_COGS,0,COLUMN()),0)-IFERROR(INDEX(SP_GF_SGA,0,COLUMN()),0)-IFERROR(INDEX(SP_GF_OI_Operating,0,COLUMN()),0)-IFERROR(INDEX(SP_GF_DA_Operating,0,COLUMN()),0)-IFERROR(INDEX(SP_GF_OPEX,0,COLUMN()),0)-IFERROR(INDEX(SP_GF_RD,0,COLUMN()),0)</f>
        <v>156.62799999999993</v>
      </c>
      <c r="BN41" s="849">
        <f>IFERROR(INDEX(SP_GF_Rev,0,COLUMN()),0)-IFERROR(INDEX(SP_GF_COGS,0,COLUMN()),0)-IFERROR(INDEX(SP_GF_SGA,0,COLUMN()),0)-IFERROR(INDEX(SP_GF_OI_Operating,0,COLUMN()),0)-IFERROR(INDEX(SP_GF_DA_Operating,0,COLUMN()),0)-IFERROR(INDEX(SP_GF_OPEX,0,COLUMN()),0)-IFERROR(INDEX(SP_GF_RD,0,COLUMN()),0)</f>
        <v>165.49899999999991</v>
      </c>
      <c r="BO41" s="849">
        <f>IFERROR(INDEX(SP_GF_Rev,0,COLUMN()),0)-IFERROR(INDEX(SP_GF_COGS,0,COLUMN()),0)-IFERROR(INDEX(SP_GF_SGA,0,COLUMN()),0)-IFERROR(INDEX(SP_GF_OI_Operating,0,COLUMN()),0)-IFERROR(INDEX(SP_GF_DA_Operating,0,COLUMN()),0)-IFERROR(INDEX(SP_GF_OPEX,0,COLUMN()),0)-IFERROR(INDEX(SP_GF_RD,0,COLUMN()),0)</f>
        <v>219.53889480679993</v>
      </c>
      <c r="BP41" s="849">
        <f>IFERROR(INDEX(SP_GF_Rev,0,COLUMN()),0)-IFERROR(INDEX(SP_GF_COGS,0,COLUMN()),0)-IFERROR(INDEX(SP_GF_SGA,0,COLUMN()),0)-IFERROR(INDEX(SP_GF_OI_Operating,0,COLUMN()),0)-IFERROR(INDEX(SP_GF_DA_Operating,0,COLUMN()),0)-IFERROR(INDEX(SP_GF_OPEX,0,COLUMN()),0)-IFERROR(INDEX(SP_GF_RD,0,COLUMN()),0)</f>
        <v>0</v>
      </c>
      <c r="BQ41" s="849">
        <f>IFERROR(INDEX(SP_GF_Rev,0,COLUMN()),0)-IFERROR(INDEX(SP_GF_COGS,0,COLUMN()),0)-IFERROR(INDEX(SP_GF_SGA,0,COLUMN()),0)-IFERROR(INDEX(SP_GF_OI_Operating,0,COLUMN()),0)-IFERROR(INDEX(SP_GF_DA_Operating,0,COLUMN()),0)-IFERROR(INDEX(SP_GF_OPEX,0,COLUMN()),0)-IFERROR(INDEX(SP_GF_RD,0,COLUMN()),0)</f>
        <v>0</v>
      </c>
      <c r="BR41" s="850">
        <f>IFERROR(INDEX(SP_GF_Rev,0,COLUMN()),0)-IFERROR(INDEX(SP_GF_COGS,0,COLUMN()),0)-IFERROR(INDEX(SP_GF_SGA,0,COLUMN()),0)-IFERROR(INDEX(SP_GF_OI_Operating,0,COLUMN()),0)-IFERROR(INDEX(SP_GF_DA_Operating,0,COLUMN()),0)-IFERROR(INDEX(SP_GF_OPEX,0,COLUMN()),0)-IFERROR(INDEX(SP_GF_RD,0,COLUMN()),0)</f>
        <v>0</v>
      </c>
      <c r="BS41" s="849">
        <f>IFERROR(INDEX(SP_GF_Rev,0,COLUMN()),0)-IFERROR(INDEX(SP_GF_COGS,0,COLUMN()),0)-IFERROR(INDEX(SP_GF_SGA,0,COLUMN()),0)-IFERROR(INDEX(SP_GF_OI_Operating,0,COLUMN()),0)-IFERROR(INDEX(SP_GF_DA_Operating,0,COLUMN()),0)-IFERROR(INDEX(SP_GF_OPEX,0,COLUMN()),0)-IFERROR(INDEX(SP_GF_RD,0,COLUMN()),0)</f>
        <v>0</v>
      </c>
      <c r="BT41" s="849">
        <f>IFERROR(INDEX(SP_GF_Rev,0,COLUMN()),0)-IFERROR(INDEX(SP_GF_COGS,0,COLUMN()),0)-IFERROR(INDEX(SP_GF_SGA,0,COLUMN()),0)-IFERROR(INDEX(SP_GF_OI_Operating,0,COLUMN()),0)-IFERROR(INDEX(SP_GF_DA_Operating,0,COLUMN()),0)-IFERROR(INDEX(SP_GF_OPEX,0,COLUMN()),0)-IFERROR(INDEX(SP_GF_RD,0,COLUMN()),0)</f>
        <v>0</v>
      </c>
      <c r="BU41" s="849">
        <f>IFERROR(INDEX(SP_GF_Rev,0,COLUMN()),0)-IFERROR(INDEX(SP_GF_COGS,0,COLUMN()),0)-IFERROR(INDEX(SP_GF_SGA,0,COLUMN()),0)-IFERROR(INDEX(SP_GF_OI_Operating,0,COLUMN()),0)-IFERROR(INDEX(SP_GF_DA_Operating,0,COLUMN()),0)-IFERROR(INDEX(SP_GF_OPEX,0,COLUMN()),0)-IFERROR(INDEX(SP_GF_RD,0,COLUMN()),0)</f>
        <v>0</v>
      </c>
      <c r="BV41" s="849">
        <f>IFERROR(INDEX(SP_GF_Rev,0,COLUMN()),0)-IFERROR(INDEX(SP_GF_COGS,0,COLUMN()),0)-IFERROR(INDEX(SP_GF_SGA,0,COLUMN()),0)-IFERROR(INDEX(SP_GF_OI_Operating,0,COLUMN()),0)-IFERROR(INDEX(SP_GF_DA_Operating,0,COLUMN()),0)-IFERROR(INDEX(SP_GF_OPEX,0,COLUMN()),0)-IFERROR(INDEX(SP_GF_RD,0,COLUMN()),0)</f>
        <v>0</v>
      </c>
      <c r="BW41" s="849">
        <f>IFERROR(INDEX(SP_GF_Rev,0,COLUMN()),0)-IFERROR(INDEX(SP_GF_COGS,0,COLUMN()),0)-IFERROR(INDEX(SP_GF_SGA,0,COLUMN()),0)-IFERROR(INDEX(SP_GF_OI_Operating,0,COLUMN()),0)-IFERROR(INDEX(SP_GF_DA_Operating,0,COLUMN()),0)-IFERROR(INDEX(SP_GF_OPEX,0,COLUMN()),0)-IFERROR(INDEX(SP_GF_RD,0,COLUMN()),0)</f>
        <v>0</v>
      </c>
      <c r="BX41" s="544"/>
    </row>
    <row r="42" spans="1:76" s="458" customFormat="1" x14ac:dyDescent="0.35">
      <c r="A42" s="166" t="str">
        <f>INDEX(MO_RIS_IE,0,COLUMN())</f>
        <v>Interest expense, net</v>
      </c>
      <c r="B42" s="167"/>
      <c r="C42" s="543">
        <f>IFERROR(INDEX(MO_RIS_IE_Net,0,COLUMN()),INDEX(MO_RIS_IE,0,COLUMN())+INDEX(MO_RIS_II,0,COLUMN()))</f>
        <v>0.22800000000000001</v>
      </c>
      <c r="D42" s="543">
        <f>IFERROR(INDEX(MO_RIS_IE_Net,0,COLUMN()),INDEX(MO_RIS_IE,0,COLUMN())+INDEX(MO_RIS_II,0,COLUMN()))</f>
        <v>0.27200000000000002</v>
      </c>
      <c r="E42" s="543">
        <f>IFERROR(INDEX(MO_RIS_IE_Net,0,COLUMN()),INDEX(MO_RIS_IE,0,COLUMN())+INDEX(MO_RIS_II,0,COLUMN()))</f>
        <v>0.30599999999999999</v>
      </c>
      <c r="F42" s="543">
        <f>IFERROR(INDEX(MO_RIS_IE_Net,0,COLUMN()),INDEX(MO_RIS_IE,0,COLUMN())+INDEX(MO_RIS_II,0,COLUMN()))</f>
        <v>-1.657</v>
      </c>
      <c r="G42" s="543">
        <f>IFERROR(INDEX(MO_RIS_IE_Net,0,COLUMN()),INDEX(MO_RIS_IE,0,COLUMN())+INDEX(MO_RIS_II,0,COLUMN()))</f>
        <v>8.4000000000000005E-2</v>
      </c>
      <c r="H42" s="543">
        <f>IFERROR(INDEX(MO_RIS_IE_Net,0,COLUMN()),INDEX(MO_RIS_IE,0,COLUMN())+INDEX(MO_RIS_II,0,COLUMN()))</f>
        <v>2.8000000000000001E-2</v>
      </c>
      <c r="I42" s="543">
        <f>IFERROR(INDEX(MO_RIS_IE_Net,0,COLUMN()),INDEX(MO_RIS_IE,0,COLUMN())+INDEX(MO_RIS_II,0,COLUMN()))</f>
        <v>1.2E-2</v>
      </c>
      <c r="J42" s="543">
        <f>IFERROR(INDEX(MO_RIS_IE_Net,0,COLUMN()),INDEX(MO_RIS_IE,0,COLUMN())+INDEX(MO_RIS_II,0,COLUMN()))</f>
        <v>-5.4999999999999993E-2</v>
      </c>
      <c r="K42" s="543">
        <f>IFERROR(INDEX(MO_RIS_IE_Net,0,COLUMN()),INDEX(MO_RIS_IE,0,COLUMN())+INDEX(MO_RIS_II,0,COLUMN()))</f>
        <v>-3.1E-2</v>
      </c>
      <c r="L42" s="543">
        <f>IFERROR(INDEX(MO_RIS_IE_Net,0,COLUMN()),INDEX(MO_RIS_IE,0,COLUMN())+INDEX(MO_RIS_II,0,COLUMN()))</f>
        <v>-0.151</v>
      </c>
      <c r="M42" s="543">
        <f>IFERROR(INDEX(MO_RIS_IE_Net,0,COLUMN()),INDEX(MO_RIS_IE,0,COLUMN())+INDEX(MO_RIS_II,0,COLUMN()))</f>
        <v>0.315</v>
      </c>
      <c r="N42" s="543">
        <f>IFERROR(INDEX(MO_RIS_IE_Net,0,COLUMN()),INDEX(MO_RIS_IE,0,COLUMN())+INDEX(MO_RIS_II,0,COLUMN()))</f>
        <v>3.1579999999999999</v>
      </c>
      <c r="O42" s="543">
        <f>IFERROR(INDEX(MO_RIS_IE_Net,0,COLUMN()),INDEX(MO_RIS_IE,0,COLUMN())+INDEX(MO_RIS_II,0,COLUMN()))</f>
        <v>0.30499999999999999</v>
      </c>
      <c r="P42" s="543">
        <f>IFERROR(INDEX(MO_RIS_IE_Net,0,COLUMN()),INDEX(MO_RIS_IE,0,COLUMN())+INDEX(MO_RIS_II,0,COLUMN()))</f>
        <v>0.19</v>
      </c>
      <c r="Q42" s="543">
        <f>IFERROR(INDEX(MO_RIS_IE_Net,0,COLUMN()),INDEX(MO_RIS_IE,0,COLUMN())+INDEX(MO_RIS_II,0,COLUMN()))</f>
        <v>0.10100000000000001</v>
      </c>
      <c r="R42" s="543">
        <f>IFERROR(INDEX(MO_RIS_IE_Net,0,COLUMN()),INDEX(MO_RIS_IE,0,COLUMN())+INDEX(MO_RIS_II,0,COLUMN()))</f>
        <v>2.1000000000000019E-2</v>
      </c>
      <c r="S42" s="543">
        <f>IFERROR(INDEX(MO_RIS_IE_Net,0,COLUMN()),INDEX(MO_RIS_IE,0,COLUMN())+INDEX(MO_RIS_II,0,COLUMN()))</f>
        <v>-0.34200000000000003</v>
      </c>
      <c r="T42" s="543">
        <f>IFERROR(INDEX(MO_RIS_IE_Net,0,COLUMN()),INDEX(MO_RIS_IE,0,COLUMN())+INDEX(MO_RIS_II,0,COLUMN()))</f>
        <v>-0.26400000000000001</v>
      </c>
      <c r="U42" s="543">
        <f>IFERROR(INDEX(MO_RIS_IE_Net,0,COLUMN()),INDEX(MO_RIS_IE,0,COLUMN())+INDEX(MO_RIS_II,0,COLUMN()))</f>
        <v>-0.64100000000000001</v>
      </c>
      <c r="V42" s="543">
        <f>IFERROR(INDEX(MO_RIS_IE_Net,0,COLUMN()),INDEX(MO_RIS_IE,0,COLUMN())+INDEX(MO_RIS_II,0,COLUMN()))</f>
        <v>-0.56099999999999994</v>
      </c>
      <c r="W42" s="543">
        <f>IFERROR(INDEX(MO_RIS_IE_Net,0,COLUMN()),INDEX(MO_RIS_IE,0,COLUMN())+INDEX(MO_RIS_II,0,COLUMN()))</f>
        <v>-0.23499999999999999</v>
      </c>
      <c r="X42" s="543">
        <f>IFERROR(INDEX(MO_RIS_IE_Net,0,COLUMN()),INDEX(MO_RIS_IE,0,COLUMN())+INDEX(MO_RIS_II,0,COLUMN()))</f>
        <v>-3.9E-2</v>
      </c>
      <c r="Y42" s="543">
        <f>IFERROR(INDEX(MO_RIS_IE_Net,0,COLUMN()),INDEX(MO_RIS_IE,0,COLUMN())+INDEX(MO_RIS_II,0,COLUMN()))</f>
        <v>-0.26100000000000001</v>
      </c>
      <c r="Z42" s="543">
        <f>IFERROR(INDEX(MO_RIS_IE_Net,0,COLUMN()),INDEX(MO_RIS_IE,0,COLUMN())+INDEX(MO_RIS_II,0,COLUMN()))</f>
        <v>-0.42999999999999994</v>
      </c>
      <c r="AA42" s="543">
        <f>IFERROR(INDEX(MO_RIS_IE_Net,0,COLUMN()),INDEX(MO_RIS_IE,0,COLUMN())+INDEX(MO_RIS_II,0,COLUMN()))</f>
        <v>-0.316</v>
      </c>
      <c r="AB42" s="543">
        <f>IFERROR(INDEX(MO_RIS_IE_Net,0,COLUMN()),INDEX(MO_RIS_IE,0,COLUMN())+INDEX(MO_RIS_II,0,COLUMN()))</f>
        <v>-0.47699999999999998</v>
      </c>
      <c r="AC42" s="543">
        <f>IFERROR(INDEX(MO_RIS_IE_Net,0,COLUMN()),INDEX(MO_RIS_IE,0,COLUMN())+INDEX(MO_RIS_II,0,COLUMN()))</f>
        <v>-0.754</v>
      </c>
      <c r="AD42" s="543">
        <f>IFERROR(INDEX(MO_RIS_IE_Net,0,COLUMN()),INDEX(MO_RIS_IE,0,COLUMN())+INDEX(MO_RIS_II,0,COLUMN()))</f>
        <v>-1.2140000000000002</v>
      </c>
      <c r="AE42" s="543">
        <f>IFERROR(INDEX(MO_RIS_IE_Net,0,COLUMN()),INDEX(MO_RIS_IE,0,COLUMN())+INDEX(MO_RIS_II,0,COLUMN()))</f>
        <v>-0.91</v>
      </c>
      <c r="AF42" s="543">
        <f>IFERROR(INDEX(MO_RIS_IE_Net,0,COLUMN()),INDEX(MO_RIS_IE,0,COLUMN())+INDEX(MO_RIS_II,0,COLUMN()))</f>
        <v>-0.441</v>
      </c>
      <c r="AG42" s="543">
        <f>IFERROR(INDEX(MO_RIS_IE_Net,0,COLUMN()),INDEX(MO_RIS_IE,0,COLUMN())+INDEX(MO_RIS_II,0,COLUMN()))</f>
        <v>7.5999999999999998E-2</v>
      </c>
      <c r="AH42" s="543">
        <f>IFERROR(INDEX(MO_RIS_IE_Net,0,COLUMN()),INDEX(MO_RIS_IE,0,COLUMN())+INDEX(MO_RIS_II,0,COLUMN()))</f>
        <v>0.57700000000000018</v>
      </c>
      <c r="AI42" s="543">
        <f>IFERROR(INDEX(MO_RIS_IE_Net,0,COLUMN()),INDEX(MO_RIS_IE,0,COLUMN())+INDEX(MO_RIS_II,0,COLUMN()))</f>
        <v>2.1070000000000002</v>
      </c>
      <c r="AJ42" s="543">
        <f>IFERROR(INDEX(MO_RIS_IE_Net,0,COLUMN()),INDEX(MO_RIS_IE,0,COLUMN())+INDEX(MO_RIS_II,0,COLUMN()))</f>
        <v>5.024</v>
      </c>
      <c r="AK42" s="543">
        <f>IFERROR(INDEX(MO_RIS_IE_Net,0,COLUMN()),INDEX(MO_RIS_IE,0,COLUMN())+INDEX(MO_RIS_II,0,COLUMN()))</f>
        <v>5.3710000000000004</v>
      </c>
      <c r="AL42" s="543">
        <f>IFERROR(INDEX(MO_RIS_IE_Net,0,COLUMN()),INDEX(MO_RIS_IE,0,COLUMN())+INDEX(MO_RIS_II,0,COLUMN()))</f>
        <v>5.4769999999999985</v>
      </c>
      <c r="AM42" s="543">
        <f>IFERROR(INDEX(MO_RIS_IE_Net,0,COLUMN()),INDEX(MO_RIS_IE,0,COLUMN())+INDEX(MO_RIS_II,0,COLUMN()))</f>
        <v>1.9930000000000001</v>
      </c>
      <c r="AN42" s="543">
        <f>IFERROR(INDEX(MO_RIS_IE_Net,0,COLUMN()),INDEX(MO_RIS_IE,0,COLUMN())+INDEX(MO_RIS_II,0,COLUMN()))</f>
        <v>1.875</v>
      </c>
      <c r="AO42" s="543">
        <f>IFERROR(INDEX(MO_RIS_IE_Net,0,COLUMN()),INDEX(MO_RIS_IE,0,COLUMN())+INDEX(MO_RIS_II,0,COLUMN()))</f>
        <v>2.3730000000000002</v>
      </c>
      <c r="AP42" s="543">
        <f>IFERROR(INDEX(MO_RIS_IE_Net,0,COLUMN()),INDEX(MO_RIS_IE,0,COLUMN())+INDEX(MO_RIS_II,0,COLUMN()))</f>
        <v>2.0359999999999987</v>
      </c>
      <c r="AQ42" s="543">
        <f>IFERROR(INDEX(MO_RIS_IE_Net,0,COLUMN()),INDEX(MO_RIS_IE,0,COLUMN())+INDEX(MO_RIS_II,0,COLUMN()))</f>
        <v>2.0459999999999998</v>
      </c>
      <c r="AR42" s="543">
        <f>IFERROR(INDEX(MO_RIS_IE_Net,0,COLUMN()),INDEX(MO_RIS_IE,0,COLUMN())+INDEX(MO_RIS_II,0,COLUMN()))</f>
        <v>2.0819999999999999</v>
      </c>
      <c r="AS42" s="543">
        <f>IFERROR(INDEX(MO_RIS_IE_Net,0,COLUMN()),INDEX(MO_RIS_IE,0,COLUMN())+INDEX(MO_RIS_II,0,COLUMN()))</f>
        <v>2.206</v>
      </c>
      <c r="AT42" s="543">
        <f>IFERROR(INDEX(MO_RIS_IE_Net,0,COLUMN()),INDEX(MO_RIS_IE,0,COLUMN())+INDEX(MO_RIS_II,0,COLUMN()))</f>
        <v>2.0700000000000007</v>
      </c>
      <c r="AU42" s="614">
        <f>IFERROR(INDEX(MO_RIS_IE_Net,0,COLUMN()),INDEX(MO_RIS_IE,0,COLUMN())+INDEX(MO_RIS_II,0,COLUMN()))</f>
        <v>2.0680000000000001</v>
      </c>
      <c r="AV42" s="543">
        <f>IFERROR(INDEX(MO_RIS_IE_Net,0,COLUMN()),INDEX(MO_RIS_IE,0,COLUMN())+INDEX(MO_RIS_II,0,COLUMN()))</f>
        <v>3.4103821857923498</v>
      </c>
      <c r="AW42" s="543">
        <f ca="1">IFERROR(INDEX(MO_RIS_IE_Net,0,COLUMN()),INDEX(MO_RIS_IE,0,COLUMN())+INDEX(MO_RIS_II,0,COLUMN()))</f>
        <v>1.8049225428782298</v>
      </c>
      <c r="AX42" s="543">
        <f ca="1">IFERROR(INDEX(MO_RIS_IE_Net,0,COLUMN()),INDEX(MO_RIS_IE,0,COLUMN())+INDEX(MO_RIS_II,0,COLUMN()))</f>
        <v>0.7609046530956558</v>
      </c>
      <c r="AY42" s="543">
        <f>IFERROR(INDEX(MO_RIS_IE_Net,0,COLUMN()),INDEX(MO_RIS_IE,0,COLUMN())+INDEX(MO_RIS_II,0,COLUMN()))</f>
        <v>0</v>
      </c>
      <c r="AZ42" s="543">
        <f>IFERROR(INDEX(MO_RIS_IE_Net,0,COLUMN()),INDEX(MO_RIS_IE,0,COLUMN())+INDEX(MO_RIS_II,0,COLUMN()))</f>
        <v>0.98199999999999998</v>
      </c>
      <c r="BA42" s="543">
        <f>IFERROR(INDEX(MO_RIS_IE_Net,0,COLUMN()),INDEX(MO_RIS_IE,0,COLUMN())+INDEX(MO_RIS_II,0,COLUMN()))</f>
        <v>1.331</v>
      </c>
      <c r="BB42" s="543">
        <f>IFERROR(INDEX(MO_RIS_IE_Net,0,COLUMN()),INDEX(MO_RIS_IE,0,COLUMN())+INDEX(MO_RIS_II,0,COLUMN()))</f>
        <v>1.2070000000000001</v>
      </c>
      <c r="BC42" s="543"/>
      <c r="BD42" s="851">
        <f>IFERROR(INDEX(MO_RIS_IE_Net,0,COLUMN()),INDEX(MO_RIS_IE,0,COLUMN())+INDEX(MO_RIS_II,0,COLUMN()))</f>
        <v>-0.85099999999999998</v>
      </c>
      <c r="BE42" s="851">
        <f>IFERROR(INDEX(MO_RIS_IE_Net,0,COLUMN()),INDEX(MO_RIS_IE,0,COLUMN())+INDEX(MO_RIS_II,0,COLUMN()))</f>
        <v>6.9000000000000006E-2</v>
      </c>
      <c r="BF42" s="851">
        <f>IFERROR(INDEX(MO_RIS_IE_Net,0,COLUMN()),INDEX(MO_RIS_IE,0,COLUMN())+INDEX(MO_RIS_II,0,COLUMN()))</f>
        <v>3.2909999999999999</v>
      </c>
      <c r="BG42" s="851">
        <f>IFERROR(INDEX(MO_RIS_IE_Net,0,COLUMN()),INDEX(MO_RIS_IE,0,COLUMN())+INDEX(MO_RIS_II,0,COLUMN()))</f>
        <v>0.61699999999999999</v>
      </c>
      <c r="BH42" s="851">
        <f>IFERROR(INDEX(MO_RIS_IE_Net,0,COLUMN()),INDEX(MO_RIS_IE,0,COLUMN())+INDEX(MO_RIS_II,0,COLUMN()))</f>
        <v>-1.8080000000000001</v>
      </c>
      <c r="BI42" s="851">
        <f>IFERROR(INDEX(MO_RIS_IE_Net,0,COLUMN()),INDEX(MO_RIS_IE,0,COLUMN())+INDEX(MO_RIS_II,0,COLUMN()))</f>
        <v>-0.96499999999999997</v>
      </c>
      <c r="BJ42" s="851">
        <f>IFERROR(INDEX(MO_RIS_IE_Net,0,COLUMN()),INDEX(MO_RIS_IE,0,COLUMN())+INDEX(MO_RIS_II,0,COLUMN()))</f>
        <v>-2.7610000000000001</v>
      </c>
      <c r="BK42" s="851">
        <f>IFERROR(INDEX(MO_RIS_IE_Net,0,COLUMN()),INDEX(MO_RIS_IE,0,COLUMN())+INDEX(MO_RIS_II,0,COLUMN()))</f>
        <v>-0.69799999999999995</v>
      </c>
      <c r="BL42" s="851">
        <f>IFERROR(INDEX(MO_RIS_IE_Net,0,COLUMN()),INDEX(MO_RIS_IE,0,COLUMN())+INDEX(MO_RIS_II,0,COLUMN()))</f>
        <v>17.978999999999999</v>
      </c>
      <c r="BM42" s="851">
        <f>IFERROR(INDEX(MO_RIS_IE_Net,0,COLUMN()),INDEX(MO_RIS_IE,0,COLUMN())+INDEX(MO_RIS_II,0,COLUMN()))</f>
        <v>8.2769999999999992</v>
      </c>
      <c r="BN42" s="851">
        <f>IFERROR(INDEX(MO_RIS_IE_Net,0,COLUMN()),INDEX(MO_RIS_IE,0,COLUMN())+INDEX(MO_RIS_II,0,COLUMN()))</f>
        <v>8.4039999999999999</v>
      </c>
      <c r="BO42" s="851">
        <f ca="1">IFERROR(INDEX(MO_RIS_IE_Net,0,COLUMN()),INDEX(MO_RIS_IE,0,COLUMN())+INDEX(MO_RIS_II,0,COLUMN()))</f>
        <v>8.0442093817662368</v>
      </c>
      <c r="BP42" s="851" t="e">
        <f>IFERROR(INDEX(MO_RIS_IE_Net,0,COLUMN()),INDEX(MO_RIS_IE,0,COLUMN())+INDEX(MO_RIS_II,0,COLUMN()))</f>
        <v>#REF!</v>
      </c>
      <c r="BQ42" s="851" t="str">
        <f>IFERROR(INDEX(MO_RIS_IE_Net,0,COLUMN()),INDEX(MO_RIS_IE,0,COLUMN())+INDEX(MO_RIS_II,0,COLUMN()))</f>
        <v>n/a</v>
      </c>
      <c r="BR42" s="852" t="str">
        <f>IFERROR(INDEX(MO_RIS_IE_Net,0,COLUMN()),INDEX(MO_RIS_IE,0,COLUMN())+INDEX(MO_RIS_II,0,COLUMN()))</f>
        <v>n/a</v>
      </c>
      <c r="BS42" s="851" t="str">
        <f ca="1">IFERROR(INDEX(MO_RIS_IE_Net,0,COLUMN()),INDEX(MO_RIS_IE,0,COLUMN())+INDEX(MO_RIS_II,0,COLUMN()))</f>
        <v>n/a</v>
      </c>
      <c r="BT42" s="851">
        <f>IFERROR(INDEX(MO_RIS_IE_Net,0,COLUMN()),INDEX(MO_RIS_IE,0,COLUMN())+INDEX(MO_RIS_II,0,COLUMN()))</f>
        <v>0</v>
      </c>
      <c r="BU42" s="851">
        <f>IFERROR(INDEX(MO_RIS_IE_Net,0,COLUMN()),INDEX(MO_RIS_IE,0,COLUMN())+INDEX(MO_RIS_II,0,COLUMN()))</f>
        <v>0</v>
      </c>
      <c r="BV42" s="851">
        <f>IFERROR(INDEX(MO_RIS_IE_Net,0,COLUMN()),INDEX(MO_RIS_IE,0,COLUMN())+INDEX(MO_RIS_II,0,COLUMN()))</f>
        <v>0</v>
      </c>
      <c r="BW42" s="851">
        <f>IFERROR(INDEX(MO_RIS_IE_Net,0,COLUMN()),INDEX(MO_RIS_IE,0,COLUMN())+INDEX(MO_RIS_II,0,COLUMN()))</f>
        <v>0</v>
      </c>
      <c r="BX42" s="543"/>
    </row>
    <row r="43" spans="1:76" s="458" customFormat="1" x14ac:dyDescent="0.35">
      <c r="A43" s="477" t="s">
        <v>307</v>
      </c>
      <c r="B43" s="276"/>
      <c r="C43" s="615">
        <f t="shared" ref="C43:AH43" si="39">INDEX(MO_RIS_OI,0,COLUMN())+INDEX(MO_RIS_OTI,0,COLUMN())</f>
        <v>0</v>
      </c>
      <c r="D43" s="615">
        <f t="shared" si="39"/>
        <v>0</v>
      </c>
      <c r="E43" s="615">
        <f t="shared" si="39"/>
        <v>0</v>
      </c>
      <c r="F43" s="615">
        <f t="shared" si="39"/>
        <v>0</v>
      </c>
      <c r="G43" s="615">
        <f t="shared" si="39"/>
        <v>0</v>
      </c>
      <c r="H43" s="615">
        <f t="shared" si="39"/>
        <v>0</v>
      </c>
      <c r="I43" s="615">
        <f t="shared" si="39"/>
        <v>0</v>
      </c>
      <c r="J43" s="615">
        <f t="shared" si="39"/>
        <v>-6.4039999999999999</v>
      </c>
      <c r="K43" s="615">
        <f t="shared" si="39"/>
        <v>0</v>
      </c>
      <c r="L43" s="615">
        <f t="shared" si="39"/>
        <v>0</v>
      </c>
      <c r="M43" s="615">
        <f t="shared" si="39"/>
        <v>0</v>
      </c>
      <c r="N43" s="615">
        <f t="shared" si="39"/>
        <v>0</v>
      </c>
      <c r="O43" s="615">
        <f t="shared" si="39"/>
        <v>0</v>
      </c>
      <c r="P43" s="615">
        <f t="shared" si="39"/>
        <v>0</v>
      </c>
      <c r="Q43" s="615">
        <f t="shared" si="39"/>
        <v>0</v>
      </c>
      <c r="R43" s="615">
        <f t="shared" si="39"/>
        <v>0</v>
      </c>
      <c r="S43" s="615">
        <f t="shared" si="39"/>
        <v>0</v>
      </c>
      <c r="T43" s="615">
        <f t="shared" si="39"/>
        <v>0</v>
      </c>
      <c r="U43" s="615">
        <f t="shared" si="39"/>
        <v>0</v>
      </c>
      <c r="V43" s="615">
        <f t="shared" si="39"/>
        <v>10</v>
      </c>
      <c r="W43" s="615">
        <f t="shared" si="39"/>
        <v>0</v>
      </c>
      <c r="X43" s="615">
        <f t="shared" si="39"/>
        <v>0</v>
      </c>
      <c r="Y43" s="615">
        <f t="shared" si="39"/>
        <v>0</v>
      </c>
      <c r="Z43" s="615">
        <f t="shared" si="39"/>
        <v>0</v>
      </c>
      <c r="AA43" s="615">
        <f t="shared" si="39"/>
        <v>-0.193</v>
      </c>
      <c r="AB43" s="615">
        <f t="shared" si="39"/>
        <v>0.78900000000000003</v>
      </c>
      <c r="AC43" s="615">
        <f t="shared" si="39"/>
        <v>-0.55600000000000005</v>
      </c>
      <c r="AD43" s="615">
        <f t="shared" si="39"/>
        <v>-0.15399999999999997</v>
      </c>
      <c r="AE43" s="615">
        <f t="shared" si="39"/>
        <v>8.0000000000000002E-3</v>
      </c>
      <c r="AF43" s="615">
        <f t="shared" si="39"/>
        <v>-0.36499999999999999</v>
      </c>
      <c r="AG43" s="615">
        <f t="shared" si="39"/>
        <v>1.093</v>
      </c>
      <c r="AH43" s="615">
        <f t="shared" si="39"/>
        <v>-1.008</v>
      </c>
      <c r="AI43" s="615">
        <f t="shared" ref="AI43:BB43" si="40">INDEX(MO_RIS_OI,0,COLUMN())+INDEX(MO_RIS_OTI,0,COLUMN())</f>
        <v>-0.42899999999999999</v>
      </c>
      <c r="AJ43" s="615">
        <f t="shared" si="40"/>
        <v>-1.361</v>
      </c>
      <c r="AK43" s="615">
        <f t="shared" si="40"/>
        <v>-0.48599999999999999</v>
      </c>
      <c r="AL43" s="615">
        <f t="shared" si="40"/>
        <v>-0.55299999999999994</v>
      </c>
      <c r="AM43" s="615">
        <f t="shared" si="40"/>
        <v>8.8999999999999996E-2</v>
      </c>
      <c r="AN43" s="615">
        <f t="shared" si="40"/>
        <v>-3.8839999999999999</v>
      </c>
      <c r="AO43" s="615">
        <f t="shared" si="40"/>
        <v>-0.496</v>
      </c>
      <c r="AP43" s="615">
        <f t="shared" si="40"/>
        <v>5.5679999999999996</v>
      </c>
      <c r="AQ43" s="615">
        <f t="shared" si="40"/>
        <v>-1.0369999999999999</v>
      </c>
      <c r="AR43" s="615">
        <f t="shared" si="40"/>
        <v>-3.9699999999999998</v>
      </c>
      <c r="AS43" s="615">
        <f t="shared" si="40"/>
        <v>-4.5869999999999997</v>
      </c>
      <c r="AT43" s="615">
        <f t="shared" si="40"/>
        <v>-5.8580000000000005</v>
      </c>
      <c r="AU43" s="616">
        <f t="shared" si="40"/>
        <v>-5.165</v>
      </c>
      <c r="AV43" s="615">
        <f t="shared" si="40"/>
        <v>-1</v>
      </c>
      <c r="AW43" s="615">
        <f t="shared" si="40"/>
        <v>-1</v>
      </c>
      <c r="AX43" s="615">
        <f t="shared" si="40"/>
        <v>-1</v>
      </c>
      <c r="AY43" s="615">
        <f t="shared" si="40"/>
        <v>0</v>
      </c>
      <c r="AZ43" s="615">
        <f t="shared" si="40"/>
        <v>0</v>
      </c>
      <c r="BA43" s="615">
        <f t="shared" si="40"/>
        <v>0</v>
      </c>
      <c r="BB43" s="615">
        <f t="shared" si="40"/>
        <v>0</v>
      </c>
      <c r="BC43" s="615"/>
      <c r="BD43" s="847">
        <f t="shared" ref="BD43:BW43" si="41">INDEX(MO_RIS_OI,0,COLUMN())+INDEX(MO_RIS_OTI,0,COLUMN())</f>
        <v>0</v>
      </c>
      <c r="BE43" s="847">
        <f t="shared" si="41"/>
        <v>-6.4039999999999999</v>
      </c>
      <c r="BF43" s="847">
        <f t="shared" si="41"/>
        <v>0</v>
      </c>
      <c r="BG43" s="847">
        <f t="shared" si="41"/>
        <v>0</v>
      </c>
      <c r="BH43" s="847">
        <f t="shared" si="41"/>
        <v>10</v>
      </c>
      <c r="BI43" s="847">
        <f t="shared" si="41"/>
        <v>0</v>
      </c>
      <c r="BJ43" s="847">
        <f t="shared" si="41"/>
        <v>-0.114</v>
      </c>
      <c r="BK43" s="847">
        <f t="shared" si="41"/>
        <v>-0.27200000000000002</v>
      </c>
      <c r="BL43" s="847">
        <f t="shared" si="41"/>
        <v>-2.8290000000000002</v>
      </c>
      <c r="BM43" s="847">
        <f t="shared" si="41"/>
        <v>1.2769999999999999</v>
      </c>
      <c r="BN43" s="847">
        <f t="shared" si="41"/>
        <v>-15.452</v>
      </c>
      <c r="BO43" s="847">
        <f t="shared" si="41"/>
        <v>-8.1649999999999991</v>
      </c>
      <c r="BP43" s="847" t="e">
        <f t="shared" si="41"/>
        <v>#REF!</v>
      </c>
      <c r="BQ43" s="847">
        <f t="shared" si="41"/>
        <v>-4</v>
      </c>
      <c r="BR43" s="848">
        <f t="shared" si="41"/>
        <v>-4</v>
      </c>
      <c r="BS43" s="847">
        <f t="shared" si="41"/>
        <v>-4</v>
      </c>
      <c r="BT43" s="847">
        <f t="shared" si="41"/>
        <v>0</v>
      </c>
      <c r="BU43" s="847">
        <f t="shared" si="41"/>
        <v>0</v>
      </c>
      <c r="BV43" s="847">
        <f t="shared" si="41"/>
        <v>0</v>
      </c>
      <c r="BW43" s="847">
        <f t="shared" si="41"/>
        <v>0</v>
      </c>
      <c r="BX43" s="543"/>
    </row>
    <row r="44" spans="1:76" s="66" customFormat="1" x14ac:dyDescent="0.35">
      <c r="A44" s="168" t="str">
        <f>INDEX(MO_RIS_EBT,0,COLUMN())</f>
        <v>EBT</v>
      </c>
      <c r="B44" s="169"/>
      <c r="C44" s="612">
        <f t="shared" ref="C44:AH44" si="42">INDEX(SP_GF_EBIT,0,COLUMN())-INDEX(SP_GF_IE,0,COLUMN())-INDEX(SP_GF_OI,0,COLUMN())</f>
        <v>8.4330000000000016</v>
      </c>
      <c r="D44" s="612">
        <f t="shared" si="42"/>
        <v>15.999999999999991</v>
      </c>
      <c r="E44" s="612">
        <f t="shared" si="42"/>
        <v>19.045999999999989</v>
      </c>
      <c r="F44" s="612">
        <f t="shared" si="42"/>
        <v>3.0779999999999923</v>
      </c>
      <c r="G44" s="612">
        <f t="shared" si="42"/>
        <v>-8.5479999999999698</v>
      </c>
      <c r="H44" s="612">
        <f t="shared" si="42"/>
        <v>-8.9359999999999875</v>
      </c>
      <c r="I44" s="612">
        <f t="shared" si="42"/>
        <v>27.37299999999999</v>
      </c>
      <c r="J44" s="612">
        <f t="shared" si="42"/>
        <v>19.301999999999961</v>
      </c>
      <c r="K44" s="612">
        <f t="shared" si="42"/>
        <v>-13.127000000000029</v>
      </c>
      <c r="L44" s="612">
        <f t="shared" si="42"/>
        <v>20.623999999999999</v>
      </c>
      <c r="M44" s="612">
        <f t="shared" si="42"/>
        <v>27.114999999999977</v>
      </c>
      <c r="N44" s="612">
        <f t="shared" si="42"/>
        <v>-19.475999999999871</v>
      </c>
      <c r="O44" s="612">
        <f t="shared" si="42"/>
        <v>-20.760999999999989</v>
      </c>
      <c r="P44" s="612">
        <f t="shared" si="42"/>
        <v>14.53699999999999</v>
      </c>
      <c r="Q44" s="612">
        <f t="shared" si="42"/>
        <v>19.033000000000001</v>
      </c>
      <c r="R44" s="612">
        <f t="shared" si="42"/>
        <v>0.48799999999998611</v>
      </c>
      <c r="S44" s="612">
        <f t="shared" si="42"/>
        <v>-22.326999999999984</v>
      </c>
      <c r="T44" s="612">
        <f t="shared" si="42"/>
        <v>18.587000000000007</v>
      </c>
      <c r="U44" s="612">
        <f t="shared" si="42"/>
        <v>13.403999999999977</v>
      </c>
      <c r="V44" s="612">
        <f t="shared" si="42"/>
        <v>-4.7270000000000252</v>
      </c>
      <c r="W44" s="612">
        <f t="shared" si="42"/>
        <v>-17.526999999999987</v>
      </c>
      <c r="X44" s="612">
        <f t="shared" si="42"/>
        <v>13.752999999999998</v>
      </c>
      <c r="Y44" s="612">
        <f t="shared" si="42"/>
        <v>19.978000000000012</v>
      </c>
      <c r="Z44" s="612">
        <f t="shared" si="42"/>
        <v>10.305999999999948</v>
      </c>
      <c r="AA44" s="612">
        <f t="shared" si="42"/>
        <v>-13.243000000000023</v>
      </c>
      <c r="AB44" s="612">
        <f t="shared" si="42"/>
        <v>32.978000000000002</v>
      </c>
      <c r="AC44" s="612">
        <f t="shared" si="42"/>
        <v>24.577000000000019</v>
      </c>
      <c r="AD44" s="612">
        <f t="shared" si="42"/>
        <v>4.0489999999999693</v>
      </c>
      <c r="AE44" s="612">
        <f t="shared" si="42"/>
        <v>-18.486000000000018</v>
      </c>
      <c r="AF44" s="612">
        <f t="shared" si="42"/>
        <v>31.111000000000026</v>
      </c>
      <c r="AG44" s="612">
        <f t="shared" si="42"/>
        <v>13.330000000000009</v>
      </c>
      <c r="AH44" s="612">
        <f t="shared" si="42"/>
        <v>7.4720000000001532</v>
      </c>
      <c r="AI44" s="612">
        <f t="shared" ref="AI44:BB44" si="43">INDEX(SP_GF_EBIT,0,COLUMN())-INDEX(SP_GF_IE,0,COLUMN())-INDEX(SP_GF_OI,0,COLUMN())</f>
        <v>10.385999999999994</v>
      </c>
      <c r="AJ44" s="612">
        <f t="shared" si="43"/>
        <v>34.788999999999952</v>
      </c>
      <c r="AK44" s="612">
        <f t="shared" si="43"/>
        <v>33.667999999999992</v>
      </c>
      <c r="AL44" s="612">
        <f t="shared" si="43"/>
        <v>16.463000000000058</v>
      </c>
      <c r="AM44" s="612">
        <f t="shared" si="43"/>
        <v>-9.0590000000000046</v>
      </c>
      <c r="AN44" s="612">
        <f t="shared" si="43"/>
        <v>58.924000000000021</v>
      </c>
      <c r="AO44" s="612">
        <f t="shared" si="43"/>
        <v>58.716999999999999</v>
      </c>
      <c r="AP44" s="612">
        <f t="shared" si="43"/>
        <v>38.491999999999976</v>
      </c>
      <c r="AQ44" s="612">
        <f t="shared" si="43"/>
        <v>-29.727999999999994</v>
      </c>
      <c r="AR44" s="612">
        <f t="shared" si="43"/>
        <v>69.961000000000027</v>
      </c>
      <c r="AS44" s="612">
        <f t="shared" si="43"/>
        <v>74.580000000000013</v>
      </c>
      <c r="AT44" s="612">
        <f t="shared" si="43"/>
        <v>57.733999999999966</v>
      </c>
      <c r="AU44" s="613">
        <f t="shared" si="43"/>
        <v>6.4169999999999643</v>
      </c>
      <c r="AV44" s="612">
        <f t="shared" si="43"/>
        <v>72.484809094207634</v>
      </c>
      <c r="AW44" s="612">
        <f t="shared" ca="1" si="43"/>
        <v>78.667519671921738</v>
      </c>
      <c r="AX44" s="612">
        <f t="shared" ca="1" si="43"/>
        <v>62.090356658904362</v>
      </c>
      <c r="AY44" s="612">
        <f t="shared" si="43"/>
        <v>0</v>
      </c>
      <c r="AZ44" s="612">
        <f t="shared" si="43"/>
        <v>21.356999999999971</v>
      </c>
      <c r="BA44" s="612">
        <f t="shared" si="43"/>
        <v>34.136000000000038</v>
      </c>
      <c r="BB44" s="612">
        <f t="shared" si="43"/>
        <v>23.006999999999969</v>
      </c>
      <c r="BC44" s="612"/>
      <c r="BD44" s="849">
        <f t="shared" ref="BD44:BW44" si="44">INDEX(SP_GF_EBIT,0,COLUMN())-INDEX(SP_GF_IE,0,COLUMN())-INDEX(SP_GF_OI,0,COLUMN())</f>
        <v>46.557000000000016</v>
      </c>
      <c r="BE44" s="849">
        <f t="shared" si="44"/>
        <v>29.190999999999939</v>
      </c>
      <c r="BF44" s="849">
        <f t="shared" si="44"/>
        <v>15.136000000000021</v>
      </c>
      <c r="BG44" s="849">
        <f t="shared" si="44"/>
        <v>13.297000000000043</v>
      </c>
      <c r="BH44" s="849">
        <f t="shared" si="44"/>
        <v>4.9369999999999621</v>
      </c>
      <c r="BI44" s="849">
        <f t="shared" si="44"/>
        <v>26.510000000000016</v>
      </c>
      <c r="BJ44" s="849">
        <f t="shared" si="44"/>
        <v>48.360999999999933</v>
      </c>
      <c r="BK44" s="849">
        <f t="shared" si="44"/>
        <v>33.427000000000106</v>
      </c>
      <c r="BL44" s="849">
        <f t="shared" si="44"/>
        <v>95.305999999999955</v>
      </c>
      <c r="BM44" s="849">
        <f t="shared" si="44"/>
        <v>147.07399999999996</v>
      </c>
      <c r="BN44" s="849">
        <f t="shared" si="44"/>
        <v>172.54699999999991</v>
      </c>
      <c r="BO44" s="849">
        <f t="shared" ca="1" si="44"/>
        <v>219.6596854250337</v>
      </c>
      <c r="BP44" s="849" t="e">
        <f t="shared" si="44"/>
        <v>#REF!</v>
      </c>
      <c r="BQ44" s="849" t="e">
        <f t="shared" si="44"/>
        <v>#VALUE!</v>
      </c>
      <c r="BR44" s="850" t="e">
        <f t="shared" si="44"/>
        <v>#VALUE!</v>
      </c>
      <c r="BS44" s="849" t="e">
        <f t="shared" ca="1" si="44"/>
        <v>#VALUE!</v>
      </c>
      <c r="BT44" s="849">
        <f t="shared" si="44"/>
        <v>0</v>
      </c>
      <c r="BU44" s="849">
        <f t="shared" si="44"/>
        <v>0</v>
      </c>
      <c r="BV44" s="849">
        <f t="shared" si="44"/>
        <v>0</v>
      </c>
      <c r="BW44" s="849">
        <f t="shared" si="44"/>
        <v>0</v>
      </c>
      <c r="BX44" s="544"/>
    </row>
    <row r="45" spans="1:76" s="458" customFormat="1" x14ac:dyDescent="0.35">
      <c r="A45" s="166" t="str">
        <f>INDEX(MO_RIS_EI,0,COLUMN())</f>
        <v>Income from equity method investments</v>
      </c>
      <c r="B45" s="167"/>
      <c r="C45" s="543">
        <f t="shared" ref="C45:AH45" si="45">INDEX(MO_RIS_EI,0,COLUMN())</f>
        <v>0</v>
      </c>
      <c r="D45" s="543">
        <f t="shared" si="45"/>
        <v>0</v>
      </c>
      <c r="E45" s="543">
        <f t="shared" si="45"/>
        <v>0</v>
      </c>
      <c r="F45" s="543">
        <f t="shared" si="45"/>
        <v>0</v>
      </c>
      <c r="G45" s="543">
        <f t="shared" si="45"/>
        <v>0</v>
      </c>
      <c r="H45" s="543">
        <f t="shared" si="45"/>
        <v>0</v>
      </c>
      <c r="I45" s="543">
        <f t="shared" si="45"/>
        <v>0</v>
      </c>
      <c r="J45" s="543">
        <f t="shared" si="45"/>
        <v>0</v>
      </c>
      <c r="K45" s="543">
        <f t="shared" si="45"/>
        <v>0</v>
      </c>
      <c r="L45" s="543">
        <f t="shared" si="45"/>
        <v>0</v>
      </c>
      <c r="M45" s="543">
        <f t="shared" si="45"/>
        <v>0</v>
      </c>
      <c r="N45" s="543">
        <f t="shared" si="45"/>
        <v>0</v>
      </c>
      <c r="O45" s="543">
        <f t="shared" si="45"/>
        <v>0</v>
      </c>
      <c r="P45" s="543">
        <f t="shared" si="45"/>
        <v>0</v>
      </c>
      <c r="Q45" s="543">
        <f t="shared" si="45"/>
        <v>0</v>
      </c>
      <c r="R45" s="543">
        <f t="shared" si="45"/>
        <v>0</v>
      </c>
      <c r="S45" s="543">
        <f t="shared" si="45"/>
        <v>0</v>
      </c>
      <c r="T45" s="543">
        <f t="shared" si="45"/>
        <v>0</v>
      </c>
      <c r="U45" s="543">
        <f t="shared" si="45"/>
        <v>0</v>
      </c>
      <c r="V45" s="543">
        <f t="shared" si="45"/>
        <v>0</v>
      </c>
      <c r="W45" s="543">
        <f t="shared" si="45"/>
        <v>0</v>
      </c>
      <c r="X45" s="543">
        <f t="shared" si="45"/>
        <v>0</v>
      </c>
      <c r="Y45" s="543">
        <f t="shared" si="45"/>
        <v>0</v>
      </c>
      <c r="Z45" s="543">
        <f t="shared" si="45"/>
        <v>0</v>
      </c>
      <c r="AA45" s="543">
        <f t="shared" si="45"/>
        <v>9.7000000000000003E-2</v>
      </c>
      <c r="AB45" s="543">
        <f t="shared" si="45"/>
        <v>0.192</v>
      </c>
      <c r="AC45" s="543">
        <f t="shared" si="45"/>
        <v>0.27300000000000002</v>
      </c>
      <c r="AD45" s="543">
        <f t="shared" si="45"/>
        <v>6.9999999999999951E-2</v>
      </c>
      <c r="AE45" s="543">
        <f t="shared" si="45"/>
        <v>6.2E-2</v>
      </c>
      <c r="AF45" s="543">
        <f t="shared" si="45"/>
        <v>0.125</v>
      </c>
      <c r="AG45" s="543">
        <f t="shared" si="45"/>
        <v>0.157</v>
      </c>
      <c r="AH45" s="543">
        <f t="shared" si="45"/>
        <v>3.6000000000000032E-2</v>
      </c>
      <c r="AI45" s="543">
        <f t="shared" ref="AI45:BB45" si="46">INDEX(MO_RIS_EI,0,COLUMN())</f>
        <v>9.6000000000000002E-2</v>
      </c>
      <c r="AJ45" s="543">
        <f t="shared" si="46"/>
        <v>-0.35399999999999998</v>
      </c>
      <c r="AK45" s="543">
        <f t="shared" si="46"/>
        <v>-0.39600000000000002</v>
      </c>
      <c r="AL45" s="543">
        <f t="shared" si="46"/>
        <v>-3.0000000000000027E-2</v>
      </c>
      <c r="AM45" s="543">
        <f t="shared" si="46"/>
        <v>-0.28299999999999997</v>
      </c>
      <c r="AN45" s="543">
        <f t="shared" si="46"/>
        <v>0.99199999999999999</v>
      </c>
      <c r="AO45" s="543">
        <f t="shared" si="46"/>
        <v>-0.91800000000000004</v>
      </c>
      <c r="AP45" s="543">
        <f t="shared" si="46"/>
        <v>6.4999999999999974E-2</v>
      </c>
      <c r="AQ45" s="543">
        <f t="shared" si="46"/>
        <v>0.45100000000000001</v>
      </c>
      <c r="AR45" s="543">
        <f t="shared" si="46"/>
        <v>0.39600000000000002</v>
      </c>
      <c r="AS45" s="543">
        <f t="shared" si="46"/>
        <v>-0.40699999999999997</v>
      </c>
      <c r="AT45" s="543">
        <f t="shared" si="46"/>
        <v>-0.10599999999999998</v>
      </c>
      <c r="AU45" s="614">
        <f t="shared" si="46"/>
        <v>3.0000000000000001E-3</v>
      </c>
      <c r="AV45" s="543">
        <f t="shared" si="46"/>
        <v>0</v>
      </c>
      <c r="AW45" s="543">
        <f t="shared" si="46"/>
        <v>0</v>
      </c>
      <c r="AX45" s="543">
        <f t="shared" si="46"/>
        <v>0</v>
      </c>
      <c r="AY45" s="543">
        <f t="shared" si="46"/>
        <v>0</v>
      </c>
      <c r="AZ45" s="543">
        <f t="shared" si="46"/>
        <v>0</v>
      </c>
      <c r="BA45" s="543">
        <f t="shared" si="46"/>
        <v>0</v>
      </c>
      <c r="BB45" s="543">
        <f t="shared" si="46"/>
        <v>0</v>
      </c>
      <c r="BC45" s="543"/>
      <c r="BD45" s="851">
        <f t="shared" ref="BD45:BW45" si="47">INDEX(MO_RIS_EI,0,COLUMN())</f>
        <v>0</v>
      </c>
      <c r="BE45" s="851">
        <f t="shared" si="47"/>
        <v>0</v>
      </c>
      <c r="BF45" s="851">
        <f t="shared" si="47"/>
        <v>0</v>
      </c>
      <c r="BG45" s="851">
        <f t="shared" si="47"/>
        <v>0</v>
      </c>
      <c r="BH45" s="851">
        <f t="shared" si="47"/>
        <v>0</v>
      </c>
      <c r="BI45" s="851">
        <f t="shared" si="47"/>
        <v>0</v>
      </c>
      <c r="BJ45" s="851">
        <f t="shared" si="47"/>
        <v>0.63200000000000001</v>
      </c>
      <c r="BK45" s="851">
        <f t="shared" si="47"/>
        <v>0.38</v>
      </c>
      <c r="BL45" s="851">
        <f t="shared" si="47"/>
        <v>-0.68400000000000005</v>
      </c>
      <c r="BM45" s="851">
        <f t="shared" si="47"/>
        <v>-0.14399999999999999</v>
      </c>
      <c r="BN45" s="851">
        <f t="shared" si="47"/>
        <v>0.33400000000000002</v>
      </c>
      <c r="BO45" s="851">
        <f t="shared" si="47"/>
        <v>3.0000000000000001E-3</v>
      </c>
      <c r="BP45" s="851" t="e">
        <f t="shared" si="47"/>
        <v>#REF!</v>
      </c>
      <c r="BQ45" s="851">
        <f t="shared" si="47"/>
        <v>0</v>
      </c>
      <c r="BR45" s="852">
        <f t="shared" si="47"/>
        <v>0</v>
      </c>
      <c r="BS45" s="851">
        <f t="shared" si="47"/>
        <v>0</v>
      </c>
      <c r="BT45" s="851">
        <f t="shared" si="47"/>
        <v>0</v>
      </c>
      <c r="BU45" s="851">
        <f t="shared" si="47"/>
        <v>0</v>
      </c>
      <c r="BV45" s="851">
        <f t="shared" si="47"/>
        <v>0</v>
      </c>
      <c r="BW45" s="851">
        <f t="shared" si="47"/>
        <v>0</v>
      </c>
      <c r="BX45" s="543"/>
    </row>
    <row r="46" spans="1:76" s="458" customFormat="1" x14ac:dyDescent="0.35">
      <c r="A46" s="166" t="s">
        <v>308</v>
      </c>
      <c r="B46" s="167"/>
      <c r="C46" s="543">
        <f t="shared" ref="C46:AH46" si="48">INDEX(MO_RIS_Tax_Current,0,COLUMN())+INDEX(MO_RIS_Tax_Deferred,0,COLUMN())</f>
        <v>3.8889999999999998</v>
      </c>
      <c r="D46" s="543">
        <f t="shared" si="48"/>
        <v>6.68</v>
      </c>
      <c r="E46" s="543">
        <f t="shared" si="48"/>
        <v>7.6260000000000003</v>
      </c>
      <c r="F46" s="543">
        <f t="shared" si="48"/>
        <v>1.827999999999999</v>
      </c>
      <c r="G46" s="543">
        <f t="shared" si="48"/>
        <v>-3.45</v>
      </c>
      <c r="H46" s="543">
        <f t="shared" si="48"/>
        <v>-4.6849999999999996</v>
      </c>
      <c r="I46" s="543">
        <f t="shared" si="48"/>
        <v>11.861000000000001</v>
      </c>
      <c r="J46" s="543">
        <f t="shared" si="48"/>
        <v>7.3489999999999984</v>
      </c>
      <c r="K46" s="543">
        <f t="shared" si="48"/>
        <v>-6.5379999999999994</v>
      </c>
      <c r="L46" s="543">
        <f t="shared" si="48"/>
        <v>8.6630000000000003</v>
      </c>
      <c r="M46" s="543">
        <f t="shared" si="48"/>
        <v>10.586000000000002</v>
      </c>
      <c r="N46" s="543">
        <f t="shared" si="48"/>
        <v>-6.9009999999999998</v>
      </c>
      <c r="O46" s="543">
        <f t="shared" si="48"/>
        <v>-8.0969999999999995</v>
      </c>
      <c r="P46" s="543">
        <f t="shared" si="48"/>
        <v>6.6529999999999996</v>
      </c>
      <c r="Q46" s="543">
        <f t="shared" si="48"/>
        <v>5.3680000000000003</v>
      </c>
      <c r="R46" s="543">
        <f t="shared" si="48"/>
        <v>0.82200000000000006</v>
      </c>
      <c r="S46" s="543">
        <f t="shared" si="48"/>
        <v>-8.6900000000000013</v>
      </c>
      <c r="T46" s="543">
        <f t="shared" si="48"/>
        <v>7.6879999999999997</v>
      </c>
      <c r="U46" s="543">
        <f t="shared" si="48"/>
        <v>4.5219999999999994</v>
      </c>
      <c r="V46" s="543">
        <f t="shared" si="48"/>
        <v>1.8759999999999986</v>
      </c>
      <c r="W46" s="543">
        <f t="shared" si="48"/>
        <v>-9.3679999999999986</v>
      </c>
      <c r="X46" s="543">
        <f t="shared" si="48"/>
        <v>0.56399999999999917</v>
      </c>
      <c r="Y46" s="543">
        <f t="shared" si="48"/>
        <v>6.9349999999999987</v>
      </c>
      <c r="Z46" s="543">
        <f t="shared" si="48"/>
        <v>0.95900000000000141</v>
      </c>
      <c r="AA46" s="543">
        <f t="shared" si="48"/>
        <v>-5.0579999999999998</v>
      </c>
      <c r="AB46" s="543">
        <f t="shared" si="48"/>
        <v>9.0739999999999998</v>
      </c>
      <c r="AC46" s="543">
        <f t="shared" si="48"/>
        <v>5.8419999999999996</v>
      </c>
      <c r="AD46" s="543">
        <f t="shared" si="48"/>
        <v>0.66199999999999992</v>
      </c>
      <c r="AE46" s="543">
        <f t="shared" si="48"/>
        <v>-8.8179999999999996</v>
      </c>
      <c r="AF46" s="543">
        <f t="shared" si="48"/>
        <v>10.391999999999999</v>
      </c>
      <c r="AG46" s="543">
        <f t="shared" si="48"/>
        <v>4.4189999999999996</v>
      </c>
      <c r="AH46" s="543">
        <f t="shared" si="48"/>
        <v>2.5480000000000014</v>
      </c>
      <c r="AI46" s="543">
        <f t="shared" ref="AI46:BB46" si="49">INDEX(MO_RIS_Tax_Current,0,COLUMN())+INDEX(MO_RIS_Tax_Deferred,0,COLUMN())</f>
        <v>-2.3759999999999994</v>
      </c>
      <c r="AJ46" s="543">
        <f t="shared" si="49"/>
        <v>10.641999999999999</v>
      </c>
      <c r="AK46" s="543">
        <f t="shared" si="49"/>
        <v>10.275</v>
      </c>
      <c r="AL46" s="543">
        <f t="shared" si="49"/>
        <v>5.9980000000000011</v>
      </c>
      <c r="AM46" s="543">
        <f t="shared" si="49"/>
        <v>-2.8929999999999989</v>
      </c>
      <c r="AN46" s="543">
        <f t="shared" si="49"/>
        <v>15.928000000000001</v>
      </c>
      <c r="AO46" s="543">
        <f t="shared" si="49"/>
        <v>16.716000000000001</v>
      </c>
      <c r="AP46" s="543">
        <f t="shared" si="49"/>
        <v>10.337</v>
      </c>
      <c r="AQ46" s="543">
        <f t="shared" si="49"/>
        <v>-7.5069999999999979</v>
      </c>
      <c r="AR46" s="543">
        <f t="shared" si="49"/>
        <v>18.86</v>
      </c>
      <c r="AS46" s="543">
        <f t="shared" si="49"/>
        <v>19.524999999999999</v>
      </c>
      <c r="AT46" s="543">
        <f t="shared" si="49"/>
        <v>14.468</v>
      </c>
      <c r="AU46" s="614">
        <f t="shared" si="49"/>
        <v>1.5359999999999996</v>
      </c>
      <c r="AV46" s="543">
        <f t="shared" si="49"/>
        <v>18.846050364493987</v>
      </c>
      <c r="AW46" s="543">
        <f t="shared" ca="1" si="49"/>
        <v>20.453555114699661</v>
      </c>
      <c r="AX46" s="543">
        <f t="shared" ca="1" si="49"/>
        <v>16.143492731315128</v>
      </c>
      <c r="AY46" s="543">
        <f t="shared" si="49"/>
        <v>0</v>
      </c>
      <c r="AZ46" s="543">
        <f t="shared" si="49"/>
        <v>9.6280000000000001</v>
      </c>
      <c r="BA46" s="543">
        <f t="shared" si="49"/>
        <v>13.249000000000001</v>
      </c>
      <c r="BB46" s="543">
        <f t="shared" si="49"/>
        <v>11.342000000000001</v>
      </c>
      <c r="BC46" s="543"/>
      <c r="BD46" s="851">
        <f t="shared" ref="BD46:BW46" si="50">INDEX(MO_RIS_Tax_Current,0,COLUMN())+INDEX(MO_RIS_Tax_Deferred,0,COLUMN())</f>
        <v>20.023</v>
      </c>
      <c r="BE46" s="851">
        <f t="shared" si="50"/>
        <v>11.075000000000001</v>
      </c>
      <c r="BF46" s="851">
        <f t="shared" si="50"/>
        <v>5.8100000000000005</v>
      </c>
      <c r="BG46" s="851">
        <f t="shared" si="50"/>
        <v>4.7460000000000004</v>
      </c>
      <c r="BH46" s="851">
        <f t="shared" si="50"/>
        <v>5.3959999999999999</v>
      </c>
      <c r="BI46" s="851">
        <f t="shared" si="50"/>
        <v>-0.91000000000000014</v>
      </c>
      <c r="BJ46" s="851">
        <f t="shared" si="50"/>
        <v>10.52</v>
      </c>
      <c r="BK46" s="851">
        <f t="shared" si="50"/>
        <v>8.5410000000000004</v>
      </c>
      <c r="BL46" s="851">
        <f t="shared" si="50"/>
        <v>24.539000000000001</v>
      </c>
      <c r="BM46" s="851">
        <f t="shared" si="50"/>
        <v>40.088000000000001</v>
      </c>
      <c r="BN46" s="851">
        <f t="shared" si="50"/>
        <v>45.345999999999997</v>
      </c>
      <c r="BO46" s="851">
        <f t="shared" ca="1" si="50"/>
        <v>56.979098210508781</v>
      </c>
      <c r="BP46" s="851" t="e">
        <f t="shared" si="50"/>
        <v>#REF!</v>
      </c>
      <c r="BQ46" s="851" t="e">
        <f t="shared" si="50"/>
        <v>#REF!</v>
      </c>
      <c r="BR46" s="852" t="e">
        <f t="shared" si="50"/>
        <v>#REF!</v>
      </c>
      <c r="BS46" s="851" t="e">
        <f t="shared" ca="1" si="50"/>
        <v>#REF!</v>
      </c>
      <c r="BT46" s="851">
        <f t="shared" si="50"/>
        <v>0</v>
      </c>
      <c r="BU46" s="851">
        <f t="shared" si="50"/>
        <v>0</v>
      </c>
      <c r="BV46" s="851">
        <f t="shared" si="50"/>
        <v>0</v>
      </c>
      <c r="BW46" s="851">
        <f t="shared" si="50"/>
        <v>0</v>
      </c>
      <c r="BX46" s="543"/>
    </row>
    <row r="47" spans="1:76" s="458" customFormat="1" x14ac:dyDescent="0.35">
      <c r="A47" s="166" t="str">
        <f>INDEX(MO_RIS_DisCont,0,COLUMN())</f>
        <v>Discontinued Operations</v>
      </c>
      <c r="B47" s="167"/>
      <c r="C47" s="543">
        <f t="shared" ref="C47:AH47" si="51">INDEX(MO_RIS_DisCont,0,COLUMN())</f>
        <v>0</v>
      </c>
      <c r="D47" s="543">
        <f t="shared" si="51"/>
        <v>0</v>
      </c>
      <c r="E47" s="543">
        <f t="shared" si="51"/>
        <v>0</v>
      </c>
      <c r="F47" s="543">
        <f t="shared" si="51"/>
        <v>0</v>
      </c>
      <c r="G47" s="543">
        <f t="shared" si="51"/>
        <v>0</v>
      </c>
      <c r="H47" s="543">
        <f t="shared" si="51"/>
        <v>0</v>
      </c>
      <c r="I47" s="543">
        <f t="shared" si="51"/>
        <v>0</v>
      </c>
      <c r="J47" s="543">
        <f t="shared" si="51"/>
        <v>0</v>
      </c>
      <c r="K47" s="543">
        <f t="shared" si="51"/>
        <v>0</v>
      </c>
      <c r="L47" s="543">
        <f t="shared" si="51"/>
        <v>0</v>
      </c>
      <c r="M47" s="543">
        <f t="shared" si="51"/>
        <v>0</v>
      </c>
      <c r="N47" s="543">
        <f t="shared" si="51"/>
        <v>0</v>
      </c>
      <c r="O47" s="543">
        <f t="shared" si="51"/>
        <v>0</v>
      </c>
      <c r="P47" s="543">
        <f t="shared" si="51"/>
        <v>0</v>
      </c>
      <c r="Q47" s="543">
        <f t="shared" si="51"/>
        <v>0</v>
      </c>
      <c r="R47" s="543">
        <f t="shared" si="51"/>
        <v>0</v>
      </c>
      <c r="S47" s="543">
        <f t="shared" si="51"/>
        <v>0</v>
      </c>
      <c r="T47" s="543">
        <f t="shared" si="51"/>
        <v>0</v>
      </c>
      <c r="U47" s="543">
        <f t="shared" si="51"/>
        <v>0</v>
      </c>
      <c r="V47" s="543">
        <f t="shared" si="51"/>
        <v>0</v>
      </c>
      <c r="W47" s="543">
        <f t="shared" si="51"/>
        <v>0</v>
      </c>
      <c r="X47" s="543">
        <f t="shared" si="51"/>
        <v>0</v>
      </c>
      <c r="Y47" s="543">
        <f t="shared" si="51"/>
        <v>0</v>
      </c>
      <c r="Z47" s="543">
        <f t="shared" si="51"/>
        <v>0</v>
      </c>
      <c r="AA47" s="543">
        <f t="shared" si="51"/>
        <v>0</v>
      </c>
      <c r="AB47" s="543">
        <f t="shared" si="51"/>
        <v>0</v>
      </c>
      <c r="AC47" s="543">
        <f t="shared" si="51"/>
        <v>0</v>
      </c>
      <c r="AD47" s="543">
        <f t="shared" si="51"/>
        <v>0</v>
      </c>
      <c r="AE47" s="543">
        <f t="shared" si="51"/>
        <v>0</v>
      </c>
      <c r="AF47" s="543">
        <f t="shared" si="51"/>
        <v>0</v>
      </c>
      <c r="AG47" s="543">
        <f t="shared" si="51"/>
        <v>0</v>
      </c>
      <c r="AH47" s="543">
        <f t="shared" si="51"/>
        <v>0</v>
      </c>
      <c r="AI47" s="543">
        <f t="shared" ref="AI47:BB47" si="52">INDEX(MO_RIS_DisCont,0,COLUMN())</f>
        <v>0</v>
      </c>
      <c r="AJ47" s="543">
        <f t="shared" si="52"/>
        <v>0</v>
      </c>
      <c r="AK47" s="543">
        <f t="shared" si="52"/>
        <v>0</v>
      </c>
      <c r="AL47" s="543">
        <f t="shared" si="52"/>
        <v>0</v>
      </c>
      <c r="AM47" s="543">
        <f t="shared" si="52"/>
        <v>0</v>
      </c>
      <c r="AN47" s="543">
        <f t="shared" si="52"/>
        <v>0</v>
      </c>
      <c r="AO47" s="543">
        <f t="shared" si="52"/>
        <v>0</v>
      </c>
      <c r="AP47" s="543">
        <f t="shared" si="52"/>
        <v>0</v>
      </c>
      <c r="AQ47" s="543">
        <f t="shared" si="52"/>
        <v>0</v>
      </c>
      <c r="AR47" s="543">
        <f t="shared" si="52"/>
        <v>0</v>
      </c>
      <c r="AS47" s="543">
        <f t="shared" si="52"/>
        <v>0</v>
      </c>
      <c r="AT47" s="543">
        <f t="shared" si="52"/>
        <v>0</v>
      </c>
      <c r="AU47" s="614">
        <f t="shared" si="52"/>
        <v>0</v>
      </c>
      <c r="AV47" s="543">
        <f t="shared" si="52"/>
        <v>0</v>
      </c>
      <c r="AW47" s="543">
        <f t="shared" si="52"/>
        <v>0</v>
      </c>
      <c r="AX47" s="543">
        <f t="shared" si="52"/>
        <v>0</v>
      </c>
      <c r="AY47" s="543">
        <f t="shared" si="52"/>
        <v>0</v>
      </c>
      <c r="AZ47" s="543">
        <f t="shared" si="52"/>
        <v>0</v>
      </c>
      <c r="BA47" s="543">
        <f t="shared" si="52"/>
        <v>0</v>
      </c>
      <c r="BB47" s="543">
        <f t="shared" si="52"/>
        <v>0</v>
      </c>
      <c r="BC47" s="543"/>
      <c r="BD47" s="851">
        <f t="shared" ref="BD47:BW47" si="53">INDEX(MO_RIS_DisCont,0,COLUMN())</f>
        <v>0</v>
      </c>
      <c r="BE47" s="851">
        <f t="shared" si="53"/>
        <v>0</v>
      </c>
      <c r="BF47" s="851">
        <f t="shared" si="53"/>
        <v>0</v>
      </c>
      <c r="BG47" s="851">
        <f t="shared" si="53"/>
        <v>0</v>
      </c>
      <c r="BH47" s="851">
        <f t="shared" si="53"/>
        <v>0</v>
      </c>
      <c r="BI47" s="851">
        <f t="shared" si="53"/>
        <v>0</v>
      </c>
      <c r="BJ47" s="851">
        <f t="shared" si="53"/>
        <v>0</v>
      </c>
      <c r="BK47" s="851">
        <f t="shared" si="53"/>
        <v>0</v>
      </c>
      <c r="BL47" s="851">
        <f t="shared" si="53"/>
        <v>0</v>
      </c>
      <c r="BM47" s="851">
        <f t="shared" si="53"/>
        <v>0</v>
      </c>
      <c r="BN47" s="851">
        <f t="shared" si="53"/>
        <v>0</v>
      </c>
      <c r="BO47" s="851">
        <f t="shared" si="53"/>
        <v>0</v>
      </c>
      <c r="BP47" s="851" t="e">
        <f t="shared" si="53"/>
        <v>#REF!</v>
      </c>
      <c r="BQ47" s="851">
        <f t="shared" si="53"/>
        <v>0</v>
      </c>
      <c r="BR47" s="852">
        <f t="shared" si="53"/>
        <v>0</v>
      </c>
      <c r="BS47" s="851">
        <f t="shared" si="53"/>
        <v>0</v>
      </c>
      <c r="BT47" s="851">
        <f t="shared" si="53"/>
        <v>0</v>
      </c>
      <c r="BU47" s="851">
        <f t="shared" si="53"/>
        <v>0</v>
      </c>
      <c r="BV47" s="851">
        <f t="shared" si="53"/>
        <v>0</v>
      </c>
      <c r="BW47" s="851">
        <f t="shared" si="53"/>
        <v>0</v>
      </c>
      <c r="BX47" s="543"/>
    </row>
    <row r="48" spans="1:76" s="458" customFormat="1" x14ac:dyDescent="0.35">
      <c r="A48" s="166" t="str">
        <f>INDEX(MO_RIS_NCI,0,COLUMN())</f>
        <v>Net Income to NCI</v>
      </c>
      <c r="B48" s="167"/>
      <c r="C48" s="543">
        <f t="shared" ref="C48:AH48" si="54">INDEX(MO_RIS_NCI,0,COLUMN())</f>
        <v>0.187</v>
      </c>
      <c r="D48" s="543">
        <f t="shared" si="54"/>
        <v>-0.191</v>
      </c>
      <c r="E48" s="543">
        <f t="shared" si="54"/>
        <v>-0.55500000000000005</v>
      </c>
      <c r="F48" s="543">
        <f t="shared" si="54"/>
        <v>-1.0179999999999998</v>
      </c>
      <c r="G48" s="543">
        <f t="shared" si="54"/>
        <v>-5.8000000000000003E-2</v>
      </c>
      <c r="H48" s="543">
        <f t="shared" si="54"/>
        <v>-0.58599999999999997</v>
      </c>
      <c r="I48" s="543">
        <f t="shared" si="54"/>
        <v>-0.437</v>
      </c>
      <c r="J48" s="543">
        <f t="shared" si="54"/>
        <v>-0.40299999999999997</v>
      </c>
      <c r="K48" s="543">
        <f t="shared" si="54"/>
        <v>0.187</v>
      </c>
      <c r="L48" s="543">
        <f t="shared" si="54"/>
        <v>-0.37</v>
      </c>
      <c r="M48" s="543">
        <f t="shared" si="54"/>
        <v>-0.48399999999999999</v>
      </c>
      <c r="N48" s="543">
        <f t="shared" si="54"/>
        <v>-0.99499999999999988</v>
      </c>
      <c r="O48" s="543">
        <f t="shared" si="54"/>
        <v>0.129</v>
      </c>
      <c r="P48" s="543">
        <f t="shared" si="54"/>
        <v>-0.65400000000000003</v>
      </c>
      <c r="Q48" s="543">
        <f t="shared" si="54"/>
        <v>-0.60799999999999998</v>
      </c>
      <c r="R48" s="543">
        <f t="shared" si="54"/>
        <v>0.64900000000000002</v>
      </c>
      <c r="S48" s="543">
        <f t="shared" si="54"/>
        <v>0.19600000000000001</v>
      </c>
      <c r="T48" s="543">
        <f t="shared" si="54"/>
        <v>-0.753</v>
      </c>
      <c r="U48" s="543">
        <f t="shared" si="54"/>
        <v>-0.23300000000000001</v>
      </c>
      <c r="V48" s="543">
        <f t="shared" si="54"/>
        <v>-0.12000000000000005</v>
      </c>
      <c r="W48" s="543">
        <f t="shared" si="54"/>
        <v>-0.10299999999999999</v>
      </c>
      <c r="X48" s="543">
        <f t="shared" si="54"/>
        <v>-7.0000000000000007E-2</v>
      </c>
      <c r="Y48" s="543">
        <f t="shared" si="54"/>
        <v>-2.7E-2</v>
      </c>
      <c r="Z48" s="543">
        <f t="shared" si="54"/>
        <v>0</v>
      </c>
      <c r="AA48" s="543">
        <f t="shared" si="54"/>
        <v>0</v>
      </c>
      <c r="AB48" s="543">
        <f t="shared" si="54"/>
        <v>0</v>
      </c>
      <c r="AC48" s="543">
        <f t="shared" si="54"/>
        <v>0</v>
      </c>
      <c r="AD48" s="543">
        <f t="shared" si="54"/>
        <v>0</v>
      </c>
      <c r="AE48" s="543">
        <f t="shared" si="54"/>
        <v>0</v>
      </c>
      <c r="AF48" s="543">
        <f t="shared" si="54"/>
        <v>0</v>
      </c>
      <c r="AG48" s="543">
        <f t="shared" si="54"/>
        <v>0</v>
      </c>
      <c r="AH48" s="543">
        <f t="shared" si="54"/>
        <v>0</v>
      </c>
      <c r="AI48" s="543">
        <f t="shared" ref="AI48:BB48" si="55">INDEX(MO_RIS_NCI,0,COLUMN())</f>
        <v>0</v>
      </c>
      <c r="AJ48" s="543">
        <f t="shared" si="55"/>
        <v>0</v>
      </c>
      <c r="AK48" s="543">
        <f t="shared" si="55"/>
        <v>0</v>
      </c>
      <c r="AL48" s="543">
        <f t="shared" si="55"/>
        <v>0</v>
      </c>
      <c r="AM48" s="543">
        <f t="shared" si="55"/>
        <v>0</v>
      </c>
      <c r="AN48" s="543">
        <f t="shared" si="55"/>
        <v>0</v>
      </c>
      <c r="AO48" s="543">
        <f t="shared" si="55"/>
        <v>0</v>
      </c>
      <c r="AP48" s="543">
        <f t="shared" si="55"/>
        <v>0</v>
      </c>
      <c r="AQ48" s="543">
        <f t="shared" si="55"/>
        <v>0</v>
      </c>
      <c r="AR48" s="543">
        <f t="shared" si="55"/>
        <v>0</v>
      </c>
      <c r="AS48" s="543">
        <f t="shared" si="55"/>
        <v>0</v>
      </c>
      <c r="AT48" s="543">
        <f t="shared" si="55"/>
        <v>0</v>
      </c>
      <c r="AU48" s="614">
        <f t="shared" si="55"/>
        <v>0</v>
      </c>
      <c r="AV48" s="543">
        <f t="shared" si="55"/>
        <v>0</v>
      </c>
      <c r="AW48" s="543">
        <f t="shared" si="55"/>
        <v>0</v>
      </c>
      <c r="AX48" s="543">
        <f t="shared" si="55"/>
        <v>0</v>
      </c>
      <c r="AY48" s="543">
        <f t="shared" si="55"/>
        <v>0</v>
      </c>
      <c r="AZ48" s="543">
        <f t="shared" si="55"/>
        <v>-0.58599999999999997</v>
      </c>
      <c r="BA48" s="543">
        <f t="shared" si="55"/>
        <v>-0.63800000000000001</v>
      </c>
      <c r="BB48" s="543">
        <f t="shared" si="55"/>
        <v>-1.127</v>
      </c>
      <c r="BC48" s="543"/>
      <c r="BD48" s="851">
        <f t="shared" ref="BD48:BW48" si="56">INDEX(MO_RIS_NCI,0,COLUMN())</f>
        <v>-1.577</v>
      </c>
      <c r="BE48" s="851">
        <f t="shared" si="56"/>
        <v>-1.484</v>
      </c>
      <c r="BF48" s="851">
        <f t="shared" si="56"/>
        <v>-1.6619999999999999</v>
      </c>
      <c r="BG48" s="851">
        <f t="shared" si="56"/>
        <v>-0.48399999999999999</v>
      </c>
      <c r="BH48" s="851">
        <f t="shared" si="56"/>
        <v>-0.91</v>
      </c>
      <c r="BI48" s="851">
        <f t="shared" si="56"/>
        <v>-0.2</v>
      </c>
      <c r="BJ48" s="851">
        <f t="shared" si="56"/>
        <v>0</v>
      </c>
      <c r="BK48" s="851">
        <f t="shared" si="56"/>
        <v>0</v>
      </c>
      <c r="BL48" s="851">
        <f t="shared" si="56"/>
        <v>0</v>
      </c>
      <c r="BM48" s="851">
        <f t="shared" si="56"/>
        <v>0</v>
      </c>
      <c r="BN48" s="851">
        <f t="shared" si="56"/>
        <v>0</v>
      </c>
      <c r="BO48" s="851">
        <f t="shared" si="56"/>
        <v>0</v>
      </c>
      <c r="BP48" s="851" t="e">
        <f t="shared" si="56"/>
        <v>#REF!</v>
      </c>
      <c r="BQ48" s="851">
        <f t="shared" si="56"/>
        <v>0</v>
      </c>
      <c r="BR48" s="852">
        <f t="shared" si="56"/>
        <v>0</v>
      </c>
      <c r="BS48" s="851">
        <f t="shared" si="56"/>
        <v>0</v>
      </c>
      <c r="BT48" s="851">
        <f t="shared" si="56"/>
        <v>0</v>
      </c>
      <c r="BU48" s="851">
        <f t="shared" si="56"/>
        <v>0</v>
      </c>
      <c r="BV48" s="851">
        <f t="shared" si="56"/>
        <v>0</v>
      </c>
      <c r="BW48" s="851">
        <f t="shared" si="56"/>
        <v>0</v>
      </c>
      <c r="BX48" s="543"/>
    </row>
    <row r="49" spans="1:76" s="458" customFormat="1" x14ac:dyDescent="0.35">
      <c r="A49" s="477" t="str">
        <f>INDEX(MO_RIS_Dividend_Prefs,0,COLUMN())</f>
        <v>Earnings to Preferred and Other Securities</v>
      </c>
      <c r="B49" s="276"/>
      <c r="C49" s="615">
        <f t="shared" ref="C49:AH49" si="57">INDEX(MO_RIS_Dividend_Prefs,0,COLUMN())</f>
        <v>0.309</v>
      </c>
      <c r="D49" s="615">
        <f t="shared" si="57"/>
        <v>0.67500000000000004</v>
      </c>
      <c r="E49" s="615">
        <f t="shared" si="57"/>
        <v>0.84399999999999997</v>
      </c>
      <c r="F49" s="615">
        <f t="shared" si="57"/>
        <v>0.15700000000000025</v>
      </c>
      <c r="G49" s="615">
        <f t="shared" si="57"/>
        <v>0</v>
      </c>
      <c r="H49" s="615">
        <f t="shared" si="57"/>
        <v>0</v>
      </c>
      <c r="I49" s="615">
        <f t="shared" si="57"/>
        <v>0</v>
      </c>
      <c r="J49" s="615">
        <f t="shared" si="57"/>
        <v>0</v>
      </c>
      <c r="K49" s="615">
        <f t="shared" si="57"/>
        <v>0</v>
      </c>
      <c r="L49" s="615">
        <f t="shared" si="57"/>
        <v>0</v>
      </c>
      <c r="M49" s="615">
        <f t="shared" si="57"/>
        <v>0</v>
      </c>
      <c r="N49" s="615">
        <f t="shared" si="57"/>
        <v>0</v>
      </c>
      <c r="O49" s="615">
        <f t="shared" si="57"/>
        <v>0</v>
      </c>
      <c r="P49" s="615">
        <f t="shared" si="57"/>
        <v>0</v>
      </c>
      <c r="Q49" s="615">
        <f t="shared" si="57"/>
        <v>0</v>
      </c>
      <c r="R49" s="615">
        <f t="shared" si="57"/>
        <v>0</v>
      </c>
      <c r="S49" s="615">
        <f t="shared" si="57"/>
        <v>0</v>
      </c>
      <c r="T49" s="615">
        <f t="shared" si="57"/>
        <v>0</v>
      </c>
      <c r="U49" s="615">
        <f t="shared" si="57"/>
        <v>0</v>
      </c>
      <c r="V49" s="615">
        <f t="shared" si="57"/>
        <v>0</v>
      </c>
      <c r="W49" s="615">
        <f t="shared" si="57"/>
        <v>0</v>
      </c>
      <c r="X49" s="615">
        <f t="shared" si="57"/>
        <v>0</v>
      </c>
      <c r="Y49" s="615">
        <f t="shared" si="57"/>
        <v>0</v>
      </c>
      <c r="Z49" s="615">
        <f t="shared" si="57"/>
        <v>0</v>
      </c>
      <c r="AA49" s="615">
        <f t="shared" si="57"/>
        <v>0</v>
      </c>
      <c r="AB49" s="615">
        <f t="shared" si="57"/>
        <v>0</v>
      </c>
      <c r="AC49" s="615">
        <f t="shared" si="57"/>
        <v>0</v>
      </c>
      <c r="AD49" s="615">
        <f t="shared" si="57"/>
        <v>0</v>
      </c>
      <c r="AE49" s="615">
        <f t="shared" si="57"/>
        <v>0</v>
      </c>
      <c r="AF49" s="615">
        <f t="shared" si="57"/>
        <v>0</v>
      </c>
      <c r="AG49" s="615">
        <f t="shared" si="57"/>
        <v>0</v>
      </c>
      <c r="AH49" s="615">
        <f t="shared" si="57"/>
        <v>0</v>
      </c>
      <c r="AI49" s="615">
        <f t="shared" ref="AI49:BB49" si="58">INDEX(MO_RIS_Dividend_Prefs,0,COLUMN())</f>
        <v>0</v>
      </c>
      <c r="AJ49" s="615">
        <f t="shared" si="58"/>
        <v>0</v>
      </c>
      <c r="AK49" s="615">
        <f t="shared" si="58"/>
        <v>0</v>
      </c>
      <c r="AL49" s="615">
        <f t="shared" si="58"/>
        <v>0</v>
      </c>
      <c r="AM49" s="615">
        <f t="shared" si="58"/>
        <v>0</v>
      </c>
      <c r="AN49" s="615">
        <f t="shared" si="58"/>
        <v>0</v>
      </c>
      <c r="AO49" s="615">
        <f t="shared" si="58"/>
        <v>0</v>
      </c>
      <c r="AP49" s="615">
        <f t="shared" si="58"/>
        <v>0</v>
      </c>
      <c r="AQ49" s="615">
        <f t="shared" si="58"/>
        <v>0</v>
      </c>
      <c r="AR49" s="615">
        <f t="shared" si="58"/>
        <v>0</v>
      </c>
      <c r="AS49" s="615">
        <f t="shared" si="58"/>
        <v>0</v>
      </c>
      <c r="AT49" s="615">
        <f t="shared" si="58"/>
        <v>0</v>
      </c>
      <c r="AU49" s="616">
        <f t="shared" si="58"/>
        <v>0</v>
      </c>
      <c r="AV49" s="615">
        <f t="shared" si="58"/>
        <v>0</v>
      </c>
      <c r="AW49" s="615">
        <f t="shared" si="58"/>
        <v>0</v>
      </c>
      <c r="AX49" s="615">
        <f t="shared" si="58"/>
        <v>0</v>
      </c>
      <c r="AY49" s="615">
        <f t="shared" si="58"/>
        <v>0</v>
      </c>
      <c r="AZ49" s="615">
        <f t="shared" si="58"/>
        <v>0</v>
      </c>
      <c r="BA49" s="615">
        <f t="shared" si="58"/>
        <v>0</v>
      </c>
      <c r="BB49" s="615">
        <f t="shared" si="58"/>
        <v>1.0309999999999999</v>
      </c>
      <c r="BC49" s="615"/>
      <c r="BD49" s="847">
        <f t="shared" ref="BD49:BW49" si="59">INDEX(MO_RIS_Dividend_Prefs,0,COLUMN())</f>
        <v>1.9850000000000001</v>
      </c>
      <c r="BE49" s="847">
        <f t="shared" si="59"/>
        <v>0</v>
      </c>
      <c r="BF49" s="847">
        <f t="shared" si="59"/>
        <v>0</v>
      </c>
      <c r="BG49" s="847">
        <f t="shared" si="59"/>
        <v>0</v>
      </c>
      <c r="BH49" s="847">
        <f t="shared" si="59"/>
        <v>0</v>
      </c>
      <c r="BI49" s="847">
        <f t="shared" si="59"/>
        <v>0</v>
      </c>
      <c r="BJ49" s="847">
        <f t="shared" si="59"/>
        <v>0</v>
      </c>
      <c r="BK49" s="847">
        <f t="shared" si="59"/>
        <v>0</v>
      </c>
      <c r="BL49" s="847">
        <f t="shared" si="59"/>
        <v>0</v>
      </c>
      <c r="BM49" s="847">
        <f t="shared" si="59"/>
        <v>0</v>
      </c>
      <c r="BN49" s="847">
        <f t="shared" si="59"/>
        <v>0</v>
      </c>
      <c r="BO49" s="847">
        <f t="shared" si="59"/>
        <v>0</v>
      </c>
      <c r="BP49" s="847" t="e">
        <f t="shared" si="59"/>
        <v>#REF!</v>
      </c>
      <c r="BQ49" s="847">
        <f t="shared" si="59"/>
        <v>0</v>
      </c>
      <c r="BR49" s="848">
        <f t="shared" si="59"/>
        <v>0</v>
      </c>
      <c r="BS49" s="847">
        <f t="shared" si="59"/>
        <v>0</v>
      </c>
      <c r="BT49" s="847">
        <f t="shared" si="59"/>
        <v>0</v>
      </c>
      <c r="BU49" s="847">
        <f t="shared" si="59"/>
        <v>0</v>
      </c>
      <c r="BV49" s="847">
        <f t="shared" si="59"/>
        <v>0</v>
      </c>
      <c r="BW49" s="847">
        <f t="shared" si="59"/>
        <v>0</v>
      </c>
      <c r="BX49" s="543"/>
    </row>
    <row r="50" spans="1:76" s="66" customFormat="1" x14ac:dyDescent="0.35">
      <c r="A50" s="168" t="str">
        <f>INDEX(MO_RIS_NI_ContinOp,0,COLUMN())</f>
        <v>Net Income from Continued Operation</v>
      </c>
      <c r="B50" s="169"/>
      <c r="C50" s="612">
        <f t="shared" ref="C50:AH50" si="60">INDEX(SP_GF_EBT,0,COLUMN())-INDEX(SP_GF_EI,0,COLUMN())-INDEX(SP_GF_Tax,0,COLUMN())-INDEX(SP_GF_DisCont,0,COLUMN())-INDEX(SP_GF_NCI,0,COLUMN())-INDEX(SP_GF_Div_Prefs,0,COLUMN())</f>
        <v>4.0480000000000018</v>
      </c>
      <c r="D50" s="612">
        <f t="shared" si="60"/>
        <v>8.8359999999999914</v>
      </c>
      <c r="E50" s="612">
        <f t="shared" si="60"/>
        <v>11.130999999999988</v>
      </c>
      <c r="F50" s="612">
        <f t="shared" si="60"/>
        <v>2.1109999999999927</v>
      </c>
      <c r="G50" s="612">
        <f t="shared" si="60"/>
        <v>-5.0399999999999698</v>
      </c>
      <c r="H50" s="612">
        <f t="shared" si="60"/>
        <v>-3.664999999999988</v>
      </c>
      <c r="I50" s="612">
        <f t="shared" si="60"/>
        <v>15.948999999999989</v>
      </c>
      <c r="J50" s="612">
        <f t="shared" si="60"/>
        <v>12.355999999999963</v>
      </c>
      <c r="K50" s="612">
        <f t="shared" si="60"/>
        <v>-6.77600000000003</v>
      </c>
      <c r="L50" s="612">
        <f t="shared" si="60"/>
        <v>12.330999999999998</v>
      </c>
      <c r="M50" s="612">
        <f t="shared" si="60"/>
        <v>17.012999999999977</v>
      </c>
      <c r="N50" s="612">
        <f t="shared" si="60"/>
        <v>-11.579999999999872</v>
      </c>
      <c r="O50" s="612">
        <f t="shared" si="60"/>
        <v>-12.792999999999989</v>
      </c>
      <c r="P50" s="612">
        <f t="shared" si="60"/>
        <v>8.5379999999999914</v>
      </c>
      <c r="Q50" s="612">
        <f t="shared" si="60"/>
        <v>14.273000000000001</v>
      </c>
      <c r="R50" s="612">
        <f t="shared" si="60"/>
        <v>-0.98300000000001397</v>
      </c>
      <c r="S50" s="612">
        <f t="shared" si="60"/>
        <v>-13.832999999999982</v>
      </c>
      <c r="T50" s="612">
        <f t="shared" si="60"/>
        <v>11.652000000000008</v>
      </c>
      <c r="U50" s="612">
        <f t="shared" si="60"/>
        <v>9.1149999999999771</v>
      </c>
      <c r="V50" s="612">
        <f t="shared" si="60"/>
        <v>-6.4830000000000236</v>
      </c>
      <c r="W50" s="612">
        <f t="shared" si="60"/>
        <v>-8.0559999999999885</v>
      </c>
      <c r="X50" s="612">
        <f t="shared" si="60"/>
        <v>13.259</v>
      </c>
      <c r="Y50" s="612">
        <f t="shared" si="60"/>
        <v>13.070000000000013</v>
      </c>
      <c r="Z50" s="612">
        <f t="shared" si="60"/>
        <v>9.3469999999999462</v>
      </c>
      <c r="AA50" s="612">
        <f t="shared" si="60"/>
        <v>-8.2820000000000231</v>
      </c>
      <c r="AB50" s="612">
        <f t="shared" si="60"/>
        <v>23.712000000000003</v>
      </c>
      <c r="AC50" s="612">
        <f t="shared" si="60"/>
        <v>18.462000000000021</v>
      </c>
      <c r="AD50" s="612">
        <f t="shared" si="60"/>
        <v>3.3169999999999695</v>
      </c>
      <c r="AE50" s="612">
        <f t="shared" si="60"/>
        <v>-9.73000000000002</v>
      </c>
      <c r="AF50" s="612">
        <f t="shared" si="60"/>
        <v>20.594000000000026</v>
      </c>
      <c r="AG50" s="612">
        <f t="shared" si="60"/>
        <v>8.7540000000000084</v>
      </c>
      <c r="AH50" s="612">
        <f t="shared" si="60"/>
        <v>4.8880000000001509</v>
      </c>
      <c r="AI50" s="612">
        <f t="shared" ref="AI50:BB50" si="61">INDEX(SP_GF_EBT,0,COLUMN())-INDEX(SP_GF_EI,0,COLUMN())-INDEX(SP_GF_Tax,0,COLUMN())-INDEX(SP_GF_DisCont,0,COLUMN())-INDEX(SP_GF_NCI,0,COLUMN())-INDEX(SP_GF_Div_Prefs,0,COLUMN())</f>
        <v>12.665999999999993</v>
      </c>
      <c r="AJ50" s="612">
        <f t="shared" si="61"/>
        <v>24.500999999999951</v>
      </c>
      <c r="AK50" s="612">
        <f t="shared" si="61"/>
        <v>23.788999999999994</v>
      </c>
      <c r="AL50" s="612">
        <f t="shared" si="61"/>
        <v>10.495000000000058</v>
      </c>
      <c r="AM50" s="612">
        <f t="shared" si="61"/>
        <v>-5.8830000000000062</v>
      </c>
      <c r="AN50" s="612">
        <f t="shared" si="61"/>
        <v>42.004000000000019</v>
      </c>
      <c r="AO50" s="612">
        <f t="shared" si="61"/>
        <v>42.918999999999997</v>
      </c>
      <c r="AP50" s="612">
        <f t="shared" si="61"/>
        <v>28.089999999999979</v>
      </c>
      <c r="AQ50" s="612">
        <f t="shared" si="61"/>
        <v>-22.671999999999997</v>
      </c>
      <c r="AR50" s="612">
        <f t="shared" si="61"/>
        <v>50.705000000000027</v>
      </c>
      <c r="AS50" s="612">
        <f t="shared" si="61"/>
        <v>55.46200000000001</v>
      </c>
      <c r="AT50" s="612">
        <f t="shared" si="61"/>
        <v>43.371999999999971</v>
      </c>
      <c r="AU50" s="613">
        <f t="shared" si="61"/>
        <v>4.8779999999999646</v>
      </c>
      <c r="AV50" s="612">
        <f t="shared" si="61"/>
        <v>53.638758729713643</v>
      </c>
      <c r="AW50" s="612">
        <f t="shared" ca="1" si="61"/>
        <v>58.213964557222077</v>
      </c>
      <c r="AX50" s="612">
        <f t="shared" ca="1" si="61"/>
        <v>45.946863927589234</v>
      </c>
      <c r="AY50" s="612">
        <f t="shared" si="61"/>
        <v>0</v>
      </c>
      <c r="AZ50" s="612">
        <f t="shared" si="61"/>
        <v>12.314999999999971</v>
      </c>
      <c r="BA50" s="612">
        <f t="shared" si="61"/>
        <v>21.525000000000038</v>
      </c>
      <c r="BB50" s="612">
        <f t="shared" si="61"/>
        <v>11.760999999999969</v>
      </c>
      <c r="BC50" s="612"/>
      <c r="BD50" s="849">
        <f t="shared" ref="BD50:BW50" si="62">INDEX(SP_GF_EBT,0,COLUMN())-INDEX(SP_GF_EI,0,COLUMN())-INDEX(SP_GF_Tax,0,COLUMN())-INDEX(SP_GF_DisCont,0,COLUMN())-INDEX(SP_GF_NCI,0,COLUMN())-INDEX(SP_GF_Div_Prefs,0,COLUMN())</f>
        <v>26.126000000000019</v>
      </c>
      <c r="BE50" s="849">
        <f t="shared" si="62"/>
        <v>19.599999999999937</v>
      </c>
      <c r="BF50" s="849">
        <f t="shared" si="62"/>
        <v>10.988000000000021</v>
      </c>
      <c r="BG50" s="849">
        <f t="shared" si="62"/>
        <v>9.0350000000000428</v>
      </c>
      <c r="BH50" s="849">
        <f t="shared" si="62"/>
        <v>0.45099999999996221</v>
      </c>
      <c r="BI50" s="849">
        <f t="shared" si="62"/>
        <v>27.620000000000015</v>
      </c>
      <c r="BJ50" s="849">
        <f t="shared" si="62"/>
        <v>37.208999999999932</v>
      </c>
      <c r="BK50" s="849">
        <f t="shared" si="62"/>
        <v>24.506000000000103</v>
      </c>
      <c r="BL50" s="849">
        <f t="shared" si="62"/>
        <v>71.450999999999951</v>
      </c>
      <c r="BM50" s="849">
        <f t="shared" si="62"/>
        <v>107.12999999999997</v>
      </c>
      <c r="BN50" s="849">
        <f t="shared" si="62"/>
        <v>126.8669999999999</v>
      </c>
      <c r="BO50" s="849">
        <f t="shared" ca="1" si="62"/>
        <v>162.67758721452492</v>
      </c>
      <c r="BP50" s="849" t="e">
        <f t="shared" si="62"/>
        <v>#REF!</v>
      </c>
      <c r="BQ50" s="849" t="e">
        <f t="shared" si="62"/>
        <v>#VALUE!</v>
      </c>
      <c r="BR50" s="850" t="e">
        <f t="shared" si="62"/>
        <v>#VALUE!</v>
      </c>
      <c r="BS50" s="849" t="e">
        <f t="shared" ca="1" si="62"/>
        <v>#VALUE!</v>
      </c>
      <c r="BT50" s="849">
        <f t="shared" si="62"/>
        <v>0</v>
      </c>
      <c r="BU50" s="849">
        <f t="shared" si="62"/>
        <v>0</v>
      </c>
      <c r="BV50" s="849">
        <f t="shared" si="62"/>
        <v>0</v>
      </c>
      <c r="BW50" s="849">
        <f t="shared" si="62"/>
        <v>0</v>
      </c>
      <c r="BX50" s="544"/>
    </row>
    <row r="51" spans="1:76" s="65" customFormat="1" x14ac:dyDescent="0.35">
      <c r="A51" s="184" t="str">
        <f>INDEX(MO_RIS_EPS_WAD,0,COLUMN())</f>
        <v>Earnings Per Share - WAD</v>
      </c>
      <c r="B51" s="185"/>
      <c r="C51" s="80">
        <f t="shared" ref="C51:AH51" si="63">INDEX(MO_RIS_EPS_WAD,0,COLUMN())</f>
        <v>0.12092951582786127</v>
      </c>
      <c r="D51" s="80">
        <f t="shared" si="63"/>
        <v>0.26332751904916124</v>
      </c>
      <c r="E51" s="80">
        <f t="shared" si="63"/>
        <v>0.33004116240304437</v>
      </c>
      <c r="F51" s="80">
        <f t="shared" si="63"/>
        <v>5.7453528885420095E-2</v>
      </c>
      <c r="G51" s="80">
        <f t="shared" si="63"/>
        <v>-0.13309064360100106</v>
      </c>
      <c r="H51" s="80">
        <f t="shared" si="63"/>
        <v>-9.1677191825305857E-2</v>
      </c>
      <c r="I51" s="80">
        <f t="shared" si="63"/>
        <v>0.4027850938856215</v>
      </c>
      <c r="J51" s="80">
        <f t="shared" si="63"/>
        <v>0.31892723985793342</v>
      </c>
      <c r="K51" s="80">
        <f t="shared" si="63"/>
        <v>-0.17975534120208705</v>
      </c>
      <c r="L51" s="80">
        <f t="shared" si="63"/>
        <v>0.33182790405456236</v>
      </c>
      <c r="M51" s="80">
        <f t="shared" si="63"/>
        <v>0.45478469020389223</v>
      </c>
      <c r="N51" s="80">
        <f t="shared" si="63"/>
        <v>-0.31030531175433762</v>
      </c>
      <c r="O51" s="80">
        <f t="shared" si="63"/>
        <v>-0.34175277204293997</v>
      </c>
      <c r="P51" s="80">
        <f t="shared" si="63"/>
        <v>0.22658707085893595</v>
      </c>
      <c r="Q51" s="80">
        <f t="shared" si="63"/>
        <v>0.36597556950893512</v>
      </c>
      <c r="R51" s="80">
        <f t="shared" si="63"/>
        <v>-2.6446903925797089E-2</v>
      </c>
      <c r="S51" s="80">
        <f t="shared" si="63"/>
        <v>-0.36461444849000468</v>
      </c>
      <c r="T51" s="80">
        <f t="shared" si="63"/>
        <v>0.29871350155289</v>
      </c>
      <c r="U51" s="80">
        <f t="shared" si="63"/>
        <v>0.23176796596491811</v>
      </c>
      <c r="V51" s="80">
        <f t="shared" si="63"/>
        <v>-0.16727166218338424</v>
      </c>
      <c r="W51" s="80">
        <f t="shared" si="63"/>
        <v>-0.20599275261446603</v>
      </c>
      <c r="X51" s="80">
        <f t="shared" si="63"/>
        <v>0.32588872145072612</v>
      </c>
      <c r="Y51" s="80">
        <f t="shared" si="63"/>
        <v>0.32060871599937857</v>
      </c>
      <c r="Z51" s="80">
        <f t="shared" si="63"/>
        <v>0.23381182083225416</v>
      </c>
      <c r="AA51" s="80">
        <f t="shared" si="63"/>
        <v>-0.21548601345645427</v>
      </c>
      <c r="AB51" s="80">
        <f t="shared" si="63"/>
        <v>0.58801852734489524</v>
      </c>
      <c r="AC51" s="80">
        <f t="shared" si="63"/>
        <v>0.44216839938703839</v>
      </c>
      <c r="AD51" s="80">
        <f t="shared" si="63"/>
        <v>7.9607363141094137E-2</v>
      </c>
      <c r="AE51" s="80">
        <f t="shared" si="63"/>
        <v>-0.24765480697089534</v>
      </c>
      <c r="AF51" s="80">
        <f t="shared" si="63"/>
        <v>0.51518573366298559</v>
      </c>
      <c r="AG51" s="80">
        <f t="shared" si="63"/>
        <v>0.21918481576532253</v>
      </c>
      <c r="AH51" s="80">
        <f t="shared" si="63"/>
        <v>0.11873647483940945</v>
      </c>
      <c r="AI51" s="80">
        <f t="shared" ref="AI51:BB51" si="64">INDEX(MO_RIS_EPS_WAD,0,COLUMN())</f>
        <v>0.30021564755906005</v>
      </c>
      <c r="AJ51" s="80">
        <f t="shared" si="64"/>
        <v>0.59609621573422888</v>
      </c>
      <c r="AK51" s="80">
        <f t="shared" si="64"/>
        <v>0.57060948812114531</v>
      </c>
      <c r="AL51" s="80">
        <f t="shared" si="64"/>
        <v>0.24839276626302365</v>
      </c>
      <c r="AM51" s="80">
        <f t="shared" si="64"/>
        <v>-0.14504771880101985</v>
      </c>
      <c r="AN51" s="80">
        <f t="shared" si="64"/>
        <v>1.0009675336356816</v>
      </c>
      <c r="AO51" s="80">
        <f t="shared" si="64"/>
        <v>1.0185816693461618</v>
      </c>
      <c r="AP51" s="80">
        <f t="shared" si="64"/>
        <v>0.65978132746969553</v>
      </c>
      <c r="AQ51" s="80">
        <f t="shared" si="64"/>
        <v>-0.53882644778474165</v>
      </c>
      <c r="AR51" s="80">
        <f t="shared" si="64"/>
        <v>1.1917315430386315</v>
      </c>
      <c r="AS51" s="80">
        <f t="shared" si="64"/>
        <v>1.2984474209798222</v>
      </c>
      <c r="AT51" s="80">
        <f t="shared" si="64"/>
        <v>1.0121972664466001</v>
      </c>
      <c r="AU51" s="516">
        <f t="shared" si="64"/>
        <v>0.11348835110010681</v>
      </c>
      <c r="AV51" s="80">
        <f t="shared" ca="1" si="64"/>
        <v>1.2245046004207425</v>
      </c>
      <c r="AW51" s="80">
        <f t="shared" ca="1" si="64"/>
        <v>1.3296930426187665</v>
      </c>
      <c r="AX51" s="80">
        <f t="shared" ca="1" si="64"/>
        <v>1.04949432252827</v>
      </c>
      <c r="AY51" s="80">
        <f t="shared" si="64"/>
        <v>0</v>
      </c>
      <c r="AZ51" s="80">
        <f t="shared" si="64"/>
        <v>0.41548619442108725</v>
      </c>
      <c r="BA51" s="80">
        <f t="shared" si="64"/>
        <v>0.71160122905185785</v>
      </c>
      <c r="BB51" s="80">
        <f t="shared" si="64"/>
        <v>0.39832150704780178</v>
      </c>
      <c r="BC51" s="80"/>
      <c r="BD51" s="844">
        <f t="shared" ref="BD51:BW51" si="65">INDEX(MO_RIS_EPS_WAD,0,COLUMN())</f>
        <v>0.72047444540370487</v>
      </c>
      <c r="BE51" s="844">
        <f t="shared" si="65"/>
        <v>0.49961106807771627</v>
      </c>
      <c r="BF51" s="844">
        <f t="shared" si="65"/>
        <v>0.29203656835770014</v>
      </c>
      <c r="BG51" s="844">
        <f t="shared" si="65"/>
        <v>0.23255880996606887</v>
      </c>
      <c r="BH51" s="844">
        <f t="shared" si="65"/>
        <v>1.1417451546840948E-2</v>
      </c>
      <c r="BI51" s="844">
        <f t="shared" si="65"/>
        <v>0.67966371361559874</v>
      </c>
      <c r="BJ51" s="844">
        <f t="shared" si="65"/>
        <v>0.90876008675094122</v>
      </c>
      <c r="BK51" s="844">
        <f t="shared" si="65"/>
        <v>0.60265757579871448</v>
      </c>
      <c r="BL51" s="844">
        <f t="shared" si="65"/>
        <v>1.7065541749923199</v>
      </c>
      <c r="BM51" s="844">
        <f t="shared" si="65"/>
        <v>2.5241789149701583</v>
      </c>
      <c r="BN51" s="844">
        <f t="shared" si="65"/>
        <v>2.9691696154671745</v>
      </c>
      <c r="BO51" s="844">
        <f t="shared" ca="1" si="65"/>
        <v>3.7186034516815645</v>
      </c>
      <c r="BP51" s="844" t="e">
        <f t="shared" si="65"/>
        <v>#REF!</v>
      </c>
      <c r="BQ51" s="844" t="e">
        <f t="shared" si="65"/>
        <v>#REF!</v>
      </c>
      <c r="BR51" s="845" t="e">
        <f t="shared" si="65"/>
        <v>#REF!</v>
      </c>
      <c r="BS51" s="844" t="e">
        <f t="shared" ca="1" si="65"/>
        <v>#REF!</v>
      </c>
      <c r="BT51" s="844">
        <f t="shared" si="65"/>
        <v>0</v>
      </c>
      <c r="BU51" s="844">
        <f t="shared" si="65"/>
        <v>0</v>
      </c>
      <c r="BV51" s="844">
        <f t="shared" si="65"/>
        <v>0</v>
      </c>
      <c r="BW51" s="844">
        <f t="shared" si="65"/>
        <v>0</v>
      </c>
      <c r="BX51" s="80"/>
    </row>
    <row r="52" spans="1:76" s="458" customFormat="1" x14ac:dyDescent="0.35">
      <c r="A52" s="476" t="str">
        <f>INDEX(MO_RIS_ShareCount_WAD_Adj,0,COLUMN())</f>
        <v>Adjusted Shares Outstanding - WAD</v>
      </c>
      <c r="B52" s="167"/>
      <c r="C52" s="543">
        <f t="shared" ref="C52:AH52" si="66">INDEX(MO_RIS_ShareCount_WAD_Adj,0,COLUMN())</f>
        <v>38.779252</v>
      </c>
      <c r="D52" s="543">
        <f t="shared" si="66"/>
        <v>38.868518999999999</v>
      </c>
      <c r="E52" s="543">
        <f t="shared" si="66"/>
        <v>39.033352999999998</v>
      </c>
      <c r="F52" s="543">
        <f t="shared" si="66"/>
        <v>39.475382000000003</v>
      </c>
      <c r="G52" s="543">
        <f t="shared" si="66"/>
        <v>37.868927999999997</v>
      </c>
      <c r="H52" s="543">
        <f t="shared" si="66"/>
        <v>39.977227999999997</v>
      </c>
      <c r="I52" s="543">
        <f t="shared" si="66"/>
        <v>39.596798</v>
      </c>
      <c r="J52" s="543">
        <f t="shared" si="66"/>
        <v>38.742379</v>
      </c>
      <c r="K52" s="543">
        <f t="shared" si="66"/>
        <v>37.695681</v>
      </c>
      <c r="L52" s="543">
        <f t="shared" si="66"/>
        <v>37.160829</v>
      </c>
      <c r="M52" s="543">
        <f t="shared" si="66"/>
        <v>37.408911000000003</v>
      </c>
      <c r="N52" s="543">
        <f t="shared" si="66"/>
        <v>37.318085000000004</v>
      </c>
      <c r="O52" s="543">
        <f t="shared" si="66"/>
        <v>37.433492999999999</v>
      </c>
      <c r="P52" s="543">
        <f t="shared" si="66"/>
        <v>37.680878999999997</v>
      </c>
      <c r="Q52" s="543">
        <f t="shared" si="66"/>
        <v>38.999870999999999</v>
      </c>
      <c r="R52" s="543">
        <f t="shared" si="66"/>
        <v>37.168812000000003</v>
      </c>
      <c r="S52" s="543">
        <f t="shared" si="66"/>
        <v>37.938704999999999</v>
      </c>
      <c r="T52" s="543">
        <f t="shared" si="66"/>
        <v>39.007275999999997</v>
      </c>
      <c r="U52" s="543">
        <f t="shared" si="66"/>
        <v>39.328127000000002</v>
      </c>
      <c r="V52" s="543">
        <f t="shared" si="66"/>
        <v>38.757311999999999</v>
      </c>
      <c r="W52" s="543">
        <f t="shared" si="66"/>
        <v>39.108172000000003</v>
      </c>
      <c r="X52" s="543">
        <f t="shared" si="66"/>
        <v>40.685667000000002</v>
      </c>
      <c r="Y52" s="543">
        <f t="shared" si="66"/>
        <v>40.766202999999997</v>
      </c>
      <c r="Z52" s="543">
        <f t="shared" si="66"/>
        <v>39.976593000000001</v>
      </c>
      <c r="AA52" s="543">
        <f t="shared" si="66"/>
        <v>38.434049000000002</v>
      </c>
      <c r="AB52" s="543">
        <f t="shared" si="66"/>
        <v>40.32526</v>
      </c>
      <c r="AC52" s="543">
        <f t="shared" si="66"/>
        <v>41.753323000000002</v>
      </c>
      <c r="AD52" s="543">
        <f t="shared" si="66"/>
        <v>41.667000000000002</v>
      </c>
      <c r="AE52" s="543">
        <f t="shared" si="66"/>
        <v>39.288556999999997</v>
      </c>
      <c r="AF52" s="543">
        <f t="shared" si="66"/>
        <v>39.973933000000002</v>
      </c>
      <c r="AG52" s="543">
        <f t="shared" si="66"/>
        <v>39.938898000000002</v>
      </c>
      <c r="AH52" s="543">
        <f t="shared" si="66"/>
        <v>41.166794000000003</v>
      </c>
      <c r="AI52" s="543">
        <f t="shared" ref="AI52:BB52" si="67">INDEX(MO_RIS_ShareCount_WAD_Adj,0,COLUMN())</f>
        <v>42.189672999999999</v>
      </c>
      <c r="AJ52" s="543">
        <f t="shared" si="67"/>
        <v>41.102424999999997</v>
      </c>
      <c r="AK52" s="543">
        <f t="shared" si="67"/>
        <v>41.690508999999999</v>
      </c>
      <c r="AL52" s="543">
        <f t="shared" si="67"/>
        <v>42.251632999999998</v>
      </c>
      <c r="AM52" s="543">
        <f t="shared" si="67"/>
        <v>40.559066000000001</v>
      </c>
      <c r="AN52" s="543">
        <f t="shared" si="67"/>
        <v>41.963399000000003</v>
      </c>
      <c r="AO52" s="543">
        <f t="shared" si="67"/>
        <v>42.136042000000003</v>
      </c>
      <c r="AP52" s="543">
        <f t="shared" si="67"/>
        <v>42.574711999999998</v>
      </c>
      <c r="AQ52" s="543">
        <f t="shared" si="67"/>
        <v>42.076627999999999</v>
      </c>
      <c r="AR52" s="543">
        <f t="shared" si="67"/>
        <v>42.547333999999999</v>
      </c>
      <c r="AS52" s="543">
        <f t="shared" si="67"/>
        <v>42.714089999999999</v>
      </c>
      <c r="AT52" s="543">
        <f t="shared" si="67"/>
        <v>42.849355000000003</v>
      </c>
      <c r="AU52" s="614">
        <f t="shared" si="67"/>
        <v>42.982385000000001</v>
      </c>
      <c r="AV52" s="543">
        <f t="shared" ca="1" si="67"/>
        <v>43.804456684999998</v>
      </c>
      <c r="AW52" s="543">
        <f t="shared" ca="1" si="67"/>
        <v>43.780002369999998</v>
      </c>
      <c r="AX52" s="543">
        <f t="shared" ca="1" si="67"/>
        <v>43.780002369999998</v>
      </c>
      <c r="AY52" s="543">
        <f t="shared" si="67"/>
        <v>0</v>
      </c>
      <c r="AZ52" s="543">
        <f t="shared" si="67"/>
        <v>29.639973999999999</v>
      </c>
      <c r="BA52" s="543">
        <f t="shared" si="67"/>
        <v>30.248683</v>
      </c>
      <c r="BB52" s="543">
        <f t="shared" si="67"/>
        <v>34.635593999999998</v>
      </c>
      <c r="BC52" s="543"/>
      <c r="BD52" s="851">
        <f t="shared" ref="BD52:BW52" si="68">INDEX(MO_RIS_ShareCount_WAD_Adj,0,COLUMN())</f>
        <v>39.017344999999999</v>
      </c>
      <c r="BE52" s="851">
        <f t="shared" si="68"/>
        <v>39.230516000000001</v>
      </c>
      <c r="BF52" s="851">
        <f t="shared" si="68"/>
        <v>37.625425</v>
      </c>
      <c r="BG52" s="851">
        <f t="shared" si="68"/>
        <v>38.850388000000002</v>
      </c>
      <c r="BH52" s="851">
        <f t="shared" si="68"/>
        <v>39.500934000000001</v>
      </c>
      <c r="BI52" s="851">
        <f t="shared" si="68"/>
        <v>40.637743999999998</v>
      </c>
      <c r="BJ52" s="851">
        <f t="shared" si="68"/>
        <v>40.944800000000001</v>
      </c>
      <c r="BK52" s="851">
        <f t="shared" si="68"/>
        <v>40.663224</v>
      </c>
      <c r="BL52" s="851">
        <f t="shared" si="68"/>
        <v>41.868580000000001</v>
      </c>
      <c r="BM52" s="851">
        <f t="shared" si="68"/>
        <v>42.441524000000001</v>
      </c>
      <c r="BN52" s="851">
        <f t="shared" si="68"/>
        <v>42.728107999999999</v>
      </c>
      <c r="BO52" s="851">
        <f t="shared" ca="1" si="68"/>
        <v>43.746957514644805</v>
      </c>
      <c r="BP52" s="851" t="e">
        <f t="shared" si="68"/>
        <v>#REF!</v>
      </c>
      <c r="BQ52" s="851" t="e">
        <f t="shared" si="68"/>
        <v>#REF!</v>
      </c>
      <c r="BR52" s="852" t="e">
        <f t="shared" si="68"/>
        <v>#REF!</v>
      </c>
      <c r="BS52" s="851" t="e">
        <f t="shared" ca="1" si="68"/>
        <v>#REF!</v>
      </c>
      <c r="BT52" s="851">
        <f t="shared" si="68"/>
        <v>0</v>
      </c>
      <c r="BU52" s="851">
        <f t="shared" si="68"/>
        <v>0</v>
      </c>
      <c r="BV52" s="851">
        <f t="shared" si="68"/>
        <v>0</v>
      </c>
      <c r="BW52" s="851">
        <f t="shared" si="68"/>
        <v>0</v>
      </c>
      <c r="BX52" s="543"/>
    </row>
    <row r="53" spans="1:76" s="458" customFormat="1" x14ac:dyDescent="0.35">
      <c r="A53" s="166"/>
      <c r="B53" s="167"/>
      <c r="C53" s="543"/>
      <c r="D53" s="543"/>
      <c r="E53" s="543"/>
      <c r="F53" s="543"/>
      <c r="G53" s="543"/>
      <c r="H53" s="543"/>
      <c r="I53" s="543"/>
      <c r="J53" s="543"/>
      <c r="K53" s="543"/>
      <c r="L53" s="543"/>
      <c r="M53" s="543"/>
      <c r="N53" s="543"/>
      <c r="O53" s="543"/>
      <c r="P53" s="543"/>
      <c r="Q53" s="543"/>
      <c r="R53" s="543"/>
      <c r="S53" s="543"/>
      <c r="T53" s="543"/>
      <c r="U53" s="543"/>
      <c r="V53" s="543"/>
      <c r="W53" s="543"/>
      <c r="X53" s="543"/>
      <c r="Y53" s="543"/>
      <c r="Z53" s="543"/>
      <c r="AA53" s="543"/>
      <c r="AB53" s="543"/>
      <c r="AC53" s="543"/>
      <c r="AD53" s="543"/>
      <c r="AE53" s="543"/>
      <c r="AF53" s="543"/>
      <c r="AG53" s="543"/>
      <c r="AH53" s="543"/>
      <c r="AI53" s="543"/>
      <c r="AJ53" s="543"/>
      <c r="AK53" s="543"/>
      <c r="AL53" s="543"/>
      <c r="AM53" s="543"/>
      <c r="AN53" s="543"/>
      <c r="AO53" s="543"/>
      <c r="AP53" s="543"/>
      <c r="AQ53" s="543"/>
      <c r="AR53" s="543"/>
      <c r="AS53" s="543"/>
      <c r="AT53" s="543"/>
      <c r="AU53" s="614"/>
      <c r="AV53" s="543"/>
      <c r="AW53" s="543"/>
      <c r="AX53" s="543"/>
      <c r="AY53" s="543"/>
      <c r="AZ53" s="543"/>
      <c r="BA53" s="543"/>
      <c r="BB53" s="543"/>
      <c r="BC53" s="543"/>
      <c r="BD53" s="851"/>
      <c r="BE53" s="851"/>
      <c r="BF53" s="851"/>
      <c r="BG53" s="851"/>
      <c r="BH53" s="851"/>
      <c r="BI53" s="851"/>
      <c r="BJ53" s="851"/>
      <c r="BK53" s="851"/>
      <c r="BL53" s="851"/>
      <c r="BM53" s="851"/>
      <c r="BN53" s="851"/>
      <c r="BO53" s="851"/>
      <c r="BP53" s="851"/>
      <c r="BQ53" s="851"/>
      <c r="BR53" s="852"/>
      <c r="BS53" s="851"/>
      <c r="BT53" s="851"/>
      <c r="BU53" s="851"/>
      <c r="BV53" s="851"/>
      <c r="BW53" s="851"/>
      <c r="BX53" s="543"/>
    </row>
    <row r="54" spans="1:76" x14ac:dyDescent="0.35">
      <c r="A54" s="118" t="s">
        <v>310</v>
      </c>
      <c r="B54" s="119"/>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393"/>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393"/>
      <c r="BS54" s="119"/>
      <c r="BT54" s="119"/>
      <c r="BU54" s="119"/>
      <c r="BV54" s="119"/>
      <c r="BW54" s="119"/>
      <c r="BX54" s="186"/>
    </row>
    <row r="55" spans="1:76" s="66" customFormat="1" x14ac:dyDescent="0.35">
      <c r="A55" s="165" t="e">
        <f>INDEX(MO_RIS_EBITDA_Adj,0,COLUMN())</f>
        <v>#REF!</v>
      </c>
      <c r="B55" s="170"/>
      <c r="C55" s="544">
        <f t="shared" ref="C55:AH55" si="69">INDEX(MO_RIS_EBITDA_Adj,0,COLUMN())</f>
        <v>27.194000000000003</v>
      </c>
      <c r="D55" s="544">
        <f t="shared" si="69"/>
        <v>35.41299999999999</v>
      </c>
      <c r="E55" s="544">
        <f t="shared" si="69"/>
        <v>39.686999999999991</v>
      </c>
      <c r="F55" s="544">
        <f t="shared" si="69"/>
        <v>23.522999999999985</v>
      </c>
      <c r="G55" s="544">
        <f t="shared" si="69"/>
        <v>12.166000000000029</v>
      </c>
      <c r="H55" s="544">
        <f t="shared" si="69"/>
        <v>34.146000000000015</v>
      </c>
      <c r="I55" s="544">
        <f t="shared" si="69"/>
        <v>49.390999999999991</v>
      </c>
      <c r="J55" s="544">
        <f t="shared" si="69"/>
        <v>36.247999999999955</v>
      </c>
      <c r="K55" s="544">
        <f t="shared" si="69"/>
        <v>7.8949999999999694</v>
      </c>
      <c r="L55" s="544">
        <f t="shared" si="69"/>
        <v>42.897999999999996</v>
      </c>
      <c r="M55" s="544">
        <f t="shared" si="69"/>
        <v>49.695999999999984</v>
      </c>
      <c r="N55" s="544">
        <f t="shared" si="69"/>
        <v>23.038000000000128</v>
      </c>
      <c r="O55" s="544">
        <f t="shared" si="69"/>
        <v>0.69600000000001216</v>
      </c>
      <c r="P55" s="544">
        <f t="shared" si="69"/>
        <v>36.150999999999982</v>
      </c>
      <c r="Q55" s="544">
        <f t="shared" si="69"/>
        <v>40.939000000000007</v>
      </c>
      <c r="R55" s="544">
        <f t="shared" si="69"/>
        <v>22.96899999999998</v>
      </c>
      <c r="S55" s="544">
        <f t="shared" si="69"/>
        <v>-0.29499999999998394</v>
      </c>
      <c r="T55" s="544">
        <f t="shared" si="69"/>
        <v>41.616000000000007</v>
      </c>
      <c r="U55" s="544">
        <f t="shared" si="69"/>
        <v>37.97799999999998</v>
      </c>
      <c r="V55" s="544">
        <f t="shared" si="69"/>
        <v>30.70799999999997</v>
      </c>
      <c r="W55" s="544">
        <f t="shared" si="69"/>
        <v>5.9530000000000136</v>
      </c>
      <c r="X55" s="544">
        <f t="shared" si="69"/>
        <v>39.480999999999995</v>
      </c>
      <c r="Y55" s="544">
        <f t="shared" si="69"/>
        <v>42.700000000000017</v>
      </c>
      <c r="Z55" s="544">
        <f t="shared" si="69"/>
        <v>33.48799999999995</v>
      </c>
      <c r="AA55" s="544">
        <f t="shared" si="69"/>
        <v>8.7829999999999764</v>
      </c>
      <c r="AB55" s="544">
        <f t="shared" si="69"/>
        <v>55.14</v>
      </c>
      <c r="AC55" s="544">
        <f t="shared" si="69"/>
        <v>44.255000000000024</v>
      </c>
      <c r="AD55" s="544">
        <f t="shared" si="69"/>
        <v>25.383999999999972</v>
      </c>
      <c r="AE55" s="544">
        <f t="shared" si="69"/>
        <v>3.2799999999999834</v>
      </c>
      <c r="AF55" s="544">
        <f t="shared" si="69"/>
        <v>53.712000000000018</v>
      </c>
      <c r="AG55" s="544">
        <f t="shared" si="69"/>
        <v>38.999000000000009</v>
      </c>
      <c r="AH55" s="544">
        <f t="shared" si="69"/>
        <v>32.166000000000153</v>
      </c>
      <c r="AI55" s="544">
        <f t="shared" ref="AI55:BB55" si="70">INDEX(MO_RIS_EBITDA_Adj,0,COLUMN())</f>
        <v>39.233999999999995</v>
      </c>
      <c r="AJ55" s="544">
        <f t="shared" si="70"/>
        <v>70.686999999999955</v>
      </c>
      <c r="AK55" s="544">
        <f t="shared" si="70"/>
        <v>75.006999999999991</v>
      </c>
      <c r="AL55" s="544">
        <f t="shared" si="70"/>
        <v>54.938000000000052</v>
      </c>
      <c r="AM55" s="544">
        <f t="shared" si="70"/>
        <v>25.455999999999992</v>
      </c>
      <c r="AN55" s="544">
        <f t="shared" si="70"/>
        <v>82.697000000000031</v>
      </c>
      <c r="AO55" s="544">
        <f t="shared" si="70"/>
        <v>90.306999999999988</v>
      </c>
      <c r="AP55" s="544">
        <f t="shared" si="70"/>
        <v>74.651999999999987</v>
      </c>
      <c r="AQ55" s="544">
        <f t="shared" si="70"/>
        <v>3.0420000000000051</v>
      </c>
      <c r="AR55" s="544">
        <f t="shared" si="70"/>
        <v>100.47700000000003</v>
      </c>
      <c r="AS55" s="544">
        <f t="shared" si="70"/>
        <v>103.88600000000002</v>
      </c>
      <c r="AT55" s="544">
        <f t="shared" si="70"/>
        <v>88.771999999999963</v>
      </c>
      <c r="AU55" s="617">
        <f t="shared" si="70"/>
        <v>39.762999999999963</v>
      </c>
      <c r="AV55" s="544">
        <f t="shared" si="70"/>
        <v>111.19660685377046</v>
      </c>
      <c r="AW55" s="544">
        <f t="shared" si="70"/>
        <v>113.80349431819587</v>
      </c>
      <c r="AX55" s="544">
        <f t="shared" si="70"/>
        <v>94.462618938706271</v>
      </c>
      <c r="AY55" s="544">
        <f t="shared" si="70"/>
        <v>0</v>
      </c>
      <c r="AZ55" s="544">
        <f t="shared" si="70"/>
        <v>45.96399999999997</v>
      </c>
      <c r="BA55" s="544">
        <f t="shared" si="70"/>
        <v>67.162000000000035</v>
      </c>
      <c r="BB55" s="544">
        <f t="shared" si="70"/>
        <v>76.613999999999976</v>
      </c>
      <c r="BC55" s="544"/>
      <c r="BD55" s="853">
        <f t="shared" ref="BD55:BW55" si="71">INDEX(MO_RIS_EBITDA_Adj,0,COLUMN())</f>
        <v>125.81700000000001</v>
      </c>
      <c r="BE55" s="853">
        <f t="shared" si="71"/>
        <v>131.95099999999994</v>
      </c>
      <c r="BF55" s="853">
        <f t="shared" si="71"/>
        <v>123.52700000000002</v>
      </c>
      <c r="BG55" s="853">
        <f t="shared" si="71"/>
        <v>100.75500000000004</v>
      </c>
      <c r="BH55" s="853">
        <f t="shared" si="71"/>
        <v>110.00699999999996</v>
      </c>
      <c r="BI55" s="853">
        <f t="shared" si="71"/>
        <v>121.62200000000001</v>
      </c>
      <c r="BJ55" s="853">
        <f t="shared" si="71"/>
        <v>133.56199999999995</v>
      </c>
      <c r="BK55" s="853">
        <f t="shared" si="71"/>
        <v>128.1570000000001</v>
      </c>
      <c r="BL55" s="853">
        <f t="shared" si="71"/>
        <v>239.86599999999996</v>
      </c>
      <c r="BM55" s="853">
        <f t="shared" si="71"/>
        <v>273.11199999999997</v>
      </c>
      <c r="BN55" s="853">
        <f t="shared" si="71"/>
        <v>296.17699999999991</v>
      </c>
      <c r="BO55" s="853">
        <f t="shared" si="71"/>
        <v>359.22572011067257</v>
      </c>
      <c r="BP55" s="853" t="e">
        <f t="shared" si="71"/>
        <v>#REF!</v>
      </c>
      <c r="BQ55" s="853" t="e">
        <f t="shared" si="71"/>
        <v>#REF!</v>
      </c>
      <c r="BR55" s="854" t="e">
        <f t="shared" si="71"/>
        <v>#REF!</v>
      </c>
      <c r="BS55" s="853" t="e">
        <f t="shared" si="71"/>
        <v>#REF!</v>
      </c>
      <c r="BT55" s="853">
        <f t="shared" si="71"/>
        <v>0</v>
      </c>
      <c r="BU55" s="853">
        <f t="shared" si="71"/>
        <v>0</v>
      </c>
      <c r="BV55" s="853">
        <f t="shared" si="71"/>
        <v>0</v>
      </c>
      <c r="BW55" s="853">
        <f t="shared" si="71"/>
        <v>0</v>
      </c>
      <c r="BX55" s="544"/>
    </row>
    <row r="56" spans="1:76" s="66" customFormat="1" x14ac:dyDescent="0.35">
      <c r="A56" s="165" t="e">
        <f>INDEX(MO_RIS_EBIT_Adj,0,COLUMN())</f>
        <v>#REF!</v>
      </c>
      <c r="B56" s="170"/>
      <c r="C56" s="544">
        <f t="shared" ref="C56:AH56" si="72">INDEX(MO_RIS_EBIT_Adj,0,COLUMN())</f>
        <v>11.533000000000001</v>
      </c>
      <c r="D56" s="544">
        <f t="shared" si="72"/>
        <v>19.179999999999993</v>
      </c>
      <c r="E56" s="544">
        <f t="shared" si="72"/>
        <v>23.404999999999987</v>
      </c>
      <c r="F56" s="544">
        <f t="shared" si="72"/>
        <v>5.9619999999999926</v>
      </c>
      <c r="G56" s="544">
        <f t="shared" si="72"/>
        <v>-4.7839999999999705</v>
      </c>
      <c r="H56" s="544">
        <f t="shared" si="72"/>
        <v>-0.3779999999999859</v>
      </c>
      <c r="I56" s="544">
        <f t="shared" si="72"/>
        <v>31.373999999999992</v>
      </c>
      <c r="J56" s="544">
        <f t="shared" si="72"/>
        <v>19.471999999999959</v>
      </c>
      <c r="K56" s="544">
        <f t="shared" si="72"/>
        <v>-8.9850000000000296</v>
      </c>
      <c r="L56" s="544">
        <f t="shared" si="72"/>
        <v>25.268999999999998</v>
      </c>
      <c r="M56" s="544">
        <f t="shared" si="72"/>
        <v>31.931999999999981</v>
      </c>
      <c r="N56" s="544">
        <f t="shared" si="72"/>
        <v>-8.4899999999998705</v>
      </c>
      <c r="O56" s="544">
        <f t="shared" si="72"/>
        <v>-15.868999999999989</v>
      </c>
      <c r="P56" s="544">
        <f t="shared" si="72"/>
        <v>19.68099999999999</v>
      </c>
      <c r="Q56" s="544">
        <f t="shared" si="72"/>
        <v>23.352</v>
      </c>
      <c r="R56" s="544">
        <f t="shared" si="72"/>
        <v>5.3659999999999854</v>
      </c>
      <c r="S56" s="544">
        <f t="shared" si="72"/>
        <v>-17.974999999999984</v>
      </c>
      <c r="T56" s="544">
        <f t="shared" si="72"/>
        <v>22.921000000000006</v>
      </c>
      <c r="U56" s="544">
        <f t="shared" si="72"/>
        <v>18.027999999999977</v>
      </c>
      <c r="V56" s="544">
        <f t="shared" si="72"/>
        <v>12.752999999999973</v>
      </c>
      <c r="W56" s="544">
        <f t="shared" si="72"/>
        <v>-14.682999999999986</v>
      </c>
      <c r="X56" s="544">
        <f t="shared" si="72"/>
        <v>20.930999999999997</v>
      </c>
      <c r="Y56" s="544">
        <f t="shared" si="72"/>
        <v>24.274000000000015</v>
      </c>
      <c r="Z56" s="544">
        <f t="shared" si="72"/>
        <v>15.839999999999948</v>
      </c>
      <c r="AA56" s="544">
        <f t="shared" si="72"/>
        <v>-9.7280000000000229</v>
      </c>
      <c r="AB56" s="544">
        <f t="shared" si="72"/>
        <v>37.430000000000007</v>
      </c>
      <c r="AC56" s="544">
        <f t="shared" si="72"/>
        <v>27.21700000000002</v>
      </c>
      <c r="AD56" s="544">
        <f t="shared" si="72"/>
        <v>7.2429999999999666</v>
      </c>
      <c r="AE56" s="544">
        <f t="shared" si="72"/>
        <v>-13.123000000000019</v>
      </c>
      <c r="AF56" s="544">
        <f t="shared" si="72"/>
        <v>37.224000000000025</v>
      </c>
      <c r="AG56" s="544">
        <f t="shared" si="72"/>
        <v>22.350000000000009</v>
      </c>
      <c r="AH56" s="544">
        <f t="shared" si="72"/>
        <v>15.628000000000155</v>
      </c>
      <c r="AI56" s="544">
        <f t="shared" ref="AI56:BB56" si="73">INDEX(MO_RIS_EBIT_Adj,0,COLUMN())</f>
        <v>23.008999999999993</v>
      </c>
      <c r="AJ56" s="544">
        <f t="shared" si="73"/>
        <v>50.049999999999955</v>
      </c>
      <c r="AK56" s="544">
        <f t="shared" si="73"/>
        <v>54.905999999999999</v>
      </c>
      <c r="AL56" s="544">
        <f t="shared" si="73"/>
        <v>33.466000000000051</v>
      </c>
      <c r="AM56" s="544">
        <f t="shared" si="73"/>
        <v>4.5219999999999958</v>
      </c>
      <c r="AN56" s="544">
        <f t="shared" si="73"/>
        <v>60.731000000000023</v>
      </c>
      <c r="AO56" s="544">
        <f t="shared" si="73"/>
        <v>69.439999999999984</v>
      </c>
      <c r="AP56" s="544">
        <f t="shared" si="73"/>
        <v>53.472999999999978</v>
      </c>
      <c r="AQ56" s="544">
        <f t="shared" si="73"/>
        <v>-19.919999999999995</v>
      </c>
      <c r="AR56" s="544">
        <f t="shared" si="73"/>
        <v>76.293000000000035</v>
      </c>
      <c r="AS56" s="544">
        <f t="shared" si="73"/>
        <v>80.224000000000018</v>
      </c>
      <c r="AT56" s="544">
        <f t="shared" si="73"/>
        <v>64.421999999999969</v>
      </c>
      <c r="AU56" s="617">
        <f t="shared" si="73"/>
        <v>14.760999999999964</v>
      </c>
      <c r="AV56" s="544">
        <f t="shared" si="73"/>
        <v>85.195191279999975</v>
      </c>
      <c r="AW56" s="544">
        <f t="shared" si="73"/>
        <v>90.172442214799986</v>
      </c>
      <c r="AX56" s="544">
        <f t="shared" si="73"/>
        <v>72.451261311999986</v>
      </c>
      <c r="AY56" s="544">
        <f t="shared" si="73"/>
        <v>0</v>
      </c>
      <c r="AZ56" s="544">
        <f t="shared" si="73"/>
        <v>25.128999999999969</v>
      </c>
      <c r="BA56" s="544">
        <f t="shared" si="73"/>
        <v>41.401000000000032</v>
      </c>
      <c r="BB56" s="544">
        <f t="shared" si="73"/>
        <v>33.679999999999971</v>
      </c>
      <c r="BC56" s="544"/>
      <c r="BD56" s="853">
        <f t="shared" ref="BD56:BW56" si="74">INDEX(MO_RIS_EBIT_Adj,0,COLUMN())</f>
        <v>60.08000000000002</v>
      </c>
      <c r="BE56" s="853">
        <f t="shared" si="74"/>
        <v>45.683999999999941</v>
      </c>
      <c r="BF56" s="853">
        <f t="shared" si="74"/>
        <v>39.72600000000002</v>
      </c>
      <c r="BG56" s="853">
        <f t="shared" si="74"/>
        <v>32.530000000000044</v>
      </c>
      <c r="BH56" s="853">
        <f t="shared" si="74"/>
        <v>35.726999999999961</v>
      </c>
      <c r="BI56" s="853">
        <f t="shared" si="74"/>
        <v>46.362000000000016</v>
      </c>
      <c r="BJ56" s="853">
        <f t="shared" si="74"/>
        <v>62.161999999999935</v>
      </c>
      <c r="BK56" s="853">
        <f t="shared" si="74"/>
        <v>62.079000000000107</v>
      </c>
      <c r="BL56" s="853">
        <f t="shared" si="74"/>
        <v>161.43099999999995</v>
      </c>
      <c r="BM56" s="853">
        <f t="shared" si="74"/>
        <v>188.16599999999994</v>
      </c>
      <c r="BN56" s="853">
        <f t="shared" si="74"/>
        <v>201.01899999999989</v>
      </c>
      <c r="BO56" s="853">
        <f t="shared" si="74"/>
        <v>262.57989480679993</v>
      </c>
      <c r="BP56" s="853" t="e">
        <f t="shared" si="74"/>
        <v>#REF!</v>
      </c>
      <c r="BQ56" s="853" t="e">
        <f t="shared" si="74"/>
        <v>#REF!</v>
      </c>
      <c r="BR56" s="854" t="e">
        <f t="shared" si="74"/>
        <v>#REF!</v>
      </c>
      <c r="BS56" s="853" t="e">
        <f t="shared" si="74"/>
        <v>#REF!</v>
      </c>
      <c r="BT56" s="853">
        <f t="shared" si="74"/>
        <v>0</v>
      </c>
      <c r="BU56" s="853">
        <f t="shared" si="74"/>
        <v>0</v>
      </c>
      <c r="BV56" s="853">
        <f t="shared" si="74"/>
        <v>0</v>
      </c>
      <c r="BW56" s="853">
        <f t="shared" si="74"/>
        <v>0</v>
      </c>
      <c r="BX56" s="544"/>
    </row>
    <row r="57" spans="1:76" s="66" customFormat="1" x14ac:dyDescent="0.35">
      <c r="A57" s="165" t="str">
        <f>INDEX(MO_RIS_NI_NONGAAP_Diluted,0,COLUMN())</f>
        <v>Adjusted Net Income</v>
      </c>
      <c r="B57" s="170"/>
      <c r="C57" s="544">
        <f t="shared" ref="C57:AH57" si="75">INDEX(MO_RIS_NI_NONGAAP_Diluted,0,COLUMN())</f>
        <v>4.0480000000000018</v>
      </c>
      <c r="D57" s="544">
        <f t="shared" si="75"/>
        <v>8.8359999999999914</v>
      </c>
      <c r="E57" s="544">
        <f t="shared" si="75"/>
        <v>11.130999999999988</v>
      </c>
      <c r="F57" s="544">
        <f t="shared" si="75"/>
        <v>2.1109999999999927</v>
      </c>
      <c r="G57" s="544">
        <f t="shared" si="75"/>
        <v>-5.0399999999999698</v>
      </c>
      <c r="H57" s="544">
        <f t="shared" si="75"/>
        <v>-3.664999999999988</v>
      </c>
      <c r="I57" s="544">
        <f t="shared" si="75"/>
        <v>15.948999999999989</v>
      </c>
      <c r="J57" s="544">
        <f t="shared" si="75"/>
        <v>12.355999999999963</v>
      </c>
      <c r="K57" s="544">
        <f t="shared" si="75"/>
        <v>-6.77600000000003</v>
      </c>
      <c r="L57" s="544">
        <f t="shared" si="75"/>
        <v>12.330999999999998</v>
      </c>
      <c r="M57" s="544">
        <f t="shared" si="75"/>
        <v>17.012999999999977</v>
      </c>
      <c r="N57" s="544">
        <f t="shared" si="75"/>
        <v>-11.579999999999872</v>
      </c>
      <c r="O57" s="544">
        <f t="shared" si="75"/>
        <v>-12.792999999999989</v>
      </c>
      <c r="P57" s="544">
        <f t="shared" si="75"/>
        <v>8.5379999999999914</v>
      </c>
      <c r="Q57" s="544">
        <f t="shared" si="75"/>
        <v>14.273000000000001</v>
      </c>
      <c r="R57" s="544">
        <f t="shared" si="75"/>
        <v>-0.98300000000001397</v>
      </c>
      <c r="S57" s="544">
        <f t="shared" si="75"/>
        <v>-13.832999999999982</v>
      </c>
      <c r="T57" s="544">
        <f t="shared" si="75"/>
        <v>11.652000000000008</v>
      </c>
      <c r="U57" s="544">
        <f t="shared" si="75"/>
        <v>9.1149999999999771</v>
      </c>
      <c r="V57" s="544">
        <f t="shared" si="75"/>
        <v>-6.4830000000000236</v>
      </c>
      <c r="W57" s="544">
        <f t="shared" si="75"/>
        <v>-8.0559999999999885</v>
      </c>
      <c r="X57" s="544">
        <f t="shared" si="75"/>
        <v>13.259</v>
      </c>
      <c r="Y57" s="544">
        <f t="shared" si="75"/>
        <v>13.070000000000013</v>
      </c>
      <c r="Z57" s="544">
        <f t="shared" si="75"/>
        <v>9.3469999999999462</v>
      </c>
      <c r="AA57" s="544">
        <f t="shared" si="75"/>
        <v>-8.2820000000000231</v>
      </c>
      <c r="AB57" s="544">
        <f t="shared" si="75"/>
        <v>23.71200000000001</v>
      </c>
      <c r="AC57" s="544">
        <f t="shared" si="75"/>
        <v>18.462000000000018</v>
      </c>
      <c r="AD57" s="544">
        <f t="shared" si="75"/>
        <v>3.3169999999999695</v>
      </c>
      <c r="AE57" s="544">
        <f t="shared" si="75"/>
        <v>-9.7300000000000182</v>
      </c>
      <c r="AF57" s="544">
        <f t="shared" si="75"/>
        <v>20.59400000000003</v>
      </c>
      <c r="AG57" s="544">
        <f t="shared" si="75"/>
        <v>8.7540000000000084</v>
      </c>
      <c r="AH57" s="544">
        <f t="shared" si="75"/>
        <v>4.8880000000001527</v>
      </c>
      <c r="AI57" s="544">
        <f t="shared" ref="AI57:BB57" si="76">INDEX(MO_RIS_NI_NONGAAP_Diluted,0,COLUMN())</f>
        <v>12.665999999999991</v>
      </c>
      <c r="AJ57" s="544">
        <f t="shared" si="76"/>
        <v>24.500999999999959</v>
      </c>
      <c r="AK57" s="544">
        <f t="shared" si="76"/>
        <v>23.789000000000001</v>
      </c>
      <c r="AL57" s="544">
        <f t="shared" si="76"/>
        <v>10.495000000000056</v>
      </c>
      <c r="AM57" s="544">
        <f t="shared" si="76"/>
        <v>-5.8830000000000053</v>
      </c>
      <c r="AN57" s="544">
        <f t="shared" si="76"/>
        <v>42.004000000000026</v>
      </c>
      <c r="AO57" s="544">
        <f t="shared" si="76"/>
        <v>42.91899999999999</v>
      </c>
      <c r="AP57" s="544">
        <f t="shared" si="76"/>
        <v>28.089999999999975</v>
      </c>
      <c r="AQ57" s="544">
        <f t="shared" si="76"/>
        <v>-22.671999999999997</v>
      </c>
      <c r="AR57" s="544">
        <f t="shared" si="76"/>
        <v>50.705000000000027</v>
      </c>
      <c r="AS57" s="544">
        <f t="shared" si="76"/>
        <v>55.46200000000001</v>
      </c>
      <c r="AT57" s="544">
        <f t="shared" si="76"/>
        <v>43.371999999999964</v>
      </c>
      <c r="AU57" s="617">
        <f t="shared" si="76"/>
        <v>4.8779999999999646</v>
      </c>
      <c r="AV57" s="544">
        <f t="shared" si="76"/>
        <v>53.638758729713643</v>
      </c>
      <c r="AW57" s="544">
        <f t="shared" ca="1" si="76"/>
        <v>58.213964557222106</v>
      </c>
      <c r="AX57" s="544">
        <f t="shared" ca="1" si="76"/>
        <v>45.946863927589206</v>
      </c>
      <c r="AY57" s="544">
        <f t="shared" si="76"/>
        <v>0</v>
      </c>
      <c r="AZ57" s="544">
        <f t="shared" si="76"/>
        <v>12.314999999999971</v>
      </c>
      <c r="BA57" s="544">
        <f t="shared" si="76"/>
        <v>21.525000000000038</v>
      </c>
      <c r="BB57" s="544">
        <f t="shared" si="76"/>
        <v>11.760999999999969</v>
      </c>
      <c r="BC57" s="544"/>
      <c r="BD57" s="853">
        <f t="shared" ref="BD57:BW57" si="77">INDEX(MO_RIS_NI_NONGAAP_Diluted,0,COLUMN())</f>
        <v>26.126000000000015</v>
      </c>
      <c r="BE57" s="853">
        <f t="shared" si="77"/>
        <v>19.599999999999937</v>
      </c>
      <c r="BF57" s="853">
        <f t="shared" si="77"/>
        <v>10.988000000000021</v>
      </c>
      <c r="BG57" s="853">
        <f t="shared" si="77"/>
        <v>9.0350000000000428</v>
      </c>
      <c r="BH57" s="853">
        <f t="shared" si="77"/>
        <v>0.45099999999996221</v>
      </c>
      <c r="BI57" s="853">
        <f t="shared" si="77"/>
        <v>27.620000000000015</v>
      </c>
      <c r="BJ57" s="853">
        <f t="shared" si="77"/>
        <v>37.208999999999939</v>
      </c>
      <c r="BK57" s="853">
        <f t="shared" si="77"/>
        <v>24.506000000000107</v>
      </c>
      <c r="BL57" s="853">
        <f t="shared" si="77"/>
        <v>71.450999999999951</v>
      </c>
      <c r="BM57" s="853">
        <f t="shared" si="77"/>
        <v>107.12999999999994</v>
      </c>
      <c r="BN57" s="853">
        <f t="shared" si="77"/>
        <v>126.8669999999999</v>
      </c>
      <c r="BO57" s="853">
        <f t="shared" ca="1" si="77"/>
        <v>162.67758721452492</v>
      </c>
      <c r="BP57" s="853" t="e">
        <f t="shared" si="77"/>
        <v>#REF!</v>
      </c>
      <c r="BQ57" s="853" t="e">
        <f t="shared" si="77"/>
        <v>#REF!</v>
      </c>
      <c r="BR57" s="854" t="e">
        <f t="shared" si="77"/>
        <v>#REF!</v>
      </c>
      <c r="BS57" s="853" t="e">
        <f t="shared" ca="1" si="77"/>
        <v>#REF!</v>
      </c>
      <c r="BT57" s="853">
        <f t="shared" si="77"/>
        <v>0</v>
      </c>
      <c r="BU57" s="853">
        <f t="shared" si="77"/>
        <v>0</v>
      </c>
      <c r="BV57" s="853">
        <f t="shared" si="77"/>
        <v>0</v>
      </c>
      <c r="BW57" s="853">
        <f t="shared" si="77"/>
        <v>0</v>
      </c>
      <c r="BX57" s="544"/>
    </row>
    <row r="58" spans="1:76" s="65" customFormat="1" x14ac:dyDescent="0.35">
      <c r="A58" s="184" t="str">
        <f>INDEX(MO_RIS_EPS_WAD_Adj,0,COLUMN())</f>
        <v>Adjusted Earnings Per Share - WAD</v>
      </c>
      <c r="B58" s="185"/>
      <c r="C58" s="80">
        <f t="shared" ref="C58:AH58" si="78">INDEX(MO_RIS_EPS_WAD_Adj,0,COLUMN())</f>
        <v>0.10438571636193503</v>
      </c>
      <c r="D58" s="80">
        <f t="shared" si="78"/>
        <v>0.22733050363971913</v>
      </c>
      <c r="E58" s="80">
        <f t="shared" si="78"/>
        <v>0.28516638065912475</v>
      </c>
      <c r="F58" s="80">
        <f t="shared" si="78"/>
        <v>5.3476366612487565E-2</v>
      </c>
      <c r="G58" s="80">
        <f t="shared" si="78"/>
        <v>-0.13309064360100106</v>
      </c>
      <c r="H58" s="80">
        <f t="shared" si="78"/>
        <v>-9.1677191825305857E-2</v>
      </c>
      <c r="I58" s="80">
        <f t="shared" si="78"/>
        <v>0.4027850938856215</v>
      </c>
      <c r="J58" s="80">
        <f t="shared" si="78"/>
        <v>0.31892723985793342</v>
      </c>
      <c r="K58" s="80">
        <f t="shared" si="78"/>
        <v>-0.17975534120208705</v>
      </c>
      <c r="L58" s="80">
        <f t="shared" si="78"/>
        <v>0.33182790405456236</v>
      </c>
      <c r="M58" s="80">
        <f t="shared" si="78"/>
        <v>0.45478469020389223</v>
      </c>
      <c r="N58" s="80">
        <f t="shared" si="78"/>
        <v>-0.31030531175433762</v>
      </c>
      <c r="O58" s="80">
        <f t="shared" si="78"/>
        <v>-0.34175277204293997</v>
      </c>
      <c r="P58" s="80">
        <f t="shared" si="78"/>
        <v>0.22658707085893595</v>
      </c>
      <c r="Q58" s="80">
        <f t="shared" si="78"/>
        <v>0.36597556950893512</v>
      </c>
      <c r="R58" s="80">
        <f t="shared" si="78"/>
        <v>-2.6446903925797089E-2</v>
      </c>
      <c r="S58" s="80">
        <f t="shared" si="78"/>
        <v>-0.36461444849000468</v>
      </c>
      <c r="T58" s="80">
        <f t="shared" si="78"/>
        <v>0.29871350155289</v>
      </c>
      <c r="U58" s="80">
        <f t="shared" si="78"/>
        <v>0.23176796596491811</v>
      </c>
      <c r="V58" s="80">
        <f t="shared" si="78"/>
        <v>-0.16727166218338424</v>
      </c>
      <c r="W58" s="80">
        <f t="shared" si="78"/>
        <v>-0.20599275261446603</v>
      </c>
      <c r="X58" s="80">
        <f t="shared" si="78"/>
        <v>0.32588872145072612</v>
      </c>
      <c r="Y58" s="80">
        <f t="shared" si="78"/>
        <v>0.32060871599937857</v>
      </c>
      <c r="Z58" s="80">
        <f t="shared" si="78"/>
        <v>0.23381182083225416</v>
      </c>
      <c r="AA58" s="80">
        <f t="shared" si="78"/>
        <v>-0.21548601345645427</v>
      </c>
      <c r="AB58" s="80">
        <f t="shared" si="78"/>
        <v>0.58801852734489524</v>
      </c>
      <c r="AC58" s="80">
        <f t="shared" si="78"/>
        <v>0.44216839938703839</v>
      </c>
      <c r="AD58" s="80">
        <f t="shared" si="78"/>
        <v>7.9607363141094137E-2</v>
      </c>
      <c r="AE58" s="80">
        <f t="shared" si="78"/>
        <v>-0.24765480697089534</v>
      </c>
      <c r="AF58" s="80">
        <f t="shared" si="78"/>
        <v>0.51518573366298559</v>
      </c>
      <c r="AG58" s="80">
        <f t="shared" si="78"/>
        <v>0.21918481576532253</v>
      </c>
      <c r="AH58" s="80">
        <f t="shared" si="78"/>
        <v>0.11873647483940945</v>
      </c>
      <c r="AI58" s="80">
        <f t="shared" ref="AI58:BB58" si="79">INDEX(MO_RIS_EPS_WAD_Adj,0,COLUMN())</f>
        <v>0.30021564755906005</v>
      </c>
      <c r="AJ58" s="80">
        <f t="shared" si="79"/>
        <v>0.59609621573422888</v>
      </c>
      <c r="AK58" s="80">
        <f t="shared" si="79"/>
        <v>0.57060948812114531</v>
      </c>
      <c r="AL58" s="80">
        <f t="shared" si="79"/>
        <v>0.24839276626302365</v>
      </c>
      <c r="AM58" s="80">
        <f t="shared" si="79"/>
        <v>-0.14504771880101985</v>
      </c>
      <c r="AN58" s="80">
        <f t="shared" si="79"/>
        <v>1.0009675336356816</v>
      </c>
      <c r="AO58" s="80">
        <f t="shared" si="79"/>
        <v>1.0185816693461618</v>
      </c>
      <c r="AP58" s="80">
        <f t="shared" si="79"/>
        <v>0.65978132746969553</v>
      </c>
      <c r="AQ58" s="80">
        <f t="shared" si="79"/>
        <v>-0.53882644778474165</v>
      </c>
      <c r="AR58" s="80">
        <f t="shared" si="79"/>
        <v>1.1917315430386315</v>
      </c>
      <c r="AS58" s="80">
        <f t="shared" si="79"/>
        <v>1.2984474209798222</v>
      </c>
      <c r="AT58" s="80">
        <f t="shared" si="79"/>
        <v>1.0121972664466001</v>
      </c>
      <c r="AU58" s="516">
        <f t="shared" si="79"/>
        <v>0.11348835110010681</v>
      </c>
      <c r="AV58" s="80">
        <f t="shared" ca="1" si="79"/>
        <v>1.2245046004207425</v>
      </c>
      <c r="AW58" s="80">
        <f t="shared" ca="1" si="79"/>
        <v>1.3296930426187665</v>
      </c>
      <c r="AX58" s="80">
        <f t="shared" ca="1" si="79"/>
        <v>1.04949432252827</v>
      </c>
      <c r="AY58" s="80">
        <f t="shared" si="79"/>
        <v>0</v>
      </c>
      <c r="AZ58" s="80">
        <f t="shared" si="79"/>
        <v>0.41548619442108725</v>
      </c>
      <c r="BA58" s="80">
        <f t="shared" si="79"/>
        <v>0.71160122905185785</v>
      </c>
      <c r="BB58" s="80">
        <f t="shared" si="79"/>
        <v>0.33956397571815772</v>
      </c>
      <c r="BC58" s="80"/>
      <c r="BD58" s="844">
        <f t="shared" ref="BD58:BW58" si="80">INDEX(MO_RIS_EPS_WAD_Adj,0,COLUMN())</f>
        <v>0.66959963575174108</v>
      </c>
      <c r="BE58" s="844">
        <f t="shared" si="80"/>
        <v>0.49961106807771627</v>
      </c>
      <c r="BF58" s="844">
        <f t="shared" si="80"/>
        <v>0.29203656835770014</v>
      </c>
      <c r="BG58" s="844">
        <f t="shared" si="80"/>
        <v>0.23255880996606887</v>
      </c>
      <c r="BH58" s="844">
        <f t="shared" si="80"/>
        <v>1.1417451546840948E-2</v>
      </c>
      <c r="BI58" s="844">
        <f t="shared" si="80"/>
        <v>0.67966371361559874</v>
      </c>
      <c r="BJ58" s="844">
        <f t="shared" si="80"/>
        <v>0.90876008675094122</v>
      </c>
      <c r="BK58" s="844">
        <f t="shared" si="80"/>
        <v>0.60265757579871448</v>
      </c>
      <c r="BL58" s="844">
        <f t="shared" si="80"/>
        <v>1.7065541749923199</v>
      </c>
      <c r="BM58" s="844">
        <f t="shared" si="80"/>
        <v>2.5241789149701583</v>
      </c>
      <c r="BN58" s="844">
        <f t="shared" si="80"/>
        <v>2.9691696154671745</v>
      </c>
      <c r="BO58" s="844">
        <f t="shared" ca="1" si="80"/>
        <v>3.7186034516815645</v>
      </c>
      <c r="BP58" s="844" t="e">
        <f t="shared" si="80"/>
        <v>#REF!</v>
      </c>
      <c r="BQ58" s="844" t="e">
        <f t="shared" si="80"/>
        <v>#REF!</v>
      </c>
      <c r="BR58" s="845" t="e">
        <f t="shared" si="80"/>
        <v>#REF!</v>
      </c>
      <c r="BS58" s="844" t="e">
        <f t="shared" ca="1" si="80"/>
        <v>#REF!</v>
      </c>
      <c r="BT58" s="844">
        <f t="shared" si="80"/>
        <v>0</v>
      </c>
      <c r="BU58" s="844">
        <f t="shared" si="80"/>
        <v>0</v>
      </c>
      <c r="BV58" s="844">
        <f t="shared" si="80"/>
        <v>0</v>
      </c>
      <c r="BW58" s="844">
        <f t="shared" si="80"/>
        <v>0</v>
      </c>
      <c r="BX58" s="80"/>
    </row>
    <row r="59" spans="1:76" x14ac:dyDescent="0.35">
      <c r="A59" s="186"/>
      <c r="B59" s="187"/>
      <c r="C59" s="81"/>
      <c r="D59" s="81"/>
      <c r="E59" s="81"/>
      <c r="F59" s="81"/>
      <c r="G59" s="81"/>
      <c r="H59" s="81"/>
      <c r="I59" s="81"/>
      <c r="J59" s="81"/>
      <c r="K59" s="81"/>
      <c r="L59" s="81"/>
      <c r="M59" s="81"/>
      <c r="N59" s="81"/>
      <c r="O59" s="81"/>
      <c r="P59" s="81"/>
      <c r="Q59" s="81"/>
      <c r="R59" s="82"/>
      <c r="S59" s="81"/>
      <c r="T59" s="81"/>
      <c r="U59" s="81"/>
      <c r="V59" s="82"/>
      <c r="W59" s="81"/>
      <c r="X59" s="81"/>
      <c r="Y59" s="81"/>
      <c r="Z59" s="82"/>
      <c r="AA59" s="81"/>
      <c r="AB59" s="81"/>
      <c r="AC59" s="81"/>
      <c r="AD59" s="82"/>
      <c r="AE59" s="81"/>
      <c r="AF59" s="81"/>
      <c r="AG59" s="81"/>
      <c r="AH59" s="82"/>
      <c r="AI59" s="81"/>
      <c r="AJ59" s="81"/>
      <c r="AK59" s="81"/>
      <c r="AL59" s="82"/>
      <c r="AM59" s="81"/>
      <c r="AN59" s="81"/>
      <c r="AO59" s="81"/>
      <c r="AP59" s="82"/>
      <c r="AQ59" s="81"/>
      <c r="AR59" s="81"/>
      <c r="AS59" s="81"/>
      <c r="AT59" s="82"/>
      <c r="AU59" s="517"/>
      <c r="AV59" s="81"/>
      <c r="AW59" s="81"/>
      <c r="AX59" s="82"/>
      <c r="AY59" s="81"/>
      <c r="AZ59" s="81"/>
      <c r="BA59" s="81"/>
      <c r="BB59" s="82"/>
      <c r="BC59" s="82"/>
      <c r="BD59" s="859"/>
      <c r="BE59" s="859"/>
      <c r="BF59" s="859"/>
      <c r="BG59" s="859"/>
      <c r="BH59" s="859"/>
      <c r="BI59" s="859"/>
      <c r="BJ59" s="859"/>
      <c r="BK59" s="860"/>
      <c r="BL59" s="860"/>
      <c r="BM59" s="860"/>
      <c r="BN59" s="860"/>
      <c r="BO59" s="860"/>
      <c r="BP59" s="860"/>
      <c r="BQ59" s="860"/>
      <c r="BR59" s="861"/>
      <c r="BS59" s="860"/>
      <c r="BT59" s="860"/>
      <c r="BU59" s="860"/>
      <c r="BV59" s="860"/>
      <c r="BW59" s="860"/>
      <c r="BX59" s="186"/>
    </row>
    <row r="60" spans="1:76" x14ac:dyDescent="0.35">
      <c r="A60" s="120" t="s">
        <v>29</v>
      </c>
      <c r="B60" s="545"/>
      <c r="C60" s="545"/>
      <c r="D60" s="545"/>
      <c r="E60" s="545"/>
      <c r="F60" s="545"/>
      <c r="G60" s="545"/>
      <c r="H60" s="545"/>
      <c r="I60" s="545"/>
      <c r="J60" s="545"/>
      <c r="K60" s="545"/>
      <c r="L60" s="545"/>
      <c r="M60" s="545"/>
      <c r="N60" s="545"/>
      <c r="O60" s="545"/>
      <c r="P60" s="545"/>
      <c r="Q60" s="545"/>
      <c r="R60" s="545"/>
      <c r="S60" s="545"/>
      <c r="T60" s="545"/>
      <c r="U60" s="545"/>
      <c r="V60" s="545"/>
      <c r="W60" s="545"/>
      <c r="X60" s="545"/>
      <c r="Y60" s="545"/>
      <c r="Z60" s="545"/>
      <c r="AA60" s="545"/>
      <c r="AB60" s="545"/>
      <c r="AC60" s="545"/>
      <c r="AD60" s="545"/>
      <c r="AE60" s="545"/>
      <c r="AF60" s="545"/>
      <c r="AG60" s="545"/>
      <c r="AH60" s="545"/>
      <c r="AI60" s="545"/>
      <c r="AJ60" s="545"/>
      <c r="AK60" s="545"/>
      <c r="AL60" s="545"/>
      <c r="AM60" s="545"/>
      <c r="AN60" s="545"/>
      <c r="AO60" s="545"/>
      <c r="AP60" s="545"/>
      <c r="AQ60" s="545"/>
      <c r="AR60" s="545"/>
      <c r="AS60" s="545"/>
      <c r="AT60" s="545"/>
      <c r="AU60" s="618"/>
      <c r="AV60" s="545"/>
      <c r="AW60" s="545"/>
      <c r="AX60" s="545"/>
      <c r="AY60" s="545"/>
      <c r="AZ60" s="545"/>
      <c r="BA60" s="545"/>
      <c r="BB60" s="545"/>
      <c r="BC60" s="545"/>
      <c r="BD60" s="545"/>
      <c r="BE60" s="545"/>
      <c r="BF60" s="545"/>
      <c r="BG60" s="545"/>
      <c r="BH60" s="545"/>
      <c r="BI60" s="545"/>
      <c r="BJ60" s="545"/>
      <c r="BK60" s="545"/>
      <c r="BL60" s="545"/>
      <c r="BM60" s="545"/>
      <c r="BN60" s="545"/>
      <c r="BO60" s="545"/>
      <c r="BP60" s="545"/>
      <c r="BQ60" s="545"/>
      <c r="BR60" s="618"/>
      <c r="BS60" s="545"/>
      <c r="BT60" s="545"/>
      <c r="BU60" s="545"/>
      <c r="BV60" s="545"/>
      <c r="BW60" s="545"/>
      <c r="BX60" s="543"/>
    </row>
    <row r="61" spans="1:76" s="72" customFormat="1" x14ac:dyDescent="0.35">
      <c r="A61" s="188" t="str">
        <f>INDEX(MO_MA_COGS,0,COLUMN())</f>
        <v>COGS Margin, %</v>
      </c>
      <c r="B61" s="187"/>
      <c r="C61" s="83">
        <f t="shared" ref="C61:AH61" si="81">INDEX(SP_GF_COGS,0,COLUMN())/INDEX(SP_GF_Rev,0,COLUMN())</f>
        <v>0.53663566957339792</v>
      </c>
      <c r="D61" s="83">
        <f t="shared" si="81"/>
        <v>0.59603063661249933</v>
      </c>
      <c r="E61" s="83">
        <f t="shared" si="81"/>
        <v>0.58602626497071231</v>
      </c>
      <c r="F61" s="83">
        <f t="shared" si="81"/>
        <v>0.63614116117722952</v>
      </c>
      <c r="G61" s="83">
        <f t="shared" si="81"/>
        <v>0.58196929490379468</v>
      </c>
      <c r="H61" s="83">
        <f t="shared" si="81"/>
        <v>0.68628387943854696</v>
      </c>
      <c r="I61" s="83">
        <f t="shared" si="81"/>
        <v>0.59769919480320721</v>
      </c>
      <c r="J61" s="83">
        <f t="shared" si="81"/>
        <v>0.61217603406221199</v>
      </c>
      <c r="K61" s="83">
        <f t="shared" si="81"/>
        <v>0.62034032917638315</v>
      </c>
      <c r="L61" s="83">
        <f t="shared" si="81"/>
        <v>0.62700601805416245</v>
      </c>
      <c r="M61" s="83">
        <f t="shared" si="81"/>
        <v>0.60903921544580852</v>
      </c>
      <c r="N61" s="83">
        <f t="shared" si="81"/>
        <v>0.70823873883431243</v>
      </c>
      <c r="O61" s="83">
        <f t="shared" si="81"/>
        <v>0.62831894408534106</v>
      </c>
      <c r="P61" s="83">
        <f t="shared" si="81"/>
        <v>0.62073358204309159</v>
      </c>
      <c r="Q61" s="83">
        <f t="shared" si="81"/>
        <v>0.60881449353935124</v>
      </c>
      <c r="R61" s="83">
        <f t="shared" si="81"/>
        <v>0.6467406774836324</v>
      </c>
      <c r="S61" s="83">
        <f t="shared" si="81"/>
        <v>0.62887430282188017</v>
      </c>
      <c r="T61" s="83">
        <f t="shared" si="81"/>
        <v>0.62210864353883033</v>
      </c>
      <c r="U61" s="83">
        <f t="shared" si="81"/>
        <v>0.61308210467660984</v>
      </c>
      <c r="V61" s="83">
        <f t="shared" si="81"/>
        <v>0.64537120292179206</v>
      </c>
      <c r="W61" s="83">
        <f t="shared" si="81"/>
        <v>0.64412876718316325</v>
      </c>
      <c r="X61" s="83">
        <f t="shared" si="81"/>
        <v>0.64068118097149773</v>
      </c>
      <c r="Y61" s="83">
        <f t="shared" si="81"/>
        <v>0.6393345472035179</v>
      </c>
      <c r="Z61" s="83">
        <f t="shared" si="81"/>
        <v>0.65761447457655509</v>
      </c>
      <c r="AA61" s="83">
        <f t="shared" si="81"/>
        <v>0.63261497568778502</v>
      </c>
      <c r="AB61" s="83">
        <f t="shared" si="81"/>
        <v>0.62905693838475785</v>
      </c>
      <c r="AC61" s="83">
        <f t="shared" si="81"/>
        <v>0.66439751709759443</v>
      </c>
      <c r="AD61" s="83">
        <f t="shared" si="81"/>
        <v>0.6861232706758118</v>
      </c>
      <c r="AE61" s="83">
        <f t="shared" si="81"/>
        <v>0.65867043143111614</v>
      </c>
      <c r="AF61" s="83">
        <f t="shared" si="81"/>
        <v>0.65021994960378005</v>
      </c>
      <c r="AG61" s="83">
        <f t="shared" si="81"/>
        <v>0.69595650855129609</v>
      </c>
      <c r="AH61" s="83">
        <f t="shared" si="81"/>
        <v>0.65978262082095362</v>
      </c>
      <c r="AI61" s="83">
        <f t="shared" ref="AI61:BB61" si="82">INDEX(SP_GF_COGS,0,COLUMN())/INDEX(SP_GF_Rev,0,COLUMN())</f>
        <v>0.64985173603623037</v>
      </c>
      <c r="AJ61" s="83">
        <f t="shared" si="82"/>
        <v>0.65600765662178162</v>
      </c>
      <c r="AK61" s="83">
        <f t="shared" si="82"/>
        <v>0.6454959262517691</v>
      </c>
      <c r="AL61" s="83">
        <f t="shared" si="82"/>
        <v>0.65635833060803495</v>
      </c>
      <c r="AM61" s="83">
        <f t="shared" si="82"/>
        <v>0.68417344200526709</v>
      </c>
      <c r="AN61" s="83">
        <f t="shared" si="82"/>
        <v>0.63967160512518706</v>
      </c>
      <c r="AO61" s="83">
        <f t="shared" si="82"/>
        <v>0.63284106591546085</v>
      </c>
      <c r="AP61" s="83">
        <f t="shared" si="82"/>
        <v>0.63164993816054538</v>
      </c>
      <c r="AQ61" s="83">
        <f t="shared" si="82"/>
        <v>0.69505115841467713</v>
      </c>
      <c r="AR61" s="83">
        <f t="shared" si="82"/>
        <v>0.62898120780481415</v>
      </c>
      <c r="AS61" s="83">
        <f t="shared" si="82"/>
        <v>0.62734858085752432</v>
      </c>
      <c r="AT61" s="83">
        <f t="shared" si="82"/>
        <v>0.6440849740118183</v>
      </c>
      <c r="AU61" s="518">
        <f t="shared" si="82"/>
        <v>0.63995243460278528</v>
      </c>
      <c r="AV61" s="83">
        <f t="shared" si="82"/>
        <v>0.63</v>
      </c>
      <c r="AW61" s="83">
        <f t="shared" si="82"/>
        <v>0.63000000000000012</v>
      </c>
      <c r="AX61" s="83">
        <f t="shared" si="82"/>
        <v>0.63</v>
      </c>
      <c r="AY61" s="83" t="e">
        <f t="shared" si="82"/>
        <v>#DIV/0!</v>
      </c>
      <c r="AZ61" s="83">
        <f t="shared" si="82"/>
        <v>0.62418521229636248</v>
      </c>
      <c r="BA61" s="83">
        <f t="shared" si="82"/>
        <v>0.57749369261580874</v>
      </c>
      <c r="BB61" s="83">
        <f t="shared" si="82"/>
        <v>0.58784650309895603</v>
      </c>
      <c r="BC61" s="83"/>
      <c r="BD61" s="862">
        <f t="shared" ref="BD61:BW61" si="83">INDEX(SP_GF_COGS,0,COLUMN())/INDEX(SP_GF_Rev,0,COLUMN())</f>
        <v>0.5875810520855439</v>
      </c>
      <c r="BE61" s="862">
        <f t="shared" si="83"/>
        <v>0.61901706590049732</v>
      </c>
      <c r="BF61" s="862">
        <f t="shared" si="83"/>
        <v>0.64089406871708565</v>
      </c>
      <c r="BG61" s="862">
        <f t="shared" si="83"/>
        <v>0.62622894465452039</v>
      </c>
      <c r="BH61" s="862">
        <f t="shared" si="83"/>
        <v>0.62724151087371238</v>
      </c>
      <c r="BI61" s="862">
        <f t="shared" si="83"/>
        <v>0.64560646113143894</v>
      </c>
      <c r="BJ61" s="862">
        <f t="shared" si="83"/>
        <v>0.65314860320235657</v>
      </c>
      <c r="BK61" s="862">
        <f t="shared" si="83"/>
        <v>0.66607927822322999</v>
      </c>
      <c r="BL61" s="862">
        <f t="shared" si="83"/>
        <v>0.6519300346182878</v>
      </c>
      <c r="BM61" s="862">
        <f t="shared" si="83"/>
        <v>0.64635855587294699</v>
      </c>
      <c r="BN61" s="862">
        <f t="shared" si="83"/>
        <v>0.64782584558915579</v>
      </c>
      <c r="BO61" s="862">
        <f t="shared" si="83"/>
        <v>0.63239199708323046</v>
      </c>
      <c r="BP61" s="862" t="e">
        <f t="shared" si="83"/>
        <v>#REF!</v>
      </c>
      <c r="BQ61" s="862" t="e">
        <f t="shared" si="83"/>
        <v>#REF!</v>
      </c>
      <c r="BR61" s="863" t="e">
        <f t="shared" si="83"/>
        <v>#REF!</v>
      </c>
      <c r="BS61" s="860" t="e">
        <f t="shared" si="83"/>
        <v>#REF!</v>
      </c>
      <c r="BT61" s="860" t="e">
        <f t="shared" si="83"/>
        <v>#DIV/0!</v>
      </c>
      <c r="BU61" s="860" t="e">
        <f t="shared" si="83"/>
        <v>#DIV/0!</v>
      </c>
      <c r="BV61" s="860" t="e">
        <f t="shared" si="83"/>
        <v>#DIV/0!</v>
      </c>
      <c r="BW61" s="860" t="e">
        <f t="shared" si="83"/>
        <v>#DIV/0!</v>
      </c>
      <c r="BX61" s="186"/>
    </row>
    <row r="62" spans="1:76" s="72" customFormat="1" ht="15" customHeight="1" x14ac:dyDescent="0.35">
      <c r="A62" s="188" t="str">
        <f>INDEX(MO_MA_SGA,0,COLUMN())</f>
        <v>SG&amp;A Margin, %</v>
      </c>
      <c r="B62" s="187"/>
      <c r="C62" s="83">
        <f t="shared" ref="C62:AH62" si="84">INDEX(SP_GF_SGA,0,COLUMN())/INDEX(SP_GF_Rev,0,COLUMN())</f>
        <v>0.42419130151608353</v>
      </c>
      <c r="D62" s="83">
        <f t="shared" si="84"/>
        <v>0.32498980721067039</v>
      </c>
      <c r="E62" s="83">
        <f t="shared" si="84"/>
        <v>0.32520675751918499</v>
      </c>
      <c r="F62" s="83">
        <f t="shared" si="84"/>
        <v>0.35686183753760703</v>
      </c>
      <c r="G62" s="83">
        <f t="shared" si="84"/>
        <v>0.45509401574665226</v>
      </c>
      <c r="H62" s="83">
        <f t="shared" si="84"/>
        <v>0.35349836324742429</v>
      </c>
      <c r="I62" s="83">
        <f t="shared" si="84"/>
        <v>0.28587887187422945</v>
      </c>
      <c r="J62" s="83">
        <f t="shared" si="84"/>
        <v>0.33247718124854553</v>
      </c>
      <c r="K62" s="83">
        <f t="shared" si="84"/>
        <v>0.43524620636047184</v>
      </c>
      <c r="L62" s="83">
        <f t="shared" si="84"/>
        <v>0.28448275862068967</v>
      </c>
      <c r="M62" s="83">
        <f t="shared" si="84"/>
        <v>0.27882905532186264</v>
      </c>
      <c r="N62" s="83">
        <f t="shared" si="84"/>
        <v>0.36100655619443667</v>
      </c>
      <c r="O62" s="83">
        <f t="shared" si="84"/>
        <v>0.46414591149482437</v>
      </c>
      <c r="P62" s="83">
        <f t="shared" si="84"/>
        <v>0.30873852431145871</v>
      </c>
      <c r="Q62" s="83">
        <f t="shared" si="84"/>
        <v>0.3047393150808711</v>
      </c>
      <c r="R62" s="83">
        <f t="shared" si="84"/>
        <v>0.35095947478526462</v>
      </c>
      <c r="S62" s="83">
        <f t="shared" si="84"/>
        <v>0.47005734535520077</v>
      </c>
      <c r="T62" s="83">
        <f t="shared" si="84"/>
        <v>0.29501560450495268</v>
      </c>
      <c r="U62" s="83">
        <f t="shared" si="84"/>
        <v>0.32956460390144382</v>
      </c>
      <c r="V62" s="83">
        <f t="shared" si="84"/>
        <v>0.33278951417792169</v>
      </c>
      <c r="W62" s="83">
        <f t="shared" si="84"/>
        <v>0.43350744148436304</v>
      </c>
      <c r="X62" s="83">
        <f t="shared" si="84"/>
        <v>0.29618205339508591</v>
      </c>
      <c r="Y62" s="83">
        <f t="shared" si="84"/>
        <v>0.27599371306857223</v>
      </c>
      <c r="Z62" s="83">
        <f t="shared" si="84"/>
        <v>0.30104155328750737</v>
      </c>
      <c r="AA62" s="83">
        <f t="shared" si="84"/>
        <v>0.42210541394430873</v>
      </c>
      <c r="AB62" s="83">
        <f t="shared" si="84"/>
        <v>0.24032847860887033</v>
      </c>
      <c r="AC62" s="83">
        <f t="shared" si="84"/>
        <v>0.24372956580796992</v>
      </c>
      <c r="AD62" s="83">
        <f t="shared" si="84"/>
        <v>0.3034169027052756</v>
      </c>
      <c r="AE62" s="83">
        <f t="shared" si="84"/>
        <v>0.41673375570256804</v>
      </c>
      <c r="AF62" s="83">
        <f t="shared" si="84"/>
        <v>0.23211768953909587</v>
      </c>
      <c r="AG62" s="83">
        <f t="shared" si="84"/>
        <v>0.24766093469282996</v>
      </c>
      <c r="AH62" s="83">
        <f t="shared" si="84"/>
        <v>0.31403594230490339</v>
      </c>
      <c r="AI62" s="83">
        <f t="shared" ref="AI62:BB62" si="85">INDEX(SP_GF_SGA,0,COLUMN())/INDEX(SP_GF_Rev,0,COLUMN())</f>
        <v>0.3176272374379987</v>
      </c>
      <c r="AJ62" s="83">
        <f t="shared" si="85"/>
        <v>0.24176580839835704</v>
      </c>
      <c r="AK62" s="83">
        <f t="shared" si="85"/>
        <v>0.25619094977623075</v>
      </c>
      <c r="AL62" s="83">
        <f t="shared" si="85"/>
        <v>0.2898392493270609</v>
      </c>
      <c r="AM62" s="83">
        <f t="shared" si="85"/>
        <v>0.33325920854717084</v>
      </c>
      <c r="AN62" s="83">
        <f t="shared" si="85"/>
        <v>0.22134420168641805</v>
      </c>
      <c r="AO62" s="83">
        <f t="shared" si="85"/>
        <v>0.22347660307026906</v>
      </c>
      <c r="AP62" s="83">
        <f t="shared" si="85"/>
        <v>0.2670871310227565</v>
      </c>
      <c r="AQ62" s="83">
        <f t="shared" si="85"/>
        <v>0.37249911795836765</v>
      </c>
      <c r="AR62" s="83">
        <f t="shared" si="85"/>
        <v>0.22252882087973214</v>
      </c>
      <c r="AS62" s="83">
        <f t="shared" si="85"/>
        <v>0.21912929208733445</v>
      </c>
      <c r="AT62" s="83">
        <f t="shared" si="85"/>
        <v>0.24433854751607589</v>
      </c>
      <c r="AU62" s="518">
        <f t="shared" si="85"/>
        <v>0.35313350590714754</v>
      </c>
      <c r="AV62" s="83">
        <f t="shared" si="85"/>
        <v>0.22</v>
      </c>
      <c r="AW62" s="83">
        <f t="shared" si="85"/>
        <v>0.21199999999999999</v>
      </c>
      <c r="AX62" s="83">
        <f t="shared" si="85"/>
        <v>0.25</v>
      </c>
      <c r="AY62" s="83" t="e">
        <f t="shared" si="85"/>
        <v>#DIV/0!</v>
      </c>
      <c r="AZ62" s="83">
        <f t="shared" si="85"/>
        <v>0.30502609538838882</v>
      </c>
      <c r="BA62" s="83">
        <f t="shared" si="85"/>
        <v>0.33025723723567502</v>
      </c>
      <c r="BB62" s="83">
        <f t="shared" si="85"/>
        <v>0.36580505862941542</v>
      </c>
      <c r="BC62" s="83"/>
      <c r="BD62" s="862">
        <f t="shared" ref="BD62:BW62" si="86">INDEX(SP_GF_SGA,0,COLUMN())/INDEX(SP_GF_Rev,0,COLUMN())</f>
        <v>0.35853434250548205</v>
      </c>
      <c r="BE62" s="862">
        <f t="shared" si="86"/>
        <v>0.35612737928102023</v>
      </c>
      <c r="BF62" s="862">
        <f t="shared" si="86"/>
        <v>0.33967419386814635</v>
      </c>
      <c r="BG62" s="862">
        <f t="shared" si="86"/>
        <v>0.35782743210725332</v>
      </c>
      <c r="BH62" s="862">
        <f t="shared" si="86"/>
        <v>0.35798221534936225</v>
      </c>
      <c r="BI62" s="862">
        <f t="shared" si="86"/>
        <v>0.32655867604338512</v>
      </c>
      <c r="BJ62" s="862">
        <f t="shared" si="86"/>
        <v>0.30207078105679341</v>
      </c>
      <c r="BK62" s="862">
        <f t="shared" si="86"/>
        <v>0.30273500742242482</v>
      </c>
      <c r="BL62" s="862">
        <f t="shared" si="86"/>
        <v>0.2761940706421302</v>
      </c>
      <c r="BM62" s="862">
        <f t="shared" si="86"/>
        <v>0.26077895682962721</v>
      </c>
      <c r="BN62" s="862">
        <f t="shared" si="86"/>
        <v>0.26209971056266662</v>
      </c>
      <c r="BO62" s="862">
        <f t="shared" si="86"/>
        <v>0.25772315408250385</v>
      </c>
      <c r="BP62" s="862" t="e">
        <f t="shared" si="86"/>
        <v>#REF!</v>
      </c>
      <c r="BQ62" s="862" t="e">
        <f t="shared" si="86"/>
        <v>#REF!</v>
      </c>
      <c r="BR62" s="863" t="e">
        <f t="shared" si="86"/>
        <v>#REF!</v>
      </c>
      <c r="BS62" s="860" t="e">
        <f t="shared" si="86"/>
        <v>#REF!</v>
      </c>
      <c r="BT62" s="860" t="e">
        <f t="shared" si="86"/>
        <v>#DIV/0!</v>
      </c>
      <c r="BU62" s="860" t="e">
        <f t="shared" si="86"/>
        <v>#DIV/0!</v>
      </c>
      <c r="BV62" s="860" t="e">
        <f t="shared" si="86"/>
        <v>#DIV/0!</v>
      </c>
      <c r="BW62" s="860" t="e">
        <f t="shared" si="86"/>
        <v>#DIV/0!</v>
      </c>
      <c r="BX62" s="186"/>
    </row>
    <row r="63" spans="1:76" s="67" customFormat="1" ht="15" customHeight="1" x14ac:dyDescent="0.35">
      <c r="A63" s="459" t="str">
        <f>INDEX(MO_MA_EBIT,0,COLUMN())</f>
        <v>EBIT Margin, %</v>
      </c>
      <c r="B63" s="460"/>
      <c r="C63" s="461">
        <f t="shared" ref="C63:AH63" si="87">INDEX(MO_MA_EBIT,0,COLUMN())</f>
        <v>3.9173028910518513E-2</v>
      </c>
      <c r="D63" s="461">
        <f t="shared" si="87"/>
        <v>7.8979556176830293E-2</v>
      </c>
      <c r="E63" s="461">
        <f t="shared" si="87"/>
        <v>8.8766977510102749E-2</v>
      </c>
      <c r="F63" s="461">
        <f t="shared" si="87"/>
        <v>6.9970012851634632E-3</v>
      </c>
      <c r="G63" s="461">
        <f t="shared" si="87"/>
        <v>-3.7063310650446955E-2</v>
      </c>
      <c r="H63" s="461">
        <f t="shared" si="87"/>
        <v>-3.9782242685971206E-2</v>
      </c>
      <c r="I63" s="461">
        <f t="shared" si="87"/>
        <v>0.11642193332256333</v>
      </c>
      <c r="J63" s="461">
        <f t="shared" si="87"/>
        <v>5.5346784689242479E-2</v>
      </c>
      <c r="K63" s="461">
        <f t="shared" si="87"/>
        <v>-5.5586535536855039E-2</v>
      </c>
      <c r="L63" s="461">
        <f t="shared" si="87"/>
        <v>8.8511223325147853E-2</v>
      </c>
      <c r="M63" s="461">
        <f t="shared" si="87"/>
        <v>0.11213172923232885</v>
      </c>
      <c r="N63" s="461">
        <f t="shared" si="87"/>
        <v>-6.9245295028749085E-2</v>
      </c>
      <c r="O63" s="461">
        <f t="shared" si="87"/>
        <v>-9.2464855580165387E-2</v>
      </c>
      <c r="P63" s="461">
        <f t="shared" si="87"/>
        <v>7.052789364544966E-2</v>
      </c>
      <c r="Q63" s="461">
        <f t="shared" si="87"/>
        <v>8.6446191379777715E-2</v>
      </c>
      <c r="R63" s="461">
        <f t="shared" si="87"/>
        <v>2.2998477311030061E-3</v>
      </c>
      <c r="S63" s="461">
        <f t="shared" si="87"/>
        <v>-9.8931648177080986E-2</v>
      </c>
      <c r="T63" s="461">
        <f t="shared" si="87"/>
        <v>8.2875751956216964E-2</v>
      </c>
      <c r="U63" s="461">
        <f t="shared" si="87"/>
        <v>5.7353291421946305E-2</v>
      </c>
      <c r="V63" s="461">
        <f t="shared" si="87"/>
        <v>2.1839282900286319E-2</v>
      </c>
      <c r="W63" s="461">
        <f t="shared" si="87"/>
        <v>-7.7636208667526227E-2</v>
      </c>
      <c r="X63" s="461">
        <f t="shared" si="87"/>
        <v>6.3136765633416345E-2</v>
      </c>
      <c r="Y63" s="461">
        <f t="shared" si="87"/>
        <v>8.4671739727909909E-2</v>
      </c>
      <c r="Z63" s="461">
        <f t="shared" si="87"/>
        <v>4.1343972135937559E-2</v>
      </c>
      <c r="AA63" s="461">
        <f t="shared" si="87"/>
        <v>-5.4720389632093809E-2</v>
      </c>
      <c r="AB63" s="461">
        <f t="shared" si="87"/>
        <v>0.13061458300637185</v>
      </c>
      <c r="AC63" s="461">
        <f t="shared" si="87"/>
        <v>9.1872917094435652E-2</v>
      </c>
      <c r="AD63" s="461">
        <f t="shared" si="87"/>
        <v>1.0459826618912621E-2</v>
      </c>
      <c r="AE63" s="461">
        <f t="shared" si="87"/>
        <v>-7.5404187133684228E-2</v>
      </c>
      <c r="AF63" s="461">
        <f t="shared" si="87"/>
        <v>0.1176623608571241</v>
      </c>
      <c r="AG63" s="461">
        <f t="shared" si="87"/>
        <v>5.6382556755873947E-2</v>
      </c>
      <c r="AH63" s="461">
        <f t="shared" si="87"/>
        <v>2.6181436874142993E-2</v>
      </c>
      <c r="AI63" s="461">
        <f t="shared" ref="AI63:BB63" si="88">INDEX(MO_MA_EBIT,0,COLUMN())</f>
        <v>3.2521026525770956E-2</v>
      </c>
      <c r="AJ63" s="461">
        <f t="shared" si="88"/>
        <v>0.10222653497986138</v>
      </c>
      <c r="AK63" s="461">
        <f t="shared" si="88"/>
        <v>9.8313123972000149E-2</v>
      </c>
      <c r="AL63" s="461">
        <f t="shared" si="88"/>
        <v>5.3802420064904162E-2</v>
      </c>
      <c r="AM63" s="461">
        <f t="shared" si="88"/>
        <v>-1.7432650552437881E-2</v>
      </c>
      <c r="AN63" s="461">
        <f t="shared" si="88"/>
        <v>0.13898419318839486</v>
      </c>
      <c r="AO63" s="461">
        <f t="shared" si="88"/>
        <v>0.14368233101427005</v>
      </c>
      <c r="AP63" s="461">
        <f t="shared" si="88"/>
        <v>0.10126293081669815</v>
      </c>
      <c r="AQ63" s="461">
        <f t="shared" si="88"/>
        <v>-6.7550276373044796E-2</v>
      </c>
      <c r="AR63" s="461">
        <f t="shared" si="88"/>
        <v>0.14848997131545372</v>
      </c>
      <c r="AS63" s="461">
        <f t="shared" si="88"/>
        <v>0.15352212705514118</v>
      </c>
      <c r="AT63" s="461">
        <f t="shared" si="88"/>
        <v>0.11157647847210578</v>
      </c>
      <c r="AU63" s="519">
        <f t="shared" si="88"/>
        <v>6.9140594900672135E-3</v>
      </c>
      <c r="AV63" s="461">
        <f t="shared" si="88"/>
        <v>0.14999999999999997</v>
      </c>
      <c r="AW63" s="461">
        <f t="shared" si="88"/>
        <v>0.158</v>
      </c>
      <c r="AX63" s="461">
        <f t="shared" si="88"/>
        <v>0.11999999999999997</v>
      </c>
      <c r="AY63" s="461">
        <f t="shared" si="88"/>
        <v>0</v>
      </c>
      <c r="AZ63" s="461">
        <f t="shared" si="88"/>
        <v>7.0788692315248675E-2</v>
      </c>
      <c r="BA63" s="461">
        <f t="shared" si="88"/>
        <v>9.2249070148516243E-2</v>
      </c>
      <c r="BB63" s="461">
        <f t="shared" si="88"/>
        <v>4.6348438271628517E-2</v>
      </c>
      <c r="BC63" s="461"/>
      <c r="BD63" s="864">
        <f t="shared" ref="BD63:BW63" si="89">INDEX(MO_MA_EBIT,0,COLUMN())</f>
        <v>5.3884605408974107E-2</v>
      </c>
      <c r="BE63" s="864">
        <f t="shared" si="89"/>
        <v>2.4855554818482391E-2</v>
      </c>
      <c r="BF63" s="864">
        <f t="shared" si="89"/>
        <v>1.9431737414768016E-2</v>
      </c>
      <c r="BG63" s="864">
        <f t="shared" si="89"/>
        <v>1.5943623238226245E-2</v>
      </c>
      <c r="BH63" s="864">
        <f t="shared" si="89"/>
        <v>1.4776273776925381E-2</v>
      </c>
      <c r="BI63" s="864">
        <f t="shared" si="89"/>
        <v>2.783486282517594E-2</v>
      </c>
      <c r="BJ63" s="864">
        <f t="shared" si="89"/>
        <v>4.4780615740850065E-2</v>
      </c>
      <c r="BK63" s="864">
        <f t="shared" si="89"/>
        <v>3.118571435434522E-2</v>
      </c>
      <c r="BL63" s="864">
        <f t="shared" si="89"/>
        <v>7.1875894739581947E-2</v>
      </c>
      <c r="BM63" s="864">
        <f t="shared" si="89"/>
        <v>9.2862487297425772E-2</v>
      </c>
      <c r="BN63" s="864">
        <f t="shared" si="89"/>
        <v>9.0074443848177616E-2</v>
      </c>
      <c r="BO63" s="864">
        <f t="shared" si="89"/>
        <v>0.10988484883426572</v>
      </c>
      <c r="BP63" s="864" t="e">
        <f t="shared" si="89"/>
        <v>#REF!</v>
      </c>
      <c r="BQ63" s="864" t="e">
        <f t="shared" si="89"/>
        <v>#REF!</v>
      </c>
      <c r="BR63" s="865" t="e">
        <f t="shared" si="89"/>
        <v>#REF!</v>
      </c>
      <c r="BS63" s="864" t="e">
        <f t="shared" si="89"/>
        <v>#REF!</v>
      </c>
      <c r="BT63" s="864">
        <f t="shared" si="89"/>
        <v>0</v>
      </c>
      <c r="BU63" s="864">
        <f t="shared" si="89"/>
        <v>0</v>
      </c>
      <c r="BV63" s="864">
        <f t="shared" si="89"/>
        <v>0</v>
      </c>
      <c r="BW63" s="864">
        <f t="shared" si="89"/>
        <v>0</v>
      </c>
      <c r="BX63" s="221"/>
    </row>
    <row r="64" spans="1:76" s="67" customFormat="1" ht="15" customHeight="1" x14ac:dyDescent="0.35">
      <c r="A64" s="189" t="str">
        <f>INDEX(MO_MA_EBIT_Adj,0,COLUMN())</f>
        <v>Adjusted EBIT Margin, %</v>
      </c>
      <c r="B64" s="190"/>
      <c r="C64" s="84">
        <f t="shared" ref="C64:AH64" si="90">INDEX(MO_MA_EBIT_Adj,0,COLUMN())</f>
        <v>5.2162861381481351E-2</v>
      </c>
      <c r="D64" s="84">
        <f t="shared" si="90"/>
        <v>9.3094142543731884E-2</v>
      </c>
      <c r="E64" s="84">
        <f t="shared" si="90"/>
        <v>0.10735795311202743</v>
      </c>
      <c r="F64" s="84">
        <f t="shared" si="90"/>
        <v>2.9356876609531842E-2</v>
      </c>
      <c r="G64" s="84">
        <f t="shared" si="90"/>
        <v>-2.0948827758948223E-2</v>
      </c>
      <c r="H64" s="84">
        <f t="shared" si="90"/>
        <v>-1.6881104327903657E-3</v>
      </c>
      <c r="I64" s="84">
        <f t="shared" si="90"/>
        <v>0.13338038108680306</v>
      </c>
      <c r="J64" s="84">
        <f t="shared" si="90"/>
        <v>8.3914396283495327E-2</v>
      </c>
      <c r="K64" s="84">
        <f t="shared" si="90"/>
        <v>-3.7957517996552899E-2</v>
      </c>
      <c r="L64" s="84">
        <f t="shared" si="90"/>
        <v>0.10924584097118942</v>
      </c>
      <c r="M64" s="84">
        <f t="shared" si="90"/>
        <v>0.13053555879864109</v>
      </c>
      <c r="N64" s="84">
        <f t="shared" si="90"/>
        <v>-3.6027243215717333E-2</v>
      </c>
      <c r="O64" s="84">
        <f t="shared" si="90"/>
        <v>-7.1730777923428066E-2</v>
      </c>
      <c r="P64" s="84">
        <f t="shared" si="90"/>
        <v>9.4252697415366002E-2</v>
      </c>
      <c r="Q64" s="84">
        <f t="shared" si="90"/>
        <v>0.10550284629981024</v>
      </c>
      <c r="R64" s="84">
        <f t="shared" si="90"/>
        <v>2.4245546021805564E-2</v>
      </c>
      <c r="S64" s="84">
        <f t="shared" si="90"/>
        <v>-7.8446176539901644E-2</v>
      </c>
      <c r="T64" s="84">
        <f t="shared" si="90"/>
        <v>0.10367271247003486</v>
      </c>
      <c r="U64" s="84">
        <f t="shared" si="90"/>
        <v>8.1012703733828142E-2</v>
      </c>
      <c r="V64" s="84">
        <f t="shared" si="90"/>
        <v>5.9107889394599392E-2</v>
      </c>
      <c r="W64" s="84">
        <f t="shared" si="90"/>
        <v>-6.4178158533120547E-2</v>
      </c>
      <c r="X64" s="84">
        <f t="shared" si="90"/>
        <v>9.6362523076639742E-2</v>
      </c>
      <c r="Y64" s="84">
        <f t="shared" si="90"/>
        <v>0.10424110210251483</v>
      </c>
      <c r="Z64" s="84">
        <f t="shared" si="90"/>
        <v>6.6311109622646039E-2</v>
      </c>
      <c r="AA64" s="84">
        <f t="shared" si="90"/>
        <v>-3.8708547872382849E-2</v>
      </c>
      <c r="AB64" s="84">
        <f t="shared" si="90"/>
        <v>0.14685803069776204</v>
      </c>
      <c r="AC64" s="84">
        <f t="shared" si="90"/>
        <v>0.1074700298516893</v>
      </c>
      <c r="AD64" s="84">
        <f t="shared" si="90"/>
        <v>2.8258308168886474E-2</v>
      </c>
      <c r="AE64" s="84">
        <f t="shared" si="90"/>
        <v>-5.103822713819571E-2</v>
      </c>
      <c r="AF64" s="84">
        <f t="shared" si="90"/>
        <v>0.14452610858094658</v>
      </c>
      <c r="AG64" s="84">
        <f t="shared" si="90"/>
        <v>8.691290044098092E-2</v>
      </c>
      <c r="AH64" s="84">
        <f t="shared" si="90"/>
        <v>5.8111560214330608E-2</v>
      </c>
      <c r="AI64" s="84">
        <f t="shared" ref="AI64:BB64" si="91">INDEX(MO_MA_EBIT_Adj,0,COLUMN())</f>
        <v>6.2025555315937016E-2</v>
      </c>
      <c r="AJ64" s="84">
        <f t="shared" si="91"/>
        <v>0.1330603889457522</v>
      </c>
      <c r="AK64" s="84">
        <f t="shared" si="91"/>
        <v>0.14001453543969705</v>
      </c>
      <c r="AL64" s="84">
        <f t="shared" si="91"/>
        <v>8.4189077004352214E-2</v>
      </c>
      <c r="AM64" s="84">
        <f t="shared" si="91"/>
        <v>1.1298616281800773E-2</v>
      </c>
      <c r="AN64" s="84">
        <f t="shared" si="91"/>
        <v>0.14830271521610136</v>
      </c>
      <c r="AO64" s="84">
        <f t="shared" si="91"/>
        <v>0.16465823457158979</v>
      </c>
      <c r="AP64" s="84">
        <f t="shared" si="91"/>
        <v>0.1174686024722601</v>
      </c>
      <c r="AQ64" s="84">
        <f t="shared" si="91"/>
        <v>-4.6854051511231322E-2</v>
      </c>
      <c r="AR64" s="84">
        <f t="shared" si="91"/>
        <v>0.16642053944397794</v>
      </c>
      <c r="AS64" s="84">
        <f t="shared" si="91"/>
        <v>0.17058628403262713</v>
      </c>
      <c r="AT64" s="84">
        <f t="shared" si="91"/>
        <v>0.13324398280002223</v>
      </c>
      <c r="AU64" s="520">
        <f t="shared" si="91"/>
        <v>3.0740491606290055E-2</v>
      </c>
      <c r="AV64" s="84">
        <f t="shared" si="91"/>
        <v>0.1706288277470836</v>
      </c>
      <c r="AW64" s="84">
        <f t="shared" si="91"/>
        <v>0.1792727827770865</v>
      </c>
      <c r="AX64" s="84">
        <f t="shared" si="91"/>
        <v>0.14056546581295362</v>
      </c>
      <c r="AY64" s="84">
        <f t="shared" si="91"/>
        <v>0</v>
      </c>
      <c r="AZ64" s="84">
        <f t="shared" si="91"/>
        <v>7.9629752862253655E-2</v>
      </c>
      <c r="BA64" s="84">
        <f t="shared" si="91"/>
        <v>0.10768330428902133</v>
      </c>
      <c r="BB64" s="84">
        <f t="shared" si="91"/>
        <v>6.4467473403338929E-2</v>
      </c>
      <c r="BC64" s="84"/>
      <c r="BD64" s="866">
        <f t="shared" ref="BD64:BW64" si="92">INDEX(MO_MA_EBIT_Adj,0,COLUMN())</f>
        <v>7.0830680719624645E-2</v>
      </c>
      <c r="BE64" s="866">
        <f t="shared" si="92"/>
        <v>4.9680660059833355E-2</v>
      </c>
      <c r="BF64" s="866">
        <f t="shared" si="92"/>
        <v>4.1892071446197089E-2</v>
      </c>
      <c r="BG64" s="866">
        <f t="shared" si="92"/>
        <v>3.7275123180932783E-2</v>
      </c>
      <c r="BH64" s="866">
        <f t="shared" si="92"/>
        <v>4.0209607222805546E-2</v>
      </c>
      <c r="BI64" s="866">
        <f t="shared" si="92"/>
        <v>5.0517906059925878E-2</v>
      </c>
      <c r="BJ64" s="866">
        <f t="shared" si="92"/>
        <v>6.1198008962817636E-2</v>
      </c>
      <c r="BK64" s="866">
        <f t="shared" si="92"/>
        <v>5.9647470850768519E-2</v>
      </c>
      <c r="BL64" s="866">
        <f t="shared" si="92"/>
        <v>0.10504633124235402</v>
      </c>
      <c r="BM64" s="866">
        <f t="shared" si="92"/>
        <v>0.11156091366044014</v>
      </c>
      <c r="BN64" s="866">
        <f t="shared" si="92"/>
        <v>0.10940655005720164</v>
      </c>
      <c r="BO64" s="866">
        <f t="shared" si="92"/>
        <v>0.13142797349487659</v>
      </c>
      <c r="BP64" s="866" t="e">
        <f t="shared" si="92"/>
        <v>#REF!</v>
      </c>
      <c r="BQ64" s="866" t="e">
        <f t="shared" si="92"/>
        <v>#REF!</v>
      </c>
      <c r="BR64" s="867" t="e">
        <f t="shared" si="92"/>
        <v>#REF!</v>
      </c>
      <c r="BS64" s="866" t="e">
        <f t="shared" si="92"/>
        <v>#REF!</v>
      </c>
      <c r="BT64" s="866">
        <f t="shared" si="92"/>
        <v>0</v>
      </c>
      <c r="BU64" s="866">
        <f t="shared" si="92"/>
        <v>0</v>
      </c>
      <c r="BV64" s="866">
        <f t="shared" si="92"/>
        <v>0</v>
      </c>
      <c r="BW64" s="866">
        <f t="shared" si="92"/>
        <v>0</v>
      </c>
      <c r="BX64" s="221"/>
    </row>
    <row r="65" spans="1:76" s="67" customFormat="1" ht="15" customHeight="1" x14ac:dyDescent="0.35">
      <c r="A65" s="189" t="str">
        <f>INDEX(MO_MA_EBITDA,0,COLUMN())</f>
        <v>EBITDA Margin, %</v>
      </c>
      <c r="B65" s="190"/>
      <c r="C65" s="84">
        <f t="shared" ref="C65:AH65" si="93">INDEX(MO_MA_EBITDA,0,COLUMN())</f>
        <v>0.11000651300792418</v>
      </c>
      <c r="D65" s="84">
        <f t="shared" si="93"/>
        <v>0.15776981769468224</v>
      </c>
      <c r="E65" s="84">
        <f t="shared" si="93"/>
        <v>0.1634519675793201</v>
      </c>
      <c r="F65" s="84">
        <f t="shared" si="93"/>
        <v>9.3467331734675224E-2</v>
      </c>
      <c r="G65" s="84">
        <f t="shared" si="93"/>
        <v>3.7159647232950739E-2</v>
      </c>
      <c r="H65" s="84">
        <f t="shared" si="93"/>
        <v>0.11439851017555461</v>
      </c>
      <c r="I65" s="84">
        <f t="shared" si="93"/>
        <v>0.19301765991276323</v>
      </c>
      <c r="J65" s="84">
        <f t="shared" si="93"/>
        <v>0.15524077122639454</v>
      </c>
      <c r="K65" s="84">
        <f t="shared" si="93"/>
        <v>1.5723748690391569E-2</v>
      </c>
      <c r="L65" s="84">
        <f t="shared" si="93"/>
        <v>0.16472693943900668</v>
      </c>
      <c r="M65" s="84">
        <f t="shared" si="93"/>
        <v>0.18474959427363732</v>
      </c>
      <c r="N65" s="84">
        <f t="shared" si="93"/>
        <v>6.4543506397064021E-2</v>
      </c>
      <c r="O65" s="84">
        <f t="shared" si="93"/>
        <v>-1.7588030556434424E-2</v>
      </c>
      <c r="P65" s="84">
        <f t="shared" si="93"/>
        <v>0.14940304868996357</v>
      </c>
      <c r="Q65" s="84">
        <f t="shared" si="93"/>
        <v>0.1659031354477275</v>
      </c>
      <c r="R65" s="84">
        <f t="shared" si="93"/>
        <v>8.1836624962158613E-2</v>
      </c>
      <c r="S65" s="84">
        <f t="shared" si="93"/>
        <v>-2.1772905410713118E-2</v>
      </c>
      <c r="T65" s="84">
        <f t="shared" si="93"/>
        <v>0.16743407662038087</v>
      </c>
      <c r="U65" s="84">
        <f t="shared" si="93"/>
        <v>0.14700291642138461</v>
      </c>
      <c r="V65" s="84">
        <f t="shared" si="93"/>
        <v>0.10505751814532939</v>
      </c>
      <c r="W65" s="84">
        <f t="shared" si="93"/>
        <v>1.2562012369692127E-2</v>
      </c>
      <c r="X65" s="84">
        <f t="shared" si="93"/>
        <v>0.14853759708302064</v>
      </c>
      <c r="Y65" s="84">
        <f t="shared" si="93"/>
        <v>0.16379947093582525</v>
      </c>
      <c r="Z65" s="84">
        <f t="shared" si="93"/>
        <v>0.115223925584199</v>
      </c>
      <c r="AA65" s="84">
        <f t="shared" si="93"/>
        <v>1.893646991413123E-2</v>
      </c>
      <c r="AB65" s="84">
        <f t="shared" si="93"/>
        <v>0.20010044257509652</v>
      </c>
      <c r="AC65" s="84">
        <f t="shared" si="93"/>
        <v>0.15914977966610341</v>
      </c>
      <c r="AD65" s="84">
        <f t="shared" si="93"/>
        <v>8.1236296105557937E-2</v>
      </c>
      <c r="AE65" s="84">
        <f t="shared" si="93"/>
        <v>-8.7196300574438456E-3</v>
      </c>
      <c r="AF65" s="84">
        <f t="shared" si="93"/>
        <v>0.18455965429280288</v>
      </c>
      <c r="AG65" s="84">
        <f t="shared" si="93"/>
        <v>0.1279894537903358</v>
      </c>
      <c r="AH65" s="84">
        <f t="shared" si="93"/>
        <v>9.7950775477725266E-2</v>
      </c>
      <c r="AI65" s="84">
        <f t="shared" ref="AI65:BB65" si="94">INDEX(MO_MA_EBITDA,0,COLUMN())</f>
        <v>8.1790489540651268E-2</v>
      </c>
      <c r="AJ65" s="84">
        <f t="shared" si="94"/>
        <v>0.16380119368860402</v>
      </c>
      <c r="AK65" s="84">
        <f t="shared" si="94"/>
        <v>0.15849494447207027</v>
      </c>
      <c r="AL65" s="84">
        <f t="shared" si="94"/>
        <v>0.11679203038917273</v>
      </c>
      <c r="AM65" s="84">
        <f t="shared" si="94"/>
        <v>4.2900761069995443E-2</v>
      </c>
      <c r="AN65" s="84">
        <f t="shared" si="94"/>
        <v>0.20047276359134283</v>
      </c>
      <c r="AO65" s="84">
        <f t="shared" si="94"/>
        <v>0.20091671764811889</v>
      </c>
      <c r="AP65" s="84">
        <f t="shared" si="94"/>
        <v>0.15497428664948781</v>
      </c>
      <c r="AQ65" s="84">
        <f t="shared" si="94"/>
        <v>-5.8050099964718173E-3</v>
      </c>
      <c r="AR65" s="84">
        <f t="shared" si="94"/>
        <v>0.20839595580616666</v>
      </c>
      <c r="AS65" s="84">
        <f t="shared" si="94"/>
        <v>0.2108109142560666</v>
      </c>
      <c r="AT65" s="84">
        <f t="shared" si="94"/>
        <v>0.1730091067221797</v>
      </c>
      <c r="AU65" s="520">
        <f t="shared" si="94"/>
        <v>6.5260807903686241E-2</v>
      </c>
      <c r="AV65" s="84">
        <f t="shared" si="94"/>
        <v>0.2086848402540801</v>
      </c>
      <c r="AW65" s="84">
        <f t="shared" si="94"/>
        <v>0.21114428642976846</v>
      </c>
      <c r="AX65" s="84">
        <f t="shared" si="94"/>
        <v>0.16871950630083785</v>
      </c>
      <c r="AY65" s="84">
        <f t="shared" si="94"/>
        <v>0</v>
      </c>
      <c r="AZ65" s="84">
        <f t="shared" si="94"/>
        <v>0.1368114509162697</v>
      </c>
      <c r="BA65" s="84">
        <f t="shared" si="94"/>
        <v>0.15925299763310541</v>
      </c>
      <c r="BB65" s="84">
        <f t="shared" si="94"/>
        <v>0.12852915392183506</v>
      </c>
      <c r="BC65" s="84"/>
      <c r="BD65" s="866">
        <f t="shared" ref="BD65:BW65" si="95">INDEX(MO_MA_EBITDA,0,COLUMN())</f>
        <v>0.13138454646200279</v>
      </c>
      <c r="BE65" s="866">
        <f t="shared" si="95"/>
        <v>0.1256338677596614</v>
      </c>
      <c r="BF65" s="866">
        <f t="shared" si="95"/>
        <v>0.10780201076881223</v>
      </c>
      <c r="BG65" s="866">
        <f t="shared" si="95"/>
        <v>9.4120545433711511E-2</v>
      </c>
      <c r="BH65" s="866">
        <f t="shared" si="95"/>
        <v>9.837606173869097E-2</v>
      </c>
      <c r="BI65" s="866">
        <f t="shared" si="95"/>
        <v>0.10984119581490935</v>
      </c>
      <c r="BJ65" s="866">
        <f t="shared" si="95"/>
        <v>0.11507336436452988</v>
      </c>
      <c r="BK65" s="866">
        <f t="shared" si="95"/>
        <v>0.10045303214462448</v>
      </c>
      <c r="BL65" s="866">
        <f t="shared" si="95"/>
        <v>0.13049077279471091</v>
      </c>
      <c r="BM65" s="866">
        <f t="shared" si="95"/>
        <v>0.15091428889892838</v>
      </c>
      <c r="BN65" s="866">
        <f t="shared" si="95"/>
        <v>0.15013786099388357</v>
      </c>
      <c r="BO65" s="866">
        <f t="shared" si="95"/>
        <v>0.16452264227718053</v>
      </c>
      <c r="BP65" s="866" t="e">
        <f t="shared" si="95"/>
        <v>#REF!</v>
      </c>
      <c r="BQ65" s="866" t="e">
        <f t="shared" si="95"/>
        <v>#REF!</v>
      </c>
      <c r="BR65" s="867" t="e">
        <f t="shared" si="95"/>
        <v>#REF!</v>
      </c>
      <c r="BS65" s="866" t="e">
        <f t="shared" si="95"/>
        <v>#REF!</v>
      </c>
      <c r="BT65" s="866">
        <f t="shared" si="95"/>
        <v>0</v>
      </c>
      <c r="BU65" s="866">
        <f t="shared" si="95"/>
        <v>0</v>
      </c>
      <c r="BV65" s="866">
        <f t="shared" si="95"/>
        <v>0</v>
      </c>
      <c r="BW65" s="866">
        <f t="shared" si="95"/>
        <v>0</v>
      </c>
      <c r="BX65" s="221"/>
    </row>
    <row r="66" spans="1:76" s="67" customFormat="1" ht="15" customHeight="1" x14ac:dyDescent="0.35">
      <c r="A66" s="189" t="str">
        <f>INDEX(MO_MA_EBITDA_Adj,0,COLUMN())</f>
        <v>Adjusted EBITDA Margin, %</v>
      </c>
      <c r="B66" s="190"/>
      <c r="C66" s="84">
        <f t="shared" ref="C66:AH66" si="96">INDEX(SP_NGF_EBITDA,0,COLUMN())/INDEX(SP_GF_Rev,0,COLUMN())</f>
        <v>0.12299634547888701</v>
      </c>
      <c r="D66" s="84">
        <f t="shared" si="96"/>
        <v>0.17188440406158381</v>
      </c>
      <c r="E66" s="84">
        <f t="shared" si="96"/>
        <v>0.18204294318124478</v>
      </c>
      <c r="F66" s="84">
        <f t="shared" si="96"/>
        <v>0.11582720705904359</v>
      </c>
      <c r="G66" s="84">
        <f t="shared" si="96"/>
        <v>5.3274130124449474E-2</v>
      </c>
      <c r="H66" s="84">
        <f t="shared" si="96"/>
        <v>0.15249264242873545</v>
      </c>
      <c r="I66" s="84">
        <f t="shared" si="96"/>
        <v>0.20997610767700295</v>
      </c>
      <c r="J66" s="84">
        <f t="shared" si="96"/>
        <v>0.15621040655732032</v>
      </c>
      <c r="K66" s="84">
        <f t="shared" si="96"/>
        <v>3.3352766230693713E-2</v>
      </c>
      <c r="L66" s="84">
        <f t="shared" si="96"/>
        <v>0.18546155708504822</v>
      </c>
      <c r="M66" s="84">
        <f t="shared" si="96"/>
        <v>0.20315342383994958</v>
      </c>
      <c r="N66" s="84">
        <f t="shared" si="96"/>
        <v>9.7761558210095773E-2</v>
      </c>
      <c r="O66" s="84">
        <f t="shared" si="96"/>
        <v>3.1460471003029074E-3</v>
      </c>
      <c r="P66" s="84">
        <f t="shared" si="96"/>
        <v>0.17312785245987988</v>
      </c>
      <c r="Q66" s="84">
        <f t="shared" si="96"/>
        <v>0.18495979036776003</v>
      </c>
      <c r="R66" s="84">
        <f t="shared" si="96"/>
        <v>0.10378232325286117</v>
      </c>
      <c r="S66" s="84">
        <f t="shared" si="96"/>
        <v>-1.2874337735337828E-3</v>
      </c>
      <c r="T66" s="84">
        <f t="shared" si="96"/>
        <v>0.18823103713419878</v>
      </c>
      <c r="U66" s="84">
        <f t="shared" si="96"/>
        <v>0.17066232873326645</v>
      </c>
      <c r="V66" s="84">
        <f t="shared" si="96"/>
        <v>0.14232612463964245</v>
      </c>
      <c r="W66" s="84">
        <f t="shared" si="96"/>
        <v>2.6020062504097795E-2</v>
      </c>
      <c r="X66" s="84">
        <f t="shared" si="96"/>
        <v>0.18176335452624404</v>
      </c>
      <c r="Y66" s="84">
        <f t="shared" si="96"/>
        <v>0.18336883331043019</v>
      </c>
      <c r="Z66" s="84">
        <f t="shared" si="96"/>
        <v>0.14019106307090748</v>
      </c>
      <c r="AA66" s="84">
        <f t="shared" si="96"/>
        <v>3.4948311673842193E-2</v>
      </c>
      <c r="AB66" s="84">
        <f t="shared" si="96"/>
        <v>0.2163438902664867</v>
      </c>
      <c r="AC66" s="84">
        <f t="shared" si="96"/>
        <v>0.17474689242335706</v>
      </c>
      <c r="AD66" s="84">
        <f t="shared" si="96"/>
        <v>9.9034777655531786E-2</v>
      </c>
      <c r="AE66" s="84">
        <f t="shared" si="96"/>
        <v>1.2756639869944438E-2</v>
      </c>
      <c r="AF66" s="84">
        <f t="shared" si="96"/>
        <v>0.20854250870674296</v>
      </c>
      <c r="AG66" s="84">
        <f t="shared" si="96"/>
        <v>0.15165620600885077</v>
      </c>
      <c r="AH66" s="84">
        <f t="shared" si="96"/>
        <v>0.11960688801216719</v>
      </c>
      <c r="AI66" s="84">
        <f t="shared" ref="AI66:BB66" si="97">INDEX(SP_NGF_EBITDA,0,COLUMN())/INDEX(SP_GF_Rev,0,COLUMN())</f>
        <v>0.10576342462799222</v>
      </c>
      <c r="AJ66" s="84">
        <f t="shared" si="97"/>
        <v>0.18792486939876898</v>
      </c>
      <c r="AK66" s="84">
        <f t="shared" si="97"/>
        <v>0.19127363602748981</v>
      </c>
      <c r="AL66" s="84">
        <f t="shared" si="97"/>
        <v>0.13820532816784495</v>
      </c>
      <c r="AM66" s="84">
        <f t="shared" si="97"/>
        <v>6.3604063704007216E-2</v>
      </c>
      <c r="AN66" s="84">
        <f t="shared" si="97"/>
        <v>0.20194282393219171</v>
      </c>
      <c r="AO66" s="84">
        <f t="shared" si="97"/>
        <v>0.21413869800484678</v>
      </c>
      <c r="AP66" s="84">
        <f t="shared" si="97"/>
        <v>0.16399427957584506</v>
      </c>
      <c r="AQ66" s="84">
        <f t="shared" si="97"/>
        <v>7.1551217217452785E-3</v>
      </c>
      <c r="AR66" s="84">
        <f t="shared" si="97"/>
        <v>0.21917392869218108</v>
      </c>
      <c r="AS66" s="84">
        <f t="shared" si="97"/>
        <v>0.22090056221347107</v>
      </c>
      <c r="AT66" s="84">
        <f t="shared" si="97"/>
        <v>0.18360707275656724</v>
      </c>
      <c r="AU66" s="520">
        <f t="shared" si="97"/>
        <v>8.2808357681790748E-2</v>
      </c>
      <c r="AV66" s="84">
        <f t="shared" si="97"/>
        <v>0.22270443192685535</v>
      </c>
      <c r="AW66" s="84">
        <f t="shared" si="97"/>
        <v>0.22625392653311957</v>
      </c>
      <c r="AX66" s="84">
        <f t="shared" si="97"/>
        <v>0.18327054343264468</v>
      </c>
      <c r="AY66" s="84" t="e">
        <f t="shared" si="97"/>
        <v>#DIV/0!</v>
      </c>
      <c r="AZ66" s="84">
        <f t="shared" si="97"/>
        <v>0.14565251146327465</v>
      </c>
      <c r="BA66" s="84">
        <f t="shared" si="97"/>
        <v>0.17468723177361051</v>
      </c>
      <c r="BB66" s="84">
        <f t="shared" si="97"/>
        <v>0.14664818905354549</v>
      </c>
      <c r="BC66" s="84"/>
      <c r="BD66" s="866">
        <f t="shared" ref="BD66:BW66" si="98">INDEX(SP_NGF_EBITDA,0,COLUMN())/INDEX(SP_GF_Rev,0,COLUMN())</f>
        <v>0.14833062177265333</v>
      </c>
      <c r="BE66" s="866">
        <f t="shared" si="98"/>
        <v>0.14349471971707986</v>
      </c>
      <c r="BF66" s="866">
        <f t="shared" si="98"/>
        <v>0.13026234480024129</v>
      </c>
      <c r="BG66" s="866">
        <f t="shared" si="98"/>
        <v>0.11545204537641805</v>
      </c>
      <c r="BH66" s="866">
        <f t="shared" si="98"/>
        <v>0.12380939518457114</v>
      </c>
      <c r="BI66" s="866">
        <f t="shared" si="98"/>
        <v>0.13252423904965929</v>
      </c>
      <c r="BJ66" s="866">
        <f t="shared" si="98"/>
        <v>0.13149075758649745</v>
      </c>
      <c r="BK66" s="866">
        <f t="shared" si="98"/>
        <v>0.12313730765350496</v>
      </c>
      <c r="BL66" s="866">
        <f t="shared" si="98"/>
        <v>0.15608553059684008</v>
      </c>
      <c r="BM66" s="866">
        <f t="shared" si="98"/>
        <v>0.1619241746735868</v>
      </c>
      <c r="BN66" s="866">
        <f t="shared" si="98"/>
        <v>0.16119721905039733</v>
      </c>
      <c r="BO66" s="866">
        <f t="shared" si="98"/>
        <v>0.17980168838182045</v>
      </c>
      <c r="BP66" s="866" t="e">
        <f t="shared" si="98"/>
        <v>#REF!</v>
      </c>
      <c r="BQ66" s="866" t="e">
        <f t="shared" si="98"/>
        <v>#REF!</v>
      </c>
      <c r="BR66" s="867" t="e">
        <f t="shared" si="98"/>
        <v>#REF!</v>
      </c>
      <c r="BS66" s="866" t="e">
        <f t="shared" si="98"/>
        <v>#REF!</v>
      </c>
      <c r="BT66" s="866" t="e">
        <f t="shared" si="98"/>
        <v>#DIV/0!</v>
      </c>
      <c r="BU66" s="866" t="e">
        <f t="shared" si="98"/>
        <v>#DIV/0!</v>
      </c>
      <c r="BV66" s="866" t="e">
        <f t="shared" si="98"/>
        <v>#DIV/0!</v>
      </c>
      <c r="BW66" s="866" t="e">
        <f t="shared" si="98"/>
        <v>#DIV/0!</v>
      </c>
      <c r="BX66" s="221"/>
    </row>
    <row r="67" spans="1:76" ht="15" customHeight="1" x14ac:dyDescent="0.35">
      <c r="A67" s="184"/>
      <c r="B67" s="170"/>
      <c r="C67" s="544"/>
      <c r="D67" s="544"/>
      <c r="E67" s="544"/>
      <c r="F67" s="544"/>
      <c r="G67" s="544"/>
      <c r="H67" s="544"/>
      <c r="I67" s="544"/>
      <c r="J67" s="544"/>
      <c r="K67" s="544"/>
      <c r="L67" s="544"/>
      <c r="M67" s="544"/>
      <c r="N67" s="544"/>
      <c r="O67" s="544"/>
      <c r="P67" s="544"/>
      <c r="Q67" s="544"/>
      <c r="R67" s="544"/>
      <c r="S67" s="544"/>
      <c r="T67" s="544"/>
      <c r="U67" s="544"/>
      <c r="V67" s="544"/>
      <c r="W67" s="544"/>
      <c r="X67" s="544"/>
      <c r="Y67" s="544"/>
      <c r="Z67" s="544"/>
      <c r="AA67" s="544"/>
      <c r="AB67" s="544"/>
      <c r="AC67" s="544"/>
      <c r="AD67" s="544"/>
      <c r="AE67" s="544"/>
      <c r="AF67" s="544"/>
      <c r="AG67" s="544"/>
      <c r="AH67" s="544"/>
      <c r="AI67" s="544"/>
      <c r="AJ67" s="544"/>
      <c r="AK67" s="544"/>
      <c r="AL67" s="544"/>
      <c r="AM67" s="544"/>
      <c r="AN67" s="544"/>
      <c r="AO67" s="544"/>
      <c r="AP67" s="544"/>
      <c r="AQ67" s="544"/>
      <c r="AR67" s="544"/>
      <c r="AS67" s="544"/>
      <c r="AT67" s="544"/>
      <c r="AU67" s="617"/>
      <c r="AV67" s="544"/>
      <c r="AW67" s="544"/>
      <c r="AX67" s="544"/>
      <c r="AY67" s="544"/>
      <c r="AZ67" s="544"/>
      <c r="BA67" s="544"/>
      <c r="BB67" s="544"/>
      <c r="BC67" s="544"/>
      <c r="BD67" s="853"/>
      <c r="BE67" s="853"/>
      <c r="BF67" s="853"/>
      <c r="BG67" s="853"/>
      <c r="BH67" s="853"/>
      <c r="BI67" s="853"/>
      <c r="BJ67" s="853"/>
      <c r="BK67" s="853"/>
      <c r="BL67" s="853"/>
      <c r="BM67" s="853"/>
      <c r="BN67" s="853"/>
      <c r="BO67" s="853"/>
      <c r="BP67" s="853"/>
      <c r="BQ67" s="853"/>
      <c r="BR67" s="854"/>
      <c r="BS67" s="853"/>
      <c r="BT67" s="853"/>
      <c r="BU67" s="853"/>
      <c r="BV67" s="853"/>
      <c r="BW67" s="853"/>
      <c r="BX67" s="544"/>
    </row>
    <row r="68" spans="1:76" ht="15" customHeight="1" x14ac:dyDescent="0.35">
      <c r="A68" s="120" t="s">
        <v>311</v>
      </c>
      <c r="B68" s="545"/>
      <c r="C68" s="545"/>
      <c r="D68" s="545"/>
      <c r="E68" s="545"/>
      <c r="F68" s="545"/>
      <c r="G68" s="545"/>
      <c r="H68" s="545"/>
      <c r="I68" s="545"/>
      <c r="J68" s="545"/>
      <c r="K68" s="545"/>
      <c r="L68" s="545"/>
      <c r="M68" s="545"/>
      <c r="N68" s="545"/>
      <c r="O68" s="545"/>
      <c r="P68" s="545"/>
      <c r="Q68" s="545"/>
      <c r="R68" s="545"/>
      <c r="S68" s="545"/>
      <c r="T68" s="545"/>
      <c r="U68" s="545"/>
      <c r="V68" s="545"/>
      <c r="W68" s="545"/>
      <c r="X68" s="545"/>
      <c r="Y68" s="545"/>
      <c r="Z68" s="545"/>
      <c r="AA68" s="545"/>
      <c r="AB68" s="545"/>
      <c r="AC68" s="545"/>
      <c r="AD68" s="545"/>
      <c r="AE68" s="545"/>
      <c r="AF68" s="545"/>
      <c r="AG68" s="545"/>
      <c r="AH68" s="545"/>
      <c r="AI68" s="545"/>
      <c r="AJ68" s="545"/>
      <c r="AK68" s="545"/>
      <c r="AL68" s="545"/>
      <c r="AM68" s="545"/>
      <c r="AN68" s="545"/>
      <c r="AO68" s="545"/>
      <c r="AP68" s="545"/>
      <c r="AQ68" s="545"/>
      <c r="AR68" s="545"/>
      <c r="AS68" s="545"/>
      <c r="AT68" s="545"/>
      <c r="AU68" s="618"/>
      <c r="AV68" s="545"/>
      <c r="AW68" s="545"/>
      <c r="AX68" s="545"/>
      <c r="AY68" s="545"/>
      <c r="AZ68" s="545"/>
      <c r="BA68" s="545"/>
      <c r="BB68" s="545"/>
      <c r="BC68" s="545"/>
      <c r="BD68" s="545"/>
      <c r="BE68" s="545"/>
      <c r="BF68" s="545"/>
      <c r="BG68" s="545"/>
      <c r="BH68" s="545"/>
      <c r="BI68" s="545"/>
      <c r="BJ68" s="545"/>
      <c r="BK68" s="545"/>
      <c r="BL68" s="545"/>
      <c r="BM68" s="545"/>
      <c r="BN68" s="545"/>
      <c r="BO68" s="545"/>
      <c r="BP68" s="545"/>
      <c r="BQ68" s="545"/>
      <c r="BR68" s="618"/>
      <c r="BS68" s="545"/>
      <c r="BT68" s="545"/>
      <c r="BU68" s="545"/>
      <c r="BV68" s="545"/>
      <c r="BW68" s="545"/>
      <c r="BX68" s="543"/>
    </row>
    <row r="69" spans="1:76" s="66" customFormat="1" ht="15" hidden="1" customHeight="1" outlineLevel="1" x14ac:dyDescent="0.35">
      <c r="A69" s="165" t="str">
        <f>INDEX(MO_CFSum_CFO_BeforeWC,0,COLUMN())</f>
        <v>Operating Cash Flow before WC</v>
      </c>
      <c r="B69" s="170"/>
      <c r="C69" s="544">
        <f t="shared" ref="C69:AH69" si="99">INDEX(MO_CFSum_CFO_BeforeWC,0,COLUMN())</f>
        <v>26.291</v>
      </c>
      <c r="D69" s="544">
        <f t="shared" si="99"/>
        <v>33.683</v>
      </c>
      <c r="E69" s="544">
        <f t="shared" si="99"/>
        <v>37.778000000000006</v>
      </c>
      <c r="F69" s="544">
        <f t="shared" si="99"/>
        <v>18.71299999999999</v>
      </c>
      <c r="G69" s="544">
        <f t="shared" si="99"/>
        <v>11.746999999999998</v>
      </c>
      <c r="H69" s="544">
        <f t="shared" si="99"/>
        <v>40.061999999999998</v>
      </c>
      <c r="I69" s="544">
        <f t="shared" si="99"/>
        <v>45.451000000000001</v>
      </c>
      <c r="J69" s="544">
        <f t="shared" si="99"/>
        <v>21.319999999999993</v>
      </c>
      <c r="K69" s="544">
        <f t="shared" si="99"/>
        <v>22.186</v>
      </c>
      <c r="L69" s="544">
        <f t="shared" si="99"/>
        <v>32.931000000000004</v>
      </c>
      <c r="M69" s="544">
        <f t="shared" si="99"/>
        <v>38.369000000000007</v>
      </c>
      <c r="N69" s="544">
        <f t="shared" si="99"/>
        <v>31.203999999999997</v>
      </c>
      <c r="O69" s="544">
        <f t="shared" si="99"/>
        <v>19.287000000000003</v>
      </c>
      <c r="P69" s="544">
        <f t="shared" si="99"/>
        <v>29.075999999999997</v>
      </c>
      <c r="Q69" s="544">
        <f t="shared" si="99"/>
        <v>29.892999999999997</v>
      </c>
      <c r="R69" s="544">
        <f t="shared" si="99"/>
        <v>20.978999999999992</v>
      </c>
      <c r="S69" s="544">
        <f t="shared" si="99"/>
        <v>19.547999999999998</v>
      </c>
      <c r="T69" s="544">
        <f t="shared" si="99"/>
        <v>31.018000000000001</v>
      </c>
      <c r="U69" s="544">
        <f t="shared" si="99"/>
        <v>34.795999999999999</v>
      </c>
      <c r="V69" s="544">
        <f t="shared" si="99"/>
        <v>22.789999999999996</v>
      </c>
      <c r="W69" s="544">
        <f t="shared" si="99"/>
        <v>25.863999999999997</v>
      </c>
      <c r="X69" s="544">
        <f t="shared" si="99"/>
        <v>32.550000000000004</v>
      </c>
      <c r="Y69" s="544">
        <f t="shared" si="99"/>
        <v>32.508000000000003</v>
      </c>
      <c r="Z69" s="544">
        <f t="shared" si="99"/>
        <v>37.471000000000004</v>
      </c>
      <c r="AA69" s="544">
        <f t="shared" si="99"/>
        <v>23.496000000000002</v>
      </c>
      <c r="AB69" s="544">
        <f t="shared" si="99"/>
        <v>47.363999999999997</v>
      </c>
      <c r="AC69" s="544">
        <f t="shared" si="99"/>
        <v>41.87700000000001</v>
      </c>
      <c r="AD69" s="544">
        <f t="shared" si="99"/>
        <v>26.551000000000002</v>
      </c>
      <c r="AE69" s="544">
        <f t="shared" si="99"/>
        <v>20.574999999999996</v>
      </c>
      <c r="AF69" s="544">
        <f t="shared" si="99"/>
        <v>43.481999999999999</v>
      </c>
      <c r="AG69" s="544">
        <f t="shared" si="99"/>
        <v>38.804000000000002</v>
      </c>
      <c r="AH69" s="544">
        <f t="shared" si="99"/>
        <v>38.5</v>
      </c>
      <c r="AI69" s="544">
        <f t="shared" ref="AI69:BB69" si="100">INDEX(MO_CFSum_CFO_BeforeWC,0,COLUMN())</f>
        <v>64.786999999999992</v>
      </c>
      <c r="AJ69" s="544">
        <f t="shared" si="100"/>
        <v>65.385999999999996</v>
      </c>
      <c r="AK69" s="544">
        <f t="shared" si="100"/>
        <v>67.725999999999999</v>
      </c>
      <c r="AL69" s="544">
        <f t="shared" si="100"/>
        <v>54.024999999999991</v>
      </c>
      <c r="AM69" s="544">
        <f t="shared" si="100"/>
        <v>41.920000000000009</v>
      </c>
      <c r="AN69" s="544">
        <f t="shared" si="100"/>
        <v>79.587000000000003</v>
      </c>
      <c r="AO69" s="544">
        <f t="shared" si="100"/>
        <v>80.021000000000001</v>
      </c>
      <c r="AP69" s="544">
        <f t="shared" si="100"/>
        <v>70.281000000000006</v>
      </c>
      <c r="AQ69" s="544">
        <f t="shared" si="100"/>
        <v>28.173000000000002</v>
      </c>
      <c r="AR69" s="544">
        <f t="shared" si="100"/>
        <v>79.515000000000015</v>
      </c>
      <c r="AS69" s="544">
        <f t="shared" si="100"/>
        <v>90.804000000000016</v>
      </c>
      <c r="AT69" s="544">
        <f t="shared" si="100"/>
        <v>72.197000000000003</v>
      </c>
      <c r="AU69" s="617">
        <f t="shared" si="100"/>
        <v>64.212999999999994</v>
      </c>
      <c r="AV69" s="544">
        <f t="shared" si="100"/>
        <v>89.940174303484127</v>
      </c>
      <c r="AW69" s="544">
        <f t="shared" ca="1" si="100"/>
        <v>92.545016660617989</v>
      </c>
      <c r="AX69" s="544">
        <f t="shared" ca="1" si="100"/>
        <v>78.5582215542955</v>
      </c>
      <c r="AY69" s="544">
        <f t="shared" si="100"/>
        <v>0</v>
      </c>
      <c r="AZ69" s="544">
        <f t="shared" si="100"/>
        <v>38.190000000000005</v>
      </c>
      <c r="BA69" s="544">
        <f t="shared" si="100"/>
        <v>61.653999999999996</v>
      </c>
      <c r="BB69" s="544">
        <f t="shared" si="100"/>
        <v>72.839999999999989</v>
      </c>
      <c r="BC69" s="544"/>
      <c r="BD69" s="853">
        <f t="shared" ref="BD69:BW69" si="101">INDEX(MO_CFSum_CFO_BeforeWC,0,COLUMN())</f>
        <v>116.46499999999997</v>
      </c>
      <c r="BE69" s="853">
        <f t="shared" si="101"/>
        <v>118.58</v>
      </c>
      <c r="BF69" s="853">
        <f t="shared" si="101"/>
        <v>124.69000000000003</v>
      </c>
      <c r="BG69" s="853">
        <f t="shared" si="101"/>
        <v>99.234999999999999</v>
      </c>
      <c r="BH69" s="853">
        <f t="shared" si="101"/>
        <v>108.152</v>
      </c>
      <c r="BI69" s="853">
        <f t="shared" si="101"/>
        <v>128.393</v>
      </c>
      <c r="BJ69" s="853">
        <f t="shared" si="101"/>
        <v>139.28800000000001</v>
      </c>
      <c r="BK69" s="853">
        <f t="shared" si="101"/>
        <v>141.36099999999999</v>
      </c>
      <c r="BL69" s="853">
        <f t="shared" si="101"/>
        <v>251.92400000000001</v>
      </c>
      <c r="BM69" s="853">
        <f t="shared" si="101"/>
        <v>271.80899999999997</v>
      </c>
      <c r="BN69" s="853">
        <f t="shared" si="101"/>
        <v>270.68900000000002</v>
      </c>
      <c r="BO69" s="853">
        <f t="shared" ca="1" si="101"/>
        <v>325.25641251839772</v>
      </c>
      <c r="BP69" s="853" t="e">
        <f t="shared" si="101"/>
        <v>#REF!</v>
      </c>
      <c r="BQ69" s="853" t="e">
        <f t="shared" si="101"/>
        <v>#REF!</v>
      </c>
      <c r="BR69" s="854" t="e">
        <f t="shared" si="101"/>
        <v>#REF!</v>
      </c>
      <c r="BS69" s="853" t="e">
        <f t="shared" ca="1" si="101"/>
        <v>#REF!</v>
      </c>
      <c r="BT69" s="853">
        <f t="shared" si="101"/>
        <v>0</v>
      </c>
      <c r="BU69" s="853">
        <f t="shared" si="101"/>
        <v>0</v>
      </c>
      <c r="BV69" s="853">
        <f t="shared" si="101"/>
        <v>0</v>
      </c>
      <c r="BW69" s="853">
        <f t="shared" si="101"/>
        <v>0</v>
      </c>
      <c r="BX69" s="544"/>
    </row>
    <row r="70" spans="1:76" s="66" customFormat="1" ht="15" hidden="1" customHeight="1" outlineLevel="1" x14ac:dyDescent="0.35">
      <c r="A70" s="477" t="s">
        <v>314</v>
      </c>
      <c r="B70" s="276"/>
      <c r="C70" s="615">
        <f t="shared" ref="C70:AH70" ca="1" si="102">SUM(OFFSET(INDEX(MO_CFS_CFO_BeforeWC,0,COLUMN()),1,0,ROW(INDEX(MO_CFS_CFO,0,COLUMN()))-ROW(INDEX(MO_CFS_CFO_BeforeWC,0,COLUMN()))-2,1))</f>
        <v>-43.505000000000003</v>
      </c>
      <c r="D70" s="615">
        <f t="shared" ca="1" si="102"/>
        <v>15.583000000000002</v>
      </c>
      <c r="E70" s="615">
        <f t="shared" ca="1" si="102"/>
        <v>-10.614000000000011</v>
      </c>
      <c r="F70" s="615">
        <f t="shared" ca="1" si="102"/>
        <v>17.364000000000011</v>
      </c>
      <c r="G70" s="615">
        <f t="shared" ca="1" si="102"/>
        <v>-15.660000000000021</v>
      </c>
      <c r="H70" s="615">
        <f t="shared" ca="1" si="102"/>
        <v>-15.596999999999992</v>
      </c>
      <c r="I70" s="615">
        <f t="shared" ca="1" si="102"/>
        <v>15.502999999999995</v>
      </c>
      <c r="J70" s="615">
        <f t="shared" ca="1" si="102"/>
        <v>20.047000000000004</v>
      </c>
      <c r="K70" s="615">
        <f t="shared" ca="1" si="102"/>
        <v>-49.596000000000004</v>
      </c>
      <c r="L70" s="615">
        <f t="shared" ca="1" si="102"/>
        <v>1.4880000000000035</v>
      </c>
      <c r="M70" s="615">
        <f t="shared" ca="1" si="102"/>
        <v>0.3609999999999971</v>
      </c>
      <c r="N70" s="615">
        <f t="shared" ca="1" si="102"/>
        <v>43.142000000000017</v>
      </c>
      <c r="O70" s="615">
        <f t="shared" ca="1" si="102"/>
        <v>-43.228000000000002</v>
      </c>
      <c r="P70" s="615">
        <f t="shared" ca="1" si="102"/>
        <v>7.8140000000000018</v>
      </c>
      <c r="Q70" s="615">
        <f t="shared" ca="1" si="102"/>
        <v>18.279999999999998</v>
      </c>
      <c r="R70" s="615">
        <f t="shared" ca="1" si="102"/>
        <v>39.676999999999985</v>
      </c>
      <c r="S70" s="615">
        <f t="shared" ca="1" si="102"/>
        <v>-79.477999999999994</v>
      </c>
      <c r="T70" s="615">
        <f t="shared" ca="1" si="102"/>
        <v>39.16299999999999</v>
      </c>
      <c r="U70" s="615">
        <f t="shared" ca="1" si="102"/>
        <v>-7.6720000000000059</v>
      </c>
      <c r="V70" s="615">
        <f t="shared" ca="1" si="102"/>
        <v>28.562999999999992</v>
      </c>
      <c r="W70" s="615">
        <f t="shared" ca="1" si="102"/>
        <v>-86.086000000000013</v>
      </c>
      <c r="X70" s="615">
        <f t="shared" ca="1" si="102"/>
        <v>24.934999999999992</v>
      </c>
      <c r="Y70" s="615">
        <f t="shared" ca="1" si="102"/>
        <v>23.63999999999999</v>
      </c>
      <c r="Z70" s="615">
        <f t="shared" ca="1" si="102"/>
        <v>12.745000000000001</v>
      </c>
      <c r="AA70" s="615">
        <f t="shared" ca="1" si="102"/>
        <v>-72.587999999999994</v>
      </c>
      <c r="AB70" s="615">
        <f t="shared" ca="1" si="102"/>
        <v>26.613000000000014</v>
      </c>
      <c r="AC70" s="615">
        <f t="shared" ca="1" si="102"/>
        <v>6.5339999999999936</v>
      </c>
      <c r="AD70" s="615">
        <f t="shared" ca="1" si="102"/>
        <v>41.758999999999993</v>
      </c>
      <c r="AE70" s="615">
        <f t="shared" ca="1" si="102"/>
        <v>-107.389</v>
      </c>
      <c r="AF70" s="615">
        <f t="shared" ca="1" si="102"/>
        <v>22.067</v>
      </c>
      <c r="AG70" s="615">
        <f t="shared" ca="1" si="102"/>
        <v>-14.513999999999996</v>
      </c>
      <c r="AH70" s="615">
        <f t="shared" ca="1" si="102"/>
        <v>38.89</v>
      </c>
      <c r="AI70" s="615">
        <f t="shared" ref="AI70:BB70" ca="1" si="103">SUM(OFFSET(INDEX(MO_CFS_CFO_BeforeWC,0,COLUMN()),1,0,ROW(INDEX(MO_CFS_CFO,0,COLUMN()))-ROW(INDEX(MO_CFS_CFO_BeforeWC,0,COLUMN()))-2,1))</f>
        <v>-179.32</v>
      </c>
      <c r="AJ70" s="615">
        <f t="shared" ca="1" si="103"/>
        <v>-30.810000000000002</v>
      </c>
      <c r="AK70" s="615">
        <f t="shared" ca="1" si="103"/>
        <v>23.353000000000019</v>
      </c>
      <c r="AL70" s="615">
        <f t="shared" ca="1" si="103"/>
        <v>69.003</v>
      </c>
      <c r="AM70" s="615">
        <f t="shared" ca="1" si="103"/>
        <v>-173.43</v>
      </c>
      <c r="AN70" s="615">
        <f t="shared" ca="1" si="103"/>
        <v>40.25500000000001</v>
      </c>
      <c r="AO70" s="615">
        <f t="shared" ca="1" si="103"/>
        <v>13.049999999999986</v>
      </c>
      <c r="AP70" s="615">
        <f t="shared" ca="1" si="103"/>
        <v>55.199999999999996</v>
      </c>
      <c r="AQ70" s="615">
        <f t="shared" ca="1" si="103"/>
        <v>-171.31899999999999</v>
      </c>
      <c r="AR70" s="615">
        <f t="shared" ca="1" si="103"/>
        <v>84.813000000000017</v>
      </c>
      <c r="AS70" s="615">
        <f t="shared" ca="1" si="103"/>
        <v>-5.7659999999999982</v>
      </c>
      <c r="AT70" s="615">
        <f t="shared" ca="1" si="103"/>
        <v>24.733000000000004</v>
      </c>
      <c r="AU70" s="616">
        <f t="shared" ca="1" si="103"/>
        <v>-199.51800000000003</v>
      </c>
      <c r="AV70" s="615">
        <f t="shared" ca="1" si="103"/>
        <v>100.53624971993737</v>
      </c>
      <c r="AW70" s="615">
        <f t="shared" ca="1" si="103"/>
        <v>9.7353234845297365</v>
      </c>
      <c r="AX70" s="615">
        <f t="shared" ca="1" si="103"/>
        <v>29.263140621723529</v>
      </c>
      <c r="AY70" s="615">
        <f t="shared" ca="1" si="103"/>
        <v>0</v>
      </c>
      <c r="AZ70" s="615">
        <f t="shared" ca="1" si="103"/>
        <v>-47.545000000000009</v>
      </c>
      <c r="BA70" s="615">
        <f t="shared" ca="1" si="103"/>
        <v>-6.9739999999999975</v>
      </c>
      <c r="BB70" s="615">
        <f t="shared" ca="1" si="103"/>
        <v>-5.6270000000000024</v>
      </c>
      <c r="BC70" s="615"/>
      <c r="BD70" s="847">
        <f t="shared" ref="BD70:BW70" ca="1" si="104">SUM(OFFSET(INDEX(MO_CFS_CFO_BeforeWC,0,COLUMN()),1,0,ROW(INDEX(MO_CFS_CFO,0,COLUMN()))-ROW(INDEX(MO_CFS_CFO_BeforeWC,0,COLUMN()))-2,1))</f>
        <v>-21.171999999999997</v>
      </c>
      <c r="BE70" s="847">
        <f t="shared" ca="1" si="104"/>
        <v>4.293000000000001</v>
      </c>
      <c r="BF70" s="847">
        <f t="shared" ca="1" si="104"/>
        <v>-4.6049999999999995</v>
      </c>
      <c r="BG70" s="847">
        <f t="shared" ca="1" si="104"/>
        <v>22.542999999999996</v>
      </c>
      <c r="BH70" s="847">
        <f t="shared" ca="1" si="104"/>
        <v>-19.424000000000003</v>
      </c>
      <c r="BI70" s="847">
        <f t="shared" ca="1" si="104"/>
        <v>-24.766000000000002</v>
      </c>
      <c r="BJ70" s="847">
        <f t="shared" ca="1" si="104"/>
        <v>2.3179999999999978</v>
      </c>
      <c r="BK70" s="847">
        <f t="shared" ca="1" si="104"/>
        <v>-60.946000000000005</v>
      </c>
      <c r="BL70" s="847">
        <f t="shared" ca="1" si="104"/>
        <v>-117.774</v>
      </c>
      <c r="BM70" s="847">
        <f t="shared" ca="1" si="104"/>
        <v>-64.924999999999997</v>
      </c>
      <c r="BN70" s="847">
        <f t="shared" ca="1" si="104"/>
        <v>-67.538999999999987</v>
      </c>
      <c r="BO70" s="847">
        <f t="shared" ca="1" si="104"/>
        <v>-59.983286173809347</v>
      </c>
      <c r="BP70" s="847" t="e">
        <f t="shared" ca="1" si="104"/>
        <v>#REF!</v>
      </c>
      <c r="BQ70" s="847" t="e">
        <f t="shared" ca="1" si="104"/>
        <v>#REF!</v>
      </c>
      <c r="BR70" s="848" t="e">
        <f t="shared" ca="1" si="104"/>
        <v>#REF!</v>
      </c>
      <c r="BS70" s="847" t="e">
        <f t="shared" ca="1" si="104"/>
        <v>#REF!</v>
      </c>
      <c r="BT70" s="847">
        <f t="shared" ca="1" si="104"/>
        <v>0</v>
      </c>
      <c r="BU70" s="847">
        <f t="shared" ca="1" si="104"/>
        <v>0</v>
      </c>
      <c r="BV70" s="847">
        <f t="shared" ca="1" si="104"/>
        <v>0</v>
      </c>
      <c r="BW70" s="847">
        <f t="shared" ca="1" si="104"/>
        <v>0</v>
      </c>
      <c r="BX70" s="543"/>
    </row>
    <row r="71" spans="1:76" s="66" customFormat="1" ht="15" customHeight="1" collapsed="1" x14ac:dyDescent="0.35">
      <c r="A71" s="165" t="s">
        <v>613</v>
      </c>
      <c r="B71" s="170"/>
      <c r="C71" s="544">
        <f t="shared" ref="C71:AH71" ca="1" si="105">SUM(C69:C70)</f>
        <v>-17.214000000000002</v>
      </c>
      <c r="D71" s="544">
        <f t="shared" ca="1" si="105"/>
        <v>49.266000000000005</v>
      </c>
      <c r="E71" s="544">
        <f t="shared" ca="1" si="105"/>
        <v>27.163999999999994</v>
      </c>
      <c r="F71" s="544">
        <f t="shared" ca="1" si="105"/>
        <v>36.076999999999998</v>
      </c>
      <c r="G71" s="544">
        <f t="shared" ca="1" si="105"/>
        <v>-3.9130000000000233</v>
      </c>
      <c r="H71" s="544">
        <f t="shared" ca="1" si="105"/>
        <v>24.465000000000003</v>
      </c>
      <c r="I71" s="544">
        <f t="shared" ca="1" si="105"/>
        <v>60.953999999999994</v>
      </c>
      <c r="J71" s="544">
        <f t="shared" ca="1" si="105"/>
        <v>41.366999999999997</v>
      </c>
      <c r="K71" s="544">
        <f t="shared" ca="1" si="105"/>
        <v>-27.410000000000004</v>
      </c>
      <c r="L71" s="544">
        <f t="shared" ca="1" si="105"/>
        <v>34.419000000000011</v>
      </c>
      <c r="M71" s="544">
        <f t="shared" ca="1" si="105"/>
        <v>38.730000000000004</v>
      </c>
      <c r="N71" s="544">
        <f t="shared" ca="1" si="105"/>
        <v>74.346000000000018</v>
      </c>
      <c r="O71" s="544">
        <f t="shared" ca="1" si="105"/>
        <v>-23.940999999999999</v>
      </c>
      <c r="P71" s="544">
        <f t="shared" ca="1" si="105"/>
        <v>36.89</v>
      </c>
      <c r="Q71" s="544">
        <f t="shared" ca="1" si="105"/>
        <v>48.172999999999995</v>
      </c>
      <c r="R71" s="544">
        <f t="shared" ca="1" si="105"/>
        <v>60.655999999999977</v>
      </c>
      <c r="S71" s="544">
        <f t="shared" ca="1" si="105"/>
        <v>-59.929999999999993</v>
      </c>
      <c r="T71" s="544">
        <f t="shared" ca="1" si="105"/>
        <v>70.180999999999983</v>
      </c>
      <c r="U71" s="544">
        <f t="shared" ca="1" si="105"/>
        <v>27.123999999999995</v>
      </c>
      <c r="V71" s="544">
        <f t="shared" ca="1" si="105"/>
        <v>51.352999999999987</v>
      </c>
      <c r="W71" s="544">
        <f t="shared" ca="1" si="105"/>
        <v>-60.222000000000016</v>
      </c>
      <c r="X71" s="544">
        <f t="shared" ca="1" si="105"/>
        <v>57.484999999999999</v>
      </c>
      <c r="Y71" s="544">
        <f t="shared" ca="1" si="105"/>
        <v>56.147999999999996</v>
      </c>
      <c r="Z71" s="544">
        <f t="shared" ca="1" si="105"/>
        <v>50.216000000000008</v>
      </c>
      <c r="AA71" s="544">
        <f t="shared" ca="1" si="105"/>
        <v>-49.091999999999992</v>
      </c>
      <c r="AB71" s="544">
        <f t="shared" ca="1" si="105"/>
        <v>73.977000000000004</v>
      </c>
      <c r="AC71" s="544">
        <f t="shared" ca="1" si="105"/>
        <v>48.411000000000001</v>
      </c>
      <c r="AD71" s="544">
        <f t="shared" ca="1" si="105"/>
        <v>68.31</v>
      </c>
      <c r="AE71" s="544">
        <f t="shared" ca="1" si="105"/>
        <v>-86.813999999999993</v>
      </c>
      <c r="AF71" s="544">
        <f t="shared" ca="1" si="105"/>
        <v>65.549000000000007</v>
      </c>
      <c r="AG71" s="544">
        <f t="shared" ca="1" si="105"/>
        <v>24.290000000000006</v>
      </c>
      <c r="AH71" s="544">
        <f t="shared" ca="1" si="105"/>
        <v>77.39</v>
      </c>
      <c r="AI71" s="544">
        <f t="shared" ref="AI71:BB71" ca="1" si="106">SUM(AI69:AI70)</f>
        <v>-114.533</v>
      </c>
      <c r="AJ71" s="544">
        <f t="shared" ca="1" si="106"/>
        <v>34.575999999999993</v>
      </c>
      <c r="AK71" s="544">
        <f t="shared" ca="1" si="106"/>
        <v>91.079000000000022</v>
      </c>
      <c r="AL71" s="544">
        <f t="shared" ca="1" si="106"/>
        <v>123.02799999999999</v>
      </c>
      <c r="AM71" s="544">
        <f t="shared" ca="1" si="106"/>
        <v>-131.51</v>
      </c>
      <c r="AN71" s="544">
        <f t="shared" ca="1" si="106"/>
        <v>119.84200000000001</v>
      </c>
      <c r="AO71" s="544">
        <f t="shared" ca="1" si="106"/>
        <v>93.070999999999984</v>
      </c>
      <c r="AP71" s="544">
        <f t="shared" ca="1" si="106"/>
        <v>125.48099999999999</v>
      </c>
      <c r="AQ71" s="544">
        <f t="shared" ca="1" si="106"/>
        <v>-143.14599999999999</v>
      </c>
      <c r="AR71" s="544">
        <f t="shared" ca="1" si="106"/>
        <v>164.32800000000003</v>
      </c>
      <c r="AS71" s="544">
        <f t="shared" ca="1" si="106"/>
        <v>85.038000000000011</v>
      </c>
      <c r="AT71" s="544">
        <f t="shared" ca="1" si="106"/>
        <v>96.93</v>
      </c>
      <c r="AU71" s="617">
        <f t="shared" ca="1" si="106"/>
        <v>-135.30500000000004</v>
      </c>
      <c r="AV71" s="544">
        <f t="shared" ca="1" si="106"/>
        <v>190.47642402342149</v>
      </c>
      <c r="AW71" s="544">
        <f t="shared" ca="1" si="106"/>
        <v>102.28034014514773</v>
      </c>
      <c r="AX71" s="544">
        <f t="shared" ca="1" si="106"/>
        <v>107.82136217601902</v>
      </c>
      <c r="AY71" s="544">
        <f t="shared" ca="1" si="106"/>
        <v>0</v>
      </c>
      <c r="AZ71" s="544">
        <f t="shared" ca="1" si="106"/>
        <v>-9.355000000000004</v>
      </c>
      <c r="BA71" s="544">
        <f t="shared" ca="1" si="106"/>
        <v>54.68</v>
      </c>
      <c r="BB71" s="544">
        <f t="shared" ca="1" si="106"/>
        <v>67.212999999999994</v>
      </c>
      <c r="BC71" s="544"/>
      <c r="BD71" s="853">
        <f t="shared" ref="BD71:BW71" ca="1" si="107">SUM(BD69:BD70)</f>
        <v>95.292999999999978</v>
      </c>
      <c r="BE71" s="853">
        <f t="shared" ca="1" si="107"/>
        <v>122.873</v>
      </c>
      <c r="BF71" s="853">
        <f t="shared" ca="1" si="107"/>
        <v>120.08500000000002</v>
      </c>
      <c r="BG71" s="853">
        <f t="shared" ca="1" si="107"/>
        <v>121.77799999999999</v>
      </c>
      <c r="BH71" s="853">
        <f t="shared" ca="1" si="107"/>
        <v>88.727999999999994</v>
      </c>
      <c r="BI71" s="853">
        <f t="shared" ca="1" si="107"/>
        <v>103.627</v>
      </c>
      <c r="BJ71" s="853">
        <f t="shared" ca="1" si="107"/>
        <v>141.60599999999999</v>
      </c>
      <c r="BK71" s="853">
        <f t="shared" ca="1" si="107"/>
        <v>80.414999999999992</v>
      </c>
      <c r="BL71" s="853">
        <f t="shared" ca="1" si="107"/>
        <v>134.15</v>
      </c>
      <c r="BM71" s="853">
        <f t="shared" ca="1" si="107"/>
        <v>206.88399999999996</v>
      </c>
      <c r="BN71" s="853">
        <f t="shared" ca="1" si="107"/>
        <v>203.15000000000003</v>
      </c>
      <c r="BO71" s="853">
        <f t="shared" ca="1" si="107"/>
        <v>265.27312634458838</v>
      </c>
      <c r="BP71" s="853" t="e">
        <f t="shared" si="107"/>
        <v>#REF!</v>
      </c>
      <c r="BQ71" s="853" t="e">
        <f t="shared" si="107"/>
        <v>#REF!</v>
      </c>
      <c r="BR71" s="854" t="e">
        <f t="shared" si="107"/>
        <v>#REF!</v>
      </c>
      <c r="BS71" s="853" t="e">
        <f t="shared" ca="1" si="107"/>
        <v>#REF!</v>
      </c>
      <c r="BT71" s="853">
        <f t="shared" ca="1" si="107"/>
        <v>0</v>
      </c>
      <c r="BU71" s="853">
        <f t="shared" ca="1" si="107"/>
        <v>0</v>
      </c>
      <c r="BV71" s="853">
        <f t="shared" ca="1" si="107"/>
        <v>0</v>
      </c>
      <c r="BW71" s="853">
        <f t="shared" ca="1" si="107"/>
        <v>0</v>
      </c>
      <c r="BX71" s="543"/>
    </row>
    <row r="72" spans="1:76" s="458" customFormat="1" ht="15" customHeight="1" x14ac:dyDescent="0.35">
      <c r="A72" s="477" t="str">
        <f>INDEX(MO_CFSum_Capex,0,COLUMN())</f>
        <v>Capex</v>
      </c>
      <c r="B72" s="276"/>
      <c r="C72" s="615">
        <f t="shared" ref="C72:AH72" si="108">INDEX(MO_CFSum_Capex,0,COLUMN())</f>
        <v>-15.244</v>
      </c>
      <c r="D72" s="615">
        <f t="shared" si="108"/>
        <v>-10.541</v>
      </c>
      <c r="E72" s="615">
        <f t="shared" si="108"/>
        <v>-10.944000000000001</v>
      </c>
      <c r="F72" s="615">
        <f t="shared" si="108"/>
        <v>-13.616000000000001</v>
      </c>
      <c r="G72" s="615">
        <f t="shared" si="108"/>
        <v>-12.602</v>
      </c>
      <c r="H72" s="615">
        <f t="shared" si="108"/>
        <v>-11.007999999999999</v>
      </c>
      <c r="I72" s="615">
        <f t="shared" si="108"/>
        <v>-12.523000000000003</v>
      </c>
      <c r="J72" s="615">
        <f t="shared" si="108"/>
        <v>-13.236000000000001</v>
      </c>
      <c r="K72" s="615">
        <f t="shared" si="108"/>
        <v>-18.594000000000001</v>
      </c>
      <c r="L72" s="615">
        <f t="shared" si="108"/>
        <v>-12.452999999999999</v>
      </c>
      <c r="M72" s="615">
        <f t="shared" si="108"/>
        <v>-14.233000000000001</v>
      </c>
      <c r="N72" s="615">
        <f t="shared" si="108"/>
        <v>-16.46</v>
      </c>
      <c r="O72" s="615">
        <f t="shared" si="108"/>
        <v>-14.191000000000001</v>
      </c>
      <c r="P72" s="615">
        <f t="shared" si="108"/>
        <v>-11.625</v>
      </c>
      <c r="Q72" s="615">
        <f t="shared" si="108"/>
        <v>-15.169</v>
      </c>
      <c r="R72" s="615">
        <f t="shared" si="108"/>
        <v>-21.914999999999999</v>
      </c>
      <c r="S72" s="615">
        <f t="shared" si="108"/>
        <v>-14.028</v>
      </c>
      <c r="T72" s="615">
        <f t="shared" si="108"/>
        <v>-9.8349999999999991</v>
      </c>
      <c r="U72" s="615">
        <f t="shared" si="108"/>
        <v>-9.2999999999999989</v>
      </c>
      <c r="V72" s="615">
        <f t="shared" si="108"/>
        <v>-15.061000000000002</v>
      </c>
      <c r="W72" s="615">
        <f t="shared" si="108"/>
        <v>-15.522</v>
      </c>
      <c r="X72" s="615">
        <f t="shared" si="108"/>
        <v>-8.2469999999999999</v>
      </c>
      <c r="Y72" s="615">
        <f t="shared" si="108"/>
        <v>-9.4329999999999998</v>
      </c>
      <c r="Z72" s="615">
        <f t="shared" si="108"/>
        <v>-10.001000000000001</v>
      </c>
      <c r="AA72" s="615">
        <f t="shared" si="108"/>
        <v>-17.739999999999998</v>
      </c>
      <c r="AB72" s="615">
        <f t="shared" si="108"/>
        <v>-9.5360000000000014</v>
      </c>
      <c r="AC72" s="615">
        <f t="shared" si="108"/>
        <v>-9.4469999999999992</v>
      </c>
      <c r="AD72" s="615">
        <f t="shared" si="108"/>
        <v>-11.683000000000003</v>
      </c>
      <c r="AE72" s="615">
        <f t="shared" si="108"/>
        <v>-16.97</v>
      </c>
      <c r="AF72" s="615">
        <f t="shared" si="108"/>
        <v>-9.3369999999999997</v>
      </c>
      <c r="AG72" s="615">
        <f t="shared" si="108"/>
        <v>-9.4740000000000002</v>
      </c>
      <c r="AH72" s="615">
        <f t="shared" si="108"/>
        <v>-9.2160000000000011</v>
      </c>
      <c r="AI72" s="615">
        <f t="shared" ref="AI72:BB72" si="109">INDEX(MO_CFSum_Capex,0,COLUMN())</f>
        <v>-12.798000000000002</v>
      </c>
      <c r="AJ72" s="615">
        <f t="shared" si="109"/>
        <v>-10.756</v>
      </c>
      <c r="AK72" s="615">
        <f t="shared" si="109"/>
        <v>-11.344000000000001</v>
      </c>
      <c r="AL72" s="615">
        <f t="shared" si="109"/>
        <v>-17.364999999999995</v>
      </c>
      <c r="AM72" s="615">
        <f t="shared" si="109"/>
        <v>-15.344000000000001</v>
      </c>
      <c r="AN72" s="615">
        <f t="shared" si="109"/>
        <v>-14.151999999999997</v>
      </c>
      <c r="AO72" s="615">
        <f t="shared" si="109"/>
        <v>-18.436</v>
      </c>
      <c r="AP72" s="615">
        <f t="shared" si="109"/>
        <v>-19.694000000000003</v>
      </c>
      <c r="AQ72" s="615">
        <f t="shared" si="109"/>
        <v>-16.850999999999999</v>
      </c>
      <c r="AR72" s="615">
        <f t="shared" si="109"/>
        <v>-16.898000000000003</v>
      </c>
      <c r="AS72" s="615">
        <f t="shared" si="109"/>
        <v>-15.201999999999998</v>
      </c>
      <c r="AT72" s="615">
        <f t="shared" si="109"/>
        <v>-17.597000000000001</v>
      </c>
      <c r="AU72" s="616">
        <f t="shared" si="109"/>
        <v>-16.149000000000001</v>
      </c>
      <c r="AV72" s="615">
        <f t="shared" si="109"/>
        <v>-16.5</v>
      </c>
      <c r="AW72" s="615">
        <f t="shared" si="109"/>
        <v>-18.3</v>
      </c>
      <c r="AX72" s="615">
        <f t="shared" si="109"/>
        <v>-19</v>
      </c>
      <c r="AY72" s="615">
        <f t="shared" si="109"/>
        <v>0</v>
      </c>
      <c r="AZ72" s="615">
        <f t="shared" si="109"/>
        <v>-27.869999999999997</v>
      </c>
      <c r="BA72" s="615">
        <f t="shared" si="109"/>
        <v>-24.260999999999999</v>
      </c>
      <c r="BB72" s="615">
        <f t="shared" si="109"/>
        <v>-47.649000000000001</v>
      </c>
      <c r="BC72" s="615"/>
      <c r="BD72" s="847">
        <f t="shared" ref="BD72:BW72" si="110">INDEX(MO_CFSum_Capex,0,COLUMN())</f>
        <v>-50.344999999999999</v>
      </c>
      <c r="BE72" s="847">
        <f t="shared" si="110"/>
        <v>-49.369</v>
      </c>
      <c r="BF72" s="847">
        <f t="shared" si="110"/>
        <v>-61.740000000000009</v>
      </c>
      <c r="BG72" s="847">
        <f t="shared" si="110"/>
        <v>-62.900000000000006</v>
      </c>
      <c r="BH72" s="847">
        <f t="shared" si="110"/>
        <v>-48.224000000000004</v>
      </c>
      <c r="BI72" s="847">
        <f t="shared" si="110"/>
        <v>-43.203000000000003</v>
      </c>
      <c r="BJ72" s="847">
        <f t="shared" si="110"/>
        <v>-48.406000000000006</v>
      </c>
      <c r="BK72" s="847">
        <f t="shared" si="110"/>
        <v>-44.997</v>
      </c>
      <c r="BL72" s="847">
        <f t="shared" si="110"/>
        <v>-52.263000000000005</v>
      </c>
      <c r="BM72" s="847">
        <f t="shared" si="110"/>
        <v>-67.626000000000005</v>
      </c>
      <c r="BN72" s="847">
        <f t="shared" si="110"/>
        <v>-66.548000000000002</v>
      </c>
      <c r="BO72" s="847">
        <f t="shared" si="110"/>
        <v>-69.949000000000012</v>
      </c>
      <c r="BP72" s="847" t="e">
        <f t="shared" si="110"/>
        <v>#REF!</v>
      </c>
      <c r="BQ72" s="847">
        <f t="shared" si="110"/>
        <v>-72</v>
      </c>
      <c r="BR72" s="848">
        <f t="shared" si="110"/>
        <v>-72</v>
      </c>
      <c r="BS72" s="847">
        <f t="shared" si="110"/>
        <v>-72</v>
      </c>
      <c r="BT72" s="847">
        <f t="shared" si="110"/>
        <v>0</v>
      </c>
      <c r="BU72" s="847">
        <f t="shared" si="110"/>
        <v>0</v>
      </c>
      <c r="BV72" s="847">
        <f t="shared" si="110"/>
        <v>0</v>
      </c>
      <c r="BW72" s="847">
        <f t="shared" si="110"/>
        <v>0</v>
      </c>
      <c r="BX72" s="543"/>
    </row>
    <row r="73" spans="1:76" s="66" customFormat="1" ht="15" customHeight="1" x14ac:dyDescent="0.35">
      <c r="A73" s="168" t="s">
        <v>312</v>
      </c>
      <c r="B73" s="169"/>
      <c r="C73" s="612">
        <f t="shared" ref="C73:AH73" ca="1" si="111">SUM(C71:C72)</f>
        <v>-32.457999999999998</v>
      </c>
      <c r="D73" s="612">
        <f t="shared" ca="1" si="111"/>
        <v>38.725000000000009</v>
      </c>
      <c r="E73" s="612">
        <f t="shared" ca="1" si="111"/>
        <v>16.219999999999992</v>
      </c>
      <c r="F73" s="612">
        <f t="shared" ca="1" si="111"/>
        <v>22.460999999999999</v>
      </c>
      <c r="G73" s="612">
        <f t="shared" ca="1" si="111"/>
        <v>-16.515000000000022</v>
      </c>
      <c r="H73" s="612">
        <f t="shared" ca="1" si="111"/>
        <v>13.457000000000004</v>
      </c>
      <c r="I73" s="612">
        <f t="shared" ca="1" si="111"/>
        <v>48.43099999999999</v>
      </c>
      <c r="J73" s="612">
        <f t="shared" ca="1" si="111"/>
        <v>28.130999999999997</v>
      </c>
      <c r="K73" s="612">
        <f t="shared" ca="1" si="111"/>
        <v>-46.004000000000005</v>
      </c>
      <c r="L73" s="612">
        <f t="shared" ca="1" si="111"/>
        <v>21.966000000000012</v>
      </c>
      <c r="M73" s="612">
        <f t="shared" ca="1" si="111"/>
        <v>24.497000000000003</v>
      </c>
      <c r="N73" s="612">
        <f t="shared" ca="1" si="111"/>
        <v>57.886000000000017</v>
      </c>
      <c r="O73" s="612">
        <f t="shared" ca="1" si="111"/>
        <v>-38.131999999999998</v>
      </c>
      <c r="P73" s="612">
        <f t="shared" ca="1" si="111"/>
        <v>25.265000000000001</v>
      </c>
      <c r="Q73" s="612">
        <f t="shared" ca="1" si="111"/>
        <v>33.003999999999991</v>
      </c>
      <c r="R73" s="612">
        <f t="shared" ca="1" si="111"/>
        <v>38.740999999999978</v>
      </c>
      <c r="S73" s="612">
        <f t="shared" ca="1" si="111"/>
        <v>-73.957999999999998</v>
      </c>
      <c r="T73" s="612">
        <f t="shared" ca="1" si="111"/>
        <v>60.345999999999982</v>
      </c>
      <c r="U73" s="612">
        <f t="shared" ca="1" si="111"/>
        <v>17.823999999999998</v>
      </c>
      <c r="V73" s="612">
        <f t="shared" ca="1" si="111"/>
        <v>36.291999999999987</v>
      </c>
      <c r="W73" s="612">
        <f t="shared" ca="1" si="111"/>
        <v>-75.744000000000014</v>
      </c>
      <c r="X73" s="612">
        <f t="shared" ca="1" si="111"/>
        <v>49.238</v>
      </c>
      <c r="Y73" s="612">
        <f t="shared" ca="1" si="111"/>
        <v>46.714999999999996</v>
      </c>
      <c r="Z73" s="612">
        <f t="shared" ca="1" si="111"/>
        <v>40.215000000000003</v>
      </c>
      <c r="AA73" s="612">
        <f t="shared" ca="1" si="111"/>
        <v>-66.831999999999994</v>
      </c>
      <c r="AB73" s="612">
        <f t="shared" ca="1" si="111"/>
        <v>64.441000000000003</v>
      </c>
      <c r="AC73" s="612">
        <f t="shared" ca="1" si="111"/>
        <v>38.963999999999999</v>
      </c>
      <c r="AD73" s="612">
        <f t="shared" ca="1" si="111"/>
        <v>56.626999999999995</v>
      </c>
      <c r="AE73" s="612">
        <f t="shared" ca="1" si="111"/>
        <v>-103.78399999999999</v>
      </c>
      <c r="AF73" s="612">
        <f t="shared" ca="1" si="111"/>
        <v>56.212000000000003</v>
      </c>
      <c r="AG73" s="612">
        <f t="shared" ca="1" si="111"/>
        <v>14.816000000000006</v>
      </c>
      <c r="AH73" s="612">
        <f t="shared" ca="1" si="111"/>
        <v>68.174000000000007</v>
      </c>
      <c r="AI73" s="612">
        <f t="shared" ref="AI73:BB73" ca="1" si="112">SUM(AI71:AI72)</f>
        <v>-127.331</v>
      </c>
      <c r="AJ73" s="612">
        <f t="shared" ca="1" si="112"/>
        <v>23.819999999999993</v>
      </c>
      <c r="AK73" s="612">
        <f t="shared" ca="1" si="112"/>
        <v>79.735000000000014</v>
      </c>
      <c r="AL73" s="612">
        <f t="shared" ca="1" si="112"/>
        <v>105.663</v>
      </c>
      <c r="AM73" s="612">
        <f t="shared" ca="1" si="112"/>
        <v>-146.85399999999998</v>
      </c>
      <c r="AN73" s="612">
        <f t="shared" ca="1" si="112"/>
        <v>105.69000000000001</v>
      </c>
      <c r="AO73" s="612">
        <f t="shared" ca="1" si="112"/>
        <v>74.634999999999991</v>
      </c>
      <c r="AP73" s="612">
        <f t="shared" ca="1" si="112"/>
        <v>105.78699999999999</v>
      </c>
      <c r="AQ73" s="612">
        <f t="shared" ca="1" si="112"/>
        <v>-159.99699999999999</v>
      </c>
      <c r="AR73" s="612">
        <f t="shared" ca="1" si="112"/>
        <v>147.43000000000004</v>
      </c>
      <c r="AS73" s="612">
        <f t="shared" ca="1" si="112"/>
        <v>69.836000000000013</v>
      </c>
      <c r="AT73" s="612">
        <f t="shared" ca="1" si="112"/>
        <v>79.332999999999998</v>
      </c>
      <c r="AU73" s="613">
        <f t="shared" ca="1" si="112"/>
        <v>-151.45400000000004</v>
      </c>
      <c r="AV73" s="612">
        <f t="shared" ca="1" si="112"/>
        <v>173.97642402342149</v>
      </c>
      <c r="AW73" s="612">
        <f t="shared" ca="1" si="112"/>
        <v>83.980340145147736</v>
      </c>
      <c r="AX73" s="612">
        <f t="shared" ca="1" si="112"/>
        <v>88.821362176019022</v>
      </c>
      <c r="AY73" s="612">
        <f t="shared" ca="1" si="112"/>
        <v>0</v>
      </c>
      <c r="AZ73" s="612">
        <f t="shared" ca="1" si="112"/>
        <v>-37.225000000000001</v>
      </c>
      <c r="BA73" s="612">
        <f t="shared" ca="1" si="112"/>
        <v>30.419</v>
      </c>
      <c r="BB73" s="612">
        <f t="shared" ca="1" si="112"/>
        <v>19.563999999999993</v>
      </c>
      <c r="BC73" s="612"/>
      <c r="BD73" s="849">
        <f t="shared" ref="BD73:BW73" ca="1" si="113">SUM(BD71:BD72)</f>
        <v>44.947999999999979</v>
      </c>
      <c r="BE73" s="849">
        <f t="shared" ca="1" si="113"/>
        <v>73.504000000000005</v>
      </c>
      <c r="BF73" s="849">
        <f t="shared" ca="1" si="113"/>
        <v>58.345000000000013</v>
      </c>
      <c r="BG73" s="849">
        <f t="shared" ca="1" si="113"/>
        <v>58.877999999999986</v>
      </c>
      <c r="BH73" s="849">
        <f t="shared" ca="1" si="113"/>
        <v>40.503999999999991</v>
      </c>
      <c r="BI73" s="849">
        <f t="shared" ca="1" si="113"/>
        <v>60.423999999999992</v>
      </c>
      <c r="BJ73" s="849">
        <f t="shared" ca="1" si="113"/>
        <v>93.199999999999989</v>
      </c>
      <c r="BK73" s="849">
        <f t="shared" ca="1" si="113"/>
        <v>35.417999999999992</v>
      </c>
      <c r="BL73" s="849">
        <f t="shared" ca="1" si="113"/>
        <v>81.887</v>
      </c>
      <c r="BM73" s="849">
        <f t="shared" ca="1" si="113"/>
        <v>139.25799999999995</v>
      </c>
      <c r="BN73" s="849">
        <f t="shared" ca="1" si="113"/>
        <v>136.60200000000003</v>
      </c>
      <c r="BO73" s="849">
        <f t="shared" ca="1" si="113"/>
        <v>195.32412634458836</v>
      </c>
      <c r="BP73" s="849" t="e">
        <f t="shared" si="113"/>
        <v>#REF!</v>
      </c>
      <c r="BQ73" s="849" t="e">
        <f t="shared" si="113"/>
        <v>#REF!</v>
      </c>
      <c r="BR73" s="850" t="e">
        <f t="shared" si="113"/>
        <v>#REF!</v>
      </c>
      <c r="BS73" s="849" t="e">
        <f t="shared" ca="1" si="113"/>
        <v>#REF!</v>
      </c>
      <c r="BT73" s="849">
        <f t="shared" ca="1" si="113"/>
        <v>0</v>
      </c>
      <c r="BU73" s="849">
        <f t="shared" ca="1" si="113"/>
        <v>0</v>
      </c>
      <c r="BV73" s="849">
        <f t="shared" ca="1" si="113"/>
        <v>0</v>
      </c>
      <c r="BW73" s="849">
        <f t="shared" ca="1" si="113"/>
        <v>0</v>
      </c>
      <c r="BX73" s="544"/>
    </row>
    <row r="74" spans="1:76" s="458" customFormat="1" ht="15" customHeight="1" x14ac:dyDescent="0.35">
      <c r="A74" s="477" t="str">
        <f>INDEX(MO_CFSum_Dividend,0,COLUMN())</f>
        <v>Dividend Paid</v>
      </c>
      <c r="B74" s="276"/>
      <c r="C74" s="615">
        <f t="shared" ref="C74:AH74" si="114">INDEX(MO_CFSum_Dividend,0,COLUMN())</f>
        <v>0</v>
      </c>
      <c r="D74" s="615">
        <f t="shared" si="114"/>
        <v>0</v>
      </c>
      <c r="E74" s="615">
        <f t="shared" si="114"/>
        <v>0</v>
      </c>
      <c r="F74" s="615">
        <f t="shared" si="114"/>
        <v>0</v>
      </c>
      <c r="G74" s="615">
        <f t="shared" si="114"/>
        <v>0</v>
      </c>
      <c r="H74" s="615">
        <f t="shared" si="114"/>
        <v>0</v>
      </c>
      <c r="I74" s="615">
        <f t="shared" si="114"/>
        <v>0</v>
      </c>
      <c r="J74" s="615">
        <f t="shared" si="114"/>
        <v>0</v>
      </c>
      <c r="K74" s="615">
        <f t="shared" si="114"/>
        <v>0</v>
      </c>
      <c r="L74" s="615">
        <f t="shared" si="114"/>
        <v>0</v>
      </c>
      <c r="M74" s="615">
        <f t="shared" si="114"/>
        <v>0</v>
      </c>
      <c r="N74" s="615">
        <f t="shared" si="114"/>
        <v>0</v>
      </c>
      <c r="O74" s="615">
        <f t="shared" si="114"/>
        <v>0</v>
      </c>
      <c r="P74" s="615">
        <f t="shared" si="114"/>
        <v>0</v>
      </c>
      <c r="Q74" s="615">
        <f t="shared" si="114"/>
        <v>0</v>
      </c>
      <c r="R74" s="615">
        <f t="shared" si="114"/>
        <v>0</v>
      </c>
      <c r="S74" s="615">
        <f t="shared" si="114"/>
        <v>0</v>
      </c>
      <c r="T74" s="615">
        <f t="shared" si="114"/>
        <v>0</v>
      </c>
      <c r="U74" s="615">
        <f t="shared" si="114"/>
        <v>0</v>
      </c>
      <c r="V74" s="615">
        <f t="shared" si="114"/>
        <v>0</v>
      </c>
      <c r="W74" s="615">
        <f t="shared" si="114"/>
        <v>0</v>
      </c>
      <c r="X74" s="615">
        <f t="shared" si="114"/>
        <v>0</v>
      </c>
      <c r="Y74" s="615">
        <f t="shared" si="114"/>
        <v>0</v>
      </c>
      <c r="Z74" s="615">
        <f t="shared" si="114"/>
        <v>0</v>
      </c>
      <c r="AA74" s="615">
        <f t="shared" si="114"/>
        <v>0</v>
      </c>
      <c r="AB74" s="615">
        <f t="shared" si="114"/>
        <v>0</v>
      </c>
      <c r="AC74" s="615">
        <f t="shared" si="114"/>
        <v>0</v>
      </c>
      <c r="AD74" s="615">
        <f t="shared" si="114"/>
        <v>0</v>
      </c>
      <c r="AE74" s="615">
        <f t="shared" si="114"/>
        <v>0</v>
      </c>
      <c r="AF74" s="615">
        <f t="shared" si="114"/>
        <v>0</v>
      </c>
      <c r="AG74" s="615">
        <f t="shared" si="114"/>
        <v>0</v>
      </c>
      <c r="AH74" s="615">
        <f t="shared" si="114"/>
        <v>0</v>
      </c>
      <c r="AI74" s="615">
        <f t="shared" ref="AI74:BB74" si="115">INDEX(MO_CFSum_Dividend,0,COLUMN())</f>
        <v>0</v>
      </c>
      <c r="AJ74" s="615">
        <f t="shared" si="115"/>
        <v>0</v>
      </c>
      <c r="AK74" s="615">
        <f t="shared" si="115"/>
        <v>0</v>
      </c>
      <c r="AL74" s="615">
        <f t="shared" si="115"/>
        <v>0</v>
      </c>
      <c r="AM74" s="615">
        <f t="shared" si="115"/>
        <v>0</v>
      </c>
      <c r="AN74" s="615">
        <f t="shared" si="115"/>
        <v>0</v>
      </c>
      <c r="AO74" s="615">
        <f t="shared" si="115"/>
        <v>0</v>
      </c>
      <c r="AP74" s="615">
        <f t="shared" si="115"/>
        <v>0</v>
      </c>
      <c r="AQ74" s="615">
        <f t="shared" si="115"/>
        <v>0</v>
      </c>
      <c r="AR74" s="615">
        <f t="shared" si="115"/>
        <v>0</v>
      </c>
      <c r="AS74" s="615">
        <f t="shared" si="115"/>
        <v>0</v>
      </c>
      <c r="AT74" s="615">
        <f t="shared" si="115"/>
        <v>0</v>
      </c>
      <c r="AU74" s="616">
        <f t="shared" si="115"/>
        <v>0</v>
      </c>
      <c r="AV74" s="615">
        <f t="shared" ca="1" si="115"/>
        <v>0</v>
      </c>
      <c r="AW74" s="615">
        <f t="shared" ca="1" si="115"/>
        <v>0</v>
      </c>
      <c r="AX74" s="615">
        <f t="shared" ca="1" si="115"/>
        <v>0</v>
      </c>
      <c r="AY74" s="615">
        <f t="shared" si="115"/>
        <v>0</v>
      </c>
      <c r="AZ74" s="615">
        <f t="shared" si="115"/>
        <v>0</v>
      </c>
      <c r="BA74" s="615">
        <f t="shared" si="115"/>
        <v>0</v>
      </c>
      <c r="BB74" s="615">
        <f t="shared" si="115"/>
        <v>0</v>
      </c>
      <c r="BC74" s="615"/>
      <c r="BD74" s="847">
        <f t="shared" ref="BD74:BW74" si="116">INDEX(MO_CFSum_Dividend,0,COLUMN())</f>
        <v>0</v>
      </c>
      <c r="BE74" s="847">
        <f t="shared" si="116"/>
        <v>0</v>
      </c>
      <c r="BF74" s="847">
        <f t="shared" si="116"/>
        <v>0</v>
      </c>
      <c r="BG74" s="847">
        <f t="shared" si="116"/>
        <v>0</v>
      </c>
      <c r="BH74" s="847">
        <f t="shared" si="116"/>
        <v>0</v>
      </c>
      <c r="BI74" s="847">
        <f t="shared" si="116"/>
        <v>0</v>
      </c>
      <c r="BJ74" s="847">
        <f t="shared" si="116"/>
        <v>0</v>
      </c>
      <c r="BK74" s="847">
        <f t="shared" si="116"/>
        <v>0</v>
      </c>
      <c r="BL74" s="847">
        <f t="shared" si="116"/>
        <v>0</v>
      </c>
      <c r="BM74" s="847">
        <f t="shared" si="116"/>
        <v>0</v>
      </c>
      <c r="BN74" s="847">
        <f t="shared" si="116"/>
        <v>0</v>
      </c>
      <c r="BO74" s="847">
        <f t="shared" ca="1" si="116"/>
        <v>0</v>
      </c>
      <c r="BP74" s="847" t="e">
        <f t="shared" si="116"/>
        <v>#REF!</v>
      </c>
      <c r="BQ74" s="847" t="e">
        <f t="shared" si="116"/>
        <v>#REF!</v>
      </c>
      <c r="BR74" s="848" t="e">
        <f t="shared" ca="1" si="116"/>
        <v>#REF!</v>
      </c>
      <c r="BS74" s="847" t="e">
        <f t="shared" ca="1" si="116"/>
        <v>#REF!</v>
      </c>
      <c r="BT74" s="847">
        <f t="shared" si="116"/>
        <v>0</v>
      </c>
      <c r="BU74" s="847">
        <f t="shared" si="116"/>
        <v>0</v>
      </c>
      <c r="BV74" s="847">
        <f t="shared" si="116"/>
        <v>0</v>
      </c>
      <c r="BW74" s="847">
        <f t="shared" si="116"/>
        <v>0</v>
      </c>
      <c r="BX74" s="543"/>
    </row>
    <row r="75" spans="1:76" s="66" customFormat="1" ht="15" customHeight="1" x14ac:dyDescent="0.35">
      <c r="A75" s="168" t="s">
        <v>313</v>
      </c>
      <c r="B75" s="169"/>
      <c r="C75" s="612">
        <f t="shared" ref="C75:AH75" ca="1" si="117">SUM(C73:C74)</f>
        <v>-32.457999999999998</v>
      </c>
      <c r="D75" s="612">
        <f t="shared" ca="1" si="117"/>
        <v>38.725000000000009</v>
      </c>
      <c r="E75" s="612">
        <f t="shared" ca="1" si="117"/>
        <v>16.219999999999992</v>
      </c>
      <c r="F75" s="612">
        <f t="shared" ca="1" si="117"/>
        <v>22.460999999999999</v>
      </c>
      <c r="G75" s="612">
        <f t="shared" ca="1" si="117"/>
        <v>-16.515000000000022</v>
      </c>
      <c r="H75" s="612">
        <f t="shared" ca="1" si="117"/>
        <v>13.457000000000004</v>
      </c>
      <c r="I75" s="612">
        <f t="shared" ca="1" si="117"/>
        <v>48.43099999999999</v>
      </c>
      <c r="J75" s="612">
        <f t="shared" ca="1" si="117"/>
        <v>28.130999999999997</v>
      </c>
      <c r="K75" s="612">
        <f t="shared" ca="1" si="117"/>
        <v>-46.004000000000005</v>
      </c>
      <c r="L75" s="612">
        <f t="shared" ca="1" si="117"/>
        <v>21.966000000000012</v>
      </c>
      <c r="M75" s="612">
        <f t="shared" ca="1" si="117"/>
        <v>24.497000000000003</v>
      </c>
      <c r="N75" s="612">
        <f t="shared" ca="1" si="117"/>
        <v>57.886000000000017</v>
      </c>
      <c r="O75" s="612">
        <f t="shared" ca="1" si="117"/>
        <v>-38.131999999999998</v>
      </c>
      <c r="P75" s="612">
        <f t="shared" ca="1" si="117"/>
        <v>25.265000000000001</v>
      </c>
      <c r="Q75" s="612">
        <f t="shared" ca="1" si="117"/>
        <v>33.003999999999991</v>
      </c>
      <c r="R75" s="612">
        <f t="shared" ca="1" si="117"/>
        <v>38.740999999999978</v>
      </c>
      <c r="S75" s="612">
        <f t="shared" ca="1" si="117"/>
        <v>-73.957999999999998</v>
      </c>
      <c r="T75" s="612">
        <f t="shared" ca="1" si="117"/>
        <v>60.345999999999982</v>
      </c>
      <c r="U75" s="612">
        <f t="shared" ca="1" si="117"/>
        <v>17.823999999999998</v>
      </c>
      <c r="V75" s="612">
        <f t="shared" ca="1" si="117"/>
        <v>36.291999999999987</v>
      </c>
      <c r="W75" s="612">
        <f t="shared" ca="1" si="117"/>
        <v>-75.744000000000014</v>
      </c>
      <c r="X75" s="612">
        <f t="shared" ca="1" si="117"/>
        <v>49.238</v>
      </c>
      <c r="Y75" s="612">
        <f t="shared" ca="1" si="117"/>
        <v>46.714999999999996</v>
      </c>
      <c r="Z75" s="612">
        <f t="shared" ca="1" si="117"/>
        <v>40.215000000000003</v>
      </c>
      <c r="AA75" s="612">
        <f t="shared" ca="1" si="117"/>
        <v>-66.831999999999994</v>
      </c>
      <c r="AB75" s="612">
        <f t="shared" ca="1" si="117"/>
        <v>64.441000000000003</v>
      </c>
      <c r="AC75" s="612">
        <f t="shared" ca="1" si="117"/>
        <v>38.963999999999999</v>
      </c>
      <c r="AD75" s="612">
        <f t="shared" ca="1" si="117"/>
        <v>56.626999999999995</v>
      </c>
      <c r="AE75" s="612">
        <f t="shared" ca="1" si="117"/>
        <v>-103.78399999999999</v>
      </c>
      <c r="AF75" s="612">
        <f t="shared" ca="1" si="117"/>
        <v>56.212000000000003</v>
      </c>
      <c r="AG75" s="612">
        <f t="shared" ca="1" si="117"/>
        <v>14.816000000000006</v>
      </c>
      <c r="AH75" s="612">
        <f t="shared" ca="1" si="117"/>
        <v>68.174000000000007</v>
      </c>
      <c r="AI75" s="612">
        <f t="shared" ref="AI75:BB75" ca="1" si="118">SUM(AI73:AI74)</f>
        <v>-127.331</v>
      </c>
      <c r="AJ75" s="612">
        <f t="shared" ca="1" si="118"/>
        <v>23.819999999999993</v>
      </c>
      <c r="AK75" s="612">
        <f t="shared" ca="1" si="118"/>
        <v>79.735000000000014</v>
      </c>
      <c r="AL75" s="612">
        <f t="shared" ca="1" si="118"/>
        <v>105.663</v>
      </c>
      <c r="AM75" s="612">
        <f t="shared" ca="1" si="118"/>
        <v>-146.85399999999998</v>
      </c>
      <c r="AN75" s="612">
        <f t="shared" ca="1" si="118"/>
        <v>105.69000000000001</v>
      </c>
      <c r="AO75" s="612">
        <f t="shared" ca="1" si="118"/>
        <v>74.634999999999991</v>
      </c>
      <c r="AP75" s="612">
        <f t="shared" ca="1" si="118"/>
        <v>105.78699999999999</v>
      </c>
      <c r="AQ75" s="612">
        <f t="shared" ca="1" si="118"/>
        <v>-159.99699999999999</v>
      </c>
      <c r="AR75" s="612">
        <f t="shared" ca="1" si="118"/>
        <v>147.43000000000004</v>
      </c>
      <c r="AS75" s="612">
        <f t="shared" ca="1" si="118"/>
        <v>69.836000000000013</v>
      </c>
      <c r="AT75" s="612">
        <f t="shared" ca="1" si="118"/>
        <v>79.332999999999998</v>
      </c>
      <c r="AU75" s="613">
        <f t="shared" ca="1" si="118"/>
        <v>-151.45400000000004</v>
      </c>
      <c r="AV75" s="612">
        <f t="shared" ca="1" si="118"/>
        <v>173.97642402342149</v>
      </c>
      <c r="AW75" s="612">
        <f t="shared" ca="1" si="118"/>
        <v>83.980340145147736</v>
      </c>
      <c r="AX75" s="612">
        <f t="shared" ca="1" si="118"/>
        <v>88.821362176019022</v>
      </c>
      <c r="AY75" s="612">
        <f t="shared" ca="1" si="118"/>
        <v>0</v>
      </c>
      <c r="AZ75" s="612">
        <f t="shared" ca="1" si="118"/>
        <v>-37.225000000000001</v>
      </c>
      <c r="BA75" s="612">
        <f t="shared" ca="1" si="118"/>
        <v>30.419</v>
      </c>
      <c r="BB75" s="612">
        <f t="shared" ca="1" si="118"/>
        <v>19.563999999999993</v>
      </c>
      <c r="BC75" s="612"/>
      <c r="BD75" s="849">
        <f t="shared" ref="BD75:BW75" ca="1" si="119">SUM(BD73:BD74)</f>
        <v>44.947999999999979</v>
      </c>
      <c r="BE75" s="849">
        <f t="shared" ca="1" si="119"/>
        <v>73.504000000000005</v>
      </c>
      <c r="BF75" s="849">
        <f t="shared" ca="1" si="119"/>
        <v>58.345000000000013</v>
      </c>
      <c r="BG75" s="849">
        <f t="shared" ca="1" si="119"/>
        <v>58.877999999999986</v>
      </c>
      <c r="BH75" s="849">
        <f t="shared" ca="1" si="119"/>
        <v>40.503999999999991</v>
      </c>
      <c r="BI75" s="849">
        <f t="shared" ca="1" si="119"/>
        <v>60.423999999999992</v>
      </c>
      <c r="BJ75" s="849">
        <f t="shared" ca="1" si="119"/>
        <v>93.199999999999989</v>
      </c>
      <c r="BK75" s="849">
        <f t="shared" ca="1" si="119"/>
        <v>35.417999999999992</v>
      </c>
      <c r="BL75" s="849">
        <f t="shared" ca="1" si="119"/>
        <v>81.887</v>
      </c>
      <c r="BM75" s="849">
        <f t="shared" ca="1" si="119"/>
        <v>139.25799999999995</v>
      </c>
      <c r="BN75" s="849">
        <f t="shared" ca="1" si="119"/>
        <v>136.60200000000003</v>
      </c>
      <c r="BO75" s="849">
        <f t="shared" ca="1" si="119"/>
        <v>195.32412634458836</v>
      </c>
      <c r="BP75" s="849" t="e">
        <f t="shared" si="119"/>
        <v>#REF!</v>
      </c>
      <c r="BQ75" s="849" t="e">
        <f t="shared" si="119"/>
        <v>#REF!</v>
      </c>
      <c r="BR75" s="850" t="e">
        <f t="shared" si="119"/>
        <v>#REF!</v>
      </c>
      <c r="BS75" s="849" t="e">
        <f t="shared" ca="1" si="119"/>
        <v>#REF!</v>
      </c>
      <c r="BT75" s="849">
        <f t="shared" ca="1" si="119"/>
        <v>0</v>
      </c>
      <c r="BU75" s="849">
        <f t="shared" ca="1" si="119"/>
        <v>0</v>
      </c>
      <c r="BV75" s="849">
        <f t="shared" ca="1" si="119"/>
        <v>0</v>
      </c>
      <c r="BW75" s="849">
        <f t="shared" ca="1" si="119"/>
        <v>0</v>
      </c>
      <c r="BX75" s="544"/>
    </row>
    <row r="76" spans="1:76" s="458" customFormat="1" ht="15" customHeight="1" x14ac:dyDescent="0.35">
      <c r="A76" s="166" t="str">
        <f>INDEX(MO_CFSum_Acquisition,0,COLUMN())</f>
        <v>Acquisitions</v>
      </c>
      <c r="B76" s="167"/>
      <c r="C76" s="543">
        <f t="shared" ref="C76:AH76" si="120">INDEX(MO_CFSum_Acquisition,0,COLUMN())</f>
        <v>0</v>
      </c>
      <c r="D76" s="543">
        <f t="shared" si="120"/>
        <v>0</v>
      </c>
      <c r="E76" s="543">
        <f t="shared" si="120"/>
        <v>0</v>
      </c>
      <c r="F76" s="543">
        <f t="shared" si="120"/>
        <v>0</v>
      </c>
      <c r="G76" s="543">
        <f t="shared" si="120"/>
        <v>0</v>
      </c>
      <c r="H76" s="543">
        <f t="shared" si="120"/>
        <v>0</v>
      </c>
      <c r="I76" s="543">
        <f t="shared" si="120"/>
        <v>0</v>
      </c>
      <c r="J76" s="543">
        <f t="shared" si="120"/>
        <v>0</v>
      </c>
      <c r="K76" s="543">
        <f t="shared" si="120"/>
        <v>-6.5119999999999996</v>
      </c>
      <c r="L76" s="543">
        <f t="shared" si="120"/>
        <v>0</v>
      </c>
      <c r="M76" s="543">
        <f t="shared" si="120"/>
        <v>0</v>
      </c>
      <c r="N76" s="543">
        <f t="shared" si="120"/>
        <v>0</v>
      </c>
      <c r="O76" s="543">
        <f t="shared" si="120"/>
        <v>0</v>
      </c>
      <c r="P76" s="543">
        <f t="shared" si="120"/>
        <v>0</v>
      </c>
      <c r="Q76" s="543">
        <f t="shared" si="120"/>
        <v>0</v>
      </c>
      <c r="R76" s="543">
        <f t="shared" si="120"/>
        <v>-19.952999999999999</v>
      </c>
      <c r="S76" s="543">
        <f t="shared" si="120"/>
        <v>0</v>
      </c>
      <c r="T76" s="543">
        <f t="shared" si="120"/>
        <v>0</v>
      </c>
      <c r="U76" s="543">
        <f t="shared" si="120"/>
        <v>0</v>
      </c>
      <c r="V76" s="543">
        <f t="shared" si="120"/>
        <v>7.0999999999999994E-2</v>
      </c>
      <c r="W76" s="543">
        <f t="shared" si="120"/>
        <v>0</v>
      </c>
      <c r="X76" s="543">
        <f t="shared" si="120"/>
        <v>-2.17</v>
      </c>
      <c r="Y76" s="543">
        <f t="shared" si="120"/>
        <v>-0.60400000000000009</v>
      </c>
      <c r="Z76" s="543">
        <f t="shared" si="120"/>
        <v>2.774</v>
      </c>
      <c r="AA76" s="543">
        <f t="shared" si="120"/>
        <v>-11.651999999999999</v>
      </c>
      <c r="AB76" s="543">
        <f t="shared" si="120"/>
        <v>-0.98699999999999999</v>
      </c>
      <c r="AC76" s="543">
        <f t="shared" si="120"/>
        <v>-3.9999999999999925E-2</v>
      </c>
      <c r="AD76" s="543">
        <f t="shared" si="120"/>
        <v>-1.4400000000000013</v>
      </c>
      <c r="AE76" s="543">
        <f t="shared" si="120"/>
        <v>-1.2769999999999999</v>
      </c>
      <c r="AF76" s="543">
        <f t="shared" si="120"/>
        <v>-2.8369999999999997</v>
      </c>
      <c r="AG76" s="543">
        <f t="shared" si="120"/>
        <v>-168.15800000000002</v>
      </c>
      <c r="AH76" s="543">
        <f t="shared" si="120"/>
        <v>-9.6000000000000085E-2</v>
      </c>
      <c r="AI76" s="543">
        <f t="shared" ref="AI76:BB76" si="121">INDEX(MO_CFSum_Acquisition,0,COLUMN())</f>
        <v>-3.113</v>
      </c>
      <c r="AJ76" s="543">
        <f t="shared" si="121"/>
        <v>-67.831000000000003</v>
      </c>
      <c r="AK76" s="543">
        <f t="shared" si="121"/>
        <v>-0.88900000000000445</v>
      </c>
      <c r="AL76" s="543">
        <f t="shared" si="121"/>
        <v>-1.0279999999999954</v>
      </c>
      <c r="AM76" s="543">
        <f t="shared" si="121"/>
        <v>-0.192</v>
      </c>
      <c r="AN76" s="543">
        <f t="shared" si="121"/>
        <v>-11.622</v>
      </c>
      <c r="AO76" s="543">
        <f t="shared" si="121"/>
        <v>0.30200000000000005</v>
      </c>
      <c r="AP76" s="543">
        <f t="shared" si="121"/>
        <v>-15.245000000000001</v>
      </c>
      <c r="AQ76" s="543">
        <f t="shared" si="121"/>
        <v>-8.6460000000000008</v>
      </c>
      <c r="AR76" s="543">
        <f t="shared" si="121"/>
        <v>-0.55400000000000005</v>
      </c>
      <c r="AS76" s="543">
        <f t="shared" si="121"/>
        <v>-0.61</v>
      </c>
      <c r="AT76" s="543">
        <f t="shared" si="121"/>
        <v>-0.27499999999999991</v>
      </c>
      <c r="AU76" s="614">
        <f t="shared" si="121"/>
        <v>-0.16600000000000001</v>
      </c>
      <c r="AV76" s="543">
        <f t="shared" si="121"/>
        <v>0</v>
      </c>
      <c r="AW76" s="543">
        <f t="shared" si="121"/>
        <v>0</v>
      </c>
      <c r="AX76" s="543">
        <f t="shared" si="121"/>
        <v>0</v>
      </c>
      <c r="AY76" s="543">
        <f t="shared" si="121"/>
        <v>0</v>
      </c>
      <c r="AZ76" s="543">
        <f t="shared" si="121"/>
        <v>-1.6E-2</v>
      </c>
      <c r="BA76" s="543">
        <f t="shared" si="121"/>
        <v>0</v>
      </c>
      <c r="BB76" s="543">
        <f t="shared" si="121"/>
        <v>-35.381999999999998</v>
      </c>
      <c r="BC76" s="543"/>
      <c r="BD76" s="851">
        <f t="shared" ref="BD76:BW76" si="122">INDEX(MO_CFSum_Acquisition,0,COLUMN())</f>
        <v>0</v>
      </c>
      <c r="BE76" s="851">
        <f t="shared" si="122"/>
        <v>0</v>
      </c>
      <c r="BF76" s="851">
        <f t="shared" si="122"/>
        <v>-6.5119999999999996</v>
      </c>
      <c r="BG76" s="851">
        <f t="shared" si="122"/>
        <v>-19.952999999999999</v>
      </c>
      <c r="BH76" s="851">
        <f t="shared" si="122"/>
        <v>7.0999999999999994E-2</v>
      </c>
      <c r="BI76" s="851">
        <f t="shared" si="122"/>
        <v>0</v>
      </c>
      <c r="BJ76" s="851">
        <f t="shared" si="122"/>
        <v>-14.119</v>
      </c>
      <c r="BK76" s="851">
        <f t="shared" si="122"/>
        <v>-172.36799999999999</v>
      </c>
      <c r="BL76" s="851">
        <f t="shared" si="122"/>
        <v>-72.86099999999999</v>
      </c>
      <c r="BM76" s="851">
        <f t="shared" si="122"/>
        <v>-26.757000000000001</v>
      </c>
      <c r="BN76" s="851">
        <f t="shared" si="122"/>
        <v>-10.085000000000001</v>
      </c>
      <c r="BO76" s="851">
        <f t="shared" si="122"/>
        <v>-0.16600000000000001</v>
      </c>
      <c r="BP76" s="851" t="e">
        <f t="shared" si="122"/>
        <v>#REF!</v>
      </c>
      <c r="BQ76" s="851">
        <f t="shared" si="122"/>
        <v>0</v>
      </c>
      <c r="BR76" s="852">
        <f t="shared" si="122"/>
        <v>0</v>
      </c>
      <c r="BS76" s="851">
        <f t="shared" si="122"/>
        <v>0</v>
      </c>
      <c r="BT76" s="851">
        <f t="shared" si="122"/>
        <v>0</v>
      </c>
      <c r="BU76" s="851">
        <f t="shared" si="122"/>
        <v>0</v>
      </c>
      <c r="BV76" s="851">
        <f t="shared" si="122"/>
        <v>0</v>
      </c>
      <c r="BW76" s="851">
        <f t="shared" si="122"/>
        <v>0</v>
      </c>
      <c r="BX76" s="543"/>
    </row>
    <row r="77" spans="1:76" s="458" customFormat="1" ht="15" customHeight="1" x14ac:dyDescent="0.35">
      <c r="A77" s="166" t="str">
        <f>INDEX(MO_CFSum_Divestiture,0,COLUMN())</f>
        <v>Divestiture</v>
      </c>
      <c r="B77" s="167"/>
      <c r="C77" s="543">
        <f t="shared" ref="C77:AH77" si="123">INDEX(MO_CFSum_Divestiture,0,COLUMN())</f>
        <v>0</v>
      </c>
      <c r="D77" s="543">
        <f t="shared" si="123"/>
        <v>0</v>
      </c>
      <c r="E77" s="543">
        <f t="shared" si="123"/>
        <v>0</v>
      </c>
      <c r="F77" s="543">
        <f t="shared" si="123"/>
        <v>0</v>
      </c>
      <c r="G77" s="543">
        <f t="shared" si="123"/>
        <v>0</v>
      </c>
      <c r="H77" s="543">
        <f t="shared" si="123"/>
        <v>0</v>
      </c>
      <c r="I77" s="543">
        <f t="shared" si="123"/>
        <v>0</v>
      </c>
      <c r="J77" s="543">
        <f t="shared" si="123"/>
        <v>5.665</v>
      </c>
      <c r="K77" s="543">
        <f t="shared" si="123"/>
        <v>0</v>
      </c>
      <c r="L77" s="543">
        <f t="shared" si="123"/>
        <v>0</v>
      </c>
      <c r="M77" s="543">
        <f t="shared" si="123"/>
        <v>0</v>
      </c>
      <c r="N77" s="543">
        <f t="shared" si="123"/>
        <v>0</v>
      </c>
      <c r="O77" s="543">
        <f t="shared" si="123"/>
        <v>0</v>
      </c>
      <c r="P77" s="543">
        <f t="shared" si="123"/>
        <v>0</v>
      </c>
      <c r="Q77" s="543">
        <f t="shared" si="123"/>
        <v>0</v>
      </c>
      <c r="R77" s="543">
        <f t="shared" si="123"/>
        <v>0</v>
      </c>
      <c r="S77" s="543">
        <f t="shared" si="123"/>
        <v>0</v>
      </c>
      <c r="T77" s="543">
        <f t="shared" si="123"/>
        <v>0</v>
      </c>
      <c r="U77" s="543">
        <f t="shared" si="123"/>
        <v>0</v>
      </c>
      <c r="V77" s="543">
        <f t="shared" si="123"/>
        <v>8.8999999999999996E-2</v>
      </c>
      <c r="W77" s="543">
        <f t="shared" si="123"/>
        <v>0</v>
      </c>
      <c r="X77" s="543">
        <f t="shared" si="123"/>
        <v>0</v>
      </c>
      <c r="Y77" s="543">
        <f t="shared" si="123"/>
        <v>0</v>
      </c>
      <c r="Z77" s="543">
        <f t="shared" si="123"/>
        <v>0</v>
      </c>
      <c r="AA77" s="543">
        <f t="shared" si="123"/>
        <v>0</v>
      </c>
      <c r="AB77" s="543">
        <f t="shared" si="123"/>
        <v>0</v>
      </c>
      <c r="AC77" s="543">
        <f t="shared" si="123"/>
        <v>0.38900000000000001</v>
      </c>
      <c r="AD77" s="543">
        <f t="shared" si="123"/>
        <v>0</v>
      </c>
      <c r="AE77" s="543">
        <f t="shared" si="123"/>
        <v>0</v>
      </c>
      <c r="AF77" s="543">
        <f t="shared" si="123"/>
        <v>0</v>
      </c>
      <c r="AG77" s="543">
        <f t="shared" si="123"/>
        <v>0</v>
      </c>
      <c r="AH77" s="543">
        <f t="shared" si="123"/>
        <v>0</v>
      </c>
      <c r="AI77" s="543">
        <f t="shared" ref="AI77:BB77" si="124">INDEX(MO_CFSum_Divestiture,0,COLUMN())</f>
        <v>0.223</v>
      </c>
      <c r="AJ77" s="543">
        <f t="shared" si="124"/>
        <v>0</v>
      </c>
      <c r="AK77" s="543">
        <f t="shared" si="124"/>
        <v>0</v>
      </c>
      <c r="AL77" s="543">
        <f t="shared" si="124"/>
        <v>0</v>
      </c>
      <c r="AM77" s="543">
        <f t="shared" si="124"/>
        <v>0</v>
      </c>
      <c r="AN77" s="543">
        <f t="shared" si="124"/>
        <v>0</v>
      </c>
      <c r="AO77" s="543">
        <f t="shared" si="124"/>
        <v>0</v>
      </c>
      <c r="AP77" s="543">
        <f t="shared" si="124"/>
        <v>0</v>
      </c>
      <c r="AQ77" s="543">
        <f t="shared" si="124"/>
        <v>0</v>
      </c>
      <c r="AR77" s="543">
        <f t="shared" si="124"/>
        <v>0</v>
      </c>
      <c r="AS77" s="543">
        <f t="shared" si="124"/>
        <v>0</v>
      </c>
      <c r="AT77" s="543">
        <f t="shared" si="124"/>
        <v>0</v>
      </c>
      <c r="AU77" s="614">
        <f t="shared" si="124"/>
        <v>0</v>
      </c>
      <c r="AV77" s="543">
        <f t="shared" si="124"/>
        <v>0</v>
      </c>
      <c r="AW77" s="543">
        <f t="shared" si="124"/>
        <v>0</v>
      </c>
      <c r="AX77" s="543">
        <f t="shared" si="124"/>
        <v>0</v>
      </c>
      <c r="AY77" s="543">
        <f t="shared" si="124"/>
        <v>0</v>
      </c>
      <c r="AZ77" s="543">
        <f t="shared" si="124"/>
        <v>0</v>
      </c>
      <c r="BA77" s="543">
        <f t="shared" si="124"/>
        <v>0</v>
      </c>
      <c r="BB77" s="543">
        <f t="shared" si="124"/>
        <v>0</v>
      </c>
      <c r="BC77" s="543"/>
      <c r="BD77" s="851">
        <f t="shared" ref="BD77:BW77" si="125">INDEX(MO_CFSum_Divestiture,0,COLUMN())</f>
        <v>0</v>
      </c>
      <c r="BE77" s="851">
        <f t="shared" si="125"/>
        <v>5.665</v>
      </c>
      <c r="BF77" s="851">
        <f t="shared" si="125"/>
        <v>0</v>
      </c>
      <c r="BG77" s="851">
        <f t="shared" si="125"/>
        <v>0</v>
      </c>
      <c r="BH77" s="851">
        <f t="shared" si="125"/>
        <v>8.8999999999999996E-2</v>
      </c>
      <c r="BI77" s="851">
        <f t="shared" si="125"/>
        <v>0</v>
      </c>
      <c r="BJ77" s="851">
        <f t="shared" si="125"/>
        <v>0.38900000000000001</v>
      </c>
      <c r="BK77" s="851">
        <f t="shared" si="125"/>
        <v>0</v>
      </c>
      <c r="BL77" s="851">
        <f t="shared" si="125"/>
        <v>0.223</v>
      </c>
      <c r="BM77" s="851">
        <f t="shared" si="125"/>
        <v>0</v>
      </c>
      <c r="BN77" s="851">
        <f t="shared" si="125"/>
        <v>0</v>
      </c>
      <c r="BO77" s="851">
        <f t="shared" si="125"/>
        <v>0</v>
      </c>
      <c r="BP77" s="851" t="e">
        <f t="shared" si="125"/>
        <v>#REF!</v>
      </c>
      <c r="BQ77" s="851">
        <f t="shared" si="125"/>
        <v>0</v>
      </c>
      <c r="BR77" s="852">
        <f t="shared" si="125"/>
        <v>0</v>
      </c>
      <c r="BS77" s="851">
        <f t="shared" si="125"/>
        <v>0</v>
      </c>
      <c r="BT77" s="851">
        <f t="shared" si="125"/>
        <v>0</v>
      </c>
      <c r="BU77" s="851">
        <f t="shared" si="125"/>
        <v>0</v>
      </c>
      <c r="BV77" s="851">
        <f t="shared" si="125"/>
        <v>0</v>
      </c>
      <c r="BW77" s="851">
        <f t="shared" si="125"/>
        <v>0</v>
      </c>
      <c r="BX77" s="543"/>
    </row>
    <row r="78" spans="1:76" s="458" customFormat="1" ht="15" customHeight="1" x14ac:dyDescent="0.35">
      <c r="A78" s="166" t="s">
        <v>315</v>
      </c>
      <c r="B78" s="167"/>
      <c r="C78" s="543">
        <f t="shared" ref="C78:AH78" si="126">INDEX(MO_CFSum_NetShares,0,COLUMN())</f>
        <v>0.49700000000000011</v>
      </c>
      <c r="D78" s="543">
        <f t="shared" si="126"/>
        <v>1.8409999999999997</v>
      </c>
      <c r="E78" s="543">
        <f t="shared" si="126"/>
        <v>3.2850000000000001</v>
      </c>
      <c r="F78" s="543">
        <f t="shared" si="126"/>
        <v>7.9729999999999981</v>
      </c>
      <c r="G78" s="543">
        <f t="shared" si="126"/>
        <v>5.9829999999999997</v>
      </c>
      <c r="H78" s="543">
        <f t="shared" si="126"/>
        <v>-8.6890000000000001</v>
      </c>
      <c r="I78" s="543">
        <f t="shared" si="126"/>
        <v>-20.215999999999998</v>
      </c>
      <c r="J78" s="543">
        <f t="shared" si="126"/>
        <v>-18.671000000000006</v>
      </c>
      <c r="K78" s="543">
        <f t="shared" si="126"/>
        <v>-27.396000000000001</v>
      </c>
      <c r="L78" s="543">
        <f t="shared" si="126"/>
        <v>-0.35599999999999987</v>
      </c>
      <c r="M78" s="543">
        <f t="shared" si="126"/>
        <v>-0.56699999999999995</v>
      </c>
      <c r="N78" s="543">
        <f t="shared" si="126"/>
        <v>-0.13400000000000023</v>
      </c>
      <c r="O78" s="543">
        <f t="shared" si="126"/>
        <v>-1.9079999999999999</v>
      </c>
      <c r="P78" s="543">
        <f t="shared" si="126"/>
        <v>-0.41199999999999992</v>
      </c>
      <c r="Q78" s="543">
        <f t="shared" si="126"/>
        <v>-0.71600000000000019</v>
      </c>
      <c r="R78" s="543">
        <f t="shared" si="126"/>
        <v>-0.33800000000000008</v>
      </c>
      <c r="S78" s="543">
        <f t="shared" si="126"/>
        <v>-0.95799999999999996</v>
      </c>
      <c r="T78" s="543">
        <f t="shared" si="126"/>
        <v>-4.9999999999998934E-3</v>
      </c>
      <c r="U78" s="543">
        <f t="shared" si="126"/>
        <v>-1.5049999999999999</v>
      </c>
      <c r="V78" s="543">
        <f t="shared" si="126"/>
        <v>3.5210000000000008</v>
      </c>
      <c r="W78" s="543">
        <f t="shared" si="126"/>
        <v>-4.0350000000000001</v>
      </c>
      <c r="X78" s="543">
        <f t="shared" si="126"/>
        <v>-1.6639999999999997</v>
      </c>
      <c r="Y78" s="543">
        <f t="shared" si="126"/>
        <v>-3.8800000000000003</v>
      </c>
      <c r="Z78" s="543">
        <f t="shared" si="126"/>
        <v>-28.021000000000001</v>
      </c>
      <c r="AA78" s="543">
        <f t="shared" si="126"/>
        <v>-6.0620000000000003</v>
      </c>
      <c r="AB78" s="543">
        <f t="shared" si="126"/>
        <v>0.19199999999999973</v>
      </c>
      <c r="AC78" s="543">
        <f t="shared" si="126"/>
        <v>-1.6030000000000004</v>
      </c>
      <c r="AD78" s="543">
        <f t="shared" si="126"/>
        <v>0.54500000000000037</v>
      </c>
      <c r="AE78" s="543">
        <f t="shared" si="126"/>
        <v>-4.6560000000000006</v>
      </c>
      <c r="AF78" s="543">
        <f t="shared" si="126"/>
        <v>-0.1789999999999996</v>
      </c>
      <c r="AG78" s="543">
        <f t="shared" si="126"/>
        <v>-1.6209999999999996</v>
      </c>
      <c r="AH78" s="543">
        <f t="shared" si="126"/>
        <v>-0.24100000000000055</v>
      </c>
      <c r="AI78" s="543">
        <f t="shared" ref="AI78:BB78" si="127">INDEX(MO_CFSum_NetShares,0,COLUMN())</f>
        <v>-16.661000000000001</v>
      </c>
      <c r="AJ78" s="543">
        <f t="shared" si="127"/>
        <v>-2.9000000000000692E-2</v>
      </c>
      <c r="AK78" s="543">
        <f t="shared" si="127"/>
        <v>-2.3429999999999995</v>
      </c>
      <c r="AL78" s="543">
        <f t="shared" si="127"/>
        <v>-0.33199999999999985</v>
      </c>
      <c r="AM78" s="543">
        <f t="shared" si="127"/>
        <v>-5.7970000000000006</v>
      </c>
      <c r="AN78" s="543">
        <f t="shared" si="127"/>
        <v>-29.361000000000004</v>
      </c>
      <c r="AO78" s="543">
        <f t="shared" si="127"/>
        <v>-1.9139999999999975</v>
      </c>
      <c r="AP78" s="543">
        <f t="shared" si="127"/>
        <v>-0.36899999999999594</v>
      </c>
      <c r="AQ78" s="543">
        <f t="shared" si="127"/>
        <v>-8.8949999999999996</v>
      </c>
      <c r="AR78" s="543">
        <f t="shared" si="127"/>
        <v>-1.4290000000000003</v>
      </c>
      <c r="AS78" s="543">
        <f t="shared" si="127"/>
        <v>-2.5920000000000005</v>
      </c>
      <c r="AT78" s="543">
        <f t="shared" si="127"/>
        <v>-0.60500000000000043</v>
      </c>
      <c r="AU78" s="614">
        <f t="shared" si="127"/>
        <v>-2.09</v>
      </c>
      <c r="AV78" s="543">
        <f t="shared" si="127"/>
        <v>0</v>
      </c>
      <c r="AW78" s="543">
        <f t="shared" si="127"/>
        <v>0</v>
      </c>
      <c r="AX78" s="543">
        <f t="shared" si="127"/>
        <v>0</v>
      </c>
      <c r="AY78" s="543">
        <f t="shared" si="127"/>
        <v>0</v>
      </c>
      <c r="AZ78" s="543">
        <f t="shared" si="127"/>
        <v>16.821999999999999</v>
      </c>
      <c r="BA78" s="543">
        <f t="shared" si="127"/>
        <v>12.471000000000002</v>
      </c>
      <c r="BB78" s="543">
        <f t="shared" si="127"/>
        <v>142.31</v>
      </c>
      <c r="BC78" s="543"/>
      <c r="BD78" s="851">
        <f t="shared" ref="BD78:BW78" si="128">INDEX(MO_CFSum_NetShares,0,COLUMN())</f>
        <v>13.596</v>
      </c>
      <c r="BE78" s="851">
        <f t="shared" si="128"/>
        <v>-41.593000000000004</v>
      </c>
      <c r="BF78" s="851">
        <f t="shared" si="128"/>
        <v>-28.453000000000003</v>
      </c>
      <c r="BG78" s="851">
        <f t="shared" si="128"/>
        <v>-3.3740000000000001</v>
      </c>
      <c r="BH78" s="851">
        <f t="shared" si="128"/>
        <v>1.0530000000000008</v>
      </c>
      <c r="BI78" s="851">
        <f t="shared" si="128"/>
        <v>-37.599999999999994</v>
      </c>
      <c r="BJ78" s="851">
        <f t="shared" si="128"/>
        <v>-6.9280000000000008</v>
      </c>
      <c r="BK78" s="851">
        <f t="shared" si="128"/>
        <v>-6.6970000000000001</v>
      </c>
      <c r="BL78" s="851">
        <f t="shared" si="128"/>
        <v>-19.365000000000002</v>
      </c>
      <c r="BM78" s="851">
        <f t="shared" si="128"/>
        <v>-37.440999999999995</v>
      </c>
      <c r="BN78" s="851">
        <f t="shared" si="128"/>
        <v>-13.521000000000001</v>
      </c>
      <c r="BO78" s="851">
        <f t="shared" si="128"/>
        <v>-2.09</v>
      </c>
      <c r="BP78" s="851" t="e">
        <f t="shared" si="128"/>
        <v>#REF!</v>
      </c>
      <c r="BQ78" s="851">
        <f t="shared" si="128"/>
        <v>0</v>
      </c>
      <c r="BR78" s="852">
        <f t="shared" si="128"/>
        <v>0</v>
      </c>
      <c r="BS78" s="851">
        <f t="shared" si="128"/>
        <v>0</v>
      </c>
      <c r="BT78" s="851">
        <f t="shared" si="128"/>
        <v>0</v>
      </c>
      <c r="BU78" s="851">
        <f t="shared" si="128"/>
        <v>0</v>
      </c>
      <c r="BV78" s="851">
        <f t="shared" si="128"/>
        <v>0</v>
      </c>
      <c r="BW78" s="851">
        <f t="shared" si="128"/>
        <v>0</v>
      </c>
      <c r="BX78" s="543"/>
    </row>
    <row r="79" spans="1:76" s="458" customFormat="1" ht="15" customHeight="1" x14ac:dyDescent="0.35">
      <c r="A79" s="166" t="s">
        <v>316</v>
      </c>
      <c r="B79" s="167"/>
      <c r="C79" s="543">
        <f t="shared" ref="C79:AH79" si="129">INDEX(MO_CFSum_NetDebtIssuance,0,COLUMN())</f>
        <v>-5.0019999999999998</v>
      </c>
      <c r="D79" s="543">
        <f t="shared" si="129"/>
        <v>-5.6340000000000012</v>
      </c>
      <c r="E79" s="543">
        <f t="shared" si="129"/>
        <v>-5.214999999999999</v>
      </c>
      <c r="F79" s="543">
        <f t="shared" si="129"/>
        <v>-5.956999999999999</v>
      </c>
      <c r="G79" s="543">
        <f t="shared" si="129"/>
        <v>-5.9459999999999997</v>
      </c>
      <c r="H79" s="543">
        <f t="shared" si="129"/>
        <v>-5.5889999999999995</v>
      </c>
      <c r="I79" s="543">
        <f t="shared" si="129"/>
        <v>-5.843</v>
      </c>
      <c r="J79" s="543">
        <f t="shared" si="129"/>
        <v>-5.7059999999999995</v>
      </c>
      <c r="K79" s="543">
        <f t="shared" si="129"/>
        <v>-5.899</v>
      </c>
      <c r="L79" s="543">
        <f t="shared" si="129"/>
        <v>-5.5880000000000001</v>
      </c>
      <c r="M79" s="543">
        <f t="shared" si="129"/>
        <v>-5.2559999999999985</v>
      </c>
      <c r="N79" s="543">
        <f t="shared" si="129"/>
        <v>-5.1960000000000015</v>
      </c>
      <c r="O79" s="543">
        <f t="shared" si="129"/>
        <v>-4.9409999999999998</v>
      </c>
      <c r="P79" s="543">
        <f t="shared" si="129"/>
        <v>-4.4289999999999994</v>
      </c>
      <c r="Q79" s="543">
        <f t="shared" si="129"/>
        <v>-4.0580000000000016</v>
      </c>
      <c r="R79" s="543">
        <f t="shared" si="129"/>
        <v>-3.9740000000000002</v>
      </c>
      <c r="S79" s="543">
        <f t="shared" si="129"/>
        <v>-3.9769999999999999</v>
      </c>
      <c r="T79" s="543">
        <f t="shared" si="129"/>
        <v>-4.1389999999999993</v>
      </c>
      <c r="U79" s="543">
        <f t="shared" si="129"/>
        <v>-3.7629999999999999</v>
      </c>
      <c r="V79" s="543">
        <f t="shared" si="129"/>
        <v>-3.8179999999999996</v>
      </c>
      <c r="W79" s="543">
        <f t="shared" si="129"/>
        <v>-3.7429999999999999</v>
      </c>
      <c r="X79" s="543">
        <f t="shared" si="129"/>
        <v>-3.2440000000000002</v>
      </c>
      <c r="Y79" s="543">
        <f t="shared" si="129"/>
        <v>-3.3260000000000005</v>
      </c>
      <c r="Z79" s="543">
        <f t="shared" si="129"/>
        <v>-2.9879999999999995</v>
      </c>
      <c r="AA79" s="543">
        <f t="shared" si="129"/>
        <v>-3.5179999999999998</v>
      </c>
      <c r="AB79" s="543">
        <f t="shared" si="129"/>
        <v>-3.42</v>
      </c>
      <c r="AC79" s="543">
        <f t="shared" si="129"/>
        <v>-6.96</v>
      </c>
      <c r="AD79" s="543">
        <f t="shared" si="129"/>
        <v>-7.1359999999999992</v>
      </c>
      <c r="AE79" s="543">
        <f t="shared" si="129"/>
        <v>-7.46</v>
      </c>
      <c r="AF79" s="543">
        <f t="shared" si="129"/>
        <v>-7.4989999999999997</v>
      </c>
      <c r="AG79" s="543">
        <f t="shared" si="129"/>
        <v>93.355999999999995</v>
      </c>
      <c r="AH79" s="543">
        <f t="shared" si="129"/>
        <v>-6.0719999999999992</v>
      </c>
      <c r="AI79" s="543">
        <f t="shared" ref="AI79:BB79" si="130">INDEX(MO_CFSum_NetDebtIssuance,0,COLUMN())</f>
        <v>243.36700000000002</v>
      </c>
      <c r="AJ79" s="543">
        <f t="shared" si="130"/>
        <v>-6.5659999999999732</v>
      </c>
      <c r="AK79" s="543">
        <f t="shared" si="130"/>
        <v>-5.6480000000000015</v>
      </c>
      <c r="AL79" s="543">
        <f t="shared" si="130"/>
        <v>-7.2119999999999997</v>
      </c>
      <c r="AM79" s="543">
        <f t="shared" si="130"/>
        <v>-7.02</v>
      </c>
      <c r="AN79" s="543">
        <f t="shared" si="130"/>
        <v>-7.7240000000000002</v>
      </c>
      <c r="AO79" s="543">
        <f t="shared" si="130"/>
        <v>-9.1750000000000007</v>
      </c>
      <c r="AP79" s="543">
        <f t="shared" si="130"/>
        <v>-9.0920000000000023</v>
      </c>
      <c r="AQ79" s="543">
        <f t="shared" si="130"/>
        <v>-9.3140000000000001</v>
      </c>
      <c r="AR79" s="543">
        <f t="shared" si="130"/>
        <v>-10.623999999999999</v>
      </c>
      <c r="AS79" s="543">
        <f t="shared" si="130"/>
        <v>-11.3</v>
      </c>
      <c r="AT79" s="543">
        <f t="shared" si="130"/>
        <v>-11.718000000000004</v>
      </c>
      <c r="AU79" s="614">
        <f t="shared" si="130"/>
        <v>-11.721</v>
      </c>
      <c r="AV79" s="543">
        <f t="shared" si="130"/>
        <v>0</v>
      </c>
      <c r="AW79" s="543">
        <f t="shared" si="130"/>
        <v>0</v>
      </c>
      <c r="AX79" s="543">
        <f t="shared" si="130"/>
        <v>0</v>
      </c>
      <c r="AY79" s="543">
        <f t="shared" si="130"/>
        <v>0</v>
      </c>
      <c r="AZ79" s="543">
        <f t="shared" si="130"/>
        <v>-6.8019999999999996</v>
      </c>
      <c r="BA79" s="543">
        <f t="shared" si="130"/>
        <v>-13.974</v>
      </c>
      <c r="BB79" s="543">
        <f t="shared" si="130"/>
        <v>-15.171999999999999</v>
      </c>
      <c r="BC79" s="543"/>
      <c r="BD79" s="851">
        <f t="shared" ref="BD79:BW79" si="131">INDEX(MO_CFSum_NetDebtIssuance,0,COLUMN())</f>
        <v>-21.808</v>
      </c>
      <c r="BE79" s="851">
        <f t="shared" si="131"/>
        <v>-23.084</v>
      </c>
      <c r="BF79" s="851">
        <f t="shared" si="131"/>
        <v>-21.939</v>
      </c>
      <c r="BG79" s="851">
        <f t="shared" si="131"/>
        <v>-17.402000000000001</v>
      </c>
      <c r="BH79" s="851">
        <f t="shared" si="131"/>
        <v>-15.696999999999999</v>
      </c>
      <c r="BI79" s="851">
        <f t="shared" si="131"/>
        <v>-13.301</v>
      </c>
      <c r="BJ79" s="851">
        <f t="shared" si="131"/>
        <v>-21.033999999999999</v>
      </c>
      <c r="BK79" s="851">
        <f t="shared" si="131"/>
        <v>72.325000000000003</v>
      </c>
      <c r="BL79" s="851">
        <f t="shared" si="131"/>
        <v>223.94100000000003</v>
      </c>
      <c r="BM79" s="851">
        <f t="shared" si="131"/>
        <v>-33.011000000000003</v>
      </c>
      <c r="BN79" s="851">
        <f t="shared" si="131"/>
        <v>-42.956000000000003</v>
      </c>
      <c r="BO79" s="851">
        <f t="shared" si="131"/>
        <v>-11.721</v>
      </c>
      <c r="BP79" s="851" t="e">
        <f t="shared" si="131"/>
        <v>#REF!</v>
      </c>
      <c r="BQ79" s="851">
        <f t="shared" si="131"/>
        <v>0</v>
      </c>
      <c r="BR79" s="852">
        <f t="shared" si="131"/>
        <v>0</v>
      </c>
      <c r="BS79" s="851">
        <f t="shared" si="131"/>
        <v>0</v>
      </c>
      <c r="BT79" s="851">
        <f t="shared" si="131"/>
        <v>0</v>
      </c>
      <c r="BU79" s="851">
        <f t="shared" si="131"/>
        <v>0</v>
      </c>
      <c r="BV79" s="851">
        <f t="shared" si="131"/>
        <v>0</v>
      </c>
      <c r="BW79" s="851">
        <f t="shared" si="131"/>
        <v>0</v>
      </c>
      <c r="BX79" s="543"/>
    </row>
    <row r="80" spans="1:76" s="458" customFormat="1" ht="15" customHeight="1" x14ac:dyDescent="0.35">
      <c r="A80" s="477" t="s">
        <v>307</v>
      </c>
      <c r="B80" s="276"/>
      <c r="C80" s="615">
        <f>+Model!C486+Model!C501+Model!C455+Model!C457+Model!C464+Model!C475+Model!C474</f>
        <v>0.249</v>
      </c>
      <c r="D80" s="615">
        <f>+Model!D486+Model!D501+Model!D455+Model!D457+Model!D464+Model!D475+Model!D474</f>
        <v>0.32199999999999995</v>
      </c>
      <c r="E80" s="615">
        <f>+Model!E486+Model!E501+Model!E455+Model!E457+Model!E464+Model!E475+Model!E474</f>
        <v>-0.5139999999999999</v>
      </c>
      <c r="F80" s="615">
        <f>+Model!F486+Model!F501+Model!F455+Model!F457+Model!F464+Model!F475+Model!F474</f>
        <v>3.4999999999999996E-2</v>
      </c>
      <c r="G80" s="615">
        <f>+Model!G486+Model!G501+Model!G455+Model!G457+Model!G464+Model!G475+Model!G474</f>
        <v>-1.528</v>
      </c>
      <c r="H80" s="615">
        <f>+Model!H486+Model!H501+Model!H455+Model!H457+Model!H464+Model!H475+Model!H474</f>
        <v>0.2360000000000001</v>
      </c>
      <c r="I80" s="615">
        <f>+Model!I486+Model!I501+Model!I455+Model!I457+Model!I464+Model!I475+Model!I474</f>
        <v>7.0999999999999952E-2</v>
      </c>
      <c r="J80" s="615">
        <f>+Model!J486+Model!J501+Model!J455+Model!J457+Model!J464+Model!J475+Model!J474</f>
        <v>1.3579999999999999</v>
      </c>
      <c r="K80" s="615">
        <f>+Model!K486+Model!K501+Model!K455+Model!K457+Model!K464+Model!K475+Model!K474</f>
        <v>-1.1020000000000001</v>
      </c>
      <c r="L80" s="615">
        <f>+Model!L486+Model!L501+Model!L455+Model!L457+Model!L464+Model!L475+Model!L474</f>
        <v>-0.98399999999999976</v>
      </c>
      <c r="M80" s="615">
        <f>+Model!M486+Model!M501+Model!M455+Model!M457+Model!M464+Model!M475+Model!M474</f>
        <v>-5.8000000000000274E-2</v>
      </c>
      <c r="N80" s="615">
        <f>+Model!N486+Model!N501+Model!N455+Model!N457+Model!N464+Model!N475+Model!N474</f>
        <v>0.44600000000000017</v>
      </c>
      <c r="O80" s="615">
        <f>+Model!O486+Model!O501+Model!O455+Model!O457+Model!O464+Model!O475+Model!O474</f>
        <v>-7.0000000000000001E-3</v>
      </c>
      <c r="P80" s="615">
        <f>+Model!P486+Model!P501+Model!P455+Model!P457+Model!P464+Model!P475+Model!P474</f>
        <v>-1.0999999999999999E-2</v>
      </c>
      <c r="Q80" s="615">
        <f>+Model!Q486+Model!Q501+Model!Q455+Model!Q457+Model!Q464+Model!Q475+Model!Q474</f>
        <v>9.9999999999999742E-4</v>
      </c>
      <c r="R80" s="615">
        <f>+Model!R486+Model!R501+Model!R455+Model!R457+Model!R464+Model!R475+Model!R474</f>
        <v>5.000000000000001E-3</v>
      </c>
      <c r="S80" s="615">
        <f>+Model!S486+Model!S501+Model!S455+Model!S457+Model!S464+Model!S475+Model!S474</f>
        <v>-8.0000000000000002E-3</v>
      </c>
      <c r="T80" s="615">
        <f>+Model!T486+Model!T501+Model!T455+Model!T457+Model!T464+Model!T475+Model!T474</f>
        <v>-9.1440000000000001</v>
      </c>
      <c r="U80" s="615">
        <f>+Model!U486+Model!U501+Model!U455+Model!U457+Model!U464+Model!U475+Model!U474</f>
        <v>5.9999999999999984E-3</v>
      </c>
      <c r="V80" s="615">
        <f>+Model!V486+Model!V501+Model!V455+Model!V457+Model!V464+Model!V475+Model!V474</f>
        <v>1.0000000000000009E-3</v>
      </c>
      <c r="W80" s="615">
        <f>+Model!W486+Model!W501+Model!W455+Model!W457+Model!W464+Model!W475+Model!W474</f>
        <v>0</v>
      </c>
      <c r="X80" s="615">
        <f>+Model!X486+Model!X501+Model!X455+Model!X457+Model!X464+Model!X475+Model!X474</f>
        <v>0</v>
      </c>
      <c r="Y80" s="615">
        <f>+Model!Y486+Model!Y501+Model!Y455+Model!Y457+Model!Y464+Model!Y475+Model!Y474</f>
        <v>-0.5</v>
      </c>
      <c r="Z80" s="615">
        <f>+Model!Z486+Model!Z501+Model!Z455+Model!Z457+Model!Z464+Model!Z475+Model!Z474</f>
        <v>-6.774</v>
      </c>
      <c r="AA80" s="615">
        <f>+Model!AA486+Model!AA501+Model!AA455+Model!AA457+Model!AA464+Model!AA475+Model!AA474</f>
        <v>0</v>
      </c>
      <c r="AB80" s="615">
        <f>+Model!AB486+Model!AB501+Model!AB455+Model!AB457+Model!AB464+Model!AB475+Model!AB474</f>
        <v>0</v>
      </c>
      <c r="AC80" s="615">
        <f>+Model!AC486+Model!AC501+Model!AC455+Model!AC457+Model!AC464+Model!AC475+Model!AC474</f>
        <v>0</v>
      </c>
      <c r="AD80" s="615">
        <f>+Model!AD486+Model!AD501+Model!AD455+Model!AD457+Model!AD464+Model!AD475+Model!AD474</f>
        <v>0</v>
      </c>
      <c r="AE80" s="615">
        <f>+Model!AE486+Model!AE501+Model!AE455+Model!AE457+Model!AE464+Model!AE475+Model!AE474</f>
        <v>0</v>
      </c>
      <c r="AF80" s="615">
        <f>+Model!AF486+Model!AF501+Model!AF455+Model!AF457+Model!AF464+Model!AF475+Model!AF474</f>
        <v>0</v>
      </c>
      <c r="AG80" s="615">
        <f>+Model!AG486+Model!AG501+Model!AG455+Model!AG457+Model!AG464+Model!AG475+Model!AG474</f>
        <v>0</v>
      </c>
      <c r="AH80" s="615">
        <f>+Model!AH486+Model!AH501+Model!AH455+Model!AH457+Model!AH464+Model!AH475+Model!AH474</f>
        <v>0</v>
      </c>
      <c r="AI80" s="615">
        <f>+Model!AI486+Model!AI501+Model!AI455+Model!AI457+Model!AI464+Model!AI475+Model!AI474</f>
        <v>0</v>
      </c>
      <c r="AJ80" s="615">
        <f>+Model!AJ486+Model!AJ501+Model!AJ455+Model!AJ457+Model!AJ464+Model!AJ475+Model!AJ474</f>
        <v>0</v>
      </c>
      <c r="AK80" s="615">
        <f>+Model!AK486+Model!AK501+Model!AK455+Model!AK457+Model!AK464+Model!AK475+Model!AK474</f>
        <v>0</v>
      </c>
      <c r="AL80" s="615">
        <f>+Model!AL486+Model!AL501+Model!AL455+Model!AL457+Model!AL464+Model!AL475+Model!AL474</f>
        <v>-40.542000000000002</v>
      </c>
      <c r="AM80" s="615">
        <f>+Model!AM486+Model!AM501+Model!AM455+Model!AM457+Model!AM464+Model!AM475+Model!AM474</f>
        <v>-7.6950000000000003</v>
      </c>
      <c r="AN80" s="615">
        <f>+Model!AN486+Model!AN501+Model!AN455+Model!AN457+Model!AN464+Model!AN475+Model!AN474</f>
        <v>-18.516000000000002</v>
      </c>
      <c r="AO80" s="615">
        <f>+Model!AO486+Model!AO501+Model!AO455+Model!AO457+Model!AO464+Model!AO475+Model!AO474</f>
        <v>-12.774999999999999</v>
      </c>
      <c r="AP80" s="615">
        <f>+Model!AP486+Model!AP501+Model!AP455+Model!AP457+Model!AP464+Model!AP475+Model!AP474</f>
        <v>-0.24700000000000344</v>
      </c>
      <c r="AQ80" s="615">
        <f>+Model!AQ486+Model!AQ501+Model!AQ455+Model!AQ457+Model!AQ464+Model!AQ475+Model!AQ474</f>
        <v>-8.022000000000002</v>
      </c>
      <c r="AR80" s="615">
        <f>+Model!AR486+Model!AR501+Model!AR455+Model!AR457+Model!AR464+Model!AR475+Model!AR474</f>
        <v>-11.068000000000001</v>
      </c>
      <c r="AS80" s="615">
        <f>+Model!AS486+Model!AS501+Model!AS455+Model!AS457+Model!AS464+Model!AS475+Model!AS474</f>
        <v>6.4999999999990621E-2</v>
      </c>
      <c r="AT80" s="615">
        <f>+Model!AT486+Model!AT501+Model!AT455+Model!AT457+Model!AT464+Model!AT475+Model!AT474</f>
        <v>-29.60599999999998</v>
      </c>
      <c r="AU80" s="616">
        <f>+Model!AU486+Model!AU501+Model!AU455+Model!AU457+Model!AU464+Model!AU475+Model!AU474</f>
        <v>9.25</v>
      </c>
      <c r="AV80" s="615">
        <f>+Model!AV486+Model!AV501+Model!AV455+Model!AV457+Model!AV464+Model!AV475+Model!AV474</f>
        <v>0</v>
      </c>
      <c r="AW80" s="615">
        <f>+Model!AW486+Model!AW501+Model!AW455+Model!AW457+Model!AW464+Model!AW475+Model!AW474</f>
        <v>0</v>
      </c>
      <c r="AX80" s="615">
        <f>+Model!AX486+Model!AX501+Model!AX455+Model!AX457+Model!AX464+Model!AX475+Model!AX474</f>
        <v>0</v>
      </c>
      <c r="AY80" s="615" t="e">
        <f>+Model!#REF!+Model!#REF!+Model!#REF!+Model!#REF!+Model!#REF!+Model!#REF!+Model!#REF!</f>
        <v>#REF!</v>
      </c>
      <c r="AZ80" s="615" t="e">
        <f>+Model!#REF!+Model!#REF!+Model!#REF!+Model!#REF!+Model!#REF!+Model!#REF!+Model!#REF!</f>
        <v>#REF!</v>
      </c>
      <c r="BA80" s="615" t="e">
        <f>+Model!#REF!+Model!#REF!+Model!#REF!+Model!#REF!+Model!#REF!+Model!#REF!+Model!#REF!</f>
        <v>#REF!</v>
      </c>
      <c r="BB80" s="615" t="e">
        <f>+Model!#REF!+Model!#REF!+Model!#REF!+Model!#REF!+Model!#REF!+Model!#REF!+Model!#REF!</f>
        <v>#REF!</v>
      </c>
      <c r="BC80" s="615"/>
      <c r="BD80" s="847">
        <f>+Model!AZ486+Model!AZ501+Model!AZ455+Model!AZ457+Model!AZ464+Model!AZ475+Model!AZ474</f>
        <v>5</v>
      </c>
      <c r="BE80" s="847">
        <f>+Model!BA486+Model!BA501+Model!BA455+Model!BA457+Model!BA464+Model!BA475+Model!BA474</f>
        <v>3.3740000000000001</v>
      </c>
      <c r="BF80" s="847">
        <f>+Model!BB486+Model!BB501+Model!BB455+Model!BB457+Model!BB464+Model!BB475+Model!BB474</f>
        <v>2.8000000000000001E-2</v>
      </c>
      <c r="BG80" s="847">
        <f>+Model!BC486+Model!BC501+Model!BC455+Model!BC457+Model!BC464+Model!BC475+Model!BC474</f>
        <v>-0.43</v>
      </c>
      <c r="BH80" s="847">
        <f>+Model!BD486+Model!BD501+Model!BD455+Model!BD457+Model!BD464+Model!BD475+Model!BD474</f>
        <v>9.1999999999999998E-2</v>
      </c>
      <c r="BI80" s="847">
        <f>+Model!BE486+Model!BE501+Model!BE455+Model!BE457+Model!BE464+Model!BE475+Model!BE474</f>
        <v>0.13700000000000001</v>
      </c>
      <c r="BJ80" s="847">
        <f>+Model!BF486+Model!BF501+Model!BF455+Model!BF457+Model!BF464+Model!BF475+Model!BF474</f>
        <v>-1.698</v>
      </c>
      <c r="BK80" s="847">
        <f>+Model!BG486+Model!BG501+Model!BG455+Model!BG457+Model!BG464+Model!BG475+Model!BG474</f>
        <v>-1.2E-2</v>
      </c>
      <c r="BL80" s="847">
        <f>+Model!BH486+Model!BH501+Model!BH455+Model!BH457+Model!BH464+Model!BH475+Model!BH474</f>
        <v>-9.1449999999999996</v>
      </c>
      <c r="BM80" s="847">
        <f>+Model!BI486+Model!BI501+Model!BI455+Model!BI457+Model!BI464+Model!BI475+Model!BI474</f>
        <v>-7.274</v>
      </c>
      <c r="BN80" s="847">
        <f>+Model!BJ486+Model!BJ501+Model!BJ455+Model!BJ457+Model!BJ464+Model!BJ475+Model!BJ474</f>
        <v>0</v>
      </c>
      <c r="BO80" s="847">
        <f>+Model!BK486+Model!BK501+Model!BK455+Model!BK457+Model!BK464+Model!BK475+Model!BK474</f>
        <v>0</v>
      </c>
      <c r="BP80" s="847">
        <f>+Model!BL486+Model!BL501+Model!BL455+Model!BL457+Model!BL464+Model!BL475+Model!BL474</f>
        <v>-40.542000000000002</v>
      </c>
      <c r="BQ80" s="847">
        <f>+Model!BM486+Model!BM501+Model!BM455+Model!BM457+Model!BM464+Model!BM475+Model!BM474</f>
        <v>-39.233000000000004</v>
      </c>
      <c r="BR80" s="848">
        <f>+Model!BN486+Model!BN501+Model!BN455+Model!BN457+Model!BN464+Model!BN475+Model!BN474</f>
        <v>-48.630999999999986</v>
      </c>
      <c r="BS80" s="847">
        <f>+Model!BO486+Model!BO501+Model!BO455+Model!BO457+Model!BO464+Model!BO475+Model!BO474</f>
        <v>9.25</v>
      </c>
      <c r="BT80" s="847" t="e">
        <f>+Model!BP486+Model!BP501+Model!BP455+Model!BP457+Model!BP464+Model!BP475+Model!BP474</f>
        <v>#REF!</v>
      </c>
      <c r="BU80" s="847">
        <f>+Model!BQ486+Model!BQ501+Model!BQ455+Model!BQ457+Model!BQ464+Model!BQ475+Model!BQ474</f>
        <v>0</v>
      </c>
      <c r="BV80" s="847">
        <f>+Model!BR486+Model!BR501+Model!BR455+Model!BR457+Model!BR464+Model!BR475+Model!BR474</f>
        <v>0</v>
      </c>
      <c r="BW80" s="847">
        <f>+Model!BS486+Model!BS501+Model!BS455+Model!BS457+Model!BS464+Model!BS475+Model!BS474</f>
        <v>0</v>
      </c>
      <c r="BX80" s="543"/>
    </row>
    <row r="81" spans="1:76" s="66" customFormat="1" ht="15" customHeight="1" x14ac:dyDescent="0.35">
      <c r="A81" s="168" t="s">
        <v>317</v>
      </c>
      <c r="B81" s="169"/>
      <c r="C81" s="612">
        <f t="shared" ref="C81:AH81" ca="1" si="132">SUM(C75:C80)</f>
        <v>-36.713999999999999</v>
      </c>
      <c r="D81" s="612">
        <f t="shared" ca="1" si="132"/>
        <v>35.254000000000012</v>
      </c>
      <c r="E81" s="612">
        <f t="shared" ca="1" si="132"/>
        <v>13.775999999999993</v>
      </c>
      <c r="F81" s="612">
        <f t="shared" ca="1" si="132"/>
        <v>24.511999999999997</v>
      </c>
      <c r="G81" s="612">
        <f t="shared" ca="1" si="132"/>
        <v>-18.006000000000022</v>
      </c>
      <c r="H81" s="612">
        <f t="shared" ca="1" si="132"/>
        <v>-0.58499999999999519</v>
      </c>
      <c r="I81" s="612">
        <f t="shared" ca="1" si="132"/>
        <v>22.442999999999994</v>
      </c>
      <c r="J81" s="612">
        <f t="shared" ca="1" si="132"/>
        <v>10.776999999999994</v>
      </c>
      <c r="K81" s="612">
        <f t="shared" ca="1" si="132"/>
        <v>-86.913000000000011</v>
      </c>
      <c r="L81" s="612">
        <f t="shared" ca="1" si="132"/>
        <v>15.038000000000013</v>
      </c>
      <c r="M81" s="612">
        <f t="shared" ca="1" si="132"/>
        <v>18.616000000000007</v>
      </c>
      <c r="N81" s="612">
        <f t="shared" ca="1" si="132"/>
        <v>53.00200000000001</v>
      </c>
      <c r="O81" s="612">
        <f t="shared" ca="1" si="132"/>
        <v>-44.988</v>
      </c>
      <c r="P81" s="612">
        <f t="shared" ca="1" si="132"/>
        <v>20.413000000000004</v>
      </c>
      <c r="Q81" s="612">
        <f t="shared" ca="1" si="132"/>
        <v>28.230999999999991</v>
      </c>
      <c r="R81" s="612">
        <f t="shared" ca="1" si="132"/>
        <v>14.480999999999979</v>
      </c>
      <c r="S81" s="612">
        <f t="shared" ca="1" si="132"/>
        <v>-78.900999999999996</v>
      </c>
      <c r="T81" s="612">
        <f t="shared" ca="1" si="132"/>
        <v>47.057999999999986</v>
      </c>
      <c r="U81" s="612">
        <f t="shared" ca="1" si="132"/>
        <v>12.561999999999999</v>
      </c>
      <c r="V81" s="612">
        <f t="shared" ca="1" si="132"/>
        <v>36.155999999999985</v>
      </c>
      <c r="W81" s="612">
        <f t="shared" ca="1" si="132"/>
        <v>-83.522000000000006</v>
      </c>
      <c r="X81" s="612">
        <f t="shared" ca="1" si="132"/>
        <v>42.16</v>
      </c>
      <c r="Y81" s="612">
        <f t="shared" ca="1" si="132"/>
        <v>38.404999999999994</v>
      </c>
      <c r="Z81" s="612">
        <f t="shared" ca="1" si="132"/>
        <v>5.206000000000004</v>
      </c>
      <c r="AA81" s="612">
        <f t="shared" ca="1" si="132"/>
        <v>-88.063999999999993</v>
      </c>
      <c r="AB81" s="612">
        <f t="shared" ca="1" si="132"/>
        <v>60.225999999999999</v>
      </c>
      <c r="AC81" s="612">
        <f t="shared" ca="1" si="132"/>
        <v>30.75</v>
      </c>
      <c r="AD81" s="612">
        <f t="shared" ca="1" si="132"/>
        <v>48.596000000000004</v>
      </c>
      <c r="AE81" s="612">
        <f t="shared" ca="1" si="132"/>
        <v>-117.17699999999999</v>
      </c>
      <c r="AF81" s="612">
        <f t="shared" ca="1" si="132"/>
        <v>45.696999999999996</v>
      </c>
      <c r="AG81" s="612">
        <f t="shared" ca="1" si="132"/>
        <v>-61.607000000000028</v>
      </c>
      <c r="AH81" s="612">
        <f t="shared" ca="1" si="132"/>
        <v>61.765000000000001</v>
      </c>
      <c r="AI81" s="612">
        <f t="shared" ref="AI81:BB81" ca="1" si="133">SUM(AI75:AI80)</f>
        <v>96.485000000000014</v>
      </c>
      <c r="AJ81" s="612">
        <f t="shared" ca="1" si="133"/>
        <v>-50.605999999999987</v>
      </c>
      <c r="AK81" s="612">
        <f t="shared" ca="1" si="133"/>
        <v>70.855000000000004</v>
      </c>
      <c r="AL81" s="612">
        <f t="shared" ca="1" si="133"/>
        <v>56.549000000000007</v>
      </c>
      <c r="AM81" s="612">
        <f t="shared" ca="1" si="133"/>
        <v>-167.55799999999999</v>
      </c>
      <c r="AN81" s="612">
        <f t="shared" ca="1" si="133"/>
        <v>38.466999999999999</v>
      </c>
      <c r="AO81" s="612">
        <f t="shared" ca="1" si="133"/>
        <v>51.073</v>
      </c>
      <c r="AP81" s="612">
        <f t="shared" ca="1" si="133"/>
        <v>80.833999999999989</v>
      </c>
      <c r="AQ81" s="612">
        <f t="shared" ca="1" si="133"/>
        <v>-194.87399999999997</v>
      </c>
      <c r="AR81" s="612">
        <f t="shared" ca="1" si="133"/>
        <v>123.75500000000004</v>
      </c>
      <c r="AS81" s="612">
        <f t="shared" ca="1" si="133"/>
        <v>55.399000000000008</v>
      </c>
      <c r="AT81" s="612">
        <f t="shared" ca="1" si="133"/>
        <v>37.129000000000005</v>
      </c>
      <c r="AU81" s="613">
        <f t="shared" ca="1" si="133"/>
        <v>-156.18100000000004</v>
      </c>
      <c r="AV81" s="612">
        <f t="shared" ca="1" si="133"/>
        <v>173.97642402342149</v>
      </c>
      <c r="AW81" s="612">
        <f t="shared" ca="1" si="133"/>
        <v>83.980340145147736</v>
      </c>
      <c r="AX81" s="612">
        <f t="shared" ca="1" si="133"/>
        <v>88.821362176019022</v>
      </c>
      <c r="AY81" s="612" t="e">
        <f t="shared" ca="1" si="133"/>
        <v>#REF!</v>
      </c>
      <c r="AZ81" s="612" t="e">
        <f t="shared" ca="1" si="133"/>
        <v>#REF!</v>
      </c>
      <c r="BA81" s="612" t="e">
        <f t="shared" ca="1" si="133"/>
        <v>#REF!</v>
      </c>
      <c r="BB81" s="612" t="e">
        <f t="shared" ca="1" si="133"/>
        <v>#REF!</v>
      </c>
      <c r="BC81" s="612"/>
      <c r="BD81" s="849">
        <f t="shared" ref="BD81:BW81" ca="1" si="134">SUM(BD75:BD80)</f>
        <v>41.735999999999983</v>
      </c>
      <c r="BE81" s="849">
        <f t="shared" ca="1" si="134"/>
        <v>17.866000000000007</v>
      </c>
      <c r="BF81" s="849">
        <f t="shared" ca="1" si="134"/>
        <v>1.4690000000000096</v>
      </c>
      <c r="BG81" s="849">
        <f t="shared" ca="1" si="134"/>
        <v>17.71899999999998</v>
      </c>
      <c r="BH81" s="849">
        <f t="shared" ca="1" si="134"/>
        <v>26.111999999999984</v>
      </c>
      <c r="BI81" s="849">
        <f t="shared" ca="1" si="134"/>
        <v>9.6599999999999984</v>
      </c>
      <c r="BJ81" s="849">
        <f t="shared" ca="1" si="134"/>
        <v>49.809999999999988</v>
      </c>
      <c r="BK81" s="849">
        <f t="shared" ca="1" si="134"/>
        <v>-71.333999999999989</v>
      </c>
      <c r="BL81" s="849">
        <f t="shared" ca="1" si="134"/>
        <v>204.68000000000004</v>
      </c>
      <c r="BM81" s="849">
        <f t="shared" ca="1" si="134"/>
        <v>34.774999999999942</v>
      </c>
      <c r="BN81" s="849">
        <f t="shared" ca="1" si="134"/>
        <v>70.04000000000002</v>
      </c>
      <c r="BO81" s="849">
        <f t="shared" ca="1" si="134"/>
        <v>181.34712634458836</v>
      </c>
      <c r="BP81" s="849" t="e">
        <f t="shared" si="134"/>
        <v>#REF!</v>
      </c>
      <c r="BQ81" s="849" t="e">
        <f t="shared" si="134"/>
        <v>#REF!</v>
      </c>
      <c r="BR81" s="850" t="e">
        <f t="shared" si="134"/>
        <v>#REF!</v>
      </c>
      <c r="BS81" s="849" t="e">
        <f t="shared" ca="1" si="134"/>
        <v>#REF!</v>
      </c>
      <c r="BT81" s="849" t="e">
        <f t="shared" ca="1" si="134"/>
        <v>#REF!</v>
      </c>
      <c r="BU81" s="849">
        <f t="shared" ca="1" si="134"/>
        <v>0</v>
      </c>
      <c r="BV81" s="849">
        <f t="shared" ca="1" si="134"/>
        <v>0</v>
      </c>
      <c r="BW81" s="849">
        <f t="shared" ca="1" si="134"/>
        <v>0</v>
      </c>
      <c r="BX81" s="544"/>
    </row>
    <row r="82" spans="1:76" s="66" customFormat="1" ht="15" customHeight="1" x14ac:dyDescent="0.35">
      <c r="A82" s="165"/>
      <c r="B82" s="170"/>
      <c r="C82" s="544"/>
      <c r="D82" s="544"/>
      <c r="E82" s="544"/>
      <c r="F82" s="544"/>
      <c r="G82" s="544"/>
      <c r="H82" s="544"/>
      <c r="I82" s="544"/>
      <c r="J82" s="544"/>
      <c r="K82" s="544"/>
      <c r="L82" s="544"/>
      <c r="M82" s="544"/>
      <c r="N82" s="544"/>
      <c r="O82" s="544"/>
      <c r="P82" s="544"/>
      <c r="Q82" s="544"/>
      <c r="R82" s="544"/>
      <c r="S82" s="544"/>
      <c r="T82" s="544"/>
      <c r="U82" s="544"/>
      <c r="V82" s="544"/>
      <c r="W82" s="544"/>
      <c r="X82" s="544"/>
      <c r="Y82" s="544"/>
      <c r="Z82" s="544"/>
      <c r="AA82" s="544"/>
      <c r="AB82" s="544"/>
      <c r="AC82" s="544"/>
      <c r="AD82" s="544"/>
      <c r="AE82" s="544"/>
      <c r="AF82" s="544"/>
      <c r="AG82" s="544"/>
      <c r="AH82" s="544"/>
      <c r="AI82" s="544"/>
      <c r="AJ82" s="544"/>
      <c r="AK82" s="544"/>
      <c r="AL82" s="544"/>
      <c r="AM82" s="544"/>
      <c r="AN82" s="544"/>
      <c r="AO82" s="544"/>
      <c r="AP82" s="544"/>
      <c r="AQ82" s="544"/>
      <c r="AR82" s="544"/>
      <c r="AS82" s="544"/>
      <c r="AT82" s="544"/>
      <c r="AU82" s="617"/>
      <c r="AV82" s="544"/>
      <c r="AW82" s="544"/>
      <c r="AX82" s="544"/>
      <c r="AY82" s="544"/>
      <c r="AZ82" s="544"/>
      <c r="BA82" s="544"/>
      <c r="BB82" s="544"/>
      <c r="BC82" s="544"/>
      <c r="BD82" s="853"/>
      <c r="BE82" s="853"/>
      <c r="BF82" s="853"/>
      <c r="BG82" s="853"/>
      <c r="BH82" s="853"/>
      <c r="BI82" s="853"/>
      <c r="BJ82" s="853"/>
      <c r="BK82" s="853"/>
      <c r="BL82" s="853"/>
      <c r="BM82" s="853"/>
      <c r="BN82" s="853"/>
      <c r="BO82" s="853"/>
      <c r="BP82" s="853"/>
      <c r="BQ82" s="853"/>
      <c r="BR82" s="854"/>
      <c r="BS82" s="853"/>
      <c r="BT82" s="853"/>
      <c r="BU82" s="853"/>
      <c r="BV82" s="853"/>
      <c r="BW82" s="853"/>
      <c r="BX82" s="544"/>
    </row>
    <row r="83" spans="1:76" s="65" customFormat="1" ht="15" customHeight="1" x14ac:dyDescent="0.35">
      <c r="A83" s="184" t="s">
        <v>318</v>
      </c>
      <c r="B83" s="185"/>
      <c r="C83" s="80">
        <f t="shared" ref="C83:AH83" ca="1" si="135">INDEX(SP_CFA_CFO,0,COLUMN())/INDEX(SP_GF_ShareCount,0,COLUMN())</f>
        <v>-0.44389716439089649</v>
      </c>
      <c r="D83" s="80">
        <f t="shared" ca="1" si="135"/>
        <v>1.2675039149292002</v>
      </c>
      <c r="E83" s="80">
        <f t="shared" ca="1" si="135"/>
        <v>0.69591766815420641</v>
      </c>
      <c r="F83" s="80">
        <f t="shared" ca="1" si="135"/>
        <v>0.9139113587298533</v>
      </c>
      <c r="G83" s="80">
        <f t="shared" ca="1" si="135"/>
        <v>-0.10333009690688956</v>
      </c>
      <c r="H83" s="80">
        <f t="shared" ca="1" si="135"/>
        <v>0.61197339645460169</v>
      </c>
      <c r="I83" s="80">
        <f t="shared" ca="1" si="135"/>
        <v>1.5393668952726933</v>
      </c>
      <c r="J83" s="80">
        <f t="shared" ca="1" si="135"/>
        <v>1.0677454784075082</v>
      </c>
      <c r="K83" s="80">
        <f t="shared" ca="1" si="135"/>
        <v>-0.72713900565956091</v>
      </c>
      <c r="L83" s="80">
        <f t="shared" ca="1" si="135"/>
        <v>0.92621722728521505</v>
      </c>
      <c r="M83" s="80">
        <f t="shared" ca="1" si="135"/>
        <v>1.0353148211130765</v>
      </c>
      <c r="N83" s="80">
        <f t="shared" ca="1" si="135"/>
        <v>1.9922244134445808</v>
      </c>
      <c r="O83" s="80">
        <f t="shared" ca="1" si="135"/>
        <v>-0.63956094078637016</v>
      </c>
      <c r="P83" s="80">
        <f t="shared" ca="1" si="135"/>
        <v>0.97901113187938116</v>
      </c>
      <c r="Q83" s="80">
        <f t="shared" ca="1" si="135"/>
        <v>1.2352092138971433</v>
      </c>
      <c r="R83" s="80">
        <f t="shared" ca="1" si="135"/>
        <v>1.6319058031771361</v>
      </c>
      <c r="S83" s="80">
        <f t="shared" ca="1" si="135"/>
        <v>-1.5796532854771925</v>
      </c>
      <c r="T83" s="80">
        <f t="shared" ca="1" si="135"/>
        <v>1.7991771586408645</v>
      </c>
      <c r="U83" s="80">
        <f t="shared" ca="1" si="135"/>
        <v>0.68968451002001685</v>
      </c>
      <c r="V83" s="80">
        <f t="shared" ca="1" si="135"/>
        <v>1.32498868858604</v>
      </c>
      <c r="W83" s="80">
        <f t="shared" ca="1" si="135"/>
        <v>-1.5398827641445376</v>
      </c>
      <c r="X83" s="80">
        <f t="shared" ca="1" si="135"/>
        <v>1.4129054342405152</v>
      </c>
      <c r="Y83" s="80">
        <f t="shared" ca="1" si="135"/>
        <v>1.3773173822443066</v>
      </c>
      <c r="Z83" s="80">
        <f t="shared" ca="1" si="135"/>
        <v>1.2561350588330529</v>
      </c>
      <c r="AA83" s="80">
        <f t="shared" ca="1" si="135"/>
        <v>-1.2773049230384232</v>
      </c>
      <c r="AB83" s="80">
        <f t="shared" ca="1" si="135"/>
        <v>1.8345077006323085</v>
      </c>
      <c r="AC83" s="80">
        <f t="shared" ca="1" si="135"/>
        <v>1.1594526260820006</v>
      </c>
      <c r="AD83" s="80">
        <f t="shared" ca="1" si="135"/>
        <v>1.6394268845849234</v>
      </c>
      <c r="AE83" s="80">
        <f t="shared" ca="1" si="135"/>
        <v>-2.2096510187431928</v>
      </c>
      <c r="AF83" s="80">
        <f t="shared" ca="1" si="135"/>
        <v>1.6397936125024275</v>
      </c>
      <c r="AG83" s="80">
        <f t="shared" ca="1" si="135"/>
        <v>0.60817902386790956</v>
      </c>
      <c r="AH83" s="80">
        <f t="shared" ca="1" si="135"/>
        <v>1.8799132135477927</v>
      </c>
      <c r="AI83" s="80">
        <f t="shared" ref="AI83:BB83" ca="1" si="136">INDEX(SP_CFA_CFO,0,COLUMN())/INDEX(SP_GF_ShareCount,0,COLUMN())</f>
        <v>-2.7147164662783712</v>
      </c>
      <c r="AJ83" s="80">
        <f t="shared" ca="1" si="136"/>
        <v>0.84121557304708894</v>
      </c>
      <c r="AK83" s="80">
        <f t="shared" ca="1" si="136"/>
        <v>2.1846459106555889</v>
      </c>
      <c r="AL83" s="80">
        <f t="shared" ca="1" si="136"/>
        <v>2.9117927820683285</v>
      </c>
      <c r="AM83" s="80">
        <f t="shared" ca="1" si="136"/>
        <v>-3.2424316674353397</v>
      </c>
      <c r="AN83" s="80">
        <f t="shared" ca="1" si="136"/>
        <v>2.855869706836665</v>
      </c>
      <c r="AO83" s="80">
        <f t="shared" ca="1" si="136"/>
        <v>2.2088216069273896</v>
      </c>
      <c r="AP83" s="80">
        <f t="shared" ca="1" si="136"/>
        <v>2.9473129495274097</v>
      </c>
      <c r="AQ83" s="80">
        <f t="shared" ca="1" si="136"/>
        <v>-3.4020311703684998</v>
      </c>
      <c r="AR83" s="80">
        <f t="shared" ca="1" si="136"/>
        <v>3.8622396411488444</v>
      </c>
      <c r="AS83" s="80">
        <f t="shared" ca="1" si="136"/>
        <v>1.9908653093159661</v>
      </c>
      <c r="AT83" s="80">
        <f t="shared" ca="1" si="136"/>
        <v>2.2621110632820494</v>
      </c>
      <c r="AU83" s="516">
        <f t="shared" ca="1" si="136"/>
        <v>-3.1479174550225641</v>
      </c>
      <c r="AV83" s="80">
        <f t="shared" ca="1" si="136"/>
        <v>4.3483343576921136</v>
      </c>
      <c r="AW83" s="80">
        <f t="shared" ca="1" si="136"/>
        <v>2.3362342304310784</v>
      </c>
      <c r="AX83" s="80">
        <f t="shared" ca="1" si="136"/>
        <v>2.4627993681860332</v>
      </c>
      <c r="AY83" s="80" t="e">
        <f t="shared" ca="1" si="136"/>
        <v>#DIV/0!</v>
      </c>
      <c r="AZ83" s="80">
        <f t="shared" ca="1" si="136"/>
        <v>-0.31562105958662462</v>
      </c>
      <c r="BA83" s="80">
        <f t="shared" ca="1" si="136"/>
        <v>1.8076820071802795</v>
      </c>
      <c r="BB83" s="80">
        <f t="shared" ca="1" si="136"/>
        <v>1.9405759289128981</v>
      </c>
      <c r="BC83" s="80"/>
      <c r="BD83" s="844">
        <f t="shared" ref="BD83:BW83" ca="1" si="137">INDEX(SP_CFA_CFO,0,COLUMN())/INDEX(SP_GF_ShareCount,0,COLUMN())</f>
        <v>2.442324048445633</v>
      </c>
      <c r="BE83" s="844">
        <f t="shared" ca="1" si="137"/>
        <v>3.1320770799955828</v>
      </c>
      <c r="BF83" s="844">
        <f t="shared" ca="1" si="137"/>
        <v>3.1915918557730585</v>
      </c>
      <c r="BG83" s="844">
        <f t="shared" ca="1" si="137"/>
        <v>3.1345375495348975</v>
      </c>
      <c r="BH83" s="844">
        <f t="shared" ca="1" si="137"/>
        <v>2.2462253677343424</v>
      </c>
      <c r="BI83" s="844">
        <f t="shared" ca="1" si="137"/>
        <v>2.5500185246503841</v>
      </c>
      <c r="BJ83" s="844">
        <f t="shared" ca="1" si="137"/>
        <v>3.4584611476915259</v>
      </c>
      <c r="BK83" s="844">
        <f t="shared" ca="1" si="137"/>
        <v>1.9775854467417535</v>
      </c>
      <c r="BL83" s="844">
        <f t="shared" ca="1" si="137"/>
        <v>3.2040733170315305</v>
      </c>
      <c r="BM83" s="844">
        <f t="shared" ca="1" si="137"/>
        <v>4.8745657672424763</v>
      </c>
      <c r="BN83" s="844">
        <f t="shared" ca="1" si="137"/>
        <v>4.7544815230292912</v>
      </c>
      <c r="BO83" s="844">
        <f t="shared" ca="1" si="137"/>
        <v>6.0638074374837405</v>
      </c>
      <c r="BP83" s="844" t="e">
        <f t="shared" si="137"/>
        <v>#REF!</v>
      </c>
      <c r="BQ83" s="844" t="e">
        <f t="shared" si="137"/>
        <v>#REF!</v>
      </c>
      <c r="BR83" s="845" t="e">
        <f t="shared" si="137"/>
        <v>#REF!</v>
      </c>
      <c r="BS83" s="844" t="e">
        <f t="shared" ca="1" si="137"/>
        <v>#REF!</v>
      </c>
      <c r="BT83" s="844" t="e">
        <f t="shared" ca="1" si="137"/>
        <v>#DIV/0!</v>
      </c>
      <c r="BU83" s="844" t="e">
        <f t="shared" ca="1" si="137"/>
        <v>#DIV/0!</v>
      </c>
      <c r="BV83" s="844" t="e">
        <f t="shared" ca="1" si="137"/>
        <v>#DIV/0!</v>
      </c>
      <c r="BW83" s="844" t="e">
        <f t="shared" ca="1" si="137"/>
        <v>#DIV/0!</v>
      </c>
      <c r="BX83" s="80"/>
    </row>
    <row r="84" spans="1:76" s="65" customFormat="1" ht="15" customHeight="1" x14ac:dyDescent="0.35">
      <c r="A84" s="184" t="s">
        <v>319</v>
      </c>
      <c r="B84" s="185"/>
      <c r="C84" s="80">
        <f t="shared" ref="C84:AH84" ca="1" si="138">INDEX(SP_CFA_FCF_PreDiv,0,COLUMN())/INDEX(SP_GF_ShareCount,0,COLUMN())</f>
        <v>-0.83699396780525825</v>
      </c>
      <c r="D84" s="80">
        <f t="shared" ca="1" si="138"/>
        <v>0.99630757734813635</v>
      </c>
      <c r="E84" s="80">
        <f t="shared" ca="1" si="138"/>
        <v>0.41554206219486173</v>
      </c>
      <c r="F84" s="80">
        <f t="shared" ca="1" si="138"/>
        <v>0.56898752746711856</v>
      </c>
      <c r="G84" s="80">
        <f t="shared" ca="1" si="138"/>
        <v>-0.4361095196568549</v>
      </c>
      <c r="H84" s="80">
        <f t="shared" ca="1" si="138"/>
        <v>0.33661663585078999</v>
      </c>
      <c r="I84" s="80">
        <f t="shared" ca="1" si="138"/>
        <v>1.2231039489607214</v>
      </c>
      <c r="J84" s="80">
        <f t="shared" ca="1" si="138"/>
        <v>0.72610409391741271</v>
      </c>
      <c r="K84" s="80">
        <f t="shared" ca="1" si="138"/>
        <v>-1.2204050644422635</v>
      </c>
      <c r="L84" s="80">
        <f t="shared" ca="1" si="138"/>
        <v>0.59110629636384082</v>
      </c>
      <c r="M84" s="80">
        <f t="shared" ca="1" si="138"/>
        <v>0.65484397554368801</v>
      </c>
      <c r="N84" s="80">
        <f t="shared" ca="1" si="138"/>
        <v>1.5511514055450597</v>
      </c>
      <c r="O84" s="80">
        <f t="shared" ca="1" si="138"/>
        <v>-1.0186599471227544</v>
      </c>
      <c r="P84" s="80">
        <f t="shared" ca="1" si="138"/>
        <v>0.67049922057285349</v>
      </c>
      <c r="Q84" s="80">
        <f t="shared" ca="1" si="138"/>
        <v>0.84625920942148736</v>
      </c>
      <c r="R84" s="80">
        <f t="shared" ca="1" si="138"/>
        <v>1.0422985808639775</v>
      </c>
      <c r="S84" s="80">
        <f t="shared" ca="1" si="138"/>
        <v>-1.9494076036596399</v>
      </c>
      <c r="T84" s="80">
        <f t="shared" ca="1" si="138"/>
        <v>1.5470447103253246</v>
      </c>
      <c r="U84" s="80">
        <f t="shared" ca="1" si="138"/>
        <v>0.45321253158076907</v>
      </c>
      <c r="V84" s="80">
        <f t="shared" ca="1" si="138"/>
        <v>0.93639104796534878</v>
      </c>
      <c r="W84" s="80">
        <f t="shared" ca="1" si="138"/>
        <v>-1.9367819083950026</v>
      </c>
      <c r="X84" s="80">
        <f t="shared" ca="1" si="138"/>
        <v>1.2102050582088282</v>
      </c>
      <c r="Y84" s="80">
        <f t="shared" ca="1" si="138"/>
        <v>1.1459247259304479</v>
      </c>
      <c r="Z84" s="80">
        <f t="shared" ca="1" si="138"/>
        <v>1.0059636647875421</v>
      </c>
      <c r="AA84" s="80">
        <f t="shared" ca="1" si="138"/>
        <v>-1.7388748190439158</v>
      </c>
      <c r="AB84" s="80">
        <f t="shared" ca="1" si="138"/>
        <v>1.5980306140617568</v>
      </c>
      <c r="AC84" s="80">
        <f t="shared" ca="1" si="138"/>
        <v>0.93319518544667679</v>
      </c>
      <c r="AD84" s="80">
        <f t="shared" ca="1" si="138"/>
        <v>1.3590371277029782</v>
      </c>
      <c r="AE84" s="80">
        <f t="shared" ca="1" si="138"/>
        <v>-2.6415834004796865</v>
      </c>
      <c r="AF84" s="80">
        <f t="shared" ca="1" si="138"/>
        <v>1.4062163960699088</v>
      </c>
      <c r="AG84" s="80">
        <f t="shared" ca="1" si="138"/>
        <v>0.37096667013696788</v>
      </c>
      <c r="AH84" s="80">
        <f t="shared" ca="1" si="138"/>
        <v>1.6560434606590935</v>
      </c>
      <c r="AI84" s="80">
        <f t="shared" ref="AI84:BB84" ca="1" si="139">INDEX(SP_CFA_FCF_PreDiv,0,COLUMN())/INDEX(SP_GF_ShareCount,0,COLUMN())</f>
        <v>-3.0180608415713488</v>
      </c>
      <c r="AJ84" s="80">
        <f t="shared" ca="1" si="139"/>
        <v>0.5795278502424126</v>
      </c>
      <c r="AK84" s="80">
        <f t="shared" ca="1" si="139"/>
        <v>1.9125456108007703</v>
      </c>
      <c r="AL84" s="80">
        <f t="shared" ca="1" si="139"/>
        <v>2.5008027500380874</v>
      </c>
      <c r="AM84" s="80">
        <f t="shared" ca="1" si="139"/>
        <v>-3.620744126602915</v>
      </c>
      <c r="AN84" s="80">
        <f t="shared" ca="1" si="139"/>
        <v>2.518623431814949</v>
      </c>
      <c r="AO84" s="80">
        <f t="shared" ca="1" si="139"/>
        <v>1.7712864440376241</v>
      </c>
      <c r="AP84" s="80">
        <f t="shared" ca="1" si="139"/>
        <v>2.4847378885381537</v>
      </c>
      <c r="AQ84" s="80">
        <f t="shared" ca="1" si="139"/>
        <v>-3.8025147832663775</v>
      </c>
      <c r="AR84" s="80">
        <f t="shared" ca="1" si="139"/>
        <v>3.4650819719985284</v>
      </c>
      <c r="AS84" s="80">
        <f t="shared" ca="1" si="139"/>
        <v>1.6349640130458127</v>
      </c>
      <c r="AT84" s="80">
        <f t="shared" ca="1" si="139"/>
        <v>1.8514397707970165</v>
      </c>
      <c r="AU84" s="516">
        <f t="shared" ca="1" si="139"/>
        <v>-3.5236295054357742</v>
      </c>
      <c r="AV84" s="80">
        <f t="shared" ca="1" si="139"/>
        <v>3.9716603558056778</v>
      </c>
      <c r="AW84" s="80">
        <f t="shared" ca="1" si="139"/>
        <v>1.9182351667183735</v>
      </c>
      <c r="AX84" s="80">
        <f t="shared" ca="1" si="139"/>
        <v>2.0288112692493447</v>
      </c>
      <c r="AY84" s="80" t="e">
        <f t="shared" ca="1" si="139"/>
        <v>#DIV/0!</v>
      </c>
      <c r="AZ84" s="80">
        <f t="shared" ca="1" si="139"/>
        <v>-1.2559052852070653</v>
      </c>
      <c r="BA84" s="80">
        <f t="shared" ca="1" si="139"/>
        <v>1.0056305591883123</v>
      </c>
      <c r="BB84" s="80">
        <f t="shared" ca="1" si="139"/>
        <v>0.56485244630133946</v>
      </c>
      <c r="BC84" s="80"/>
      <c r="BD84" s="844">
        <f t="shared" ref="BD84:BW84" ca="1" si="140">INDEX(SP_CFA_FCF_PreDiv,0,COLUMN())/INDEX(SP_GF_ShareCount,0,COLUMN())</f>
        <v>1.152000475685877</v>
      </c>
      <c r="BE84" s="844">
        <f t="shared" ca="1" si="140"/>
        <v>1.8736434667339068</v>
      </c>
      <c r="BF84" s="844">
        <f t="shared" ca="1" si="140"/>
        <v>1.5506801584301044</v>
      </c>
      <c r="BG84" s="844">
        <f t="shared" ca="1" si="140"/>
        <v>1.5155060999648184</v>
      </c>
      <c r="BH84" s="844">
        <f t="shared" ca="1" si="140"/>
        <v>1.0253934755061738</v>
      </c>
      <c r="BI84" s="844">
        <f t="shared" ca="1" si="140"/>
        <v>1.4868935637765717</v>
      </c>
      <c r="BJ84" s="844">
        <f t="shared" ca="1" si="140"/>
        <v>2.2762353217014124</v>
      </c>
      <c r="BK84" s="844">
        <f t="shared" ca="1" si="140"/>
        <v>0.8710081620680149</v>
      </c>
      <c r="BL84" s="844">
        <f t="shared" ca="1" si="140"/>
        <v>1.9558102997522246</v>
      </c>
      <c r="BM84" s="844">
        <f t="shared" ca="1" si="140"/>
        <v>3.2811734093243201</v>
      </c>
      <c r="BN84" s="844">
        <f t="shared" ca="1" si="140"/>
        <v>3.1970055870482268</v>
      </c>
      <c r="BO84" s="844">
        <f t="shared" ca="1" si="140"/>
        <v>4.4648619570675594</v>
      </c>
      <c r="BP84" s="844" t="e">
        <f t="shared" si="140"/>
        <v>#REF!</v>
      </c>
      <c r="BQ84" s="844" t="e">
        <f t="shared" si="140"/>
        <v>#REF!</v>
      </c>
      <c r="BR84" s="845" t="e">
        <f t="shared" si="140"/>
        <v>#REF!</v>
      </c>
      <c r="BS84" s="844" t="e">
        <f t="shared" ca="1" si="140"/>
        <v>#REF!</v>
      </c>
      <c r="BT84" s="844" t="e">
        <f t="shared" ca="1" si="140"/>
        <v>#DIV/0!</v>
      </c>
      <c r="BU84" s="844" t="e">
        <f t="shared" ca="1" si="140"/>
        <v>#DIV/0!</v>
      </c>
      <c r="BV84" s="844" t="e">
        <f t="shared" ca="1" si="140"/>
        <v>#DIV/0!</v>
      </c>
      <c r="BW84" s="844" t="e">
        <f t="shared" ca="1" si="140"/>
        <v>#DIV/0!</v>
      </c>
      <c r="BX84" s="80"/>
    </row>
    <row r="85" spans="1:76" s="65" customFormat="1" ht="15" customHeight="1" x14ac:dyDescent="0.35">
      <c r="A85" s="184" t="s">
        <v>98</v>
      </c>
      <c r="B85" s="185"/>
      <c r="C85" s="80">
        <f t="shared" ref="C85:AH85" si="141">INDEX(MO_CFSum_DPS,0,COLUMN())</f>
        <v>0</v>
      </c>
      <c r="D85" s="80">
        <f t="shared" si="141"/>
        <v>0</v>
      </c>
      <c r="E85" s="80">
        <f t="shared" si="141"/>
        <v>0</v>
      </c>
      <c r="F85" s="80">
        <f t="shared" si="141"/>
        <v>0</v>
      </c>
      <c r="G85" s="80">
        <f t="shared" si="141"/>
        <v>0</v>
      </c>
      <c r="H85" s="80">
        <f t="shared" si="141"/>
        <v>0</v>
      </c>
      <c r="I85" s="80">
        <f t="shared" si="141"/>
        <v>0</v>
      </c>
      <c r="J85" s="80">
        <f t="shared" si="141"/>
        <v>0</v>
      </c>
      <c r="K85" s="80">
        <f t="shared" si="141"/>
        <v>0</v>
      </c>
      <c r="L85" s="80">
        <f t="shared" si="141"/>
        <v>0</v>
      </c>
      <c r="M85" s="80">
        <f t="shared" si="141"/>
        <v>0</v>
      </c>
      <c r="N85" s="80">
        <f t="shared" si="141"/>
        <v>0</v>
      </c>
      <c r="O85" s="80">
        <f t="shared" si="141"/>
        <v>0</v>
      </c>
      <c r="P85" s="80">
        <f t="shared" si="141"/>
        <v>0</v>
      </c>
      <c r="Q85" s="80">
        <f t="shared" si="141"/>
        <v>0</v>
      </c>
      <c r="R85" s="80">
        <f t="shared" si="141"/>
        <v>0</v>
      </c>
      <c r="S85" s="80">
        <f t="shared" si="141"/>
        <v>0</v>
      </c>
      <c r="T85" s="80">
        <f t="shared" si="141"/>
        <v>0</v>
      </c>
      <c r="U85" s="80">
        <f t="shared" si="141"/>
        <v>0</v>
      </c>
      <c r="V85" s="80">
        <f t="shared" si="141"/>
        <v>0</v>
      </c>
      <c r="W85" s="80">
        <f t="shared" si="141"/>
        <v>0</v>
      </c>
      <c r="X85" s="80">
        <f t="shared" si="141"/>
        <v>0</v>
      </c>
      <c r="Y85" s="80">
        <f t="shared" si="141"/>
        <v>0</v>
      </c>
      <c r="Z85" s="80">
        <f t="shared" si="141"/>
        <v>0</v>
      </c>
      <c r="AA85" s="80">
        <f t="shared" si="141"/>
        <v>0</v>
      </c>
      <c r="AB85" s="80">
        <f t="shared" si="141"/>
        <v>0</v>
      </c>
      <c r="AC85" s="80">
        <f t="shared" si="141"/>
        <v>0</v>
      </c>
      <c r="AD85" s="80">
        <f t="shared" si="141"/>
        <v>0</v>
      </c>
      <c r="AE85" s="80">
        <f t="shared" si="141"/>
        <v>0</v>
      </c>
      <c r="AF85" s="80">
        <f t="shared" si="141"/>
        <v>0</v>
      </c>
      <c r="AG85" s="80">
        <f t="shared" si="141"/>
        <v>0</v>
      </c>
      <c r="AH85" s="80">
        <f t="shared" si="141"/>
        <v>0</v>
      </c>
      <c r="AI85" s="80">
        <f t="shared" ref="AI85:BB85" si="142">INDEX(MO_CFSum_DPS,0,COLUMN())</f>
        <v>0</v>
      </c>
      <c r="AJ85" s="80">
        <f t="shared" si="142"/>
        <v>0</v>
      </c>
      <c r="AK85" s="80">
        <f t="shared" si="142"/>
        <v>0</v>
      </c>
      <c r="AL85" s="80">
        <f t="shared" si="142"/>
        <v>0</v>
      </c>
      <c r="AM85" s="80">
        <f t="shared" si="142"/>
        <v>0</v>
      </c>
      <c r="AN85" s="80">
        <f t="shared" si="142"/>
        <v>0</v>
      </c>
      <c r="AO85" s="80">
        <f t="shared" si="142"/>
        <v>0</v>
      </c>
      <c r="AP85" s="80">
        <f t="shared" si="142"/>
        <v>0</v>
      </c>
      <c r="AQ85" s="80">
        <f t="shared" si="142"/>
        <v>0</v>
      </c>
      <c r="AR85" s="80">
        <f t="shared" si="142"/>
        <v>0</v>
      </c>
      <c r="AS85" s="80">
        <f t="shared" si="142"/>
        <v>0</v>
      </c>
      <c r="AT85" s="80">
        <f t="shared" si="142"/>
        <v>0</v>
      </c>
      <c r="AU85" s="516">
        <f t="shared" si="142"/>
        <v>0</v>
      </c>
      <c r="AV85" s="80">
        <f t="shared" si="142"/>
        <v>0</v>
      </c>
      <c r="AW85" s="80">
        <f t="shared" si="142"/>
        <v>0</v>
      </c>
      <c r="AX85" s="80">
        <f t="shared" si="142"/>
        <v>0</v>
      </c>
      <c r="AY85" s="80">
        <f t="shared" si="142"/>
        <v>0</v>
      </c>
      <c r="AZ85" s="80">
        <f t="shared" si="142"/>
        <v>0</v>
      </c>
      <c r="BA85" s="80">
        <f t="shared" si="142"/>
        <v>0</v>
      </c>
      <c r="BB85" s="80">
        <f t="shared" si="142"/>
        <v>0</v>
      </c>
      <c r="BC85" s="80"/>
      <c r="BD85" s="844">
        <f t="shared" ref="BD85:BW85" si="143">INDEX(MO_CFSum_DPS,0,COLUMN())</f>
        <v>0</v>
      </c>
      <c r="BE85" s="844">
        <f t="shared" si="143"/>
        <v>0</v>
      </c>
      <c r="BF85" s="844">
        <f t="shared" si="143"/>
        <v>0</v>
      </c>
      <c r="BG85" s="844">
        <f t="shared" si="143"/>
        <v>0</v>
      </c>
      <c r="BH85" s="844">
        <f t="shared" si="143"/>
        <v>0</v>
      </c>
      <c r="BI85" s="844">
        <f t="shared" si="143"/>
        <v>0</v>
      </c>
      <c r="BJ85" s="844">
        <f t="shared" si="143"/>
        <v>0</v>
      </c>
      <c r="BK85" s="844">
        <f t="shared" si="143"/>
        <v>0</v>
      </c>
      <c r="BL85" s="844">
        <f t="shared" si="143"/>
        <v>0</v>
      </c>
      <c r="BM85" s="844">
        <f t="shared" si="143"/>
        <v>0</v>
      </c>
      <c r="BN85" s="844">
        <f t="shared" si="143"/>
        <v>0</v>
      </c>
      <c r="BO85" s="844">
        <f t="shared" si="143"/>
        <v>0</v>
      </c>
      <c r="BP85" s="844" t="e">
        <f t="shared" si="143"/>
        <v>#REF!</v>
      </c>
      <c r="BQ85" s="844">
        <f t="shared" si="143"/>
        <v>0</v>
      </c>
      <c r="BR85" s="845">
        <f t="shared" si="143"/>
        <v>0</v>
      </c>
      <c r="BS85" s="844">
        <f t="shared" si="143"/>
        <v>0</v>
      </c>
      <c r="BT85" s="844">
        <f t="shared" si="143"/>
        <v>0</v>
      </c>
      <c r="BU85" s="844">
        <f t="shared" si="143"/>
        <v>0</v>
      </c>
      <c r="BV85" s="844">
        <f t="shared" si="143"/>
        <v>0</v>
      </c>
      <c r="BW85" s="844">
        <f t="shared" si="143"/>
        <v>0</v>
      </c>
      <c r="BX85" s="80"/>
    </row>
    <row r="86" spans="1:76" s="68" customFormat="1" ht="15" customHeight="1" x14ac:dyDescent="0.35">
      <c r="A86" s="191" t="s">
        <v>320</v>
      </c>
      <c r="B86" s="192"/>
      <c r="C86" s="85">
        <f t="shared" ref="C86:AH86" ca="1" si="144">C85/C84</f>
        <v>0</v>
      </c>
      <c r="D86" s="85">
        <f t="shared" ca="1" si="144"/>
        <v>0</v>
      </c>
      <c r="E86" s="85">
        <f t="shared" ca="1" si="144"/>
        <v>0</v>
      </c>
      <c r="F86" s="85">
        <f t="shared" ca="1" si="144"/>
        <v>0</v>
      </c>
      <c r="G86" s="85">
        <f t="shared" ca="1" si="144"/>
        <v>0</v>
      </c>
      <c r="H86" s="85">
        <f t="shared" ca="1" si="144"/>
        <v>0</v>
      </c>
      <c r="I86" s="85">
        <f t="shared" ca="1" si="144"/>
        <v>0</v>
      </c>
      <c r="J86" s="85">
        <f t="shared" ca="1" si="144"/>
        <v>0</v>
      </c>
      <c r="K86" s="85">
        <f t="shared" ca="1" si="144"/>
        <v>0</v>
      </c>
      <c r="L86" s="85">
        <f t="shared" ca="1" si="144"/>
        <v>0</v>
      </c>
      <c r="M86" s="85">
        <f t="shared" ca="1" si="144"/>
        <v>0</v>
      </c>
      <c r="N86" s="85">
        <f t="shared" ca="1" si="144"/>
        <v>0</v>
      </c>
      <c r="O86" s="85">
        <f t="shared" ca="1" si="144"/>
        <v>0</v>
      </c>
      <c r="P86" s="85">
        <f t="shared" ca="1" si="144"/>
        <v>0</v>
      </c>
      <c r="Q86" s="85">
        <f t="shared" ca="1" si="144"/>
        <v>0</v>
      </c>
      <c r="R86" s="85">
        <f t="shared" ca="1" si="144"/>
        <v>0</v>
      </c>
      <c r="S86" s="85">
        <f t="shared" ca="1" si="144"/>
        <v>0</v>
      </c>
      <c r="T86" s="85">
        <f t="shared" ca="1" si="144"/>
        <v>0</v>
      </c>
      <c r="U86" s="85">
        <f t="shared" ca="1" si="144"/>
        <v>0</v>
      </c>
      <c r="V86" s="85">
        <f t="shared" ca="1" si="144"/>
        <v>0</v>
      </c>
      <c r="W86" s="85">
        <f t="shared" ca="1" si="144"/>
        <v>0</v>
      </c>
      <c r="X86" s="85">
        <f t="shared" ca="1" si="144"/>
        <v>0</v>
      </c>
      <c r="Y86" s="85">
        <f t="shared" ca="1" si="144"/>
        <v>0</v>
      </c>
      <c r="Z86" s="85">
        <f t="shared" ca="1" si="144"/>
        <v>0</v>
      </c>
      <c r="AA86" s="85">
        <f t="shared" ca="1" si="144"/>
        <v>0</v>
      </c>
      <c r="AB86" s="85">
        <f t="shared" ca="1" si="144"/>
        <v>0</v>
      </c>
      <c r="AC86" s="85">
        <f t="shared" ca="1" si="144"/>
        <v>0</v>
      </c>
      <c r="AD86" s="85">
        <f t="shared" ca="1" si="144"/>
        <v>0</v>
      </c>
      <c r="AE86" s="85">
        <f t="shared" ca="1" si="144"/>
        <v>0</v>
      </c>
      <c r="AF86" s="85">
        <f t="shared" ca="1" si="144"/>
        <v>0</v>
      </c>
      <c r="AG86" s="85">
        <f t="shared" ca="1" si="144"/>
        <v>0</v>
      </c>
      <c r="AH86" s="85">
        <f t="shared" ca="1" si="144"/>
        <v>0</v>
      </c>
      <c r="AI86" s="85">
        <f t="shared" ref="AI86:BB86" ca="1" si="145">AI85/AI84</f>
        <v>0</v>
      </c>
      <c r="AJ86" s="85">
        <f t="shared" ca="1" si="145"/>
        <v>0</v>
      </c>
      <c r="AK86" s="85">
        <f t="shared" ca="1" si="145"/>
        <v>0</v>
      </c>
      <c r="AL86" s="85">
        <f t="shared" ca="1" si="145"/>
        <v>0</v>
      </c>
      <c r="AM86" s="85">
        <f t="shared" ca="1" si="145"/>
        <v>0</v>
      </c>
      <c r="AN86" s="85">
        <f t="shared" ca="1" si="145"/>
        <v>0</v>
      </c>
      <c r="AO86" s="85">
        <f t="shared" ca="1" si="145"/>
        <v>0</v>
      </c>
      <c r="AP86" s="85">
        <f t="shared" ca="1" si="145"/>
        <v>0</v>
      </c>
      <c r="AQ86" s="85">
        <f t="shared" ca="1" si="145"/>
        <v>0</v>
      </c>
      <c r="AR86" s="85">
        <f t="shared" ca="1" si="145"/>
        <v>0</v>
      </c>
      <c r="AS86" s="85">
        <f t="shared" ca="1" si="145"/>
        <v>0</v>
      </c>
      <c r="AT86" s="85">
        <f t="shared" ca="1" si="145"/>
        <v>0</v>
      </c>
      <c r="AU86" s="521">
        <f t="shared" ca="1" si="145"/>
        <v>0</v>
      </c>
      <c r="AV86" s="85">
        <f t="shared" ca="1" si="145"/>
        <v>0</v>
      </c>
      <c r="AW86" s="85">
        <f t="shared" ca="1" si="145"/>
        <v>0</v>
      </c>
      <c r="AX86" s="85">
        <f t="shared" ca="1" si="145"/>
        <v>0</v>
      </c>
      <c r="AY86" s="85" t="e">
        <f t="shared" ca="1" si="145"/>
        <v>#DIV/0!</v>
      </c>
      <c r="AZ86" s="85">
        <f t="shared" ca="1" si="145"/>
        <v>0</v>
      </c>
      <c r="BA86" s="85">
        <f t="shared" ca="1" si="145"/>
        <v>0</v>
      </c>
      <c r="BB86" s="85">
        <f t="shared" ca="1" si="145"/>
        <v>0</v>
      </c>
      <c r="BC86" s="85"/>
      <c r="BD86" s="868">
        <f t="shared" ref="BD86:BW86" ca="1" si="146">BD85/BD84</f>
        <v>0</v>
      </c>
      <c r="BE86" s="868">
        <f t="shared" ca="1" si="146"/>
        <v>0</v>
      </c>
      <c r="BF86" s="868">
        <f t="shared" ca="1" si="146"/>
        <v>0</v>
      </c>
      <c r="BG86" s="868">
        <f t="shared" ca="1" si="146"/>
        <v>0</v>
      </c>
      <c r="BH86" s="868">
        <f t="shared" ca="1" si="146"/>
        <v>0</v>
      </c>
      <c r="BI86" s="868">
        <f t="shared" ca="1" si="146"/>
        <v>0</v>
      </c>
      <c r="BJ86" s="868">
        <f t="shared" ca="1" si="146"/>
        <v>0</v>
      </c>
      <c r="BK86" s="868">
        <f t="shared" ca="1" si="146"/>
        <v>0</v>
      </c>
      <c r="BL86" s="868">
        <f t="shared" ca="1" si="146"/>
        <v>0</v>
      </c>
      <c r="BM86" s="868">
        <f t="shared" ca="1" si="146"/>
        <v>0</v>
      </c>
      <c r="BN86" s="868">
        <f t="shared" ca="1" si="146"/>
        <v>0</v>
      </c>
      <c r="BO86" s="868">
        <f t="shared" ca="1" si="146"/>
        <v>0</v>
      </c>
      <c r="BP86" s="868" t="e">
        <f t="shared" si="146"/>
        <v>#REF!</v>
      </c>
      <c r="BQ86" s="868" t="e">
        <f t="shared" si="146"/>
        <v>#REF!</v>
      </c>
      <c r="BR86" s="869" t="e">
        <f t="shared" si="146"/>
        <v>#REF!</v>
      </c>
      <c r="BS86" s="868" t="e">
        <f t="shared" ca="1" si="146"/>
        <v>#REF!</v>
      </c>
      <c r="BT86" s="868" t="e">
        <f t="shared" ca="1" si="146"/>
        <v>#DIV/0!</v>
      </c>
      <c r="BU86" s="868" t="e">
        <f t="shared" ca="1" si="146"/>
        <v>#DIV/0!</v>
      </c>
      <c r="BV86" s="868" t="e">
        <f t="shared" ca="1" si="146"/>
        <v>#DIV/0!</v>
      </c>
      <c r="BW86" s="868" t="e">
        <f t="shared" ca="1" si="146"/>
        <v>#DIV/0!</v>
      </c>
      <c r="BX86" s="222"/>
    </row>
    <row r="87" spans="1:76" s="68" customFormat="1" ht="15" customHeight="1" x14ac:dyDescent="0.35">
      <c r="A87" s="191" t="s">
        <v>321</v>
      </c>
      <c r="B87" s="192"/>
      <c r="C87" s="85">
        <f t="shared" ref="C87:AH87" si="147">C85/C58</f>
        <v>0</v>
      </c>
      <c r="D87" s="85">
        <f t="shared" si="147"/>
        <v>0</v>
      </c>
      <c r="E87" s="85">
        <f t="shared" si="147"/>
        <v>0</v>
      </c>
      <c r="F87" s="85">
        <f t="shared" si="147"/>
        <v>0</v>
      </c>
      <c r="G87" s="85">
        <f t="shared" si="147"/>
        <v>0</v>
      </c>
      <c r="H87" s="85">
        <f t="shared" si="147"/>
        <v>0</v>
      </c>
      <c r="I87" s="85">
        <f t="shared" si="147"/>
        <v>0</v>
      </c>
      <c r="J87" s="85">
        <f t="shared" si="147"/>
        <v>0</v>
      </c>
      <c r="K87" s="85">
        <f t="shared" si="147"/>
        <v>0</v>
      </c>
      <c r="L87" s="85">
        <f t="shared" si="147"/>
        <v>0</v>
      </c>
      <c r="M87" s="85">
        <f t="shared" si="147"/>
        <v>0</v>
      </c>
      <c r="N87" s="85">
        <f t="shared" si="147"/>
        <v>0</v>
      </c>
      <c r="O87" s="85">
        <f t="shared" si="147"/>
        <v>0</v>
      </c>
      <c r="P87" s="85">
        <f t="shared" si="147"/>
        <v>0</v>
      </c>
      <c r="Q87" s="85">
        <f t="shared" si="147"/>
        <v>0</v>
      </c>
      <c r="R87" s="85">
        <f t="shared" si="147"/>
        <v>0</v>
      </c>
      <c r="S87" s="85">
        <f t="shared" si="147"/>
        <v>0</v>
      </c>
      <c r="T87" s="85">
        <f t="shared" si="147"/>
        <v>0</v>
      </c>
      <c r="U87" s="85">
        <f t="shared" si="147"/>
        <v>0</v>
      </c>
      <c r="V87" s="85">
        <f t="shared" si="147"/>
        <v>0</v>
      </c>
      <c r="W87" s="85">
        <f t="shared" si="147"/>
        <v>0</v>
      </c>
      <c r="X87" s="85">
        <f t="shared" si="147"/>
        <v>0</v>
      </c>
      <c r="Y87" s="85">
        <f t="shared" si="147"/>
        <v>0</v>
      </c>
      <c r="Z87" s="85">
        <f t="shared" si="147"/>
        <v>0</v>
      </c>
      <c r="AA87" s="85">
        <f t="shared" si="147"/>
        <v>0</v>
      </c>
      <c r="AB87" s="85">
        <f t="shared" si="147"/>
        <v>0</v>
      </c>
      <c r="AC87" s="85">
        <f t="shared" si="147"/>
        <v>0</v>
      </c>
      <c r="AD87" s="85">
        <f t="shared" si="147"/>
        <v>0</v>
      </c>
      <c r="AE87" s="85">
        <f t="shared" si="147"/>
        <v>0</v>
      </c>
      <c r="AF87" s="85">
        <f t="shared" si="147"/>
        <v>0</v>
      </c>
      <c r="AG87" s="85">
        <f t="shared" si="147"/>
        <v>0</v>
      </c>
      <c r="AH87" s="85">
        <f t="shared" si="147"/>
        <v>0</v>
      </c>
      <c r="AI87" s="85">
        <f t="shared" ref="AI87:BB87" si="148">AI85/AI58</f>
        <v>0</v>
      </c>
      <c r="AJ87" s="85">
        <f t="shared" si="148"/>
        <v>0</v>
      </c>
      <c r="AK87" s="85">
        <f t="shared" si="148"/>
        <v>0</v>
      </c>
      <c r="AL87" s="85">
        <f t="shared" si="148"/>
        <v>0</v>
      </c>
      <c r="AM87" s="85">
        <f t="shared" si="148"/>
        <v>0</v>
      </c>
      <c r="AN87" s="85">
        <f t="shared" si="148"/>
        <v>0</v>
      </c>
      <c r="AO87" s="85">
        <f t="shared" si="148"/>
        <v>0</v>
      </c>
      <c r="AP87" s="85">
        <f t="shared" si="148"/>
        <v>0</v>
      </c>
      <c r="AQ87" s="85">
        <f t="shared" si="148"/>
        <v>0</v>
      </c>
      <c r="AR87" s="85">
        <f t="shared" si="148"/>
        <v>0</v>
      </c>
      <c r="AS87" s="85">
        <f t="shared" si="148"/>
        <v>0</v>
      </c>
      <c r="AT87" s="85">
        <f t="shared" si="148"/>
        <v>0</v>
      </c>
      <c r="AU87" s="521">
        <f t="shared" si="148"/>
        <v>0</v>
      </c>
      <c r="AV87" s="85">
        <f t="shared" ca="1" si="148"/>
        <v>0</v>
      </c>
      <c r="AW87" s="85">
        <f t="shared" ca="1" si="148"/>
        <v>0</v>
      </c>
      <c r="AX87" s="85">
        <f t="shared" ca="1" si="148"/>
        <v>0</v>
      </c>
      <c r="AY87" s="85" t="e">
        <f t="shared" si="148"/>
        <v>#DIV/0!</v>
      </c>
      <c r="AZ87" s="85">
        <f t="shared" si="148"/>
        <v>0</v>
      </c>
      <c r="BA87" s="85">
        <f t="shared" si="148"/>
        <v>0</v>
      </c>
      <c r="BB87" s="85">
        <f t="shared" si="148"/>
        <v>0</v>
      </c>
      <c r="BC87" s="85"/>
      <c r="BD87" s="868">
        <f t="shared" ref="BD87:BW87" si="149">BD85/BD58</f>
        <v>0</v>
      </c>
      <c r="BE87" s="868">
        <f t="shared" si="149"/>
        <v>0</v>
      </c>
      <c r="BF87" s="868">
        <f t="shared" si="149"/>
        <v>0</v>
      </c>
      <c r="BG87" s="868">
        <f t="shared" si="149"/>
        <v>0</v>
      </c>
      <c r="BH87" s="868">
        <f t="shared" si="149"/>
        <v>0</v>
      </c>
      <c r="BI87" s="868">
        <f t="shared" si="149"/>
        <v>0</v>
      </c>
      <c r="BJ87" s="868">
        <f t="shared" si="149"/>
        <v>0</v>
      </c>
      <c r="BK87" s="868">
        <f t="shared" si="149"/>
        <v>0</v>
      </c>
      <c r="BL87" s="868">
        <f t="shared" si="149"/>
        <v>0</v>
      </c>
      <c r="BM87" s="868">
        <f t="shared" si="149"/>
        <v>0</v>
      </c>
      <c r="BN87" s="868">
        <f t="shared" si="149"/>
        <v>0</v>
      </c>
      <c r="BO87" s="868">
        <f t="shared" ca="1" si="149"/>
        <v>0</v>
      </c>
      <c r="BP87" s="868" t="e">
        <f t="shared" si="149"/>
        <v>#REF!</v>
      </c>
      <c r="BQ87" s="868" t="e">
        <f t="shared" si="149"/>
        <v>#REF!</v>
      </c>
      <c r="BR87" s="869" t="e">
        <f t="shared" si="149"/>
        <v>#REF!</v>
      </c>
      <c r="BS87" s="868" t="e">
        <f t="shared" ca="1" si="149"/>
        <v>#REF!</v>
      </c>
      <c r="BT87" s="868" t="e">
        <f t="shared" si="149"/>
        <v>#DIV/0!</v>
      </c>
      <c r="BU87" s="868" t="e">
        <f t="shared" si="149"/>
        <v>#DIV/0!</v>
      </c>
      <c r="BV87" s="868" t="e">
        <f t="shared" si="149"/>
        <v>#DIV/0!</v>
      </c>
      <c r="BW87" s="868" t="e">
        <f t="shared" si="149"/>
        <v>#DIV/0!</v>
      </c>
      <c r="BX87" s="222"/>
    </row>
    <row r="88" spans="1:76" s="65" customFormat="1" ht="15" customHeight="1" x14ac:dyDescent="0.35">
      <c r="A88" s="184"/>
      <c r="B88" s="185"/>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516"/>
      <c r="AV88" s="80"/>
      <c r="AW88" s="80"/>
      <c r="AX88" s="80"/>
      <c r="AY88" s="80"/>
      <c r="AZ88" s="80"/>
      <c r="BA88" s="80"/>
      <c r="BB88" s="80"/>
      <c r="BC88" s="80"/>
      <c r="BD88" s="844"/>
      <c r="BE88" s="844"/>
      <c r="BF88" s="844"/>
      <c r="BG88" s="844"/>
      <c r="BH88" s="844"/>
      <c r="BI88" s="844"/>
      <c r="BJ88" s="844"/>
      <c r="BK88" s="844"/>
      <c r="BL88" s="844"/>
      <c r="BM88" s="844"/>
      <c r="BN88" s="844"/>
      <c r="BO88" s="844"/>
      <c r="BP88" s="844"/>
      <c r="BQ88" s="844"/>
      <c r="BR88" s="845"/>
      <c r="BS88" s="844"/>
      <c r="BT88" s="844"/>
      <c r="BU88" s="844"/>
      <c r="BV88" s="844"/>
      <c r="BW88" s="844"/>
      <c r="BX88" s="80"/>
    </row>
    <row r="89" spans="1:76" ht="15" customHeight="1" x14ac:dyDescent="0.35">
      <c r="A89" s="120" t="s">
        <v>322</v>
      </c>
      <c r="B89" s="545"/>
      <c r="C89" s="545"/>
      <c r="D89" s="545"/>
      <c r="E89" s="545"/>
      <c r="F89" s="545"/>
      <c r="G89" s="545"/>
      <c r="H89" s="545"/>
      <c r="I89" s="545"/>
      <c r="J89" s="545"/>
      <c r="K89" s="545"/>
      <c r="L89" s="545"/>
      <c r="M89" s="545"/>
      <c r="N89" s="545"/>
      <c r="O89" s="545"/>
      <c r="P89" s="545"/>
      <c r="Q89" s="545"/>
      <c r="R89" s="545"/>
      <c r="S89" s="545"/>
      <c r="T89" s="545"/>
      <c r="U89" s="545"/>
      <c r="V89" s="545"/>
      <c r="W89" s="545"/>
      <c r="X89" s="545"/>
      <c r="Y89" s="545"/>
      <c r="Z89" s="545"/>
      <c r="AA89" s="545"/>
      <c r="AB89" s="545"/>
      <c r="AC89" s="545"/>
      <c r="AD89" s="545"/>
      <c r="AE89" s="545"/>
      <c r="AF89" s="545"/>
      <c r="AG89" s="545"/>
      <c r="AH89" s="545"/>
      <c r="AI89" s="545"/>
      <c r="AJ89" s="545"/>
      <c r="AK89" s="545"/>
      <c r="AL89" s="545"/>
      <c r="AM89" s="545"/>
      <c r="AN89" s="545"/>
      <c r="AO89" s="545"/>
      <c r="AP89" s="545"/>
      <c r="AQ89" s="545"/>
      <c r="AR89" s="545"/>
      <c r="AS89" s="545"/>
      <c r="AT89" s="545"/>
      <c r="AU89" s="618"/>
      <c r="AV89" s="545"/>
      <c r="AW89" s="545"/>
      <c r="AX89" s="545"/>
      <c r="AY89" s="545"/>
      <c r="AZ89" s="545"/>
      <c r="BA89" s="545"/>
      <c r="BB89" s="545"/>
      <c r="BC89" s="545"/>
      <c r="BD89" s="545"/>
      <c r="BE89" s="545"/>
      <c r="BF89" s="545"/>
      <c r="BG89" s="545"/>
      <c r="BH89" s="545"/>
      <c r="BI89" s="545"/>
      <c r="BJ89" s="545"/>
      <c r="BK89" s="545"/>
      <c r="BL89" s="545"/>
      <c r="BM89" s="545"/>
      <c r="BN89" s="545"/>
      <c r="BO89" s="545"/>
      <c r="BP89" s="545"/>
      <c r="BQ89" s="545"/>
      <c r="BR89" s="618"/>
      <c r="BS89" s="545"/>
      <c r="BT89" s="545"/>
      <c r="BU89" s="545"/>
      <c r="BV89" s="545"/>
      <c r="BW89" s="545"/>
      <c r="BX89" s="543"/>
    </row>
    <row r="90" spans="1:76" s="69" customFormat="1" ht="15" customHeight="1" x14ac:dyDescent="0.35">
      <c r="A90" s="193" t="s">
        <v>106</v>
      </c>
      <c r="B90" s="194"/>
      <c r="C90" s="86"/>
      <c r="D90" s="86"/>
      <c r="E90" s="86"/>
      <c r="F90" s="86">
        <f t="shared" ref="F90:AK90" si="150">INDEX(MO_BSS_Debt_Net,0,COLUMN())/INDEX(SP_BSR_EBITDA_LTM,0,COLUMN())</f>
        <v>-1.1571409269017703</v>
      </c>
      <c r="G90" s="86">
        <f t="shared" si="150"/>
        <v>-1.1086750489669552</v>
      </c>
      <c r="H90" s="86">
        <f t="shared" si="150"/>
        <v>-1.1070195942367742</v>
      </c>
      <c r="I90" s="86">
        <f t="shared" si="150"/>
        <v>-1.2390502071695768</v>
      </c>
      <c r="J90" s="86">
        <f t="shared" si="150"/>
        <v>-1.2062811195064838</v>
      </c>
      <c r="K90" s="86">
        <f t="shared" si="150"/>
        <v>-0.57871240601503793</v>
      </c>
      <c r="L90" s="86">
        <f t="shared" si="150"/>
        <v>-0.67337574762519103</v>
      </c>
      <c r="M90" s="86">
        <f t="shared" si="150"/>
        <v>-0.8085302441914044</v>
      </c>
      <c r="N90" s="86">
        <f t="shared" si="150"/>
        <v>-1.3454143628518453</v>
      </c>
      <c r="O90" s="86">
        <f t="shared" si="150"/>
        <v>-1.0621690392682748</v>
      </c>
      <c r="P90" s="87">
        <f t="shared" si="150"/>
        <v>-1.3400954545039729</v>
      </c>
      <c r="Q90" s="87">
        <f t="shared" si="150"/>
        <v>-1.7495338411489307</v>
      </c>
      <c r="R90" s="87">
        <f t="shared" si="150"/>
        <v>-1.8942682745273192</v>
      </c>
      <c r="S90" s="87">
        <f t="shared" si="150"/>
        <v>-1.0758991219277496</v>
      </c>
      <c r="T90" s="87">
        <f t="shared" si="150"/>
        <v>-1.4906917294662114</v>
      </c>
      <c r="U90" s="87">
        <f t="shared" si="150"/>
        <v>-1.6572730472875192</v>
      </c>
      <c r="V90" s="87">
        <f t="shared" si="150"/>
        <v>-1.8995063950475883</v>
      </c>
      <c r="W90" s="87">
        <f t="shared" si="150"/>
        <v>-1.0154746032428716</v>
      </c>
      <c r="X90" s="87">
        <f t="shared" si="150"/>
        <v>-1.4209165790396079</v>
      </c>
      <c r="Y90" s="87">
        <f t="shared" si="150"/>
        <v>-1.6845643795964391</v>
      </c>
      <c r="Z90" s="87">
        <f t="shared" si="150"/>
        <v>-1.7027758135863582</v>
      </c>
      <c r="AA90" s="87">
        <f t="shared" si="150"/>
        <v>-0.86263780413332092</v>
      </c>
      <c r="AB90" s="87">
        <f t="shared" si="150"/>
        <v>-1.2170636138490203</v>
      </c>
      <c r="AC90" s="87">
        <f t="shared" si="150"/>
        <v>-1.4458515098894589</v>
      </c>
      <c r="AD90" s="87">
        <f t="shared" si="150"/>
        <v>-1.9464593222623201</v>
      </c>
      <c r="AE90" s="87">
        <f t="shared" si="150"/>
        <v>-0.90982281604572912</v>
      </c>
      <c r="AF90" s="87">
        <f t="shared" si="150"/>
        <v>-1.2971310342649114</v>
      </c>
      <c r="AG90" s="87">
        <f t="shared" si="150"/>
        <v>0.76591555097837305</v>
      </c>
      <c r="AH90" s="87">
        <f t="shared" si="150"/>
        <v>0.17066566789172624</v>
      </c>
      <c r="AI90" s="87">
        <f t="shared" si="150"/>
        <v>0.75004722413488367</v>
      </c>
      <c r="AJ90" s="87">
        <f t="shared" si="150"/>
        <v>1.1040555316258567</v>
      </c>
      <c r="AK90" s="87">
        <f t="shared" si="150"/>
        <v>0.63735985333542078</v>
      </c>
      <c r="AL90" s="87">
        <f t="shared" ref="AL90:BB90" si="151">INDEX(MO_BSS_Debt_Net,0,COLUMN())/INDEX(SP_BSR_EBITDA_LTM,0,COLUMN())</f>
        <v>0.33226885010797719</v>
      </c>
      <c r="AM90" s="87">
        <f t="shared" si="151"/>
        <v>1.6365132160928488</v>
      </c>
      <c r="AN90" s="87">
        <f t="shared" si="151"/>
        <v>1.3781216137892798</v>
      </c>
      <c r="AO90" s="87">
        <f t="shared" si="151"/>
        <v>1.0544558362733718</v>
      </c>
      <c r="AP90" s="87">
        <f t="shared" si="151"/>
        <v>0.64542751691613687</v>
      </c>
      <c r="AQ90" s="87">
        <f t="shared" si="151"/>
        <v>1.5070762431291833</v>
      </c>
      <c r="AR90" s="87">
        <f t="shared" si="151"/>
        <v>0.91773255164296541</v>
      </c>
      <c r="AS90" s="87">
        <f t="shared" si="151"/>
        <v>0.64689406751117684</v>
      </c>
      <c r="AT90" s="87">
        <f t="shared" si="151"/>
        <v>0.44905917745132123</v>
      </c>
      <c r="AU90" s="522">
        <f t="shared" si="151"/>
        <v>0.88087041676429423</v>
      </c>
      <c r="AV90" s="87">
        <f t="shared" ca="1" si="151"/>
        <v>0.34708226120477059</v>
      </c>
      <c r="AW90" s="87">
        <f t="shared" ca="1" si="151"/>
        <v>9.9801224021227763E-2</v>
      </c>
      <c r="AX90" s="87">
        <f t="shared" ca="1" si="151"/>
        <v>-0.14903756425930126</v>
      </c>
      <c r="AY90" s="87">
        <f t="shared" si="151"/>
        <v>0</v>
      </c>
      <c r="AZ90" s="87">
        <f t="shared" si="151"/>
        <v>-0.11626868124048832</v>
      </c>
      <c r="BA90" s="87">
        <f t="shared" si="151"/>
        <v>-0.31062396546430754</v>
      </c>
      <c r="BB90" s="87">
        <f t="shared" si="151"/>
        <v>-0.89802888162749028</v>
      </c>
      <c r="BC90" s="87"/>
      <c r="BD90" s="870">
        <f t="shared" ref="BD90:BW90" si="152">INDEX(MO_BSS_Debt_Net,0,COLUMN())/INDEX(SP_BSR_EBITDA_LTM,0,COLUMN())</f>
        <v>-1.1571409269017698</v>
      </c>
      <c r="BE90" s="870">
        <f t="shared" si="152"/>
        <v>-1.2062811195064842</v>
      </c>
      <c r="BF90" s="870">
        <f t="shared" si="152"/>
        <v>-1.345414362851846</v>
      </c>
      <c r="BG90" s="870">
        <f t="shared" si="152"/>
        <v>-1.8942682745273181</v>
      </c>
      <c r="BH90" s="870">
        <f t="shared" si="152"/>
        <v>-1.8995063950475886</v>
      </c>
      <c r="BI90" s="870">
        <f t="shared" si="152"/>
        <v>-1.7027758135863575</v>
      </c>
      <c r="BJ90" s="870">
        <f t="shared" si="152"/>
        <v>-1.9464593222623205</v>
      </c>
      <c r="BK90" s="870">
        <f t="shared" si="152"/>
        <v>0.17066566789172632</v>
      </c>
      <c r="BL90" s="870">
        <f t="shared" si="152"/>
        <v>0.33226885010797719</v>
      </c>
      <c r="BM90" s="870">
        <f t="shared" si="152"/>
        <v>0.64542751691613709</v>
      </c>
      <c r="BN90" s="870">
        <f t="shared" si="152"/>
        <v>0.4490591774513214</v>
      </c>
      <c r="BO90" s="870">
        <f t="shared" ca="1" si="152"/>
        <v>-0.14903756425930126</v>
      </c>
      <c r="BP90" s="870" t="e">
        <f t="shared" si="152"/>
        <v>#REF!</v>
      </c>
      <c r="BQ90" s="870" t="e">
        <f t="shared" si="152"/>
        <v>#REF!</v>
      </c>
      <c r="BR90" s="871" t="e">
        <f t="shared" ca="1" si="152"/>
        <v>#REF!</v>
      </c>
      <c r="BS90" s="870" t="e">
        <f t="shared" ca="1" si="152"/>
        <v>#REF!</v>
      </c>
      <c r="BT90" s="870" t="e">
        <f t="shared" si="152"/>
        <v>#DIV/0!</v>
      </c>
      <c r="BU90" s="870" t="e">
        <f t="shared" si="152"/>
        <v>#DIV/0!</v>
      </c>
      <c r="BV90" s="870" t="e">
        <f t="shared" si="152"/>
        <v>#DIV/0!</v>
      </c>
      <c r="BW90" s="870" t="e">
        <f t="shared" si="152"/>
        <v>#DIV/0!</v>
      </c>
      <c r="BX90" s="87"/>
    </row>
    <row r="91" spans="1:76" s="69" customFormat="1" ht="15" customHeight="1" x14ac:dyDescent="0.35">
      <c r="A91" s="193" t="s">
        <v>107</v>
      </c>
      <c r="B91" s="194"/>
      <c r="C91" s="86"/>
      <c r="D91" s="86"/>
      <c r="E91" s="86"/>
      <c r="F91" s="86">
        <f t="shared" ref="F91:AK91" ca="1" si="153">INDEX(MO_BSS_Debt_Net,0,COLUMN())/INDEX(SP_BSR_CashFlow_LTM,0,COLUMN())</f>
        <v>-1.5277932272045165</v>
      </c>
      <c r="G91" s="86">
        <f t="shared" ca="1" si="153"/>
        <v>-1.1310845903088571</v>
      </c>
      <c r="H91" s="86">
        <f t="shared" ca="1" si="153"/>
        <v>-1.446934708149846</v>
      </c>
      <c r="I91" s="86">
        <f t="shared" ca="1" si="153"/>
        <v>-1.2563635899747414</v>
      </c>
      <c r="J91" s="86">
        <f t="shared" ca="1" si="153"/>
        <v>-1.2954025701333902</v>
      </c>
      <c r="K91" s="86">
        <f t="shared" ca="1" si="153"/>
        <v>-0.74353968765094192</v>
      </c>
      <c r="L91" s="86">
        <f t="shared" ca="1" si="153"/>
        <v>-0.8403000091466204</v>
      </c>
      <c r="M91" s="86">
        <f t="shared" ca="1" si="153"/>
        <v>-1.2692122241866231</v>
      </c>
      <c r="N91" s="86">
        <f t="shared" ca="1" si="153"/>
        <v>-1.3839780155723025</v>
      </c>
      <c r="O91" s="86">
        <f t="shared" ca="1" si="153"/>
        <v>-1.0000485617624679</v>
      </c>
      <c r="P91" s="87">
        <f t="shared" ca="1" si="153"/>
        <v>-1.1652370561396546</v>
      </c>
      <c r="Q91" s="87">
        <f t="shared" ca="1" si="153"/>
        <v>-1.3021156287831812</v>
      </c>
      <c r="R91" s="87">
        <f t="shared" ca="1" si="153"/>
        <v>-1.5672535269096226</v>
      </c>
      <c r="S91" s="87">
        <f t="shared" ca="1" si="153"/>
        <v>-1.2511627364813671</v>
      </c>
      <c r="T91" s="87">
        <f t="shared" ca="1" si="153"/>
        <v>-1.3172992945918713</v>
      </c>
      <c r="U91" s="87">
        <f t="shared" ca="1" si="153"/>
        <v>-1.7289020819944716</v>
      </c>
      <c r="V91" s="87">
        <f t="shared" ca="1" si="153"/>
        <v>-2.3550513930213697</v>
      </c>
      <c r="W91" s="87">
        <f t="shared" ca="1" si="153"/>
        <v>-1.334908860644987</v>
      </c>
      <c r="X91" s="87">
        <f t="shared" ca="1" si="153"/>
        <v>-2.1409426987061009</v>
      </c>
      <c r="Y91" s="87">
        <f t="shared" ca="1" si="153"/>
        <v>-1.9109331449734648</v>
      </c>
      <c r="Z91" s="87">
        <f t="shared" ca="1" si="153"/>
        <v>-1.9984656508438925</v>
      </c>
      <c r="AA91" s="87">
        <f t="shared" ca="1" si="153"/>
        <v>-0.93551591624040353</v>
      </c>
      <c r="AB91" s="87">
        <f t="shared" ca="1" si="153"/>
        <v>-1.299240375164763</v>
      </c>
      <c r="AC91" s="87">
        <f t="shared" ca="1" si="153"/>
        <v>-1.6583651790919098</v>
      </c>
      <c r="AD91" s="87">
        <f t="shared" ca="1" si="153"/>
        <v>-1.8358897221869124</v>
      </c>
      <c r="AE91" s="87">
        <f t="shared" ca="1" si="153"/>
        <v>-1.1215490354626312</v>
      </c>
      <c r="AF91" s="87">
        <f t="shared" ca="1" si="153"/>
        <v>-1.7207613979215552</v>
      </c>
      <c r="AG91" s="87">
        <f t="shared" ca="1" si="153"/>
        <v>1.3031891778229481</v>
      </c>
      <c r="AH91" s="87">
        <f t="shared" ca="1" si="153"/>
        <v>0.27198905676801566</v>
      </c>
      <c r="AI91" s="87">
        <f t="shared" ca="1" si="153"/>
        <v>2.3358698952482158</v>
      </c>
      <c r="AJ91" s="87">
        <f t="shared" ca="1" si="153"/>
        <v>9.2035630437784857</v>
      </c>
      <c r="AK91" s="87">
        <f t="shared" ca="1" si="153"/>
        <v>1.5632569595083139</v>
      </c>
      <c r="AL91" s="87">
        <f t="shared" ref="AL91:BB91" ca="1" si="154">INDEX(MO_BSS_Debt_Net,0,COLUMN())/INDEX(SP_BSR_CashFlow_LTM,0,COLUMN())</f>
        <v>0.59411106969809935</v>
      </c>
      <c r="AM91" s="87">
        <f t="shared" ca="1" si="154"/>
        <v>3.1576899114983821</v>
      </c>
      <c r="AN91" s="87">
        <f t="shared" ca="1" si="154"/>
        <v>1.6208734482980058</v>
      </c>
      <c r="AO91" s="87">
        <f t="shared" ca="1" si="154"/>
        <v>1.307027799110702</v>
      </c>
      <c r="AP91" s="87">
        <f t="shared" ca="1" si="154"/>
        <v>0.85204269058989568</v>
      </c>
      <c r="AQ91" s="87">
        <f t="shared" ca="1" si="154"/>
        <v>1.9350825616651646</v>
      </c>
      <c r="AR91" s="87">
        <f t="shared" ca="1" si="154"/>
        <v>1.0277682765064615</v>
      </c>
      <c r="AS91" s="87">
        <f t="shared" ca="1" si="154"/>
        <v>0.78748473247849593</v>
      </c>
      <c r="AT91" s="87">
        <f t="shared" ca="1" si="154"/>
        <v>0.6546935761752396</v>
      </c>
      <c r="AU91" s="522">
        <f t="shared" ca="1" si="154"/>
        <v>1.3898223146958875</v>
      </c>
      <c r="AV91" s="87">
        <f t="shared" ca="1" si="154"/>
        <v>0.50292597474133727</v>
      </c>
      <c r="AW91" s="87">
        <f t="shared" ca="1" si="154"/>
        <v>0.13870190713847694</v>
      </c>
      <c r="AX91" s="87">
        <f t="shared" ca="1" si="154"/>
        <v>-0.20182265381470432</v>
      </c>
      <c r="AY91" s="87">
        <f t="shared" ca="1" si="154"/>
        <v>0</v>
      </c>
      <c r="AZ91" s="87">
        <f t="shared" ca="1" si="154"/>
        <v>-0.14724525811990533</v>
      </c>
      <c r="BA91" s="87">
        <f t="shared" ca="1" si="154"/>
        <v>-0.42104819914617048</v>
      </c>
      <c r="BB91" s="87">
        <f t="shared" ca="1" si="154"/>
        <v>-1.5140841315822211</v>
      </c>
      <c r="BC91" s="87"/>
      <c r="BD91" s="870">
        <f t="shared" ref="BD91:BW91" ca="1" si="155">INDEX(MO_BSS_Debt_Net,0,COLUMN())/INDEX(SP_BSR_CashFlow_LTM,0,COLUMN())</f>
        <v>-1.5277932272045169</v>
      </c>
      <c r="BE91" s="870">
        <f t="shared" ca="1" si="155"/>
        <v>-1.2954025701333898</v>
      </c>
      <c r="BF91" s="870">
        <f t="shared" ca="1" si="155"/>
        <v>-1.3839780155723027</v>
      </c>
      <c r="BG91" s="870">
        <f t="shared" ca="1" si="155"/>
        <v>-1.5672535269096226</v>
      </c>
      <c r="BH91" s="870">
        <f t="shared" ca="1" si="155"/>
        <v>-2.3550513930213688</v>
      </c>
      <c r="BI91" s="870">
        <f t="shared" ca="1" si="155"/>
        <v>-1.998465650843892</v>
      </c>
      <c r="BJ91" s="870">
        <f t="shared" ca="1" si="155"/>
        <v>-1.8358897221869128</v>
      </c>
      <c r="BK91" s="870">
        <f t="shared" ca="1" si="155"/>
        <v>0.27198905676801577</v>
      </c>
      <c r="BL91" s="870">
        <f t="shared" ca="1" si="155"/>
        <v>0.59411106969809946</v>
      </c>
      <c r="BM91" s="870">
        <f t="shared" ca="1" si="155"/>
        <v>0.85204269058989601</v>
      </c>
      <c r="BN91" s="870">
        <f t="shared" ca="1" si="155"/>
        <v>0.65469357617523971</v>
      </c>
      <c r="BO91" s="870">
        <f t="shared" ca="1" si="155"/>
        <v>-0.20182265381470416</v>
      </c>
      <c r="BP91" s="870" t="e">
        <f t="shared" si="155"/>
        <v>#REF!</v>
      </c>
      <c r="BQ91" s="870" t="e">
        <f t="shared" si="155"/>
        <v>#REF!</v>
      </c>
      <c r="BR91" s="871" t="e">
        <f t="shared" ca="1" si="155"/>
        <v>#REF!</v>
      </c>
      <c r="BS91" s="870" t="e">
        <f t="shared" ca="1" si="155"/>
        <v>#REF!</v>
      </c>
      <c r="BT91" s="870" t="e">
        <f t="shared" ca="1" si="155"/>
        <v>#DIV/0!</v>
      </c>
      <c r="BU91" s="870" t="e">
        <f t="shared" ca="1" si="155"/>
        <v>#DIV/0!</v>
      </c>
      <c r="BV91" s="870" t="e">
        <f t="shared" ca="1" si="155"/>
        <v>#DIV/0!</v>
      </c>
      <c r="BW91" s="870" t="e">
        <f t="shared" ca="1" si="155"/>
        <v>#DIV/0!</v>
      </c>
      <c r="BX91" s="87"/>
    </row>
    <row r="92" spans="1:76" s="70" customFormat="1" x14ac:dyDescent="0.35">
      <c r="A92" s="195" t="s">
        <v>323</v>
      </c>
      <c r="B92" s="196"/>
      <c r="C92" s="88"/>
      <c r="D92" s="88"/>
      <c r="E92" s="88"/>
      <c r="F92" s="88">
        <f t="shared" ref="F92:AK92" si="156">INDEX(MO_BSS_Debt_Net,0,COLUMN())/SUM(INDEX(MO_BS_SE,0,COLUMN()),INDEX(MO_BSS_Debt,0,COLUMN()),IFERROR(INDEX(MO_BSS_OL,0,COLUMN()),0))</f>
        <v>-0.2571980765086016</v>
      </c>
      <c r="G92" s="88">
        <f t="shared" si="156"/>
        <v>-0.21338408405486911</v>
      </c>
      <c r="H92" s="88">
        <f t="shared" si="156"/>
        <v>-0.21184033043757822</v>
      </c>
      <c r="I92" s="88">
        <f t="shared" si="156"/>
        <v>-0.26023943994447357</v>
      </c>
      <c r="J92" s="88">
        <f t="shared" si="156"/>
        <v>-0.2812841841486281</v>
      </c>
      <c r="K92" s="88">
        <f t="shared" si="156"/>
        <v>-0.13850462244415951</v>
      </c>
      <c r="L92" s="88">
        <f t="shared" si="156"/>
        <v>-0.16821386066099056</v>
      </c>
      <c r="M92" s="88">
        <f t="shared" si="156"/>
        <v>-0.19508287263570798</v>
      </c>
      <c r="N92" s="88">
        <f t="shared" si="156"/>
        <v>-0.29332239077295069</v>
      </c>
      <c r="O92" s="88">
        <f t="shared" si="156"/>
        <v>-0.22410690966075625</v>
      </c>
      <c r="P92" s="88">
        <f t="shared" si="156"/>
        <v>-0.26235638190487931</v>
      </c>
      <c r="Q92" s="88">
        <f t="shared" si="156"/>
        <v>-0.30663099633562096</v>
      </c>
      <c r="R92" s="88">
        <f t="shared" si="156"/>
        <v>-0.32801640279658745</v>
      </c>
      <c r="S92" s="88">
        <f t="shared" si="156"/>
        <v>-0.18781583773114771</v>
      </c>
      <c r="T92" s="88">
        <f t="shared" si="156"/>
        <v>-0.26817613761670211</v>
      </c>
      <c r="U92" s="88">
        <f t="shared" si="156"/>
        <v>-0.2837996460165137</v>
      </c>
      <c r="V92" s="88">
        <f t="shared" si="156"/>
        <v>-0.3504547581471561</v>
      </c>
      <c r="W92" s="88">
        <f t="shared" si="156"/>
        <v>-0.19802402039720884</v>
      </c>
      <c r="X92" s="88">
        <f t="shared" si="156"/>
        <v>-0.26444538307112492</v>
      </c>
      <c r="Y92" s="88">
        <f t="shared" si="156"/>
        <v>-0.31922116522254934</v>
      </c>
      <c r="Z92" s="88">
        <f t="shared" si="156"/>
        <v>-0.33772445520028305</v>
      </c>
      <c r="AA92" s="88">
        <f t="shared" si="156"/>
        <v>-0.17502298708158617</v>
      </c>
      <c r="AB92" s="88">
        <f t="shared" si="156"/>
        <v>-0.266983139373766</v>
      </c>
      <c r="AC92" s="88">
        <f t="shared" si="156"/>
        <v>-0.31226779401070531</v>
      </c>
      <c r="AD92" s="88">
        <f t="shared" si="156"/>
        <v>-0.39508793899208661</v>
      </c>
      <c r="AE92" s="88">
        <f t="shared" si="156"/>
        <v>-0.17244410896254686</v>
      </c>
      <c r="AF92" s="88">
        <f t="shared" si="156"/>
        <v>-0.23465956170176286</v>
      </c>
      <c r="AG92" s="88">
        <f t="shared" si="156"/>
        <v>0.10225546542004678</v>
      </c>
      <c r="AH92" s="88">
        <f t="shared" si="156"/>
        <v>2.4021965952773186E-2</v>
      </c>
      <c r="AI92" s="88">
        <f t="shared" si="156"/>
        <v>0.10685947342468419</v>
      </c>
      <c r="AJ92" s="88">
        <f t="shared" si="156"/>
        <v>0.16502109718572128</v>
      </c>
      <c r="AK92" s="88">
        <f t="shared" si="156"/>
        <v>0.1102368666142438</v>
      </c>
      <c r="AL92" s="88">
        <f t="shared" ref="AL92:BB92" si="157">INDEX(MO_BSS_Debt_Net,0,COLUMN())/SUM(INDEX(MO_BS_SE,0,COLUMN()),INDEX(MO_BSS_Debt,0,COLUMN()),IFERROR(INDEX(MO_BSS_OL,0,COLUMN()),0))</f>
        <v>6.2709984027444515E-2</v>
      </c>
      <c r="AM92" s="88">
        <f t="shared" si="157"/>
        <v>0.28267144208305128</v>
      </c>
      <c r="AN92" s="88">
        <f t="shared" si="157"/>
        <v>0.2486096926018978</v>
      </c>
      <c r="AO92" s="88">
        <f t="shared" si="157"/>
        <v>0.19699984738238668</v>
      </c>
      <c r="AP92" s="88">
        <f t="shared" si="157"/>
        <v>0.12789669240698187</v>
      </c>
      <c r="AQ92" s="88">
        <f t="shared" si="157"/>
        <v>0.2779796169421293</v>
      </c>
      <c r="AR92" s="88">
        <f t="shared" si="157"/>
        <v>0.17517164106417818</v>
      </c>
      <c r="AS92" s="88">
        <f t="shared" si="157"/>
        <v>0.12535967021642047</v>
      </c>
      <c r="AT92" s="88">
        <f t="shared" si="157"/>
        <v>8.9196327016760724E-2</v>
      </c>
      <c r="AU92" s="523">
        <f t="shared" si="157"/>
        <v>0.19466807049315604</v>
      </c>
      <c r="AV92" s="88">
        <f t="shared" ca="1" si="157"/>
        <v>7.6109602143438607E-2</v>
      </c>
      <c r="AW92" s="88">
        <f t="shared" ca="1" si="157"/>
        <v>2.1608881984509408E-2</v>
      </c>
      <c r="AX92" s="88">
        <f t="shared" ca="1" si="157"/>
        <v>-3.1749653790066681E-2</v>
      </c>
      <c r="AY92" s="88" t="e">
        <f t="shared" si="157"/>
        <v>#DIV/0!</v>
      </c>
      <c r="AZ92" s="88">
        <f t="shared" si="157"/>
        <v>-0.14441002892206675</v>
      </c>
      <c r="BA92" s="88">
        <f t="shared" si="157"/>
        <v>-0.26594573192610838</v>
      </c>
      <c r="BB92" s="88">
        <f t="shared" si="157"/>
        <v>-0.36036706716381606</v>
      </c>
      <c r="BC92" s="88"/>
      <c r="BD92" s="872">
        <f t="shared" ref="BD92:BW92" si="158">INDEX(MO_BSS_Debt_Net,0,COLUMN())/SUM(INDEX(MO_BS_SE,0,COLUMN()),INDEX(MO_BSS_Debt,0,COLUMN()),IFERROR(INDEX(MO_BSS_OL,0,COLUMN()),0))</f>
        <v>-0.2571980765086016</v>
      </c>
      <c r="BE92" s="872">
        <f t="shared" si="158"/>
        <v>-0.2812841841486281</v>
      </c>
      <c r="BF92" s="872">
        <f t="shared" si="158"/>
        <v>-0.29332239077295069</v>
      </c>
      <c r="BG92" s="872">
        <f t="shared" si="158"/>
        <v>-0.32801640279658745</v>
      </c>
      <c r="BH92" s="872">
        <f t="shared" si="158"/>
        <v>-0.3504547581471561</v>
      </c>
      <c r="BI92" s="872">
        <f t="shared" si="158"/>
        <v>-0.33772445520028305</v>
      </c>
      <c r="BJ92" s="872">
        <f t="shared" si="158"/>
        <v>-0.39508793899208661</v>
      </c>
      <c r="BK92" s="872">
        <f t="shared" si="158"/>
        <v>2.4021965952773186E-2</v>
      </c>
      <c r="BL92" s="872">
        <f t="shared" si="158"/>
        <v>6.2709984027444515E-2</v>
      </c>
      <c r="BM92" s="872">
        <f t="shared" si="158"/>
        <v>0.12789669240698187</v>
      </c>
      <c r="BN92" s="872">
        <f t="shared" si="158"/>
        <v>8.9196327016760724E-2</v>
      </c>
      <c r="BO92" s="872">
        <f t="shared" ca="1" si="158"/>
        <v>-3.1749653790066681E-2</v>
      </c>
      <c r="BP92" s="872" t="e">
        <f t="shared" si="158"/>
        <v>#REF!</v>
      </c>
      <c r="BQ92" s="872" t="e">
        <f t="shared" si="158"/>
        <v>#REF!</v>
      </c>
      <c r="BR92" s="873" t="e">
        <f t="shared" ca="1" si="158"/>
        <v>#REF!</v>
      </c>
      <c r="BS92" s="872" t="e">
        <f t="shared" ca="1" si="158"/>
        <v>#REF!</v>
      </c>
      <c r="BT92" s="872" t="e">
        <f t="shared" si="158"/>
        <v>#DIV/0!</v>
      </c>
      <c r="BU92" s="872" t="e">
        <f t="shared" si="158"/>
        <v>#DIV/0!</v>
      </c>
      <c r="BV92" s="872" t="e">
        <f t="shared" si="158"/>
        <v>#DIV/0!</v>
      </c>
      <c r="BW92" s="872" t="e">
        <f t="shared" si="158"/>
        <v>#DIV/0!</v>
      </c>
      <c r="BX92" s="223"/>
    </row>
    <row r="93" spans="1:76" s="67" customFormat="1" hidden="1" outlineLevel="1" x14ac:dyDescent="0.35">
      <c r="A93" s="189" t="s">
        <v>324</v>
      </c>
      <c r="B93" s="190"/>
      <c r="C93" s="543"/>
      <c r="D93" s="543"/>
      <c r="E93" s="543"/>
      <c r="F93" s="543">
        <f t="shared" ref="F93:AK93" si="159">SUM(F55,E55,D55,C55)</f>
        <v>125.81699999999996</v>
      </c>
      <c r="G93" s="543">
        <f t="shared" si="159"/>
        <v>110.78899999999999</v>
      </c>
      <c r="H93" s="543">
        <f t="shared" si="159"/>
        <v>109.52200000000002</v>
      </c>
      <c r="I93" s="543">
        <f t="shared" si="159"/>
        <v>119.22600000000001</v>
      </c>
      <c r="J93" s="543">
        <f t="shared" si="159"/>
        <v>131.95099999999999</v>
      </c>
      <c r="K93" s="543">
        <f t="shared" si="159"/>
        <v>127.67999999999992</v>
      </c>
      <c r="L93" s="543">
        <f t="shared" si="159"/>
        <v>136.4319999999999</v>
      </c>
      <c r="M93" s="543">
        <f t="shared" si="159"/>
        <v>136.73699999999991</v>
      </c>
      <c r="N93" s="543">
        <f t="shared" si="159"/>
        <v>123.52700000000007</v>
      </c>
      <c r="O93" s="543">
        <f t="shared" si="159"/>
        <v>116.32800000000012</v>
      </c>
      <c r="P93" s="543">
        <f t="shared" si="159"/>
        <v>109.5810000000001</v>
      </c>
      <c r="Q93" s="543">
        <f t="shared" si="159"/>
        <v>100.82400000000013</v>
      </c>
      <c r="R93" s="543">
        <f t="shared" si="159"/>
        <v>100.75499999999998</v>
      </c>
      <c r="S93" s="543">
        <f t="shared" si="159"/>
        <v>99.763999999999982</v>
      </c>
      <c r="T93" s="543">
        <f t="shared" si="159"/>
        <v>105.22900000000001</v>
      </c>
      <c r="U93" s="543">
        <f t="shared" si="159"/>
        <v>102.26799999999999</v>
      </c>
      <c r="V93" s="543">
        <f t="shared" si="159"/>
        <v>110.00699999999998</v>
      </c>
      <c r="W93" s="543">
        <f t="shared" si="159"/>
        <v>116.25499999999997</v>
      </c>
      <c r="X93" s="543">
        <f t="shared" si="159"/>
        <v>114.11999999999996</v>
      </c>
      <c r="Y93" s="543">
        <f t="shared" si="159"/>
        <v>118.842</v>
      </c>
      <c r="Z93" s="543">
        <f t="shared" si="159"/>
        <v>121.62199999999997</v>
      </c>
      <c r="AA93" s="543">
        <f t="shared" si="159"/>
        <v>124.45199999999994</v>
      </c>
      <c r="AB93" s="543">
        <f t="shared" si="159"/>
        <v>140.11099999999993</v>
      </c>
      <c r="AC93" s="543">
        <f t="shared" si="159"/>
        <v>141.66599999999994</v>
      </c>
      <c r="AD93" s="543">
        <f t="shared" si="159"/>
        <v>133.56199999999998</v>
      </c>
      <c r="AE93" s="543">
        <f t="shared" si="159"/>
        <v>128.05899999999997</v>
      </c>
      <c r="AF93" s="543">
        <f t="shared" si="159"/>
        <v>126.631</v>
      </c>
      <c r="AG93" s="543">
        <f t="shared" si="159"/>
        <v>121.37499999999999</v>
      </c>
      <c r="AH93" s="543">
        <f t="shared" si="159"/>
        <v>128.15700000000015</v>
      </c>
      <c r="AI93" s="543">
        <f t="shared" si="159"/>
        <v>164.11100000000016</v>
      </c>
      <c r="AJ93" s="543">
        <f t="shared" si="159"/>
        <v>181.08600000000013</v>
      </c>
      <c r="AK93" s="543">
        <f t="shared" si="159"/>
        <v>217.09400000000011</v>
      </c>
      <c r="AL93" s="543">
        <f t="shared" ref="AL93:BB93" si="160">SUM(AL55,AK55,AJ55,AI55)</f>
        <v>239.86599999999999</v>
      </c>
      <c r="AM93" s="543">
        <f t="shared" si="160"/>
        <v>226.08799999999999</v>
      </c>
      <c r="AN93" s="543">
        <f t="shared" si="160"/>
        <v>238.09800000000007</v>
      </c>
      <c r="AO93" s="543">
        <f t="shared" si="160"/>
        <v>253.39800000000005</v>
      </c>
      <c r="AP93" s="543">
        <f t="shared" si="160"/>
        <v>273.11200000000002</v>
      </c>
      <c r="AQ93" s="543">
        <f t="shared" si="160"/>
        <v>250.69800000000001</v>
      </c>
      <c r="AR93" s="543">
        <f t="shared" si="160"/>
        <v>268.47800000000001</v>
      </c>
      <c r="AS93" s="543">
        <f t="shared" si="160"/>
        <v>282.05700000000002</v>
      </c>
      <c r="AT93" s="543">
        <f t="shared" si="160"/>
        <v>296.17700000000002</v>
      </c>
      <c r="AU93" s="614">
        <f t="shared" si="160"/>
        <v>332.89799999999997</v>
      </c>
      <c r="AV93" s="543">
        <f t="shared" si="160"/>
        <v>343.61760685377044</v>
      </c>
      <c r="AW93" s="543">
        <f t="shared" si="160"/>
        <v>353.53510117196629</v>
      </c>
      <c r="AX93" s="543">
        <f t="shared" si="160"/>
        <v>359.22572011067257</v>
      </c>
      <c r="AY93" s="543">
        <f t="shared" si="160"/>
        <v>319.46272011067259</v>
      </c>
      <c r="AZ93" s="543">
        <f t="shared" si="160"/>
        <v>254.23011325690211</v>
      </c>
      <c r="BA93" s="543">
        <f t="shared" si="160"/>
        <v>207.58861893870628</v>
      </c>
      <c r="BB93" s="543">
        <f t="shared" si="160"/>
        <v>189.73999999999998</v>
      </c>
      <c r="BC93" s="543"/>
      <c r="BD93" s="851">
        <f t="shared" ref="BD93:BW93" si="161">BD55</f>
        <v>125.81700000000001</v>
      </c>
      <c r="BE93" s="851">
        <f t="shared" si="161"/>
        <v>131.95099999999994</v>
      </c>
      <c r="BF93" s="851">
        <f t="shared" si="161"/>
        <v>123.52700000000002</v>
      </c>
      <c r="BG93" s="851">
        <f t="shared" si="161"/>
        <v>100.75500000000004</v>
      </c>
      <c r="BH93" s="851">
        <f t="shared" si="161"/>
        <v>110.00699999999996</v>
      </c>
      <c r="BI93" s="851">
        <f t="shared" si="161"/>
        <v>121.62200000000001</v>
      </c>
      <c r="BJ93" s="851">
        <f t="shared" si="161"/>
        <v>133.56199999999995</v>
      </c>
      <c r="BK93" s="851">
        <f t="shared" si="161"/>
        <v>128.1570000000001</v>
      </c>
      <c r="BL93" s="851">
        <f t="shared" si="161"/>
        <v>239.86599999999996</v>
      </c>
      <c r="BM93" s="851">
        <f t="shared" si="161"/>
        <v>273.11199999999997</v>
      </c>
      <c r="BN93" s="851">
        <f t="shared" si="161"/>
        <v>296.17699999999991</v>
      </c>
      <c r="BO93" s="851">
        <f t="shared" si="161"/>
        <v>359.22572011067257</v>
      </c>
      <c r="BP93" s="851" t="e">
        <f t="shared" si="161"/>
        <v>#REF!</v>
      </c>
      <c r="BQ93" s="851" t="e">
        <f t="shared" si="161"/>
        <v>#REF!</v>
      </c>
      <c r="BR93" s="852" t="e">
        <f t="shared" si="161"/>
        <v>#REF!</v>
      </c>
      <c r="BS93" s="851" t="e">
        <f t="shared" si="161"/>
        <v>#REF!</v>
      </c>
      <c r="BT93" s="851">
        <f t="shared" si="161"/>
        <v>0</v>
      </c>
      <c r="BU93" s="851">
        <f t="shared" si="161"/>
        <v>0</v>
      </c>
      <c r="BV93" s="851">
        <f t="shared" si="161"/>
        <v>0</v>
      </c>
      <c r="BW93" s="851">
        <f t="shared" si="161"/>
        <v>0</v>
      </c>
      <c r="BX93" s="221"/>
    </row>
    <row r="94" spans="1:76" s="67" customFormat="1" hidden="1" outlineLevel="1" x14ac:dyDescent="0.35">
      <c r="A94" s="189" t="s">
        <v>325</v>
      </c>
      <c r="B94" s="190"/>
      <c r="C94" s="543"/>
      <c r="D94" s="543"/>
      <c r="E94" s="543"/>
      <c r="F94" s="543">
        <f t="shared" ref="F94:AK94" ca="1" si="162">SUM(F71,E71,D71,C71)</f>
        <v>95.293000000000006</v>
      </c>
      <c r="G94" s="543">
        <f t="shared" ca="1" si="162"/>
        <v>108.59399999999997</v>
      </c>
      <c r="H94" s="543">
        <f t="shared" ca="1" si="162"/>
        <v>83.792999999999978</v>
      </c>
      <c r="I94" s="543">
        <f t="shared" ca="1" si="162"/>
        <v>117.58299999999997</v>
      </c>
      <c r="J94" s="543">
        <f t="shared" ca="1" si="162"/>
        <v>122.87299999999998</v>
      </c>
      <c r="K94" s="543">
        <f t="shared" ca="1" si="162"/>
        <v>99.375999999999991</v>
      </c>
      <c r="L94" s="543">
        <f t="shared" ca="1" si="162"/>
        <v>109.33</v>
      </c>
      <c r="M94" s="543">
        <f t="shared" ca="1" si="162"/>
        <v>87.106000000000009</v>
      </c>
      <c r="N94" s="543">
        <f t="shared" ca="1" si="162"/>
        <v>120.08500000000004</v>
      </c>
      <c r="O94" s="543">
        <f t="shared" ca="1" si="162"/>
        <v>123.55400000000003</v>
      </c>
      <c r="P94" s="543">
        <f t="shared" ca="1" si="162"/>
        <v>126.02500000000002</v>
      </c>
      <c r="Q94" s="543">
        <f t="shared" ca="1" si="162"/>
        <v>135.46800000000002</v>
      </c>
      <c r="R94" s="543">
        <f t="shared" ca="1" si="162"/>
        <v>121.77799999999999</v>
      </c>
      <c r="S94" s="543">
        <f t="shared" ca="1" si="162"/>
        <v>85.788999999999987</v>
      </c>
      <c r="T94" s="543">
        <f t="shared" ca="1" si="162"/>
        <v>119.07999999999996</v>
      </c>
      <c r="U94" s="543">
        <f t="shared" ca="1" si="162"/>
        <v>98.030999999999963</v>
      </c>
      <c r="V94" s="543">
        <f t="shared" ca="1" si="162"/>
        <v>88.727999999999966</v>
      </c>
      <c r="W94" s="543">
        <f t="shared" ca="1" si="162"/>
        <v>88.43599999999995</v>
      </c>
      <c r="X94" s="543">
        <f t="shared" ca="1" si="162"/>
        <v>75.739999999999966</v>
      </c>
      <c r="Y94" s="543">
        <f t="shared" ca="1" si="162"/>
        <v>104.76399999999997</v>
      </c>
      <c r="Z94" s="543">
        <f t="shared" ca="1" si="162"/>
        <v>103.62699999999998</v>
      </c>
      <c r="AA94" s="543">
        <f t="shared" ca="1" si="162"/>
        <v>114.75700000000001</v>
      </c>
      <c r="AB94" s="543">
        <f t="shared" ca="1" si="162"/>
        <v>131.24900000000002</v>
      </c>
      <c r="AC94" s="543">
        <f t="shared" ca="1" si="162"/>
        <v>123.51200000000003</v>
      </c>
      <c r="AD94" s="543">
        <f t="shared" ca="1" si="162"/>
        <v>141.60600000000002</v>
      </c>
      <c r="AE94" s="543">
        <f t="shared" ca="1" si="162"/>
        <v>103.88400000000001</v>
      </c>
      <c r="AF94" s="543">
        <f t="shared" ca="1" si="162"/>
        <v>95.456000000000017</v>
      </c>
      <c r="AG94" s="543">
        <f t="shared" ca="1" si="162"/>
        <v>71.335000000000022</v>
      </c>
      <c r="AH94" s="543">
        <f t="shared" ca="1" si="162"/>
        <v>80.41500000000002</v>
      </c>
      <c r="AI94" s="543">
        <f t="shared" ca="1" si="162"/>
        <v>52.696000000000012</v>
      </c>
      <c r="AJ94" s="543">
        <f t="shared" ca="1" si="162"/>
        <v>21.722999999999999</v>
      </c>
      <c r="AK94" s="543">
        <f t="shared" ca="1" si="162"/>
        <v>88.512000000000015</v>
      </c>
      <c r="AL94" s="543">
        <f t="shared" ref="AL94:BB94" ca="1" si="163">SUM(AL71,AK71,AJ71,AI71)</f>
        <v>134.15000000000003</v>
      </c>
      <c r="AM94" s="543">
        <f t="shared" ca="1" si="163"/>
        <v>117.17300000000002</v>
      </c>
      <c r="AN94" s="543">
        <f t="shared" ca="1" si="163"/>
        <v>202.43900000000002</v>
      </c>
      <c r="AO94" s="543">
        <f t="shared" ca="1" si="163"/>
        <v>204.43100000000001</v>
      </c>
      <c r="AP94" s="543">
        <f t="shared" ca="1" si="163"/>
        <v>206.88400000000001</v>
      </c>
      <c r="AQ94" s="543">
        <f t="shared" ca="1" si="163"/>
        <v>195.24799999999999</v>
      </c>
      <c r="AR94" s="543">
        <f t="shared" ca="1" si="163"/>
        <v>239.73400000000004</v>
      </c>
      <c r="AS94" s="543">
        <f t="shared" ca="1" si="163"/>
        <v>231.70100000000005</v>
      </c>
      <c r="AT94" s="543">
        <f t="shared" ca="1" si="163"/>
        <v>203.15000000000006</v>
      </c>
      <c r="AU94" s="614">
        <f t="shared" ca="1" si="163"/>
        <v>210.99100000000001</v>
      </c>
      <c r="AV94" s="543">
        <f t="shared" ca="1" si="163"/>
        <v>237.13942402342147</v>
      </c>
      <c r="AW94" s="543">
        <f t="shared" ca="1" si="163"/>
        <v>254.38176416856922</v>
      </c>
      <c r="AX94" s="543">
        <f t="shared" ca="1" si="163"/>
        <v>265.27312634458815</v>
      </c>
      <c r="AY94" s="543">
        <f t="shared" ca="1" si="163"/>
        <v>400.57812634458821</v>
      </c>
      <c r="AZ94" s="543">
        <f t="shared" ca="1" si="163"/>
        <v>200.74670232116677</v>
      </c>
      <c r="BA94" s="543">
        <f t="shared" ca="1" si="163"/>
        <v>153.14636217601901</v>
      </c>
      <c r="BB94" s="543">
        <f t="shared" ca="1" si="163"/>
        <v>112.538</v>
      </c>
      <c r="BC94" s="543"/>
      <c r="BD94" s="851">
        <f t="shared" ref="BD94:BW94" ca="1" si="164">BD71</f>
        <v>95.292999999999978</v>
      </c>
      <c r="BE94" s="851">
        <f t="shared" ca="1" si="164"/>
        <v>122.873</v>
      </c>
      <c r="BF94" s="851">
        <f t="shared" ca="1" si="164"/>
        <v>120.08500000000002</v>
      </c>
      <c r="BG94" s="851">
        <f t="shared" ca="1" si="164"/>
        <v>121.77799999999999</v>
      </c>
      <c r="BH94" s="851">
        <f t="shared" ca="1" si="164"/>
        <v>88.727999999999994</v>
      </c>
      <c r="BI94" s="851">
        <f t="shared" ca="1" si="164"/>
        <v>103.627</v>
      </c>
      <c r="BJ94" s="851">
        <f t="shared" ca="1" si="164"/>
        <v>141.60599999999999</v>
      </c>
      <c r="BK94" s="851">
        <f t="shared" ca="1" si="164"/>
        <v>80.414999999999992</v>
      </c>
      <c r="BL94" s="851">
        <f t="shared" ca="1" si="164"/>
        <v>134.15</v>
      </c>
      <c r="BM94" s="851">
        <f t="shared" ca="1" si="164"/>
        <v>206.88399999999996</v>
      </c>
      <c r="BN94" s="851">
        <f t="shared" ca="1" si="164"/>
        <v>203.15000000000003</v>
      </c>
      <c r="BO94" s="851">
        <f t="shared" ca="1" si="164"/>
        <v>265.27312634458838</v>
      </c>
      <c r="BP94" s="851" t="e">
        <f t="shared" si="164"/>
        <v>#REF!</v>
      </c>
      <c r="BQ94" s="851" t="e">
        <f t="shared" si="164"/>
        <v>#REF!</v>
      </c>
      <c r="BR94" s="852" t="e">
        <f t="shared" si="164"/>
        <v>#REF!</v>
      </c>
      <c r="BS94" s="851" t="e">
        <f t="shared" ca="1" si="164"/>
        <v>#REF!</v>
      </c>
      <c r="BT94" s="851">
        <f t="shared" ca="1" si="164"/>
        <v>0</v>
      </c>
      <c r="BU94" s="851">
        <f t="shared" ca="1" si="164"/>
        <v>0</v>
      </c>
      <c r="BV94" s="851">
        <f t="shared" ca="1" si="164"/>
        <v>0</v>
      </c>
      <c r="BW94" s="851">
        <f t="shared" ca="1" si="164"/>
        <v>0</v>
      </c>
      <c r="BX94" s="221"/>
    </row>
    <row r="95" spans="1:76" collapsed="1" x14ac:dyDescent="0.35">
      <c r="A95" s="165"/>
      <c r="B95" s="170"/>
      <c r="C95" s="544"/>
      <c r="D95" s="544"/>
      <c r="E95" s="544"/>
      <c r="F95" s="544"/>
      <c r="G95" s="544"/>
      <c r="H95" s="544"/>
      <c r="I95" s="544"/>
      <c r="J95" s="544"/>
      <c r="K95" s="544"/>
      <c r="L95" s="544"/>
      <c r="M95" s="544"/>
      <c r="N95" s="544"/>
      <c r="O95" s="544"/>
      <c r="P95" s="544"/>
      <c r="Q95" s="544"/>
      <c r="R95" s="544"/>
      <c r="S95" s="544"/>
      <c r="T95" s="544"/>
      <c r="U95" s="544"/>
      <c r="V95" s="544"/>
      <c r="W95" s="544"/>
      <c r="X95" s="544"/>
      <c r="Y95" s="544"/>
      <c r="Z95" s="544"/>
      <c r="AA95" s="544"/>
      <c r="AB95" s="544"/>
      <c r="AC95" s="544"/>
      <c r="AD95" s="544"/>
      <c r="AE95" s="544"/>
      <c r="AF95" s="544"/>
      <c r="AG95" s="544"/>
      <c r="AH95" s="544"/>
      <c r="AI95" s="544"/>
      <c r="AJ95" s="544"/>
      <c r="AK95" s="544"/>
      <c r="AL95" s="544"/>
      <c r="AM95" s="544"/>
      <c r="AN95" s="544"/>
      <c r="AO95" s="544"/>
      <c r="AP95" s="544"/>
      <c r="AQ95" s="544"/>
      <c r="AR95" s="544"/>
      <c r="AS95" s="544"/>
      <c r="AT95" s="544"/>
      <c r="AU95" s="617"/>
      <c r="AV95" s="544"/>
      <c r="AW95" s="544"/>
      <c r="AX95" s="544"/>
      <c r="AY95" s="544"/>
      <c r="AZ95" s="544"/>
      <c r="BA95" s="544"/>
      <c r="BB95" s="544"/>
      <c r="BC95" s="544"/>
      <c r="BD95" s="853"/>
      <c r="BE95" s="853"/>
      <c r="BF95" s="853"/>
      <c r="BG95" s="853"/>
      <c r="BH95" s="853"/>
      <c r="BI95" s="853"/>
      <c r="BJ95" s="853"/>
      <c r="BK95" s="853"/>
      <c r="BL95" s="853"/>
      <c r="BM95" s="853"/>
      <c r="BN95" s="853"/>
      <c r="BO95" s="853"/>
      <c r="BP95" s="853"/>
      <c r="BQ95" s="853"/>
      <c r="BR95" s="854"/>
      <c r="BS95" s="853"/>
      <c r="BT95" s="853"/>
      <c r="BU95" s="853"/>
      <c r="BV95" s="853"/>
      <c r="BW95" s="853"/>
      <c r="BX95" s="544"/>
    </row>
    <row r="96" spans="1:76" x14ac:dyDescent="0.35">
      <c r="A96" s="120" t="s">
        <v>326</v>
      </c>
      <c r="B96" s="545"/>
      <c r="C96" s="545"/>
      <c r="D96" s="545"/>
      <c r="E96" s="545"/>
      <c r="F96" s="545"/>
      <c r="G96" s="545"/>
      <c r="H96" s="545"/>
      <c r="I96" s="545"/>
      <c r="J96" s="545"/>
      <c r="K96" s="545"/>
      <c r="L96" s="545"/>
      <c r="M96" s="545"/>
      <c r="N96" s="545"/>
      <c r="O96" s="545"/>
      <c r="P96" s="545"/>
      <c r="Q96" s="545"/>
      <c r="R96" s="545"/>
      <c r="S96" s="545"/>
      <c r="T96" s="545"/>
      <c r="U96" s="545"/>
      <c r="V96" s="545"/>
      <c r="W96" s="545"/>
      <c r="X96" s="545"/>
      <c r="Y96" s="545"/>
      <c r="Z96" s="545"/>
      <c r="AA96" s="545"/>
      <c r="AB96" s="545"/>
      <c r="AC96" s="545"/>
      <c r="AD96" s="545"/>
      <c r="AE96" s="545"/>
      <c r="AF96" s="545"/>
      <c r="AG96" s="545"/>
      <c r="AH96" s="545"/>
      <c r="AI96" s="545"/>
      <c r="AJ96" s="545"/>
      <c r="AK96" s="545"/>
      <c r="AL96" s="545"/>
      <c r="AM96" s="545"/>
      <c r="AN96" s="545"/>
      <c r="AO96" s="545"/>
      <c r="AP96" s="545"/>
      <c r="AQ96" s="545"/>
      <c r="AR96" s="545"/>
      <c r="AS96" s="545"/>
      <c r="AT96" s="545"/>
      <c r="AU96" s="618"/>
      <c r="AV96" s="545"/>
      <c r="AW96" s="545"/>
      <c r="AX96" s="545"/>
      <c r="AY96" s="545"/>
      <c r="AZ96" s="545"/>
      <c r="BA96" s="545"/>
      <c r="BB96" s="545"/>
      <c r="BC96" s="545"/>
      <c r="BD96" s="545"/>
      <c r="BE96" s="545"/>
      <c r="BF96" s="545"/>
      <c r="BG96" s="545"/>
      <c r="BH96" s="545"/>
      <c r="BI96" s="545"/>
      <c r="BJ96" s="545"/>
      <c r="BK96" s="545"/>
      <c r="BL96" s="545"/>
      <c r="BM96" s="545"/>
      <c r="BN96" s="545"/>
      <c r="BO96" s="545"/>
      <c r="BP96" s="545"/>
      <c r="BQ96" s="545"/>
      <c r="BR96" s="618"/>
      <c r="BS96" s="545"/>
      <c r="BT96" s="545"/>
      <c r="BU96" s="545"/>
      <c r="BV96" s="545"/>
      <c r="BW96" s="545"/>
      <c r="BX96" s="543"/>
    </row>
    <row r="97" spans="1:76" hidden="1" outlineLevel="1" x14ac:dyDescent="0.35">
      <c r="A97" s="166" t="s">
        <v>55</v>
      </c>
      <c r="B97" s="167"/>
      <c r="C97" s="543">
        <f t="shared" ref="C97:AH97" si="165">INDEX(SP_NGF_NI,0,COLUMN())</f>
        <v>4.0480000000000018</v>
      </c>
      <c r="D97" s="543">
        <f t="shared" si="165"/>
        <v>8.8359999999999914</v>
      </c>
      <c r="E97" s="543">
        <f t="shared" si="165"/>
        <v>11.130999999999988</v>
      </c>
      <c r="F97" s="543">
        <f t="shared" si="165"/>
        <v>2.1109999999999927</v>
      </c>
      <c r="G97" s="543">
        <f t="shared" si="165"/>
        <v>-5.0399999999999698</v>
      </c>
      <c r="H97" s="543">
        <f t="shared" si="165"/>
        <v>-3.664999999999988</v>
      </c>
      <c r="I97" s="543">
        <f t="shared" si="165"/>
        <v>15.948999999999989</v>
      </c>
      <c r="J97" s="543">
        <f t="shared" si="165"/>
        <v>12.355999999999963</v>
      </c>
      <c r="K97" s="543">
        <f t="shared" si="165"/>
        <v>-6.77600000000003</v>
      </c>
      <c r="L97" s="543">
        <f t="shared" si="165"/>
        <v>12.330999999999998</v>
      </c>
      <c r="M97" s="543">
        <f t="shared" si="165"/>
        <v>17.012999999999977</v>
      </c>
      <c r="N97" s="543">
        <f t="shared" si="165"/>
        <v>-11.579999999999872</v>
      </c>
      <c r="O97" s="543">
        <f t="shared" si="165"/>
        <v>-12.792999999999989</v>
      </c>
      <c r="P97" s="543">
        <f t="shared" si="165"/>
        <v>8.5379999999999914</v>
      </c>
      <c r="Q97" s="543">
        <f t="shared" si="165"/>
        <v>14.273000000000001</v>
      </c>
      <c r="R97" s="543">
        <f t="shared" si="165"/>
        <v>-0.98300000000001397</v>
      </c>
      <c r="S97" s="543">
        <f t="shared" si="165"/>
        <v>-13.832999999999982</v>
      </c>
      <c r="T97" s="543">
        <f t="shared" si="165"/>
        <v>11.652000000000008</v>
      </c>
      <c r="U97" s="543">
        <f t="shared" si="165"/>
        <v>9.1149999999999771</v>
      </c>
      <c r="V97" s="543">
        <f t="shared" si="165"/>
        <v>-6.4830000000000236</v>
      </c>
      <c r="W97" s="543">
        <f t="shared" si="165"/>
        <v>-8.0559999999999885</v>
      </c>
      <c r="X97" s="543">
        <f t="shared" si="165"/>
        <v>13.259</v>
      </c>
      <c r="Y97" s="543">
        <f t="shared" si="165"/>
        <v>13.070000000000013</v>
      </c>
      <c r="Z97" s="543">
        <f t="shared" si="165"/>
        <v>9.3469999999999462</v>
      </c>
      <c r="AA97" s="543">
        <f t="shared" si="165"/>
        <v>-8.2820000000000231</v>
      </c>
      <c r="AB97" s="543">
        <f t="shared" si="165"/>
        <v>23.71200000000001</v>
      </c>
      <c r="AC97" s="543">
        <f t="shared" si="165"/>
        <v>18.462000000000018</v>
      </c>
      <c r="AD97" s="543">
        <f t="shared" si="165"/>
        <v>3.3169999999999695</v>
      </c>
      <c r="AE97" s="543">
        <f t="shared" si="165"/>
        <v>-9.7300000000000182</v>
      </c>
      <c r="AF97" s="543">
        <f t="shared" si="165"/>
        <v>20.59400000000003</v>
      </c>
      <c r="AG97" s="543">
        <f t="shared" si="165"/>
        <v>8.7540000000000084</v>
      </c>
      <c r="AH97" s="543">
        <f t="shared" si="165"/>
        <v>4.8880000000001527</v>
      </c>
      <c r="AI97" s="543">
        <f t="shared" ref="AI97:BB97" si="166">INDEX(SP_NGF_NI,0,COLUMN())</f>
        <v>12.665999999999991</v>
      </c>
      <c r="AJ97" s="543">
        <f t="shared" si="166"/>
        <v>24.500999999999959</v>
      </c>
      <c r="AK97" s="543">
        <f t="shared" si="166"/>
        <v>23.789000000000001</v>
      </c>
      <c r="AL97" s="543">
        <f t="shared" si="166"/>
        <v>10.495000000000056</v>
      </c>
      <c r="AM97" s="543">
        <f t="shared" si="166"/>
        <v>-5.8830000000000053</v>
      </c>
      <c r="AN97" s="543">
        <f t="shared" si="166"/>
        <v>42.004000000000026</v>
      </c>
      <c r="AO97" s="543">
        <f t="shared" si="166"/>
        <v>42.91899999999999</v>
      </c>
      <c r="AP97" s="543">
        <f t="shared" si="166"/>
        <v>28.089999999999975</v>
      </c>
      <c r="AQ97" s="543">
        <f t="shared" si="166"/>
        <v>-22.671999999999997</v>
      </c>
      <c r="AR97" s="543">
        <f t="shared" si="166"/>
        <v>50.705000000000027</v>
      </c>
      <c r="AS97" s="543">
        <f t="shared" si="166"/>
        <v>55.46200000000001</v>
      </c>
      <c r="AT97" s="543">
        <f t="shared" si="166"/>
        <v>43.371999999999964</v>
      </c>
      <c r="AU97" s="614">
        <f t="shared" si="166"/>
        <v>4.8779999999999646</v>
      </c>
      <c r="AV97" s="543">
        <f t="shared" si="166"/>
        <v>53.638758729713643</v>
      </c>
      <c r="AW97" s="543">
        <f t="shared" ca="1" si="166"/>
        <v>58.213964557222106</v>
      </c>
      <c r="AX97" s="543">
        <f t="shared" ca="1" si="166"/>
        <v>45.946863927589206</v>
      </c>
      <c r="AY97" s="543">
        <f t="shared" si="166"/>
        <v>0</v>
      </c>
      <c r="AZ97" s="543">
        <f t="shared" si="166"/>
        <v>12.314999999999971</v>
      </c>
      <c r="BA97" s="543">
        <f t="shared" si="166"/>
        <v>21.525000000000038</v>
      </c>
      <c r="BB97" s="543">
        <f t="shared" si="166"/>
        <v>11.760999999999969</v>
      </c>
      <c r="BC97" s="543"/>
      <c r="BD97" s="851">
        <f t="shared" ref="BD97:BW97" si="167">INDEX(SP_NGF_NI,0,COLUMN())</f>
        <v>26.126000000000015</v>
      </c>
      <c r="BE97" s="851">
        <f t="shared" si="167"/>
        <v>19.599999999999937</v>
      </c>
      <c r="BF97" s="851">
        <f t="shared" si="167"/>
        <v>10.988000000000021</v>
      </c>
      <c r="BG97" s="851">
        <f t="shared" si="167"/>
        <v>9.0350000000000428</v>
      </c>
      <c r="BH97" s="851">
        <f t="shared" si="167"/>
        <v>0.45099999999996221</v>
      </c>
      <c r="BI97" s="851">
        <f t="shared" si="167"/>
        <v>27.620000000000015</v>
      </c>
      <c r="BJ97" s="851">
        <f t="shared" si="167"/>
        <v>37.208999999999939</v>
      </c>
      <c r="BK97" s="851">
        <f t="shared" si="167"/>
        <v>24.506000000000107</v>
      </c>
      <c r="BL97" s="851">
        <f t="shared" si="167"/>
        <v>71.450999999999951</v>
      </c>
      <c r="BM97" s="851">
        <f t="shared" si="167"/>
        <v>107.12999999999994</v>
      </c>
      <c r="BN97" s="851">
        <f t="shared" si="167"/>
        <v>126.8669999999999</v>
      </c>
      <c r="BO97" s="851">
        <f t="shared" ca="1" si="167"/>
        <v>162.67758721452492</v>
      </c>
      <c r="BP97" s="851" t="e">
        <f t="shared" si="167"/>
        <v>#REF!</v>
      </c>
      <c r="BQ97" s="851" t="e">
        <f t="shared" si="167"/>
        <v>#REF!</v>
      </c>
      <c r="BR97" s="852" t="e">
        <f t="shared" si="167"/>
        <v>#REF!</v>
      </c>
      <c r="BS97" s="851" t="e">
        <f t="shared" ca="1" si="167"/>
        <v>#REF!</v>
      </c>
      <c r="BT97" s="851">
        <f t="shared" si="167"/>
        <v>0</v>
      </c>
      <c r="BU97" s="851">
        <f t="shared" si="167"/>
        <v>0</v>
      </c>
      <c r="BV97" s="851">
        <f t="shared" si="167"/>
        <v>0</v>
      </c>
      <c r="BW97" s="851">
        <f t="shared" si="167"/>
        <v>0</v>
      </c>
      <c r="BX97" s="543"/>
    </row>
    <row r="98" spans="1:76" hidden="1" outlineLevel="1" x14ac:dyDescent="0.35">
      <c r="A98" s="166" t="s">
        <v>327</v>
      </c>
      <c r="B98" s="167"/>
      <c r="C98" s="543"/>
      <c r="D98" s="543"/>
      <c r="E98" s="543"/>
      <c r="F98" s="543">
        <f t="shared" ref="F98:AK98" si="168">SUM(F97,E97,D97,C97)</f>
        <v>26.125999999999973</v>
      </c>
      <c r="G98" s="543">
        <f t="shared" si="168"/>
        <v>17.038000000000004</v>
      </c>
      <c r="H98" s="543">
        <f t="shared" si="168"/>
        <v>4.537000000000023</v>
      </c>
      <c r="I98" s="543">
        <f t="shared" si="168"/>
        <v>9.3550000000000235</v>
      </c>
      <c r="J98" s="543">
        <f t="shared" si="168"/>
        <v>19.599999999999991</v>
      </c>
      <c r="K98" s="543">
        <f t="shared" si="168"/>
        <v>17.863999999999933</v>
      </c>
      <c r="L98" s="543">
        <f t="shared" si="168"/>
        <v>33.859999999999921</v>
      </c>
      <c r="M98" s="543">
        <f t="shared" si="168"/>
        <v>34.923999999999907</v>
      </c>
      <c r="N98" s="543">
        <f t="shared" si="168"/>
        <v>10.988000000000072</v>
      </c>
      <c r="O98" s="543">
        <f t="shared" si="168"/>
        <v>4.971000000000112</v>
      </c>
      <c r="P98" s="543">
        <f t="shared" si="168"/>
        <v>1.1780000000001074</v>
      </c>
      <c r="Q98" s="543">
        <f t="shared" si="168"/>
        <v>-1.5619999999998679</v>
      </c>
      <c r="R98" s="543">
        <f t="shared" si="168"/>
        <v>9.0349999999999895</v>
      </c>
      <c r="S98" s="543">
        <f t="shared" si="168"/>
        <v>7.9949999999999957</v>
      </c>
      <c r="T98" s="543">
        <f t="shared" si="168"/>
        <v>11.109000000000012</v>
      </c>
      <c r="U98" s="543">
        <f t="shared" si="168"/>
        <v>5.950999999999989</v>
      </c>
      <c r="V98" s="543">
        <f t="shared" si="168"/>
        <v>0.4509999999999792</v>
      </c>
      <c r="W98" s="543">
        <f t="shared" si="168"/>
        <v>6.2279999999999731</v>
      </c>
      <c r="X98" s="543">
        <f t="shared" si="168"/>
        <v>7.8349999999999653</v>
      </c>
      <c r="Y98" s="543">
        <f t="shared" si="168"/>
        <v>11.790000000000001</v>
      </c>
      <c r="Z98" s="543">
        <f t="shared" si="168"/>
        <v>27.619999999999969</v>
      </c>
      <c r="AA98" s="543">
        <f t="shared" si="168"/>
        <v>27.393999999999934</v>
      </c>
      <c r="AB98" s="543">
        <f t="shared" si="168"/>
        <v>37.846999999999944</v>
      </c>
      <c r="AC98" s="543">
        <f t="shared" si="168"/>
        <v>43.238999999999947</v>
      </c>
      <c r="AD98" s="543">
        <f t="shared" si="168"/>
        <v>37.208999999999975</v>
      </c>
      <c r="AE98" s="543">
        <f t="shared" si="168"/>
        <v>35.760999999999981</v>
      </c>
      <c r="AF98" s="543">
        <f t="shared" si="168"/>
        <v>32.643000000000001</v>
      </c>
      <c r="AG98" s="543">
        <f t="shared" si="168"/>
        <v>22.934999999999988</v>
      </c>
      <c r="AH98" s="543">
        <f t="shared" si="168"/>
        <v>24.506000000000171</v>
      </c>
      <c r="AI98" s="543">
        <f t="shared" si="168"/>
        <v>46.902000000000186</v>
      </c>
      <c r="AJ98" s="543">
        <f t="shared" si="168"/>
        <v>50.809000000000111</v>
      </c>
      <c r="AK98" s="543">
        <f t="shared" si="168"/>
        <v>65.844000000000108</v>
      </c>
      <c r="AL98" s="543">
        <f t="shared" ref="AL98:BB98" si="169">SUM(AL97,AK97,AJ97,AI97)</f>
        <v>71.451000000000008</v>
      </c>
      <c r="AM98" s="543">
        <f t="shared" si="169"/>
        <v>52.902000000000015</v>
      </c>
      <c r="AN98" s="543">
        <f t="shared" si="169"/>
        <v>70.405000000000086</v>
      </c>
      <c r="AO98" s="543">
        <f t="shared" si="169"/>
        <v>89.535000000000068</v>
      </c>
      <c r="AP98" s="543">
        <f t="shared" si="169"/>
        <v>107.12999999999997</v>
      </c>
      <c r="AQ98" s="543">
        <f t="shared" si="169"/>
        <v>90.340999999999994</v>
      </c>
      <c r="AR98" s="543">
        <f t="shared" si="169"/>
        <v>99.042000000000002</v>
      </c>
      <c r="AS98" s="543">
        <f t="shared" si="169"/>
        <v>111.58500000000001</v>
      </c>
      <c r="AT98" s="543">
        <f t="shared" si="169"/>
        <v>126.86699999999999</v>
      </c>
      <c r="AU98" s="614">
        <f t="shared" si="169"/>
        <v>154.41699999999997</v>
      </c>
      <c r="AV98" s="543">
        <f t="shared" si="169"/>
        <v>157.35075872971359</v>
      </c>
      <c r="AW98" s="543">
        <f t="shared" ca="1" si="169"/>
        <v>160.10272328693566</v>
      </c>
      <c r="AX98" s="543">
        <f t="shared" ca="1" si="169"/>
        <v>162.67758721452489</v>
      </c>
      <c r="AY98" s="543">
        <f t="shared" ca="1" si="169"/>
        <v>157.79958721452493</v>
      </c>
      <c r="AZ98" s="543">
        <f t="shared" ca="1" si="169"/>
        <v>116.47582848481127</v>
      </c>
      <c r="BA98" s="543">
        <f t="shared" ca="1" si="169"/>
        <v>79.786863927589224</v>
      </c>
      <c r="BB98" s="543">
        <f t="shared" si="169"/>
        <v>45.600999999999978</v>
      </c>
      <c r="BC98" s="543"/>
      <c r="BD98" s="851">
        <f t="shared" ref="BD98:BW98" si="170">BD97</f>
        <v>26.126000000000015</v>
      </c>
      <c r="BE98" s="851">
        <f t="shared" si="170"/>
        <v>19.599999999999937</v>
      </c>
      <c r="BF98" s="851">
        <f t="shared" si="170"/>
        <v>10.988000000000021</v>
      </c>
      <c r="BG98" s="851">
        <f t="shared" si="170"/>
        <v>9.0350000000000428</v>
      </c>
      <c r="BH98" s="851">
        <f t="shared" si="170"/>
        <v>0.45099999999996221</v>
      </c>
      <c r="BI98" s="851">
        <f t="shared" si="170"/>
        <v>27.620000000000015</v>
      </c>
      <c r="BJ98" s="851">
        <f t="shared" si="170"/>
        <v>37.208999999999939</v>
      </c>
      <c r="BK98" s="851">
        <f t="shared" si="170"/>
        <v>24.506000000000107</v>
      </c>
      <c r="BL98" s="851">
        <f t="shared" si="170"/>
        <v>71.450999999999951</v>
      </c>
      <c r="BM98" s="851">
        <f t="shared" si="170"/>
        <v>107.12999999999994</v>
      </c>
      <c r="BN98" s="851">
        <f t="shared" si="170"/>
        <v>126.8669999999999</v>
      </c>
      <c r="BO98" s="851">
        <f t="shared" ca="1" si="170"/>
        <v>162.67758721452492</v>
      </c>
      <c r="BP98" s="851" t="e">
        <f t="shared" si="170"/>
        <v>#REF!</v>
      </c>
      <c r="BQ98" s="851" t="e">
        <f t="shared" si="170"/>
        <v>#REF!</v>
      </c>
      <c r="BR98" s="852" t="e">
        <f t="shared" si="170"/>
        <v>#REF!</v>
      </c>
      <c r="BS98" s="851" t="e">
        <f t="shared" ca="1" si="170"/>
        <v>#REF!</v>
      </c>
      <c r="BT98" s="851">
        <f t="shared" si="170"/>
        <v>0</v>
      </c>
      <c r="BU98" s="851">
        <f t="shared" si="170"/>
        <v>0</v>
      </c>
      <c r="BV98" s="851">
        <f t="shared" si="170"/>
        <v>0</v>
      </c>
      <c r="BW98" s="851">
        <f t="shared" si="170"/>
        <v>0</v>
      </c>
      <c r="BX98" s="543"/>
    </row>
    <row r="99" spans="1:76" hidden="1" outlineLevel="1" x14ac:dyDescent="0.35">
      <c r="A99" s="166" t="s">
        <v>328</v>
      </c>
      <c r="B99" s="167"/>
      <c r="C99" s="543">
        <f t="shared" ref="C99:AH99" si="171">INDEX(MO_BS_SE,0,COLUMN())</f>
        <v>481.17900000000003</v>
      </c>
      <c r="D99" s="543">
        <f t="shared" si="171"/>
        <v>495.34700000000004</v>
      </c>
      <c r="E99" s="543">
        <f t="shared" si="171"/>
        <v>513.76300000000003</v>
      </c>
      <c r="F99" s="543">
        <f t="shared" si="171"/>
        <v>530.16200000000003</v>
      </c>
      <c r="G99" s="543">
        <f t="shared" si="171"/>
        <v>534.97900000000004</v>
      </c>
      <c r="H99" s="543">
        <f t="shared" si="171"/>
        <v>530.68600000000004</v>
      </c>
      <c r="I99" s="543">
        <f t="shared" si="171"/>
        <v>530.053</v>
      </c>
      <c r="J99" s="543">
        <f t="shared" si="171"/>
        <v>528.92999999999995</v>
      </c>
      <c r="K99" s="543">
        <f t="shared" si="171"/>
        <v>498.178</v>
      </c>
      <c r="L99" s="543">
        <f t="shared" si="171"/>
        <v>513.78600000000006</v>
      </c>
      <c r="M99" s="543">
        <f t="shared" si="171"/>
        <v>534.4190000000001</v>
      </c>
      <c r="N99" s="543">
        <f t="shared" si="171"/>
        <v>536.93799999999999</v>
      </c>
      <c r="O99" s="543">
        <f t="shared" si="171"/>
        <v>524.04000000000008</v>
      </c>
      <c r="P99" s="543">
        <f t="shared" si="171"/>
        <v>535.303</v>
      </c>
      <c r="Q99" s="543">
        <f t="shared" si="171"/>
        <v>552.15500000000009</v>
      </c>
      <c r="R99" s="543">
        <f t="shared" si="171"/>
        <v>558.72</v>
      </c>
      <c r="S99" s="543">
        <f t="shared" si="171"/>
        <v>543.74400000000003</v>
      </c>
      <c r="T99" s="543">
        <f t="shared" si="171"/>
        <v>559.64700000000005</v>
      </c>
      <c r="U99" s="543">
        <f t="shared" si="171"/>
        <v>571.98099999999988</v>
      </c>
      <c r="V99" s="543">
        <f t="shared" si="171"/>
        <v>574.34600000000012</v>
      </c>
      <c r="W99" s="543">
        <f t="shared" si="171"/>
        <v>566.87199999999996</v>
      </c>
      <c r="X99" s="543">
        <f t="shared" si="171"/>
        <v>585.84199999999998</v>
      </c>
      <c r="Y99" s="543">
        <f t="shared" si="171"/>
        <v>599.4319999999999</v>
      </c>
      <c r="Z99" s="543">
        <f t="shared" si="171"/>
        <v>587.18900000000008</v>
      </c>
      <c r="AA99" s="543">
        <f t="shared" si="171"/>
        <v>575.69600000000014</v>
      </c>
      <c r="AB99" s="543">
        <f t="shared" si="171"/>
        <v>603.95600000000013</v>
      </c>
      <c r="AC99" s="543">
        <f t="shared" si="171"/>
        <v>624.74</v>
      </c>
      <c r="AD99" s="543">
        <f t="shared" si="171"/>
        <v>633.36500000000012</v>
      </c>
      <c r="AE99" s="543">
        <f t="shared" si="171"/>
        <v>624.7120000000001</v>
      </c>
      <c r="AF99" s="543">
        <f t="shared" si="171"/>
        <v>651.09600000000012</v>
      </c>
      <c r="AG99" s="543">
        <f t="shared" si="171"/>
        <v>664.62799999999993</v>
      </c>
      <c r="AH99" s="543">
        <f t="shared" si="171"/>
        <v>675.32899999999995</v>
      </c>
      <c r="AI99" s="543">
        <f t="shared" ref="AI99:BB99" si="172">INDEX(MO_BS_SE,0,COLUMN())</f>
        <v>719.02099999999996</v>
      </c>
      <c r="AJ99" s="543">
        <f t="shared" si="172"/>
        <v>752.42899999999997</v>
      </c>
      <c r="AK99" s="543">
        <f t="shared" si="172"/>
        <v>786.779</v>
      </c>
      <c r="AL99" s="543">
        <f t="shared" si="172"/>
        <v>804.64799999999991</v>
      </c>
      <c r="AM99" s="543">
        <f t="shared" si="172"/>
        <v>719.90599999999995</v>
      </c>
      <c r="AN99" s="543">
        <f t="shared" si="172"/>
        <v>734.23300000000006</v>
      </c>
      <c r="AO99" s="543">
        <f t="shared" si="172"/>
        <v>780.57000000000016</v>
      </c>
      <c r="AP99" s="543">
        <f t="shared" si="172"/>
        <v>812.58100000000002</v>
      </c>
      <c r="AQ99" s="543">
        <f t="shared" si="172"/>
        <v>786.82300000000009</v>
      </c>
      <c r="AR99" s="543">
        <f t="shared" si="172"/>
        <v>841.89900000000011</v>
      </c>
      <c r="AS99" s="543">
        <f t="shared" si="172"/>
        <v>899.36099999999999</v>
      </c>
      <c r="AT99" s="543">
        <f t="shared" si="172"/>
        <v>947.29600000000005</v>
      </c>
      <c r="AU99" s="614">
        <f t="shared" si="172"/>
        <v>958.49299999999994</v>
      </c>
      <c r="AV99" s="543">
        <f t="shared" ca="1" si="172"/>
        <v>1019.1317587297137</v>
      </c>
      <c r="AW99" s="543">
        <f t="shared" ca="1" si="172"/>
        <v>1084.9457232869358</v>
      </c>
      <c r="AX99" s="543">
        <f t="shared" ca="1" si="172"/>
        <v>1138.3925872145251</v>
      </c>
      <c r="AY99" s="543">
        <f t="shared" si="172"/>
        <v>0</v>
      </c>
      <c r="AZ99" s="543">
        <f t="shared" si="172"/>
        <v>182.28599999999997</v>
      </c>
      <c r="BA99" s="543">
        <f t="shared" si="172"/>
        <v>221.85099999999997</v>
      </c>
      <c r="BB99" s="543">
        <f t="shared" si="172"/>
        <v>448.62100000000009</v>
      </c>
      <c r="BC99" s="543"/>
      <c r="BD99" s="851">
        <f t="shared" ref="BD99:BW99" si="173">INDEX(MO_BS_SE,0,COLUMN())</f>
        <v>530.16200000000003</v>
      </c>
      <c r="BE99" s="851">
        <f t="shared" si="173"/>
        <v>528.92999999999995</v>
      </c>
      <c r="BF99" s="851">
        <f t="shared" si="173"/>
        <v>536.93799999999999</v>
      </c>
      <c r="BG99" s="851">
        <f t="shared" si="173"/>
        <v>558.72</v>
      </c>
      <c r="BH99" s="851">
        <f t="shared" si="173"/>
        <v>574.34600000000012</v>
      </c>
      <c r="BI99" s="851">
        <f t="shared" si="173"/>
        <v>587.18900000000008</v>
      </c>
      <c r="BJ99" s="851">
        <f t="shared" si="173"/>
        <v>633.36500000000012</v>
      </c>
      <c r="BK99" s="851">
        <f t="shared" si="173"/>
        <v>675.32899999999995</v>
      </c>
      <c r="BL99" s="851">
        <f t="shared" si="173"/>
        <v>804.64799999999991</v>
      </c>
      <c r="BM99" s="851">
        <f t="shared" si="173"/>
        <v>812.58100000000002</v>
      </c>
      <c r="BN99" s="851">
        <f t="shared" si="173"/>
        <v>947.29600000000005</v>
      </c>
      <c r="BO99" s="851">
        <f t="shared" ca="1" si="173"/>
        <v>1138.3925872145251</v>
      </c>
      <c r="BP99" s="851" t="e">
        <f t="shared" si="173"/>
        <v>#REF!</v>
      </c>
      <c r="BQ99" s="851" t="e">
        <f t="shared" si="173"/>
        <v>#REF!</v>
      </c>
      <c r="BR99" s="852" t="e">
        <f t="shared" si="173"/>
        <v>#REF!</v>
      </c>
      <c r="BS99" s="851" t="e">
        <f t="shared" si="173"/>
        <v>#REF!</v>
      </c>
      <c r="BT99" s="851">
        <f t="shared" si="173"/>
        <v>0</v>
      </c>
      <c r="BU99" s="851">
        <f t="shared" si="173"/>
        <v>0</v>
      </c>
      <c r="BV99" s="851">
        <f t="shared" si="173"/>
        <v>0</v>
      </c>
      <c r="BW99" s="851">
        <f t="shared" si="173"/>
        <v>0</v>
      </c>
      <c r="BX99" s="543"/>
    </row>
    <row r="100" spans="1:76" hidden="1" outlineLevel="1" x14ac:dyDescent="0.35">
      <c r="A100" s="166" t="s">
        <v>329</v>
      </c>
      <c r="B100" s="167"/>
      <c r="C100" s="543"/>
      <c r="D100" s="543"/>
      <c r="E100" s="543"/>
      <c r="F100" s="543">
        <f t="shared" ref="F100:AK100" si="174">AVERAGE(F99,E99,D99,C99)</f>
        <v>505.11275000000006</v>
      </c>
      <c r="G100" s="543">
        <f t="shared" si="174"/>
        <v>518.56275000000005</v>
      </c>
      <c r="H100" s="543">
        <f t="shared" si="174"/>
        <v>527.39750000000004</v>
      </c>
      <c r="I100" s="543">
        <f t="shared" si="174"/>
        <v>531.47</v>
      </c>
      <c r="J100" s="543">
        <f t="shared" si="174"/>
        <v>531.16200000000003</v>
      </c>
      <c r="K100" s="543">
        <f t="shared" si="174"/>
        <v>521.96175000000005</v>
      </c>
      <c r="L100" s="543">
        <f t="shared" si="174"/>
        <v>517.73675000000003</v>
      </c>
      <c r="M100" s="543">
        <f t="shared" si="174"/>
        <v>518.82825000000003</v>
      </c>
      <c r="N100" s="543">
        <f t="shared" si="174"/>
        <v>520.83024999999998</v>
      </c>
      <c r="O100" s="543">
        <f t="shared" si="174"/>
        <v>527.29575</v>
      </c>
      <c r="P100" s="543">
        <f t="shared" si="174"/>
        <v>532.67499999999995</v>
      </c>
      <c r="Q100" s="543">
        <f t="shared" si="174"/>
        <v>537.10900000000004</v>
      </c>
      <c r="R100" s="543">
        <f t="shared" si="174"/>
        <v>542.55449999999996</v>
      </c>
      <c r="S100" s="543">
        <f t="shared" si="174"/>
        <v>547.48050000000001</v>
      </c>
      <c r="T100" s="543">
        <f t="shared" si="174"/>
        <v>553.56650000000002</v>
      </c>
      <c r="U100" s="543">
        <f t="shared" si="174"/>
        <v>558.52299999999991</v>
      </c>
      <c r="V100" s="543">
        <f t="shared" si="174"/>
        <v>562.42950000000008</v>
      </c>
      <c r="W100" s="543">
        <f t="shared" si="174"/>
        <v>568.2115</v>
      </c>
      <c r="X100" s="543">
        <f t="shared" si="174"/>
        <v>574.76024999999993</v>
      </c>
      <c r="Y100" s="543">
        <f t="shared" si="174"/>
        <v>581.62299999999993</v>
      </c>
      <c r="Z100" s="543">
        <f t="shared" si="174"/>
        <v>584.83375000000001</v>
      </c>
      <c r="AA100" s="543">
        <f t="shared" si="174"/>
        <v>587.03975000000003</v>
      </c>
      <c r="AB100" s="543">
        <f t="shared" si="174"/>
        <v>591.56825000000003</v>
      </c>
      <c r="AC100" s="543">
        <f t="shared" si="174"/>
        <v>597.89525000000003</v>
      </c>
      <c r="AD100" s="543">
        <f t="shared" si="174"/>
        <v>609.43925000000013</v>
      </c>
      <c r="AE100" s="543">
        <f t="shared" si="174"/>
        <v>621.69325000000003</v>
      </c>
      <c r="AF100" s="543">
        <f t="shared" si="174"/>
        <v>633.47825000000012</v>
      </c>
      <c r="AG100" s="543">
        <f t="shared" si="174"/>
        <v>643.4502500000001</v>
      </c>
      <c r="AH100" s="543">
        <f t="shared" si="174"/>
        <v>653.94124999999997</v>
      </c>
      <c r="AI100" s="543">
        <f t="shared" si="174"/>
        <v>677.51850000000002</v>
      </c>
      <c r="AJ100" s="543">
        <f t="shared" si="174"/>
        <v>702.85174999999981</v>
      </c>
      <c r="AK100" s="543">
        <f t="shared" si="174"/>
        <v>733.3895</v>
      </c>
      <c r="AL100" s="543">
        <f t="shared" ref="AL100:BB100" si="175">AVERAGE(AL99,AK99,AJ99,AI99)</f>
        <v>765.71924999999987</v>
      </c>
      <c r="AM100" s="543">
        <f t="shared" si="175"/>
        <v>765.94049999999993</v>
      </c>
      <c r="AN100" s="543">
        <f t="shared" si="175"/>
        <v>761.39150000000006</v>
      </c>
      <c r="AO100" s="543">
        <f t="shared" si="175"/>
        <v>759.83924999999999</v>
      </c>
      <c r="AP100" s="543">
        <f t="shared" si="175"/>
        <v>761.8225000000001</v>
      </c>
      <c r="AQ100" s="543">
        <f t="shared" si="175"/>
        <v>778.55175000000008</v>
      </c>
      <c r="AR100" s="543">
        <f t="shared" si="175"/>
        <v>805.46825000000013</v>
      </c>
      <c r="AS100" s="543">
        <f t="shared" si="175"/>
        <v>835.16600000000017</v>
      </c>
      <c r="AT100" s="543">
        <f t="shared" si="175"/>
        <v>868.8447500000002</v>
      </c>
      <c r="AU100" s="614">
        <f t="shared" si="175"/>
        <v>911.76224999999999</v>
      </c>
      <c r="AV100" s="543">
        <f t="shared" ca="1" si="175"/>
        <v>956.0704396824284</v>
      </c>
      <c r="AW100" s="543">
        <f t="shared" ca="1" si="175"/>
        <v>1002.4666205041624</v>
      </c>
      <c r="AX100" s="543">
        <f t="shared" ca="1" si="175"/>
        <v>1050.2407673077937</v>
      </c>
      <c r="AY100" s="543">
        <f t="shared" ca="1" si="175"/>
        <v>810.61751730779361</v>
      </c>
      <c r="AZ100" s="543">
        <f t="shared" ca="1" si="175"/>
        <v>601.40607762536524</v>
      </c>
      <c r="BA100" s="543">
        <f t="shared" ca="1" si="175"/>
        <v>385.63239680363125</v>
      </c>
      <c r="BB100" s="543">
        <f t="shared" si="175"/>
        <v>213.18950000000001</v>
      </c>
      <c r="BC100" s="543"/>
      <c r="BD100" s="851">
        <f>BD99</f>
        <v>530.16200000000003</v>
      </c>
      <c r="BE100" s="851">
        <f t="shared" ref="BE100:BW100" si="176">AVERAGE(BE99,BD99)</f>
        <v>529.54600000000005</v>
      </c>
      <c r="BF100" s="851">
        <f t="shared" si="176"/>
        <v>532.93399999999997</v>
      </c>
      <c r="BG100" s="851">
        <f t="shared" si="176"/>
        <v>547.82899999999995</v>
      </c>
      <c r="BH100" s="851">
        <f t="shared" si="176"/>
        <v>566.53300000000013</v>
      </c>
      <c r="BI100" s="851">
        <f t="shared" si="176"/>
        <v>580.76750000000015</v>
      </c>
      <c r="BJ100" s="851">
        <f t="shared" si="176"/>
        <v>610.27700000000004</v>
      </c>
      <c r="BK100" s="851">
        <f t="shared" si="176"/>
        <v>654.34699999999998</v>
      </c>
      <c r="BL100" s="851">
        <f t="shared" si="176"/>
        <v>739.98849999999993</v>
      </c>
      <c r="BM100" s="851">
        <f t="shared" si="176"/>
        <v>808.61449999999991</v>
      </c>
      <c r="BN100" s="851">
        <f t="shared" si="176"/>
        <v>879.93849999999998</v>
      </c>
      <c r="BO100" s="851">
        <f t="shared" ca="1" si="176"/>
        <v>1042.8442936072624</v>
      </c>
      <c r="BP100" s="851" t="e">
        <f t="shared" si="176"/>
        <v>#REF!</v>
      </c>
      <c r="BQ100" s="851" t="e">
        <f t="shared" si="176"/>
        <v>#REF!</v>
      </c>
      <c r="BR100" s="852" t="e">
        <f t="shared" si="176"/>
        <v>#REF!</v>
      </c>
      <c r="BS100" s="851" t="e">
        <f t="shared" si="176"/>
        <v>#REF!</v>
      </c>
      <c r="BT100" s="851" t="e">
        <f t="shared" si="176"/>
        <v>#REF!</v>
      </c>
      <c r="BU100" s="851">
        <f t="shared" si="176"/>
        <v>0</v>
      </c>
      <c r="BV100" s="851">
        <f t="shared" si="176"/>
        <v>0</v>
      </c>
      <c r="BW100" s="851">
        <f t="shared" si="176"/>
        <v>0</v>
      </c>
      <c r="BX100" s="543"/>
    </row>
    <row r="101" spans="1:76" s="67" customFormat="1" collapsed="1" x14ac:dyDescent="0.35">
      <c r="A101" s="189" t="s">
        <v>330</v>
      </c>
      <c r="B101" s="190"/>
      <c r="C101" s="84"/>
      <c r="D101" s="84"/>
      <c r="E101" s="84"/>
      <c r="F101" s="84"/>
      <c r="G101" s="84">
        <f t="shared" ref="G101:BB101" si="177">IF(G100&lt;0,"NMF",IF(ABS(G98/G100)&gt;1,"NMF",G98/G100))</f>
        <v>3.2856197249031098E-2</v>
      </c>
      <c r="H101" s="84">
        <f t="shared" si="177"/>
        <v>8.6026194663418442E-3</v>
      </c>
      <c r="I101" s="84">
        <f t="shared" si="177"/>
        <v>1.7602122415188107E-2</v>
      </c>
      <c r="J101" s="84">
        <f t="shared" si="177"/>
        <v>3.6900230061638423E-2</v>
      </c>
      <c r="K101" s="84">
        <f t="shared" si="177"/>
        <v>3.4224730068821964E-2</v>
      </c>
      <c r="L101" s="84">
        <f t="shared" si="177"/>
        <v>6.5400031966052097E-2</v>
      </c>
      <c r="M101" s="84">
        <f t="shared" si="177"/>
        <v>6.7313219740829267E-2</v>
      </c>
      <c r="N101" s="84">
        <f t="shared" si="177"/>
        <v>2.1097084894742716E-2</v>
      </c>
      <c r="O101" s="84">
        <f t="shared" si="177"/>
        <v>9.4273469869615139E-3</v>
      </c>
      <c r="P101" s="84">
        <f t="shared" si="177"/>
        <v>2.2114797953726147E-3</v>
      </c>
      <c r="Q101" s="84">
        <f t="shared" si="177"/>
        <v>-2.9081620304256079E-3</v>
      </c>
      <c r="R101" s="84">
        <f t="shared" si="177"/>
        <v>1.6652704935633176E-2</v>
      </c>
      <c r="S101" s="84">
        <f t="shared" si="177"/>
        <v>1.4603259842131356E-2</v>
      </c>
      <c r="T101" s="84">
        <f t="shared" si="177"/>
        <v>2.0068049638119381E-2</v>
      </c>
      <c r="U101" s="84">
        <f t="shared" si="177"/>
        <v>1.065488798133647E-2</v>
      </c>
      <c r="V101" s="84">
        <f t="shared" si="177"/>
        <v>8.0187827985548255E-4</v>
      </c>
      <c r="W101" s="84">
        <f t="shared" si="177"/>
        <v>1.0960707412644715E-2</v>
      </c>
      <c r="X101" s="84">
        <f t="shared" si="177"/>
        <v>1.3631770812264708E-2</v>
      </c>
      <c r="Y101" s="84">
        <f t="shared" si="177"/>
        <v>2.0270862740985145E-2</v>
      </c>
      <c r="Z101" s="84">
        <f t="shared" si="177"/>
        <v>4.7227096589415311E-2</v>
      </c>
      <c r="AA101" s="84">
        <f t="shared" si="177"/>
        <v>4.6664642385800849E-2</v>
      </c>
      <c r="AB101" s="84">
        <f t="shared" si="177"/>
        <v>6.3977402438349151E-2</v>
      </c>
      <c r="AC101" s="84">
        <f t="shared" si="177"/>
        <v>7.2318687930703493E-2</v>
      </c>
      <c r="AD101" s="84">
        <f t="shared" si="177"/>
        <v>6.1054485742426286E-2</v>
      </c>
      <c r="AE101" s="84">
        <f t="shared" si="177"/>
        <v>5.7521937064621463E-2</v>
      </c>
      <c r="AF101" s="84">
        <f t="shared" si="177"/>
        <v>5.1529788118218733E-2</v>
      </c>
      <c r="AG101" s="84">
        <f t="shared" si="177"/>
        <v>3.5643781317980662E-2</v>
      </c>
      <c r="AH101" s="84">
        <f t="shared" si="177"/>
        <v>3.7474314397509215E-2</v>
      </c>
      <c r="AI101" s="84">
        <f t="shared" si="177"/>
        <v>6.9226153972179627E-2</v>
      </c>
      <c r="AJ101" s="84">
        <f t="shared" si="177"/>
        <v>7.2289782304732292E-2</v>
      </c>
      <c r="AK101" s="84">
        <f t="shared" si="177"/>
        <v>8.9780396365096729E-2</v>
      </c>
      <c r="AL101" s="84">
        <f t="shared" si="177"/>
        <v>9.3312268171395749E-2</v>
      </c>
      <c r="AM101" s="84">
        <f t="shared" si="177"/>
        <v>6.9068028130122402E-2</v>
      </c>
      <c r="AN101" s="84">
        <f t="shared" si="177"/>
        <v>9.2468854721913865E-2</v>
      </c>
      <c r="AO101" s="84">
        <f t="shared" si="177"/>
        <v>0.11783413399610519</v>
      </c>
      <c r="AP101" s="84">
        <f t="shared" si="177"/>
        <v>0.14062330792277722</v>
      </c>
      <c r="AQ101" s="84">
        <f t="shared" si="177"/>
        <v>0.11603724479458172</v>
      </c>
      <c r="AR101" s="84">
        <f t="shared" si="177"/>
        <v>0.12296201619368607</v>
      </c>
      <c r="AS101" s="84">
        <f t="shared" si="177"/>
        <v>0.13360816891492228</v>
      </c>
      <c r="AT101" s="84">
        <f t="shared" si="177"/>
        <v>0.14601803141470321</v>
      </c>
      <c r="AU101" s="520">
        <f t="shared" si="177"/>
        <v>0.16936103682730885</v>
      </c>
      <c r="AV101" s="84">
        <f t="shared" ca="1" si="177"/>
        <v>0.16458071727641715</v>
      </c>
      <c r="AW101" s="84">
        <f t="shared" ca="1" si="177"/>
        <v>0.15970878232974631</v>
      </c>
      <c r="AX101" s="84">
        <f t="shared" ca="1" si="177"/>
        <v>0.15489551755978354</v>
      </c>
      <c r="AY101" s="84">
        <f t="shared" ca="1" si="177"/>
        <v>0.19466589833711676</v>
      </c>
      <c r="AZ101" s="84">
        <f t="shared" ca="1" si="177"/>
        <v>0.19367251648788247</v>
      </c>
      <c r="BA101" s="84">
        <f t="shared" ca="1" si="177"/>
        <v>0.20689875795942961</v>
      </c>
      <c r="BB101" s="84">
        <f t="shared" si="177"/>
        <v>0.21389890215043411</v>
      </c>
      <c r="BC101" s="84"/>
      <c r="BD101" s="866">
        <f t="shared" ref="BD101:BW101" si="178">IF(BD100&lt;0,"NMF",IF(ABS(BD98/BD100)&gt;1,"NMF",BD98/BD100))</f>
        <v>4.9279276900268246E-2</v>
      </c>
      <c r="BE101" s="866">
        <f t="shared" si="178"/>
        <v>3.7012837411669497E-2</v>
      </c>
      <c r="BF101" s="866">
        <f t="shared" si="178"/>
        <v>2.0617937680838569E-2</v>
      </c>
      <c r="BG101" s="866">
        <f t="shared" si="178"/>
        <v>1.6492372619923451E-2</v>
      </c>
      <c r="BH101" s="866">
        <f t="shared" si="178"/>
        <v>7.9607013183691352E-4</v>
      </c>
      <c r="BI101" s="866">
        <f t="shared" si="178"/>
        <v>4.7557757622456502E-2</v>
      </c>
      <c r="BJ101" s="866">
        <f t="shared" si="178"/>
        <v>6.0970673972638549E-2</v>
      </c>
      <c r="BK101" s="866">
        <f t="shared" si="178"/>
        <v>3.745107718076205E-2</v>
      </c>
      <c r="BL101" s="866">
        <f t="shared" si="178"/>
        <v>9.6556905951916766E-2</v>
      </c>
      <c r="BM101" s="866">
        <f t="shared" si="178"/>
        <v>0.13248587553154184</v>
      </c>
      <c r="BN101" s="866">
        <f t="shared" si="178"/>
        <v>0.14417712146928441</v>
      </c>
      <c r="BO101" s="866">
        <f t="shared" ca="1" si="178"/>
        <v>0.15599412895266768</v>
      </c>
      <c r="BP101" s="866" t="e">
        <f t="shared" si="178"/>
        <v>#REF!</v>
      </c>
      <c r="BQ101" s="866" t="e">
        <f t="shared" si="178"/>
        <v>#REF!</v>
      </c>
      <c r="BR101" s="867" t="e">
        <f t="shared" si="178"/>
        <v>#REF!</v>
      </c>
      <c r="BS101" s="866" t="e">
        <f t="shared" si="178"/>
        <v>#REF!</v>
      </c>
      <c r="BT101" s="866" t="e">
        <f t="shared" si="178"/>
        <v>#REF!</v>
      </c>
      <c r="BU101" s="866" t="e">
        <f t="shared" si="178"/>
        <v>#DIV/0!</v>
      </c>
      <c r="BV101" s="866" t="e">
        <f t="shared" si="178"/>
        <v>#DIV/0!</v>
      </c>
      <c r="BW101" s="866" t="e">
        <f t="shared" si="178"/>
        <v>#DIV/0!</v>
      </c>
      <c r="BX101" s="221"/>
    </row>
    <row r="102" spans="1:76" hidden="1" outlineLevel="1" x14ac:dyDescent="0.35">
      <c r="A102" s="166" t="s">
        <v>383</v>
      </c>
      <c r="B102" s="167"/>
      <c r="C102" s="543">
        <f t="shared" ref="C102:AH102" si="179">INDEX(SP_GF_NI,0,COLUMN())+INDEX(SP_GF_IE,0,COLUMN())*(1-INDEX(SP_GF_Tax,0,COLUMN())/INDEX(SP_GF_EBT,0,COLUMN()))+INDEX(SP_GF_NCI,0,COLUMN())</f>
        <v>4.3578545001778748</v>
      </c>
      <c r="D102" s="543">
        <f t="shared" si="179"/>
        <v>8.8034399999999913</v>
      </c>
      <c r="E102" s="543">
        <f t="shared" si="179"/>
        <v>10.759477895621115</v>
      </c>
      <c r="F102" s="543">
        <f t="shared" si="179"/>
        <v>0.42007927225470576</v>
      </c>
      <c r="G102" s="543">
        <f t="shared" si="179"/>
        <v>-5.0479026672905638</v>
      </c>
      <c r="H102" s="543">
        <f t="shared" si="179"/>
        <v>-4.237679946284679</v>
      </c>
      <c r="I102" s="543">
        <f t="shared" si="179"/>
        <v>15.518800277645845</v>
      </c>
      <c r="J102" s="543">
        <f t="shared" si="179"/>
        <v>11.918940576106065</v>
      </c>
      <c r="K102" s="543">
        <f t="shared" si="179"/>
        <v>-6.6045602193951698</v>
      </c>
      <c r="L102" s="543">
        <f t="shared" si="179"/>
        <v>11.873426735841736</v>
      </c>
      <c r="M102" s="543">
        <f t="shared" si="179"/>
        <v>16.721020468375414</v>
      </c>
      <c r="N102" s="543">
        <f t="shared" si="179"/>
        <v>-10.535985315259685</v>
      </c>
      <c r="O102" s="543">
        <f t="shared" si="179"/>
        <v>-12.477953085111496</v>
      </c>
      <c r="P102" s="543">
        <f t="shared" si="179"/>
        <v>7.9870446446997239</v>
      </c>
      <c r="Q102" s="543">
        <f t="shared" si="179"/>
        <v>13.737514317238482</v>
      </c>
      <c r="R102" s="543">
        <f t="shared" si="179"/>
        <v>-0.34837295081968711</v>
      </c>
      <c r="S102" s="543">
        <f t="shared" si="179"/>
        <v>-13.845888520625234</v>
      </c>
      <c r="T102" s="543">
        <f t="shared" si="179"/>
        <v>10.744196320008616</v>
      </c>
      <c r="U102" s="543">
        <f t="shared" si="179"/>
        <v>8.4572490301402343</v>
      </c>
      <c r="V102" s="543">
        <f t="shared" si="179"/>
        <v>-7.3866435371271644</v>
      </c>
      <c r="W102" s="543">
        <f t="shared" si="179"/>
        <v>-8.2683949335311109</v>
      </c>
      <c r="X102" s="543">
        <f t="shared" si="179"/>
        <v>13.151599360139606</v>
      </c>
      <c r="Y102" s="543">
        <f t="shared" si="179"/>
        <v>12.872601411552722</v>
      </c>
      <c r="Z102" s="543">
        <f t="shared" si="179"/>
        <v>8.9570126140112016</v>
      </c>
      <c r="AA102" s="543">
        <f t="shared" si="179"/>
        <v>-8.4773077097334681</v>
      </c>
      <c r="AB102" s="543">
        <f t="shared" si="179"/>
        <v>23.366248044150648</v>
      </c>
      <c r="AC102" s="543">
        <f t="shared" si="179"/>
        <v>17.887227244985169</v>
      </c>
      <c r="AD102" s="543">
        <f t="shared" si="179"/>
        <v>2.3014855519881161</v>
      </c>
      <c r="AE102" s="543">
        <f t="shared" si="179"/>
        <v>-10.20592123769341</v>
      </c>
      <c r="AF102" s="543">
        <f t="shared" si="179"/>
        <v>20.300307126096904</v>
      </c>
      <c r="AG102" s="543">
        <f t="shared" si="179"/>
        <v>8.8048054013503467</v>
      </c>
      <c r="AH102" s="543">
        <f t="shared" si="179"/>
        <v>5.268239293362039</v>
      </c>
      <c r="AI102" s="543">
        <f t="shared" ref="AI102:BB102" si="180">INDEX(SP_GF_NI,0,COLUMN())+INDEX(SP_GF_IE,0,COLUMN())*(1-INDEX(SP_GF_Tax,0,COLUMN())/INDEX(SP_GF_EBT,0,COLUMN()))+INDEX(SP_GF_NCI,0,COLUMN())</f>
        <v>15.255017331022524</v>
      </c>
      <c r="AJ102" s="543">
        <f t="shared" si="180"/>
        <v>27.988151915835413</v>
      </c>
      <c r="AK102" s="543">
        <f t="shared" si="180"/>
        <v>27.520846352619692</v>
      </c>
      <c r="AL102" s="543">
        <f t="shared" si="180"/>
        <v>13.976552876146574</v>
      </c>
      <c r="AM102" s="543">
        <f t="shared" si="180"/>
        <v>-4.5264663870184405</v>
      </c>
      <c r="AN102" s="543">
        <f t="shared" si="180"/>
        <v>43.372160681555918</v>
      </c>
      <c r="AO102" s="543">
        <f t="shared" si="180"/>
        <v>44.616436398317347</v>
      </c>
      <c r="AP102" s="543">
        <f t="shared" si="180"/>
        <v>29.579233606983248</v>
      </c>
      <c r="AQ102" s="543">
        <f t="shared" si="180"/>
        <v>-21.142661800322927</v>
      </c>
      <c r="AR102" s="543">
        <f t="shared" si="180"/>
        <v>52.225737010620229</v>
      </c>
      <c r="AS102" s="543">
        <f t="shared" si="180"/>
        <v>57.09047050147494</v>
      </c>
      <c r="AT102" s="543">
        <f t="shared" si="180"/>
        <v>44.923263033914132</v>
      </c>
      <c r="AU102" s="614">
        <f t="shared" si="180"/>
        <v>6.4509948574099667</v>
      </c>
      <c r="AV102" s="543">
        <f t="shared" si="180"/>
        <v>56.162441547199982</v>
      </c>
      <c r="AW102" s="543">
        <f t="shared" ca="1" si="180"/>
        <v>59.549607238951964</v>
      </c>
      <c r="AX102" s="543">
        <f t="shared" ca="1" si="180"/>
        <v>46.50993337088002</v>
      </c>
      <c r="AY102" s="543" t="e">
        <f t="shared" si="180"/>
        <v>#DIV/0!</v>
      </c>
      <c r="AZ102" s="543">
        <f t="shared" si="180"/>
        <v>12.268302242824337</v>
      </c>
      <c r="BA102" s="543">
        <f t="shared" si="180"/>
        <v>21.701406989688341</v>
      </c>
      <c r="BB102" s="543">
        <f t="shared" si="180"/>
        <v>11.2459726604946</v>
      </c>
      <c r="BC102" s="543"/>
      <c r="BD102" s="851">
        <f t="shared" ref="BD102:BW102" si="181">INDEX(SP_GF_NI,0,COLUMN())+INDEX(SP_GF_IE,0,COLUMN())*(1-INDEX(SP_GF_Tax,0,COLUMN())/INDEX(SP_GF_EBT,0,COLUMN()))+INDEX(SP_GF_NCI,0,COLUMN())</f>
        <v>24.06399379255538</v>
      </c>
      <c r="BE102" s="851">
        <f t="shared" si="181"/>
        <v>18.158821554588684</v>
      </c>
      <c r="BF102" s="851">
        <f t="shared" si="181"/>
        <v>11.353739561310803</v>
      </c>
      <c r="BG102" s="851">
        <f t="shared" si="181"/>
        <v>8.9477787470858523</v>
      </c>
      <c r="BH102" s="851">
        <f t="shared" si="181"/>
        <v>-0.29090763621634841</v>
      </c>
      <c r="BI102" s="851">
        <f t="shared" si="181"/>
        <v>26.421874764239927</v>
      </c>
      <c r="BJ102" s="851">
        <f t="shared" si="181"/>
        <v>35.048602138086409</v>
      </c>
      <c r="BK102" s="851">
        <f t="shared" si="181"/>
        <v>23.986347383851481</v>
      </c>
      <c r="BL102" s="851">
        <f t="shared" si="181"/>
        <v>84.800840440266043</v>
      </c>
      <c r="BM102" s="851">
        <f t="shared" si="181"/>
        <v>113.15093586901828</v>
      </c>
      <c r="BN102" s="851">
        <f t="shared" si="181"/>
        <v>133.06239721930825</v>
      </c>
      <c r="BO102" s="851">
        <f t="shared" ca="1" si="181"/>
        <v>168.6351515412249</v>
      </c>
      <c r="BP102" s="851" t="e">
        <f t="shared" si="181"/>
        <v>#REF!</v>
      </c>
      <c r="BQ102" s="851" t="e">
        <f t="shared" si="181"/>
        <v>#VALUE!</v>
      </c>
      <c r="BR102" s="852" t="e">
        <f t="shared" si="181"/>
        <v>#VALUE!</v>
      </c>
      <c r="BS102" s="851" t="e">
        <f t="shared" ca="1" si="181"/>
        <v>#VALUE!</v>
      </c>
      <c r="BT102" s="851" t="e">
        <f t="shared" si="181"/>
        <v>#DIV/0!</v>
      </c>
      <c r="BU102" s="851" t="e">
        <f t="shared" si="181"/>
        <v>#DIV/0!</v>
      </c>
      <c r="BV102" s="851" t="e">
        <f t="shared" si="181"/>
        <v>#DIV/0!</v>
      </c>
      <c r="BW102" s="851" t="e">
        <f t="shared" si="181"/>
        <v>#DIV/0!</v>
      </c>
      <c r="BX102" s="543"/>
    </row>
    <row r="103" spans="1:76" hidden="1" outlineLevel="1" x14ac:dyDescent="0.35">
      <c r="A103" s="166" t="s">
        <v>331</v>
      </c>
      <c r="B103" s="167"/>
      <c r="C103" s="543"/>
      <c r="D103" s="543"/>
      <c r="E103" s="543"/>
      <c r="F103" s="543">
        <f t="shared" ref="F103:AK103" si="182">SUM(F102,E102,D102,C102)</f>
        <v>24.340851668053688</v>
      </c>
      <c r="G103" s="543">
        <f t="shared" si="182"/>
        <v>14.935094500585249</v>
      </c>
      <c r="H103" s="543">
        <f t="shared" si="182"/>
        <v>1.893974554300577</v>
      </c>
      <c r="I103" s="543">
        <f t="shared" si="182"/>
        <v>6.6532969363253081</v>
      </c>
      <c r="J103" s="543">
        <f t="shared" si="182"/>
        <v>18.152158240176668</v>
      </c>
      <c r="K103" s="543">
        <f t="shared" si="182"/>
        <v>16.595500688072061</v>
      </c>
      <c r="L103" s="543">
        <f t="shared" si="182"/>
        <v>32.706607370198476</v>
      </c>
      <c r="M103" s="543">
        <f t="shared" si="182"/>
        <v>33.908827560928046</v>
      </c>
      <c r="N103" s="543">
        <f t="shared" si="182"/>
        <v>11.453901669562297</v>
      </c>
      <c r="O103" s="543">
        <f t="shared" si="182"/>
        <v>5.5805088038459694</v>
      </c>
      <c r="P103" s="543">
        <f t="shared" si="182"/>
        <v>1.694126712703957</v>
      </c>
      <c r="Q103" s="543">
        <f t="shared" si="182"/>
        <v>-1.2893794384329738</v>
      </c>
      <c r="R103" s="543">
        <f t="shared" si="182"/>
        <v>8.8982329260070241</v>
      </c>
      <c r="S103" s="543">
        <f t="shared" si="182"/>
        <v>7.5302974904932842</v>
      </c>
      <c r="T103" s="543">
        <f t="shared" si="182"/>
        <v>10.287449165802176</v>
      </c>
      <c r="U103" s="543">
        <f t="shared" si="182"/>
        <v>5.0071838787039304</v>
      </c>
      <c r="V103" s="543">
        <f t="shared" si="182"/>
        <v>-2.0310867076035493</v>
      </c>
      <c r="W103" s="543">
        <f t="shared" si="182"/>
        <v>3.5464068794905739</v>
      </c>
      <c r="X103" s="543">
        <f t="shared" si="182"/>
        <v>5.9538099196215652</v>
      </c>
      <c r="Y103" s="543">
        <f t="shared" si="182"/>
        <v>10.369162301034052</v>
      </c>
      <c r="Z103" s="543">
        <f t="shared" si="182"/>
        <v>26.712818452172414</v>
      </c>
      <c r="AA103" s="543">
        <f t="shared" si="182"/>
        <v>26.50390567597006</v>
      </c>
      <c r="AB103" s="543">
        <f t="shared" si="182"/>
        <v>36.718554359981106</v>
      </c>
      <c r="AC103" s="543">
        <f t="shared" si="182"/>
        <v>41.73318019341356</v>
      </c>
      <c r="AD103" s="543">
        <f t="shared" si="182"/>
        <v>35.077653131390463</v>
      </c>
      <c r="AE103" s="543">
        <f t="shared" si="182"/>
        <v>33.349039603430526</v>
      </c>
      <c r="AF103" s="543">
        <f t="shared" si="182"/>
        <v>30.283098685376778</v>
      </c>
      <c r="AG103" s="543">
        <f t="shared" si="182"/>
        <v>21.200676841741956</v>
      </c>
      <c r="AH103" s="543">
        <f t="shared" si="182"/>
        <v>24.16743058311588</v>
      </c>
      <c r="AI103" s="543">
        <f t="shared" si="182"/>
        <v>49.628369151831812</v>
      </c>
      <c r="AJ103" s="543">
        <f t="shared" si="182"/>
        <v>57.316213941570325</v>
      </c>
      <c r="AK103" s="543">
        <f t="shared" si="182"/>
        <v>76.032254892839674</v>
      </c>
      <c r="AL103" s="543">
        <f t="shared" ref="AL103:BB103" si="183">SUM(AL102,AK102,AJ102,AI102)</f>
        <v>84.740568475624215</v>
      </c>
      <c r="AM103" s="543">
        <f t="shared" si="183"/>
        <v>64.959084757583241</v>
      </c>
      <c r="AN103" s="543">
        <f t="shared" si="183"/>
        <v>80.343093523303736</v>
      </c>
      <c r="AO103" s="543">
        <f t="shared" si="183"/>
        <v>97.438683569001398</v>
      </c>
      <c r="AP103" s="543">
        <f t="shared" si="183"/>
        <v>113.04136429983808</v>
      </c>
      <c r="AQ103" s="543">
        <f t="shared" si="183"/>
        <v>96.425168886533584</v>
      </c>
      <c r="AR103" s="543">
        <f t="shared" si="183"/>
        <v>105.27874521559789</v>
      </c>
      <c r="AS103" s="543">
        <f t="shared" si="183"/>
        <v>117.75277931875549</v>
      </c>
      <c r="AT103" s="543">
        <f t="shared" si="183"/>
        <v>133.09680874568636</v>
      </c>
      <c r="AU103" s="614">
        <f t="shared" si="183"/>
        <v>160.69046540341927</v>
      </c>
      <c r="AV103" s="543">
        <f t="shared" si="183"/>
        <v>164.62716993999902</v>
      </c>
      <c r="AW103" s="543">
        <f t="shared" ca="1" si="183"/>
        <v>167.08630667747605</v>
      </c>
      <c r="AX103" s="543">
        <f t="shared" ca="1" si="183"/>
        <v>168.67297701444193</v>
      </c>
      <c r="AY103" s="543" t="e">
        <f t="shared" si="183"/>
        <v>#DIV/0!</v>
      </c>
      <c r="AZ103" s="543" t="e">
        <f t="shared" si="183"/>
        <v>#DIV/0!</v>
      </c>
      <c r="BA103" s="543" t="e">
        <f t="shared" si="183"/>
        <v>#DIV/0!</v>
      </c>
      <c r="BB103" s="543" t="e">
        <f t="shared" si="183"/>
        <v>#DIV/0!</v>
      </c>
      <c r="BC103" s="543"/>
      <c r="BD103" s="851">
        <f t="shared" ref="BD103:BW103" si="184">BD102</f>
        <v>24.06399379255538</v>
      </c>
      <c r="BE103" s="851">
        <f t="shared" si="184"/>
        <v>18.158821554588684</v>
      </c>
      <c r="BF103" s="851">
        <f t="shared" si="184"/>
        <v>11.353739561310803</v>
      </c>
      <c r="BG103" s="851">
        <f t="shared" si="184"/>
        <v>8.9477787470858523</v>
      </c>
      <c r="BH103" s="851">
        <f t="shared" si="184"/>
        <v>-0.29090763621634841</v>
      </c>
      <c r="BI103" s="851">
        <f t="shared" si="184"/>
        <v>26.421874764239927</v>
      </c>
      <c r="BJ103" s="851">
        <f t="shared" si="184"/>
        <v>35.048602138086409</v>
      </c>
      <c r="BK103" s="851">
        <f t="shared" si="184"/>
        <v>23.986347383851481</v>
      </c>
      <c r="BL103" s="851">
        <f t="shared" si="184"/>
        <v>84.800840440266043</v>
      </c>
      <c r="BM103" s="851">
        <f t="shared" si="184"/>
        <v>113.15093586901828</v>
      </c>
      <c r="BN103" s="851">
        <f t="shared" si="184"/>
        <v>133.06239721930825</v>
      </c>
      <c r="BO103" s="851">
        <f t="shared" ca="1" si="184"/>
        <v>168.6351515412249</v>
      </c>
      <c r="BP103" s="851" t="e">
        <f t="shared" si="184"/>
        <v>#REF!</v>
      </c>
      <c r="BQ103" s="851" t="e">
        <f t="shared" si="184"/>
        <v>#VALUE!</v>
      </c>
      <c r="BR103" s="852" t="e">
        <f t="shared" si="184"/>
        <v>#VALUE!</v>
      </c>
      <c r="BS103" s="851" t="e">
        <f t="shared" ca="1" si="184"/>
        <v>#VALUE!</v>
      </c>
      <c r="BT103" s="851" t="e">
        <f t="shared" si="184"/>
        <v>#DIV/0!</v>
      </c>
      <c r="BU103" s="851" t="e">
        <f t="shared" si="184"/>
        <v>#DIV/0!</v>
      </c>
      <c r="BV103" s="851" t="e">
        <f t="shared" si="184"/>
        <v>#DIV/0!</v>
      </c>
      <c r="BW103" s="851" t="e">
        <f t="shared" si="184"/>
        <v>#DIV/0!</v>
      </c>
      <c r="BX103" s="543"/>
    </row>
    <row r="104" spans="1:76" hidden="1" outlineLevel="1" x14ac:dyDescent="0.35">
      <c r="A104" s="166" t="s">
        <v>207</v>
      </c>
      <c r="B104" s="167"/>
      <c r="C104" s="543">
        <f t="shared" ref="C104:AH104" si="185">INDEX(MO_BS_TA,0,COLUMN())</f>
        <v>719.49799999999993</v>
      </c>
      <c r="D104" s="543">
        <f t="shared" si="185"/>
        <v>718.70900000000006</v>
      </c>
      <c r="E104" s="543">
        <f t="shared" si="185"/>
        <v>739.91799999999989</v>
      </c>
      <c r="F104" s="543">
        <f t="shared" si="185"/>
        <v>718.89599999999996</v>
      </c>
      <c r="G104" s="543">
        <f t="shared" si="185"/>
        <v>798.29700000000003</v>
      </c>
      <c r="H104" s="543">
        <f t="shared" si="185"/>
        <v>748.88700000000006</v>
      </c>
      <c r="I104" s="543">
        <f t="shared" si="185"/>
        <v>737.255</v>
      </c>
      <c r="J104" s="543">
        <f t="shared" si="185"/>
        <v>711.66699999999992</v>
      </c>
      <c r="K104" s="543">
        <f t="shared" si="185"/>
        <v>731.21699999999998</v>
      </c>
      <c r="L104" s="543">
        <f t="shared" si="185"/>
        <v>715.28199999999993</v>
      </c>
      <c r="M104" s="543">
        <f t="shared" si="185"/>
        <v>743.70299999999997</v>
      </c>
      <c r="N104" s="543">
        <f t="shared" si="185"/>
        <v>708.59900000000005</v>
      </c>
      <c r="O104" s="543">
        <f t="shared" si="185"/>
        <v>737.41100000000006</v>
      </c>
      <c r="P104" s="543">
        <f t="shared" si="185"/>
        <v>714.99099999999999</v>
      </c>
      <c r="Q104" s="543">
        <f t="shared" si="185"/>
        <v>733.90599999999995</v>
      </c>
      <c r="R104" s="543">
        <f t="shared" si="185"/>
        <v>734.05500000000006</v>
      </c>
      <c r="S104" s="543">
        <f t="shared" si="185"/>
        <v>760.96499999999992</v>
      </c>
      <c r="T104" s="543">
        <f t="shared" si="185"/>
        <v>737.48800000000006</v>
      </c>
      <c r="U104" s="543">
        <f t="shared" si="185"/>
        <v>745.41599999999994</v>
      </c>
      <c r="V104" s="543">
        <f t="shared" si="185"/>
        <v>735.28399999999999</v>
      </c>
      <c r="W104" s="543">
        <f t="shared" si="185"/>
        <v>762.43900000000008</v>
      </c>
      <c r="X104" s="543">
        <f t="shared" si="185"/>
        <v>748.65599999999995</v>
      </c>
      <c r="Y104" s="543">
        <f t="shared" si="185"/>
        <v>761.12400000000002</v>
      </c>
      <c r="Z104" s="543">
        <f t="shared" si="185"/>
        <v>741.96299999999997</v>
      </c>
      <c r="AA104" s="543">
        <f t="shared" si="185"/>
        <v>784.80200000000002</v>
      </c>
      <c r="AB104" s="543">
        <f t="shared" si="185"/>
        <v>783.70299999999997</v>
      </c>
      <c r="AC104" s="543">
        <f t="shared" si="185"/>
        <v>809.01</v>
      </c>
      <c r="AD104" s="543">
        <f t="shared" si="185"/>
        <v>819.60599999999999</v>
      </c>
      <c r="AE104" s="543">
        <f t="shared" si="185"/>
        <v>813.49700000000007</v>
      </c>
      <c r="AF104" s="543">
        <f t="shared" si="185"/>
        <v>826.95</v>
      </c>
      <c r="AG104" s="543">
        <f t="shared" si="185"/>
        <v>1036.0050000000001</v>
      </c>
      <c r="AH104" s="543">
        <f t="shared" si="185"/>
        <v>1073.2629999999999</v>
      </c>
      <c r="AI104" s="543">
        <f t="shared" ref="AI104:BB104" si="186">INDEX(MO_BS_TA,0,COLUMN())</f>
        <v>1404.4760000000001</v>
      </c>
      <c r="AJ104" s="543">
        <f t="shared" si="186"/>
        <v>1471.9540000000002</v>
      </c>
      <c r="AK104" s="543">
        <f t="shared" si="186"/>
        <v>1534.1679999999999</v>
      </c>
      <c r="AL104" s="543">
        <f t="shared" si="186"/>
        <v>1577.297</v>
      </c>
      <c r="AM104" s="543">
        <f t="shared" si="186"/>
        <v>1570.3650000000002</v>
      </c>
      <c r="AN104" s="543">
        <f t="shared" si="186"/>
        <v>1525.7450000000001</v>
      </c>
      <c r="AO104" s="543">
        <f t="shared" si="186"/>
        <v>1574.5320000000002</v>
      </c>
      <c r="AP104" s="543">
        <f t="shared" si="186"/>
        <v>1643.5450000000001</v>
      </c>
      <c r="AQ104" s="543">
        <f t="shared" si="186"/>
        <v>1622.098</v>
      </c>
      <c r="AR104" s="543">
        <f t="shared" si="186"/>
        <v>1619.2909999999997</v>
      </c>
      <c r="AS104" s="543">
        <f t="shared" si="186"/>
        <v>1699.848</v>
      </c>
      <c r="AT104" s="543">
        <f t="shared" si="186"/>
        <v>1760.6660000000002</v>
      </c>
      <c r="AU104" s="614">
        <f t="shared" si="186"/>
        <v>1767.645</v>
      </c>
      <c r="AV104" s="543">
        <f t="shared" ca="1" si="186"/>
        <v>1789.3290336751102</v>
      </c>
      <c r="AW104" s="543">
        <f t="shared" ca="1" si="186"/>
        <v>1893.7110217810759</v>
      </c>
      <c r="AX104" s="543">
        <f t="shared" ca="1" si="186"/>
        <v>1979.8917353653865</v>
      </c>
      <c r="AY104" s="543">
        <f t="shared" si="186"/>
        <v>0</v>
      </c>
      <c r="AZ104" s="543">
        <f t="shared" si="186"/>
        <v>240.67599999999999</v>
      </c>
      <c r="BA104" s="543">
        <f t="shared" si="186"/>
        <v>307.88200000000001</v>
      </c>
      <c r="BB104" s="543">
        <f t="shared" si="186"/>
        <v>582.09499999999991</v>
      </c>
      <c r="BC104" s="543"/>
      <c r="BD104" s="851">
        <f t="shared" ref="BD104:BW104" si="187">INDEX(MO_BS_TA,0,COLUMN())</f>
        <v>718.89599999999996</v>
      </c>
      <c r="BE104" s="851">
        <f t="shared" si="187"/>
        <v>711.66699999999992</v>
      </c>
      <c r="BF104" s="851">
        <f t="shared" si="187"/>
        <v>708.59900000000005</v>
      </c>
      <c r="BG104" s="851">
        <f t="shared" si="187"/>
        <v>734.05500000000006</v>
      </c>
      <c r="BH104" s="851">
        <f t="shared" si="187"/>
        <v>735.28399999999999</v>
      </c>
      <c r="BI104" s="851">
        <f t="shared" si="187"/>
        <v>741.96299999999997</v>
      </c>
      <c r="BJ104" s="851">
        <f t="shared" si="187"/>
        <v>819.60599999999999</v>
      </c>
      <c r="BK104" s="851">
        <f t="shared" si="187"/>
        <v>1073.2629999999999</v>
      </c>
      <c r="BL104" s="851">
        <f t="shared" si="187"/>
        <v>1577.297</v>
      </c>
      <c r="BM104" s="851">
        <f t="shared" si="187"/>
        <v>1643.5450000000001</v>
      </c>
      <c r="BN104" s="851">
        <f t="shared" si="187"/>
        <v>1760.6660000000002</v>
      </c>
      <c r="BO104" s="851">
        <f t="shared" ca="1" si="187"/>
        <v>1979.8917353653865</v>
      </c>
      <c r="BP104" s="851" t="e">
        <f t="shared" si="187"/>
        <v>#REF!</v>
      </c>
      <c r="BQ104" s="851" t="e">
        <f t="shared" si="187"/>
        <v>#REF!</v>
      </c>
      <c r="BR104" s="852" t="e">
        <f t="shared" ca="1" si="187"/>
        <v>#REF!</v>
      </c>
      <c r="BS104" s="851" t="e">
        <f t="shared" ca="1" si="187"/>
        <v>#REF!</v>
      </c>
      <c r="BT104" s="851">
        <f t="shared" si="187"/>
        <v>0</v>
      </c>
      <c r="BU104" s="851">
        <f t="shared" si="187"/>
        <v>0</v>
      </c>
      <c r="BV104" s="851">
        <f t="shared" si="187"/>
        <v>0</v>
      </c>
      <c r="BW104" s="851">
        <f t="shared" si="187"/>
        <v>0</v>
      </c>
      <c r="BX104" s="543"/>
    </row>
    <row r="105" spans="1:76" hidden="1" outlineLevel="1" x14ac:dyDescent="0.35">
      <c r="A105" s="166" t="s">
        <v>332</v>
      </c>
      <c r="B105" s="167"/>
      <c r="C105" s="543"/>
      <c r="D105" s="543"/>
      <c r="E105" s="543"/>
      <c r="F105" s="543">
        <f t="shared" ref="F105:AK105" si="188">AVERAGE(F104,E104,D104,C104)</f>
        <v>724.25525000000005</v>
      </c>
      <c r="G105" s="543">
        <f t="shared" si="188"/>
        <v>743.95499999999993</v>
      </c>
      <c r="H105" s="543">
        <f t="shared" si="188"/>
        <v>751.4994999999999</v>
      </c>
      <c r="I105" s="543">
        <f t="shared" si="188"/>
        <v>750.83375000000001</v>
      </c>
      <c r="J105" s="543">
        <f t="shared" si="188"/>
        <v>749.02650000000006</v>
      </c>
      <c r="K105" s="543">
        <f t="shared" si="188"/>
        <v>732.25650000000007</v>
      </c>
      <c r="L105" s="543">
        <f t="shared" si="188"/>
        <v>723.85524999999996</v>
      </c>
      <c r="M105" s="543">
        <f t="shared" si="188"/>
        <v>725.46724999999992</v>
      </c>
      <c r="N105" s="543">
        <f t="shared" si="188"/>
        <v>724.70024999999998</v>
      </c>
      <c r="O105" s="543">
        <f t="shared" si="188"/>
        <v>726.24874999999997</v>
      </c>
      <c r="P105" s="543">
        <f t="shared" si="188"/>
        <v>726.17600000000004</v>
      </c>
      <c r="Q105" s="543">
        <f t="shared" si="188"/>
        <v>723.72675000000004</v>
      </c>
      <c r="R105" s="543">
        <f t="shared" si="188"/>
        <v>730.09075000000007</v>
      </c>
      <c r="S105" s="543">
        <f t="shared" si="188"/>
        <v>735.97924999999998</v>
      </c>
      <c r="T105" s="543">
        <f t="shared" si="188"/>
        <v>741.60349999999994</v>
      </c>
      <c r="U105" s="543">
        <f t="shared" si="188"/>
        <v>744.48099999999999</v>
      </c>
      <c r="V105" s="543">
        <f t="shared" si="188"/>
        <v>744.78825000000006</v>
      </c>
      <c r="W105" s="543">
        <f t="shared" si="188"/>
        <v>745.1567500000001</v>
      </c>
      <c r="X105" s="543">
        <f t="shared" si="188"/>
        <v>747.94875000000002</v>
      </c>
      <c r="Y105" s="543">
        <f t="shared" si="188"/>
        <v>751.87575000000004</v>
      </c>
      <c r="Z105" s="543">
        <f t="shared" si="188"/>
        <v>753.54549999999995</v>
      </c>
      <c r="AA105" s="543">
        <f t="shared" si="188"/>
        <v>759.13625000000002</v>
      </c>
      <c r="AB105" s="543">
        <f t="shared" si="188"/>
        <v>767.89799999999991</v>
      </c>
      <c r="AC105" s="543">
        <f t="shared" si="188"/>
        <v>779.86950000000002</v>
      </c>
      <c r="AD105" s="543">
        <f t="shared" si="188"/>
        <v>799.28025000000002</v>
      </c>
      <c r="AE105" s="543">
        <f t="shared" si="188"/>
        <v>806.45400000000006</v>
      </c>
      <c r="AF105" s="543">
        <f t="shared" si="188"/>
        <v>817.26575000000003</v>
      </c>
      <c r="AG105" s="543">
        <f t="shared" si="188"/>
        <v>874.0145</v>
      </c>
      <c r="AH105" s="543">
        <f t="shared" si="188"/>
        <v>937.42875000000004</v>
      </c>
      <c r="AI105" s="543">
        <f t="shared" si="188"/>
        <v>1085.1735000000001</v>
      </c>
      <c r="AJ105" s="543">
        <f t="shared" si="188"/>
        <v>1246.4245000000001</v>
      </c>
      <c r="AK105" s="543">
        <f t="shared" si="188"/>
        <v>1370.96525</v>
      </c>
      <c r="AL105" s="543">
        <f t="shared" ref="AL105:BB105" si="189">AVERAGE(AL104,AK104,AJ104,AI104)</f>
        <v>1496.9737500000001</v>
      </c>
      <c r="AM105" s="543">
        <f t="shared" si="189"/>
        <v>1538.4459999999999</v>
      </c>
      <c r="AN105" s="543">
        <f t="shared" si="189"/>
        <v>1551.8937500000002</v>
      </c>
      <c r="AO105" s="543">
        <f t="shared" si="189"/>
        <v>1561.9847500000001</v>
      </c>
      <c r="AP105" s="543">
        <f t="shared" si="189"/>
        <v>1578.54675</v>
      </c>
      <c r="AQ105" s="543">
        <f t="shared" si="189"/>
        <v>1591.48</v>
      </c>
      <c r="AR105" s="543">
        <f t="shared" si="189"/>
        <v>1614.8664999999999</v>
      </c>
      <c r="AS105" s="543">
        <f t="shared" si="189"/>
        <v>1646.1954999999998</v>
      </c>
      <c r="AT105" s="543">
        <f t="shared" si="189"/>
        <v>1675.4757500000001</v>
      </c>
      <c r="AU105" s="614">
        <f t="shared" si="189"/>
        <v>1711.8624999999997</v>
      </c>
      <c r="AV105" s="543">
        <f t="shared" ca="1" si="189"/>
        <v>1754.3720084187776</v>
      </c>
      <c r="AW105" s="543">
        <f t="shared" ca="1" si="189"/>
        <v>1802.8377638640466</v>
      </c>
      <c r="AX105" s="543">
        <f t="shared" ca="1" si="189"/>
        <v>1857.6441977053933</v>
      </c>
      <c r="AY105" s="543">
        <f t="shared" ca="1" si="189"/>
        <v>1415.7329477053931</v>
      </c>
      <c r="AZ105" s="543">
        <f t="shared" ca="1" si="189"/>
        <v>1028.5696892866156</v>
      </c>
      <c r="BA105" s="543">
        <f t="shared" ca="1" si="189"/>
        <v>632.11243384134661</v>
      </c>
      <c r="BB105" s="543">
        <f t="shared" si="189"/>
        <v>282.66324999999995</v>
      </c>
      <c r="BC105" s="543"/>
      <c r="BD105" s="851">
        <f>BD104</f>
        <v>718.89599999999996</v>
      </c>
      <c r="BE105" s="851">
        <f t="shared" ref="BE105:BW105" si="190">AVERAGE(BE104,BD104)</f>
        <v>715.28149999999994</v>
      </c>
      <c r="BF105" s="851">
        <f t="shared" si="190"/>
        <v>710.13300000000004</v>
      </c>
      <c r="BG105" s="851">
        <f t="shared" si="190"/>
        <v>721.327</v>
      </c>
      <c r="BH105" s="851">
        <f t="shared" si="190"/>
        <v>734.66949999999997</v>
      </c>
      <c r="BI105" s="851">
        <f t="shared" si="190"/>
        <v>738.62349999999992</v>
      </c>
      <c r="BJ105" s="851">
        <f t="shared" si="190"/>
        <v>780.78449999999998</v>
      </c>
      <c r="BK105" s="851">
        <f t="shared" si="190"/>
        <v>946.43449999999996</v>
      </c>
      <c r="BL105" s="851">
        <f t="shared" si="190"/>
        <v>1325.28</v>
      </c>
      <c r="BM105" s="851">
        <f t="shared" si="190"/>
        <v>1610.421</v>
      </c>
      <c r="BN105" s="851">
        <f t="shared" si="190"/>
        <v>1702.1055000000001</v>
      </c>
      <c r="BO105" s="851">
        <f t="shared" ca="1" si="190"/>
        <v>1870.2788676826933</v>
      </c>
      <c r="BP105" s="851" t="e">
        <f t="shared" si="190"/>
        <v>#REF!</v>
      </c>
      <c r="BQ105" s="851" t="e">
        <f t="shared" si="190"/>
        <v>#REF!</v>
      </c>
      <c r="BR105" s="852" t="e">
        <f t="shared" ca="1" si="190"/>
        <v>#REF!</v>
      </c>
      <c r="BS105" s="851" t="e">
        <f t="shared" ca="1" si="190"/>
        <v>#REF!</v>
      </c>
      <c r="BT105" s="851" t="e">
        <f t="shared" ca="1" si="190"/>
        <v>#REF!</v>
      </c>
      <c r="BU105" s="851">
        <f t="shared" si="190"/>
        <v>0</v>
      </c>
      <c r="BV105" s="851">
        <f t="shared" si="190"/>
        <v>0</v>
      </c>
      <c r="BW105" s="851">
        <f t="shared" si="190"/>
        <v>0</v>
      </c>
      <c r="BX105" s="543"/>
    </row>
    <row r="106" spans="1:76" s="67" customFormat="1" collapsed="1" x14ac:dyDescent="0.35">
      <c r="A106" s="189" t="s">
        <v>384</v>
      </c>
      <c r="B106" s="190"/>
      <c r="C106" s="84"/>
      <c r="D106" s="84"/>
      <c r="E106" s="84"/>
      <c r="F106" s="84"/>
      <c r="G106" s="84">
        <f t="shared" ref="G106:BB106" si="191">IF(G105&lt;0,"NMF",IF(ABS(G103/G105)&gt;1,"NMF",G103/G105))</f>
        <v>2.0075265977895506E-2</v>
      </c>
      <c r="H106" s="84">
        <f t="shared" si="191"/>
        <v>2.5202605647782566E-3</v>
      </c>
      <c r="I106" s="84">
        <f t="shared" si="191"/>
        <v>8.8612118679072538E-3</v>
      </c>
      <c r="J106" s="84">
        <f t="shared" si="191"/>
        <v>2.4234333818865778E-2</v>
      </c>
      <c r="K106" s="84">
        <f t="shared" si="191"/>
        <v>2.2663507511469082E-2</v>
      </c>
      <c r="L106" s="84">
        <f t="shared" si="191"/>
        <v>4.5183905718993514E-2</v>
      </c>
      <c r="M106" s="84">
        <f t="shared" si="191"/>
        <v>4.6740673077837837E-2</v>
      </c>
      <c r="N106" s="84">
        <f t="shared" si="191"/>
        <v>1.5805019619576918E-2</v>
      </c>
      <c r="O106" s="84">
        <f t="shared" si="191"/>
        <v>7.6840184631587587E-3</v>
      </c>
      <c r="P106" s="84">
        <f t="shared" si="191"/>
        <v>2.3329423069668466E-3</v>
      </c>
      <c r="Q106" s="84">
        <f t="shared" si="191"/>
        <v>-1.781583226587899E-3</v>
      </c>
      <c r="R106" s="84">
        <f t="shared" si="191"/>
        <v>1.2187845039821451E-2</v>
      </c>
      <c r="S106" s="84">
        <f t="shared" si="191"/>
        <v>1.023167092074034E-2</v>
      </c>
      <c r="T106" s="84">
        <f t="shared" si="191"/>
        <v>1.3871899425774254E-2</v>
      </c>
      <c r="U106" s="84">
        <f t="shared" si="191"/>
        <v>6.7257376329334538E-3</v>
      </c>
      <c r="V106" s="84">
        <f t="shared" si="191"/>
        <v>-2.7270659917144895E-3</v>
      </c>
      <c r="W106" s="84">
        <f t="shared" si="191"/>
        <v>4.7592763260757868E-3</v>
      </c>
      <c r="X106" s="84">
        <f t="shared" si="191"/>
        <v>7.9601843303054726E-3</v>
      </c>
      <c r="Y106" s="84">
        <f t="shared" si="191"/>
        <v>1.3791058297908998E-2</v>
      </c>
      <c r="Z106" s="84">
        <f t="shared" si="191"/>
        <v>3.5449509621081163E-2</v>
      </c>
      <c r="AA106" s="84">
        <f t="shared" si="191"/>
        <v>3.4913239455987066E-2</v>
      </c>
      <c r="AB106" s="84">
        <f t="shared" si="191"/>
        <v>4.7816968347334031E-2</v>
      </c>
      <c r="AC106" s="84">
        <f t="shared" si="191"/>
        <v>5.3513030312653025E-2</v>
      </c>
      <c r="AD106" s="84">
        <f t="shared" si="191"/>
        <v>4.3886550595226718E-2</v>
      </c>
      <c r="AE106" s="84">
        <f t="shared" si="191"/>
        <v>4.1352686704301207E-2</v>
      </c>
      <c r="AF106" s="84">
        <f t="shared" si="191"/>
        <v>3.7054163453413752E-2</v>
      </c>
      <c r="AG106" s="84">
        <f t="shared" si="191"/>
        <v>2.4256664897140671E-2</v>
      </c>
      <c r="AH106" s="84">
        <f t="shared" si="191"/>
        <v>2.578055194393801E-2</v>
      </c>
      <c r="AI106" s="84">
        <f t="shared" si="191"/>
        <v>4.5733119313945469E-2</v>
      </c>
      <c r="AJ106" s="84">
        <f t="shared" si="191"/>
        <v>4.5984505232021931E-2</v>
      </c>
      <c r="AK106" s="84">
        <f t="shared" si="191"/>
        <v>5.5458922020700144E-2</v>
      </c>
      <c r="AL106" s="84">
        <f t="shared" si="191"/>
        <v>5.6607918793248183E-2</v>
      </c>
      <c r="AM106" s="84">
        <f t="shared" si="191"/>
        <v>4.2223831553127797E-2</v>
      </c>
      <c r="AN106" s="84">
        <f t="shared" si="191"/>
        <v>5.1771001412502453E-2</v>
      </c>
      <c r="AO106" s="84">
        <f t="shared" si="191"/>
        <v>6.2381328350997918E-2</v>
      </c>
      <c r="AP106" s="84">
        <f t="shared" si="191"/>
        <v>7.1611033566055665E-2</v>
      </c>
      <c r="AQ106" s="84">
        <f t="shared" si="191"/>
        <v>6.0588363590201311E-2</v>
      </c>
      <c r="AR106" s="84">
        <f t="shared" si="191"/>
        <v>6.5193466590332955E-2</v>
      </c>
      <c r="AS106" s="84">
        <f t="shared" si="191"/>
        <v>7.1530252220198334E-2</v>
      </c>
      <c r="AT106" s="84">
        <f t="shared" si="191"/>
        <v>7.9438218515359801E-2</v>
      </c>
      <c r="AU106" s="520">
        <f t="shared" si="191"/>
        <v>9.3868792267731371E-2</v>
      </c>
      <c r="AV106" s="84">
        <f t="shared" ca="1" si="191"/>
        <v>9.3838233367835214E-2</v>
      </c>
      <c r="AW106" s="84">
        <f t="shared" ca="1" si="191"/>
        <v>9.2679613233393618E-2</v>
      </c>
      <c r="AX106" s="84">
        <f t="shared" ca="1" si="191"/>
        <v>9.0799399165238881E-2</v>
      </c>
      <c r="AY106" s="84" t="e">
        <f t="shared" ca="1" si="191"/>
        <v>#DIV/0!</v>
      </c>
      <c r="AZ106" s="84" t="e">
        <f t="shared" ca="1" si="191"/>
        <v>#DIV/0!</v>
      </c>
      <c r="BA106" s="84" t="e">
        <f t="shared" ca="1" si="191"/>
        <v>#DIV/0!</v>
      </c>
      <c r="BB106" s="84" t="e">
        <f t="shared" si="191"/>
        <v>#DIV/0!</v>
      </c>
      <c r="BC106" s="84"/>
      <c r="BD106" s="866">
        <f t="shared" ref="BD106:BW106" si="192">IF(BD105&lt;0,"NMF",IF(ABS(BD103/BD105)&gt;1,"NMF",BD103/BD105))</f>
        <v>3.3473539694970314E-2</v>
      </c>
      <c r="BE106" s="866">
        <f t="shared" si="192"/>
        <v>2.5386958217972485E-2</v>
      </c>
      <c r="BF106" s="866">
        <f t="shared" si="192"/>
        <v>1.5988187510382987E-2</v>
      </c>
      <c r="BG106" s="866">
        <f t="shared" si="192"/>
        <v>1.2404608100190138E-2</v>
      </c>
      <c r="BH106" s="866">
        <f t="shared" si="192"/>
        <v>-3.9597075449075865E-4</v>
      </c>
      <c r="BI106" s="866">
        <f t="shared" si="192"/>
        <v>3.5771776506217212E-2</v>
      </c>
      <c r="BJ106" s="866">
        <f t="shared" si="192"/>
        <v>4.4888957373111799E-2</v>
      </c>
      <c r="BK106" s="866">
        <f t="shared" si="192"/>
        <v>2.5343906402240705E-2</v>
      </c>
      <c r="BL106" s="866">
        <f t="shared" si="192"/>
        <v>6.3987112489636941E-2</v>
      </c>
      <c r="BM106" s="866">
        <f t="shared" si="192"/>
        <v>7.0261711607721392E-2</v>
      </c>
      <c r="BN106" s="866">
        <f t="shared" si="192"/>
        <v>7.8175176109417571E-2</v>
      </c>
      <c r="BO106" s="866">
        <f t="shared" ca="1" si="192"/>
        <v>9.0165779261659876E-2</v>
      </c>
      <c r="BP106" s="866" t="e">
        <f t="shared" si="192"/>
        <v>#REF!</v>
      </c>
      <c r="BQ106" s="866" t="e">
        <f t="shared" si="192"/>
        <v>#REF!</v>
      </c>
      <c r="BR106" s="867" t="e">
        <f t="shared" ca="1" si="192"/>
        <v>#REF!</v>
      </c>
      <c r="BS106" s="866" t="e">
        <f t="shared" ca="1" si="192"/>
        <v>#REF!</v>
      </c>
      <c r="BT106" s="866" t="e">
        <f t="shared" ca="1" si="192"/>
        <v>#REF!</v>
      </c>
      <c r="BU106" s="866" t="e">
        <f t="shared" si="192"/>
        <v>#DIV/0!</v>
      </c>
      <c r="BV106" s="866" t="e">
        <f t="shared" si="192"/>
        <v>#DIV/0!</v>
      </c>
      <c r="BW106" s="866" t="e">
        <f t="shared" si="192"/>
        <v>#DIV/0!</v>
      </c>
      <c r="BX106" s="221"/>
    </row>
    <row r="107" spans="1:76" hidden="1" outlineLevel="1" x14ac:dyDescent="0.35">
      <c r="A107" s="166" t="s">
        <v>333</v>
      </c>
      <c r="B107" s="167"/>
      <c r="C107" s="543">
        <f t="shared" ref="C107:AH107" si="193">INDEX(MO_BSS_Debt_Net,0,COLUMN())+INDEX(MO_BSS_Cash,0,COLUMN())</f>
        <v>42.298999999999992</v>
      </c>
      <c r="D107" s="543">
        <f t="shared" si="193"/>
        <v>41.555999999999997</v>
      </c>
      <c r="E107" s="543">
        <f t="shared" si="193"/>
        <v>41.817000000000007</v>
      </c>
      <c r="F107" s="543">
        <f t="shared" si="193"/>
        <v>35.891999999999996</v>
      </c>
      <c r="G107" s="543">
        <f t="shared" si="193"/>
        <v>40.64500000000001</v>
      </c>
      <c r="H107" s="543">
        <f t="shared" si="193"/>
        <v>41.646000000000001</v>
      </c>
      <c r="I107" s="543">
        <f t="shared" si="193"/>
        <v>37.605000000000018</v>
      </c>
      <c r="J107" s="543">
        <f t="shared" si="193"/>
        <v>36.938999999999993</v>
      </c>
      <c r="K107" s="543">
        <f t="shared" si="193"/>
        <v>35.305999999999997</v>
      </c>
      <c r="L107" s="543">
        <f t="shared" si="193"/>
        <v>32.36399999999999</v>
      </c>
      <c r="M107" s="543">
        <f t="shared" si="193"/>
        <v>32.293999999999997</v>
      </c>
      <c r="N107" s="543">
        <f t="shared" si="193"/>
        <v>29.657000000000011</v>
      </c>
      <c r="O107" s="543">
        <f t="shared" si="193"/>
        <v>27.304000000000002</v>
      </c>
      <c r="P107" s="543">
        <f t="shared" si="193"/>
        <v>24.427999999999997</v>
      </c>
      <c r="Q107" s="543">
        <f t="shared" si="193"/>
        <v>23.113</v>
      </c>
      <c r="R107" s="543">
        <f t="shared" si="193"/>
        <v>23.132000000000005</v>
      </c>
      <c r="S107" s="543">
        <f t="shared" si="193"/>
        <v>27.75200000000001</v>
      </c>
      <c r="T107" s="543">
        <f t="shared" si="193"/>
        <v>25.282000000000011</v>
      </c>
      <c r="U107" s="543">
        <f t="shared" si="193"/>
        <v>25.222000000000008</v>
      </c>
      <c r="V107" s="543">
        <f t="shared" si="193"/>
        <v>21.905000000000001</v>
      </c>
      <c r="W107" s="543">
        <f t="shared" si="193"/>
        <v>29.287999999999997</v>
      </c>
      <c r="X107" s="543">
        <f t="shared" si="193"/>
        <v>27.347000000000008</v>
      </c>
      <c r="Y107" s="543">
        <f t="shared" si="193"/>
        <v>27.710000000000008</v>
      </c>
      <c r="Z107" s="543">
        <f t="shared" si="193"/>
        <v>26.018000000000001</v>
      </c>
      <c r="AA107" s="543">
        <f t="shared" si="193"/>
        <v>37.692000000000007</v>
      </c>
      <c r="AB107" s="543">
        <f t="shared" si="193"/>
        <v>34.751000000000005</v>
      </c>
      <c r="AC107" s="543">
        <f t="shared" si="193"/>
        <v>31.197000000000003</v>
      </c>
      <c r="AD107" s="543">
        <f t="shared" si="193"/>
        <v>24.648000000000025</v>
      </c>
      <c r="AE107" s="543">
        <f t="shared" si="193"/>
        <v>50.932999999999993</v>
      </c>
      <c r="AF107" s="543">
        <f t="shared" si="193"/>
        <v>48.883999999999986</v>
      </c>
      <c r="AG107" s="543">
        <f t="shared" si="193"/>
        <v>244.49700000000001</v>
      </c>
      <c r="AH107" s="543">
        <f t="shared" si="193"/>
        <v>235.17099999999999</v>
      </c>
      <c r="AI107" s="543">
        <f t="shared" ref="AI107:BB107" si="194">INDEX(MO_BSS_Debt_Net,0,COLUMN())+INDEX(MO_BSS_Cash,0,COLUMN())</f>
        <v>432.875</v>
      </c>
      <c r="AJ107" s="543">
        <f t="shared" si="194"/>
        <v>459.10700000000008</v>
      </c>
      <c r="AK107" s="543">
        <f t="shared" si="194"/>
        <v>468.39999999999992</v>
      </c>
      <c r="AL107" s="543">
        <f t="shared" si="194"/>
        <v>466.28200000000004</v>
      </c>
      <c r="AM107" s="543">
        <f t="shared" si="194"/>
        <v>589.02</v>
      </c>
      <c r="AN107" s="543">
        <f t="shared" si="194"/>
        <v>585.61900000000003</v>
      </c>
      <c r="AO107" s="543">
        <f t="shared" si="194"/>
        <v>575.76099999999997</v>
      </c>
      <c r="AP107" s="543">
        <f t="shared" si="194"/>
        <v>565.67200000000003</v>
      </c>
      <c r="AQ107" s="543">
        <f t="shared" si="194"/>
        <v>572.34500000000003</v>
      </c>
      <c r="AR107" s="543">
        <f t="shared" si="194"/>
        <v>564.67000000000007</v>
      </c>
      <c r="AS107" s="543">
        <f t="shared" si="194"/>
        <v>556.13900000000001</v>
      </c>
      <c r="AT107" s="543">
        <f t="shared" si="194"/>
        <v>543.80799999999999</v>
      </c>
      <c r="AU107" s="614">
        <f t="shared" si="194"/>
        <v>547.86599999999999</v>
      </c>
      <c r="AV107" s="543">
        <f t="shared" ca="1" si="194"/>
        <v>547.86599999999999</v>
      </c>
      <c r="AW107" s="543">
        <f t="shared" ca="1" si="194"/>
        <v>547.86599999999999</v>
      </c>
      <c r="AX107" s="543">
        <f t="shared" ca="1" si="194"/>
        <v>547.86599999999999</v>
      </c>
      <c r="AY107" s="543">
        <f t="shared" si="194"/>
        <v>0</v>
      </c>
      <c r="AZ107" s="543">
        <f t="shared" si="194"/>
        <v>22.402000000000001</v>
      </c>
      <c r="BA107" s="543">
        <f t="shared" si="194"/>
        <v>20.612000000000009</v>
      </c>
      <c r="BB107" s="543">
        <f t="shared" si="194"/>
        <v>24.207999999999998</v>
      </c>
      <c r="BC107" s="543"/>
      <c r="BD107" s="851">
        <f t="shared" ref="BD107:BW107" si="195">INDEX(MO_BSS_Debt_Net,0,COLUMN())+INDEX(MO_BSS_Cash,0,COLUMN())</f>
        <v>35.891999999999996</v>
      </c>
      <c r="BE107" s="851">
        <f t="shared" si="195"/>
        <v>36.938999999999993</v>
      </c>
      <c r="BF107" s="851">
        <f t="shared" si="195"/>
        <v>29.657000000000011</v>
      </c>
      <c r="BG107" s="851">
        <f t="shared" si="195"/>
        <v>23.132000000000005</v>
      </c>
      <c r="BH107" s="851">
        <f t="shared" si="195"/>
        <v>21.905000000000001</v>
      </c>
      <c r="BI107" s="851">
        <f t="shared" si="195"/>
        <v>26.018000000000001</v>
      </c>
      <c r="BJ107" s="851">
        <f t="shared" si="195"/>
        <v>24.648000000000025</v>
      </c>
      <c r="BK107" s="851">
        <f t="shared" si="195"/>
        <v>235.17099999999999</v>
      </c>
      <c r="BL107" s="851">
        <f t="shared" si="195"/>
        <v>466.28200000000004</v>
      </c>
      <c r="BM107" s="851">
        <f t="shared" si="195"/>
        <v>565.67200000000003</v>
      </c>
      <c r="BN107" s="851">
        <f t="shared" si="195"/>
        <v>543.80799999999999</v>
      </c>
      <c r="BO107" s="851">
        <f t="shared" ca="1" si="195"/>
        <v>547.86599999999999</v>
      </c>
      <c r="BP107" s="851" t="e">
        <f t="shared" si="195"/>
        <v>#REF!</v>
      </c>
      <c r="BQ107" s="851" t="e">
        <f t="shared" si="195"/>
        <v>#REF!</v>
      </c>
      <c r="BR107" s="852" t="e">
        <f t="shared" ca="1" si="195"/>
        <v>#REF!</v>
      </c>
      <c r="BS107" s="851" t="e">
        <f t="shared" ca="1" si="195"/>
        <v>#REF!</v>
      </c>
      <c r="BT107" s="851">
        <f t="shared" si="195"/>
        <v>0</v>
      </c>
      <c r="BU107" s="851">
        <f t="shared" si="195"/>
        <v>0</v>
      </c>
      <c r="BV107" s="851">
        <f t="shared" si="195"/>
        <v>0</v>
      </c>
      <c r="BW107" s="851">
        <f t="shared" si="195"/>
        <v>0</v>
      </c>
      <c r="BX107" s="543"/>
    </row>
    <row r="108" spans="1:76" hidden="1" outlineLevel="1" x14ac:dyDescent="0.35">
      <c r="A108" s="166" t="s">
        <v>334</v>
      </c>
      <c r="B108" s="167"/>
      <c r="C108" s="543"/>
      <c r="D108" s="543"/>
      <c r="E108" s="543"/>
      <c r="F108" s="543">
        <f t="shared" ref="F108:AK108" si="196">AVERAGE(F107,E107,D107,C107)</f>
        <v>40.390999999999998</v>
      </c>
      <c r="G108" s="543">
        <f t="shared" si="196"/>
        <v>39.977500000000006</v>
      </c>
      <c r="H108" s="543">
        <f t="shared" si="196"/>
        <v>40</v>
      </c>
      <c r="I108" s="543">
        <f t="shared" si="196"/>
        <v>38.947000000000003</v>
      </c>
      <c r="J108" s="543">
        <f t="shared" si="196"/>
        <v>39.208750000000009</v>
      </c>
      <c r="K108" s="543">
        <f t="shared" si="196"/>
        <v>37.874000000000002</v>
      </c>
      <c r="L108" s="543">
        <f t="shared" si="196"/>
        <v>35.5535</v>
      </c>
      <c r="M108" s="543">
        <f t="shared" si="196"/>
        <v>34.225749999999991</v>
      </c>
      <c r="N108" s="543">
        <f t="shared" si="196"/>
        <v>32.405249999999995</v>
      </c>
      <c r="O108" s="543">
        <f t="shared" si="196"/>
        <v>30.40475</v>
      </c>
      <c r="P108" s="543">
        <f t="shared" si="196"/>
        <v>28.420750000000002</v>
      </c>
      <c r="Q108" s="543">
        <f t="shared" si="196"/>
        <v>26.125500000000002</v>
      </c>
      <c r="R108" s="543">
        <f t="shared" si="196"/>
        <v>24.494250000000001</v>
      </c>
      <c r="S108" s="543">
        <f t="shared" si="196"/>
        <v>24.606250000000003</v>
      </c>
      <c r="T108" s="543">
        <f t="shared" si="196"/>
        <v>24.819750000000006</v>
      </c>
      <c r="U108" s="543">
        <f t="shared" si="196"/>
        <v>25.347000000000008</v>
      </c>
      <c r="V108" s="543">
        <f t="shared" si="196"/>
        <v>25.040250000000007</v>
      </c>
      <c r="W108" s="543">
        <f t="shared" si="196"/>
        <v>25.424250000000004</v>
      </c>
      <c r="X108" s="543">
        <f t="shared" si="196"/>
        <v>25.940500000000004</v>
      </c>
      <c r="Y108" s="543">
        <f t="shared" si="196"/>
        <v>26.562500000000004</v>
      </c>
      <c r="Z108" s="543">
        <f t="shared" si="196"/>
        <v>27.590750000000003</v>
      </c>
      <c r="AA108" s="543">
        <f t="shared" si="196"/>
        <v>29.691750000000006</v>
      </c>
      <c r="AB108" s="543">
        <f t="shared" si="196"/>
        <v>31.542750000000005</v>
      </c>
      <c r="AC108" s="543">
        <f t="shared" si="196"/>
        <v>32.414500000000004</v>
      </c>
      <c r="AD108" s="543">
        <f t="shared" si="196"/>
        <v>32.07200000000001</v>
      </c>
      <c r="AE108" s="543">
        <f t="shared" si="196"/>
        <v>35.382250000000006</v>
      </c>
      <c r="AF108" s="543">
        <f t="shared" si="196"/>
        <v>38.915500000000002</v>
      </c>
      <c r="AG108" s="543">
        <f t="shared" si="196"/>
        <v>92.240499999999997</v>
      </c>
      <c r="AH108" s="543">
        <f t="shared" si="196"/>
        <v>144.87125</v>
      </c>
      <c r="AI108" s="543">
        <f t="shared" si="196"/>
        <v>240.35675000000003</v>
      </c>
      <c r="AJ108" s="543">
        <f t="shared" si="196"/>
        <v>342.91250000000002</v>
      </c>
      <c r="AK108" s="543">
        <f t="shared" si="196"/>
        <v>398.88825000000003</v>
      </c>
      <c r="AL108" s="543">
        <f t="shared" ref="AL108:BB108" si="197">AVERAGE(AL107,AK107,AJ107,AI107)</f>
        <v>456.66600000000005</v>
      </c>
      <c r="AM108" s="543">
        <f t="shared" si="197"/>
        <v>495.70225000000005</v>
      </c>
      <c r="AN108" s="543">
        <f t="shared" si="197"/>
        <v>527.33025000000009</v>
      </c>
      <c r="AO108" s="543">
        <f t="shared" si="197"/>
        <v>554.17050000000006</v>
      </c>
      <c r="AP108" s="543">
        <f t="shared" si="197"/>
        <v>579.01800000000003</v>
      </c>
      <c r="AQ108" s="543">
        <f t="shared" si="197"/>
        <v>574.84924999999998</v>
      </c>
      <c r="AR108" s="543">
        <f t="shared" si="197"/>
        <v>569.61200000000008</v>
      </c>
      <c r="AS108" s="543">
        <f t="shared" si="197"/>
        <v>564.70650000000001</v>
      </c>
      <c r="AT108" s="543">
        <f t="shared" si="197"/>
        <v>559.24050000000011</v>
      </c>
      <c r="AU108" s="614">
        <f t="shared" si="197"/>
        <v>553.12075000000004</v>
      </c>
      <c r="AV108" s="543">
        <f t="shared" ca="1" si="197"/>
        <v>548.91975000000002</v>
      </c>
      <c r="AW108" s="543">
        <f t="shared" ca="1" si="197"/>
        <v>546.85149999999999</v>
      </c>
      <c r="AX108" s="543">
        <f t="shared" ca="1" si="197"/>
        <v>547.86599999999999</v>
      </c>
      <c r="AY108" s="543">
        <f t="shared" ca="1" si="197"/>
        <v>410.89949999999999</v>
      </c>
      <c r="AZ108" s="543">
        <f t="shared" ca="1" si="197"/>
        <v>279.5335</v>
      </c>
      <c r="BA108" s="543">
        <f t="shared" ca="1" si="197"/>
        <v>147.72</v>
      </c>
      <c r="BB108" s="543">
        <f t="shared" si="197"/>
        <v>16.805500000000002</v>
      </c>
      <c r="BC108" s="543"/>
      <c r="BD108" s="851">
        <f>BD107</f>
        <v>35.891999999999996</v>
      </c>
      <c r="BE108" s="851">
        <f t="shared" ref="BE108:BW108" si="198">AVERAGE(BE107,BD107)</f>
        <v>36.415499999999994</v>
      </c>
      <c r="BF108" s="851">
        <f t="shared" si="198"/>
        <v>33.298000000000002</v>
      </c>
      <c r="BG108" s="851">
        <f t="shared" si="198"/>
        <v>26.394500000000008</v>
      </c>
      <c r="BH108" s="851">
        <f t="shared" si="198"/>
        <v>22.518500000000003</v>
      </c>
      <c r="BI108" s="851">
        <f t="shared" si="198"/>
        <v>23.961500000000001</v>
      </c>
      <c r="BJ108" s="851">
        <f t="shared" si="198"/>
        <v>25.333000000000013</v>
      </c>
      <c r="BK108" s="851">
        <f t="shared" si="198"/>
        <v>129.90950000000001</v>
      </c>
      <c r="BL108" s="851">
        <f t="shared" si="198"/>
        <v>350.72649999999999</v>
      </c>
      <c r="BM108" s="851">
        <f t="shared" si="198"/>
        <v>515.97700000000009</v>
      </c>
      <c r="BN108" s="851">
        <f t="shared" si="198"/>
        <v>554.74</v>
      </c>
      <c r="BO108" s="851">
        <f t="shared" ca="1" si="198"/>
        <v>545.83699999999999</v>
      </c>
      <c r="BP108" s="851" t="e">
        <f t="shared" si="198"/>
        <v>#REF!</v>
      </c>
      <c r="BQ108" s="851" t="e">
        <f t="shared" si="198"/>
        <v>#REF!</v>
      </c>
      <c r="BR108" s="852" t="e">
        <f t="shared" ca="1" si="198"/>
        <v>#REF!</v>
      </c>
      <c r="BS108" s="851" t="e">
        <f t="shared" ca="1" si="198"/>
        <v>#REF!</v>
      </c>
      <c r="BT108" s="851" t="e">
        <f t="shared" ca="1" si="198"/>
        <v>#REF!</v>
      </c>
      <c r="BU108" s="851">
        <f t="shared" si="198"/>
        <v>0</v>
      </c>
      <c r="BV108" s="851">
        <f t="shared" si="198"/>
        <v>0</v>
      </c>
      <c r="BW108" s="851">
        <f t="shared" si="198"/>
        <v>0</v>
      </c>
      <c r="BX108" s="543"/>
    </row>
    <row r="109" spans="1:76" hidden="1" outlineLevel="1" x14ac:dyDescent="0.35">
      <c r="A109" s="166" t="s">
        <v>335</v>
      </c>
      <c r="B109" s="167"/>
      <c r="C109" s="543">
        <f t="shared" ref="C109:AH109" si="199">SUM(INDEX(SP_BSR_Debt_Avg,0,COLUMN()),INDEX(SP_BSR_SE_Avg,0,COLUMN()))</f>
        <v>0</v>
      </c>
      <c r="D109" s="543">
        <f t="shared" si="199"/>
        <v>0</v>
      </c>
      <c r="E109" s="543">
        <f t="shared" si="199"/>
        <v>0</v>
      </c>
      <c r="F109" s="543">
        <f t="shared" si="199"/>
        <v>545.50375000000008</v>
      </c>
      <c r="G109" s="543">
        <f t="shared" si="199"/>
        <v>558.54025000000001</v>
      </c>
      <c r="H109" s="543">
        <f t="shared" si="199"/>
        <v>567.39750000000004</v>
      </c>
      <c r="I109" s="543">
        <f t="shared" si="199"/>
        <v>570.41700000000003</v>
      </c>
      <c r="J109" s="543">
        <f t="shared" si="199"/>
        <v>570.37075000000004</v>
      </c>
      <c r="K109" s="543">
        <f t="shared" si="199"/>
        <v>559.83575000000008</v>
      </c>
      <c r="L109" s="543">
        <f t="shared" si="199"/>
        <v>553.29025000000001</v>
      </c>
      <c r="M109" s="543">
        <f t="shared" si="199"/>
        <v>553.05399999999997</v>
      </c>
      <c r="N109" s="543">
        <f t="shared" si="199"/>
        <v>553.2355</v>
      </c>
      <c r="O109" s="543">
        <f t="shared" si="199"/>
        <v>557.70050000000003</v>
      </c>
      <c r="P109" s="543">
        <f t="shared" si="199"/>
        <v>561.09574999999995</v>
      </c>
      <c r="Q109" s="543">
        <f t="shared" si="199"/>
        <v>563.23450000000003</v>
      </c>
      <c r="R109" s="543">
        <f t="shared" si="199"/>
        <v>567.04874999999993</v>
      </c>
      <c r="S109" s="543">
        <f t="shared" si="199"/>
        <v>572.08675000000005</v>
      </c>
      <c r="T109" s="543">
        <f t="shared" si="199"/>
        <v>578.38625000000002</v>
      </c>
      <c r="U109" s="543">
        <f t="shared" si="199"/>
        <v>583.86999999999989</v>
      </c>
      <c r="V109" s="543">
        <f t="shared" si="199"/>
        <v>587.46975000000009</v>
      </c>
      <c r="W109" s="543">
        <f t="shared" si="199"/>
        <v>593.63575000000003</v>
      </c>
      <c r="X109" s="543">
        <f t="shared" si="199"/>
        <v>600.70074999999997</v>
      </c>
      <c r="Y109" s="543">
        <f t="shared" si="199"/>
        <v>608.18549999999993</v>
      </c>
      <c r="Z109" s="543">
        <f t="shared" si="199"/>
        <v>612.42449999999997</v>
      </c>
      <c r="AA109" s="543">
        <f t="shared" si="199"/>
        <v>616.73149999999998</v>
      </c>
      <c r="AB109" s="543">
        <f t="shared" si="199"/>
        <v>623.11099999999999</v>
      </c>
      <c r="AC109" s="543">
        <f t="shared" si="199"/>
        <v>630.30975000000001</v>
      </c>
      <c r="AD109" s="543">
        <f t="shared" si="199"/>
        <v>641.51125000000013</v>
      </c>
      <c r="AE109" s="543">
        <f t="shared" si="199"/>
        <v>657.07550000000003</v>
      </c>
      <c r="AF109" s="543">
        <f t="shared" si="199"/>
        <v>672.39375000000007</v>
      </c>
      <c r="AG109" s="543">
        <f t="shared" si="199"/>
        <v>735.69075000000009</v>
      </c>
      <c r="AH109" s="543">
        <f t="shared" si="199"/>
        <v>798.8125</v>
      </c>
      <c r="AI109" s="543">
        <f t="shared" ref="AI109:BB109" si="200">SUM(INDEX(SP_BSR_Debt_Avg,0,COLUMN()),INDEX(SP_BSR_SE_Avg,0,COLUMN()))</f>
        <v>917.87525000000005</v>
      </c>
      <c r="AJ109" s="543">
        <f t="shared" si="200"/>
        <v>1045.7642499999997</v>
      </c>
      <c r="AK109" s="543">
        <f t="shared" si="200"/>
        <v>1132.27775</v>
      </c>
      <c r="AL109" s="543">
        <f t="shared" si="200"/>
        <v>1222.3852499999998</v>
      </c>
      <c r="AM109" s="543">
        <f t="shared" si="200"/>
        <v>1261.64275</v>
      </c>
      <c r="AN109" s="543">
        <f t="shared" si="200"/>
        <v>1288.7217500000002</v>
      </c>
      <c r="AO109" s="543">
        <f t="shared" si="200"/>
        <v>1314.0097500000002</v>
      </c>
      <c r="AP109" s="543">
        <f t="shared" si="200"/>
        <v>1340.8405000000002</v>
      </c>
      <c r="AQ109" s="543">
        <f t="shared" si="200"/>
        <v>1353.4010000000001</v>
      </c>
      <c r="AR109" s="543">
        <f t="shared" si="200"/>
        <v>1375.0802500000002</v>
      </c>
      <c r="AS109" s="543">
        <f t="shared" si="200"/>
        <v>1399.8725000000002</v>
      </c>
      <c r="AT109" s="543">
        <f t="shared" si="200"/>
        <v>1428.0852500000003</v>
      </c>
      <c r="AU109" s="614">
        <f t="shared" si="200"/>
        <v>1464.883</v>
      </c>
      <c r="AV109" s="543">
        <f t="shared" ca="1" si="200"/>
        <v>1504.9901896824285</v>
      </c>
      <c r="AW109" s="543">
        <f t="shared" ca="1" si="200"/>
        <v>1549.3181205041624</v>
      </c>
      <c r="AX109" s="543">
        <f t="shared" ca="1" si="200"/>
        <v>1598.1067673077937</v>
      </c>
      <c r="AY109" s="543">
        <f t="shared" ca="1" si="200"/>
        <v>1221.5170173077936</v>
      </c>
      <c r="AZ109" s="543">
        <f t="shared" ca="1" si="200"/>
        <v>880.93957762536525</v>
      </c>
      <c r="BA109" s="543">
        <f t="shared" ca="1" si="200"/>
        <v>533.35239680363122</v>
      </c>
      <c r="BB109" s="543">
        <f t="shared" si="200"/>
        <v>229.995</v>
      </c>
      <c r="BC109" s="543"/>
      <c r="BD109" s="851">
        <f t="shared" ref="BD109:BW109" si="201">SUM(INDEX(SP_BSR_Debt_Avg,0,COLUMN()),INDEX(SP_BSR_SE_Avg,0,COLUMN()))</f>
        <v>566.05400000000009</v>
      </c>
      <c r="BE109" s="851">
        <f t="shared" si="201"/>
        <v>565.9615</v>
      </c>
      <c r="BF109" s="851">
        <f t="shared" si="201"/>
        <v>566.23199999999997</v>
      </c>
      <c r="BG109" s="851">
        <f t="shared" si="201"/>
        <v>574.22349999999994</v>
      </c>
      <c r="BH109" s="851">
        <f t="shared" si="201"/>
        <v>589.05150000000015</v>
      </c>
      <c r="BI109" s="851">
        <f t="shared" si="201"/>
        <v>604.72900000000016</v>
      </c>
      <c r="BJ109" s="851">
        <f t="shared" si="201"/>
        <v>635.61</v>
      </c>
      <c r="BK109" s="851">
        <f t="shared" si="201"/>
        <v>784.25649999999996</v>
      </c>
      <c r="BL109" s="851">
        <f t="shared" si="201"/>
        <v>1090.7149999999999</v>
      </c>
      <c r="BM109" s="851">
        <f t="shared" si="201"/>
        <v>1324.5915</v>
      </c>
      <c r="BN109" s="851">
        <f t="shared" si="201"/>
        <v>1434.6785</v>
      </c>
      <c r="BO109" s="851">
        <f t="shared" ca="1" si="201"/>
        <v>1588.6812936072624</v>
      </c>
      <c r="BP109" s="851" t="e">
        <f t="shared" si="201"/>
        <v>#REF!</v>
      </c>
      <c r="BQ109" s="851" t="e">
        <f t="shared" si="201"/>
        <v>#REF!</v>
      </c>
      <c r="BR109" s="852" t="e">
        <f t="shared" ca="1" si="201"/>
        <v>#REF!</v>
      </c>
      <c r="BS109" s="851" t="e">
        <f t="shared" ca="1" si="201"/>
        <v>#REF!</v>
      </c>
      <c r="BT109" s="851" t="e">
        <f t="shared" ca="1" si="201"/>
        <v>#REF!</v>
      </c>
      <c r="BU109" s="851">
        <f t="shared" si="201"/>
        <v>0</v>
      </c>
      <c r="BV109" s="851">
        <f t="shared" si="201"/>
        <v>0</v>
      </c>
      <c r="BW109" s="851">
        <f t="shared" si="201"/>
        <v>0</v>
      </c>
      <c r="BX109" s="543"/>
    </row>
    <row r="110" spans="1:76" s="67" customFormat="1" collapsed="1" x14ac:dyDescent="0.35">
      <c r="A110" s="189" t="s">
        <v>336</v>
      </c>
      <c r="B110" s="190"/>
      <c r="C110" s="84"/>
      <c r="D110" s="84"/>
      <c r="E110" s="84"/>
      <c r="F110" s="84">
        <f t="shared" ref="F110:AK110" si="202">IF(F109&lt;0,"NMF",IF(ABS(F103/F109)&gt;1,"NMF",F103/F109))</f>
        <v>4.4620869550491056E-2</v>
      </c>
      <c r="G110" s="84">
        <f t="shared" si="202"/>
        <v>2.6739513402275393E-2</v>
      </c>
      <c r="H110" s="84">
        <f t="shared" si="202"/>
        <v>3.3380029949031799E-3</v>
      </c>
      <c r="I110" s="84">
        <f t="shared" si="202"/>
        <v>1.1663917688857989E-2</v>
      </c>
      <c r="J110" s="84">
        <f t="shared" si="202"/>
        <v>3.1825191316659673E-2</v>
      </c>
      <c r="K110" s="84">
        <f t="shared" si="202"/>
        <v>2.9643517206737975E-2</v>
      </c>
      <c r="L110" s="84">
        <f t="shared" si="202"/>
        <v>5.9112929190779116E-2</v>
      </c>
      <c r="M110" s="84">
        <f t="shared" si="202"/>
        <v>6.1311965126240923E-2</v>
      </c>
      <c r="N110" s="84">
        <f t="shared" si="202"/>
        <v>2.0703482819815967E-2</v>
      </c>
      <c r="O110" s="84">
        <f t="shared" si="202"/>
        <v>1.0006282590469201E-2</v>
      </c>
      <c r="P110" s="84">
        <f t="shared" si="202"/>
        <v>3.0193183831885326E-3</v>
      </c>
      <c r="Q110" s="84">
        <f t="shared" si="202"/>
        <v>-2.2892408729099046E-3</v>
      </c>
      <c r="R110" s="84">
        <f t="shared" si="202"/>
        <v>1.5692183301712639E-2</v>
      </c>
      <c r="S110" s="84">
        <f t="shared" si="202"/>
        <v>1.3162859462298827E-2</v>
      </c>
      <c r="T110" s="84">
        <f t="shared" si="202"/>
        <v>1.7786469103997848E-2</v>
      </c>
      <c r="U110" s="84">
        <f t="shared" si="202"/>
        <v>8.5758540063780152E-3</v>
      </c>
      <c r="V110" s="84">
        <f t="shared" si="202"/>
        <v>-3.4573468805901052E-3</v>
      </c>
      <c r="W110" s="84">
        <f t="shared" si="202"/>
        <v>5.9740453291274552E-3</v>
      </c>
      <c r="X110" s="84">
        <f t="shared" si="202"/>
        <v>9.9114407958065063E-3</v>
      </c>
      <c r="Y110" s="84">
        <f t="shared" si="202"/>
        <v>1.7049341526613266E-2</v>
      </c>
      <c r="Z110" s="84">
        <f t="shared" si="202"/>
        <v>4.3618141423428382E-2</v>
      </c>
      <c r="AA110" s="84">
        <f t="shared" si="202"/>
        <v>4.2974788341393393E-2</v>
      </c>
      <c r="AB110" s="84">
        <f t="shared" si="202"/>
        <v>5.8927790329461535E-2</v>
      </c>
      <c r="AC110" s="84">
        <f t="shared" si="202"/>
        <v>6.6210589624249916E-2</v>
      </c>
      <c r="AD110" s="84">
        <f t="shared" si="202"/>
        <v>5.4679716265911872E-2</v>
      </c>
      <c r="AE110" s="84">
        <f t="shared" si="202"/>
        <v>5.0753740785389995E-2</v>
      </c>
      <c r="AF110" s="84">
        <f t="shared" si="202"/>
        <v>4.5037745644388838E-2</v>
      </c>
      <c r="AG110" s="84">
        <f t="shared" si="202"/>
        <v>2.8817375835895657E-2</v>
      </c>
      <c r="AH110" s="84">
        <f t="shared" si="202"/>
        <v>3.0254196802273224E-2</v>
      </c>
      <c r="AI110" s="84">
        <f t="shared" si="202"/>
        <v>5.4068751883038363E-2</v>
      </c>
      <c r="AJ110" s="84">
        <f t="shared" si="202"/>
        <v>5.4807968374870668E-2</v>
      </c>
      <c r="AK110" s="84">
        <f t="shared" si="202"/>
        <v>6.7149826880232938E-2</v>
      </c>
      <c r="AL110" s="84">
        <f t="shared" ref="AL110:BB110" si="203">IF(AL109&lt;0,"NMF",IF(ABS(AL103/AL109)&gt;1,"NMF",AL103/AL109))</f>
        <v>6.9323945520141234E-2</v>
      </c>
      <c r="AM110" s="84">
        <f t="shared" si="203"/>
        <v>5.1487701060845666E-2</v>
      </c>
      <c r="AN110" s="84">
        <f t="shared" si="203"/>
        <v>6.2343243235635407E-2</v>
      </c>
      <c r="AO110" s="84">
        <f t="shared" si="203"/>
        <v>7.415369906425838E-2</v>
      </c>
      <c r="AP110" s="84">
        <f t="shared" si="203"/>
        <v>8.4306346877080496E-2</v>
      </c>
      <c r="AQ110" s="84">
        <f t="shared" si="203"/>
        <v>7.1246562464881869E-2</v>
      </c>
      <c r="AR110" s="84">
        <f t="shared" si="203"/>
        <v>7.6561891726390427E-2</v>
      </c>
      <c r="AS110" s="84">
        <f t="shared" si="203"/>
        <v>8.4116788720940999E-2</v>
      </c>
      <c r="AT110" s="84">
        <f t="shared" si="203"/>
        <v>9.3199484236453203E-2</v>
      </c>
      <c r="AU110" s="520">
        <f t="shared" si="203"/>
        <v>0.10969508513882628</v>
      </c>
      <c r="AV110" s="84">
        <f t="shared" ca="1" si="203"/>
        <v>0.10938753692124557</v>
      </c>
      <c r="AW110" s="84">
        <f t="shared" ca="1" si="203"/>
        <v>0.10784506065358909</v>
      </c>
      <c r="AX110" s="84">
        <f t="shared" ca="1" si="203"/>
        <v>0.10554549950288503</v>
      </c>
      <c r="AY110" s="84" t="e">
        <f t="shared" ca="1" si="203"/>
        <v>#DIV/0!</v>
      </c>
      <c r="AZ110" s="84" t="e">
        <f t="shared" ca="1" si="203"/>
        <v>#DIV/0!</v>
      </c>
      <c r="BA110" s="84" t="e">
        <f t="shared" ca="1" si="203"/>
        <v>#DIV/0!</v>
      </c>
      <c r="BB110" s="84" t="e">
        <f t="shared" si="203"/>
        <v>#DIV/0!</v>
      </c>
      <c r="BC110" s="84"/>
      <c r="BD110" s="866">
        <f t="shared" ref="BD110:BW110" si="204">IF(BD109&lt;0,"NMF",IF(ABS(BD103/BD109)&gt;1,"NMF",BD103/BD109))</f>
        <v>4.2511834193478669E-2</v>
      </c>
      <c r="BE110" s="866">
        <f t="shared" si="204"/>
        <v>3.208490604853631E-2</v>
      </c>
      <c r="BF110" s="866">
        <f t="shared" si="204"/>
        <v>2.0051391587389628E-2</v>
      </c>
      <c r="BG110" s="866">
        <f t="shared" si="204"/>
        <v>1.5582397354141467E-2</v>
      </c>
      <c r="BH110" s="866">
        <f t="shared" si="204"/>
        <v>-4.938577292755359E-4</v>
      </c>
      <c r="BI110" s="866">
        <f t="shared" si="204"/>
        <v>4.369209143970261E-2</v>
      </c>
      <c r="BJ110" s="866">
        <f t="shared" si="204"/>
        <v>5.5141678290282416E-2</v>
      </c>
      <c r="BK110" s="866">
        <f t="shared" si="204"/>
        <v>3.0584824459665278E-2</v>
      </c>
      <c r="BL110" s="866">
        <f t="shared" si="204"/>
        <v>7.7747936390593367E-2</v>
      </c>
      <c r="BM110" s="866">
        <f t="shared" si="204"/>
        <v>8.5423268886308176E-2</v>
      </c>
      <c r="BN110" s="866">
        <f t="shared" si="204"/>
        <v>9.2747188460207811E-2</v>
      </c>
      <c r="BO110" s="866">
        <f t="shared" ca="1" si="204"/>
        <v>0.10614788014424317</v>
      </c>
      <c r="BP110" s="866" t="e">
        <f t="shared" si="204"/>
        <v>#REF!</v>
      </c>
      <c r="BQ110" s="866" t="e">
        <f t="shared" si="204"/>
        <v>#REF!</v>
      </c>
      <c r="BR110" s="867" t="e">
        <f t="shared" ca="1" si="204"/>
        <v>#REF!</v>
      </c>
      <c r="BS110" s="866" t="e">
        <f t="shared" ca="1" si="204"/>
        <v>#REF!</v>
      </c>
      <c r="BT110" s="866" t="e">
        <f t="shared" ca="1" si="204"/>
        <v>#REF!</v>
      </c>
      <c r="BU110" s="866" t="e">
        <f t="shared" si="204"/>
        <v>#DIV/0!</v>
      </c>
      <c r="BV110" s="866" t="e">
        <f t="shared" si="204"/>
        <v>#DIV/0!</v>
      </c>
      <c r="BW110" s="866" t="e">
        <f t="shared" si="204"/>
        <v>#DIV/0!</v>
      </c>
      <c r="BX110" s="221"/>
    </row>
    <row r="111" spans="1:76" hidden="1" outlineLevel="1" x14ac:dyDescent="0.35">
      <c r="A111" s="166" t="s">
        <v>67</v>
      </c>
      <c r="B111" s="167"/>
      <c r="C111" s="543">
        <f t="shared" ref="C111:AH111" si="205">INDEX(MO_RIS_EBIT,0,COLUMN())</f>
        <v>8.6610000000000014</v>
      </c>
      <c r="D111" s="543">
        <f t="shared" si="205"/>
        <v>16.271999999999991</v>
      </c>
      <c r="E111" s="543">
        <f t="shared" si="205"/>
        <v>19.35199999999999</v>
      </c>
      <c r="F111" s="543">
        <f t="shared" si="205"/>
        <v>1.4209999999999923</v>
      </c>
      <c r="G111" s="543">
        <f t="shared" si="205"/>
        <v>-8.4639999999999702</v>
      </c>
      <c r="H111" s="543">
        <f t="shared" si="205"/>
        <v>-8.907999999999987</v>
      </c>
      <c r="I111" s="543">
        <f t="shared" si="205"/>
        <v>27.384999999999991</v>
      </c>
      <c r="J111" s="543">
        <f t="shared" si="205"/>
        <v>12.842999999999961</v>
      </c>
      <c r="K111" s="543">
        <f t="shared" si="205"/>
        <v>-13.15800000000003</v>
      </c>
      <c r="L111" s="543">
        <f t="shared" si="205"/>
        <v>20.472999999999999</v>
      </c>
      <c r="M111" s="543">
        <f t="shared" si="205"/>
        <v>27.429999999999978</v>
      </c>
      <c r="N111" s="543">
        <f t="shared" si="205"/>
        <v>-16.31799999999987</v>
      </c>
      <c r="O111" s="543">
        <f t="shared" si="205"/>
        <v>-20.455999999999989</v>
      </c>
      <c r="P111" s="543">
        <f t="shared" si="205"/>
        <v>14.72699999999999</v>
      </c>
      <c r="Q111" s="543">
        <f t="shared" si="205"/>
        <v>19.134</v>
      </c>
      <c r="R111" s="543">
        <f t="shared" si="205"/>
        <v>0.50899999999998613</v>
      </c>
      <c r="S111" s="543">
        <f t="shared" si="205"/>
        <v>-22.668999999999983</v>
      </c>
      <c r="T111" s="543">
        <f t="shared" si="205"/>
        <v>18.323000000000008</v>
      </c>
      <c r="U111" s="543">
        <f t="shared" si="205"/>
        <v>12.762999999999977</v>
      </c>
      <c r="V111" s="543">
        <f t="shared" si="205"/>
        <v>4.7119999999999749</v>
      </c>
      <c r="W111" s="543">
        <f t="shared" si="205"/>
        <v>-17.761999999999986</v>
      </c>
      <c r="X111" s="543">
        <f t="shared" si="205"/>
        <v>13.713999999999999</v>
      </c>
      <c r="Y111" s="543">
        <f t="shared" si="205"/>
        <v>19.717000000000013</v>
      </c>
      <c r="Z111" s="543">
        <f t="shared" si="205"/>
        <v>9.8759999999999479</v>
      </c>
      <c r="AA111" s="543">
        <f t="shared" si="205"/>
        <v>-13.752000000000024</v>
      </c>
      <c r="AB111" s="543">
        <f t="shared" si="205"/>
        <v>33.290000000000006</v>
      </c>
      <c r="AC111" s="543">
        <f t="shared" si="205"/>
        <v>23.267000000000017</v>
      </c>
      <c r="AD111" s="543">
        <f t="shared" si="205"/>
        <v>2.680999999999969</v>
      </c>
      <c r="AE111" s="543">
        <f t="shared" si="205"/>
        <v>-19.388000000000019</v>
      </c>
      <c r="AF111" s="543">
        <f t="shared" si="205"/>
        <v>30.305000000000028</v>
      </c>
      <c r="AG111" s="543">
        <f t="shared" si="205"/>
        <v>14.499000000000009</v>
      </c>
      <c r="AH111" s="543">
        <f t="shared" si="205"/>
        <v>7.0410000000001531</v>
      </c>
      <c r="AI111" s="543">
        <f t="shared" ref="AI111:BB111" si="206">INDEX(MO_RIS_EBIT,0,COLUMN())</f>
        <v>12.063999999999993</v>
      </c>
      <c r="AJ111" s="543">
        <f t="shared" si="206"/>
        <v>38.451999999999956</v>
      </c>
      <c r="AK111" s="543">
        <f t="shared" si="206"/>
        <v>38.552999999999997</v>
      </c>
      <c r="AL111" s="543">
        <f t="shared" si="206"/>
        <v>21.387000000000057</v>
      </c>
      <c r="AM111" s="543">
        <f t="shared" si="206"/>
        <v>-6.9770000000000039</v>
      </c>
      <c r="AN111" s="543">
        <f t="shared" si="206"/>
        <v>56.91500000000002</v>
      </c>
      <c r="AO111" s="543">
        <f t="shared" si="206"/>
        <v>60.593999999999994</v>
      </c>
      <c r="AP111" s="543">
        <f t="shared" si="206"/>
        <v>46.095999999999975</v>
      </c>
      <c r="AQ111" s="543">
        <f t="shared" si="206"/>
        <v>-28.718999999999994</v>
      </c>
      <c r="AR111" s="543">
        <f t="shared" si="206"/>
        <v>68.073000000000022</v>
      </c>
      <c r="AS111" s="543">
        <f t="shared" si="206"/>
        <v>72.199000000000012</v>
      </c>
      <c r="AT111" s="543">
        <f t="shared" si="206"/>
        <v>53.94599999999997</v>
      </c>
      <c r="AU111" s="614">
        <f t="shared" si="206"/>
        <v>3.3199999999999648</v>
      </c>
      <c r="AV111" s="543">
        <f t="shared" si="206"/>
        <v>74.895191279999977</v>
      </c>
      <c r="AW111" s="543">
        <f t="shared" si="206"/>
        <v>79.472442214799997</v>
      </c>
      <c r="AX111" s="543">
        <f t="shared" si="206"/>
        <v>61.851261311999991</v>
      </c>
      <c r="AY111" s="543">
        <f t="shared" si="206"/>
        <v>0</v>
      </c>
      <c r="AZ111" s="543">
        <f t="shared" si="206"/>
        <v>22.33899999999997</v>
      </c>
      <c r="BA111" s="543">
        <f t="shared" si="206"/>
        <v>35.467000000000041</v>
      </c>
      <c r="BB111" s="543">
        <f t="shared" si="206"/>
        <v>24.21399999999997</v>
      </c>
      <c r="BC111" s="543"/>
      <c r="BD111" s="851">
        <f t="shared" ref="BD111:BW111" si="207">INDEX(MO_RIS_EBIT,0,COLUMN())</f>
        <v>45.706000000000017</v>
      </c>
      <c r="BE111" s="851">
        <f t="shared" si="207"/>
        <v>22.855999999999938</v>
      </c>
      <c r="BF111" s="851">
        <f t="shared" si="207"/>
        <v>18.427000000000021</v>
      </c>
      <c r="BG111" s="851">
        <f t="shared" si="207"/>
        <v>13.914000000000044</v>
      </c>
      <c r="BH111" s="851">
        <f t="shared" si="207"/>
        <v>13.128999999999962</v>
      </c>
      <c r="BI111" s="851">
        <f t="shared" si="207"/>
        <v>25.545000000000016</v>
      </c>
      <c r="BJ111" s="851">
        <f t="shared" si="207"/>
        <v>45.485999999999933</v>
      </c>
      <c r="BK111" s="851">
        <f t="shared" si="207"/>
        <v>32.457000000000107</v>
      </c>
      <c r="BL111" s="851">
        <f t="shared" si="207"/>
        <v>110.45599999999996</v>
      </c>
      <c r="BM111" s="851">
        <f t="shared" si="207"/>
        <v>156.62799999999993</v>
      </c>
      <c r="BN111" s="851">
        <f t="shared" si="207"/>
        <v>165.49899999999991</v>
      </c>
      <c r="BO111" s="851">
        <f t="shared" si="207"/>
        <v>219.53889480679993</v>
      </c>
      <c r="BP111" s="851" t="e">
        <f t="shared" si="207"/>
        <v>#REF!</v>
      </c>
      <c r="BQ111" s="851" t="e">
        <f t="shared" si="207"/>
        <v>#REF!</v>
      </c>
      <c r="BR111" s="852" t="e">
        <f t="shared" si="207"/>
        <v>#REF!</v>
      </c>
      <c r="BS111" s="851" t="e">
        <f t="shared" si="207"/>
        <v>#REF!</v>
      </c>
      <c r="BT111" s="851">
        <f t="shared" si="207"/>
        <v>0</v>
      </c>
      <c r="BU111" s="851">
        <f t="shared" si="207"/>
        <v>0</v>
      </c>
      <c r="BV111" s="851">
        <f t="shared" si="207"/>
        <v>0</v>
      </c>
      <c r="BW111" s="851">
        <f t="shared" si="207"/>
        <v>0</v>
      </c>
      <c r="BX111" s="543"/>
    </row>
    <row r="112" spans="1:76" hidden="1" outlineLevel="1" x14ac:dyDescent="0.35">
      <c r="A112" s="166" t="s">
        <v>337</v>
      </c>
      <c r="B112" s="167"/>
      <c r="C112" s="543"/>
      <c r="D112" s="543"/>
      <c r="E112" s="543"/>
      <c r="F112" s="543">
        <f t="shared" ref="F112:AK112" si="208">SUM(F111,E111,D111,C111)</f>
        <v>45.705999999999975</v>
      </c>
      <c r="G112" s="543">
        <f t="shared" si="208"/>
        <v>28.581000000000003</v>
      </c>
      <c r="H112" s="543">
        <f t="shared" si="208"/>
        <v>3.4010000000000247</v>
      </c>
      <c r="I112" s="543">
        <f t="shared" si="208"/>
        <v>11.434000000000026</v>
      </c>
      <c r="J112" s="543">
        <f t="shared" si="208"/>
        <v>22.855999999999995</v>
      </c>
      <c r="K112" s="543">
        <f t="shared" si="208"/>
        <v>18.161999999999935</v>
      </c>
      <c r="L112" s="543">
        <f t="shared" si="208"/>
        <v>47.542999999999921</v>
      </c>
      <c r="M112" s="543">
        <f t="shared" si="208"/>
        <v>47.587999999999909</v>
      </c>
      <c r="N112" s="543">
        <f t="shared" si="208"/>
        <v>18.427000000000078</v>
      </c>
      <c r="O112" s="543">
        <f t="shared" si="208"/>
        <v>11.129000000000119</v>
      </c>
      <c r="P112" s="543">
        <f t="shared" si="208"/>
        <v>5.3830000000001093</v>
      </c>
      <c r="Q112" s="543">
        <f t="shared" si="208"/>
        <v>-2.9129999999998688</v>
      </c>
      <c r="R112" s="543">
        <f t="shared" si="208"/>
        <v>13.913999999999987</v>
      </c>
      <c r="S112" s="543">
        <f t="shared" si="208"/>
        <v>11.700999999999993</v>
      </c>
      <c r="T112" s="543">
        <f t="shared" si="208"/>
        <v>15.297000000000011</v>
      </c>
      <c r="U112" s="543">
        <f t="shared" si="208"/>
        <v>8.9259999999999877</v>
      </c>
      <c r="V112" s="543">
        <f t="shared" si="208"/>
        <v>13.128999999999976</v>
      </c>
      <c r="W112" s="543">
        <f t="shared" si="208"/>
        <v>18.035999999999973</v>
      </c>
      <c r="X112" s="543">
        <f t="shared" si="208"/>
        <v>13.426999999999964</v>
      </c>
      <c r="Y112" s="543">
        <f t="shared" si="208"/>
        <v>20.381</v>
      </c>
      <c r="Z112" s="543">
        <f t="shared" si="208"/>
        <v>25.544999999999973</v>
      </c>
      <c r="AA112" s="543">
        <f t="shared" si="208"/>
        <v>29.554999999999936</v>
      </c>
      <c r="AB112" s="543">
        <f t="shared" si="208"/>
        <v>49.130999999999943</v>
      </c>
      <c r="AC112" s="543">
        <f t="shared" si="208"/>
        <v>52.680999999999948</v>
      </c>
      <c r="AD112" s="543">
        <f t="shared" si="208"/>
        <v>45.485999999999969</v>
      </c>
      <c r="AE112" s="543">
        <f t="shared" si="208"/>
        <v>39.849999999999973</v>
      </c>
      <c r="AF112" s="543">
        <f t="shared" si="208"/>
        <v>36.864999999999995</v>
      </c>
      <c r="AG112" s="543">
        <f t="shared" si="208"/>
        <v>28.096999999999987</v>
      </c>
      <c r="AH112" s="543">
        <f t="shared" si="208"/>
        <v>32.457000000000171</v>
      </c>
      <c r="AI112" s="543">
        <f t="shared" si="208"/>
        <v>63.909000000000184</v>
      </c>
      <c r="AJ112" s="543">
        <f t="shared" si="208"/>
        <v>72.056000000000111</v>
      </c>
      <c r="AK112" s="543">
        <f t="shared" si="208"/>
        <v>96.110000000000099</v>
      </c>
      <c r="AL112" s="543">
        <f t="shared" ref="AL112:BB112" si="209">SUM(AL111,AK111,AJ111,AI111)</f>
        <v>110.456</v>
      </c>
      <c r="AM112" s="543">
        <f t="shared" si="209"/>
        <v>91.415000000000006</v>
      </c>
      <c r="AN112" s="543">
        <f t="shared" si="209"/>
        <v>109.87800000000007</v>
      </c>
      <c r="AO112" s="543">
        <f t="shared" si="209"/>
        <v>131.91900000000007</v>
      </c>
      <c r="AP112" s="543">
        <f t="shared" si="209"/>
        <v>156.62799999999999</v>
      </c>
      <c r="AQ112" s="543">
        <f t="shared" si="209"/>
        <v>134.886</v>
      </c>
      <c r="AR112" s="543">
        <f t="shared" si="209"/>
        <v>146.04399999999998</v>
      </c>
      <c r="AS112" s="543">
        <f t="shared" si="209"/>
        <v>157.64900000000003</v>
      </c>
      <c r="AT112" s="543">
        <f t="shared" si="209"/>
        <v>165.49900000000002</v>
      </c>
      <c r="AU112" s="614">
        <f t="shared" si="209"/>
        <v>197.53799999999995</v>
      </c>
      <c r="AV112" s="543">
        <f t="shared" si="209"/>
        <v>204.36019127999992</v>
      </c>
      <c r="AW112" s="543">
        <f t="shared" si="209"/>
        <v>211.63363349479991</v>
      </c>
      <c r="AX112" s="543">
        <f t="shared" si="209"/>
        <v>219.53889480679993</v>
      </c>
      <c r="AY112" s="543">
        <f t="shared" si="209"/>
        <v>216.21889480679997</v>
      </c>
      <c r="AZ112" s="543">
        <f t="shared" si="209"/>
        <v>163.66270352679996</v>
      </c>
      <c r="BA112" s="543">
        <f t="shared" si="209"/>
        <v>119.657261312</v>
      </c>
      <c r="BB112" s="543">
        <f t="shared" si="209"/>
        <v>82.019999999999982</v>
      </c>
      <c r="BC112" s="543"/>
      <c r="BD112" s="851">
        <f t="shared" ref="BD112:BW112" si="210">BD111</f>
        <v>45.706000000000017</v>
      </c>
      <c r="BE112" s="851">
        <f t="shared" si="210"/>
        <v>22.855999999999938</v>
      </c>
      <c r="BF112" s="851">
        <f t="shared" si="210"/>
        <v>18.427000000000021</v>
      </c>
      <c r="BG112" s="851">
        <f t="shared" si="210"/>
        <v>13.914000000000044</v>
      </c>
      <c r="BH112" s="851">
        <f t="shared" si="210"/>
        <v>13.128999999999962</v>
      </c>
      <c r="BI112" s="851">
        <f t="shared" si="210"/>
        <v>25.545000000000016</v>
      </c>
      <c r="BJ112" s="851">
        <f t="shared" si="210"/>
        <v>45.485999999999933</v>
      </c>
      <c r="BK112" s="851">
        <f t="shared" si="210"/>
        <v>32.457000000000107</v>
      </c>
      <c r="BL112" s="851">
        <f t="shared" si="210"/>
        <v>110.45599999999996</v>
      </c>
      <c r="BM112" s="851">
        <f t="shared" si="210"/>
        <v>156.62799999999993</v>
      </c>
      <c r="BN112" s="851">
        <f t="shared" si="210"/>
        <v>165.49899999999991</v>
      </c>
      <c r="BO112" s="851">
        <f t="shared" si="210"/>
        <v>219.53889480679993</v>
      </c>
      <c r="BP112" s="851" t="e">
        <f t="shared" si="210"/>
        <v>#REF!</v>
      </c>
      <c r="BQ112" s="851" t="e">
        <f t="shared" si="210"/>
        <v>#REF!</v>
      </c>
      <c r="BR112" s="852" t="e">
        <f t="shared" si="210"/>
        <v>#REF!</v>
      </c>
      <c r="BS112" s="851" t="e">
        <f t="shared" si="210"/>
        <v>#REF!</v>
      </c>
      <c r="BT112" s="851">
        <f t="shared" si="210"/>
        <v>0</v>
      </c>
      <c r="BU112" s="851">
        <f t="shared" si="210"/>
        <v>0</v>
      </c>
      <c r="BV112" s="851">
        <f t="shared" si="210"/>
        <v>0</v>
      </c>
      <c r="BW112" s="851">
        <f t="shared" si="210"/>
        <v>0</v>
      </c>
      <c r="BX112" s="543"/>
    </row>
    <row r="113" spans="1:76" hidden="1" outlineLevel="1" x14ac:dyDescent="0.35">
      <c r="A113" s="166" t="s">
        <v>208</v>
      </c>
      <c r="B113" s="167"/>
      <c r="C113" s="543">
        <f t="shared" ref="C113:AH113" si="211">INDEX(MO_BS_CL,0,COLUMN())</f>
        <v>152.42499999999998</v>
      </c>
      <c r="D113" s="543">
        <f t="shared" si="211"/>
        <v>135.821</v>
      </c>
      <c r="E113" s="543">
        <f t="shared" si="211"/>
        <v>136.547</v>
      </c>
      <c r="F113" s="543">
        <f t="shared" si="211"/>
        <v>109.18700000000001</v>
      </c>
      <c r="G113" s="543">
        <f t="shared" si="211"/>
        <v>174.59500000000003</v>
      </c>
      <c r="H113" s="543">
        <f t="shared" si="211"/>
        <v>135.04000000000002</v>
      </c>
      <c r="I113" s="543">
        <f t="shared" si="211"/>
        <v>132.38200000000001</v>
      </c>
      <c r="J113" s="543">
        <f t="shared" si="211"/>
        <v>113.76000000000002</v>
      </c>
      <c r="K113" s="543">
        <f t="shared" si="211"/>
        <v>157.27699999999999</v>
      </c>
      <c r="L113" s="543">
        <f t="shared" si="211"/>
        <v>127.75700000000001</v>
      </c>
      <c r="M113" s="543">
        <f t="shared" si="211"/>
        <v>135.732</v>
      </c>
      <c r="N113" s="543">
        <f t="shared" si="211"/>
        <v>110.65699999999998</v>
      </c>
      <c r="O113" s="543">
        <f t="shared" si="211"/>
        <v>149.65100000000001</v>
      </c>
      <c r="P113" s="543">
        <f t="shared" si="211"/>
        <v>116.40600000000001</v>
      </c>
      <c r="Q113" s="543">
        <f t="shared" si="211"/>
        <v>121.203</v>
      </c>
      <c r="R113" s="543">
        <f t="shared" si="211"/>
        <v>123.012</v>
      </c>
      <c r="S113" s="543">
        <f t="shared" si="211"/>
        <v>147.75800000000001</v>
      </c>
      <c r="T113" s="543">
        <f t="shared" si="211"/>
        <v>125.37299999999999</v>
      </c>
      <c r="U113" s="543">
        <f t="shared" si="211"/>
        <v>123.10899999999999</v>
      </c>
      <c r="V113" s="543">
        <f t="shared" si="211"/>
        <v>117.751</v>
      </c>
      <c r="W113" s="543">
        <f t="shared" si="211"/>
        <v>139.69</v>
      </c>
      <c r="X113" s="543">
        <f t="shared" si="211"/>
        <v>117.66900000000001</v>
      </c>
      <c r="Y113" s="543">
        <f t="shared" si="211"/>
        <v>123.107</v>
      </c>
      <c r="Z113" s="543">
        <f t="shared" si="211"/>
        <v>116.22399999999999</v>
      </c>
      <c r="AA113" s="543">
        <f t="shared" si="211"/>
        <v>158.32400000000001</v>
      </c>
      <c r="AB113" s="543">
        <f t="shared" si="211"/>
        <v>140.86599999999999</v>
      </c>
      <c r="AC113" s="543">
        <f t="shared" si="211"/>
        <v>148.78899999999999</v>
      </c>
      <c r="AD113" s="543">
        <f t="shared" si="211"/>
        <v>155.58699999999999</v>
      </c>
      <c r="AE113" s="543">
        <f t="shared" si="211"/>
        <v>139.702</v>
      </c>
      <c r="AF113" s="543">
        <f t="shared" si="211"/>
        <v>133.66999999999999</v>
      </c>
      <c r="AG113" s="543">
        <f t="shared" si="211"/>
        <v>257.61899999999997</v>
      </c>
      <c r="AH113" s="543">
        <f t="shared" si="211"/>
        <v>273.416</v>
      </c>
      <c r="AI113" s="543">
        <f t="shared" ref="AI113:BB113" si="212">INDEX(MO_BS_CL,0,COLUMN())</f>
        <v>235.99399999999997</v>
      </c>
      <c r="AJ113" s="543">
        <f t="shared" si="212"/>
        <v>228.61099999999999</v>
      </c>
      <c r="AK113" s="543">
        <f t="shared" si="212"/>
        <v>254.80199999999996</v>
      </c>
      <c r="AL113" s="543">
        <f t="shared" si="212"/>
        <v>306.24400000000003</v>
      </c>
      <c r="AM113" s="543">
        <f t="shared" si="212"/>
        <v>284.63400000000001</v>
      </c>
      <c r="AN113" s="543">
        <f t="shared" si="212"/>
        <v>238.19799999999998</v>
      </c>
      <c r="AO113" s="543">
        <f t="shared" si="212"/>
        <v>250.179</v>
      </c>
      <c r="AP113" s="543">
        <f t="shared" si="212"/>
        <v>302.07299999999998</v>
      </c>
      <c r="AQ113" s="543">
        <f t="shared" si="212"/>
        <v>289.245</v>
      </c>
      <c r="AR113" s="543">
        <f t="shared" si="212"/>
        <v>249.25800000000001</v>
      </c>
      <c r="AS113" s="543">
        <f t="shared" si="212"/>
        <v>284.24700000000001</v>
      </c>
      <c r="AT113" s="543">
        <f t="shared" si="212"/>
        <v>309.13499999999999</v>
      </c>
      <c r="AU113" s="614">
        <f t="shared" si="212"/>
        <v>299.13600000000002</v>
      </c>
      <c r="AV113" s="543">
        <f t="shared" si="212"/>
        <v>260.18127494539681</v>
      </c>
      <c r="AW113" s="543">
        <f t="shared" si="212"/>
        <v>298.7492984941407</v>
      </c>
      <c r="AX113" s="543">
        <f t="shared" si="212"/>
        <v>331.48314815086172</v>
      </c>
      <c r="AY113" s="543">
        <f t="shared" si="212"/>
        <v>0</v>
      </c>
      <c r="AZ113" s="543">
        <f t="shared" si="212"/>
        <v>41.149000000000008</v>
      </c>
      <c r="BA113" s="543">
        <f t="shared" si="212"/>
        <v>53.934000000000012</v>
      </c>
      <c r="BB113" s="543">
        <f t="shared" si="212"/>
        <v>83.652000000000001</v>
      </c>
      <c r="BC113" s="543"/>
      <c r="BD113" s="851">
        <f t="shared" ref="BD113:BW113" si="213">INDEX(MO_BS_CL,0,COLUMN())</f>
        <v>109.18700000000001</v>
      </c>
      <c r="BE113" s="851">
        <f t="shared" si="213"/>
        <v>113.76000000000002</v>
      </c>
      <c r="BF113" s="851">
        <f t="shared" si="213"/>
        <v>110.65699999999998</v>
      </c>
      <c r="BG113" s="851">
        <f t="shared" si="213"/>
        <v>123.012</v>
      </c>
      <c r="BH113" s="851">
        <f t="shared" si="213"/>
        <v>117.751</v>
      </c>
      <c r="BI113" s="851">
        <f t="shared" si="213"/>
        <v>116.22399999999999</v>
      </c>
      <c r="BJ113" s="851">
        <f t="shared" si="213"/>
        <v>155.58699999999999</v>
      </c>
      <c r="BK113" s="851">
        <f t="shared" si="213"/>
        <v>273.416</v>
      </c>
      <c r="BL113" s="851">
        <f t="shared" si="213"/>
        <v>306.24400000000003</v>
      </c>
      <c r="BM113" s="851">
        <f t="shared" si="213"/>
        <v>302.07299999999998</v>
      </c>
      <c r="BN113" s="851">
        <f t="shared" si="213"/>
        <v>309.13499999999999</v>
      </c>
      <c r="BO113" s="851">
        <f t="shared" si="213"/>
        <v>331.48314815086172</v>
      </c>
      <c r="BP113" s="851" t="e">
        <f t="shared" si="213"/>
        <v>#REF!</v>
      </c>
      <c r="BQ113" s="851" t="e">
        <f t="shared" si="213"/>
        <v>#REF!</v>
      </c>
      <c r="BR113" s="852" t="e">
        <f t="shared" si="213"/>
        <v>#REF!</v>
      </c>
      <c r="BS113" s="851" t="e">
        <f t="shared" si="213"/>
        <v>#REF!</v>
      </c>
      <c r="BT113" s="851">
        <f t="shared" si="213"/>
        <v>0</v>
      </c>
      <c r="BU113" s="851">
        <f t="shared" si="213"/>
        <v>0</v>
      </c>
      <c r="BV113" s="851">
        <f t="shared" si="213"/>
        <v>0</v>
      </c>
      <c r="BW113" s="851">
        <f t="shared" si="213"/>
        <v>0</v>
      </c>
      <c r="BX113" s="543"/>
    </row>
    <row r="114" spans="1:76" hidden="1" outlineLevel="1" x14ac:dyDescent="0.35">
      <c r="A114" s="166" t="s">
        <v>338</v>
      </c>
      <c r="B114" s="167"/>
      <c r="C114" s="543"/>
      <c r="D114" s="543"/>
      <c r="E114" s="543"/>
      <c r="F114" s="543">
        <f t="shared" ref="F114:AK114" si="214">AVERAGE(F113,E113,D113,C113)</f>
        <v>133.495</v>
      </c>
      <c r="G114" s="543">
        <f t="shared" si="214"/>
        <v>139.03750000000002</v>
      </c>
      <c r="H114" s="543">
        <f t="shared" si="214"/>
        <v>138.84225000000001</v>
      </c>
      <c r="I114" s="543">
        <f t="shared" si="214"/>
        <v>137.80100000000002</v>
      </c>
      <c r="J114" s="543">
        <f t="shared" si="214"/>
        <v>138.94425000000001</v>
      </c>
      <c r="K114" s="543">
        <f t="shared" si="214"/>
        <v>134.61475000000002</v>
      </c>
      <c r="L114" s="543">
        <f t="shared" si="214"/>
        <v>132.79399999999998</v>
      </c>
      <c r="M114" s="543">
        <f t="shared" si="214"/>
        <v>133.63150000000002</v>
      </c>
      <c r="N114" s="543">
        <f t="shared" si="214"/>
        <v>132.85575</v>
      </c>
      <c r="O114" s="543">
        <f t="shared" si="214"/>
        <v>130.94925000000001</v>
      </c>
      <c r="P114" s="543">
        <f t="shared" si="214"/>
        <v>128.11150000000001</v>
      </c>
      <c r="Q114" s="543">
        <f t="shared" si="214"/>
        <v>124.47924999999999</v>
      </c>
      <c r="R114" s="543">
        <f t="shared" si="214"/>
        <v>127.568</v>
      </c>
      <c r="S114" s="543">
        <f t="shared" si="214"/>
        <v>127.09474999999999</v>
      </c>
      <c r="T114" s="543">
        <f t="shared" si="214"/>
        <v>129.3365</v>
      </c>
      <c r="U114" s="543">
        <f t="shared" si="214"/>
        <v>129.81299999999999</v>
      </c>
      <c r="V114" s="543">
        <f t="shared" si="214"/>
        <v>128.49775</v>
      </c>
      <c r="W114" s="543">
        <f t="shared" si="214"/>
        <v>126.48075</v>
      </c>
      <c r="X114" s="543">
        <f t="shared" si="214"/>
        <v>124.55475</v>
      </c>
      <c r="Y114" s="543">
        <f t="shared" si="214"/>
        <v>124.55425</v>
      </c>
      <c r="Z114" s="543">
        <f t="shared" si="214"/>
        <v>124.1725</v>
      </c>
      <c r="AA114" s="543">
        <f t="shared" si="214"/>
        <v>128.83099999999999</v>
      </c>
      <c r="AB114" s="543">
        <f t="shared" si="214"/>
        <v>134.63024999999999</v>
      </c>
      <c r="AC114" s="543">
        <f t="shared" si="214"/>
        <v>141.05074999999999</v>
      </c>
      <c r="AD114" s="543">
        <f t="shared" si="214"/>
        <v>150.89150000000001</v>
      </c>
      <c r="AE114" s="543">
        <f t="shared" si="214"/>
        <v>146.23599999999999</v>
      </c>
      <c r="AF114" s="543">
        <f t="shared" si="214"/>
        <v>144.43699999999998</v>
      </c>
      <c r="AG114" s="543">
        <f t="shared" si="214"/>
        <v>171.64449999999999</v>
      </c>
      <c r="AH114" s="543">
        <f t="shared" si="214"/>
        <v>201.10174999999998</v>
      </c>
      <c r="AI114" s="543">
        <f t="shared" si="214"/>
        <v>225.17474999999999</v>
      </c>
      <c r="AJ114" s="543">
        <f t="shared" si="214"/>
        <v>248.90999999999997</v>
      </c>
      <c r="AK114" s="543">
        <f t="shared" si="214"/>
        <v>248.20574999999997</v>
      </c>
      <c r="AL114" s="543">
        <f t="shared" ref="AL114:BB114" si="215">AVERAGE(AL113,AK113,AJ113,AI113)</f>
        <v>256.41275000000002</v>
      </c>
      <c r="AM114" s="543">
        <f t="shared" si="215"/>
        <v>268.57275000000004</v>
      </c>
      <c r="AN114" s="543">
        <f t="shared" si="215"/>
        <v>270.96949999999998</v>
      </c>
      <c r="AO114" s="543">
        <f t="shared" si="215"/>
        <v>269.81375000000003</v>
      </c>
      <c r="AP114" s="543">
        <f t="shared" si="215"/>
        <v>268.77099999999996</v>
      </c>
      <c r="AQ114" s="543">
        <f t="shared" si="215"/>
        <v>269.92374999999998</v>
      </c>
      <c r="AR114" s="543">
        <f t="shared" si="215"/>
        <v>272.68875000000003</v>
      </c>
      <c r="AS114" s="543">
        <f t="shared" si="215"/>
        <v>281.20574999999997</v>
      </c>
      <c r="AT114" s="543">
        <f t="shared" si="215"/>
        <v>282.97125000000005</v>
      </c>
      <c r="AU114" s="614">
        <f t="shared" si="215"/>
        <v>285.44400000000002</v>
      </c>
      <c r="AV114" s="543">
        <f t="shared" si="215"/>
        <v>288.17481873634921</v>
      </c>
      <c r="AW114" s="543">
        <f t="shared" si="215"/>
        <v>291.80039335988437</v>
      </c>
      <c r="AX114" s="543">
        <f t="shared" si="215"/>
        <v>297.38743039759981</v>
      </c>
      <c r="AY114" s="543">
        <f t="shared" si="215"/>
        <v>222.60343039759982</v>
      </c>
      <c r="AZ114" s="543">
        <f t="shared" si="215"/>
        <v>167.84536166125059</v>
      </c>
      <c r="BA114" s="543">
        <f t="shared" si="215"/>
        <v>106.64153703771544</v>
      </c>
      <c r="BB114" s="543">
        <f t="shared" si="215"/>
        <v>44.683750000000003</v>
      </c>
      <c r="BC114" s="543"/>
      <c r="BD114" s="851">
        <f>BD113</f>
        <v>109.18700000000001</v>
      </c>
      <c r="BE114" s="851">
        <f t="shared" ref="BE114:BW114" si="216">AVERAGE(BE113,BD113)</f>
        <v>111.47350000000002</v>
      </c>
      <c r="BF114" s="851">
        <f t="shared" si="216"/>
        <v>112.2085</v>
      </c>
      <c r="BG114" s="851">
        <f t="shared" si="216"/>
        <v>116.83449999999999</v>
      </c>
      <c r="BH114" s="851">
        <f t="shared" si="216"/>
        <v>120.3815</v>
      </c>
      <c r="BI114" s="851">
        <f t="shared" si="216"/>
        <v>116.9875</v>
      </c>
      <c r="BJ114" s="851">
        <f t="shared" si="216"/>
        <v>135.90549999999999</v>
      </c>
      <c r="BK114" s="851">
        <f t="shared" si="216"/>
        <v>214.50149999999999</v>
      </c>
      <c r="BL114" s="851">
        <f t="shared" si="216"/>
        <v>289.83000000000004</v>
      </c>
      <c r="BM114" s="851">
        <f t="shared" si="216"/>
        <v>304.1585</v>
      </c>
      <c r="BN114" s="851">
        <f t="shared" si="216"/>
        <v>305.60399999999998</v>
      </c>
      <c r="BO114" s="851">
        <f t="shared" si="216"/>
        <v>320.30907407543089</v>
      </c>
      <c r="BP114" s="851" t="e">
        <f t="shared" si="216"/>
        <v>#REF!</v>
      </c>
      <c r="BQ114" s="851" t="e">
        <f t="shared" si="216"/>
        <v>#REF!</v>
      </c>
      <c r="BR114" s="852" t="e">
        <f t="shared" si="216"/>
        <v>#REF!</v>
      </c>
      <c r="BS114" s="851" t="e">
        <f t="shared" si="216"/>
        <v>#REF!</v>
      </c>
      <c r="BT114" s="851" t="e">
        <f t="shared" si="216"/>
        <v>#REF!</v>
      </c>
      <c r="BU114" s="851">
        <f t="shared" si="216"/>
        <v>0</v>
      </c>
      <c r="BV114" s="851">
        <f t="shared" si="216"/>
        <v>0</v>
      </c>
      <c r="BW114" s="851">
        <f t="shared" si="216"/>
        <v>0</v>
      </c>
      <c r="BX114" s="543"/>
    </row>
    <row r="115" spans="1:76" hidden="1" outlineLevel="1" x14ac:dyDescent="0.35">
      <c r="A115" s="166" t="s">
        <v>339</v>
      </c>
      <c r="B115" s="167"/>
      <c r="C115" s="543">
        <f t="shared" ref="C115:AH115" si="217">INDEX(SP_BSR_TA_Avg,0,COLUMN())-INDEX(SP_BSR_CL_Avg,0,COLUMN())</f>
        <v>0</v>
      </c>
      <c r="D115" s="543">
        <f t="shared" si="217"/>
        <v>0</v>
      </c>
      <c r="E115" s="543">
        <f t="shared" si="217"/>
        <v>0</v>
      </c>
      <c r="F115" s="543">
        <f t="shared" si="217"/>
        <v>590.76025000000004</v>
      </c>
      <c r="G115" s="543">
        <f t="shared" si="217"/>
        <v>604.9174999999999</v>
      </c>
      <c r="H115" s="543">
        <f t="shared" si="217"/>
        <v>612.65724999999986</v>
      </c>
      <c r="I115" s="543">
        <f t="shared" si="217"/>
        <v>613.03274999999996</v>
      </c>
      <c r="J115" s="543">
        <f t="shared" si="217"/>
        <v>610.08225000000004</v>
      </c>
      <c r="K115" s="543">
        <f t="shared" si="217"/>
        <v>597.64175</v>
      </c>
      <c r="L115" s="543">
        <f t="shared" si="217"/>
        <v>591.06124999999997</v>
      </c>
      <c r="M115" s="543">
        <f t="shared" si="217"/>
        <v>591.83574999999996</v>
      </c>
      <c r="N115" s="543">
        <f t="shared" si="217"/>
        <v>591.84449999999993</v>
      </c>
      <c r="O115" s="543">
        <f t="shared" si="217"/>
        <v>595.29949999999997</v>
      </c>
      <c r="P115" s="543">
        <f t="shared" si="217"/>
        <v>598.06450000000007</v>
      </c>
      <c r="Q115" s="543">
        <f t="shared" si="217"/>
        <v>599.24750000000006</v>
      </c>
      <c r="R115" s="543">
        <f t="shared" si="217"/>
        <v>602.52275000000009</v>
      </c>
      <c r="S115" s="543">
        <f t="shared" si="217"/>
        <v>608.8845</v>
      </c>
      <c r="T115" s="543">
        <f t="shared" si="217"/>
        <v>612.26699999999994</v>
      </c>
      <c r="U115" s="543">
        <f t="shared" si="217"/>
        <v>614.66800000000001</v>
      </c>
      <c r="V115" s="543">
        <f t="shared" si="217"/>
        <v>616.29050000000007</v>
      </c>
      <c r="W115" s="543">
        <f t="shared" si="217"/>
        <v>618.67600000000016</v>
      </c>
      <c r="X115" s="543">
        <f t="shared" si="217"/>
        <v>623.39400000000001</v>
      </c>
      <c r="Y115" s="543">
        <f t="shared" si="217"/>
        <v>627.32150000000001</v>
      </c>
      <c r="Z115" s="543">
        <f t="shared" si="217"/>
        <v>629.37299999999993</v>
      </c>
      <c r="AA115" s="543">
        <f t="shared" si="217"/>
        <v>630.30525</v>
      </c>
      <c r="AB115" s="543">
        <f t="shared" si="217"/>
        <v>633.26774999999998</v>
      </c>
      <c r="AC115" s="543">
        <f t="shared" si="217"/>
        <v>638.81875000000002</v>
      </c>
      <c r="AD115" s="543">
        <f t="shared" si="217"/>
        <v>648.38875000000007</v>
      </c>
      <c r="AE115" s="543">
        <f t="shared" si="217"/>
        <v>660.21800000000007</v>
      </c>
      <c r="AF115" s="543">
        <f t="shared" si="217"/>
        <v>672.82875000000001</v>
      </c>
      <c r="AG115" s="543">
        <f t="shared" si="217"/>
        <v>702.37</v>
      </c>
      <c r="AH115" s="543">
        <f t="shared" si="217"/>
        <v>736.327</v>
      </c>
      <c r="AI115" s="543">
        <f t="shared" ref="AI115:BB115" si="218">INDEX(SP_BSR_TA_Avg,0,COLUMN())-INDEX(SP_BSR_CL_Avg,0,COLUMN())</f>
        <v>859.99875000000009</v>
      </c>
      <c r="AJ115" s="543">
        <f t="shared" si="218"/>
        <v>997.51450000000011</v>
      </c>
      <c r="AK115" s="543">
        <f t="shared" si="218"/>
        <v>1122.7595000000001</v>
      </c>
      <c r="AL115" s="543">
        <f t="shared" si="218"/>
        <v>1240.5610000000001</v>
      </c>
      <c r="AM115" s="543">
        <f t="shared" si="218"/>
        <v>1269.8732499999999</v>
      </c>
      <c r="AN115" s="543">
        <f t="shared" si="218"/>
        <v>1280.9242500000003</v>
      </c>
      <c r="AO115" s="543">
        <f t="shared" si="218"/>
        <v>1292.171</v>
      </c>
      <c r="AP115" s="543">
        <f t="shared" si="218"/>
        <v>1309.77575</v>
      </c>
      <c r="AQ115" s="543">
        <f t="shared" si="218"/>
        <v>1321.5562500000001</v>
      </c>
      <c r="AR115" s="543">
        <f t="shared" si="218"/>
        <v>1342.1777499999998</v>
      </c>
      <c r="AS115" s="543">
        <f t="shared" si="218"/>
        <v>1364.9897499999997</v>
      </c>
      <c r="AT115" s="543">
        <f t="shared" si="218"/>
        <v>1392.5045</v>
      </c>
      <c r="AU115" s="614">
        <f t="shared" si="218"/>
        <v>1426.4184999999998</v>
      </c>
      <c r="AV115" s="543">
        <f t="shared" ca="1" si="218"/>
        <v>1466.1971896824284</v>
      </c>
      <c r="AW115" s="543">
        <f t="shared" ca="1" si="218"/>
        <v>1511.0373705041623</v>
      </c>
      <c r="AX115" s="543">
        <f t="shared" ca="1" si="218"/>
        <v>1560.2567673077933</v>
      </c>
      <c r="AY115" s="543">
        <f t="shared" ca="1" si="218"/>
        <v>1193.1295173077933</v>
      </c>
      <c r="AZ115" s="543">
        <f t="shared" ca="1" si="218"/>
        <v>860.72432762536505</v>
      </c>
      <c r="BA115" s="543">
        <f t="shared" ca="1" si="218"/>
        <v>525.47089680363115</v>
      </c>
      <c r="BB115" s="543">
        <f t="shared" si="218"/>
        <v>237.97949999999994</v>
      </c>
      <c r="BC115" s="543"/>
      <c r="BD115" s="851">
        <f t="shared" ref="BD115:BW115" si="219">INDEX(SP_BSR_TA_Avg,0,COLUMN())-INDEX(SP_BSR_CL_Avg,0,COLUMN())</f>
        <v>609.70899999999995</v>
      </c>
      <c r="BE115" s="851">
        <f t="shared" si="219"/>
        <v>603.80799999999988</v>
      </c>
      <c r="BF115" s="851">
        <f t="shared" si="219"/>
        <v>597.92450000000008</v>
      </c>
      <c r="BG115" s="851">
        <f t="shared" si="219"/>
        <v>604.49250000000006</v>
      </c>
      <c r="BH115" s="851">
        <f t="shared" si="219"/>
        <v>614.28800000000001</v>
      </c>
      <c r="BI115" s="851">
        <f t="shared" si="219"/>
        <v>621.63599999999997</v>
      </c>
      <c r="BJ115" s="851">
        <f t="shared" si="219"/>
        <v>644.87900000000002</v>
      </c>
      <c r="BK115" s="851">
        <f t="shared" si="219"/>
        <v>731.93299999999999</v>
      </c>
      <c r="BL115" s="851">
        <f t="shared" si="219"/>
        <v>1035.4499999999998</v>
      </c>
      <c r="BM115" s="851">
        <f t="shared" si="219"/>
        <v>1306.2625</v>
      </c>
      <c r="BN115" s="851">
        <f t="shared" si="219"/>
        <v>1396.5015000000001</v>
      </c>
      <c r="BO115" s="851">
        <f t="shared" ca="1" si="219"/>
        <v>1549.9697936072625</v>
      </c>
      <c r="BP115" s="851" t="e">
        <f t="shared" si="219"/>
        <v>#REF!</v>
      </c>
      <c r="BQ115" s="851" t="e">
        <f t="shared" si="219"/>
        <v>#REF!</v>
      </c>
      <c r="BR115" s="852" t="e">
        <f t="shared" ca="1" si="219"/>
        <v>#REF!</v>
      </c>
      <c r="BS115" s="851" t="e">
        <f t="shared" ca="1" si="219"/>
        <v>#REF!</v>
      </c>
      <c r="BT115" s="851" t="e">
        <f t="shared" ca="1" si="219"/>
        <v>#REF!</v>
      </c>
      <c r="BU115" s="851">
        <f t="shared" si="219"/>
        <v>0</v>
      </c>
      <c r="BV115" s="851">
        <f t="shared" si="219"/>
        <v>0</v>
      </c>
      <c r="BW115" s="851">
        <f t="shared" si="219"/>
        <v>0</v>
      </c>
      <c r="BX115" s="543"/>
    </row>
    <row r="116" spans="1:76" s="67" customFormat="1" collapsed="1" x14ac:dyDescent="0.35">
      <c r="A116" s="189" t="s">
        <v>340</v>
      </c>
      <c r="B116" s="190"/>
      <c r="C116" s="84"/>
      <c r="D116" s="84"/>
      <c r="E116" s="84"/>
      <c r="F116" s="84">
        <f t="shared" ref="F116:AK116" si="220">IF(F115&lt;0,"NMF",IF(ABS(F112/F115)&gt;1,"NMF",F112/F115))</f>
        <v>7.7368103219537826E-2</v>
      </c>
      <c r="G116" s="84">
        <f t="shared" si="220"/>
        <v>4.7247765191121116E-2</v>
      </c>
      <c r="H116" s="84">
        <f t="shared" si="220"/>
        <v>5.5512278684370833E-3</v>
      </c>
      <c r="I116" s="84">
        <f t="shared" si="220"/>
        <v>1.8651532075570233E-2</v>
      </c>
      <c r="J116" s="84">
        <f t="shared" si="220"/>
        <v>3.746380098748979E-2</v>
      </c>
      <c r="K116" s="84">
        <f t="shared" si="220"/>
        <v>3.0389443173941471E-2</v>
      </c>
      <c r="L116" s="84">
        <f t="shared" si="220"/>
        <v>8.0436672172300119E-2</v>
      </c>
      <c r="M116" s="84">
        <f t="shared" si="220"/>
        <v>8.0407444126178437E-2</v>
      </c>
      <c r="N116" s="84">
        <f t="shared" si="220"/>
        <v>3.113486735113713E-2</v>
      </c>
      <c r="O116" s="84">
        <f t="shared" si="220"/>
        <v>1.8694791445314701E-2</v>
      </c>
      <c r="P116" s="84">
        <f t="shared" si="220"/>
        <v>9.0007014293610622E-3</v>
      </c>
      <c r="Q116" s="84">
        <f t="shared" si="220"/>
        <v>-4.8610966253507413E-3</v>
      </c>
      <c r="R116" s="84">
        <f t="shared" si="220"/>
        <v>2.309290396088776E-2</v>
      </c>
      <c r="S116" s="84">
        <f t="shared" si="220"/>
        <v>1.9217109320404761E-2</v>
      </c>
      <c r="T116" s="84">
        <f t="shared" si="220"/>
        <v>2.4984198070449676E-2</v>
      </c>
      <c r="U116" s="84">
        <f t="shared" si="220"/>
        <v>1.4521660473621512E-2</v>
      </c>
      <c r="V116" s="84">
        <f t="shared" si="220"/>
        <v>2.1303265262080099E-2</v>
      </c>
      <c r="W116" s="84">
        <f t="shared" si="220"/>
        <v>2.9152577439564439E-2</v>
      </c>
      <c r="X116" s="84">
        <f t="shared" si="220"/>
        <v>2.1538545446378957E-2</v>
      </c>
      <c r="Y116" s="84">
        <f t="shared" si="220"/>
        <v>3.2488923143874394E-2</v>
      </c>
      <c r="Z116" s="84">
        <f t="shared" si="220"/>
        <v>4.0588013785148036E-2</v>
      </c>
      <c r="AA116" s="84">
        <f t="shared" si="220"/>
        <v>4.6889979101395612E-2</v>
      </c>
      <c r="AB116" s="84">
        <f t="shared" si="220"/>
        <v>7.7583297112477217E-2</v>
      </c>
      <c r="AC116" s="84">
        <f t="shared" si="220"/>
        <v>8.2466270753636994E-2</v>
      </c>
      <c r="AD116" s="84">
        <f t="shared" si="220"/>
        <v>7.0152358442369583E-2</v>
      </c>
      <c r="AE116" s="84">
        <f t="shared" si="220"/>
        <v>6.0358851167341646E-2</v>
      </c>
      <c r="AF116" s="84">
        <f t="shared" si="220"/>
        <v>5.4791059389183348E-2</v>
      </c>
      <c r="AG116" s="84">
        <f t="shared" si="220"/>
        <v>4.0003132252231711E-2</v>
      </c>
      <c r="AH116" s="84">
        <f t="shared" si="220"/>
        <v>4.407960050358084E-2</v>
      </c>
      <c r="AI116" s="84">
        <f t="shared" si="220"/>
        <v>7.4312898710608796E-2</v>
      </c>
      <c r="AJ116" s="84">
        <f t="shared" si="220"/>
        <v>7.2235541438244857E-2</v>
      </c>
      <c r="AK116" s="84">
        <f t="shared" si="220"/>
        <v>8.5601591436100147E-2</v>
      </c>
      <c r="AL116" s="84">
        <f t="shared" ref="AL116:BB116" si="221">IF(AL115&lt;0,"NMF",IF(ABS(AL112/AL115)&gt;1,"NMF",AL112/AL115))</f>
        <v>8.9037137230656122E-2</v>
      </c>
      <c r="AM116" s="84">
        <f t="shared" si="221"/>
        <v>7.1987499539816285E-2</v>
      </c>
      <c r="AN116" s="84">
        <f t="shared" si="221"/>
        <v>8.5780248129426889E-2</v>
      </c>
      <c r="AO116" s="84">
        <f t="shared" si="221"/>
        <v>0.10209097712299693</v>
      </c>
      <c r="AP116" s="84">
        <f t="shared" si="221"/>
        <v>0.11958382952196205</v>
      </c>
      <c r="AQ116" s="84">
        <f t="shared" si="221"/>
        <v>0.10206603010655051</v>
      </c>
      <c r="AR116" s="84">
        <f t="shared" si="221"/>
        <v>0.10881122116649602</v>
      </c>
      <c r="AS116" s="84">
        <f t="shared" si="221"/>
        <v>0.11549464016121737</v>
      </c>
      <c r="AT116" s="84">
        <f t="shared" si="221"/>
        <v>0.11884988522478744</v>
      </c>
      <c r="AU116" s="520">
        <f t="shared" si="221"/>
        <v>0.13848530427781186</v>
      </c>
      <c r="AV116" s="84">
        <f t="shared" ca="1" si="221"/>
        <v>0.13938110966115233</v>
      </c>
      <c r="AW116" s="84">
        <f t="shared" ca="1" si="221"/>
        <v>0.14005850392977884</v>
      </c>
      <c r="AX116" s="84">
        <f t="shared" ca="1" si="221"/>
        <v>0.14070690120166054</v>
      </c>
      <c r="AY116" s="84">
        <f t="shared" ca="1" si="221"/>
        <v>0.18121996955928271</v>
      </c>
      <c r="AZ116" s="84">
        <f t="shared" ca="1" si="221"/>
        <v>0.1901453209511641</v>
      </c>
      <c r="BA116" s="84">
        <f t="shared" ca="1" si="221"/>
        <v>0.22771434543731925</v>
      </c>
      <c r="BB116" s="84">
        <f t="shared" si="221"/>
        <v>0.34465153511121754</v>
      </c>
      <c r="BC116" s="84"/>
      <c r="BD116" s="866">
        <f t="shared" ref="BD116:BW116" si="222">IF(BD115&lt;0,"NMF",IF(ABS(BD112/BD115)&gt;1,"NMF",BD112/BD115))</f>
        <v>7.4963630190795966E-2</v>
      </c>
      <c r="BE116" s="866">
        <f t="shared" si="222"/>
        <v>3.7853092373734604E-2</v>
      </c>
      <c r="BF116" s="866">
        <f t="shared" si="222"/>
        <v>3.0818272206608054E-2</v>
      </c>
      <c r="BG116" s="866">
        <f t="shared" si="222"/>
        <v>2.3017655305897167E-2</v>
      </c>
      <c r="BH116" s="866">
        <f t="shared" si="222"/>
        <v>2.1372711171307207E-2</v>
      </c>
      <c r="BI116" s="866">
        <f t="shared" si="222"/>
        <v>4.1093179931664219E-2</v>
      </c>
      <c r="BJ116" s="866">
        <f t="shared" si="222"/>
        <v>7.0534162222680427E-2</v>
      </c>
      <c r="BK116" s="866">
        <f t="shared" si="222"/>
        <v>4.4344222763559107E-2</v>
      </c>
      <c r="BL116" s="866">
        <f t="shared" si="222"/>
        <v>0.10667439277608767</v>
      </c>
      <c r="BM116" s="866">
        <f t="shared" si="222"/>
        <v>0.11990545545018702</v>
      </c>
      <c r="BN116" s="866">
        <f t="shared" si="222"/>
        <v>0.11850971875074957</v>
      </c>
      <c r="BO116" s="866">
        <f t="shared" ca="1" si="222"/>
        <v>0.141640756943956</v>
      </c>
      <c r="BP116" s="866" t="e">
        <f t="shared" si="222"/>
        <v>#REF!</v>
      </c>
      <c r="BQ116" s="866" t="e">
        <f t="shared" si="222"/>
        <v>#REF!</v>
      </c>
      <c r="BR116" s="867" t="e">
        <f t="shared" ca="1" si="222"/>
        <v>#REF!</v>
      </c>
      <c r="BS116" s="866" t="e">
        <f t="shared" ca="1" si="222"/>
        <v>#REF!</v>
      </c>
      <c r="BT116" s="866" t="e">
        <f t="shared" ca="1" si="222"/>
        <v>#REF!</v>
      </c>
      <c r="BU116" s="866" t="e">
        <f t="shared" si="222"/>
        <v>#DIV/0!</v>
      </c>
      <c r="BV116" s="866" t="e">
        <f t="shared" si="222"/>
        <v>#DIV/0!</v>
      </c>
      <c r="BW116" s="866" t="e">
        <f t="shared" si="222"/>
        <v>#DIV/0!</v>
      </c>
      <c r="BX116" s="221"/>
    </row>
    <row r="117" spans="1:76" x14ac:dyDescent="0.35">
      <c r="A117" s="165"/>
      <c r="B117" s="170"/>
      <c r="C117" s="544"/>
      <c r="D117" s="544"/>
      <c r="E117" s="544"/>
      <c r="F117" s="544"/>
      <c r="G117" s="544"/>
      <c r="H117" s="544"/>
      <c r="I117" s="544"/>
      <c r="J117" s="544"/>
      <c r="K117" s="544"/>
      <c r="L117" s="544"/>
      <c r="M117" s="544"/>
      <c r="N117" s="544"/>
      <c r="O117" s="544"/>
      <c r="P117" s="544"/>
      <c r="Q117" s="544"/>
      <c r="R117" s="544"/>
      <c r="S117" s="544"/>
      <c r="T117" s="544"/>
      <c r="U117" s="544"/>
      <c r="V117" s="544"/>
      <c r="W117" s="544"/>
      <c r="X117" s="544"/>
      <c r="Y117" s="544"/>
      <c r="Z117" s="544"/>
      <c r="AA117" s="544"/>
      <c r="AB117" s="544"/>
      <c r="AC117" s="544"/>
      <c r="AD117" s="544"/>
      <c r="AE117" s="544"/>
      <c r="AF117" s="544"/>
      <c r="AG117" s="544"/>
      <c r="AH117" s="544"/>
      <c r="AI117" s="544"/>
      <c r="AJ117" s="544"/>
      <c r="AK117" s="544"/>
      <c r="AL117" s="544"/>
      <c r="AM117" s="544"/>
      <c r="AN117" s="544"/>
      <c r="AO117" s="544"/>
      <c r="AP117" s="544"/>
      <c r="AQ117" s="544"/>
      <c r="AR117" s="544"/>
      <c r="AS117" s="544"/>
      <c r="AT117" s="544"/>
      <c r="AU117" s="617"/>
      <c r="AV117" s="544"/>
      <c r="AW117" s="544"/>
      <c r="AX117" s="544"/>
      <c r="AY117" s="544"/>
      <c r="AZ117" s="544"/>
      <c r="BA117" s="544"/>
      <c r="BB117" s="544"/>
      <c r="BC117" s="544"/>
      <c r="BD117" s="853"/>
      <c r="BE117" s="853"/>
      <c r="BF117" s="853"/>
      <c r="BG117" s="853"/>
      <c r="BH117" s="853"/>
      <c r="BI117" s="853"/>
      <c r="BJ117" s="853"/>
      <c r="BK117" s="853"/>
      <c r="BL117" s="853"/>
      <c r="BM117" s="853"/>
      <c r="BN117" s="853"/>
      <c r="BO117" s="853"/>
      <c r="BP117" s="853"/>
      <c r="BQ117" s="853"/>
      <c r="BR117" s="854"/>
      <c r="BS117" s="853"/>
      <c r="BT117" s="853"/>
      <c r="BU117" s="853"/>
      <c r="BV117" s="853"/>
      <c r="BW117" s="853"/>
      <c r="BX117" s="544"/>
    </row>
    <row r="118" spans="1:76" x14ac:dyDescent="0.35">
      <c r="A118" s="117" t="s">
        <v>341</v>
      </c>
      <c r="B118" s="545"/>
      <c r="C118" s="545"/>
      <c r="D118" s="545"/>
      <c r="E118" s="545"/>
      <c r="F118" s="545"/>
      <c r="G118" s="545"/>
      <c r="H118" s="545"/>
      <c r="I118" s="545"/>
      <c r="J118" s="545"/>
      <c r="K118" s="545"/>
      <c r="L118" s="545"/>
      <c r="M118" s="545"/>
      <c r="N118" s="545"/>
      <c r="O118" s="545"/>
      <c r="P118" s="545"/>
      <c r="Q118" s="545"/>
      <c r="R118" s="545"/>
      <c r="S118" s="545"/>
      <c r="T118" s="545"/>
      <c r="U118" s="545"/>
      <c r="V118" s="545"/>
      <c r="W118" s="545"/>
      <c r="X118" s="545"/>
      <c r="Y118" s="545"/>
      <c r="Z118" s="545"/>
      <c r="AA118" s="545"/>
      <c r="AB118" s="545"/>
      <c r="AC118" s="545"/>
      <c r="AD118" s="545"/>
      <c r="AE118" s="545"/>
      <c r="AF118" s="545"/>
      <c r="AG118" s="545"/>
      <c r="AH118" s="545"/>
      <c r="AI118" s="545"/>
      <c r="AJ118" s="545"/>
      <c r="AK118" s="545"/>
      <c r="AL118" s="545"/>
      <c r="AM118" s="545"/>
      <c r="AN118" s="545"/>
      <c r="AO118" s="545"/>
      <c r="AP118" s="545"/>
      <c r="AQ118" s="545"/>
      <c r="AR118" s="545"/>
      <c r="AS118" s="545"/>
      <c r="AT118" s="545"/>
      <c r="AU118" s="618"/>
      <c r="AV118" s="545"/>
      <c r="AW118" s="545"/>
      <c r="AX118" s="545"/>
      <c r="AY118" s="545"/>
      <c r="AZ118" s="545"/>
      <c r="BA118" s="545"/>
      <c r="BB118" s="545"/>
      <c r="BC118" s="545"/>
      <c r="BD118" s="545"/>
      <c r="BE118" s="545"/>
      <c r="BF118" s="545"/>
      <c r="BG118" s="545"/>
      <c r="BH118" s="545"/>
      <c r="BI118" s="545"/>
      <c r="BJ118" s="545"/>
      <c r="BK118" s="545"/>
      <c r="BL118" s="545"/>
      <c r="BM118" s="545"/>
      <c r="BN118" s="545"/>
      <c r="BO118" s="545"/>
      <c r="BP118" s="545"/>
      <c r="BQ118" s="545"/>
      <c r="BR118" s="618"/>
      <c r="BS118" s="545"/>
      <c r="BT118" s="545"/>
      <c r="BU118" s="545"/>
      <c r="BV118" s="545"/>
      <c r="BW118" s="545"/>
      <c r="BX118" s="543"/>
    </row>
    <row r="119" spans="1:76" s="72" customFormat="1" x14ac:dyDescent="0.35">
      <c r="A119" s="197" t="s">
        <v>342</v>
      </c>
      <c r="B119" s="187"/>
      <c r="C119" s="83"/>
      <c r="D119" s="83"/>
      <c r="E119" s="83"/>
      <c r="F119" s="83"/>
      <c r="G119" s="83">
        <f t="shared" ref="G119:BB119" si="223">IF(OR(INDEX(SP_GF_Rev,0,COLUMN())&lt;=0,C38&lt;=0),"NMF",IF(ABS((INDEX(SP_GF_Rev,0,COLUMN())/INDEX(SP_GF_ShareCount,0,COLUMN()))/(C38/C52)-1)&gt;10,"NMF",(INDEX(SP_GF_Rev,0,COLUMN())/INDEX(SP_GF_ShareCount,0,COLUMN()))/(C38/C52)-1))</f>
        <v>5.7710890721442976E-2</v>
      </c>
      <c r="H119" s="83">
        <f t="shared" si="223"/>
        <v>5.6695882832411115E-2</v>
      </c>
      <c r="I119" s="83">
        <f t="shared" si="223"/>
        <v>6.3602394922236849E-2</v>
      </c>
      <c r="J119" s="83">
        <f t="shared" si="223"/>
        <v>0.16421185740859578</v>
      </c>
      <c r="K119" s="83">
        <f t="shared" si="223"/>
        <v>4.1310499793449029E-2</v>
      </c>
      <c r="L119" s="83">
        <f t="shared" si="223"/>
        <v>0.11126971914341399</v>
      </c>
      <c r="M119" s="83">
        <f t="shared" si="223"/>
        <v>0.10078968662471088</v>
      </c>
      <c r="N119" s="83">
        <f t="shared" si="223"/>
        <v>5.4312870312063666E-2</v>
      </c>
      <c r="O119" s="83">
        <f t="shared" si="223"/>
        <v>-5.8858370227882761E-2</v>
      </c>
      <c r="P119" s="83">
        <f t="shared" si="223"/>
        <v>-0.10970363816856044</v>
      </c>
      <c r="Q119" s="83">
        <f t="shared" si="223"/>
        <v>-0.1320903585270804</v>
      </c>
      <c r="R119" s="83">
        <f t="shared" si="223"/>
        <v>-5.7062929829597819E-2</v>
      </c>
      <c r="S119" s="83">
        <f t="shared" si="223"/>
        <v>2.1953064072610662E-2</v>
      </c>
      <c r="T119" s="83">
        <f t="shared" si="223"/>
        <v>2.2800963497807691E-2</v>
      </c>
      <c r="U119" s="83">
        <f t="shared" si="223"/>
        <v>-3.0016857249725026E-3</v>
      </c>
      <c r="V119" s="83">
        <f t="shared" si="223"/>
        <v>-6.5082606391916209E-2</v>
      </c>
      <c r="W119" s="83">
        <f t="shared" si="223"/>
        <v>-3.1397880543871048E-2</v>
      </c>
      <c r="X119" s="83">
        <f t="shared" si="223"/>
        <v>-5.8073753939896111E-2</v>
      </c>
      <c r="Y119" s="83">
        <f t="shared" si="223"/>
        <v>9.510711375965375E-3</v>
      </c>
      <c r="Z119" s="83">
        <f t="shared" si="223"/>
        <v>7.3370968370121359E-2</v>
      </c>
      <c r="AA119" s="83">
        <f t="shared" si="223"/>
        <v>0.11773927808471685</v>
      </c>
      <c r="AB119" s="83">
        <f t="shared" si="223"/>
        <v>0.18387152781809135</v>
      </c>
      <c r="AC119" s="83">
        <f t="shared" si="223"/>
        <v>6.1841630219688914E-2</v>
      </c>
      <c r="AD119" s="83">
        <f t="shared" si="223"/>
        <v>2.9477815387939144E-2</v>
      </c>
      <c r="AE119" s="83">
        <f t="shared" si="223"/>
        <v>8.544561807779516E-4</v>
      </c>
      <c r="AF119" s="83">
        <f t="shared" si="223"/>
        <v>1.9424106771511962E-2</v>
      </c>
      <c r="AG119" s="83">
        <f t="shared" si="223"/>
        <v>6.1537566463928162E-2</v>
      </c>
      <c r="AH119" s="83">
        <f t="shared" si="223"/>
        <v>6.197361071751839E-2</v>
      </c>
      <c r="AI119" s="83">
        <f t="shared" si="223"/>
        <v>0.34353645009624434</v>
      </c>
      <c r="AJ119" s="83">
        <f t="shared" si="223"/>
        <v>0.42032587079884065</v>
      </c>
      <c r="AK119" s="83">
        <f t="shared" si="223"/>
        <v>0.46087237933658387</v>
      </c>
      <c r="AL119" s="83">
        <f t="shared" si="223"/>
        <v>0.44015998261767608</v>
      </c>
      <c r="AM119" s="83">
        <f t="shared" si="223"/>
        <v>0.12226761143066955</v>
      </c>
      <c r="AN119" s="83">
        <f t="shared" si="223"/>
        <v>6.6357490049385737E-2</v>
      </c>
      <c r="AO119" s="83">
        <f t="shared" si="223"/>
        <v>6.4052446847457922E-2</v>
      </c>
      <c r="AP119" s="83">
        <f t="shared" si="223"/>
        <v>0.136466058198212</v>
      </c>
      <c r="AQ119" s="83">
        <f t="shared" si="223"/>
        <v>2.3962146414365115E-2</v>
      </c>
      <c r="AR119" s="83">
        <f t="shared" si="223"/>
        <v>0.10411610120668735</v>
      </c>
      <c r="AS119" s="83">
        <f t="shared" si="223"/>
        <v>0.10006038628657676</v>
      </c>
      <c r="AT119" s="83">
        <f t="shared" si="223"/>
        <v>5.5312979227956749E-2</v>
      </c>
      <c r="AU119" s="518">
        <f t="shared" si="223"/>
        <v>0.10563863678708008</v>
      </c>
      <c r="AV119" s="83">
        <f t="shared" ca="1" si="223"/>
        <v>5.7886226024259413E-2</v>
      </c>
      <c r="AW119" s="83">
        <f t="shared" ca="1" si="223"/>
        <v>4.3505269480865305E-2</v>
      </c>
      <c r="AX119" s="83">
        <f t="shared" ca="1" si="223"/>
        <v>4.3396138006350782E-2</v>
      </c>
      <c r="AY119" s="83" t="str">
        <f t="shared" si="223"/>
        <v>NMF</v>
      </c>
      <c r="AZ119" s="83">
        <f t="shared" ca="1" si="223"/>
        <v>-6.5933830269603311E-2</v>
      </c>
      <c r="BA119" s="83">
        <f t="shared" ca="1" si="223"/>
        <v>0.10629842862498684</v>
      </c>
      <c r="BB119" s="83">
        <f t="shared" ca="1" si="223"/>
        <v>0.28120097118512799</v>
      </c>
      <c r="BC119" s="83"/>
      <c r="BD119" s="862"/>
      <c r="BE119" s="862">
        <f t="shared" ref="BE119:BW119" si="224">IF(OR(INDEX(SP_GF_Rev,0,COLUMN())&lt;=0,BD38&lt;=0),"NMF",IF(ABS((INDEX(SP_GF_Rev,0,COLUMN())/INDEX(SP_GF_ShareCount,0,COLUMN()))/(BD38/BD52)-1)&gt;10,"NMF",(INDEX(SP_GF_Rev,0,COLUMN())/INDEX(SP_GF_ShareCount,0,COLUMN()))/(BD38/BD52)-1))</f>
        <v>7.8206512109177728E-2</v>
      </c>
      <c r="BF119" s="862">
        <f t="shared" si="224"/>
        <v>7.5248494994071491E-2</v>
      </c>
      <c r="BG119" s="862">
        <f t="shared" si="224"/>
        <v>-0.10873258885349002</v>
      </c>
      <c r="BH119" s="862">
        <f t="shared" si="224"/>
        <v>1.3588466456828652E-3</v>
      </c>
      <c r="BI119" s="862">
        <f t="shared" si="224"/>
        <v>3.9865089117139263E-3</v>
      </c>
      <c r="BJ119" s="862">
        <f t="shared" si="224"/>
        <v>9.8504146337789811E-2</v>
      </c>
      <c r="BK119" s="862">
        <f t="shared" si="224"/>
        <v>3.1720210211389599E-2</v>
      </c>
      <c r="BL119" s="862">
        <f t="shared" si="224"/>
        <v>0.43405875786052617</v>
      </c>
      <c r="BM119" s="862">
        <f t="shared" si="224"/>
        <v>8.2730333732213612E-2</v>
      </c>
      <c r="BN119" s="862">
        <f t="shared" si="224"/>
        <v>8.2036726276398575E-2</v>
      </c>
      <c r="BO119" s="862">
        <f t="shared" ca="1" si="224"/>
        <v>6.2051758012797054E-2</v>
      </c>
      <c r="BP119" s="862" t="e">
        <f t="shared" si="224"/>
        <v>#REF!</v>
      </c>
      <c r="BQ119" s="862" t="e">
        <f t="shared" si="224"/>
        <v>#REF!</v>
      </c>
      <c r="BR119" s="863" t="e">
        <f t="shared" si="224"/>
        <v>#REF!</v>
      </c>
      <c r="BS119" s="862" t="e">
        <f t="shared" si="224"/>
        <v>#REF!</v>
      </c>
      <c r="BT119" s="862" t="e">
        <f t="shared" si="224"/>
        <v>#REF!</v>
      </c>
      <c r="BU119" s="862" t="str">
        <f t="shared" si="224"/>
        <v>NMF</v>
      </c>
      <c r="BV119" s="862" t="str">
        <f t="shared" si="224"/>
        <v>NMF</v>
      </c>
      <c r="BW119" s="862" t="str">
        <f t="shared" si="224"/>
        <v>NMF</v>
      </c>
      <c r="BX119" s="186"/>
    </row>
    <row r="120" spans="1:76" s="72" customFormat="1" x14ac:dyDescent="0.35">
      <c r="A120" s="197" t="s">
        <v>343</v>
      </c>
      <c r="B120" s="187"/>
      <c r="C120" s="83"/>
      <c r="D120" s="83"/>
      <c r="E120" s="83"/>
      <c r="F120" s="83"/>
      <c r="G120" s="83">
        <f t="shared" ref="G120:BB120" si="225">IF(OR(INDEX(SP_NGF_EBITDA,0,COLUMN())&lt;=0,C55&lt;=0),"NMF",IF(ABS((INDEX(SP_NGF_EBITDA,0,COLUMN())/INDEX(SP_GF_ShareCount,0,COLUMN()))/(C55/C52)-1)&gt;10,"NMF",(INDEX(SP_NGF_EBITDA,0,COLUMN())/INDEX(SP_GF_ShareCount,0,COLUMN()))/(C55/C52)-1))</f>
        <v>-0.54186746437914235</v>
      </c>
      <c r="H120" s="83">
        <f t="shared" si="225"/>
        <v>-6.2519090685236867E-2</v>
      </c>
      <c r="I120" s="83">
        <f t="shared" si="225"/>
        <v>0.22680444019935408</v>
      </c>
      <c r="J120" s="83">
        <f t="shared" si="225"/>
        <v>0.57011476130944394</v>
      </c>
      <c r="K120" s="83">
        <f t="shared" si="225"/>
        <v>-0.34807784581284829</v>
      </c>
      <c r="L120" s="83">
        <f t="shared" si="225"/>
        <v>0.35152627150596949</v>
      </c>
      <c r="M120" s="83">
        <f t="shared" si="225"/>
        <v>6.5022093416047699E-2</v>
      </c>
      <c r="N120" s="83">
        <f t="shared" si="225"/>
        <v>-0.34017668019547287</v>
      </c>
      <c r="O120" s="83">
        <f t="shared" si="225"/>
        <v>-0.91122547752593597</v>
      </c>
      <c r="P120" s="83">
        <f t="shared" si="225"/>
        <v>-0.16891079963251554</v>
      </c>
      <c r="Q120" s="83">
        <f t="shared" si="225"/>
        <v>-0.20981698309225583</v>
      </c>
      <c r="R120" s="83">
        <f t="shared" si="225"/>
        <v>1.0090020580766357E-3</v>
      </c>
      <c r="S120" s="83" t="str">
        <f t="shared" si="225"/>
        <v>NMF</v>
      </c>
      <c r="T120" s="83">
        <f t="shared" si="225"/>
        <v>0.11202722962017209</v>
      </c>
      <c r="U120" s="83">
        <f t="shared" si="225"/>
        <v>-8.0070031875556613E-2</v>
      </c>
      <c r="V120" s="83">
        <f t="shared" si="225"/>
        <v>0.28213712431770399</v>
      </c>
      <c r="W120" s="83" t="str">
        <f t="shared" si="225"/>
        <v>NMF</v>
      </c>
      <c r="X120" s="83">
        <f t="shared" si="225"/>
        <v>-9.0438660877510624E-2</v>
      </c>
      <c r="Y120" s="83">
        <f t="shared" si="225"/>
        <v>8.4672890223546959E-2</v>
      </c>
      <c r="Z120" s="83">
        <f t="shared" si="225"/>
        <v>5.7269124036445129E-2</v>
      </c>
      <c r="AA120" s="83">
        <f t="shared" si="225"/>
        <v>0.50126851749292167</v>
      </c>
      <c r="AB120" s="83">
        <f t="shared" si="225"/>
        <v>0.40910346076890081</v>
      </c>
      <c r="AC120" s="83">
        <f t="shared" si="225"/>
        <v>1.1914193796027206E-2</v>
      </c>
      <c r="AD120" s="83">
        <f t="shared" si="225"/>
        <v>-0.2727488877327392</v>
      </c>
      <c r="AE120" s="83">
        <f t="shared" si="225"/>
        <v>-0.63467362947654471</v>
      </c>
      <c r="AF120" s="83">
        <f t="shared" si="225"/>
        <v>-1.7336424890969093E-2</v>
      </c>
      <c r="AG120" s="83">
        <f t="shared" si="225"/>
        <v>-7.8731772375315257E-2</v>
      </c>
      <c r="AH120" s="83">
        <f t="shared" si="225"/>
        <v>0.28257327108637287</v>
      </c>
      <c r="AI120" s="83" t="str">
        <f t="shared" si="225"/>
        <v>NMF</v>
      </c>
      <c r="AJ120" s="83">
        <f t="shared" si="225"/>
        <v>0.27990478022351795</v>
      </c>
      <c r="AK120" s="83">
        <f t="shared" si="225"/>
        <v>0.84249876164996018</v>
      </c>
      <c r="AL120" s="83">
        <f t="shared" si="225"/>
        <v>0.66409967117969293</v>
      </c>
      <c r="AM120" s="83">
        <f t="shared" si="225"/>
        <v>-0.32509011596918258</v>
      </c>
      <c r="AN120" s="83">
        <f t="shared" si="225"/>
        <v>0.14590071846673647</v>
      </c>
      <c r="AO120" s="83">
        <f t="shared" si="225"/>
        <v>0.19125045306316468</v>
      </c>
      <c r="AP120" s="83">
        <f t="shared" si="225"/>
        <v>0.34852928571807573</v>
      </c>
      <c r="AQ120" s="83">
        <f t="shared" si="225"/>
        <v>-0.88480965885843621</v>
      </c>
      <c r="AR120" s="83">
        <f t="shared" si="225"/>
        <v>0.19832662989312255</v>
      </c>
      <c r="AS120" s="83">
        <f t="shared" si="225"/>
        <v>0.13479702671010352</v>
      </c>
      <c r="AT120" s="83">
        <f t="shared" si="225"/>
        <v>0.18152247419364742</v>
      </c>
      <c r="AU120" s="518" t="str">
        <f t="shared" si="225"/>
        <v>NMF</v>
      </c>
      <c r="AV120" s="83">
        <f t="shared" ca="1" si="225"/>
        <v>7.492689671525854E-2</v>
      </c>
      <c r="AW120" s="83">
        <f t="shared" ca="1" si="225"/>
        <v>6.8793860062204448E-2</v>
      </c>
      <c r="AX120" s="83">
        <f t="shared" ca="1" si="225"/>
        <v>4.1483720409169145E-2</v>
      </c>
      <c r="AY120" s="83" t="str">
        <f t="shared" si="225"/>
        <v>NMF</v>
      </c>
      <c r="AZ120" s="83">
        <f t="shared" ca="1" si="225"/>
        <v>-0.38910473259554457</v>
      </c>
      <c r="BA120" s="83">
        <f t="shared" ca="1" si="225"/>
        <v>-0.14584372977189031</v>
      </c>
      <c r="BB120" s="83">
        <f t="shared" ca="1" si="225"/>
        <v>2.5182763792012564E-2</v>
      </c>
      <c r="BC120" s="83"/>
      <c r="BD120" s="862"/>
      <c r="BE120" s="862">
        <f t="shared" ref="BE120:BW120" si="226">IF(OR(INDEX(SP_NGF_EBITDA,0,COLUMN())&lt;=0,BD55&lt;=0),"NMF",IF(ABS((INDEX(SP_NGF_EBITDA,0,COLUMN())/INDEX(SP_GF_ShareCount,0,COLUMN()))/(BD55/BD52)-1)&gt;10,"NMF",(INDEX(SP_NGF_EBITDA,0,COLUMN())/INDEX(SP_GF_ShareCount,0,COLUMN()))/(BD55/BD52)-1))</f>
        <v>4.3054626234707571E-2</v>
      </c>
      <c r="BF120" s="862">
        <f t="shared" si="226"/>
        <v>-2.3905614945169851E-2</v>
      </c>
      <c r="BG120" s="862">
        <f t="shared" si="226"/>
        <v>-0.21006607280096412</v>
      </c>
      <c r="BH120" s="862">
        <f t="shared" si="226"/>
        <v>7.3845272829138331E-2</v>
      </c>
      <c r="BI120" s="862">
        <f t="shared" si="226"/>
        <v>7.4656312724073359E-2</v>
      </c>
      <c r="BJ120" s="862">
        <f t="shared" si="226"/>
        <v>8.9937534821378007E-2</v>
      </c>
      <c r="BK120" s="862">
        <f t="shared" si="226"/>
        <v>-3.3823735835068924E-2</v>
      </c>
      <c r="BL120" s="862">
        <f t="shared" si="226"/>
        <v>0.81777420988897531</v>
      </c>
      <c r="BM120" s="862">
        <f t="shared" si="226"/>
        <v>0.12323169875680473</v>
      </c>
      <c r="BN120" s="862">
        <f t="shared" si="226"/>
        <v>7.7178942166954645E-2</v>
      </c>
      <c r="BO120" s="862">
        <f t="shared" ca="1" si="226"/>
        <v>0.18462775204502391</v>
      </c>
      <c r="BP120" s="862" t="e">
        <f t="shared" si="226"/>
        <v>#REF!</v>
      </c>
      <c r="BQ120" s="862" t="e">
        <f t="shared" si="226"/>
        <v>#REF!</v>
      </c>
      <c r="BR120" s="863" t="e">
        <f t="shared" si="226"/>
        <v>#REF!</v>
      </c>
      <c r="BS120" s="862" t="e">
        <f t="shared" si="226"/>
        <v>#REF!</v>
      </c>
      <c r="BT120" s="862" t="e">
        <f t="shared" si="226"/>
        <v>#REF!</v>
      </c>
      <c r="BU120" s="862" t="str">
        <f t="shared" si="226"/>
        <v>NMF</v>
      </c>
      <c r="BV120" s="862" t="str">
        <f t="shared" si="226"/>
        <v>NMF</v>
      </c>
      <c r="BW120" s="862" t="str">
        <f t="shared" si="226"/>
        <v>NMF</v>
      </c>
      <c r="BX120" s="186"/>
    </row>
    <row r="121" spans="1:76" s="72" customFormat="1" x14ac:dyDescent="0.35">
      <c r="A121" s="197" t="s">
        <v>344</v>
      </c>
      <c r="B121" s="187"/>
      <c r="C121" s="83"/>
      <c r="D121" s="83"/>
      <c r="E121" s="83"/>
      <c r="F121" s="83"/>
      <c r="G121" s="83" t="str">
        <f t="shared" ref="G121:BB121" si="227">IF(OR(INDEX(SP_NGF_NI,0,COLUMN())&lt;=0,C57&lt;=0),"NMF",IF(ABS((INDEX(SP_NGF_NI,0,COLUMN())/INDEX(SP_GF_ShareCount,0,COLUMN()))/(C57/C52)-1)&gt;10,"NMF",(INDEX(SP_NGF_NI,0,COLUMN())/INDEX(SP_GF_ShareCount,0,COLUMN()))/(C57/C52)-1))</f>
        <v>NMF</v>
      </c>
      <c r="H121" s="83" t="str">
        <f t="shared" si="227"/>
        <v>NMF</v>
      </c>
      <c r="I121" s="83">
        <f t="shared" si="227"/>
        <v>0.41245645070304748</v>
      </c>
      <c r="J121" s="83">
        <f t="shared" si="227"/>
        <v>4.9638913423010855</v>
      </c>
      <c r="K121" s="83" t="str">
        <f t="shared" si="227"/>
        <v>NMF</v>
      </c>
      <c r="L121" s="83" t="str">
        <f t="shared" si="227"/>
        <v>NMF</v>
      </c>
      <c r="M121" s="83">
        <f t="shared" si="227"/>
        <v>0.12910010104057368</v>
      </c>
      <c r="N121" s="83" t="str">
        <f t="shared" si="227"/>
        <v>NMF</v>
      </c>
      <c r="O121" s="83" t="str">
        <f t="shared" si="227"/>
        <v>NMF</v>
      </c>
      <c r="P121" s="83">
        <f t="shared" si="227"/>
        <v>-0.31715486223341149</v>
      </c>
      <c r="Q121" s="83">
        <f t="shared" si="227"/>
        <v>-0.19527728748991435</v>
      </c>
      <c r="R121" s="83" t="str">
        <f t="shared" si="227"/>
        <v>NMF</v>
      </c>
      <c r="S121" s="83" t="str">
        <f t="shared" si="227"/>
        <v>NMF</v>
      </c>
      <c r="T121" s="83">
        <f t="shared" si="227"/>
        <v>0.31831662071688593</v>
      </c>
      <c r="U121" s="83">
        <f t="shared" si="227"/>
        <v>-0.36671191938876235</v>
      </c>
      <c r="V121" s="83" t="str">
        <f t="shared" si="227"/>
        <v>NMF</v>
      </c>
      <c r="W121" s="83" t="str">
        <f t="shared" si="227"/>
        <v>NMF</v>
      </c>
      <c r="X121" s="83">
        <f t="shared" si="227"/>
        <v>9.0974193521763169E-2</v>
      </c>
      <c r="Y121" s="83">
        <f t="shared" si="227"/>
        <v>0.38331764126500545</v>
      </c>
      <c r="Z121" s="83" t="str">
        <f t="shared" si="227"/>
        <v>NMF</v>
      </c>
      <c r="AA121" s="83" t="str">
        <f t="shared" si="227"/>
        <v>NMF</v>
      </c>
      <c r="AB121" s="83">
        <f t="shared" si="227"/>
        <v>0.80435372150122952</v>
      </c>
      <c r="AC121" s="83">
        <f t="shared" si="227"/>
        <v>0.3791527719661103</v>
      </c>
      <c r="AD121" s="83">
        <f t="shared" si="227"/>
        <v>-0.65952378772924569</v>
      </c>
      <c r="AE121" s="83" t="str">
        <f t="shared" si="227"/>
        <v>NMF</v>
      </c>
      <c r="AF121" s="83">
        <f t="shared" si="227"/>
        <v>-0.12386139261763507</v>
      </c>
      <c r="AG121" s="83">
        <f t="shared" si="227"/>
        <v>-0.50429561210351015</v>
      </c>
      <c r="AH121" s="83">
        <f t="shared" si="227"/>
        <v>0.491526287951076</v>
      </c>
      <c r="AI121" s="83" t="str">
        <f t="shared" si="227"/>
        <v>NMF</v>
      </c>
      <c r="AJ121" s="83">
        <f t="shared" si="227"/>
        <v>0.15705109203231893</v>
      </c>
      <c r="AK121" s="83">
        <f t="shared" si="227"/>
        <v>1.6033258103612762</v>
      </c>
      <c r="AL121" s="83">
        <f t="shared" si="227"/>
        <v>1.0919668248444609</v>
      </c>
      <c r="AM121" s="83" t="str">
        <f t="shared" si="227"/>
        <v>NMF</v>
      </c>
      <c r="AN121" s="83">
        <f t="shared" si="227"/>
        <v>0.67920464383884904</v>
      </c>
      <c r="AO121" s="83">
        <f t="shared" si="227"/>
        <v>0.78507664269667399</v>
      </c>
      <c r="AP121" s="83">
        <f t="shared" si="227"/>
        <v>1.6562018588377554</v>
      </c>
      <c r="AQ121" s="83" t="str">
        <f t="shared" si="227"/>
        <v>NMF</v>
      </c>
      <c r="AR121" s="83">
        <f t="shared" si="227"/>
        <v>0.19057961721302097</v>
      </c>
      <c r="AS121" s="83">
        <f t="shared" si="227"/>
        <v>0.27476024756395745</v>
      </c>
      <c r="AT121" s="83">
        <f t="shared" si="227"/>
        <v>0.53414051641692062</v>
      </c>
      <c r="AU121" s="518" t="str">
        <f t="shared" si="227"/>
        <v>NMF</v>
      </c>
      <c r="AV121" s="83">
        <f t="shared" ca="1" si="227"/>
        <v>2.7500369167495098E-2</v>
      </c>
      <c r="AW121" s="83">
        <f t="shared" ca="1" si="227"/>
        <v>2.4063832800689022E-2</v>
      </c>
      <c r="AX121" s="83">
        <f t="shared" ca="1" si="227"/>
        <v>3.6847615892704688E-2</v>
      </c>
      <c r="AY121" s="83" t="str">
        <f t="shared" si="227"/>
        <v>NMF</v>
      </c>
      <c r="AZ121" s="83">
        <f t="shared" ca="1" si="227"/>
        <v>-0.66069037692604393</v>
      </c>
      <c r="BA121" s="83">
        <f t="shared" ca="1" si="227"/>
        <v>-0.46483796918242615</v>
      </c>
      <c r="BB121" s="83">
        <f t="shared" ca="1" si="227"/>
        <v>-0.67644991647011898</v>
      </c>
      <c r="BC121" s="83"/>
      <c r="BD121" s="862"/>
      <c r="BE121" s="862">
        <f t="shared" ref="BE121:BW121" si="228">IF(OR(INDEX(SP_NGF_NI,0,COLUMN())&lt;=0,BD57&lt;=0),"NMF",IF(ABS((INDEX(SP_NGF_NI,0,COLUMN())/INDEX(SP_GF_ShareCount,0,COLUMN()))/(BD57/BD52)-1)&gt;10,"NMF",(INDEX(SP_NGF_NI,0,COLUMN())/INDEX(SP_GF_ShareCount,0,COLUMN()))/(BD57/BD52)-1))</f>
        <v>-0.25386597990481774</v>
      </c>
      <c r="BF121" s="862">
        <f t="shared" si="228"/>
        <v>-0.4154721802274548</v>
      </c>
      <c r="BG121" s="862">
        <f t="shared" si="228"/>
        <v>-0.2036654475366253</v>
      </c>
      <c r="BH121" s="862">
        <f t="shared" si="228"/>
        <v>-0.95090509988201788</v>
      </c>
      <c r="BI121" s="862" t="str">
        <f t="shared" si="228"/>
        <v>NMF</v>
      </c>
      <c r="BJ121" s="862">
        <f t="shared" si="228"/>
        <v>0.33707312682123525</v>
      </c>
      <c r="BK121" s="862">
        <f t="shared" si="228"/>
        <v>-0.33683533796760878</v>
      </c>
      <c r="BL121" s="862">
        <f t="shared" si="228"/>
        <v>1.8317144652675919</v>
      </c>
      <c r="BM121" s="862">
        <f t="shared" si="228"/>
        <v>0.47910857560763809</v>
      </c>
      <c r="BN121" s="862">
        <f t="shared" si="228"/>
        <v>0.17629126757137059</v>
      </c>
      <c r="BO121" s="862">
        <f t="shared" ca="1" si="228"/>
        <v>0.25240519514627757</v>
      </c>
      <c r="BP121" s="862" t="e">
        <f t="shared" ca="1" si="228"/>
        <v>#REF!</v>
      </c>
      <c r="BQ121" s="862" t="e">
        <f t="shared" si="228"/>
        <v>#REF!</v>
      </c>
      <c r="BR121" s="863" t="e">
        <f t="shared" si="228"/>
        <v>#REF!</v>
      </c>
      <c r="BS121" s="862" t="e">
        <f t="shared" ca="1" si="228"/>
        <v>#REF!</v>
      </c>
      <c r="BT121" s="862" t="e">
        <f t="shared" ca="1" si="228"/>
        <v>#REF!</v>
      </c>
      <c r="BU121" s="862" t="str">
        <f t="shared" si="228"/>
        <v>NMF</v>
      </c>
      <c r="BV121" s="862" t="str">
        <f t="shared" si="228"/>
        <v>NMF</v>
      </c>
      <c r="BW121" s="862" t="str">
        <f t="shared" si="228"/>
        <v>NMF</v>
      </c>
      <c r="BX121" s="186"/>
    </row>
    <row r="122" spans="1:76" s="72" customFormat="1" x14ac:dyDescent="0.35">
      <c r="A122" s="197" t="s">
        <v>345</v>
      </c>
      <c r="B122" s="187"/>
      <c r="C122" s="83"/>
      <c r="D122" s="83"/>
      <c r="E122" s="83"/>
      <c r="F122" s="83"/>
      <c r="G122" s="83" t="str">
        <f t="shared" ref="G122:BB122" ca="1" si="229">IF(OR(INDEX(SP_CFA_CFO,0,COLUMN())&lt;=0,C71&lt;=0),"NMF",IF(ABS((INDEX(SP_CFA_CFO,0,COLUMN())/INDEX(SP_GF_ShareCount,0,COLUMN()))/(C71/C52)-1)&gt;10,"NMF",(INDEX(SP_CFA_CFO,0,COLUMN())/INDEX(SP_GF_ShareCount,0,COLUMN()))/(C71/C52)-1))</f>
        <v>NMF</v>
      </c>
      <c r="H122" s="83">
        <f t="shared" ca="1" si="229"/>
        <v>-0.51718224358400888</v>
      </c>
      <c r="I122" s="83">
        <f t="shared" ca="1" si="229"/>
        <v>1.2119957082790855</v>
      </c>
      <c r="J122" s="83">
        <f t="shared" ca="1" si="229"/>
        <v>0.16832498929814421</v>
      </c>
      <c r="K122" s="83" t="str">
        <f t="shared" ca="1" si="229"/>
        <v>NMF</v>
      </c>
      <c r="L122" s="83">
        <f t="shared" ca="1" si="229"/>
        <v>0.51349263326012085</v>
      </c>
      <c r="M122" s="83">
        <f t="shared" ca="1" si="229"/>
        <v>-0.32744115500179427</v>
      </c>
      <c r="N122" s="83">
        <f t="shared" ca="1" si="229"/>
        <v>0.8658233200068326</v>
      </c>
      <c r="O122" s="83" t="str">
        <f t="shared" ca="1" si="229"/>
        <v>NMF</v>
      </c>
      <c r="P122" s="83">
        <f t="shared" ca="1" si="229"/>
        <v>5.6999484612165308E-2</v>
      </c>
      <c r="Q122" s="83">
        <f t="shared" ca="1" si="229"/>
        <v>0.19307595014351153</v>
      </c>
      <c r="R122" s="83">
        <f t="shared" ca="1" si="229"/>
        <v>-0.18086246099376391</v>
      </c>
      <c r="S122" s="83" t="str">
        <f t="shared" ca="1" si="229"/>
        <v>NMF</v>
      </c>
      <c r="T122" s="83">
        <f t="shared" ca="1" si="229"/>
        <v>0.83774943926023893</v>
      </c>
      <c r="U122" s="83">
        <f t="shared" ca="1" si="229"/>
        <v>-0.44164559148321947</v>
      </c>
      <c r="V122" s="83">
        <f t="shared" ca="1" si="229"/>
        <v>-0.1880728127772836</v>
      </c>
      <c r="W122" s="83" t="str">
        <f t="shared" ca="1" si="229"/>
        <v>NMF</v>
      </c>
      <c r="X122" s="83">
        <f t="shared" ca="1" si="229"/>
        <v>-0.21469354618316017</v>
      </c>
      <c r="Y122" s="83">
        <f t="shared" ca="1" si="229"/>
        <v>0.99702525174058554</v>
      </c>
      <c r="Z122" s="83">
        <f t="shared" ca="1" si="229"/>
        <v>-5.1965447211828053E-2</v>
      </c>
      <c r="AA122" s="83" t="str">
        <f t="shared" ca="1" si="229"/>
        <v>NMF</v>
      </c>
      <c r="AB122" s="83">
        <f t="shared" ca="1" si="229"/>
        <v>0.29839383172761225</v>
      </c>
      <c r="AC122" s="83">
        <f t="shared" ca="1" si="229"/>
        <v>-0.1581805028898281</v>
      </c>
      <c r="AD122" s="83">
        <f t="shared" ca="1" si="229"/>
        <v>0.30513583953937884</v>
      </c>
      <c r="AE122" s="83" t="str">
        <f t="shared" ca="1" si="229"/>
        <v>NMF</v>
      </c>
      <c r="AF122" s="83">
        <f t="shared" ca="1" si="229"/>
        <v>-0.10613969516877364</v>
      </c>
      <c r="AG122" s="83">
        <f t="shared" ca="1" si="229"/>
        <v>-0.4754602213261131</v>
      </c>
      <c r="AH122" s="83">
        <f t="shared" ca="1" si="229"/>
        <v>0.14668926758740852</v>
      </c>
      <c r="AI122" s="83" t="str">
        <f t="shared" ca="1" si="229"/>
        <v>NMF</v>
      </c>
      <c r="AJ122" s="83">
        <f t="shared" ca="1" si="229"/>
        <v>-0.48699911584401079</v>
      </c>
      <c r="AK122" s="83">
        <f t="shared" ca="1" si="229"/>
        <v>2.5921099296743786</v>
      </c>
      <c r="AL122" s="83">
        <f t="shared" ca="1" si="229"/>
        <v>0.54889744967171183</v>
      </c>
      <c r="AM122" s="83" t="str">
        <f t="shared" ca="1" si="229"/>
        <v>NMF</v>
      </c>
      <c r="AN122" s="83">
        <f t="shared" ca="1" si="229"/>
        <v>2.3949320463623911</v>
      </c>
      <c r="AO122" s="83">
        <f t="shared" ca="1" si="229"/>
        <v>1.1066185212845747E-2</v>
      </c>
      <c r="AP122" s="83">
        <f t="shared" ca="1" si="229"/>
        <v>1.2198727765871498E-2</v>
      </c>
      <c r="AQ122" s="83" t="str">
        <f t="shared" ca="1" si="229"/>
        <v>NMF</v>
      </c>
      <c r="AR122" s="83">
        <f t="shared" ca="1" si="229"/>
        <v>0.35238650135299632</v>
      </c>
      <c r="AS122" s="83">
        <f t="shared" ca="1" si="229"/>
        <v>-9.8675373750356621E-2</v>
      </c>
      <c r="AT122" s="83">
        <f t="shared" ca="1" si="229"/>
        <v>-0.2324835869076034</v>
      </c>
      <c r="AU122" s="518" t="str">
        <f t="shared" ca="1" si="229"/>
        <v>NMF</v>
      </c>
      <c r="AV122" s="83">
        <f t="shared" ca="1" si="229"/>
        <v>0.12585824850543914</v>
      </c>
      <c r="AW122" s="83">
        <f t="shared" ca="1" si="229"/>
        <v>0.17347678896156782</v>
      </c>
      <c r="AX122" s="83">
        <f t="shared" ca="1" si="229"/>
        <v>8.8717264223450387E-2</v>
      </c>
      <c r="AY122" s="83" t="str">
        <f t="shared" ca="1" si="229"/>
        <v>NMF</v>
      </c>
      <c r="AZ122" s="83" t="str">
        <f t="shared" ca="1" si="229"/>
        <v>NMF</v>
      </c>
      <c r="BA122" s="83">
        <f t="shared" ca="1" si="229"/>
        <v>-0.22624110903180772</v>
      </c>
      <c r="BB122" s="83">
        <f t="shared" ca="1" si="229"/>
        <v>-0.21204465374610559</v>
      </c>
      <c r="BC122" s="83"/>
      <c r="BD122" s="862"/>
      <c r="BE122" s="862">
        <f t="shared" ref="BE122:BW122" ca="1" si="230">IF(OR(INDEX(SP_CFA_CFO,0,COLUMN())&lt;=0,BD71&lt;=0),"NMF",IF(ABS((INDEX(SP_CFA_CFO,0,COLUMN())/INDEX(SP_GF_ShareCount,0,COLUMN()))/(BD71/BD52)-1)&gt;10,"NMF",(INDEX(SP_CFA_CFO,0,COLUMN())/INDEX(SP_GF_ShareCount,0,COLUMN()))/(BD71/BD52)-1))</f>
        <v>0.28241667275435001</v>
      </c>
      <c r="BF122" s="862">
        <f t="shared" ca="1" si="230"/>
        <v>1.9001695762085102E-2</v>
      </c>
      <c r="BG122" s="862">
        <f t="shared" ca="1" si="230"/>
        <v>-1.7876441856109926E-2</v>
      </c>
      <c r="BH122" s="862">
        <f t="shared" ca="1" si="230"/>
        <v>-0.28339497222879428</v>
      </c>
      <c r="BI122" s="862">
        <f t="shared" ca="1" si="230"/>
        <v>0.13524607160075974</v>
      </c>
      <c r="BJ122" s="862">
        <f t="shared" ca="1" si="230"/>
        <v>0.3562494210373206</v>
      </c>
      <c r="BK122" s="862">
        <f t="shared" ca="1" si="230"/>
        <v>-0.42818919678720002</v>
      </c>
      <c r="BL122" s="862">
        <f t="shared" ca="1" si="230"/>
        <v>0.62019462790370139</v>
      </c>
      <c r="BM122" s="862">
        <f t="shared" ca="1" si="230"/>
        <v>0.5213652388449721</v>
      </c>
      <c r="BN122" s="862">
        <f t="shared" ca="1" si="230"/>
        <v>-2.4634859790006791E-2</v>
      </c>
      <c r="BO122" s="862">
        <f t="shared" ca="1" si="230"/>
        <v>0.27538773851837783</v>
      </c>
      <c r="BP122" s="862" t="e">
        <f t="shared" ca="1" si="230"/>
        <v>#REF!</v>
      </c>
      <c r="BQ122" s="862" t="e">
        <f t="shared" si="230"/>
        <v>#REF!</v>
      </c>
      <c r="BR122" s="863" t="e">
        <f t="shared" si="230"/>
        <v>#REF!</v>
      </c>
      <c r="BS122" s="862" t="e">
        <f t="shared" ca="1" si="230"/>
        <v>#REF!</v>
      </c>
      <c r="BT122" s="862" t="e">
        <f t="shared" ca="1" si="230"/>
        <v>#REF!</v>
      </c>
      <c r="BU122" s="862" t="str">
        <f t="shared" ca="1" si="230"/>
        <v>NMF</v>
      </c>
      <c r="BV122" s="862" t="str">
        <f t="shared" ca="1" si="230"/>
        <v>NMF</v>
      </c>
      <c r="BW122" s="862" t="str">
        <f t="shared" ca="1" si="230"/>
        <v>NMF</v>
      </c>
      <c r="BX122" s="186"/>
    </row>
    <row r="123" spans="1:76" s="72" customFormat="1" x14ac:dyDescent="0.35">
      <c r="A123" s="197" t="s">
        <v>346</v>
      </c>
      <c r="B123" s="187"/>
      <c r="C123" s="83"/>
      <c r="D123" s="83"/>
      <c r="E123" s="83"/>
      <c r="F123" s="83"/>
      <c r="G123" s="83" t="str">
        <f t="shared" ref="G123:BB123" ca="1" si="231">IF(OR(INDEX(SP_CFA_FCF_PreDiv,0,COLUMN())&lt;=0,C73&lt;=0),"NMF",IF(ABS((INDEX(SP_CFA_FCF_PreDiv,0,COLUMN())/INDEX(SP_GF_ShareCount,0,COLUMN()))/(C73/C52)-1)&gt;10,"NMF",(INDEX(SP_CFA_FCF_PreDiv,0,COLUMN())/INDEX(SP_GF_ShareCount,0,COLUMN()))/(C73/C52)-1))</f>
        <v>NMF</v>
      </c>
      <c r="H123" s="83">
        <f t="shared" ca="1" si="231"/>
        <v>-0.66213582682291783</v>
      </c>
      <c r="I123" s="83">
        <f t="shared" ca="1" si="231"/>
        <v>1.9433938468235414</v>
      </c>
      <c r="J123" s="83">
        <f t="shared" ca="1" si="231"/>
        <v>0.27613358617843131</v>
      </c>
      <c r="K123" s="83" t="str">
        <f t="shared" ca="1" si="231"/>
        <v>NMF</v>
      </c>
      <c r="L123" s="83">
        <f t="shared" ca="1" si="231"/>
        <v>0.75602223244206179</v>
      </c>
      <c r="M123" s="83">
        <f t="shared" ca="1" si="231"/>
        <v>-0.46460480640250346</v>
      </c>
      <c r="N123" s="83">
        <f t="shared" ca="1" si="231"/>
        <v>1.1362658860335362</v>
      </c>
      <c r="O123" s="83" t="str">
        <f t="shared" ca="1" si="231"/>
        <v>NMF</v>
      </c>
      <c r="P123" s="83">
        <f t="shared" ca="1" si="231"/>
        <v>0.13431243195579889</v>
      </c>
      <c r="Q123" s="83">
        <f t="shared" ca="1" si="231"/>
        <v>0.29230662726777901</v>
      </c>
      <c r="R123" s="83">
        <f t="shared" ca="1" si="231"/>
        <v>-0.3280484566896783</v>
      </c>
      <c r="S123" s="83" t="str">
        <f t="shared" ca="1" si="231"/>
        <v>NMF</v>
      </c>
      <c r="T123" s="83">
        <f t="shared" ca="1" si="231"/>
        <v>1.3073027721099781</v>
      </c>
      <c r="U123" s="83">
        <f t="shared" ca="1" si="231"/>
        <v>-0.46445187652304498</v>
      </c>
      <c r="V123" s="83">
        <f t="shared" ca="1" si="231"/>
        <v>-0.10160959138104209</v>
      </c>
      <c r="W123" s="83" t="str">
        <f t="shared" ca="1" si="231"/>
        <v>NMF</v>
      </c>
      <c r="X123" s="83">
        <f t="shared" ca="1" si="231"/>
        <v>-0.217731038972793</v>
      </c>
      <c r="Y123" s="83">
        <f t="shared" ca="1" si="231"/>
        <v>1.5284488977688993</v>
      </c>
      <c r="Z123" s="83">
        <f t="shared" ca="1" si="231"/>
        <v>7.4298677858321227E-2</v>
      </c>
      <c r="AA123" s="83" t="str">
        <f t="shared" ca="1" si="231"/>
        <v>NMF</v>
      </c>
      <c r="AB123" s="83">
        <f t="shared" ca="1" si="231"/>
        <v>0.32046267962797348</v>
      </c>
      <c r="AC123" s="83">
        <f t="shared" ca="1" si="231"/>
        <v>-0.18564006489260687</v>
      </c>
      <c r="AD123" s="83">
        <f t="shared" ca="1" si="231"/>
        <v>0.35098033385729166</v>
      </c>
      <c r="AE123" s="83" t="str">
        <f t="shared" ca="1" si="231"/>
        <v>NMF</v>
      </c>
      <c r="AF123" s="83">
        <f t="shared" ca="1" si="231"/>
        <v>-0.12003162912149024</v>
      </c>
      <c r="AG123" s="83">
        <f t="shared" ca="1" si="231"/>
        <v>-0.6024768709459174</v>
      </c>
      <c r="AH123" s="83">
        <f t="shared" ca="1" si="231"/>
        <v>0.21854173583771797</v>
      </c>
      <c r="AI123" s="83" t="str">
        <f t="shared" ca="1" si="231"/>
        <v>NMF</v>
      </c>
      <c r="AJ123" s="83">
        <f t="shared" ca="1" si="231"/>
        <v>-0.5878814584568377</v>
      </c>
      <c r="AK123" s="83">
        <f t="shared" ca="1" si="231"/>
        <v>4.1555726289227612</v>
      </c>
      <c r="AL123" s="83">
        <f t="shared" ca="1" si="231"/>
        <v>0.51010695639762127</v>
      </c>
      <c r="AM123" s="83" t="str">
        <f t="shared" ca="1" si="231"/>
        <v>NMF</v>
      </c>
      <c r="AN123" s="83">
        <f t="shared" ca="1" si="231"/>
        <v>3.345992053292048</v>
      </c>
      <c r="AO123" s="83">
        <f t="shared" ca="1" si="231"/>
        <v>-7.3859240775963508E-2</v>
      </c>
      <c r="AP123" s="83">
        <f t="shared" ca="1" si="231"/>
        <v>-6.4238818914003071E-3</v>
      </c>
      <c r="AQ123" s="83" t="str">
        <f t="shared" ca="1" si="231"/>
        <v>NMF</v>
      </c>
      <c r="AR123" s="83">
        <f t="shared" ca="1" si="231"/>
        <v>0.37578406054197244</v>
      </c>
      <c r="AS123" s="83">
        <f t="shared" ca="1" si="231"/>
        <v>-7.6962385982623061E-2</v>
      </c>
      <c r="AT123" s="83">
        <f t="shared" ca="1" si="231"/>
        <v>-0.25487522070737434</v>
      </c>
      <c r="AU123" s="518" t="str">
        <f t="shared" ca="1" si="231"/>
        <v>NMF</v>
      </c>
      <c r="AV123" s="83">
        <f t="shared" ca="1" si="231"/>
        <v>0.146195209204524</v>
      </c>
      <c r="AW123" s="83">
        <f t="shared" ca="1" si="231"/>
        <v>0.17325834172022425</v>
      </c>
      <c r="AX123" s="83">
        <f t="shared" ca="1" si="231"/>
        <v>9.5801927370271711E-2</v>
      </c>
      <c r="AY123" s="83" t="str">
        <f t="shared" ca="1" si="231"/>
        <v>NMF</v>
      </c>
      <c r="AZ123" s="83" t="str">
        <f t="shared" ca="1" si="231"/>
        <v>NMF</v>
      </c>
      <c r="BA123" s="83">
        <f t="shared" ca="1" si="231"/>
        <v>-0.47575220356912873</v>
      </c>
      <c r="BB123" s="83">
        <f t="shared" ca="1" si="231"/>
        <v>-0.72158452840695553</v>
      </c>
      <c r="BC123" s="83"/>
      <c r="BD123" s="862"/>
      <c r="BE123" s="862">
        <f t="shared" ref="BE123:BW123" ca="1" si="232">IF(OR(INDEX(SP_CFA_FCF_PreDiv,0,COLUMN())&lt;=0,BD73&lt;=0),"NMF",IF(ABS((INDEX(SP_CFA_FCF_PreDiv,0,COLUMN())/INDEX(SP_GF_ShareCount,0,COLUMN()))/(BD73/BD52)-1)&gt;10,"NMF",(INDEX(SP_CFA_FCF_PreDiv,0,COLUMN())/INDEX(SP_GF_ShareCount,0,COLUMN()))/(BD73/BD52)-1))</f>
        <v>0.62642594884205982</v>
      </c>
      <c r="BF123" s="862">
        <f t="shared" ca="1" si="232"/>
        <v>-0.17237180607620339</v>
      </c>
      <c r="BG123" s="862">
        <f t="shared" ca="1" si="232"/>
        <v>-2.2682987380773567E-2</v>
      </c>
      <c r="BH123" s="862">
        <f t="shared" ca="1" si="232"/>
        <v>-0.32339864845811073</v>
      </c>
      <c r="BI123" s="862">
        <f t="shared" ca="1" si="232"/>
        <v>0.45007121587406607</v>
      </c>
      <c r="BJ123" s="862">
        <f t="shared" ca="1" si="232"/>
        <v>0.53086634924963017</v>
      </c>
      <c r="BK123" s="862">
        <f t="shared" ca="1" si="232"/>
        <v>-0.61734704941799934</v>
      </c>
      <c r="BL123" s="862">
        <f t="shared" ca="1" si="232"/>
        <v>1.2454557660040622</v>
      </c>
      <c r="BM123" s="862">
        <f t="shared" ca="1" si="232"/>
        <v>0.67765422328535729</v>
      </c>
      <c r="BN123" s="862">
        <f t="shared" ca="1" si="232"/>
        <v>-2.5651744597499193E-2</v>
      </c>
      <c r="BO123" s="862">
        <f t="shared" ca="1" si="232"/>
        <v>0.39657621342787075</v>
      </c>
      <c r="BP123" s="862" t="e">
        <f t="shared" ca="1" si="232"/>
        <v>#REF!</v>
      </c>
      <c r="BQ123" s="862" t="e">
        <f t="shared" si="232"/>
        <v>#REF!</v>
      </c>
      <c r="BR123" s="863" t="e">
        <f t="shared" si="232"/>
        <v>#REF!</v>
      </c>
      <c r="BS123" s="862" t="e">
        <f t="shared" ca="1" si="232"/>
        <v>#REF!</v>
      </c>
      <c r="BT123" s="862" t="e">
        <f t="shared" ca="1" si="232"/>
        <v>#REF!</v>
      </c>
      <c r="BU123" s="862" t="str">
        <f t="shared" ca="1" si="232"/>
        <v>NMF</v>
      </c>
      <c r="BV123" s="862" t="str">
        <f t="shared" ca="1" si="232"/>
        <v>NMF</v>
      </c>
      <c r="BW123" s="862" t="str">
        <f t="shared" ca="1" si="232"/>
        <v>NMF</v>
      </c>
      <c r="BX123" s="186"/>
    </row>
    <row r="124" spans="1:76" x14ac:dyDescent="0.35">
      <c r="A124" s="165"/>
      <c r="B124" s="170"/>
      <c r="C124" s="544"/>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4"/>
      <c r="AT124" s="544"/>
      <c r="AU124" s="617"/>
      <c r="AV124" s="544"/>
      <c r="AW124" s="544"/>
      <c r="AX124" s="544"/>
      <c r="AY124" s="544"/>
      <c r="AZ124" s="544"/>
      <c r="BA124" s="544"/>
      <c r="BB124" s="544"/>
      <c r="BC124" s="544"/>
      <c r="BD124" s="853"/>
      <c r="BE124" s="853"/>
      <c r="BF124" s="853"/>
      <c r="BG124" s="853"/>
      <c r="BH124" s="853"/>
      <c r="BI124" s="853"/>
      <c r="BJ124" s="853"/>
      <c r="BK124" s="853"/>
      <c r="BL124" s="853"/>
      <c r="BM124" s="853"/>
      <c r="BN124" s="853"/>
      <c r="BO124" s="853"/>
      <c r="BP124" s="853"/>
      <c r="BQ124" s="853"/>
      <c r="BR124" s="854"/>
      <c r="BS124" s="853"/>
      <c r="BT124" s="853"/>
      <c r="BU124" s="853"/>
      <c r="BV124" s="853"/>
      <c r="BW124" s="853"/>
      <c r="BX124" s="544"/>
    </row>
    <row r="125" spans="1:76" x14ac:dyDescent="0.35">
      <c r="A125" s="117" t="s">
        <v>347</v>
      </c>
      <c r="B125" s="545"/>
      <c r="C125" s="545"/>
      <c r="D125" s="545"/>
      <c r="E125" s="545"/>
      <c r="F125" s="545"/>
      <c r="G125" s="545"/>
      <c r="H125" s="545"/>
      <c r="I125" s="545"/>
      <c r="J125" s="545"/>
      <c r="K125" s="545"/>
      <c r="L125" s="545"/>
      <c r="M125" s="545"/>
      <c r="N125" s="545"/>
      <c r="O125" s="545"/>
      <c r="P125" s="545"/>
      <c r="Q125" s="545"/>
      <c r="R125" s="545"/>
      <c r="S125" s="545"/>
      <c r="T125" s="545"/>
      <c r="U125" s="545"/>
      <c r="V125" s="545"/>
      <c r="W125" s="545"/>
      <c r="X125" s="545"/>
      <c r="Y125" s="545"/>
      <c r="Z125" s="545"/>
      <c r="AA125" s="545"/>
      <c r="AB125" s="545"/>
      <c r="AC125" s="545"/>
      <c r="AD125" s="545"/>
      <c r="AE125" s="545"/>
      <c r="AF125" s="545"/>
      <c r="AG125" s="545"/>
      <c r="AH125" s="545"/>
      <c r="AI125" s="545"/>
      <c r="AJ125" s="545"/>
      <c r="AK125" s="545"/>
      <c r="AL125" s="545"/>
      <c r="AM125" s="545"/>
      <c r="AN125" s="545"/>
      <c r="AO125" s="545"/>
      <c r="AP125" s="545"/>
      <c r="AQ125" s="545"/>
      <c r="AR125" s="545"/>
      <c r="AS125" s="545"/>
      <c r="AT125" s="545"/>
      <c r="AU125" s="618"/>
      <c r="AV125" s="545"/>
      <c r="AW125" s="545"/>
      <c r="AX125" s="545"/>
      <c r="AY125" s="545"/>
      <c r="AZ125" s="545"/>
      <c r="BA125" s="545"/>
      <c r="BB125" s="545"/>
      <c r="BC125" s="545"/>
      <c r="BD125" s="545"/>
      <c r="BE125" s="545"/>
      <c r="BF125" s="545"/>
      <c r="BG125" s="545"/>
      <c r="BH125" s="545"/>
      <c r="BI125" s="545"/>
      <c r="BJ125" s="545"/>
      <c r="BK125" s="545"/>
      <c r="BL125" s="545"/>
      <c r="BM125" s="545"/>
      <c r="BN125" s="545"/>
      <c r="BO125" s="545"/>
      <c r="BP125" s="545"/>
      <c r="BQ125" s="545"/>
      <c r="BR125" s="618"/>
      <c r="BS125" s="545"/>
      <c r="BT125" s="545"/>
      <c r="BU125" s="545"/>
      <c r="BV125" s="545"/>
      <c r="BW125" s="545"/>
      <c r="BX125" s="543"/>
    </row>
    <row r="126" spans="1:76" s="71" customFormat="1" x14ac:dyDescent="0.35">
      <c r="A126" s="198" t="str">
        <f>"P/E - "&amp;SP.ValuationToggle</f>
        <v>P/E - EoP</v>
      </c>
      <c r="B126" s="199"/>
      <c r="C126" s="89"/>
      <c r="D126" s="89"/>
      <c r="E126" s="89"/>
      <c r="F126" s="89"/>
      <c r="G126" s="89"/>
      <c r="H126" s="89"/>
      <c r="I126" s="89"/>
      <c r="J126" s="89"/>
      <c r="K126" s="89"/>
      <c r="L126" s="89"/>
      <c r="M126" s="89"/>
      <c r="N126" s="89"/>
      <c r="O126" s="89"/>
      <c r="P126" s="90"/>
      <c r="Q126" s="90"/>
      <c r="R126" s="90"/>
      <c r="S126" s="90"/>
      <c r="T126" s="90"/>
      <c r="U126" s="90"/>
      <c r="V126" s="90"/>
      <c r="W126" s="90"/>
      <c r="X126" s="90"/>
      <c r="Y126" s="90"/>
      <c r="Z126" s="90"/>
      <c r="AA126" s="90"/>
      <c r="AB126" s="90"/>
      <c r="AC126" s="90"/>
      <c r="AD126" s="90"/>
      <c r="AE126" s="90"/>
      <c r="AF126" s="90"/>
      <c r="AG126" s="90"/>
      <c r="AH126" s="90"/>
      <c r="AI126" s="90"/>
      <c r="AJ126" s="90"/>
      <c r="AK126" s="90"/>
      <c r="AL126" s="90"/>
      <c r="AM126" s="90"/>
      <c r="AN126" s="90"/>
      <c r="AO126" s="90"/>
      <c r="AP126" s="90"/>
      <c r="AQ126" s="90"/>
      <c r="AR126" s="90"/>
      <c r="AS126" s="90"/>
      <c r="AT126" s="90"/>
      <c r="AU126" s="524"/>
      <c r="AV126" s="90"/>
      <c r="AW126" s="90"/>
      <c r="AX126" s="90"/>
      <c r="AY126" s="90"/>
      <c r="AZ126" s="90"/>
      <c r="BA126" s="90"/>
      <c r="BB126" s="90"/>
      <c r="BC126" s="90"/>
      <c r="BD126" s="874">
        <f t="shared" ref="BD126:BW126" si="233">INDEX(SP_CS_StockPrice,0,COLUMN())/INDEX(SP_NGF_EPS,0,COLUMN())</f>
        <v>39.232398880425606</v>
      </c>
      <c r="BE126" s="874">
        <f t="shared" si="233"/>
        <v>48.677864751020564</v>
      </c>
      <c r="BF126" s="874">
        <f t="shared" si="233"/>
        <v>45.199818893338104</v>
      </c>
      <c r="BG126" s="874">
        <f t="shared" si="233"/>
        <v>51.986850129496162</v>
      </c>
      <c r="BH126" s="874">
        <f t="shared" si="233"/>
        <v>1579.1615078050106</v>
      </c>
      <c r="BI126" s="874">
        <f t="shared" si="233"/>
        <v>24.085440596669066</v>
      </c>
      <c r="BJ126" s="874">
        <f t="shared" si="233"/>
        <v>33.463177403316458</v>
      </c>
      <c r="BK126" s="874">
        <f t="shared" si="233"/>
        <v>44.336951982371474</v>
      </c>
      <c r="BL126" s="874">
        <f t="shared" si="233"/>
        <v>19.120400909714366</v>
      </c>
      <c r="BM126" s="874">
        <f t="shared" si="233"/>
        <v>16.36571787958556</v>
      </c>
      <c r="BN126" s="874">
        <f t="shared" si="233"/>
        <v>12.559066954527191</v>
      </c>
      <c r="BO126" s="874">
        <f t="shared" ca="1" si="233"/>
        <v>14.639904659740488</v>
      </c>
      <c r="BP126" s="874" t="e">
        <f t="shared" ca="1" si="233"/>
        <v>#REF!</v>
      </c>
      <c r="BQ126" s="874" t="e">
        <f t="shared" ca="1" si="233"/>
        <v>#REF!</v>
      </c>
      <c r="BR126" s="875" t="e">
        <f t="shared" ca="1" si="233"/>
        <v>#REF!</v>
      </c>
      <c r="BS126" s="874" t="e">
        <f t="shared" ca="1" si="233"/>
        <v>#REF!</v>
      </c>
      <c r="BT126" s="874" t="e">
        <f t="shared" ca="1" si="233"/>
        <v>#DIV/0!</v>
      </c>
      <c r="BU126" s="874" t="e">
        <f t="shared" ca="1" si="233"/>
        <v>#DIV/0!</v>
      </c>
      <c r="BV126" s="874" t="e">
        <f t="shared" ca="1" si="233"/>
        <v>#DIV/0!</v>
      </c>
      <c r="BW126" s="874" t="e">
        <f t="shared" ca="1" si="233"/>
        <v>#DIV/0!</v>
      </c>
      <c r="BX126" s="90"/>
    </row>
    <row r="127" spans="1:76" s="71" customFormat="1" x14ac:dyDescent="0.35">
      <c r="A127" s="198" t="str">
        <f>"EV/EBITDA - "&amp;SP.ValuationToggle</f>
        <v>EV/EBITDA - EoP</v>
      </c>
      <c r="B127" s="199"/>
      <c r="C127" s="89"/>
      <c r="D127" s="89"/>
      <c r="E127" s="89"/>
      <c r="F127" s="89"/>
      <c r="G127" s="89"/>
      <c r="H127" s="89"/>
      <c r="I127" s="89"/>
      <c r="J127" s="89"/>
      <c r="K127" s="89"/>
      <c r="L127" s="89"/>
      <c r="M127" s="89"/>
      <c r="N127" s="89"/>
      <c r="O127" s="89"/>
      <c r="P127" s="90"/>
      <c r="Q127" s="90"/>
      <c r="R127" s="90"/>
      <c r="S127" s="90"/>
      <c r="T127" s="90"/>
      <c r="U127" s="90"/>
      <c r="V127" s="90"/>
      <c r="W127" s="90"/>
      <c r="X127" s="90"/>
      <c r="Y127" s="90"/>
      <c r="Z127" s="90"/>
      <c r="AA127" s="90"/>
      <c r="AB127" s="90"/>
      <c r="AC127" s="90"/>
      <c r="AD127" s="90"/>
      <c r="AE127" s="90"/>
      <c r="AF127" s="90"/>
      <c r="AG127" s="90"/>
      <c r="AH127" s="90"/>
      <c r="AI127" s="90"/>
      <c r="AJ127" s="90"/>
      <c r="AK127" s="90"/>
      <c r="AL127" s="90"/>
      <c r="AM127" s="90"/>
      <c r="AN127" s="90"/>
      <c r="AO127" s="90"/>
      <c r="AP127" s="90"/>
      <c r="AQ127" s="90"/>
      <c r="AR127" s="90"/>
      <c r="AS127" s="90"/>
      <c r="AT127" s="90"/>
      <c r="AU127" s="524"/>
      <c r="AV127" s="90"/>
      <c r="AW127" s="90"/>
      <c r="AX127" s="90"/>
      <c r="AY127" s="90"/>
      <c r="AZ127" s="90"/>
      <c r="BA127" s="90"/>
      <c r="BB127" s="90"/>
      <c r="BC127" s="90"/>
      <c r="BD127" s="874">
        <f t="shared" ref="BD127:BW127" si="234">INDEX(SP_CS_EV,0,COLUMN())/INDEX(SP_NGF_EBITDA,0,COLUMN())</f>
        <v>7.9753263941279808</v>
      </c>
      <c r="BE127" s="874">
        <f t="shared" si="234"/>
        <v>6.1369598860182979</v>
      </c>
      <c r="BF127" s="874">
        <f t="shared" si="234"/>
        <v>2.8498705837590159</v>
      </c>
      <c r="BG127" s="874">
        <f t="shared" si="234"/>
        <v>3.098567280531983</v>
      </c>
      <c r="BH127" s="874">
        <f t="shared" si="234"/>
        <v>4.9536114566345804</v>
      </c>
      <c r="BI127" s="874">
        <f t="shared" si="234"/>
        <v>3.7501952582591964</v>
      </c>
      <c r="BJ127" s="874">
        <f t="shared" si="234"/>
        <v>7.7920812266962196</v>
      </c>
      <c r="BK127" s="874">
        <f t="shared" si="234"/>
        <v>9.0392468949803693</v>
      </c>
      <c r="BL127" s="874">
        <f t="shared" si="234"/>
        <v>6.2382221267707818</v>
      </c>
      <c r="BM127" s="874">
        <f t="shared" si="234"/>
        <v>7.2185253600720589</v>
      </c>
      <c r="BN127" s="874">
        <f t="shared" si="234"/>
        <v>5.9157372695043868</v>
      </c>
      <c r="BO127" s="874">
        <f t="shared" ca="1" si="234"/>
        <v>6.4857416166092401</v>
      </c>
      <c r="BP127" s="874" t="e">
        <f t="shared" ca="1" si="234"/>
        <v>#REF!</v>
      </c>
      <c r="BQ127" s="874" t="e">
        <f t="shared" ca="1" si="234"/>
        <v>#REF!</v>
      </c>
      <c r="BR127" s="875" t="e">
        <f t="shared" ca="1" si="234"/>
        <v>#REF!</v>
      </c>
      <c r="BS127" s="874" t="e">
        <f t="shared" ca="1" si="234"/>
        <v>#REF!</v>
      </c>
      <c r="BT127" s="874" t="e">
        <f t="shared" ca="1" si="234"/>
        <v>#DIV/0!</v>
      </c>
      <c r="BU127" s="874" t="e">
        <f t="shared" ca="1" si="234"/>
        <v>#DIV/0!</v>
      </c>
      <c r="BV127" s="874" t="e">
        <f t="shared" ca="1" si="234"/>
        <v>#DIV/0!</v>
      </c>
      <c r="BW127" s="874" t="e">
        <f t="shared" ca="1" si="234"/>
        <v>#DIV/0!</v>
      </c>
      <c r="BX127" s="90"/>
    </row>
    <row r="128" spans="1:76" s="71" customFormat="1" x14ac:dyDescent="0.35">
      <c r="A128" s="198" t="str">
        <f>"P/CF - "&amp;SP.ValuationToggle</f>
        <v>P/CF - EoP</v>
      </c>
      <c r="B128" s="199"/>
      <c r="C128" s="89"/>
      <c r="D128" s="89"/>
      <c r="E128" s="89"/>
      <c r="F128" s="89"/>
      <c r="G128" s="89"/>
      <c r="H128" s="89"/>
      <c r="I128" s="89"/>
      <c r="J128" s="89"/>
      <c r="K128" s="89"/>
      <c r="L128" s="89"/>
      <c r="M128" s="89"/>
      <c r="N128" s="89"/>
      <c r="O128" s="89"/>
      <c r="P128" s="90"/>
      <c r="Q128" s="90"/>
      <c r="R128" s="90"/>
      <c r="S128" s="90"/>
      <c r="T128" s="90"/>
      <c r="U128" s="90"/>
      <c r="V128" s="90"/>
      <c r="W128" s="90"/>
      <c r="X128" s="90"/>
      <c r="Y128" s="90"/>
      <c r="Z128" s="90"/>
      <c r="AA128" s="90"/>
      <c r="AB128" s="90"/>
      <c r="AC128" s="90"/>
      <c r="AD128" s="90"/>
      <c r="AE128" s="90"/>
      <c r="AF128" s="90"/>
      <c r="AG128" s="90"/>
      <c r="AH128" s="90"/>
      <c r="AI128" s="90"/>
      <c r="AJ128" s="90"/>
      <c r="AK128" s="90"/>
      <c r="AL128" s="90"/>
      <c r="AM128" s="90"/>
      <c r="AN128" s="90"/>
      <c r="AO128" s="90"/>
      <c r="AP128" s="90"/>
      <c r="AQ128" s="90"/>
      <c r="AR128" s="90"/>
      <c r="AS128" s="90"/>
      <c r="AT128" s="90"/>
      <c r="AU128" s="524"/>
      <c r="AV128" s="90"/>
      <c r="AW128" s="90"/>
      <c r="AX128" s="90"/>
      <c r="AY128" s="90"/>
      <c r="AZ128" s="90"/>
      <c r="BA128" s="90"/>
      <c r="BB128" s="90"/>
      <c r="BC128" s="90"/>
      <c r="BD128" s="874">
        <f t="shared" ref="BD128:BW128" ca="1" si="235">INDEX(SP_CS_StockPrice,0,COLUMN())/INDEX(SP_CFA_CFO_PerShare,0,COLUMN())</f>
        <v>10.756148438500206</v>
      </c>
      <c r="BE128" s="874">
        <f t="shared" ca="1" si="235"/>
        <v>7.7648152899335088</v>
      </c>
      <c r="BF128" s="874">
        <f t="shared" ca="1" si="235"/>
        <v>4.1358671774159959</v>
      </c>
      <c r="BG128" s="874">
        <f t="shared" ca="1" si="235"/>
        <v>3.8570282885250213</v>
      </c>
      <c r="BH128" s="874">
        <f t="shared" ca="1" si="235"/>
        <v>8.0267992067892902</v>
      </c>
      <c r="BI128" s="874">
        <f t="shared" ca="1" si="235"/>
        <v>6.4195612077933362</v>
      </c>
      <c r="BJ128" s="874">
        <f t="shared" ca="1" si="235"/>
        <v>8.7929280397723275</v>
      </c>
      <c r="BK128" s="874">
        <f t="shared" ca="1" si="235"/>
        <v>13.511426292109682</v>
      </c>
      <c r="BL128" s="874">
        <f t="shared" ca="1" si="235"/>
        <v>10.183911780842342</v>
      </c>
      <c r="BM128" s="874">
        <f t="shared" ca="1" si="235"/>
        <v>8.4746010152549278</v>
      </c>
      <c r="BN128" s="874">
        <f t="shared" ca="1" si="235"/>
        <v>7.8431264943145438</v>
      </c>
      <c r="BO128" s="874">
        <f t="shared" ca="1" si="235"/>
        <v>8.9778576515270441</v>
      </c>
      <c r="BP128" s="874" t="e">
        <f t="shared" ca="1" si="235"/>
        <v>#REF!</v>
      </c>
      <c r="BQ128" s="874" t="e">
        <f t="shared" ca="1" si="235"/>
        <v>#REF!</v>
      </c>
      <c r="BR128" s="875" t="e">
        <f t="shared" ca="1" si="235"/>
        <v>#REF!</v>
      </c>
      <c r="BS128" s="874" t="e">
        <f t="shared" ca="1" si="235"/>
        <v>#REF!</v>
      </c>
      <c r="BT128" s="874" t="e">
        <f t="shared" ca="1" si="235"/>
        <v>#DIV/0!</v>
      </c>
      <c r="BU128" s="874" t="e">
        <f t="shared" ca="1" si="235"/>
        <v>#DIV/0!</v>
      </c>
      <c r="BV128" s="874" t="e">
        <f t="shared" ca="1" si="235"/>
        <v>#DIV/0!</v>
      </c>
      <c r="BW128" s="874" t="e">
        <f t="shared" ca="1" si="235"/>
        <v>#DIV/0!</v>
      </c>
      <c r="BX128" s="90"/>
    </row>
    <row r="129" spans="1:76" s="72" customFormat="1" x14ac:dyDescent="0.35">
      <c r="A129" s="197" t="str">
        <f>"FCF Yield % to "&amp;SP.ValuationToggle&amp;" Market Cap"</f>
        <v>FCF Yield % to EoP Market Cap</v>
      </c>
      <c r="B129" s="187"/>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518"/>
      <c r="AV129" s="83"/>
      <c r="AW129" s="83"/>
      <c r="AX129" s="83"/>
      <c r="AY129" s="83"/>
      <c r="AZ129" s="83"/>
      <c r="BA129" s="83"/>
      <c r="BB129" s="83"/>
      <c r="BC129" s="83"/>
      <c r="BD129" s="862">
        <f t="shared" ref="BD129:BW129" ca="1" si="236">INDEX(SP_CFA_FCF_PreDiv,0,COLUMN())/INDEX(SP_CS_MarketCap,0,COLUMN())</f>
        <v>3.9769120351273744E-2</v>
      </c>
      <c r="BE129" s="862">
        <f t="shared" ca="1" si="236"/>
        <v>7.7198164221874185E-2</v>
      </c>
      <c r="BF129" s="862">
        <f t="shared" ca="1" si="236"/>
        <v>0.11471011182086797</v>
      </c>
      <c r="BG129" s="862">
        <f t="shared" ca="1" si="236"/>
        <v>0.11881316476345184</v>
      </c>
      <c r="BH129" s="862">
        <f t="shared" ca="1" si="236"/>
        <v>5.3776536719170619E-2</v>
      </c>
      <c r="BI129" s="862">
        <f t="shared" ca="1" si="236"/>
        <v>9.1109599400712935E-2</v>
      </c>
      <c r="BJ129" s="862">
        <f t="shared" ca="1" si="236"/>
        <v>7.1653782606166769E-2</v>
      </c>
      <c r="BK129" s="862">
        <f t="shared" ca="1" si="236"/>
        <v>3.1162159992026768E-2</v>
      </c>
      <c r="BL129" s="862">
        <f t="shared" ca="1" si="236"/>
        <v>5.780378285614575E-2</v>
      </c>
      <c r="BM129" s="862">
        <f t="shared" ca="1" si="236"/>
        <v>7.757276542094764E-2</v>
      </c>
      <c r="BN129" s="862">
        <f t="shared" ca="1" si="236"/>
        <v>8.436886897462359E-2</v>
      </c>
      <c r="BO129" s="862">
        <f t="shared" ca="1" si="236"/>
        <v>8.1952459751689341E-2</v>
      </c>
      <c r="BP129" s="862" t="e">
        <f t="shared" ca="1" si="236"/>
        <v>#REF!</v>
      </c>
      <c r="BQ129" s="862" t="e">
        <f t="shared" ca="1" si="236"/>
        <v>#REF!</v>
      </c>
      <c r="BR129" s="863" t="e">
        <f t="shared" ca="1" si="236"/>
        <v>#REF!</v>
      </c>
      <c r="BS129" s="862" t="e">
        <f t="shared" ca="1" si="236"/>
        <v>#REF!</v>
      </c>
      <c r="BT129" s="862" t="e">
        <f t="shared" ca="1" si="236"/>
        <v>#DIV/0!</v>
      </c>
      <c r="BU129" s="862" t="e">
        <f t="shared" ca="1" si="236"/>
        <v>#DIV/0!</v>
      </c>
      <c r="BV129" s="862" t="e">
        <f t="shared" ca="1" si="236"/>
        <v>#DIV/0!</v>
      </c>
      <c r="BW129" s="862" t="e">
        <f t="shared" ca="1" si="236"/>
        <v>#DIV/0!</v>
      </c>
      <c r="BX129" s="186"/>
    </row>
    <row r="130" spans="1:76" s="72" customFormat="1" x14ac:dyDescent="0.35">
      <c r="A130" s="197" t="str">
        <f>"FCF Yield % to "&amp;SP.ValuationToggle&amp;" Enterprise Value"</f>
        <v>FCF Yield % to EoP Enterprise Value</v>
      </c>
      <c r="B130" s="187"/>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518"/>
      <c r="AV130" s="83"/>
      <c r="AW130" s="83"/>
      <c r="AX130" s="83"/>
      <c r="AY130" s="83"/>
      <c r="AZ130" s="83"/>
      <c r="BA130" s="83"/>
      <c r="BB130" s="83"/>
      <c r="BC130" s="83"/>
      <c r="BD130" s="862">
        <f t="shared" ref="BD130:BW130" ca="1" si="237">INDEX(SP_CFA_FCF_PreDiv,0,COLUMN())/INDEX(SP_CS_EV,0,COLUMN())</f>
        <v>4.4794282108087891E-2</v>
      </c>
      <c r="BE130" s="862">
        <f t="shared" ca="1" si="237"/>
        <v>9.077055755019893E-2</v>
      </c>
      <c r="BF130" s="862">
        <f t="shared" ca="1" si="237"/>
        <v>0.16573590778439437</v>
      </c>
      <c r="BG130" s="862">
        <f t="shared" ca="1" si="237"/>
        <v>0.18859297492414412</v>
      </c>
      <c r="BH130" s="862">
        <f t="shared" ca="1" si="237"/>
        <v>7.4328548871140071E-2</v>
      </c>
      <c r="BI130" s="862">
        <f t="shared" ca="1" si="237"/>
        <v>0.13247790466519405</v>
      </c>
      <c r="BJ130" s="862">
        <f t="shared" ca="1" si="237"/>
        <v>8.9552873885052953E-2</v>
      </c>
      <c r="BK130" s="862">
        <f t="shared" ca="1" si="237"/>
        <v>3.0573802254952296E-2</v>
      </c>
      <c r="BL130" s="862">
        <f t="shared" ca="1" si="237"/>
        <v>5.472495749994688E-2</v>
      </c>
      <c r="BM130" s="862">
        <f t="shared" ca="1" si="237"/>
        <v>7.0636778516627849E-2</v>
      </c>
      <c r="BN130" s="862">
        <f t="shared" ca="1" si="237"/>
        <v>7.7964491434135405E-2</v>
      </c>
      <c r="BO130" s="862">
        <f t="shared" ca="1" si="237"/>
        <v>8.3835666901843381E-2</v>
      </c>
      <c r="BP130" s="862" t="e">
        <f t="shared" ca="1" si="237"/>
        <v>#REF!</v>
      </c>
      <c r="BQ130" s="862" t="e">
        <f t="shared" ca="1" si="237"/>
        <v>#REF!</v>
      </c>
      <c r="BR130" s="863" t="e">
        <f t="shared" ca="1" si="237"/>
        <v>#REF!</v>
      </c>
      <c r="BS130" s="862" t="e">
        <f t="shared" ca="1" si="237"/>
        <v>#REF!</v>
      </c>
      <c r="BT130" s="862" t="e">
        <f t="shared" ca="1" si="237"/>
        <v>#DIV/0!</v>
      </c>
      <c r="BU130" s="862" t="e">
        <f t="shared" ca="1" si="237"/>
        <v>#DIV/0!</v>
      </c>
      <c r="BV130" s="862" t="e">
        <f t="shared" ca="1" si="237"/>
        <v>#DIV/0!</v>
      </c>
      <c r="BW130" s="862" t="e">
        <f t="shared" ca="1" si="237"/>
        <v>#DIV/0!</v>
      </c>
      <c r="BX130" s="186"/>
    </row>
    <row r="131" spans="1:76" s="72" customFormat="1" x14ac:dyDescent="0.35">
      <c r="A131" s="197"/>
      <c r="B131" s="187"/>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518"/>
      <c r="AV131" s="83"/>
      <c r="AW131" s="83"/>
      <c r="AX131" s="83"/>
      <c r="AY131" s="83"/>
      <c r="AZ131" s="83"/>
      <c r="BA131" s="83"/>
      <c r="BB131" s="83"/>
      <c r="BC131" s="83"/>
      <c r="BD131" s="862"/>
      <c r="BE131" s="862"/>
      <c r="BF131" s="862"/>
      <c r="BG131" s="862"/>
      <c r="BH131" s="862"/>
      <c r="BI131" s="862"/>
      <c r="BJ131" s="862"/>
      <c r="BK131" s="862"/>
      <c r="BL131" s="862"/>
      <c r="BM131" s="862"/>
      <c r="BN131" s="862"/>
      <c r="BO131" s="862"/>
      <c r="BP131" s="862"/>
      <c r="BQ131" s="862"/>
      <c r="BR131" s="863"/>
      <c r="BS131" s="862"/>
      <c r="BT131" s="862"/>
      <c r="BU131" s="862"/>
      <c r="BV131" s="862"/>
      <c r="BW131" s="862"/>
      <c r="BX131" s="186"/>
    </row>
    <row r="132" spans="1:76" x14ac:dyDescent="0.35">
      <c r="A132" s="117" t="s">
        <v>348</v>
      </c>
      <c r="B132" s="545"/>
      <c r="C132" s="545"/>
      <c r="D132" s="545"/>
      <c r="E132" s="545"/>
      <c r="F132" s="545"/>
      <c r="G132" s="545"/>
      <c r="H132" s="545"/>
      <c r="I132" s="545"/>
      <c r="J132" s="545"/>
      <c r="K132" s="545"/>
      <c r="L132" s="545"/>
      <c r="M132" s="545"/>
      <c r="N132" s="545"/>
      <c r="O132" s="545"/>
      <c r="P132" s="545"/>
      <c r="Q132" s="545"/>
      <c r="R132" s="545"/>
      <c r="S132" s="545"/>
      <c r="T132" s="545"/>
      <c r="U132" s="545"/>
      <c r="V132" s="545"/>
      <c r="W132" s="545"/>
      <c r="X132" s="545"/>
      <c r="Y132" s="545"/>
      <c r="Z132" s="545"/>
      <c r="AA132" s="545"/>
      <c r="AB132" s="545"/>
      <c r="AC132" s="545"/>
      <c r="AD132" s="545"/>
      <c r="AE132" s="545"/>
      <c r="AF132" s="545"/>
      <c r="AG132" s="545"/>
      <c r="AH132" s="545"/>
      <c r="AI132" s="545"/>
      <c r="AJ132" s="545"/>
      <c r="AK132" s="545"/>
      <c r="AL132" s="545"/>
      <c r="AM132" s="545"/>
      <c r="AN132" s="545"/>
      <c r="AO132" s="545"/>
      <c r="AP132" s="545"/>
      <c r="AQ132" s="545"/>
      <c r="AR132" s="545"/>
      <c r="AS132" s="545"/>
      <c r="AT132" s="545"/>
      <c r="AU132" s="618"/>
      <c r="AV132" s="545"/>
      <c r="AW132" s="545"/>
      <c r="AX132" s="545"/>
      <c r="AY132" s="545"/>
      <c r="AZ132" s="545"/>
      <c r="BA132" s="545"/>
      <c r="BB132" s="545"/>
      <c r="BC132" s="545"/>
      <c r="BD132" s="545"/>
      <c r="BE132" s="545"/>
      <c r="BF132" s="545"/>
      <c r="BG132" s="545"/>
      <c r="BH132" s="545"/>
      <c r="BI132" s="545"/>
      <c r="BJ132" s="545"/>
      <c r="BK132" s="545"/>
      <c r="BL132" s="545"/>
      <c r="BM132" s="545"/>
      <c r="BN132" s="545"/>
      <c r="BO132" s="545"/>
      <c r="BP132" s="545"/>
      <c r="BQ132" s="545"/>
      <c r="BR132" s="618"/>
      <c r="BS132" s="545"/>
      <c r="BT132" s="545"/>
      <c r="BU132" s="545"/>
      <c r="BV132" s="545"/>
      <c r="BW132" s="545"/>
      <c r="BX132" s="186"/>
    </row>
    <row r="133" spans="1:76" hidden="1" outlineLevel="1" x14ac:dyDescent="0.35">
      <c r="A133" s="543" t="s">
        <v>67</v>
      </c>
      <c r="B133" s="200"/>
      <c r="C133" s="604">
        <f t="shared" ref="C133:AH133" si="238">ROUND(INDEX(SP_GF_EBIT,0,COLUMN())-INDEX(MO_RIS_EBIT,0,COLUMN()),6)</f>
        <v>0</v>
      </c>
      <c r="D133" s="604">
        <f t="shared" si="238"/>
        <v>0</v>
      </c>
      <c r="E133" s="604">
        <f t="shared" si="238"/>
        <v>0</v>
      </c>
      <c r="F133" s="604">
        <f t="shared" si="238"/>
        <v>0</v>
      </c>
      <c r="G133" s="604">
        <f t="shared" si="238"/>
        <v>0</v>
      </c>
      <c r="H133" s="604">
        <f t="shared" si="238"/>
        <v>0</v>
      </c>
      <c r="I133" s="604">
        <f t="shared" si="238"/>
        <v>0</v>
      </c>
      <c r="J133" s="604">
        <f t="shared" si="238"/>
        <v>0</v>
      </c>
      <c r="K133" s="604">
        <f t="shared" si="238"/>
        <v>0</v>
      </c>
      <c r="L133" s="604">
        <f t="shared" si="238"/>
        <v>0</v>
      </c>
      <c r="M133" s="604">
        <f t="shared" si="238"/>
        <v>0</v>
      </c>
      <c r="N133" s="604">
        <f t="shared" si="238"/>
        <v>0</v>
      </c>
      <c r="O133" s="604">
        <f t="shared" si="238"/>
        <v>0</v>
      </c>
      <c r="P133" s="604">
        <f t="shared" si="238"/>
        <v>0</v>
      </c>
      <c r="Q133" s="604">
        <f t="shared" si="238"/>
        <v>0</v>
      </c>
      <c r="R133" s="604">
        <f t="shared" si="238"/>
        <v>0</v>
      </c>
      <c r="S133" s="604">
        <f t="shared" si="238"/>
        <v>0</v>
      </c>
      <c r="T133" s="604">
        <f t="shared" si="238"/>
        <v>0</v>
      </c>
      <c r="U133" s="604">
        <f t="shared" si="238"/>
        <v>0</v>
      </c>
      <c r="V133" s="604">
        <f t="shared" si="238"/>
        <v>0</v>
      </c>
      <c r="W133" s="604">
        <f t="shared" si="238"/>
        <v>0</v>
      </c>
      <c r="X133" s="604">
        <f t="shared" si="238"/>
        <v>0</v>
      </c>
      <c r="Y133" s="604">
        <f t="shared" si="238"/>
        <v>0</v>
      </c>
      <c r="Z133" s="604">
        <f t="shared" si="238"/>
        <v>0</v>
      </c>
      <c r="AA133" s="604">
        <f t="shared" si="238"/>
        <v>0</v>
      </c>
      <c r="AB133" s="604">
        <f t="shared" si="238"/>
        <v>0</v>
      </c>
      <c r="AC133" s="604">
        <f t="shared" si="238"/>
        <v>0</v>
      </c>
      <c r="AD133" s="604">
        <f t="shared" si="238"/>
        <v>0</v>
      </c>
      <c r="AE133" s="604">
        <f t="shared" si="238"/>
        <v>0</v>
      </c>
      <c r="AF133" s="604">
        <f t="shared" si="238"/>
        <v>0</v>
      </c>
      <c r="AG133" s="604">
        <f t="shared" si="238"/>
        <v>0</v>
      </c>
      <c r="AH133" s="604">
        <f t="shared" si="238"/>
        <v>0</v>
      </c>
      <c r="AI133" s="604">
        <f t="shared" ref="AI133:BB133" si="239">ROUND(INDEX(SP_GF_EBIT,0,COLUMN())-INDEX(MO_RIS_EBIT,0,COLUMN()),6)</f>
        <v>0</v>
      </c>
      <c r="AJ133" s="604">
        <f t="shared" si="239"/>
        <v>0</v>
      </c>
      <c r="AK133" s="604">
        <f t="shared" si="239"/>
        <v>0</v>
      </c>
      <c r="AL133" s="604">
        <f t="shared" si="239"/>
        <v>0</v>
      </c>
      <c r="AM133" s="604">
        <f t="shared" si="239"/>
        <v>0</v>
      </c>
      <c r="AN133" s="604">
        <f t="shared" si="239"/>
        <v>0</v>
      </c>
      <c r="AO133" s="604">
        <f t="shared" si="239"/>
        <v>0</v>
      </c>
      <c r="AP133" s="604">
        <f t="shared" si="239"/>
        <v>0</v>
      </c>
      <c r="AQ133" s="604">
        <f t="shared" si="239"/>
        <v>0</v>
      </c>
      <c r="AR133" s="604">
        <f t="shared" si="239"/>
        <v>0</v>
      </c>
      <c r="AS133" s="604">
        <f t="shared" si="239"/>
        <v>0</v>
      </c>
      <c r="AT133" s="604">
        <f t="shared" si="239"/>
        <v>0</v>
      </c>
      <c r="AU133" s="605">
        <f t="shared" si="239"/>
        <v>0</v>
      </c>
      <c r="AV133" s="604">
        <f t="shared" si="239"/>
        <v>0</v>
      </c>
      <c r="AW133" s="604">
        <f t="shared" si="239"/>
        <v>0</v>
      </c>
      <c r="AX133" s="604">
        <f t="shared" si="239"/>
        <v>0</v>
      </c>
      <c r="AY133" s="604">
        <f t="shared" si="239"/>
        <v>0</v>
      </c>
      <c r="AZ133" s="604">
        <f t="shared" si="239"/>
        <v>0</v>
      </c>
      <c r="BA133" s="604">
        <f t="shared" si="239"/>
        <v>0</v>
      </c>
      <c r="BB133" s="604">
        <f t="shared" si="239"/>
        <v>0</v>
      </c>
      <c r="BC133" s="604"/>
      <c r="BD133" s="604">
        <f t="shared" ref="BD133:BW133" si="240">ROUND(INDEX(SP_GF_EBIT,0,COLUMN())-INDEX(MO_RIS_EBIT,0,COLUMN()),6)</f>
        <v>0</v>
      </c>
      <c r="BE133" s="604">
        <f t="shared" si="240"/>
        <v>0</v>
      </c>
      <c r="BF133" s="604">
        <f t="shared" si="240"/>
        <v>0</v>
      </c>
      <c r="BG133" s="604">
        <f t="shared" si="240"/>
        <v>0</v>
      </c>
      <c r="BH133" s="604">
        <f t="shared" si="240"/>
        <v>0</v>
      </c>
      <c r="BI133" s="604">
        <f t="shared" si="240"/>
        <v>0</v>
      </c>
      <c r="BJ133" s="604">
        <f t="shared" si="240"/>
        <v>0</v>
      </c>
      <c r="BK133" s="604">
        <f t="shared" si="240"/>
        <v>0</v>
      </c>
      <c r="BL133" s="604">
        <f t="shared" si="240"/>
        <v>0</v>
      </c>
      <c r="BM133" s="604">
        <f t="shared" si="240"/>
        <v>0</v>
      </c>
      <c r="BN133" s="604">
        <f t="shared" si="240"/>
        <v>0</v>
      </c>
      <c r="BO133" s="604">
        <f t="shared" si="240"/>
        <v>0</v>
      </c>
      <c r="BP133" s="604" t="e">
        <f t="shared" si="240"/>
        <v>#REF!</v>
      </c>
      <c r="BQ133" s="604" t="e">
        <f t="shared" si="240"/>
        <v>#REF!</v>
      </c>
      <c r="BR133" s="605" t="e">
        <f t="shared" si="240"/>
        <v>#REF!</v>
      </c>
      <c r="BS133" s="604" t="e">
        <f t="shared" si="240"/>
        <v>#REF!</v>
      </c>
      <c r="BT133" s="604">
        <f t="shared" si="240"/>
        <v>0</v>
      </c>
      <c r="BU133" s="604">
        <f t="shared" si="240"/>
        <v>0</v>
      </c>
      <c r="BV133" s="604">
        <f t="shared" si="240"/>
        <v>0</v>
      </c>
      <c r="BW133" s="604">
        <f t="shared" si="240"/>
        <v>0</v>
      </c>
      <c r="BX133" s="186"/>
    </row>
    <row r="134" spans="1:76" hidden="1" outlineLevel="1" x14ac:dyDescent="0.35">
      <c r="A134" s="543" t="s">
        <v>58</v>
      </c>
      <c r="B134" s="200"/>
      <c r="C134" s="604">
        <f t="shared" ref="C134:AH134" si="241">ROUND(INDEX(SP_NGF_EBITDA,0,COLUMN())-INDEX(MO_RIS_EBITDA_Adj,0,COLUMN()),6)</f>
        <v>0</v>
      </c>
      <c r="D134" s="604">
        <f t="shared" si="241"/>
        <v>0</v>
      </c>
      <c r="E134" s="604">
        <f t="shared" si="241"/>
        <v>0</v>
      </c>
      <c r="F134" s="604">
        <f t="shared" si="241"/>
        <v>0</v>
      </c>
      <c r="G134" s="604">
        <f t="shared" si="241"/>
        <v>0</v>
      </c>
      <c r="H134" s="604">
        <f t="shared" si="241"/>
        <v>0</v>
      </c>
      <c r="I134" s="604">
        <f t="shared" si="241"/>
        <v>0</v>
      </c>
      <c r="J134" s="604">
        <f t="shared" si="241"/>
        <v>0</v>
      </c>
      <c r="K134" s="604">
        <f t="shared" si="241"/>
        <v>0</v>
      </c>
      <c r="L134" s="604">
        <f t="shared" si="241"/>
        <v>0</v>
      </c>
      <c r="M134" s="604">
        <f t="shared" si="241"/>
        <v>0</v>
      </c>
      <c r="N134" s="604">
        <f t="shared" si="241"/>
        <v>0</v>
      </c>
      <c r="O134" s="604">
        <f t="shared" si="241"/>
        <v>0</v>
      </c>
      <c r="P134" s="604">
        <f t="shared" si="241"/>
        <v>0</v>
      </c>
      <c r="Q134" s="604">
        <f t="shared" si="241"/>
        <v>0</v>
      </c>
      <c r="R134" s="604">
        <f t="shared" si="241"/>
        <v>0</v>
      </c>
      <c r="S134" s="604">
        <f t="shared" si="241"/>
        <v>0</v>
      </c>
      <c r="T134" s="604">
        <f t="shared" si="241"/>
        <v>0</v>
      </c>
      <c r="U134" s="604">
        <f t="shared" si="241"/>
        <v>0</v>
      </c>
      <c r="V134" s="604">
        <f t="shared" si="241"/>
        <v>0</v>
      </c>
      <c r="W134" s="604">
        <f t="shared" si="241"/>
        <v>0</v>
      </c>
      <c r="X134" s="604">
        <f t="shared" si="241"/>
        <v>0</v>
      </c>
      <c r="Y134" s="604">
        <f t="shared" si="241"/>
        <v>0</v>
      </c>
      <c r="Z134" s="604">
        <f t="shared" si="241"/>
        <v>0</v>
      </c>
      <c r="AA134" s="604">
        <f t="shared" si="241"/>
        <v>0</v>
      </c>
      <c r="AB134" s="604">
        <f t="shared" si="241"/>
        <v>0</v>
      </c>
      <c r="AC134" s="604">
        <f t="shared" si="241"/>
        <v>0</v>
      </c>
      <c r="AD134" s="604">
        <f t="shared" si="241"/>
        <v>0</v>
      </c>
      <c r="AE134" s="604">
        <f t="shared" si="241"/>
        <v>0</v>
      </c>
      <c r="AF134" s="604">
        <f t="shared" si="241"/>
        <v>0</v>
      </c>
      <c r="AG134" s="604">
        <f t="shared" si="241"/>
        <v>0</v>
      </c>
      <c r="AH134" s="604">
        <f t="shared" si="241"/>
        <v>0</v>
      </c>
      <c r="AI134" s="604">
        <f t="shared" ref="AI134:BB134" si="242">ROUND(INDEX(SP_NGF_EBITDA,0,COLUMN())-INDEX(MO_RIS_EBITDA_Adj,0,COLUMN()),6)</f>
        <v>0</v>
      </c>
      <c r="AJ134" s="604">
        <f t="shared" si="242"/>
        <v>0</v>
      </c>
      <c r="AK134" s="604">
        <f t="shared" si="242"/>
        <v>0</v>
      </c>
      <c r="AL134" s="604">
        <f t="shared" si="242"/>
        <v>0</v>
      </c>
      <c r="AM134" s="604">
        <f t="shared" si="242"/>
        <v>0</v>
      </c>
      <c r="AN134" s="604">
        <f t="shared" si="242"/>
        <v>0</v>
      </c>
      <c r="AO134" s="604">
        <f t="shared" si="242"/>
        <v>0</v>
      </c>
      <c r="AP134" s="604">
        <f t="shared" si="242"/>
        <v>0</v>
      </c>
      <c r="AQ134" s="604">
        <f t="shared" si="242"/>
        <v>0</v>
      </c>
      <c r="AR134" s="604">
        <f t="shared" si="242"/>
        <v>0</v>
      </c>
      <c r="AS134" s="604">
        <f t="shared" si="242"/>
        <v>0</v>
      </c>
      <c r="AT134" s="604">
        <f t="shared" si="242"/>
        <v>0</v>
      </c>
      <c r="AU134" s="605">
        <f t="shared" si="242"/>
        <v>0</v>
      </c>
      <c r="AV134" s="604">
        <f t="shared" si="242"/>
        <v>0</v>
      </c>
      <c r="AW134" s="604">
        <f t="shared" si="242"/>
        <v>0</v>
      </c>
      <c r="AX134" s="604">
        <f t="shared" si="242"/>
        <v>0</v>
      </c>
      <c r="AY134" s="604">
        <f t="shared" si="242"/>
        <v>0</v>
      </c>
      <c r="AZ134" s="604">
        <f t="shared" si="242"/>
        <v>0</v>
      </c>
      <c r="BA134" s="604">
        <f t="shared" si="242"/>
        <v>0</v>
      </c>
      <c r="BB134" s="604">
        <f t="shared" si="242"/>
        <v>0</v>
      </c>
      <c r="BC134" s="604"/>
      <c r="BD134" s="604">
        <f t="shared" ref="BD134:BW134" si="243">ROUND(INDEX(SP_NGF_EBITDA,0,COLUMN())-INDEX(MO_RIS_EBITDA_Adj,0,COLUMN()),6)</f>
        <v>0</v>
      </c>
      <c r="BE134" s="604">
        <f t="shared" si="243"/>
        <v>0</v>
      </c>
      <c r="BF134" s="604">
        <f t="shared" si="243"/>
        <v>0</v>
      </c>
      <c r="BG134" s="604">
        <f t="shared" si="243"/>
        <v>0</v>
      </c>
      <c r="BH134" s="604">
        <f t="shared" si="243"/>
        <v>0</v>
      </c>
      <c r="BI134" s="604">
        <f t="shared" si="243"/>
        <v>0</v>
      </c>
      <c r="BJ134" s="604">
        <f t="shared" si="243"/>
        <v>0</v>
      </c>
      <c r="BK134" s="604">
        <f t="shared" si="243"/>
        <v>0</v>
      </c>
      <c r="BL134" s="604">
        <f t="shared" si="243"/>
        <v>0</v>
      </c>
      <c r="BM134" s="604">
        <f t="shared" si="243"/>
        <v>0</v>
      </c>
      <c r="BN134" s="604">
        <f t="shared" si="243"/>
        <v>0</v>
      </c>
      <c r="BO134" s="604">
        <f t="shared" si="243"/>
        <v>0</v>
      </c>
      <c r="BP134" s="604" t="e">
        <f t="shared" si="243"/>
        <v>#REF!</v>
      </c>
      <c r="BQ134" s="604" t="e">
        <f t="shared" si="243"/>
        <v>#REF!</v>
      </c>
      <c r="BR134" s="605" t="e">
        <f t="shared" si="243"/>
        <v>#REF!</v>
      </c>
      <c r="BS134" s="604" t="e">
        <f t="shared" si="243"/>
        <v>#REF!</v>
      </c>
      <c r="BT134" s="604">
        <f t="shared" si="243"/>
        <v>0</v>
      </c>
      <c r="BU134" s="604">
        <f t="shared" si="243"/>
        <v>0</v>
      </c>
      <c r="BV134" s="604">
        <f t="shared" si="243"/>
        <v>0</v>
      </c>
      <c r="BW134" s="604">
        <f t="shared" si="243"/>
        <v>0</v>
      </c>
      <c r="BX134" s="186"/>
    </row>
    <row r="135" spans="1:76" hidden="1" outlineLevel="1" x14ac:dyDescent="0.35">
      <c r="A135" s="543" t="s">
        <v>504</v>
      </c>
      <c r="B135" s="200"/>
      <c r="C135" s="604">
        <f t="shared" ref="C135:AH135" si="244">ROUND(INDEX(SP_NGF_EBIT,0,COLUMN())-INDEX(MO_RIS_EBIT_Adj,0,COLUMN()),6)</f>
        <v>0</v>
      </c>
      <c r="D135" s="604">
        <f t="shared" si="244"/>
        <v>0</v>
      </c>
      <c r="E135" s="604">
        <f t="shared" si="244"/>
        <v>0</v>
      </c>
      <c r="F135" s="604">
        <f t="shared" si="244"/>
        <v>0</v>
      </c>
      <c r="G135" s="604">
        <f t="shared" si="244"/>
        <v>0</v>
      </c>
      <c r="H135" s="604">
        <f t="shared" si="244"/>
        <v>0</v>
      </c>
      <c r="I135" s="604">
        <f t="shared" si="244"/>
        <v>0</v>
      </c>
      <c r="J135" s="604">
        <f t="shared" si="244"/>
        <v>0</v>
      </c>
      <c r="K135" s="604">
        <f t="shared" si="244"/>
        <v>0</v>
      </c>
      <c r="L135" s="604">
        <f t="shared" si="244"/>
        <v>0</v>
      </c>
      <c r="M135" s="604">
        <f t="shared" si="244"/>
        <v>0</v>
      </c>
      <c r="N135" s="604">
        <f t="shared" si="244"/>
        <v>0</v>
      </c>
      <c r="O135" s="604">
        <f t="shared" si="244"/>
        <v>0</v>
      </c>
      <c r="P135" s="604">
        <f t="shared" si="244"/>
        <v>0</v>
      </c>
      <c r="Q135" s="604">
        <f t="shared" si="244"/>
        <v>0</v>
      </c>
      <c r="R135" s="604">
        <f t="shared" si="244"/>
        <v>0</v>
      </c>
      <c r="S135" s="604">
        <f t="shared" si="244"/>
        <v>0</v>
      </c>
      <c r="T135" s="604">
        <f t="shared" si="244"/>
        <v>0</v>
      </c>
      <c r="U135" s="604">
        <f t="shared" si="244"/>
        <v>0</v>
      </c>
      <c r="V135" s="604">
        <f t="shared" si="244"/>
        <v>0</v>
      </c>
      <c r="W135" s="604">
        <f t="shared" si="244"/>
        <v>0</v>
      </c>
      <c r="X135" s="604">
        <f t="shared" si="244"/>
        <v>0</v>
      </c>
      <c r="Y135" s="604">
        <f t="shared" si="244"/>
        <v>0</v>
      </c>
      <c r="Z135" s="604">
        <f t="shared" si="244"/>
        <v>0</v>
      </c>
      <c r="AA135" s="604">
        <f t="shared" si="244"/>
        <v>0</v>
      </c>
      <c r="AB135" s="604">
        <f t="shared" si="244"/>
        <v>0</v>
      </c>
      <c r="AC135" s="604">
        <f t="shared" si="244"/>
        <v>0</v>
      </c>
      <c r="AD135" s="604">
        <f t="shared" si="244"/>
        <v>0</v>
      </c>
      <c r="AE135" s="604">
        <f t="shared" si="244"/>
        <v>0</v>
      </c>
      <c r="AF135" s="604">
        <f t="shared" si="244"/>
        <v>0</v>
      </c>
      <c r="AG135" s="604">
        <f t="shared" si="244"/>
        <v>0</v>
      </c>
      <c r="AH135" s="604">
        <f t="shared" si="244"/>
        <v>0</v>
      </c>
      <c r="AI135" s="604">
        <f t="shared" ref="AI135:BB135" si="245">ROUND(INDEX(SP_NGF_EBIT,0,COLUMN())-INDEX(MO_RIS_EBIT_Adj,0,COLUMN()),6)</f>
        <v>0</v>
      </c>
      <c r="AJ135" s="604">
        <f t="shared" si="245"/>
        <v>0</v>
      </c>
      <c r="AK135" s="604">
        <f t="shared" si="245"/>
        <v>0</v>
      </c>
      <c r="AL135" s="604">
        <f t="shared" si="245"/>
        <v>0</v>
      </c>
      <c r="AM135" s="604">
        <f t="shared" si="245"/>
        <v>0</v>
      </c>
      <c r="AN135" s="604">
        <f t="shared" si="245"/>
        <v>0</v>
      </c>
      <c r="AO135" s="604">
        <f t="shared" si="245"/>
        <v>0</v>
      </c>
      <c r="AP135" s="604">
        <f t="shared" si="245"/>
        <v>0</v>
      </c>
      <c r="AQ135" s="604">
        <f t="shared" si="245"/>
        <v>0</v>
      </c>
      <c r="AR135" s="604">
        <f t="shared" si="245"/>
        <v>0</v>
      </c>
      <c r="AS135" s="604">
        <f t="shared" si="245"/>
        <v>0</v>
      </c>
      <c r="AT135" s="604">
        <f t="shared" si="245"/>
        <v>0</v>
      </c>
      <c r="AU135" s="605">
        <f t="shared" si="245"/>
        <v>0</v>
      </c>
      <c r="AV135" s="604">
        <f t="shared" si="245"/>
        <v>0</v>
      </c>
      <c r="AW135" s="604">
        <f t="shared" si="245"/>
        <v>0</v>
      </c>
      <c r="AX135" s="604">
        <f t="shared" si="245"/>
        <v>0</v>
      </c>
      <c r="AY135" s="604">
        <f t="shared" si="245"/>
        <v>0</v>
      </c>
      <c r="AZ135" s="604">
        <f t="shared" si="245"/>
        <v>0</v>
      </c>
      <c r="BA135" s="604">
        <f t="shared" si="245"/>
        <v>0</v>
      </c>
      <c r="BB135" s="604">
        <f t="shared" si="245"/>
        <v>0</v>
      </c>
      <c r="BC135" s="604"/>
      <c r="BD135" s="604">
        <f t="shared" ref="BD135:BW135" si="246">ROUND(INDEX(SP_NGF_EBIT,0,COLUMN())-INDEX(MO_RIS_EBIT_Adj,0,COLUMN()),6)</f>
        <v>0</v>
      </c>
      <c r="BE135" s="604">
        <f t="shared" si="246"/>
        <v>0</v>
      </c>
      <c r="BF135" s="604">
        <f t="shared" si="246"/>
        <v>0</v>
      </c>
      <c r="BG135" s="604">
        <f t="shared" si="246"/>
        <v>0</v>
      </c>
      <c r="BH135" s="604">
        <f t="shared" si="246"/>
        <v>0</v>
      </c>
      <c r="BI135" s="604">
        <f t="shared" si="246"/>
        <v>0</v>
      </c>
      <c r="BJ135" s="604">
        <f t="shared" si="246"/>
        <v>0</v>
      </c>
      <c r="BK135" s="604">
        <f t="shared" si="246"/>
        <v>0</v>
      </c>
      <c r="BL135" s="604">
        <f t="shared" si="246"/>
        <v>0</v>
      </c>
      <c r="BM135" s="604">
        <f t="shared" si="246"/>
        <v>0</v>
      </c>
      <c r="BN135" s="604">
        <f t="shared" si="246"/>
        <v>0</v>
      </c>
      <c r="BO135" s="604">
        <f t="shared" si="246"/>
        <v>0</v>
      </c>
      <c r="BP135" s="604" t="e">
        <f t="shared" si="246"/>
        <v>#REF!</v>
      </c>
      <c r="BQ135" s="604" t="e">
        <f t="shared" si="246"/>
        <v>#REF!</v>
      </c>
      <c r="BR135" s="605" t="e">
        <f t="shared" si="246"/>
        <v>#REF!</v>
      </c>
      <c r="BS135" s="604" t="e">
        <f t="shared" si="246"/>
        <v>#REF!</v>
      </c>
      <c r="BT135" s="604">
        <f t="shared" si="246"/>
        <v>0</v>
      </c>
      <c r="BU135" s="604">
        <f t="shared" si="246"/>
        <v>0</v>
      </c>
      <c r="BV135" s="604">
        <f t="shared" si="246"/>
        <v>0</v>
      </c>
      <c r="BW135" s="604">
        <f t="shared" si="246"/>
        <v>0</v>
      </c>
      <c r="BX135" s="186"/>
    </row>
    <row r="136" spans="1:76" hidden="1" outlineLevel="1" x14ac:dyDescent="0.35">
      <c r="A136" s="543" t="s">
        <v>349</v>
      </c>
      <c r="B136" s="200"/>
      <c r="C136" s="604">
        <f t="shared" ref="C136:AH136" si="247">ROUND(INDEX(SP_NGF_NI,0,COLUMN())-INDEX(MO_RIS_NI_NONGAAP_Diluted,0,COLUMN()),6)</f>
        <v>0</v>
      </c>
      <c r="D136" s="604">
        <f t="shared" si="247"/>
        <v>0</v>
      </c>
      <c r="E136" s="604">
        <f t="shared" si="247"/>
        <v>0</v>
      </c>
      <c r="F136" s="604">
        <f t="shared" si="247"/>
        <v>0</v>
      </c>
      <c r="G136" s="604">
        <f t="shared" si="247"/>
        <v>0</v>
      </c>
      <c r="H136" s="604">
        <f t="shared" si="247"/>
        <v>0</v>
      </c>
      <c r="I136" s="604">
        <f t="shared" si="247"/>
        <v>0</v>
      </c>
      <c r="J136" s="604">
        <f t="shared" si="247"/>
        <v>0</v>
      </c>
      <c r="K136" s="604">
        <f t="shared" si="247"/>
        <v>0</v>
      </c>
      <c r="L136" s="604">
        <f t="shared" si="247"/>
        <v>0</v>
      </c>
      <c r="M136" s="604">
        <f t="shared" si="247"/>
        <v>0</v>
      </c>
      <c r="N136" s="604">
        <f t="shared" si="247"/>
        <v>0</v>
      </c>
      <c r="O136" s="604">
        <f t="shared" si="247"/>
        <v>0</v>
      </c>
      <c r="P136" s="604">
        <f t="shared" si="247"/>
        <v>0</v>
      </c>
      <c r="Q136" s="604">
        <f t="shared" si="247"/>
        <v>0</v>
      </c>
      <c r="R136" s="604">
        <f t="shared" si="247"/>
        <v>0</v>
      </c>
      <c r="S136" s="604">
        <f t="shared" si="247"/>
        <v>0</v>
      </c>
      <c r="T136" s="604">
        <f t="shared" si="247"/>
        <v>0</v>
      </c>
      <c r="U136" s="604">
        <f t="shared" si="247"/>
        <v>0</v>
      </c>
      <c r="V136" s="604">
        <f t="shared" si="247"/>
        <v>0</v>
      </c>
      <c r="W136" s="604">
        <f t="shared" si="247"/>
        <v>0</v>
      </c>
      <c r="X136" s="604">
        <f t="shared" si="247"/>
        <v>0</v>
      </c>
      <c r="Y136" s="604">
        <f t="shared" si="247"/>
        <v>0</v>
      </c>
      <c r="Z136" s="604">
        <f t="shared" si="247"/>
        <v>0</v>
      </c>
      <c r="AA136" s="604">
        <f t="shared" si="247"/>
        <v>0</v>
      </c>
      <c r="AB136" s="604">
        <f t="shared" si="247"/>
        <v>0</v>
      </c>
      <c r="AC136" s="604">
        <f t="shared" si="247"/>
        <v>0</v>
      </c>
      <c r="AD136" s="604">
        <f t="shared" si="247"/>
        <v>0</v>
      </c>
      <c r="AE136" s="604">
        <f t="shared" si="247"/>
        <v>0</v>
      </c>
      <c r="AF136" s="604">
        <f t="shared" si="247"/>
        <v>0</v>
      </c>
      <c r="AG136" s="604">
        <f t="shared" si="247"/>
        <v>0</v>
      </c>
      <c r="AH136" s="604">
        <f t="shared" si="247"/>
        <v>0</v>
      </c>
      <c r="AI136" s="604">
        <f t="shared" ref="AI136:BB136" si="248">ROUND(INDEX(SP_NGF_NI,0,COLUMN())-INDEX(MO_RIS_NI_NONGAAP_Diluted,0,COLUMN()),6)</f>
        <v>0</v>
      </c>
      <c r="AJ136" s="604">
        <f t="shared" si="248"/>
        <v>0</v>
      </c>
      <c r="AK136" s="604">
        <f t="shared" si="248"/>
        <v>0</v>
      </c>
      <c r="AL136" s="604">
        <f t="shared" si="248"/>
        <v>0</v>
      </c>
      <c r="AM136" s="604">
        <f t="shared" si="248"/>
        <v>0</v>
      </c>
      <c r="AN136" s="604">
        <f t="shared" si="248"/>
        <v>0</v>
      </c>
      <c r="AO136" s="604">
        <f t="shared" si="248"/>
        <v>0</v>
      </c>
      <c r="AP136" s="604">
        <f t="shared" si="248"/>
        <v>0</v>
      </c>
      <c r="AQ136" s="604">
        <f t="shared" si="248"/>
        <v>0</v>
      </c>
      <c r="AR136" s="604">
        <f t="shared" si="248"/>
        <v>0</v>
      </c>
      <c r="AS136" s="604">
        <f t="shared" si="248"/>
        <v>0</v>
      </c>
      <c r="AT136" s="604">
        <f t="shared" si="248"/>
        <v>0</v>
      </c>
      <c r="AU136" s="605">
        <f t="shared" si="248"/>
        <v>0</v>
      </c>
      <c r="AV136" s="604">
        <f t="shared" si="248"/>
        <v>0</v>
      </c>
      <c r="AW136" s="604">
        <f t="shared" ca="1" si="248"/>
        <v>0</v>
      </c>
      <c r="AX136" s="604">
        <f t="shared" ca="1" si="248"/>
        <v>0</v>
      </c>
      <c r="AY136" s="604">
        <f t="shared" si="248"/>
        <v>0</v>
      </c>
      <c r="AZ136" s="604">
        <f t="shared" si="248"/>
        <v>0</v>
      </c>
      <c r="BA136" s="604">
        <f t="shared" si="248"/>
        <v>0</v>
      </c>
      <c r="BB136" s="604">
        <f t="shared" si="248"/>
        <v>0</v>
      </c>
      <c r="BC136" s="604"/>
      <c r="BD136" s="604">
        <f t="shared" ref="BD136:BW136" si="249">ROUND(INDEX(SP_NGF_NI,0,COLUMN())-INDEX(MO_RIS_NI_NONGAAP_Diluted,0,COLUMN()),6)</f>
        <v>0</v>
      </c>
      <c r="BE136" s="604">
        <f t="shared" si="249"/>
        <v>0</v>
      </c>
      <c r="BF136" s="604">
        <f t="shared" si="249"/>
        <v>0</v>
      </c>
      <c r="BG136" s="604">
        <f t="shared" si="249"/>
        <v>0</v>
      </c>
      <c r="BH136" s="604">
        <f t="shared" si="249"/>
        <v>0</v>
      </c>
      <c r="BI136" s="604">
        <f t="shared" si="249"/>
        <v>0</v>
      </c>
      <c r="BJ136" s="604">
        <f t="shared" si="249"/>
        <v>0</v>
      </c>
      <c r="BK136" s="604">
        <f t="shared" si="249"/>
        <v>0</v>
      </c>
      <c r="BL136" s="604">
        <f t="shared" si="249"/>
        <v>0</v>
      </c>
      <c r="BM136" s="604">
        <f t="shared" si="249"/>
        <v>0</v>
      </c>
      <c r="BN136" s="604">
        <f t="shared" si="249"/>
        <v>0</v>
      </c>
      <c r="BO136" s="604">
        <f t="shared" ca="1" si="249"/>
        <v>0</v>
      </c>
      <c r="BP136" s="604" t="e">
        <f t="shared" si="249"/>
        <v>#REF!</v>
      </c>
      <c r="BQ136" s="604" t="e">
        <f t="shared" si="249"/>
        <v>#REF!</v>
      </c>
      <c r="BR136" s="605" t="e">
        <f t="shared" si="249"/>
        <v>#REF!</v>
      </c>
      <c r="BS136" s="604" t="e">
        <f t="shared" ca="1" si="249"/>
        <v>#REF!</v>
      </c>
      <c r="BT136" s="604">
        <f t="shared" si="249"/>
        <v>0</v>
      </c>
      <c r="BU136" s="604">
        <f t="shared" si="249"/>
        <v>0</v>
      </c>
      <c r="BV136" s="604">
        <f t="shared" si="249"/>
        <v>0</v>
      </c>
      <c r="BW136" s="604">
        <f t="shared" si="249"/>
        <v>0</v>
      </c>
      <c r="BX136" s="186"/>
    </row>
    <row r="137" spans="1:76" hidden="1" outlineLevel="1" x14ac:dyDescent="0.35">
      <c r="A137" s="543" t="s">
        <v>350</v>
      </c>
      <c r="B137" s="200"/>
      <c r="C137" s="604">
        <f t="shared" ref="C137:AH137" si="250">ROUND(INDEX(SP_GF_NI,0,COLUMN())-INDEX(MO_RIS_NI_GAAP_Basic,0,COLUMN()),6)</f>
        <v>0</v>
      </c>
      <c r="D137" s="604">
        <f t="shared" si="250"/>
        <v>0</v>
      </c>
      <c r="E137" s="604">
        <f t="shared" si="250"/>
        <v>0</v>
      </c>
      <c r="F137" s="604">
        <f t="shared" si="250"/>
        <v>0</v>
      </c>
      <c r="G137" s="604">
        <f t="shared" si="250"/>
        <v>0</v>
      </c>
      <c r="H137" s="604">
        <f t="shared" si="250"/>
        <v>0</v>
      </c>
      <c r="I137" s="604">
        <f t="shared" si="250"/>
        <v>0</v>
      </c>
      <c r="J137" s="604">
        <f t="shared" si="250"/>
        <v>0</v>
      </c>
      <c r="K137" s="604">
        <f t="shared" si="250"/>
        <v>0</v>
      </c>
      <c r="L137" s="604">
        <f t="shared" si="250"/>
        <v>0</v>
      </c>
      <c r="M137" s="604">
        <f t="shared" si="250"/>
        <v>0</v>
      </c>
      <c r="N137" s="604">
        <f t="shared" si="250"/>
        <v>0</v>
      </c>
      <c r="O137" s="604">
        <f t="shared" si="250"/>
        <v>0</v>
      </c>
      <c r="P137" s="604">
        <f t="shared" si="250"/>
        <v>0</v>
      </c>
      <c r="Q137" s="604">
        <f t="shared" si="250"/>
        <v>0</v>
      </c>
      <c r="R137" s="604">
        <f t="shared" si="250"/>
        <v>0</v>
      </c>
      <c r="S137" s="604">
        <f t="shared" si="250"/>
        <v>0</v>
      </c>
      <c r="T137" s="604">
        <f t="shared" si="250"/>
        <v>0</v>
      </c>
      <c r="U137" s="604">
        <f t="shared" si="250"/>
        <v>0</v>
      </c>
      <c r="V137" s="604">
        <f t="shared" si="250"/>
        <v>0</v>
      </c>
      <c r="W137" s="604">
        <f t="shared" si="250"/>
        <v>0</v>
      </c>
      <c r="X137" s="604">
        <f t="shared" si="250"/>
        <v>0</v>
      </c>
      <c r="Y137" s="604">
        <f t="shared" si="250"/>
        <v>0</v>
      </c>
      <c r="Z137" s="604">
        <f t="shared" si="250"/>
        <v>0</v>
      </c>
      <c r="AA137" s="604">
        <f t="shared" si="250"/>
        <v>0</v>
      </c>
      <c r="AB137" s="604">
        <f t="shared" si="250"/>
        <v>0</v>
      </c>
      <c r="AC137" s="604">
        <f t="shared" si="250"/>
        <v>0</v>
      </c>
      <c r="AD137" s="604">
        <f t="shared" si="250"/>
        <v>0</v>
      </c>
      <c r="AE137" s="604">
        <f t="shared" si="250"/>
        <v>0</v>
      </c>
      <c r="AF137" s="604">
        <f t="shared" si="250"/>
        <v>0</v>
      </c>
      <c r="AG137" s="604">
        <f t="shared" si="250"/>
        <v>0</v>
      </c>
      <c r="AH137" s="604">
        <f t="shared" si="250"/>
        <v>0</v>
      </c>
      <c r="AI137" s="604">
        <f t="shared" ref="AI137:BB137" si="251">ROUND(INDEX(SP_GF_NI,0,COLUMN())-INDEX(MO_RIS_NI_GAAP_Basic,0,COLUMN()),6)</f>
        <v>0</v>
      </c>
      <c r="AJ137" s="604">
        <f t="shared" si="251"/>
        <v>0</v>
      </c>
      <c r="AK137" s="604">
        <f t="shared" si="251"/>
        <v>0</v>
      </c>
      <c r="AL137" s="604">
        <f t="shared" si="251"/>
        <v>0</v>
      </c>
      <c r="AM137" s="604">
        <f t="shared" si="251"/>
        <v>0</v>
      </c>
      <c r="AN137" s="604">
        <f t="shared" si="251"/>
        <v>0</v>
      </c>
      <c r="AO137" s="604">
        <f t="shared" si="251"/>
        <v>0</v>
      </c>
      <c r="AP137" s="604">
        <f t="shared" si="251"/>
        <v>0</v>
      </c>
      <c r="AQ137" s="604">
        <f t="shared" si="251"/>
        <v>0</v>
      </c>
      <c r="AR137" s="604">
        <f t="shared" si="251"/>
        <v>0</v>
      </c>
      <c r="AS137" s="604">
        <f t="shared" si="251"/>
        <v>0</v>
      </c>
      <c r="AT137" s="604">
        <f t="shared" si="251"/>
        <v>0</v>
      </c>
      <c r="AU137" s="605">
        <f t="shared" si="251"/>
        <v>0</v>
      </c>
      <c r="AV137" s="604">
        <f t="shared" si="251"/>
        <v>0</v>
      </c>
      <c r="AW137" s="604">
        <f t="shared" ca="1" si="251"/>
        <v>0</v>
      </c>
      <c r="AX137" s="604">
        <f t="shared" ca="1" si="251"/>
        <v>0</v>
      </c>
      <c r="AY137" s="604">
        <f t="shared" si="251"/>
        <v>0</v>
      </c>
      <c r="AZ137" s="604">
        <f t="shared" si="251"/>
        <v>0</v>
      </c>
      <c r="BA137" s="604">
        <f t="shared" si="251"/>
        <v>0</v>
      </c>
      <c r="BB137" s="604">
        <f t="shared" si="251"/>
        <v>0</v>
      </c>
      <c r="BC137" s="604"/>
      <c r="BD137" s="604">
        <f t="shared" ref="BD137:BW137" si="252">ROUND(INDEX(SP_GF_NI,0,COLUMN())-INDEX(MO_RIS_NI_GAAP_Basic,0,COLUMN()),6)</f>
        <v>0</v>
      </c>
      <c r="BE137" s="604">
        <f t="shared" si="252"/>
        <v>0</v>
      </c>
      <c r="BF137" s="604">
        <f t="shared" si="252"/>
        <v>0</v>
      </c>
      <c r="BG137" s="604">
        <f t="shared" si="252"/>
        <v>0</v>
      </c>
      <c r="BH137" s="604">
        <f t="shared" si="252"/>
        <v>0</v>
      </c>
      <c r="BI137" s="604">
        <f t="shared" si="252"/>
        <v>0</v>
      </c>
      <c r="BJ137" s="604">
        <f t="shared" si="252"/>
        <v>0</v>
      </c>
      <c r="BK137" s="604">
        <f t="shared" si="252"/>
        <v>0</v>
      </c>
      <c r="BL137" s="604">
        <f t="shared" si="252"/>
        <v>0</v>
      </c>
      <c r="BM137" s="604">
        <f t="shared" si="252"/>
        <v>0</v>
      </c>
      <c r="BN137" s="604">
        <f t="shared" si="252"/>
        <v>0</v>
      </c>
      <c r="BO137" s="604">
        <f t="shared" ca="1" si="252"/>
        <v>0</v>
      </c>
      <c r="BP137" s="604" t="e">
        <f t="shared" si="252"/>
        <v>#REF!</v>
      </c>
      <c r="BQ137" s="604" t="e">
        <f t="shared" si="252"/>
        <v>#VALUE!</v>
      </c>
      <c r="BR137" s="605" t="e">
        <f t="shared" si="252"/>
        <v>#VALUE!</v>
      </c>
      <c r="BS137" s="604" t="e">
        <f t="shared" ca="1" si="252"/>
        <v>#VALUE!</v>
      </c>
      <c r="BT137" s="604">
        <f t="shared" si="252"/>
        <v>0</v>
      </c>
      <c r="BU137" s="604">
        <f t="shared" si="252"/>
        <v>0</v>
      </c>
      <c r="BV137" s="604">
        <f t="shared" si="252"/>
        <v>0</v>
      </c>
      <c r="BW137" s="604">
        <f t="shared" si="252"/>
        <v>0</v>
      </c>
      <c r="BX137" s="186"/>
    </row>
    <row r="138" spans="1:76" hidden="1" outlineLevel="1" x14ac:dyDescent="0.35">
      <c r="A138" s="543" t="s">
        <v>351</v>
      </c>
      <c r="B138" s="200"/>
      <c r="C138" s="604">
        <f t="shared" ref="C138:AH138" ca="1" si="253">ROUND(INDEX(SP_CFA_NetChange,0,COLUMN())-INDEX(MO_CFS_NetChange,0,COLUMN()),6)</f>
        <v>0</v>
      </c>
      <c r="D138" s="604">
        <f t="shared" ca="1" si="253"/>
        <v>0</v>
      </c>
      <c r="E138" s="604">
        <f t="shared" ca="1" si="253"/>
        <v>0</v>
      </c>
      <c r="F138" s="604">
        <f t="shared" ca="1" si="253"/>
        <v>0</v>
      </c>
      <c r="G138" s="604">
        <f t="shared" ca="1" si="253"/>
        <v>0</v>
      </c>
      <c r="H138" s="604">
        <f t="shared" ca="1" si="253"/>
        <v>0</v>
      </c>
      <c r="I138" s="604">
        <f t="shared" ca="1" si="253"/>
        <v>0</v>
      </c>
      <c r="J138" s="604">
        <f t="shared" ca="1" si="253"/>
        <v>0</v>
      </c>
      <c r="K138" s="604">
        <f t="shared" ca="1" si="253"/>
        <v>0</v>
      </c>
      <c r="L138" s="604">
        <f t="shared" ca="1" si="253"/>
        <v>0</v>
      </c>
      <c r="M138" s="604">
        <f t="shared" ca="1" si="253"/>
        <v>0</v>
      </c>
      <c r="N138" s="604">
        <f t="shared" ca="1" si="253"/>
        <v>0</v>
      </c>
      <c r="O138" s="604">
        <f t="shared" ca="1" si="253"/>
        <v>0</v>
      </c>
      <c r="P138" s="604">
        <f t="shared" ca="1" si="253"/>
        <v>0</v>
      </c>
      <c r="Q138" s="604">
        <f t="shared" ca="1" si="253"/>
        <v>0</v>
      </c>
      <c r="R138" s="604">
        <f t="shared" ca="1" si="253"/>
        <v>0</v>
      </c>
      <c r="S138" s="604">
        <f t="shared" ca="1" si="253"/>
        <v>0</v>
      </c>
      <c r="T138" s="604">
        <f t="shared" ca="1" si="253"/>
        <v>0</v>
      </c>
      <c r="U138" s="604">
        <f t="shared" ca="1" si="253"/>
        <v>0</v>
      </c>
      <c r="V138" s="604">
        <f t="shared" ca="1" si="253"/>
        <v>0</v>
      </c>
      <c r="W138" s="604">
        <f t="shared" ca="1" si="253"/>
        <v>0</v>
      </c>
      <c r="X138" s="604">
        <f t="shared" ca="1" si="253"/>
        <v>0</v>
      </c>
      <c r="Y138" s="604">
        <f t="shared" ca="1" si="253"/>
        <v>0</v>
      </c>
      <c r="Z138" s="604">
        <f t="shared" ca="1" si="253"/>
        <v>0</v>
      </c>
      <c r="AA138" s="604">
        <f t="shared" ca="1" si="253"/>
        <v>0</v>
      </c>
      <c r="AB138" s="604">
        <f t="shared" ca="1" si="253"/>
        <v>0</v>
      </c>
      <c r="AC138" s="604">
        <f t="shared" ca="1" si="253"/>
        <v>0</v>
      </c>
      <c r="AD138" s="604">
        <f t="shared" ca="1" si="253"/>
        <v>0</v>
      </c>
      <c r="AE138" s="604">
        <f t="shared" ca="1" si="253"/>
        <v>0</v>
      </c>
      <c r="AF138" s="604">
        <f t="shared" ca="1" si="253"/>
        <v>0</v>
      </c>
      <c r="AG138" s="604">
        <f t="shared" ca="1" si="253"/>
        <v>0</v>
      </c>
      <c r="AH138" s="604">
        <f t="shared" ca="1" si="253"/>
        <v>0</v>
      </c>
      <c r="AI138" s="604">
        <f t="shared" ref="AI138:BB138" ca="1" si="254">ROUND(INDEX(SP_CFA_NetChange,0,COLUMN())-INDEX(MO_CFS_NetChange,0,COLUMN()),6)</f>
        <v>0</v>
      </c>
      <c r="AJ138" s="604">
        <f t="shared" ca="1" si="254"/>
        <v>0</v>
      </c>
      <c r="AK138" s="604">
        <f t="shared" ca="1" si="254"/>
        <v>0</v>
      </c>
      <c r="AL138" s="604">
        <f t="shared" ca="1" si="254"/>
        <v>0</v>
      </c>
      <c r="AM138" s="604">
        <f t="shared" ca="1" si="254"/>
        <v>0</v>
      </c>
      <c r="AN138" s="604">
        <f t="shared" ca="1" si="254"/>
        <v>0</v>
      </c>
      <c r="AO138" s="604">
        <f t="shared" ca="1" si="254"/>
        <v>0</v>
      </c>
      <c r="AP138" s="604">
        <f t="shared" ca="1" si="254"/>
        <v>0</v>
      </c>
      <c r="AQ138" s="604">
        <f t="shared" ca="1" si="254"/>
        <v>0</v>
      </c>
      <c r="AR138" s="604">
        <f t="shared" ca="1" si="254"/>
        <v>0</v>
      </c>
      <c r="AS138" s="604">
        <f t="shared" ca="1" si="254"/>
        <v>0</v>
      </c>
      <c r="AT138" s="604">
        <f t="shared" ca="1" si="254"/>
        <v>0</v>
      </c>
      <c r="AU138" s="605">
        <f t="shared" ca="1" si="254"/>
        <v>0</v>
      </c>
      <c r="AV138" s="604">
        <f t="shared" ca="1" si="254"/>
        <v>0</v>
      </c>
      <c r="AW138" s="604">
        <f t="shared" ca="1" si="254"/>
        <v>0</v>
      </c>
      <c r="AX138" s="604">
        <f t="shared" ca="1" si="254"/>
        <v>0</v>
      </c>
      <c r="AY138" s="604" t="e">
        <f t="shared" ca="1" si="254"/>
        <v>#REF!</v>
      </c>
      <c r="AZ138" s="604" t="e">
        <f t="shared" ca="1" si="254"/>
        <v>#REF!</v>
      </c>
      <c r="BA138" s="604" t="e">
        <f t="shared" ca="1" si="254"/>
        <v>#REF!</v>
      </c>
      <c r="BB138" s="604" t="e">
        <f t="shared" ca="1" si="254"/>
        <v>#REF!</v>
      </c>
      <c r="BC138" s="604"/>
      <c r="BD138" s="604">
        <f t="shared" ref="BD138:BW138" ca="1" si="255">ROUND(INDEX(SP_CFA_NetChange,0,COLUMN())-INDEX(MO_CFS_NetChange,0,COLUMN()),6)</f>
        <v>4.9080000000000004</v>
      </c>
      <c r="BE138" s="604">
        <f t="shared" ca="1" si="255"/>
        <v>3.2370000000000001</v>
      </c>
      <c r="BF138" s="604">
        <f t="shared" ca="1" si="255"/>
        <v>1.726</v>
      </c>
      <c r="BG138" s="604">
        <f t="shared" ca="1" si="255"/>
        <v>-0.41799999999999998</v>
      </c>
      <c r="BH138" s="604">
        <f t="shared" ca="1" si="255"/>
        <v>9.2370000000000001</v>
      </c>
      <c r="BI138" s="604">
        <f t="shared" ca="1" si="255"/>
        <v>7.4109999999999996</v>
      </c>
      <c r="BJ138" s="604">
        <f t="shared" ca="1" si="255"/>
        <v>-1.698</v>
      </c>
      <c r="BK138" s="604">
        <f t="shared" ca="1" si="255"/>
        <v>-1.2E-2</v>
      </c>
      <c r="BL138" s="604">
        <f t="shared" ca="1" si="255"/>
        <v>31.396999999999998</v>
      </c>
      <c r="BM138" s="604">
        <f t="shared" ca="1" si="255"/>
        <v>31.959</v>
      </c>
      <c r="BN138" s="604">
        <f t="shared" ca="1" si="255"/>
        <v>48.631</v>
      </c>
      <c r="BO138" s="604">
        <f t="shared" ca="1" si="255"/>
        <v>-9.25</v>
      </c>
      <c r="BP138" s="604" t="e">
        <f t="shared" si="255"/>
        <v>#REF!</v>
      </c>
      <c r="BQ138" s="604" t="e">
        <f t="shared" si="255"/>
        <v>#REF!</v>
      </c>
      <c r="BR138" s="605" t="e">
        <f t="shared" ca="1" si="255"/>
        <v>#REF!</v>
      </c>
      <c r="BS138" s="604" t="e">
        <f t="shared" ca="1" si="255"/>
        <v>#REF!</v>
      </c>
      <c r="BT138" s="604" t="e">
        <f t="shared" ca="1" si="255"/>
        <v>#REF!</v>
      </c>
      <c r="BU138" s="604">
        <f t="shared" ca="1" si="255"/>
        <v>0</v>
      </c>
      <c r="BV138" s="604">
        <f t="shared" ca="1" si="255"/>
        <v>0</v>
      </c>
      <c r="BW138" s="604">
        <f t="shared" ca="1" si="255"/>
        <v>0</v>
      </c>
      <c r="BX138" s="186"/>
    </row>
    <row r="139" spans="1:76" collapsed="1" x14ac:dyDescent="0.35">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c r="AA139" s="186"/>
      <c r="AB139" s="186"/>
      <c r="AC139" s="186"/>
      <c r="AD139" s="186"/>
      <c r="AE139" s="186"/>
      <c r="AF139" s="186"/>
      <c r="AG139" s="186"/>
      <c r="AH139" s="186"/>
      <c r="AI139" s="186"/>
      <c r="AJ139" s="186"/>
      <c r="AK139" s="186"/>
      <c r="AL139" s="186"/>
      <c r="AM139" s="186"/>
      <c r="AN139" s="186"/>
      <c r="AO139" s="186"/>
      <c r="AP139" s="186"/>
      <c r="AQ139" s="186"/>
      <c r="AR139" s="186"/>
      <c r="AS139" s="186"/>
      <c r="AT139" s="186"/>
      <c r="AU139" s="525"/>
      <c r="AV139" s="186"/>
      <c r="AW139" s="186"/>
      <c r="AX139" s="186"/>
      <c r="AY139" s="186"/>
      <c r="AZ139" s="186"/>
      <c r="BA139" s="186"/>
      <c r="BB139" s="186"/>
      <c r="BC139" s="186"/>
      <c r="BD139" s="860"/>
      <c r="BE139" s="860"/>
      <c r="BF139" s="860"/>
      <c r="BG139" s="860"/>
      <c r="BH139" s="860"/>
      <c r="BI139" s="860"/>
      <c r="BJ139" s="860"/>
      <c r="BK139" s="860"/>
      <c r="BL139" s="860"/>
      <c r="BM139" s="860"/>
      <c r="BN139" s="860"/>
      <c r="BO139" s="860"/>
      <c r="BP139" s="860"/>
      <c r="BQ139" s="860"/>
      <c r="BR139" s="861"/>
      <c r="BS139" s="860"/>
      <c r="BT139" s="860"/>
      <c r="BU139" s="860"/>
      <c r="BV139" s="860"/>
      <c r="BW139" s="860"/>
      <c r="BX139" s="186"/>
    </row>
    <row r="140" spans="1:76" x14ac:dyDescent="0.35">
      <c r="A140" s="314" t="s">
        <v>439</v>
      </c>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393"/>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Q140" s="119"/>
      <c r="BR140" s="393"/>
      <c r="BS140" s="119"/>
      <c r="BT140" s="119"/>
      <c r="BU140" s="119"/>
      <c r="BV140" s="119"/>
      <c r="BW140" s="119"/>
      <c r="BX140" s="186"/>
    </row>
    <row r="141" spans="1:76" collapsed="1" x14ac:dyDescent="0.35">
      <c r="A141" s="31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c r="AA141" s="186"/>
      <c r="AB141" s="186"/>
      <c r="AC141" s="186"/>
      <c r="AD141" s="186"/>
      <c r="AE141" s="186"/>
      <c r="AF141" s="186"/>
      <c r="AG141" s="186"/>
      <c r="AH141" s="186"/>
      <c r="AI141" s="186"/>
      <c r="AJ141" s="186"/>
      <c r="AK141" s="186"/>
      <c r="AL141" s="186"/>
      <c r="AM141" s="186"/>
      <c r="AN141" s="186"/>
      <c r="AO141" s="186"/>
      <c r="AP141" s="186"/>
      <c r="AQ141" s="186"/>
      <c r="AR141" s="186"/>
      <c r="AS141" s="186"/>
      <c r="AT141" s="186"/>
      <c r="AU141" s="186"/>
      <c r="AV141" s="186"/>
      <c r="AW141" s="186"/>
      <c r="AX141" s="186"/>
      <c r="AY141" s="186"/>
      <c r="AZ141" s="186"/>
      <c r="BA141" s="186"/>
      <c r="BB141" s="186"/>
      <c r="BC141" s="186"/>
      <c r="BD141" s="186"/>
      <c r="BE141" s="186"/>
      <c r="BF141" s="186"/>
      <c r="BG141" s="186"/>
      <c r="BH141" s="186"/>
      <c r="BI141" s="186"/>
      <c r="BJ141" s="186"/>
      <c r="BK141" s="186"/>
      <c r="BL141" s="186"/>
      <c r="BM141" s="186"/>
      <c r="BN141" s="186"/>
      <c r="BO141" s="186"/>
      <c r="BP141" s="186"/>
      <c r="BQ141" s="186"/>
      <c r="BR141" s="186"/>
      <c r="BS141" s="186"/>
      <c r="BT141" s="186"/>
      <c r="BU141" s="186"/>
      <c r="BV141" s="186"/>
      <c r="BW141" s="186"/>
      <c r="BX141" s="186"/>
    </row>
  </sheetData>
  <conditionalFormatting sqref="C133:BW138">
    <cfRule type="cellIs" dxfId="1" priority="157" operator="notEqual">
      <formula>0</formula>
    </cfRule>
    <cfRule type="cellIs" dxfId="0" priority="158" operator="equal">
      <formula>0</formula>
    </cfRule>
  </conditionalFormatting>
  <dataValidations count="1">
    <dataValidation type="list" allowBlank="1" showInputMessage="1" showErrorMessage="1" sqref="B4" xr:uid="{00000000-0002-0000-0300-000000000000}">
      <formula1>OFFSET(tb_ValuationToggle,1,0,4,1)</formula1>
    </dataValidation>
  </dataValidations>
  <pageMargins left="0.7" right="0.7" top="0.75" bottom="0.75" header="0.3" footer="0.3"/>
  <pageSetup scale="3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45A47-B0A8-4F33-AB75-ED092158B2A1}">
  <sheetPr codeName="Sheet41"/>
  <dimension ref="B2:J55"/>
  <sheetViews>
    <sheetView showGridLines="0" workbookViewId="0">
      <selection activeCell="C22" sqref="C22:P41"/>
    </sheetView>
  </sheetViews>
  <sheetFormatPr defaultColWidth="8.81640625" defaultRowHeight="14.5" x14ac:dyDescent="0.35"/>
  <cols>
    <col min="1" max="1" width="4.453125" style="12" customWidth="1"/>
    <col min="2" max="2" width="9.81640625" style="12" customWidth="1"/>
    <col min="3" max="3" width="15.7265625" style="12" customWidth="1"/>
    <col min="4" max="4" width="20.7265625" style="12" customWidth="1"/>
    <col min="5" max="5" width="30.7265625" style="12" customWidth="1"/>
    <col min="6" max="6" width="20.7265625" style="12"/>
    <col min="7" max="7" width="23.7265625" style="12" customWidth="1"/>
    <col min="8" max="8" width="45.7265625" style="12" customWidth="1"/>
    <col min="9" max="9" width="7.81640625" style="12" customWidth="1"/>
    <col min="10" max="13" width="8.81640625" style="12" customWidth="1"/>
    <col min="14" max="16384" width="8.81640625" style="12"/>
  </cols>
  <sheetData>
    <row r="2" spans="2:10" x14ac:dyDescent="0.35">
      <c r="B2" s="2"/>
      <c r="C2" s="2"/>
      <c r="D2" s="2"/>
      <c r="E2" s="2"/>
      <c r="F2" s="2"/>
      <c r="G2" s="2"/>
      <c r="H2" s="2"/>
      <c r="I2" s="2"/>
    </row>
    <row r="3" spans="2:10" x14ac:dyDescent="0.35">
      <c r="B3" s="2"/>
      <c r="C3" s="2"/>
      <c r="D3" s="2"/>
      <c r="E3" s="2"/>
      <c r="F3" s="2"/>
      <c r="G3" s="2"/>
      <c r="H3" s="2"/>
      <c r="I3" s="2"/>
    </row>
    <row r="4" spans="2:10" x14ac:dyDescent="0.35">
      <c r="B4" s="2"/>
      <c r="C4" s="2"/>
      <c r="D4" s="2"/>
      <c r="E4" s="2"/>
      <c r="F4" s="2"/>
      <c r="G4" s="2"/>
      <c r="H4" s="2"/>
      <c r="I4" s="2"/>
    </row>
    <row r="5" spans="2:10" x14ac:dyDescent="0.35">
      <c r="B5" s="2"/>
      <c r="C5" s="2"/>
      <c r="D5" s="2"/>
      <c r="E5" s="2"/>
      <c r="F5" s="2"/>
      <c r="G5" s="2"/>
      <c r="H5" s="2"/>
      <c r="I5" s="2"/>
    </row>
    <row r="6" spans="2:10" x14ac:dyDescent="0.35">
      <c r="B6" s="2"/>
      <c r="C6" s="2"/>
      <c r="D6" s="2"/>
      <c r="E6" s="2"/>
      <c r="F6" s="2"/>
      <c r="G6" s="2"/>
      <c r="H6" s="2"/>
      <c r="I6" s="2"/>
    </row>
    <row r="7" spans="2:10" ht="18.5" x14ac:dyDescent="0.35">
      <c r="B7" s="2"/>
      <c r="C7" s="2"/>
      <c r="D7" s="2"/>
      <c r="E7" s="253">
        <f>MATCH(UL.MRQ,MO_Common_ColumnHeader,0)</f>
        <v>47</v>
      </c>
      <c r="F7" s="10" t="s">
        <v>648</v>
      </c>
      <c r="G7" s="281"/>
      <c r="H7" s="94" t="str">
        <f>AA.CSIN</f>
        <v>36KQ9X0131</v>
      </c>
      <c r="I7" s="9"/>
      <c r="J7" s="341"/>
    </row>
    <row r="8" spans="2:10" x14ac:dyDescent="0.35">
      <c r="B8" s="2"/>
      <c r="C8" s="2"/>
      <c r="D8" s="2"/>
      <c r="E8" s="2"/>
      <c r="F8" s="2"/>
      <c r="G8" s="2"/>
      <c r="H8" s="135" t="str">
        <f>+AA.ModelVersion</f>
        <v>Q1-2024.22</v>
      </c>
      <c r="I8" s="2"/>
    </row>
    <row r="9" spans="2:10" x14ac:dyDescent="0.35">
      <c r="B9" s="2"/>
      <c r="C9" s="2"/>
      <c r="D9" s="2"/>
      <c r="E9" s="2"/>
      <c r="F9" s="2"/>
      <c r="G9" s="2"/>
      <c r="H9" s="2"/>
      <c r="I9" s="2"/>
    </row>
    <row r="10" spans="2:10" x14ac:dyDescent="0.35">
      <c r="B10" s="2"/>
      <c r="C10" s="297" t="s">
        <v>352</v>
      </c>
      <c r="D10" s="297" t="s">
        <v>353</v>
      </c>
      <c r="E10" s="297" t="s">
        <v>354</v>
      </c>
      <c r="F10" s="297" t="s">
        <v>402</v>
      </c>
      <c r="G10" s="297" t="s">
        <v>355</v>
      </c>
      <c r="H10" s="300" t="s">
        <v>356</v>
      </c>
      <c r="I10" s="2"/>
    </row>
    <row r="11" spans="2:10" x14ac:dyDescent="0.35">
      <c r="B11" s="2"/>
      <c r="C11" s="15">
        <v>45224</v>
      </c>
      <c r="D11" s="14" t="s">
        <v>624</v>
      </c>
      <c r="E11" s="14" t="s">
        <v>403</v>
      </c>
      <c r="F11" s="14" t="s">
        <v>648</v>
      </c>
      <c r="G11" s="282"/>
      <c r="H11" s="301" t="s">
        <v>358</v>
      </c>
      <c r="I11" s="2"/>
    </row>
    <row r="12" spans="2:10" x14ac:dyDescent="0.35">
      <c r="B12" s="2"/>
      <c r="C12" s="15">
        <v>45223</v>
      </c>
      <c r="D12" s="14" t="s">
        <v>562</v>
      </c>
      <c r="E12" s="14" t="s">
        <v>408</v>
      </c>
      <c r="F12" s="14" t="s">
        <v>648</v>
      </c>
      <c r="G12" s="282"/>
      <c r="H12" s="311" t="s">
        <v>358</v>
      </c>
      <c r="I12" s="2"/>
    </row>
    <row r="13" spans="2:10" x14ac:dyDescent="0.35">
      <c r="B13" s="2"/>
      <c r="C13" s="15">
        <v>45154</v>
      </c>
      <c r="D13" s="14" t="s">
        <v>636</v>
      </c>
      <c r="E13" s="14" t="s">
        <v>404</v>
      </c>
      <c r="F13" s="14" t="s">
        <v>622</v>
      </c>
      <c r="G13" s="282"/>
      <c r="H13" s="311" t="s">
        <v>358</v>
      </c>
      <c r="I13" s="2"/>
    </row>
    <row r="14" spans="2:10" x14ac:dyDescent="0.35">
      <c r="B14" s="2"/>
      <c r="C14" s="15">
        <v>45153</v>
      </c>
      <c r="D14" s="14" t="s">
        <v>417</v>
      </c>
      <c r="E14" s="14" t="s">
        <v>408</v>
      </c>
      <c r="F14" s="14" t="s">
        <v>622</v>
      </c>
      <c r="G14" s="282"/>
      <c r="H14" s="311" t="s">
        <v>358</v>
      </c>
      <c r="I14" s="2"/>
    </row>
    <row r="15" spans="2:10" x14ac:dyDescent="0.35">
      <c r="B15" s="2"/>
      <c r="C15" s="15">
        <v>45042</v>
      </c>
      <c r="D15" s="14" t="s">
        <v>624</v>
      </c>
      <c r="E15" s="14" t="s">
        <v>403</v>
      </c>
      <c r="F15" s="14" t="s">
        <v>628</v>
      </c>
      <c r="G15" s="282"/>
      <c r="H15" s="311" t="s">
        <v>358</v>
      </c>
      <c r="I15" s="2"/>
    </row>
    <row r="16" spans="2:10" x14ac:dyDescent="0.35">
      <c r="B16" s="2"/>
      <c r="C16" s="15">
        <v>45041</v>
      </c>
      <c r="D16" s="14" t="s">
        <v>417</v>
      </c>
      <c r="E16" s="14" t="s">
        <v>408</v>
      </c>
      <c r="F16" s="14" t="s">
        <v>628</v>
      </c>
      <c r="G16" s="282"/>
      <c r="H16" s="311" t="s">
        <v>358</v>
      </c>
      <c r="I16" s="2"/>
    </row>
    <row r="17" spans="2:9" x14ac:dyDescent="0.35">
      <c r="B17" s="2"/>
      <c r="C17" s="15">
        <v>44951</v>
      </c>
      <c r="D17" s="14" t="s">
        <v>624</v>
      </c>
      <c r="E17" s="14" t="s">
        <v>403</v>
      </c>
      <c r="F17" s="14" t="s">
        <v>623</v>
      </c>
      <c r="G17" s="282"/>
      <c r="H17" s="311" t="s">
        <v>358</v>
      </c>
      <c r="I17" s="2"/>
    </row>
    <row r="18" spans="2:9" x14ac:dyDescent="0.35">
      <c r="B18" s="2"/>
      <c r="C18" s="15">
        <v>44950</v>
      </c>
      <c r="D18" s="14" t="s">
        <v>562</v>
      </c>
      <c r="E18" s="14" t="s">
        <v>408</v>
      </c>
      <c r="F18" s="14" t="s">
        <v>623</v>
      </c>
      <c r="G18" s="282"/>
      <c r="H18" s="311" t="s">
        <v>358</v>
      </c>
      <c r="I18" s="2"/>
    </row>
    <row r="19" spans="2:9" x14ac:dyDescent="0.35">
      <c r="B19" s="2"/>
      <c r="C19" s="15">
        <v>44860</v>
      </c>
      <c r="D19" s="14" t="s">
        <v>624</v>
      </c>
      <c r="E19" s="14" t="s">
        <v>403</v>
      </c>
      <c r="F19" s="14" t="s">
        <v>620</v>
      </c>
      <c r="G19" s="282"/>
      <c r="H19" s="311" t="s">
        <v>358</v>
      </c>
      <c r="I19" s="2"/>
    </row>
    <row r="20" spans="2:9" x14ac:dyDescent="0.35">
      <c r="B20" s="2"/>
      <c r="C20" s="15">
        <v>44859</v>
      </c>
      <c r="D20" s="14" t="s">
        <v>562</v>
      </c>
      <c r="E20" s="14" t="s">
        <v>408</v>
      </c>
      <c r="F20" s="14" t="s">
        <v>620</v>
      </c>
      <c r="G20" s="282"/>
      <c r="H20" s="311" t="s">
        <v>358</v>
      </c>
      <c r="I20" s="2"/>
    </row>
    <row r="21" spans="2:9" x14ac:dyDescent="0.35">
      <c r="B21" s="2"/>
      <c r="C21" s="15">
        <v>44796</v>
      </c>
      <c r="D21" s="14" t="s">
        <v>609</v>
      </c>
      <c r="E21" s="14" t="s">
        <v>404</v>
      </c>
      <c r="F21" s="14" t="s">
        <v>584</v>
      </c>
      <c r="G21" s="282"/>
      <c r="H21" s="311" t="s">
        <v>358</v>
      </c>
      <c r="I21" s="2"/>
    </row>
    <row r="22" spans="2:9" x14ac:dyDescent="0.35">
      <c r="B22" s="2"/>
      <c r="C22" s="15">
        <v>44782</v>
      </c>
      <c r="D22" s="14" t="s">
        <v>562</v>
      </c>
      <c r="E22" s="14" t="s">
        <v>408</v>
      </c>
      <c r="F22" s="14" t="s">
        <v>584</v>
      </c>
      <c r="G22" s="282"/>
      <c r="H22" s="311" t="s">
        <v>358</v>
      </c>
      <c r="I22" s="2"/>
    </row>
    <row r="23" spans="2:9" x14ac:dyDescent="0.35">
      <c r="B23" s="2"/>
      <c r="C23" s="15">
        <v>44671</v>
      </c>
      <c r="D23" s="14" t="s">
        <v>562</v>
      </c>
      <c r="E23" s="14" t="s">
        <v>403</v>
      </c>
      <c r="F23" s="14" t="s">
        <v>599</v>
      </c>
      <c r="G23" s="282"/>
      <c r="H23" s="311" t="s">
        <v>358</v>
      </c>
      <c r="I23" s="2"/>
    </row>
    <row r="24" spans="2:9" x14ac:dyDescent="0.35">
      <c r="B24" s="2"/>
      <c r="C24" s="15">
        <v>44670</v>
      </c>
      <c r="D24" s="14" t="s">
        <v>562</v>
      </c>
      <c r="E24" s="14" t="s">
        <v>408</v>
      </c>
      <c r="F24" s="14" t="s">
        <v>599</v>
      </c>
      <c r="G24" s="282"/>
      <c r="H24" s="311" t="s">
        <v>358</v>
      </c>
      <c r="I24" s="2"/>
    </row>
    <row r="25" spans="2:9" x14ac:dyDescent="0.35">
      <c r="B25" s="2"/>
      <c r="C25" s="15">
        <v>44587</v>
      </c>
      <c r="D25" s="14" t="s">
        <v>562</v>
      </c>
      <c r="E25" s="14" t="s">
        <v>403</v>
      </c>
      <c r="F25" s="14" t="s">
        <v>585</v>
      </c>
      <c r="G25" s="282"/>
      <c r="H25" s="311" t="s">
        <v>358</v>
      </c>
      <c r="I25" s="2"/>
    </row>
    <row r="26" spans="2:9" x14ac:dyDescent="0.35">
      <c r="B26" s="2"/>
      <c r="C26" s="15">
        <v>44586</v>
      </c>
      <c r="D26" s="14" t="s">
        <v>417</v>
      </c>
      <c r="E26" s="14" t="s">
        <v>408</v>
      </c>
      <c r="F26" s="14" t="s">
        <v>585</v>
      </c>
      <c r="G26" s="282"/>
      <c r="H26" s="311" t="s">
        <v>358</v>
      </c>
      <c r="I26" s="2"/>
    </row>
    <row r="27" spans="2:9" x14ac:dyDescent="0.35">
      <c r="B27" s="2"/>
      <c r="C27" s="15">
        <v>44489</v>
      </c>
      <c r="D27" s="14" t="s">
        <v>562</v>
      </c>
      <c r="E27" s="14" t="s">
        <v>403</v>
      </c>
      <c r="F27" s="14" t="s">
        <v>581</v>
      </c>
      <c r="G27" s="282"/>
      <c r="H27" s="311" t="s">
        <v>358</v>
      </c>
      <c r="I27" s="2"/>
    </row>
    <row r="28" spans="2:9" x14ac:dyDescent="0.35">
      <c r="B28" s="2"/>
      <c r="C28" s="15">
        <v>44488</v>
      </c>
      <c r="D28" s="14" t="s">
        <v>562</v>
      </c>
      <c r="E28" s="14" t="s">
        <v>408</v>
      </c>
      <c r="F28" s="14" t="s">
        <v>581</v>
      </c>
      <c r="G28" s="282"/>
      <c r="H28" s="311" t="s">
        <v>358</v>
      </c>
      <c r="I28" s="2"/>
    </row>
    <row r="29" spans="2:9" x14ac:dyDescent="0.35">
      <c r="B29" s="2"/>
      <c r="C29" s="15">
        <v>44421</v>
      </c>
      <c r="D29" s="14" t="s">
        <v>562</v>
      </c>
      <c r="E29" s="14" t="s">
        <v>404</v>
      </c>
      <c r="F29" s="14" t="s">
        <v>438</v>
      </c>
      <c r="G29" s="282"/>
      <c r="H29" s="311" t="s">
        <v>358</v>
      </c>
      <c r="I29" s="2"/>
    </row>
    <row r="30" spans="2:9" x14ac:dyDescent="0.35">
      <c r="B30" s="2"/>
      <c r="C30" s="15">
        <v>44418</v>
      </c>
      <c r="D30" s="14" t="s">
        <v>417</v>
      </c>
      <c r="E30" s="14" t="s">
        <v>408</v>
      </c>
      <c r="F30" s="14" t="s">
        <v>438</v>
      </c>
      <c r="G30" s="282"/>
      <c r="H30" s="311" t="s">
        <v>358</v>
      </c>
      <c r="I30" s="2"/>
    </row>
    <row r="31" spans="2:9" x14ac:dyDescent="0.35">
      <c r="B31" s="2"/>
      <c r="C31" s="15">
        <v>44306</v>
      </c>
      <c r="D31" s="14" t="s">
        <v>417</v>
      </c>
      <c r="E31" s="14" t="s">
        <v>403</v>
      </c>
      <c r="F31" s="14" t="s">
        <v>500</v>
      </c>
      <c r="G31" s="282"/>
      <c r="H31" s="311" t="s">
        <v>358</v>
      </c>
      <c r="I31" s="2"/>
    </row>
    <row r="32" spans="2:9" x14ac:dyDescent="0.35">
      <c r="B32" s="2"/>
      <c r="C32" s="15">
        <v>44222</v>
      </c>
      <c r="D32" s="14" t="s">
        <v>411</v>
      </c>
      <c r="E32" s="14" t="s">
        <v>403</v>
      </c>
      <c r="F32" s="14" t="s">
        <v>481</v>
      </c>
      <c r="G32" s="282"/>
      <c r="H32" s="311" t="s">
        <v>358</v>
      </c>
      <c r="I32" s="2"/>
    </row>
    <row r="33" spans="2:9" x14ac:dyDescent="0.35">
      <c r="B33" s="2"/>
      <c r="C33" s="15">
        <v>44130</v>
      </c>
      <c r="D33" s="14" t="s">
        <v>441</v>
      </c>
      <c r="E33" s="14" t="s">
        <v>403</v>
      </c>
      <c r="F33" s="14" t="s">
        <v>440</v>
      </c>
      <c r="G33" s="282"/>
      <c r="H33" s="311" t="s">
        <v>358</v>
      </c>
      <c r="I33" s="2"/>
    </row>
    <row r="34" spans="2:9" x14ac:dyDescent="0.35">
      <c r="B34" s="2"/>
      <c r="C34" s="15">
        <v>44054</v>
      </c>
      <c r="D34" s="14" t="s">
        <v>434</v>
      </c>
      <c r="E34" s="14" t="s">
        <v>404</v>
      </c>
      <c r="F34" s="14" t="s">
        <v>390</v>
      </c>
      <c r="G34" s="282"/>
      <c r="H34" s="311" t="s">
        <v>358</v>
      </c>
      <c r="I34" s="2"/>
    </row>
    <row r="35" spans="2:9" x14ac:dyDescent="0.35">
      <c r="B35" s="2"/>
      <c r="C35" s="15">
        <v>43949</v>
      </c>
      <c r="D35" s="14" t="s">
        <v>417</v>
      </c>
      <c r="E35" s="14" t="s">
        <v>403</v>
      </c>
      <c r="F35" s="14" t="s">
        <v>406</v>
      </c>
      <c r="G35" s="282"/>
      <c r="H35" s="311" t="s">
        <v>358</v>
      </c>
      <c r="I35" s="2"/>
    </row>
    <row r="36" spans="2:9" x14ac:dyDescent="0.35">
      <c r="B36" s="2"/>
      <c r="C36" s="15">
        <v>43948</v>
      </c>
      <c r="D36" s="14" t="s">
        <v>411</v>
      </c>
      <c r="E36" s="14" t="s">
        <v>408</v>
      </c>
      <c r="F36" s="14" t="s">
        <v>406</v>
      </c>
      <c r="G36" s="282"/>
      <c r="H36" s="301" t="s">
        <v>358</v>
      </c>
      <c r="I36" s="2"/>
    </row>
    <row r="37" spans="2:9" x14ac:dyDescent="0.35">
      <c r="B37" s="2"/>
      <c r="C37" s="15">
        <v>43858</v>
      </c>
      <c r="D37" s="14" t="s">
        <v>407</v>
      </c>
      <c r="E37" s="14" t="s">
        <v>403</v>
      </c>
      <c r="F37" s="14" t="s">
        <v>392</v>
      </c>
      <c r="G37" s="282"/>
      <c r="H37" s="280" t="s">
        <v>358</v>
      </c>
      <c r="I37" s="2"/>
    </row>
    <row r="38" spans="2:9" x14ac:dyDescent="0.35">
      <c r="B38" s="2"/>
      <c r="C38" s="201">
        <v>43857</v>
      </c>
      <c r="D38" s="202" t="s">
        <v>407</v>
      </c>
      <c r="E38" s="202" t="s">
        <v>408</v>
      </c>
      <c r="F38" s="202" t="s">
        <v>392</v>
      </c>
      <c r="G38" s="284"/>
      <c r="H38" s="280" t="s">
        <v>358</v>
      </c>
      <c r="I38" s="2"/>
    </row>
    <row r="39" spans="2:9" x14ac:dyDescent="0.35">
      <c r="B39" s="2"/>
      <c r="C39" s="15">
        <v>43761</v>
      </c>
      <c r="D39" s="14" t="s">
        <v>400</v>
      </c>
      <c r="E39" s="14" t="s">
        <v>403</v>
      </c>
      <c r="F39" s="14" t="s">
        <v>385</v>
      </c>
      <c r="G39" s="282"/>
      <c r="H39" s="280" t="s">
        <v>358</v>
      </c>
      <c r="I39" s="2"/>
    </row>
    <row r="40" spans="2:9" x14ac:dyDescent="0.35">
      <c r="B40" s="2"/>
      <c r="C40" s="224">
        <v>43689</v>
      </c>
      <c r="D40" s="225" t="s">
        <v>380</v>
      </c>
      <c r="E40" s="225" t="s">
        <v>404</v>
      </c>
      <c r="F40" s="225" t="s">
        <v>294</v>
      </c>
      <c r="G40" s="283"/>
      <c r="H40" s="251" t="s">
        <v>358</v>
      </c>
      <c r="I40" s="2"/>
    </row>
    <row r="41" spans="2:9" x14ac:dyDescent="0.35">
      <c r="B41" s="2"/>
      <c r="C41" s="224">
        <v>43580</v>
      </c>
      <c r="D41" s="225" t="s">
        <v>357</v>
      </c>
      <c r="E41" s="225" t="s">
        <v>403</v>
      </c>
      <c r="F41" s="225" t="s">
        <v>299</v>
      </c>
      <c r="G41" s="283"/>
      <c r="H41" s="251" t="s">
        <v>358</v>
      </c>
      <c r="I41" s="2"/>
    </row>
    <row r="42" spans="2:9" x14ac:dyDescent="0.35">
      <c r="B42" s="2"/>
      <c r="C42" s="224">
        <v>43488</v>
      </c>
      <c r="D42" s="225" t="s">
        <v>359</v>
      </c>
      <c r="E42" s="225" t="s">
        <v>403</v>
      </c>
      <c r="F42" s="225" t="s">
        <v>300</v>
      </c>
      <c r="G42" s="283"/>
      <c r="H42" s="251" t="s">
        <v>358</v>
      </c>
      <c r="I42" s="2"/>
    </row>
    <row r="43" spans="2:9" x14ac:dyDescent="0.35">
      <c r="B43" s="2"/>
      <c r="C43" s="224">
        <v>43397</v>
      </c>
      <c r="D43" s="225" t="s">
        <v>360</v>
      </c>
      <c r="E43" s="225" t="s">
        <v>403</v>
      </c>
      <c r="F43" s="225" t="s">
        <v>361</v>
      </c>
      <c r="G43" s="283"/>
      <c r="H43" s="227" t="s">
        <v>358</v>
      </c>
      <c r="I43" s="2"/>
    </row>
    <row r="44" spans="2:9" x14ac:dyDescent="0.35">
      <c r="B44" s="2"/>
      <c r="C44" s="224">
        <v>43327</v>
      </c>
      <c r="D44" s="225" t="s">
        <v>362</v>
      </c>
      <c r="E44" s="226" t="s">
        <v>404</v>
      </c>
      <c r="F44" s="226" t="s">
        <v>302</v>
      </c>
      <c r="G44" s="283"/>
      <c r="H44" s="227" t="s">
        <v>358</v>
      </c>
      <c r="I44" s="2"/>
    </row>
    <row r="45" spans="2:9" x14ac:dyDescent="0.35">
      <c r="B45" s="2"/>
      <c r="C45" s="201">
        <v>43215</v>
      </c>
      <c r="D45" s="202" t="s">
        <v>363</v>
      </c>
      <c r="E45" s="203" t="s">
        <v>403</v>
      </c>
      <c r="F45" s="203" t="s">
        <v>364</v>
      </c>
      <c r="G45" s="284"/>
      <c r="H45" s="204" t="s">
        <v>358</v>
      </c>
      <c r="I45" s="2"/>
    </row>
    <row r="46" spans="2:9" x14ac:dyDescent="0.35">
      <c r="B46" s="2"/>
      <c r="C46" s="15">
        <v>43126</v>
      </c>
      <c r="D46" s="14" t="s">
        <v>365</v>
      </c>
      <c r="E46" s="13" t="s">
        <v>403</v>
      </c>
      <c r="F46" s="13" t="s">
        <v>366</v>
      </c>
      <c r="G46" s="282"/>
      <c r="H46" s="91" t="s">
        <v>358</v>
      </c>
      <c r="I46" s="2"/>
    </row>
    <row r="47" spans="2:9" x14ac:dyDescent="0.35">
      <c r="B47" s="2"/>
      <c r="C47" s="15">
        <v>43035</v>
      </c>
      <c r="D47" s="14" t="s">
        <v>367</v>
      </c>
      <c r="E47" s="13" t="s">
        <v>403</v>
      </c>
      <c r="F47" s="13" t="s">
        <v>368</v>
      </c>
      <c r="G47" s="282"/>
      <c r="H47" s="91" t="s">
        <v>358</v>
      </c>
      <c r="I47" s="2"/>
    </row>
    <row r="48" spans="2:9" x14ac:dyDescent="0.35">
      <c r="B48" s="2"/>
      <c r="C48" s="15">
        <v>42957</v>
      </c>
      <c r="D48" s="14" t="s">
        <v>369</v>
      </c>
      <c r="E48" s="13" t="s">
        <v>404</v>
      </c>
      <c r="F48" s="13" t="s">
        <v>370</v>
      </c>
      <c r="G48" s="282"/>
      <c r="H48" s="91" t="s">
        <v>358</v>
      </c>
      <c r="I48" s="2"/>
    </row>
    <row r="49" spans="2:9" x14ac:dyDescent="0.35">
      <c r="B49" s="2"/>
      <c r="C49" s="15">
        <v>42874</v>
      </c>
      <c r="D49" s="14" t="s">
        <v>371</v>
      </c>
      <c r="E49" s="13" t="s">
        <v>403</v>
      </c>
      <c r="F49" s="13" t="s">
        <v>372</v>
      </c>
      <c r="G49" s="282"/>
      <c r="H49" s="91" t="s">
        <v>358</v>
      </c>
      <c r="I49" s="2"/>
    </row>
    <row r="50" spans="2:9" x14ac:dyDescent="0.35">
      <c r="B50" s="2"/>
      <c r="C50" s="15">
        <v>42762</v>
      </c>
      <c r="D50" s="14" t="s">
        <v>373</v>
      </c>
      <c r="E50" s="13" t="s">
        <v>403</v>
      </c>
      <c r="F50" s="13" t="s">
        <v>374</v>
      </c>
      <c r="G50" s="282"/>
      <c r="H50" s="91" t="s">
        <v>358</v>
      </c>
      <c r="I50" s="2"/>
    </row>
    <row r="51" spans="2:9" x14ac:dyDescent="0.35">
      <c r="B51" s="2"/>
      <c r="C51" s="15">
        <v>42681</v>
      </c>
      <c r="D51" s="14" t="s">
        <v>375</v>
      </c>
      <c r="E51" s="13" t="s">
        <v>403</v>
      </c>
      <c r="F51" s="13" t="s">
        <v>376</v>
      </c>
      <c r="G51" s="282"/>
      <c r="H51" s="91" t="s">
        <v>358</v>
      </c>
      <c r="I51" s="2"/>
    </row>
    <row r="52" spans="2:9" x14ac:dyDescent="0.35">
      <c r="B52" s="2"/>
      <c r="C52" s="15">
        <v>42556</v>
      </c>
      <c r="D52" s="14" t="s">
        <v>377</v>
      </c>
      <c r="E52" s="13" t="s">
        <v>378</v>
      </c>
      <c r="F52" s="13" t="s">
        <v>405</v>
      </c>
      <c r="G52" s="282"/>
      <c r="H52" s="91"/>
      <c r="I52" s="2"/>
    </row>
    <row r="53" spans="2:9" x14ac:dyDescent="0.35">
      <c r="B53" s="464"/>
      <c r="C53" s="464"/>
      <c r="D53" s="464"/>
      <c r="E53" s="464"/>
      <c r="F53" s="464"/>
      <c r="G53" s="464"/>
      <c r="H53" s="464"/>
      <c r="I53" s="464"/>
    </row>
    <row r="54" spans="2:9" x14ac:dyDescent="0.35">
      <c r="B54" s="464"/>
      <c r="C54" s="464"/>
      <c r="D54" s="464"/>
      <c r="E54" s="464"/>
      <c r="F54" s="464"/>
      <c r="G54" s="464"/>
      <c r="H54" s="464"/>
      <c r="I54" s="464"/>
    </row>
    <row r="55" spans="2:9" x14ac:dyDescent="0.35">
      <c r="B55" s="464"/>
      <c r="C55" s="464"/>
      <c r="D55" s="464"/>
      <c r="E55" s="464"/>
      <c r="F55" s="464"/>
      <c r="G55" s="464"/>
      <c r="H55" s="464"/>
      <c r="I55" s="464"/>
    </row>
  </sheetData>
  <hyperlinks>
    <hyperlink ref="H41" r:id="rId1" tooltip="Website Link" xr:uid="{00000000-0004-0000-0400-000000000000}"/>
    <hyperlink ref="H42" r:id="rId2" tooltip="Website Link" xr:uid="{00000000-0004-0000-0400-000001000000}"/>
    <hyperlink ref="H43" r:id="rId3" tooltip="Website Link" xr:uid="{00000000-0004-0000-0400-000002000000}"/>
    <hyperlink ref="H44" r:id="rId4" tooltip="Website Link" xr:uid="{00000000-0004-0000-0400-000003000000}"/>
    <hyperlink ref="H45" r:id="rId5" tooltip="Website Link" xr:uid="{00000000-0004-0000-0400-000004000000}"/>
    <hyperlink ref="H46" r:id="rId6" tooltip="Website Link" xr:uid="{00000000-0004-0000-0400-000005000000}"/>
    <hyperlink ref="H47" r:id="rId7" tooltip="Website Link" xr:uid="{00000000-0004-0000-0400-000006000000}"/>
    <hyperlink ref="H48" r:id="rId8" tooltip="Website Link" xr:uid="{00000000-0004-0000-0400-000007000000}"/>
    <hyperlink ref="H49" r:id="rId9" tooltip="Website Link" xr:uid="{00000000-0004-0000-0400-000008000000}"/>
    <hyperlink ref="H50" r:id="rId10" tooltip="Website Link" xr:uid="{00000000-0004-0000-0400-000009000000}"/>
    <hyperlink ref="H51" r:id="rId11" tooltip="Website Link" xr:uid="{00000000-0004-0000-0400-00000A000000}"/>
    <hyperlink ref="H40" r:id="rId12" tooltip="Website Link" xr:uid="{00000000-0004-0000-0400-00000B000000}"/>
    <hyperlink ref="H39" r:id="rId13" tooltip="Website Link" xr:uid="{00000000-0004-0000-0400-00000C000000}"/>
    <hyperlink ref="H38" r:id="rId14" tooltip="Website Link" xr:uid="{00000000-0004-0000-0400-00000D000000}"/>
    <hyperlink ref="H37" r:id="rId15" tooltip="Website Link" xr:uid="{00000000-0004-0000-0400-00000E000000}"/>
    <hyperlink ref="H36" r:id="rId16" tooltip="Website Link" xr:uid="{00000000-0004-0000-0400-00000F000000}"/>
    <hyperlink ref="H35" r:id="rId17" tooltip="Website Link" xr:uid="{00000000-0004-0000-0400-000010000000}"/>
    <hyperlink ref="H34" r:id="rId18" tooltip="Website Link" xr:uid="{00000000-0004-0000-0400-000011000000}"/>
    <hyperlink ref="H33" r:id="rId19" tooltip="Website Link" xr:uid="{00000000-0004-0000-0400-000012000000}"/>
    <hyperlink ref="H32" r:id="rId20" tooltip="Website Link" xr:uid="{00000000-0004-0000-0400-000013000000}"/>
    <hyperlink ref="H31" r:id="rId21" tooltip="Website Link" xr:uid="{00000000-0004-0000-0400-000014000000}"/>
    <hyperlink ref="H30" r:id="rId22" tooltip="Website Link" xr:uid="{00000000-0004-0000-0400-000015000000}"/>
    <hyperlink ref="H29" r:id="rId23" tooltip="Website Link" xr:uid="{00000000-0004-0000-0400-000016000000}"/>
    <hyperlink ref="H28" r:id="rId24" tooltip="Website Link" xr:uid="{00000000-0004-0000-0400-000017000000}"/>
    <hyperlink ref="H27" r:id="rId25" tooltip="Website Link" xr:uid="{00000000-0004-0000-0400-000018000000}"/>
    <hyperlink ref="H26" r:id="rId26" tooltip="Website Link" xr:uid="{00000000-0004-0000-0400-000019000000}"/>
    <hyperlink ref="H25" r:id="rId27" tooltip="Website Link" xr:uid="{00000000-0004-0000-0400-00001A000000}"/>
    <hyperlink ref="H24" r:id="rId28" tooltip="Website Link" xr:uid="{00000000-0004-0000-0400-00001B000000}"/>
    <hyperlink ref="H23" r:id="rId29" tooltip="Website Link" xr:uid="{00000000-0004-0000-0400-00001C000000}"/>
    <hyperlink ref="H22" r:id="rId30" tooltip="Website Link" xr:uid="{00000000-0004-0000-0400-00001D000000}"/>
    <hyperlink ref="H21" r:id="rId31" tooltip="Website Link" xr:uid="{00000000-0004-0000-0400-00001E000000}"/>
    <hyperlink ref="H20" r:id="rId32" tooltip="Website Link" xr:uid="{00000000-0004-0000-0400-00001F000000}"/>
    <hyperlink ref="H19" r:id="rId33" tooltip="Website Link" xr:uid="{00000000-0004-0000-0400-000020000000}"/>
    <hyperlink ref="H18" r:id="rId34" tooltip="Website Link" xr:uid="{00000000-0004-0000-0400-000021000000}"/>
    <hyperlink ref="H17" r:id="rId35" tooltip="Website Link" xr:uid="{00000000-0004-0000-0400-000022000000}"/>
    <hyperlink ref="H16" r:id="rId36" tooltip="Website Link" xr:uid="{00000000-0004-0000-0400-000023000000}"/>
    <hyperlink ref="H15" r:id="rId37" tooltip="Website Link" xr:uid="{00000000-0004-0000-0400-000024000000}"/>
    <hyperlink ref="H14" r:id="rId38" tooltip="Website Link" xr:uid="{00000000-0004-0000-0400-000025000000}"/>
    <hyperlink ref="H13" r:id="rId39" tooltip="Website Link" xr:uid="{00000000-0004-0000-0400-000026000000}"/>
    <hyperlink ref="H12" r:id="rId40" tooltip="Website Link" xr:uid="{00000000-0004-0000-0400-000027000000}"/>
    <hyperlink ref="H11" r:id="rId41" tooltip="Website Link" xr:uid="{00000000-0004-0000-0400-000028000000}"/>
  </hyperlinks>
  <pageMargins left="0.7" right="0.7" top="0.75" bottom="0.75" header="0.3" footer="0.3"/>
  <pageSetup orientation="portrait" r:id="rId42"/>
  <drawing r:id="rId4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684023ab-f3fa-4f75-8c85-aad38775666c" xsi:nil="true"/>
    <lcf76f155ced4ddcb4097134ff3c332f xmlns="700f816a-2d70-48f7-98b4-aa062cbdb163">
      <Terms xmlns="http://schemas.microsoft.com/office/infopath/2007/PartnerControls"/>
    </lcf76f155ced4ddcb4097134ff3c332f>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97B54F80F9326D4AB5846AC1C3383526" ma:contentTypeVersion="18" ma:contentTypeDescription="Create a new document." ma:contentTypeScope="" ma:versionID="a429a91d62400243b3cba045310d747f">
  <xsd:schema xmlns:xsd="http://www.w3.org/2001/XMLSchema" xmlns:xs="http://www.w3.org/2001/XMLSchema" xmlns:p="http://schemas.microsoft.com/office/2006/metadata/properties" xmlns:ns2="700f816a-2d70-48f7-98b4-aa062cbdb163" xmlns:ns3="684023ab-f3fa-4f75-8c85-aad38775666c" targetNamespace="http://schemas.microsoft.com/office/2006/metadata/properties" ma:root="true" ma:fieldsID="9fd41046c3a9fbdd1121c909508001eb" ns2:_="" ns3:_="">
    <xsd:import namespace="700f816a-2d70-48f7-98b4-aa062cbdb163"/>
    <xsd:import namespace="684023ab-f3fa-4f75-8c85-aad38775666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0f816a-2d70-48f7-98b4-aa062cbdb1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ceb9303-a7f0-4f8a-8c8a-ed661295ba0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4023ab-f3fa-4f75-8c85-aad38775666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493c1c2-3348-4bb2-9cf0-bfee56a9355e}" ma:internalName="TaxCatchAll" ma:showField="CatchAllData" ma:web="684023ab-f3fa-4f75-8c85-aad3877566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9799B38-712D-4ACA-B6A2-CB49C0D7CB0A}">
  <ds:schemaRefs>
    <ds:schemaRef ds:uri="http://schemas.microsoft.com/sharepoint/v3/contenttype/forms"/>
  </ds:schemaRefs>
</ds:datastoreItem>
</file>

<file path=customXml/itemProps2.xml><?xml version="1.0" encoding="utf-8"?>
<ds:datastoreItem xmlns:ds="http://schemas.openxmlformats.org/officeDocument/2006/customXml" ds:itemID="{9716DA79-774B-4249-9B16-B9B6B5AA281A}">
  <ds:schemaRefs>
    <ds:schemaRef ds:uri="http://schemas.microsoft.com/office/2006/metadata/properties"/>
    <ds:schemaRef ds:uri="http://schemas.openxmlformats.org/package/2006/metadata/core-properties"/>
    <ds:schemaRef ds:uri="http://purl.org/dc/elements/1.1/"/>
    <ds:schemaRef ds:uri="http://purl.org/dc/terms/"/>
    <ds:schemaRef ds:uri="http://schemas.microsoft.com/office/infopath/2007/PartnerControls"/>
    <ds:schemaRef ds:uri="http://schemas.microsoft.com/office/2006/documentManagement/types"/>
    <ds:schemaRef ds:uri="684023ab-f3fa-4f75-8c85-aad38775666c"/>
    <ds:schemaRef ds:uri="700f816a-2d70-48f7-98b4-aa062cbdb163"/>
    <ds:schemaRef ds:uri="http://www.w3.org/XML/1998/namespace"/>
    <ds:schemaRef ds:uri="http://purl.org/dc/dcmitype/"/>
  </ds:schemaRefs>
</ds:datastoreItem>
</file>

<file path=customXml/itemProps3.xml><?xml version="1.0" encoding="utf-8"?>
<ds:datastoreItem xmlns:ds="http://schemas.openxmlformats.org/officeDocument/2006/customXml" ds:itemID="{F091858B-5CA3-4C5E-99B3-BAEE6F0F3FA8}">
  <ds:schemaRefs>
    <ds:schemaRef ds:uri="http://www.w3.org/2001/XMLSchema"/>
  </ds:schemaRefs>
</ds:datastoreItem>
</file>

<file path=customXml/itemProps4.xml><?xml version="1.0" encoding="utf-8"?>
<ds:datastoreItem xmlns:ds="http://schemas.openxmlformats.org/officeDocument/2006/customXml" ds:itemID="{A4627451-8F16-41B0-B351-AE5B661AB0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0f816a-2d70-48f7-98b4-aa062cbdb163"/>
    <ds:schemaRef ds:uri="684023ab-f3fa-4f75-8c85-aad3877566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27</vt:i4>
      </vt:variant>
      <vt:variant>
        <vt:lpstr>Named Ranges</vt:lpstr>
      </vt:variant>
      <vt:variant>
        <vt:i4>1264</vt:i4>
      </vt:variant>
    </vt:vector>
  </HeadingPairs>
  <TitlesOfParts>
    <vt:vector size="1291" baseType="lpstr">
      <vt:lpstr>Base</vt:lpstr>
      <vt:lpstr>Upside</vt:lpstr>
      <vt:lpstr>Downside</vt:lpstr>
      <vt:lpstr>Historicals</vt:lpstr>
      <vt:lpstr>Convert Math</vt:lpstr>
      <vt:lpstr>Semrush</vt:lpstr>
      <vt:lpstr>Fuzzy Panda Track Record</vt:lpstr>
      <vt:lpstr>Front Page</vt:lpstr>
      <vt:lpstr>Model</vt:lpstr>
      <vt:lpstr>Guidance Analysis</vt:lpstr>
      <vt:lpstr>Q4 Credibility</vt:lpstr>
      <vt:lpstr>State Database</vt:lpstr>
      <vt:lpstr>TX Detail</vt:lpstr>
      <vt:lpstr>IN Detail</vt:lpstr>
      <vt:lpstr>OH Detail</vt:lpstr>
      <vt:lpstr>AZ Detail</vt:lpstr>
      <vt:lpstr>MI Detail</vt:lpstr>
      <vt:lpstr>State Trends</vt:lpstr>
      <vt:lpstr>K12 Schools</vt:lpstr>
      <vt:lpstr>Guidance</vt:lpstr>
      <vt:lpstr>APOL Case Study</vt:lpstr>
      <vt:lpstr>APOL timeline</vt:lpstr>
      <vt:lpstr>APOL stock chart</vt:lpstr>
      <vt:lpstr>APOL historicals</vt:lpstr>
      <vt:lpstr>Sheet3</vt:lpstr>
      <vt:lpstr>Summary Page</vt:lpstr>
      <vt:lpstr>Update Log</vt:lpstr>
      <vt:lpstr>FP.DataSource</vt:lpstr>
      <vt:lpstr>FP.DataSourceName</vt:lpstr>
      <vt:lpstr>FP.Disclaimer</vt:lpstr>
      <vt:lpstr>FP.LastPrice</vt:lpstr>
      <vt:lpstr>FP.LastPriceDate</vt:lpstr>
      <vt:lpstr>FP.RealTimeToggle</vt:lpstr>
      <vt:lpstr>FP.UpdateDate</vt:lpstr>
      <vt:lpstr>FP.UpdateEvent</vt:lpstr>
      <vt:lpstr>FP_Comment</vt:lpstr>
      <vt:lpstr>FP_StockPriceOverride</vt:lpstr>
      <vt:lpstr>'Guidance Analysis'!GD.CompanyName</vt:lpstr>
      <vt:lpstr>GD.CompanyName</vt:lpstr>
      <vt:lpstr>'Guidance Analysis'!GD.MRQ</vt:lpstr>
      <vt:lpstr>GD.MRQ</vt:lpstr>
      <vt:lpstr>'Guidance Analysis'!GD_Difference_Mid_Absolute</vt:lpstr>
      <vt:lpstr>GD_Difference_Mid_Absolute</vt:lpstr>
      <vt:lpstr>'Guidance Analysis'!GD_Difference_Mid_Relative</vt:lpstr>
      <vt:lpstr>GD_Difference_Mid_Relative</vt:lpstr>
      <vt:lpstr>'Guidance Analysis'!GD_Guidance_High</vt:lpstr>
      <vt:lpstr>GD_Guidance_High</vt:lpstr>
      <vt:lpstr>'Guidance Analysis'!GD_Guidance_Low</vt:lpstr>
      <vt:lpstr>GD_Guidance_Low</vt:lpstr>
      <vt:lpstr>'Guidance Analysis'!GD_Guidance_Mid</vt:lpstr>
      <vt:lpstr>GD_Guidance_Mid</vt:lpstr>
      <vt:lpstr>'Guidance Analysis'!GD_Header_Column</vt:lpstr>
      <vt:lpstr>GD_Header_Column</vt:lpstr>
      <vt:lpstr>'Guidance Analysis'!GD_Header_Section</vt:lpstr>
      <vt:lpstr>GD_Header_Section</vt:lpstr>
      <vt:lpstr>'Guidance Analysis'!GD_Index</vt:lpstr>
      <vt:lpstr>GD_Index</vt:lpstr>
      <vt:lpstr>'Guidance Analysis'!GD_Item</vt:lpstr>
      <vt:lpstr>GD_Item</vt:lpstr>
      <vt:lpstr>'Guidance Analysis'!GD_Item_BasePeriod</vt:lpstr>
      <vt:lpstr>GD_Item_BasePeriod</vt:lpstr>
      <vt:lpstr>'Guidance Analysis'!GD_Item_FiscalPeriod</vt:lpstr>
      <vt:lpstr>GD_Item_FiscalPeriod</vt:lpstr>
      <vt:lpstr>'Guidance Analysis'!GD_Item_Name</vt:lpstr>
      <vt:lpstr>GD_Item_Name</vt:lpstr>
      <vt:lpstr>'Guidance Analysis'!GD_Model_Output</vt:lpstr>
      <vt:lpstr>GD_Model_Output</vt:lpstr>
      <vt:lpstr>'Guidance Analysis'!GD_Model_Type</vt:lpstr>
      <vt:lpstr>GD_Model_Type</vt:lpstr>
      <vt:lpstr>'Guidance Analysis'!GD_Type</vt:lpstr>
      <vt:lpstr>GD_Type</vt:lpstr>
      <vt:lpstr>'Guidance Analysis'!GD_Update_Date</vt:lpstr>
      <vt:lpstr>GD_Update_Date</vt:lpstr>
      <vt:lpstr>'Guidance Analysis'!GD_Update_Link</vt:lpstr>
      <vt:lpstr>GD_Update_Link</vt:lpstr>
      <vt:lpstr>HP.MRFX</vt:lpstr>
      <vt:lpstr>HP.ReportCurrency</vt:lpstr>
      <vt:lpstr>HP.Ticker</vt:lpstr>
      <vt:lpstr>HP.TradeCurrency</vt:lpstr>
      <vt:lpstr>HP.TradeCurrency.HardCoded</vt:lpstr>
      <vt:lpstr>MO.ApplyTradeCurrencyScaling</vt:lpstr>
      <vt:lpstr>MO.CFY</vt:lpstr>
      <vt:lpstr>MO.CompanyName</vt:lpstr>
      <vt:lpstr>MO.DataSourceIndex</vt:lpstr>
      <vt:lpstr>MO.DataSourceName</vt:lpstr>
      <vt:lpstr>MO.FirstForecastedFiscalYear</vt:lpstr>
      <vt:lpstr>MO.KPI.1</vt:lpstr>
      <vt:lpstr>MO.KPI.2</vt:lpstr>
      <vt:lpstr>MO.KPI.3</vt:lpstr>
      <vt:lpstr>MO.KPI.4</vt:lpstr>
      <vt:lpstr>MO.KPI.5</vt:lpstr>
      <vt:lpstr>MO.KPI.Count</vt:lpstr>
      <vt:lpstr>MO.LastPrice</vt:lpstr>
      <vt:lpstr>MO.LastPriceDate</vt:lpstr>
      <vt:lpstr>MO.LastPriceFormula</vt:lpstr>
      <vt:lpstr>MO.LastPriceHardcoded</vt:lpstr>
      <vt:lpstr>MO.MRFP</vt:lpstr>
      <vt:lpstr>MO.MRFPColumnNumber</vt:lpstr>
      <vt:lpstr>MO.MRFX.Hardcoded</vt:lpstr>
      <vt:lpstr>MO.RealTime</vt:lpstr>
      <vt:lpstr>MO.RealTimeStockPriceToggle</vt:lpstr>
      <vt:lpstr>MO.ReportCurrency</vt:lpstr>
      <vt:lpstr>MO.ReportFX</vt:lpstr>
      <vt:lpstr>MO.Ticker</vt:lpstr>
      <vt:lpstr>MO.Ticker.Bloomberg</vt:lpstr>
      <vt:lpstr>MO.Ticker.Canalyst</vt:lpstr>
      <vt:lpstr>MO.Ticker.CapIQ</vt:lpstr>
      <vt:lpstr>MO.Ticker.FactSet</vt:lpstr>
      <vt:lpstr>MO.Ticker.Thomson</vt:lpstr>
      <vt:lpstr>MO.TradingCurrency</vt:lpstr>
      <vt:lpstr>MO.ValuationToggle</vt:lpstr>
      <vt:lpstr>MO_AN_EBIT_Adj</vt:lpstr>
      <vt:lpstr>MO_AN_EBITDA_Adj</vt:lpstr>
      <vt:lpstr>MO_BS_AccComp_Current</vt:lpstr>
      <vt:lpstr>MO_BS_AE</vt:lpstr>
      <vt:lpstr>MO_BS_AP</vt:lpstr>
      <vt:lpstr>MO_BS_AR</vt:lpstr>
      <vt:lpstr>MO_BS_CA</vt:lpstr>
      <vt:lpstr>MO_BS_Cash</vt:lpstr>
      <vt:lpstr>MO_BS_CL</vt:lpstr>
      <vt:lpstr>MO_BS_CommonStock</vt:lpstr>
      <vt:lpstr>MO_BS_ContributedSurplus</vt:lpstr>
      <vt:lpstr>MO_BS_DefRev</vt:lpstr>
      <vt:lpstr>MO_BS_DefRev_Current</vt:lpstr>
      <vt:lpstr>MO_BS_FL_Current</vt:lpstr>
      <vt:lpstr>MO_BS_FL_NonCurrent</vt:lpstr>
      <vt:lpstr>MO_BS_Goodwill</vt:lpstr>
      <vt:lpstr>MO_BS_Intangibles</vt:lpstr>
      <vt:lpstr>MO_BS_INV</vt:lpstr>
      <vt:lpstr>MO_BS_NCA</vt:lpstr>
      <vt:lpstr>MO_BS_NCI</vt:lpstr>
      <vt:lpstr>MO_BS_NCL</vt:lpstr>
      <vt:lpstr>MO_BS_NP_Current</vt:lpstr>
      <vt:lpstr>MO_BS_NP_NonCurrent</vt:lpstr>
      <vt:lpstr>MO_BS_OCI</vt:lpstr>
      <vt:lpstr>MO_BS_OL_Current</vt:lpstr>
      <vt:lpstr>MO_BS_OL_NonCurrent</vt:lpstr>
      <vt:lpstr>MO_BS_PPE</vt:lpstr>
      <vt:lpstr>MO_BS_PrepaidExpenses</vt:lpstr>
      <vt:lpstr>MO_BS_RestrictedCash_Current</vt:lpstr>
      <vt:lpstr>MO_BS_RestrictedCash_NonCurrent</vt:lpstr>
      <vt:lpstr>MO_BS_RetainedEarnings</vt:lpstr>
      <vt:lpstr>MO_BS_ROU</vt:lpstr>
      <vt:lpstr>MO_BS_SE</vt:lpstr>
      <vt:lpstr>MO_BS_TA</vt:lpstr>
      <vt:lpstr>MO_BS_TaxAssets_Deferred_Current</vt:lpstr>
      <vt:lpstr>MO_BS_TaxAssets_Deferred_NonCurrent</vt:lpstr>
      <vt:lpstr>MO_BS_TaxLiabilities_Deferred_NonCurrent</vt:lpstr>
      <vt:lpstr>MO_BS_TL</vt:lpstr>
      <vt:lpstr>MO_BS_TLSE</vt:lpstr>
      <vt:lpstr>MO_BS_TreasuryStock</vt:lpstr>
      <vt:lpstr>MO_BSS_Cash</vt:lpstr>
      <vt:lpstr>MO_BSS_Debt</vt:lpstr>
      <vt:lpstr>MO_BSS_Debt_LT</vt:lpstr>
      <vt:lpstr>MO_BSS_Debt_Net</vt:lpstr>
      <vt:lpstr>MO_BSS_Debt_ST</vt:lpstr>
      <vt:lpstr>MO_BSS_Debt_ToCF</vt:lpstr>
      <vt:lpstr>MO_BSS_Debt_ToEBITDA</vt:lpstr>
      <vt:lpstr>MO_BSS_IE</vt:lpstr>
      <vt:lpstr>MO_BSS_IE_Net</vt:lpstr>
      <vt:lpstr>MO_BSS_II</vt:lpstr>
      <vt:lpstr>MO_BSS_InterestRate_Cash</vt:lpstr>
      <vt:lpstr>MO_BSS_InterestRate_Debt</vt:lpstr>
      <vt:lpstr>MO_BSS_NetInterestCoverage</vt:lpstr>
      <vt:lpstr>MO_BSS_NetInterestRate_Debt</vt:lpstr>
      <vt:lpstr>MO_BSS_OL</vt:lpstr>
      <vt:lpstr>MO_CCFS_Balance_Begin</vt:lpstr>
      <vt:lpstr>MO_CCFS_Balance_End</vt:lpstr>
      <vt:lpstr>MO_CCFS_CFF</vt:lpstr>
      <vt:lpstr>MO_CCFS_CFI</vt:lpstr>
      <vt:lpstr>MO_CCFS_CFO</vt:lpstr>
      <vt:lpstr>MO_CCFS_CFO_BeforeWC</vt:lpstr>
      <vt:lpstr>MO_CCFS_FX</vt:lpstr>
      <vt:lpstr>MO_CCFS_NetChange</vt:lpstr>
      <vt:lpstr>MO_CCFS_Sup_CashInterest</vt:lpstr>
      <vt:lpstr>MO_CCFS_Sup_CashTax</vt:lpstr>
      <vt:lpstr>MO_CFS_Balance_Begin</vt:lpstr>
      <vt:lpstr>MO_CFS_Balance_End</vt:lpstr>
      <vt:lpstr>MO_CFS_Buyback</vt:lpstr>
      <vt:lpstr>MO_CFS_CFF</vt:lpstr>
      <vt:lpstr>MO_CFS_CFI</vt:lpstr>
      <vt:lpstr>MO_CFS_CFO</vt:lpstr>
      <vt:lpstr>MO_CFS_CFO_BeforeWC</vt:lpstr>
      <vt:lpstr>MO_CFS_DA</vt:lpstr>
      <vt:lpstr>MO_CFS_DeferredTax</vt:lpstr>
      <vt:lpstr>MO_CFS_Dividend</vt:lpstr>
      <vt:lpstr>MO_CFS_FX</vt:lpstr>
      <vt:lpstr>MO_CFS_Impairment</vt:lpstr>
      <vt:lpstr>MO_CFS_NetChange</vt:lpstr>
      <vt:lpstr>MO_CFS_NewEquityIssued</vt:lpstr>
      <vt:lpstr>MO_CFS_NI</vt:lpstr>
      <vt:lpstr>MO_CFS_SBC</vt:lpstr>
      <vt:lpstr>MO_CFS_Sup_CashInterest</vt:lpstr>
      <vt:lpstr>MO_CFS_Sup_CashTax</vt:lpstr>
      <vt:lpstr>MO_CFS_WC_AccComp</vt:lpstr>
      <vt:lpstr>MO_CFS_WC_AE</vt:lpstr>
      <vt:lpstr>MO_CFS_WC_AP</vt:lpstr>
      <vt:lpstr>MO_CFS_WC_AR</vt:lpstr>
      <vt:lpstr>MO_CFS_WC_INV</vt:lpstr>
      <vt:lpstr>MO_CFS_WC_LeaseLiabilities</vt:lpstr>
      <vt:lpstr>MO_CFS_WC_OL</vt:lpstr>
      <vt:lpstr>MO_CFS_WC_PrepaidExpenses</vt:lpstr>
      <vt:lpstr>MO_CFSum_Acquisition</vt:lpstr>
      <vt:lpstr>MO_CFSum_Capex</vt:lpstr>
      <vt:lpstr>MO_CFSum_CFO</vt:lpstr>
      <vt:lpstr>MO_CFSum_CFO_BeforeWC</vt:lpstr>
      <vt:lpstr>MO_CFSum_CFOPS</vt:lpstr>
      <vt:lpstr>MO_CFSum_CFOPS_BeforeWC</vt:lpstr>
      <vt:lpstr>MO_CFSum_CFPS</vt:lpstr>
      <vt:lpstr>MO_CFSum_ChangeInWC</vt:lpstr>
      <vt:lpstr>MO_CFSum_Divestiture</vt:lpstr>
      <vt:lpstr>MO_CFSum_Dividend</vt:lpstr>
      <vt:lpstr>MO_CFSum_DPS</vt:lpstr>
      <vt:lpstr>MO_CFSum_FCF_PostDivPostAD</vt:lpstr>
      <vt:lpstr>MO_CFSum_FCF_PostDivPostADPostDebtPostBuyback</vt:lpstr>
      <vt:lpstr>MO_CFSum_FCF_PostDivPreAD</vt:lpstr>
      <vt:lpstr>MO_CFSum_FCF_PostWCPostDivPostAD</vt:lpstr>
      <vt:lpstr>MO_CFSum_FCF_PostWCPostDivPostADPostDebtPostBuyback</vt:lpstr>
      <vt:lpstr>MO_CFSum_FCF_PostWCPostDivPreAD</vt:lpstr>
      <vt:lpstr>MO_CFSum_FCF_PostWCPreDiv</vt:lpstr>
      <vt:lpstr>MO_CFSum_FCF_PreDiv</vt:lpstr>
      <vt:lpstr>MO_CFSum_NetDebtIssuance</vt:lpstr>
      <vt:lpstr>MO_CFSum_NetShares</vt:lpstr>
      <vt:lpstr>MO_CFSum_NetShares_Price</vt:lpstr>
      <vt:lpstr>MO_Checks_Bottom</vt:lpstr>
      <vt:lpstr>MO_Checks_BS</vt:lpstr>
      <vt:lpstr>MO_Checks_CF</vt:lpstr>
      <vt:lpstr>MO_Checks_IS</vt:lpstr>
      <vt:lpstr>MO_Common_Column_A</vt:lpstr>
      <vt:lpstr>MO_Common_Column_B</vt:lpstr>
      <vt:lpstr>MO_Common_ColumnHeader</vt:lpstr>
      <vt:lpstr>MO_Common_CompanySubtitle</vt:lpstr>
      <vt:lpstr>MO_Common_CompanyTitle</vt:lpstr>
      <vt:lpstr>MO_Common_FPDays</vt:lpstr>
      <vt:lpstr>MO_Common_QEndDate</vt:lpstr>
      <vt:lpstr>MO_Common_QEndDate_LWD</vt:lpstr>
      <vt:lpstr>MO_DAF_A</vt:lpstr>
      <vt:lpstr>MO_DAF_A_Percentage</vt:lpstr>
      <vt:lpstr>MO_DAF_Capex</vt:lpstr>
      <vt:lpstr>MO_DAF_D</vt:lpstr>
      <vt:lpstr>MO_DAF_D_Percentage</vt:lpstr>
      <vt:lpstr>MO_DAF_DA</vt:lpstr>
      <vt:lpstr>MO_DAF_Intangibles_BoP</vt:lpstr>
      <vt:lpstr>MO_DAF_Intangibles_Capex</vt:lpstr>
      <vt:lpstr>MO_DAF_Intangibles_Capex_Percent</vt:lpstr>
      <vt:lpstr>MO_DAF_Intangibles_EoP</vt:lpstr>
      <vt:lpstr>MO_DAF_Intangibles_Life</vt:lpstr>
      <vt:lpstr>MO_DAF_Intangibles_Other</vt:lpstr>
      <vt:lpstr>MO_DAF_PPE_BoP</vt:lpstr>
      <vt:lpstr>MO_DAF_PPE_Capex</vt:lpstr>
      <vt:lpstr>MO_DAF_PPE_EoP</vt:lpstr>
      <vt:lpstr>MO_DAF_PPE_Life</vt:lpstr>
      <vt:lpstr>MO_DAF_PPE_Other</vt:lpstr>
      <vt:lpstr>MO_GA_TotalRevenue</vt:lpstr>
      <vt:lpstr>MO_IS_COGS</vt:lpstr>
      <vt:lpstr>MO_IS_ContinOp</vt:lpstr>
      <vt:lpstr>MO_IS_EBIT</vt:lpstr>
      <vt:lpstr>MO_IS_EBT</vt:lpstr>
      <vt:lpstr>MO_IS_EI</vt:lpstr>
      <vt:lpstr>MO_IS_FirstRow</vt:lpstr>
      <vt:lpstr>MO_IS_GP</vt:lpstr>
      <vt:lpstr>MO_IS_IE_Net</vt:lpstr>
      <vt:lpstr>MO_IS_NCI</vt:lpstr>
      <vt:lpstr>MO_IS_OPEX</vt:lpstr>
      <vt:lpstr>MO_IS_RD</vt:lpstr>
      <vt:lpstr>MO_IS_REV</vt:lpstr>
      <vt:lpstr>MO_IS_SGA</vt:lpstr>
      <vt:lpstr>MO_IS_Tax</vt:lpstr>
      <vt:lpstr>MO_MA_COGS</vt:lpstr>
      <vt:lpstr>MO_MA_COGS_DA_Excluding</vt:lpstr>
      <vt:lpstr>MO_MA_DA</vt:lpstr>
      <vt:lpstr>MO_MA_DAintangibles</vt:lpstr>
      <vt:lpstr>MO_MA_EBIT</vt:lpstr>
      <vt:lpstr>MO_MA_EBIT_Adj</vt:lpstr>
      <vt:lpstr>MO_MA_EBITDA</vt:lpstr>
      <vt:lpstr>MO_MA_EBITDA_Adj</vt:lpstr>
      <vt:lpstr>MO_MA_GM</vt:lpstr>
      <vt:lpstr>MO_MA_GM_DA_Excluding</vt:lpstr>
      <vt:lpstr>MO_MA_SBC</vt:lpstr>
      <vt:lpstr>MO_MA_SGA</vt:lpstr>
      <vt:lpstr>MO_OS_LeaseCost_Finance</vt:lpstr>
      <vt:lpstr>MO_OS_LeaseCost_Operating</vt:lpstr>
      <vt:lpstr>MO_OS_LeaseCost_Total</vt:lpstr>
      <vt:lpstr>MO_OS_RentExpense</vt:lpstr>
      <vt:lpstr>MO_RIS_Adjustments_Dilution_GAAP</vt:lpstr>
      <vt:lpstr>MO_RIS_Adjustments_Dilution_NONGAAP</vt:lpstr>
      <vt:lpstr>MO_RIS_Adjustments_NONGAAP</vt:lpstr>
      <vt:lpstr>MO_RIS_COGS</vt:lpstr>
      <vt:lpstr>MO_RIS_DA</vt:lpstr>
      <vt:lpstr>MO_RIS_DAintangibles</vt:lpstr>
      <vt:lpstr>MO_RIS_DisCont</vt:lpstr>
      <vt:lpstr>MO_RIS_Dividend_Prefs</vt:lpstr>
      <vt:lpstr>MO_RIS_EBIT</vt:lpstr>
      <vt:lpstr>MO_RIS_EBIT_Adj</vt:lpstr>
      <vt:lpstr>MO_RIS_EBITDA</vt:lpstr>
      <vt:lpstr>MO_RIS_EBITDA_Adj</vt:lpstr>
      <vt:lpstr>MO_RIS_EBT</vt:lpstr>
      <vt:lpstr>MO_RIS_EI</vt:lpstr>
      <vt:lpstr>MO_RIS_EPS_WAB</vt:lpstr>
      <vt:lpstr>MO_RIS_EPS_WAD</vt:lpstr>
      <vt:lpstr>MO_RIS_EPS_WAD_Adj</vt:lpstr>
      <vt:lpstr>MO_RIS_GP</vt:lpstr>
      <vt:lpstr>MO_RIS_IE</vt:lpstr>
      <vt:lpstr>MO_RIS_IE_Net</vt:lpstr>
      <vt:lpstr>MO_RIS_NCI</vt:lpstr>
      <vt:lpstr>MO_RIS_NI_ContinOp</vt:lpstr>
      <vt:lpstr>MO_RIS_NI_GAAP_Basic</vt:lpstr>
      <vt:lpstr>MO_RIS_NI_GAAP_Diluted</vt:lpstr>
      <vt:lpstr>MO_RIS_NI_NONGAAP_Diluted</vt:lpstr>
      <vt:lpstr>MO_RIS_OI</vt:lpstr>
      <vt:lpstr>MO_RIS_OTI</vt:lpstr>
      <vt:lpstr>MO_RIS_REV</vt:lpstr>
      <vt:lpstr>MO_RIS_SBC</vt:lpstr>
      <vt:lpstr>MO_RIS_SGA</vt:lpstr>
      <vt:lpstr>MO_RIS_ShareCount_WAB</vt:lpstr>
      <vt:lpstr>MO_RIS_ShareCount_WAD</vt:lpstr>
      <vt:lpstr>MO_RIS_ShareCount_WAD_Adj</vt:lpstr>
      <vt:lpstr>MO_RIS_Tax_Current</vt:lpstr>
      <vt:lpstr>MO_RIS_Tax_Deferred</vt:lpstr>
      <vt:lpstr>MO_RIS_TaxRate_Current</vt:lpstr>
      <vt:lpstr>MO_RIS_TaxRate_Deferred</vt:lpstr>
      <vt:lpstr>MO_SCA_Date_CoverPage</vt:lpstr>
      <vt:lpstr>MO_SCA_Ratio_DilutedOverBasic</vt:lpstr>
      <vt:lpstr>MO_SCA_ShareCount_CoverPage</vt:lpstr>
      <vt:lpstr>MO_SCA_ShareCount_CoverPage_Class1</vt:lpstr>
      <vt:lpstr>MO_SCA_ShareCount_CoverPage_Ticker1</vt:lpstr>
      <vt:lpstr>MO_SCA_ShareCount_DilutiveShares</vt:lpstr>
      <vt:lpstr>MO_SCA_ShareCount_EoP</vt:lpstr>
      <vt:lpstr>MO_SCA_ShareCount_EoP_Class1</vt:lpstr>
      <vt:lpstr>MO_SCA_ShareCount_EoP_Diluted</vt:lpstr>
      <vt:lpstr>MO_SCA_ShareCount_EoP_Growth_Dilutive_QoQ</vt:lpstr>
      <vt:lpstr>MO_SCA_ShareCount_EoP_Growth_Dilutive_YoY</vt:lpstr>
      <vt:lpstr>MO_SCA_ShareCount_EoP_Growth_NetIssuance_QoQ</vt:lpstr>
      <vt:lpstr>MO_SCA_ShareCount_EoP_Growth_NetIssuance_YoY</vt:lpstr>
      <vt:lpstr>MO_SCA_ShareCount_EoP_Growth_QoQ</vt:lpstr>
      <vt:lpstr>MO_SCA_ShareCount_EoP_Growth_YoY</vt:lpstr>
      <vt:lpstr>MO_SCA_ShareCount_EoP_Ticker1</vt:lpstr>
      <vt:lpstr>MO_Section_AdjustedNumbers</vt:lpstr>
      <vt:lpstr>MO_Section_BalanceSheet</vt:lpstr>
      <vt:lpstr>MO_Section_BalanceSheetSummary</vt:lpstr>
      <vt:lpstr>MO_Section_CashFlowStatement</vt:lpstr>
      <vt:lpstr>MO_Section_CashFlowSummary</vt:lpstr>
      <vt:lpstr>MO_Section_ConsolidatedSummary</vt:lpstr>
      <vt:lpstr>MO_Section_CumulativeCashFlowStatement</vt:lpstr>
      <vt:lpstr>MO_Section_DAForecasting</vt:lpstr>
      <vt:lpstr>MO_Section_GrowthAnalysis</vt:lpstr>
      <vt:lpstr>MO_Section_IncomeStatement</vt:lpstr>
      <vt:lpstr>MO_Section_KeyMetricsAdditionalCostBreakdownFS</vt:lpstr>
      <vt:lpstr>MO_Section_KeyMetricsLeaseCostandRentExpenseFS</vt:lpstr>
      <vt:lpstr>MO_Section_LastRow</vt:lpstr>
      <vt:lpstr>MO_Section_MarginAnalysis</vt:lpstr>
      <vt:lpstr>MO_Section_ModelChecks</vt:lpstr>
      <vt:lpstr>MO_Section_OperatingStatsEnrollmentDataPR</vt:lpstr>
      <vt:lpstr>MO_Section_OperatingStatsEnrollmentDataPR_1</vt:lpstr>
      <vt:lpstr>MO_Section_OperatingStatsOldvsNewEnrollmentPR</vt:lpstr>
      <vt:lpstr>MO_Section_RevisedIncomeStatement</vt:lpstr>
      <vt:lpstr>MO_Section_SegmentedResultsCareerLearningPR</vt:lpstr>
      <vt:lpstr>MO_Section_SegmentedResultsGeneralEducationPR</vt:lpstr>
      <vt:lpstr>MO_Section_SegmentedResultsRevenueBreakdownPR</vt:lpstr>
      <vt:lpstr>MO_Section_ShareCountAnalysis</vt:lpstr>
      <vt:lpstr>MO_Section_Tables</vt:lpstr>
      <vt:lpstr>MO_Section_Valuation</vt:lpstr>
      <vt:lpstr>MO_Section_WorkingCapitalForecasting</vt:lpstr>
      <vt:lpstr>MO_SNA_ConsensusEstimatePeriodNumber</vt:lpstr>
      <vt:lpstr>MO_SNA_ConsensusEstimatePeriodType</vt:lpstr>
      <vt:lpstr>MO_SNA_FPStartDate</vt:lpstr>
      <vt:lpstr>MO_SNA_IsHistoricalPeriod</vt:lpstr>
      <vt:lpstr>MO_SNA_LastDataRow</vt:lpstr>
      <vt:lpstr>MO_SPT_FXAverage</vt:lpstr>
      <vt:lpstr>MO_SPT_FXAverage_Sources</vt:lpstr>
      <vt:lpstr>MO_SPT_FXAverage_Sources_Bloomberg</vt:lpstr>
      <vt:lpstr>MO_SPT_FXAverage_Sources_CapIQ</vt:lpstr>
      <vt:lpstr>MO_SPT_FXAverage_Sources_FactSet</vt:lpstr>
      <vt:lpstr>MO_SPT_FXAverage_Sources_RealTimeOff</vt:lpstr>
      <vt:lpstr>MO_SPT_FXAverage_Sources_Thomson</vt:lpstr>
      <vt:lpstr>MO_SPT_FXEoP</vt:lpstr>
      <vt:lpstr>MO_SPT_StockAverage</vt:lpstr>
      <vt:lpstr>MO_SPT_StockAverage_Sources</vt:lpstr>
      <vt:lpstr>MO_SPT_StockAverage_Sources_Bloomberg</vt:lpstr>
      <vt:lpstr>MO_SPT_StockAverage_Sources_CapIQ</vt:lpstr>
      <vt:lpstr>MO_SPT_StockAverage_Sources_FactSet</vt:lpstr>
      <vt:lpstr>MO_SPT_StockAverage_Sources_RealTimeOff</vt:lpstr>
      <vt:lpstr>MO_SPT_StockAverage_Sources_Thomson</vt:lpstr>
      <vt:lpstr>MO_SPT_StockEoP</vt:lpstr>
      <vt:lpstr>MO_SPT_StockHigh</vt:lpstr>
      <vt:lpstr>MO_SPT_StockHigh_Sources</vt:lpstr>
      <vt:lpstr>MO_SPT_StockHigh_Sources_Bloomberg</vt:lpstr>
      <vt:lpstr>MO_SPT_StockHigh_Sources_CapIQ</vt:lpstr>
      <vt:lpstr>MO_SPT_StockHigh_Sources_FactSet</vt:lpstr>
      <vt:lpstr>MO_SPT_StockHigh_Sources_RealTimeOff</vt:lpstr>
      <vt:lpstr>MO_SPT_StockHigh_Sources_Thomson</vt:lpstr>
      <vt:lpstr>MO_SPT_StockLow</vt:lpstr>
      <vt:lpstr>MO_SPT_StockLow_Sources</vt:lpstr>
      <vt:lpstr>MO_SPT_StockLow_Sources_Bloomberg</vt:lpstr>
      <vt:lpstr>MO_SPT_StockLow_Sources_CapIQ</vt:lpstr>
      <vt:lpstr>MO_SPT_StockLow_Sources_FactSet</vt:lpstr>
      <vt:lpstr>MO_SPT_StockLow_Sources_RealTimeOff</vt:lpstr>
      <vt:lpstr>MO_SPT_StockLow_Sources_Thomson</vt:lpstr>
      <vt:lpstr>MO_SubSection_BS_CA</vt:lpstr>
      <vt:lpstr>MO_SubSection_BS_CL</vt:lpstr>
      <vt:lpstr>MO_SubSection_BS_NCA</vt:lpstr>
      <vt:lpstr>MO_SubSection_BS_NCL</vt:lpstr>
      <vt:lpstr>MO_SubSection_BS_SE</vt:lpstr>
      <vt:lpstr>MO_SubSection_CCFS_CFF</vt:lpstr>
      <vt:lpstr>MO_SubSection_CCFS_CFI</vt:lpstr>
      <vt:lpstr>MO_SubSection_CCFS_CFO</vt:lpstr>
      <vt:lpstr>MO_SubSection_CFS_CFF</vt:lpstr>
      <vt:lpstr>MO_SubSection_CFS_CFI</vt:lpstr>
      <vt:lpstr>MO_SubSection_CFS_CFO</vt:lpstr>
      <vt:lpstr>MO_VA_EV</vt:lpstr>
      <vt:lpstr>MO_VA_EV_ToEBITDA</vt:lpstr>
      <vt:lpstr>MO_VA_EVCalc_NCI</vt:lpstr>
      <vt:lpstr>MO_VA_EVCalc_Other</vt:lpstr>
      <vt:lpstr>MO_VA_EVCalc_Prefs</vt:lpstr>
      <vt:lpstr>MO_VA_FCFYield_ToEV</vt:lpstr>
      <vt:lpstr>MO_VA_FCFYield_ToMktCap</vt:lpstr>
      <vt:lpstr>MO_VA_FX_Average</vt:lpstr>
      <vt:lpstr>MO_VA_FX_EoP</vt:lpstr>
      <vt:lpstr>MO_VA_MarketCap</vt:lpstr>
      <vt:lpstr>MO_VA_P_ToCF</vt:lpstr>
      <vt:lpstr>MO_VA_P_ToE</vt:lpstr>
      <vt:lpstr>MO_VA_StockPrice</vt:lpstr>
      <vt:lpstr>MO_VA_StockPrice_Avg</vt:lpstr>
      <vt:lpstr>MO_VA_StockPrice_EoP</vt:lpstr>
      <vt:lpstr>MO_VA_StockPrice_High</vt:lpstr>
      <vt:lpstr>MO_VA_StockPrice_Low</vt:lpstr>
      <vt:lpstr>MO_VA_StockPrice_TradingCurrency</vt:lpstr>
      <vt:lpstr>'APOL Case Study'!Print_Area</vt:lpstr>
      <vt:lpstr>'APOL stock chart'!Print_Area</vt:lpstr>
      <vt:lpstr>'AZ Detail'!Print_Area</vt:lpstr>
      <vt:lpstr>Base!Print_Area</vt:lpstr>
      <vt:lpstr>'Convert Math'!Print_Area</vt:lpstr>
      <vt:lpstr>Downside!Print_Area</vt:lpstr>
      <vt:lpstr>'Guidance Analysis'!Print_Area</vt:lpstr>
      <vt:lpstr>Historicals!Print_Area</vt:lpstr>
      <vt:lpstr>'IN Detail'!Print_Area</vt:lpstr>
      <vt:lpstr>'K12 Schools'!Print_Area</vt:lpstr>
      <vt:lpstr>'MI Detail'!Print_Area</vt:lpstr>
      <vt:lpstr>Model!Print_Area</vt:lpstr>
      <vt:lpstr>'OH Detail'!Print_Area</vt:lpstr>
      <vt:lpstr>'Q4 Credibility'!Print_Area</vt:lpstr>
      <vt:lpstr>Semrush!Print_Area</vt:lpstr>
      <vt:lpstr>'Summary Page'!Print_Area</vt:lpstr>
      <vt:lpstr>'TX Detail'!Print_Area</vt:lpstr>
      <vt:lpstr>Upside!Print_Area</vt:lpstr>
      <vt:lpstr>'Guidance Analysis'!Print_Titles</vt:lpstr>
      <vt:lpstr>Historicals!Print_Titles</vt:lpstr>
      <vt:lpstr>'K12 Schools'!Print_Titles</vt:lpstr>
      <vt:lpstr>Model!Print_Titles</vt:lpstr>
      <vt:lpstr>SP.CompanyName</vt:lpstr>
      <vt:lpstr>SP.ReportFX</vt:lpstr>
      <vt:lpstr>SP.ValuationToggle</vt:lpstr>
      <vt:lpstr>SP_BSR_Capital</vt:lpstr>
      <vt:lpstr>SP_BSR_CashFlow</vt:lpstr>
      <vt:lpstr>SP_BSR_CashFlow_LTM</vt:lpstr>
      <vt:lpstr>SP_BSR_CL</vt:lpstr>
      <vt:lpstr>SP_BSR_CL_Avg</vt:lpstr>
      <vt:lpstr>SP_BSR_Debt</vt:lpstr>
      <vt:lpstr>SP_BSR_Debt_Avg</vt:lpstr>
      <vt:lpstr>SP_BSR_EBITDA</vt:lpstr>
      <vt:lpstr>SP_BSR_EBITDA_LTM</vt:lpstr>
      <vt:lpstr>SP_BSR_SE</vt:lpstr>
      <vt:lpstr>SP_BSR_SE_Avg</vt:lpstr>
      <vt:lpstr>SP_BSR_TA</vt:lpstr>
      <vt:lpstr>SP_BSR_TA_Avg</vt:lpstr>
      <vt:lpstr>SP_CFA_Acquisition</vt:lpstr>
      <vt:lpstr>SP_CFA_Capex</vt:lpstr>
      <vt:lpstr>SP_CFA_CFO</vt:lpstr>
      <vt:lpstr>SP_CFA_CFO_BeforeWC</vt:lpstr>
      <vt:lpstr>SP_CFA_CFO_PerShare</vt:lpstr>
      <vt:lpstr>SP_CFA_Debt</vt:lpstr>
      <vt:lpstr>SP_CFA_Div</vt:lpstr>
      <vt:lpstr>SP_CFA_Div_PerShare</vt:lpstr>
      <vt:lpstr>SP_CFA_Divestiture</vt:lpstr>
      <vt:lpstr>SP_CFA_Equity</vt:lpstr>
      <vt:lpstr>SP_CFA_FCF_PerShare</vt:lpstr>
      <vt:lpstr>SP_CFA_FCF_PostDiv</vt:lpstr>
      <vt:lpstr>SP_CFA_FCF_PreDiv</vt:lpstr>
      <vt:lpstr>SP_CFA_NetChange</vt:lpstr>
      <vt:lpstr>SP_CFA_Other</vt:lpstr>
      <vt:lpstr>SP_CFA_Payout_vsEPS</vt:lpstr>
      <vt:lpstr>SP_CFA_Payout_vsFCF</vt:lpstr>
      <vt:lpstr>SP_CFA_WC</vt:lpstr>
      <vt:lpstr>SP_Checks_SummaryPage</vt:lpstr>
      <vt:lpstr>SP_Common_Column_A</vt:lpstr>
      <vt:lpstr>SP_Common_Column_B</vt:lpstr>
      <vt:lpstr>SP_Common_ColumnHeader</vt:lpstr>
      <vt:lpstr>SP_Common_QEndDate</vt:lpstr>
      <vt:lpstr>SP_CS_Cash</vt:lpstr>
      <vt:lpstr>SP_CS_Debt</vt:lpstr>
      <vt:lpstr>SP_CS_EV</vt:lpstr>
      <vt:lpstr>SP_CS_EVCalc_Other</vt:lpstr>
      <vt:lpstr>SP_CS_MarketCap</vt:lpstr>
      <vt:lpstr>SP_CS_OL</vt:lpstr>
      <vt:lpstr>SP_CS_ShareCount_EoP_Diluted</vt:lpstr>
      <vt:lpstr>SP_CS_StockPrice</vt:lpstr>
      <vt:lpstr>SP_GF_COGS</vt:lpstr>
      <vt:lpstr>SP_GF_DisCont</vt:lpstr>
      <vt:lpstr>SP_GF_Div_Prefs</vt:lpstr>
      <vt:lpstr>SP_GF_EBIT</vt:lpstr>
      <vt:lpstr>SP_GF_EBT</vt:lpstr>
      <vt:lpstr>SP_GF_EI</vt:lpstr>
      <vt:lpstr>SP_GF_EPS_WAD</vt:lpstr>
      <vt:lpstr>SP_GF_IE</vt:lpstr>
      <vt:lpstr>SP_GF_IE_Net</vt:lpstr>
      <vt:lpstr>SP_GF_NCI</vt:lpstr>
      <vt:lpstr>SP_GF_NI</vt:lpstr>
      <vt:lpstr>SP_GF_OI</vt:lpstr>
      <vt:lpstr>SP_GF_Rev</vt:lpstr>
      <vt:lpstr>SP_GF_SGA</vt:lpstr>
      <vt:lpstr>SP_GF_ShareCount</vt:lpstr>
      <vt:lpstr>SP_GF_Tax</vt:lpstr>
      <vt:lpstr>SP_MA_COGS</vt:lpstr>
      <vt:lpstr>SP_MA_EBIT</vt:lpstr>
      <vt:lpstr>SP_MA_EBIT_Adj</vt:lpstr>
      <vt:lpstr>SP_MA_EBITDA</vt:lpstr>
      <vt:lpstr>SP_MA_EBITDA_Adj</vt:lpstr>
      <vt:lpstr>SP_MA_SGA</vt:lpstr>
      <vt:lpstr>SP_NGF_EBIT</vt:lpstr>
      <vt:lpstr>SP_NGF_EBITDA</vt:lpstr>
      <vt:lpstr>SP_NGF_EPS</vt:lpstr>
      <vt:lpstr>SP_NGF_NI</vt:lpstr>
      <vt:lpstr>SP_PR_ROA</vt:lpstr>
      <vt:lpstr>SP_PR_ROCE</vt:lpstr>
      <vt:lpstr>SP_PR_ROE</vt:lpstr>
      <vt:lpstr>SP_PR_ROIC</vt:lpstr>
      <vt:lpstr>SP_PSGM_CFO</vt:lpstr>
      <vt:lpstr>SP_PSGM_EBITDA_Adj</vt:lpstr>
      <vt:lpstr>SP_PSGM_FCF</vt:lpstr>
      <vt:lpstr>SP_PSGM_NI_Adj</vt:lpstr>
      <vt:lpstr>SP_PSGM_Revenue</vt:lpstr>
      <vt:lpstr>SP_Section_BalanceSheetRatios</vt:lpstr>
      <vt:lpstr>SP_Section_CapitalizationSummary</vt:lpstr>
      <vt:lpstr>SP_Section_CashFlowAnalysis</vt:lpstr>
      <vt:lpstr>SP_Section_Checks</vt:lpstr>
      <vt:lpstr>SP_Section_CompanySpecificOperationalData</vt:lpstr>
      <vt:lpstr>SP_Section_GAAPFinancials</vt:lpstr>
      <vt:lpstr>SP_Section_LastRow</vt:lpstr>
      <vt:lpstr>SP_Section_MarginAnalysis</vt:lpstr>
      <vt:lpstr>SP_Section_NonGAAPFinancials</vt:lpstr>
      <vt:lpstr>SP_Section_PerShareGrowthMetrics</vt:lpstr>
      <vt:lpstr>SP_Section_ProfitabilityRatios</vt:lpstr>
      <vt:lpstr>SP_Section_ValuationMetrics</vt:lpstr>
      <vt:lpstr>SP_VM_EV_ToEBITDA</vt:lpstr>
      <vt:lpstr>SP_VM_FCFYield_ToEV</vt:lpstr>
      <vt:lpstr>SP_VM_FCFYield_ToMktCap</vt:lpstr>
      <vt:lpstr>SP_VM_P_ToCF</vt:lpstr>
      <vt:lpstr>SP_VM_P_ToE</vt:lpstr>
      <vt:lpstr>tb_ConsensusEstimate</vt:lpstr>
      <vt:lpstr>tb_EntireModel</vt:lpstr>
      <vt:lpstr>tb_KeyOutputs</vt:lpstr>
      <vt:lpstr>tb_KPIs</vt:lpstr>
      <vt:lpstr>tb_StockPrice</vt:lpstr>
      <vt:lpstr>tb_Tickers</vt:lpstr>
      <vt:lpstr>tb_UpdateLog</vt:lpstr>
      <vt:lpstr>tb_ValuationToggle</vt:lpstr>
      <vt:lpstr>UL.CSIN</vt:lpstr>
      <vt:lpstr>UL.ModelVersion</vt:lpstr>
      <vt:lpstr>UL.MRQ</vt:lpstr>
      <vt:lpstr>UL.MRQColNum</vt:lpstr>
      <vt:lpstr>z_36KQ9X0131_MO_AN_adjustedebitda</vt:lpstr>
      <vt:lpstr>z_36KQ9X0131_MO_AN_Adjustedoperatingincomeloss</vt:lpstr>
      <vt:lpstr>z_36KQ9X0131_MO_AN_Amortizationofintangibleassets</vt:lpstr>
      <vt:lpstr>z_36KQ9X0131_MO_AN_amountallocatedtoparticipatingseriesastockholders</vt:lpstr>
      <vt:lpstr>z_36KQ9X0131_MO_AN_amountallocatedtoparticipatingseriesastockholders_1</vt:lpstr>
      <vt:lpstr>z_36KQ9X0131_MO_AN_Depreciationandotheramortization</vt:lpstr>
      <vt:lpstr>z_36KQ9X0131_MO_AN_EBITDA</vt:lpstr>
      <vt:lpstr>z_36KQ9X0131_MO_AN_impairmentofinvestmentinwebinternationaleducation</vt:lpstr>
      <vt:lpstr>z_36KQ9X0131_MO_AN_incomeavailabletocommonstockholders—basic</vt:lpstr>
      <vt:lpstr>z_36KQ9X0131_MO_AN_Incomefromoperations</vt:lpstr>
      <vt:lpstr>z_36KQ9X0131_MO_AN_incometaxexpense</vt:lpstr>
      <vt:lpstr>z_36KQ9X0131_MO_AN_interestexpense</vt:lpstr>
      <vt:lpstr>z_36KQ9X0131_MO_AN_Lossfromequitymethodinvestments</vt:lpstr>
      <vt:lpstr>z_36KQ9X0131_MO_AN_netincome</vt:lpstr>
      <vt:lpstr>z_36KQ9X0131_MO_AN_netincomeattributabletocommonstockholders</vt:lpstr>
      <vt:lpstr>z_36KQ9X0131_MO_AN_netlossattributabletocommonstockholders</vt:lpstr>
      <vt:lpstr>z_36KQ9X0131_MO_AN_noncontrollinginterest</vt:lpstr>
      <vt:lpstr>z_36KQ9X0131_MO_AN_Otherexpense</vt:lpstr>
      <vt:lpstr>z_36KQ9X0131_MO_AN_Realizedgainonsaleofassets</vt:lpstr>
      <vt:lpstr>z_36KQ9X0131_MO_AN_Realizedgainonsaleofassets_1</vt:lpstr>
      <vt:lpstr>z_36KQ9X0131_MO_AN_stockbasedcompensation</vt:lpstr>
      <vt:lpstr>z_36KQ9X0131_MO_AN_Stockbasedcompensation_3</vt:lpstr>
      <vt:lpstr>z_36KQ9X0131_MO_BlankRow_AN_1</vt:lpstr>
      <vt:lpstr>z_36KQ9X0131_MO_BlankRow_AN_2</vt:lpstr>
      <vt:lpstr>z_36KQ9X0131_MO_BlankRow_BS_1</vt:lpstr>
      <vt:lpstr>z_36KQ9X0131_MO_BlankRow_BS_2</vt:lpstr>
      <vt:lpstr>z_36KQ9X0131_MO_BlankRow_BS_3</vt:lpstr>
      <vt:lpstr>z_36KQ9X0131_MO_BlankRow_BS_4</vt:lpstr>
      <vt:lpstr>z_36KQ9X0131_MO_BlankRow_BS_5</vt:lpstr>
      <vt:lpstr>z_36KQ9X0131_MO_BlankRow_BS_6</vt:lpstr>
      <vt:lpstr>z_36KQ9X0131_MO_BlankRow_BSS</vt:lpstr>
      <vt:lpstr>z_36KQ9X0131_MO_BlankRow_BSS_1</vt:lpstr>
      <vt:lpstr>z_36KQ9X0131_MO_BlankRow_BSS_2</vt:lpstr>
      <vt:lpstr>z_36KQ9X0131_MO_BlankRow_CCFS</vt:lpstr>
      <vt:lpstr>z_36KQ9X0131_MO_BlankRow_CCFS_1</vt:lpstr>
      <vt:lpstr>z_36KQ9X0131_MO_BlankRow_CCFS_2</vt:lpstr>
      <vt:lpstr>z_36KQ9X0131_MO_BlankRow_CCFS_3</vt:lpstr>
      <vt:lpstr>z_36KQ9X0131_MO_BlankRow_CCFS_4</vt:lpstr>
      <vt:lpstr>z_36KQ9X0131_MO_BlankRow_CCFS_5</vt:lpstr>
      <vt:lpstr>z_36KQ9X0131_MO_BlankRow_CFS_2</vt:lpstr>
      <vt:lpstr>z_36KQ9X0131_MO_BlankRow_CFS_3</vt:lpstr>
      <vt:lpstr>z_36KQ9X0131_MO_BlankRow_CFS_4</vt:lpstr>
      <vt:lpstr>z_36KQ9X0131_MO_BlankRow_CFS_5</vt:lpstr>
      <vt:lpstr>z_36KQ9X0131_MO_BlankRow_CFS_6</vt:lpstr>
      <vt:lpstr>z_36KQ9X0131_MO_BlankRow_CFS_7</vt:lpstr>
      <vt:lpstr>z_36KQ9X0131_MO_BlankRow_CFS_9</vt:lpstr>
      <vt:lpstr>z_36KQ9X0131_MO_BlankRow_CFSum</vt:lpstr>
      <vt:lpstr>z_36KQ9X0131_MO_BlankRow_CFSum_1</vt:lpstr>
      <vt:lpstr>z_36KQ9X0131_MO_BlankRow_CFSum_2</vt:lpstr>
      <vt:lpstr>z_36KQ9X0131_MO_BlankRow_DAF</vt:lpstr>
      <vt:lpstr>z_36KQ9X0131_MO_BlankRow_DAF_1</vt:lpstr>
      <vt:lpstr>z_36KQ9X0131_MO_BlankRow_DAF_2</vt:lpstr>
      <vt:lpstr>z_36KQ9X0131_MO_BlankRow_DAF_3</vt:lpstr>
      <vt:lpstr>z_36KQ9X0131_MO_BlankRow_GA</vt:lpstr>
      <vt:lpstr>z_36KQ9X0131_MO_BlankRow_GA_1</vt:lpstr>
      <vt:lpstr>z_36KQ9X0131_MO_BlankRow_GA_2</vt:lpstr>
      <vt:lpstr>z_36KQ9X0131_MO_BlankRow_GA_3</vt:lpstr>
      <vt:lpstr>z_36KQ9X0131_MO_BlankRow_IS</vt:lpstr>
      <vt:lpstr>z_36KQ9X0131_MO_BlankRow_IS_1</vt:lpstr>
      <vt:lpstr>z_36KQ9X0131_MO_BlankRow_MA</vt:lpstr>
      <vt:lpstr>z_36KQ9X0131_MO_BlankRow_MA_1</vt:lpstr>
      <vt:lpstr>z_36KQ9X0131_MO_BlankRow_MA_2</vt:lpstr>
      <vt:lpstr>z_36KQ9X0131_MO_BlankRow_MA_3</vt:lpstr>
      <vt:lpstr>z_36KQ9X0131_MO_BlankRow_MA_4</vt:lpstr>
      <vt:lpstr>z_36KQ9X0131_MO_BlankRow_MA_5</vt:lpstr>
      <vt:lpstr>z_36KQ9X0131_MO_BlankRow_MA_6</vt:lpstr>
      <vt:lpstr>z_36KQ9X0131_MO_BlankRow_MA_8</vt:lpstr>
      <vt:lpstr>z_36KQ9X0131_MO_BlankRow_OS</vt:lpstr>
      <vt:lpstr>z_36KQ9X0131_MO_BlankRow_OS_1</vt:lpstr>
      <vt:lpstr>z_36KQ9X0131_MO_BlankRow_OS_10</vt:lpstr>
      <vt:lpstr>z_36KQ9X0131_MO_BlankRow_OS_11</vt:lpstr>
      <vt:lpstr>z_36KQ9X0131_MO_BlankRow_OS_12</vt:lpstr>
      <vt:lpstr>z_36KQ9X0131_MO_BlankRow_OS_13</vt:lpstr>
      <vt:lpstr>z_36KQ9X0131_MO_BlankRow_OS_14</vt:lpstr>
      <vt:lpstr>z_36KQ9X0131_MO_BlankRow_OS_15</vt:lpstr>
      <vt:lpstr>z_36KQ9X0131_MO_BlankRow_OS_16</vt:lpstr>
      <vt:lpstr>z_36KQ9X0131_MO_BlankRow_OS_17</vt:lpstr>
      <vt:lpstr>z_36KQ9X0131_MO_BlankRow_OS_18</vt:lpstr>
      <vt:lpstr>z_36KQ9X0131_MO_BlankRow_OS_2</vt:lpstr>
      <vt:lpstr>z_36KQ9X0131_MO_BlankRow_OS_3</vt:lpstr>
      <vt:lpstr>z_36KQ9X0131_MO_BlankRow_OS_4</vt:lpstr>
      <vt:lpstr>z_36KQ9X0131_MO_BlankRow_OS_5</vt:lpstr>
      <vt:lpstr>z_36KQ9X0131_MO_BlankRow_OS_6</vt:lpstr>
      <vt:lpstr>z_36KQ9X0131_MO_BlankRow_OS_7</vt:lpstr>
      <vt:lpstr>z_36KQ9X0131_MO_BlankRow_OS_8</vt:lpstr>
      <vt:lpstr>z_36KQ9X0131_MO_BlankRow_OS_9</vt:lpstr>
      <vt:lpstr>z_36KQ9X0131_MO_BlankRow_RIS</vt:lpstr>
      <vt:lpstr>z_36KQ9X0131_MO_BlankRow_RIS_1</vt:lpstr>
      <vt:lpstr>z_36KQ9X0131_MO_BlankRow_RIS_2</vt:lpstr>
      <vt:lpstr>z_36KQ9X0131_MO_BlankRow_RIS_3</vt:lpstr>
      <vt:lpstr>z_36KQ9X0131_MO_BlankRow_RIS_4</vt:lpstr>
      <vt:lpstr>z_36KQ9X0131_MO_BlankRow_RIS_5</vt:lpstr>
      <vt:lpstr>z_36KQ9X0131_MO_BlankRow_RIS_6</vt:lpstr>
      <vt:lpstr>z_36KQ9X0131_MO_BlankRow_RIS_7</vt:lpstr>
      <vt:lpstr>z_36KQ9X0131_MO_BlankRow_RIS_8</vt:lpstr>
      <vt:lpstr>z_36KQ9X0131_MO_BlankRow_SNA</vt:lpstr>
      <vt:lpstr>z_36KQ9X0131_MO_BlankRow_SNA_1</vt:lpstr>
      <vt:lpstr>z_36KQ9X0131_MO_BlankRow_SNA_10</vt:lpstr>
      <vt:lpstr>z_36KQ9X0131_MO_BlankRow_SNA_11</vt:lpstr>
      <vt:lpstr>z_36KQ9X0131_MO_BlankRow_SNA_12</vt:lpstr>
      <vt:lpstr>z_36KQ9X0131_MO_BlankRow_SNA_13</vt:lpstr>
      <vt:lpstr>z_36KQ9X0131_MO_BlankRow_SNA_14</vt:lpstr>
      <vt:lpstr>z_36KQ9X0131_MO_BlankRow_SNA_15</vt:lpstr>
      <vt:lpstr>z_36KQ9X0131_MO_BlankRow_SNA_16</vt:lpstr>
      <vt:lpstr>z_36KQ9X0131_MO_BlankRow_SNA_2</vt:lpstr>
      <vt:lpstr>z_36KQ9X0131_MO_BlankRow_SNA_3</vt:lpstr>
      <vt:lpstr>z_36KQ9X0131_MO_BlankRow_SNA_4</vt:lpstr>
      <vt:lpstr>z_36KQ9X0131_MO_BlankRow_SNA_5</vt:lpstr>
      <vt:lpstr>z_36KQ9X0131_MO_BlankRow_SNA_6</vt:lpstr>
      <vt:lpstr>z_36KQ9X0131_MO_BlankRow_SNA_7</vt:lpstr>
      <vt:lpstr>z_36KQ9X0131_MO_BlankRow_SNA_8</vt:lpstr>
      <vt:lpstr>z_36KQ9X0131_MO_BlankRow_SNA_9</vt:lpstr>
      <vt:lpstr>z_36KQ9X0131_MO_BS_Accountspayable</vt:lpstr>
      <vt:lpstr>z_36KQ9X0131_MO_BS_Accountsreceivable</vt:lpstr>
      <vt:lpstr>z_36KQ9X0131_MO_BS_accruedcompensationandbenefits</vt:lpstr>
      <vt:lpstr>z_36KQ9X0131_MO_BS_accruedliabilities</vt:lpstr>
      <vt:lpstr>z_36KQ9X0131_MO_BS_accumulateddeficit</vt:lpstr>
      <vt:lpstr>z_36KQ9X0131_MO_BS_Accumulatedothercomprehensiveloss</vt:lpstr>
      <vt:lpstr>z_36KQ9X0131_MO_BS_additionalpaidincapital</vt:lpstr>
      <vt:lpstr>z_36KQ9X0131_MO_BS_BSCheck</vt:lpstr>
      <vt:lpstr>z_36KQ9X0131_MO_BS_capitalizedcurriculumdevelopmentcosts</vt:lpstr>
      <vt:lpstr>z_36KQ9X0131_MO_BS_capitalizedsoftware</vt:lpstr>
      <vt:lpstr>z_36KQ9X0131_MO_BS_capitalleaseobligations</vt:lpstr>
      <vt:lpstr>z_36KQ9X0131_MO_BS_cashandcashequivalents</vt:lpstr>
      <vt:lpstr>z_36KQ9X0131_MO_BS_commonstock</vt:lpstr>
      <vt:lpstr>z_36KQ9X0131_MO_BS_Creditfacility</vt:lpstr>
      <vt:lpstr>z_36KQ9X0131_MO_BS_CurrentAssets</vt:lpstr>
      <vt:lpstr>z_36KQ9X0131_MO_BS_CurrentLiabilities</vt:lpstr>
      <vt:lpstr>z_36KQ9X0131_MO_BS_currentportionofcapitalleaseobligations</vt:lpstr>
      <vt:lpstr>z_36KQ9X0131_MO_BS_currentportionofnotepayable</vt:lpstr>
      <vt:lpstr>z_36KQ9X0131_MO_BS_Currentportionofoperatingleaseliability</vt:lpstr>
      <vt:lpstr>z_36KQ9X0131_MO_BS_deferredrent</vt:lpstr>
      <vt:lpstr>z_36KQ9X0131_MO_BS_deferredrevenue</vt:lpstr>
      <vt:lpstr>z_36KQ9X0131_MO_BS_deferredtaxasset</vt:lpstr>
      <vt:lpstr>z_36KQ9X0131_MO_BS_deferredtaxasset_1</vt:lpstr>
      <vt:lpstr>z_36KQ9X0131_MO_BS_deferredtaxliability</vt:lpstr>
      <vt:lpstr>z_36KQ9X0131_MO_BS_Depositsandotherassets</vt:lpstr>
      <vt:lpstr>z_36KQ9X0131_MO_BS_Goodwill</vt:lpstr>
      <vt:lpstr>z_36KQ9X0131_MO_BS_Intangibleassets</vt:lpstr>
      <vt:lpstr>z_36KQ9X0131_MO_BS_Inventories</vt:lpstr>
      <vt:lpstr>z_36KQ9X0131_MO_BS_investmentinsubsidiary</vt:lpstr>
      <vt:lpstr>z_36KQ9X0131_MO_BS_Longtermdebt</vt:lpstr>
      <vt:lpstr>z_36KQ9X0131_MO_BS_Longtermoperatingleaseliability</vt:lpstr>
      <vt:lpstr>z_36KQ9X0131_MO_BS_NCI</vt:lpstr>
      <vt:lpstr>z_36KQ9X0131_MO_BS_NetIncomeonReportedISNIonRevised</vt:lpstr>
      <vt:lpstr>z_36KQ9X0131_MO_BS_NetIncomeonRevisedISNIonCFstatement</vt:lpstr>
      <vt:lpstr>z_36KQ9X0131_MO_BS_NonCurrentAssets</vt:lpstr>
      <vt:lpstr>z_36KQ9X0131_MO_BS_NonCurrentLiabilities</vt:lpstr>
      <vt:lpstr>z_36KQ9X0131_MO_BS_notepayable</vt:lpstr>
      <vt:lpstr>z_36KQ9X0131_MO_BS_Operatingleaserightofuseassets</vt:lpstr>
      <vt:lpstr>z_36KQ9X0131_MO_BS_Othercurrentassets</vt:lpstr>
      <vt:lpstr>z_36KQ9X0131_MO_BS_Otherlongtermliabilities</vt:lpstr>
      <vt:lpstr>z_36KQ9X0131_MO_BS_prepaidexpenses</vt:lpstr>
      <vt:lpstr>z_36KQ9X0131_MO_BS_Propertyandequipment</vt:lpstr>
      <vt:lpstr>z_36KQ9X0131_MO_BS_redeemablenoncontrollinginterest</vt:lpstr>
      <vt:lpstr>z_36KQ9X0131_MO_BS_Restrictedcash</vt:lpstr>
      <vt:lpstr>z_36KQ9X0131_MO_BS_Restrictedcash_1</vt:lpstr>
      <vt:lpstr>z_36KQ9X0131_MO_BS_seriesaspecialstock</vt:lpstr>
      <vt:lpstr>z_36KQ9X0131_MO_BS_ShareholdersEquity</vt:lpstr>
      <vt:lpstr>z_36KQ9X0131_MO_BS_TotalAssets</vt:lpstr>
      <vt:lpstr>z_36KQ9X0131_MO_BS_TotalCurrentAssets</vt:lpstr>
      <vt:lpstr>z_36KQ9X0131_MO_BS_TotalCurrentLiabilities</vt:lpstr>
      <vt:lpstr>z_36KQ9X0131_MO_BS_TotalIntangibleAssets</vt:lpstr>
      <vt:lpstr>z_36KQ9X0131_MO_BS_TotalLiabilities</vt:lpstr>
      <vt:lpstr>z_36KQ9X0131_MO_BS_TotalLiabilitiesSE</vt:lpstr>
      <vt:lpstr>z_36KQ9X0131_MO_BS_TotalNonCurrentAssets</vt:lpstr>
      <vt:lpstr>z_36KQ9X0131_MO_BS_TotalNonCurrentliabilities</vt:lpstr>
      <vt:lpstr>z_36KQ9X0131_MO_BS_TotalSE</vt:lpstr>
      <vt:lpstr>z_36KQ9X0131_MO_BS_treasurystock</vt:lpstr>
      <vt:lpstr>z_36KQ9X0131_MO_BSS_Cash</vt:lpstr>
      <vt:lpstr>z_36KQ9X0131_MO_BSS_Debt</vt:lpstr>
      <vt:lpstr>z_36KQ9X0131_MO_BSS_DebtCashFlow</vt:lpstr>
      <vt:lpstr>z_36KQ9X0131_MO_BSS_DebtEBITDA</vt:lpstr>
      <vt:lpstr>z_36KQ9X0131_MO_BSS_EBITDANetInterestExpense</vt:lpstr>
      <vt:lpstr>z_36KQ9X0131_MO_BSS_EffectiveInterestRateonCash</vt:lpstr>
      <vt:lpstr>z_36KQ9X0131_MO_BSS_EffectiveInterestRateonDebt</vt:lpstr>
      <vt:lpstr>z_36KQ9X0131_MO_BSS_EffectiveNetInterestRateonDebt</vt:lpstr>
      <vt:lpstr>z_36KQ9X0131_MO_BSS_InterestExpense</vt:lpstr>
      <vt:lpstr>z_36KQ9X0131_MO_BSS_InterestIncome</vt:lpstr>
      <vt:lpstr>z_36KQ9X0131_MO_BSS_LTDebt</vt:lpstr>
      <vt:lpstr>z_36KQ9X0131_MO_BSS_NetDebt</vt:lpstr>
      <vt:lpstr>z_36KQ9X0131_MO_BSS_NetInterestExpenseIncome</vt:lpstr>
      <vt:lpstr>z_36KQ9X0131_MO_BSS_OperatingLeaseLiabilities</vt:lpstr>
      <vt:lpstr>z_36KQ9X0131_MO_BSS_STDebt</vt:lpstr>
      <vt:lpstr>z_36KQ9X0131_MO_CCFS_accountspayable</vt:lpstr>
      <vt:lpstr>z_36KQ9X0131_MO_CCFS_accountsreceivable</vt:lpstr>
      <vt:lpstr>z_36KQ9X0131_MO_CCFS_accruedcompensationandbenefits</vt:lpstr>
      <vt:lpstr>z_36KQ9X0131_MO_CCFS_accruedliabilities</vt:lpstr>
      <vt:lpstr>z_36KQ9X0131_MO_CCFS_Acquisitionofassets</vt:lpstr>
      <vt:lpstr>z_36KQ9X0131_MO_CCFS_AcquisitionofBigUniverseInc</vt:lpstr>
      <vt:lpstr>z_36KQ9X0131_MO_CCFS_AcquisitionofGalvanizeInc</vt:lpstr>
      <vt:lpstr>z_36KQ9X0131_MO_CCFS_AcquisitionofLTSEducationSystems</vt:lpstr>
      <vt:lpstr>z_36KQ9X0131_MO_CCFS_AcquisitionofMedCertsLLC</vt:lpstr>
      <vt:lpstr>z_36KQ9X0131_MO_CCFS_AcquisitionofTechElevatorInc</vt:lpstr>
      <vt:lpstr>z_36KQ9X0131_MO_CCFS_Acquisitions</vt:lpstr>
      <vt:lpstr>z_36KQ9X0131_MO_CCFS_Amortizationofdiscountandfeesondebt</vt:lpstr>
      <vt:lpstr>z_36KQ9X0131_MO_CCFS_BeginningCashBalance</vt:lpstr>
      <vt:lpstr>z_36KQ9X0131_MO_CCFS_borrowingsfromlineofcredit</vt:lpstr>
      <vt:lpstr>z_36KQ9X0131_MO_CCFS_capitalizedcurriculumdevelopmentcosts</vt:lpstr>
      <vt:lpstr>z_36KQ9X0131_MO_CCFS_capitalizedsoftwaredevelopmentcosts</vt:lpstr>
      <vt:lpstr>z_36KQ9X0131_MO_CCFS_cashadvancedforaecperformanceescrow</vt:lpstr>
      <vt:lpstr>z_36KQ9X0131_MO_CCFS_Cashpaidforinterest</vt:lpstr>
      <vt:lpstr>z_36KQ9X0131_MO_CCFS_cashpaidforinvestmentinweb</vt:lpstr>
      <vt:lpstr>z_36KQ9X0131_MO_CCFS_Cashpaidfortaxes</vt:lpstr>
      <vt:lpstr>z_36KQ9X0131_MO_CCFS_cashreturnedforaecperformanceescrow</vt:lpstr>
      <vt:lpstr>z_36KQ9X0131_MO_CCFS_CFF</vt:lpstr>
      <vt:lpstr>z_36KQ9X0131_MO_CCFS_CFI</vt:lpstr>
      <vt:lpstr>z_36KQ9X0131_MO_CCFS_CFO</vt:lpstr>
      <vt:lpstr>z_36KQ9X0131_MO_CCFS_CFObeforeWC</vt:lpstr>
      <vt:lpstr>z_36KQ9X0131_MO_CCFS_Changeinworkingcapital</vt:lpstr>
      <vt:lpstr>z_36KQ9X0131_MO_CCFS_deferredincometaxes</vt:lpstr>
      <vt:lpstr>z_36KQ9X0131_MO_CCFS_Deferredrentandotherliabilities</vt:lpstr>
      <vt:lpstr>z_36KQ9X0131_MO_CCFS_deferredrevenue</vt:lpstr>
      <vt:lpstr>z_36KQ9X0131_MO_CCFS_Depositsandotherassets</vt:lpstr>
      <vt:lpstr>z_36KQ9X0131_MO_CCFS_depreciationandamortizationexpense</vt:lpstr>
      <vt:lpstr>z_36KQ9X0131_MO_CCFS_DividendsPaid</vt:lpstr>
      <vt:lpstr>z_36KQ9X0131_MO_CCFS_EndingCashBalance</vt:lpstr>
      <vt:lpstr>z_36KQ9X0131_MO_CCFS_excesstaxbenefitfromstockbasedcompensation</vt:lpstr>
      <vt:lpstr>z_36KQ9X0131_MO_CCFS_excesstaxbenefitfromstockbasedcompensation_1</vt:lpstr>
      <vt:lpstr>z_36KQ9X0131_MO_CCFS_expensedleasedcomputerperipherals</vt:lpstr>
      <vt:lpstr>z_36KQ9X0131_MO_CCFS_FX</vt:lpstr>
      <vt:lpstr>z_36KQ9X0131_MO_CCFS_Impairmentlossonotherassets</vt:lpstr>
      <vt:lpstr>z_36KQ9X0131_MO_CCFS_impairmentofinvestmentinwebinternationneducation</vt:lpstr>
      <vt:lpstr>z_36KQ9X0131_MO_CCFS_inventories</vt:lpstr>
      <vt:lpstr>z_36KQ9X0131_MO_CCFS_investmentinlearnbop</vt:lpstr>
      <vt:lpstr>z_36KQ9X0131_MO_CCFS_Issuanceofconvertibleseniornotes</vt:lpstr>
      <vt:lpstr>z_36KQ9X0131_MO_CCFS_mortgagenotetomanagedschoolpartner</vt:lpstr>
      <vt:lpstr>z_36KQ9X0131_MO_CCFS_netcashreceivedonsaleofassets</vt:lpstr>
      <vt:lpstr>z_36KQ9X0131_MO_CCFS_NetCFF</vt:lpstr>
      <vt:lpstr>z_36KQ9X0131_MO_CCFS_NetCFI</vt:lpstr>
      <vt:lpstr>z_36KQ9X0131_MO_CCFS_NetCFO</vt:lpstr>
      <vt:lpstr>z_36KQ9X0131_MO_CCFS_NetChangeinCashBalance</vt:lpstr>
      <vt:lpstr>z_36KQ9X0131_MO_CCFS_netincome</vt:lpstr>
      <vt:lpstr>z_36KQ9X0131_MO_CCFS_netproceedsfrominvestmentinnoncontrollinginterest</vt:lpstr>
      <vt:lpstr>z_36KQ9X0131_MO_CCFS_Noncashoperatingleaseexpense</vt:lpstr>
      <vt:lpstr>z_36KQ9X0131_MO_CCFS_Operatingleaseliability</vt:lpstr>
      <vt:lpstr>z_36KQ9X0131_MO_CCFS_Other</vt:lpstr>
      <vt:lpstr>z_36KQ9X0131_MO_CCFS_Othercurrentassets</vt:lpstr>
      <vt:lpstr>z_36KQ9X0131_MO_CCFS_paymentofstockregistrationexpense</vt:lpstr>
      <vt:lpstr>z_36KQ9X0131_MO_CCFS_Paymentsofcontingentconsideration</vt:lpstr>
      <vt:lpstr>z_36KQ9X0131_MO_CCFS_Paymentsofdeferredpurchaseconsideration</vt:lpstr>
      <vt:lpstr>z_36KQ9X0131_MO_CCFS_prepaidexpenses</vt:lpstr>
      <vt:lpstr>z_36KQ9X0131_MO_CCFS_proceedsfromexerciseofstockoptions</vt:lpstr>
      <vt:lpstr>z_36KQ9X0131_MO_CCFS_proceedsfromexerciseofstockwarrants</vt:lpstr>
      <vt:lpstr>z_36KQ9X0131_MO_CCFS_proceedsfromissuanceofcommonstock</vt:lpstr>
      <vt:lpstr>z_36KQ9X0131_MO_CCFS_proceedsfromnotespayable</vt:lpstr>
      <vt:lpstr>z_36KQ9X0131_MO_CCFS_Proceedsfromthematurityofmarketablesecurities</vt:lpstr>
      <vt:lpstr>z_36KQ9X0131_MO_CCFS_provisionfordoubtfulaccounts</vt:lpstr>
      <vt:lpstr>z_36KQ9X0131_MO_CCFS_provisionforexcessandobsoleteinventory</vt:lpstr>
      <vt:lpstr>z_36KQ9X0131_MO_CCFS_provisionforstudentcomputershrinkageandobsolescence</vt:lpstr>
      <vt:lpstr>z_36KQ9X0131_MO_CCFS_purchaseofaecnetofcashacquiredof3</vt:lpstr>
      <vt:lpstr>z_36KQ9X0131_MO_CCFS_purchaseofdomainname</vt:lpstr>
      <vt:lpstr>z_36KQ9X0131_MO_CCFS_purchaseofisbernenetofcashacquiredof1</vt:lpstr>
      <vt:lpstr>z_36KQ9X0131_MO_CCFS_purchaseofkaplaninsightassets</vt:lpstr>
      <vt:lpstr>z_36KQ9X0131_MO_CCFS_purchaseofnoncontrollinginterest</vt:lpstr>
      <vt:lpstr>z_36KQ9X0131_MO_CCFS_purchaseofpropertyandequipment</vt:lpstr>
      <vt:lpstr>z_36KQ9X0131_MO_CCFS_purchaseoftreasurystock</vt:lpstr>
      <vt:lpstr>z_36KQ9X0131_MO_CCFS_Purchasesofcappedcallsinconnectionwithconvertibleseniornotes</vt:lpstr>
      <vt:lpstr>z_36KQ9X0131_MO_CCFS_Purchasesofmarketablesecurities</vt:lpstr>
      <vt:lpstr>z_36KQ9X0131_MO_CCFS_realizedgainonsaleofassets</vt:lpstr>
      <vt:lpstr>z_36KQ9X0131_MO_CCFS_repaymentsoncapitalleaseobligations</vt:lpstr>
      <vt:lpstr>z_36KQ9X0131_MO_CCFS_repaymentsonnotespayable</vt:lpstr>
      <vt:lpstr>z_36KQ9X0131_MO_CCFS_repaymentsunderthelineofcredit</vt:lpstr>
      <vt:lpstr>z_36KQ9X0131_MO_CCFS_repurchaseofrestrictedstockforincometaxwithholding</vt:lpstr>
      <vt:lpstr>z_36KQ9X0131_MO_CCFS_restrictedcash</vt:lpstr>
      <vt:lpstr>z_36KQ9X0131_MO_CCFS_Saleofotherinvestments</vt:lpstr>
      <vt:lpstr>z_36KQ9X0131_MO_CCFS_saleoftradename</vt:lpstr>
      <vt:lpstr>z_36KQ9X0131_MO_CCFS_stockbasedcompensationexpense</vt:lpstr>
      <vt:lpstr>z_36KQ9X0131_MO_CCFS_Withholdingofstockoptionsfortaxwithholding</vt:lpstr>
      <vt:lpstr>z_36KQ9X0131_MO_CFS_accountspayable</vt:lpstr>
      <vt:lpstr>z_36KQ9X0131_MO_CFS_accountsreceivable</vt:lpstr>
      <vt:lpstr>z_36KQ9X0131_MO_CFS_accruedcompensationandbenefits</vt:lpstr>
      <vt:lpstr>z_36KQ9X0131_MO_CFS_accruedliabilities</vt:lpstr>
      <vt:lpstr>z_36KQ9X0131_MO_CFS_Acquisitionofassets</vt:lpstr>
      <vt:lpstr>z_36KQ9X0131_MO_CFS_AcquisitionofBigUniverseInc</vt:lpstr>
      <vt:lpstr>z_36KQ9X0131_MO_CFS_AcquisitionofGalvanizeInc</vt:lpstr>
      <vt:lpstr>z_36KQ9X0131_MO_CFS_AcquisitionofLTSEducationSystems</vt:lpstr>
      <vt:lpstr>z_36KQ9X0131_MO_CFS_AcquisitionofMedCertsLLC</vt:lpstr>
      <vt:lpstr>z_36KQ9X0131_MO_CFS_AcquisitionofTechElevatorInc</vt:lpstr>
      <vt:lpstr>z_36KQ9X0131_MO_CFS_Acquisitions</vt:lpstr>
      <vt:lpstr>z_36KQ9X0131_MO_CFS_Amortizationofdiscountandfeesondebt</vt:lpstr>
      <vt:lpstr>z_36KQ9X0131_MO_CFS_BeginningCashBalance</vt:lpstr>
      <vt:lpstr>z_36KQ9X0131_MO_CFS_borrowingsfromlineofcredit</vt:lpstr>
      <vt:lpstr>z_36KQ9X0131_MO_CFS_capitalizedcurriculumdevelopmentcosts</vt:lpstr>
      <vt:lpstr>z_36KQ9X0131_MO_CFS_capitalizedsoftwaredevelopmentcosts</vt:lpstr>
      <vt:lpstr>z_36KQ9X0131_MO_CFS_cashadvancedforaecperformanceescrow</vt:lpstr>
      <vt:lpstr>z_36KQ9X0131_MO_CFS_Cashpaidforinterest</vt:lpstr>
      <vt:lpstr>z_36KQ9X0131_MO_CFS_cashpaidforinvestmentinweb</vt:lpstr>
      <vt:lpstr>z_36KQ9X0131_MO_CFS_Cashpaidfortaxes</vt:lpstr>
      <vt:lpstr>z_36KQ9X0131_MO_CFS_cashreturnedforaecperformanceescrow</vt:lpstr>
      <vt:lpstr>z_36KQ9X0131_MO_CFS_CFCheck</vt:lpstr>
      <vt:lpstr>z_36KQ9X0131_MO_CFS_CFF</vt:lpstr>
      <vt:lpstr>z_36KQ9X0131_MO_CFS_CFI</vt:lpstr>
      <vt:lpstr>z_36KQ9X0131_MO_CFS_CFO</vt:lpstr>
      <vt:lpstr>z_36KQ9X0131_MO_CFS_CFObeforeWC</vt:lpstr>
      <vt:lpstr>z_36KQ9X0131_MO_CFS_Changeinworkingcapital</vt:lpstr>
      <vt:lpstr>z_36KQ9X0131_MO_CFS_deferredincometaxes</vt:lpstr>
      <vt:lpstr>z_36KQ9X0131_MO_CFS_Deferredrentandotherliabilities</vt:lpstr>
      <vt:lpstr>z_36KQ9X0131_MO_CFS_deferredrevenue</vt:lpstr>
      <vt:lpstr>z_36KQ9X0131_MO_CFS_Depositsandotherassets</vt:lpstr>
      <vt:lpstr>z_36KQ9X0131_MO_CFS_depreciationandamortizationexpense</vt:lpstr>
      <vt:lpstr>z_36KQ9X0131_MO_CFS_DividendsPaid</vt:lpstr>
      <vt:lpstr>z_36KQ9X0131_MO_CFS_EndingCashBalance</vt:lpstr>
      <vt:lpstr>z_36KQ9X0131_MO_CFS_excesstaxbenefitfromstockbasedcompensation</vt:lpstr>
      <vt:lpstr>z_36KQ9X0131_MO_CFS_excesstaxbenefitfromstockbasedcompensation_1</vt:lpstr>
      <vt:lpstr>z_36KQ9X0131_MO_CFS_expensedleasedcomputerperipherals</vt:lpstr>
      <vt:lpstr>z_36KQ9X0131_MO_CFS_FX</vt:lpstr>
      <vt:lpstr>z_36KQ9X0131_MO_CFS_Impairmentlossonotherassets</vt:lpstr>
      <vt:lpstr>z_36KQ9X0131_MO_CFS_impairmentofinvestmentinwebinternationneducation</vt:lpstr>
      <vt:lpstr>z_36KQ9X0131_MO_CFS_inventories</vt:lpstr>
      <vt:lpstr>z_36KQ9X0131_MO_CFS_investmentinlearnbop</vt:lpstr>
      <vt:lpstr>z_36KQ9X0131_MO_CFS_Issuanceofconvertibleseniornotes</vt:lpstr>
      <vt:lpstr>z_36KQ9X0131_MO_CFS_mortgagenotetomanagedschoolpartner</vt:lpstr>
      <vt:lpstr>z_36KQ9X0131_MO_CFS_netcashreceivedonsaleofassets</vt:lpstr>
      <vt:lpstr>z_36KQ9X0131_MO_CFS_NetCFF</vt:lpstr>
      <vt:lpstr>z_36KQ9X0131_MO_CFS_NetCFI</vt:lpstr>
      <vt:lpstr>z_36KQ9X0131_MO_CFS_NetCFO</vt:lpstr>
      <vt:lpstr>z_36KQ9X0131_MO_CFS_NetChangeinCashBalance</vt:lpstr>
      <vt:lpstr>z_36KQ9X0131_MO_CFS_netincome</vt:lpstr>
      <vt:lpstr>z_36KQ9X0131_MO_CFS_netproceedsfrominvestmentinnoncontrollinginterest</vt:lpstr>
      <vt:lpstr>z_36KQ9X0131_MO_CFS_Noncashoperatingleaseexpense</vt:lpstr>
      <vt:lpstr>z_36KQ9X0131_MO_CFS_Operatingleaseliability</vt:lpstr>
      <vt:lpstr>z_36KQ9X0131_MO_CFS_Other</vt:lpstr>
      <vt:lpstr>z_36KQ9X0131_MO_CFS_Othercurrentassets</vt:lpstr>
      <vt:lpstr>z_36KQ9X0131_MO_CFS_paymentofstockregistrationexpense</vt:lpstr>
      <vt:lpstr>z_36KQ9X0131_MO_CFS_Paymentsofcontingentconsideration</vt:lpstr>
      <vt:lpstr>z_36KQ9X0131_MO_CFS_Paymentsofdeferredpurchaseconsideration</vt:lpstr>
      <vt:lpstr>z_36KQ9X0131_MO_CFS_prepaidexpenses</vt:lpstr>
      <vt:lpstr>z_36KQ9X0131_MO_CFS_proceedsfromexerciseofstockoptions</vt:lpstr>
      <vt:lpstr>z_36KQ9X0131_MO_CFS_proceedsfromexerciseofstockwarrants</vt:lpstr>
      <vt:lpstr>z_36KQ9X0131_MO_CFS_proceedsfromissuanceofcommonstock</vt:lpstr>
      <vt:lpstr>z_36KQ9X0131_MO_CFS_proceedsfromnotespayable</vt:lpstr>
      <vt:lpstr>z_36KQ9X0131_MO_CFS_Proceedsfromthematurityofmarketablesecurities</vt:lpstr>
      <vt:lpstr>z_36KQ9X0131_MO_CFS_provisionfordoubtfulaccounts</vt:lpstr>
      <vt:lpstr>z_36KQ9X0131_MO_CFS_provisionforexcessandobsoleteinventory</vt:lpstr>
      <vt:lpstr>z_36KQ9X0131_MO_CFS_provisionforstudentcomputershrinkageandobsolescence</vt:lpstr>
      <vt:lpstr>z_36KQ9X0131_MO_CFS_purchaseofaecnetofcashacquiredof3</vt:lpstr>
      <vt:lpstr>z_36KQ9X0131_MO_CFS_purchaseofdomainname</vt:lpstr>
      <vt:lpstr>z_36KQ9X0131_MO_CFS_purchaseofisbernenetofcashacquiredof1</vt:lpstr>
      <vt:lpstr>z_36KQ9X0131_MO_CFS_purchaseofkaplaninsightassets</vt:lpstr>
      <vt:lpstr>z_36KQ9X0131_MO_CFS_purchaseofnoncontrollinginterest</vt:lpstr>
      <vt:lpstr>z_36KQ9X0131_MO_CFS_purchaseofpropertyandequipment</vt:lpstr>
      <vt:lpstr>z_36KQ9X0131_MO_CFS_purchaseoftreasurystock</vt:lpstr>
      <vt:lpstr>z_36KQ9X0131_MO_CFS_Purchasesofcappedcallsinconnectionwithconvertibleseniornotes</vt:lpstr>
      <vt:lpstr>z_36KQ9X0131_MO_CFS_Purchasesofmarketablesecurities</vt:lpstr>
      <vt:lpstr>z_36KQ9X0131_MO_CFS_realizedgainonsaleofassets</vt:lpstr>
      <vt:lpstr>z_36KQ9X0131_MO_CFS_repaymentsoncapitalleaseobligations</vt:lpstr>
      <vt:lpstr>z_36KQ9X0131_MO_CFS_repaymentsonnotespayable</vt:lpstr>
      <vt:lpstr>z_36KQ9X0131_MO_CFS_repaymentsunderthelineofcredit</vt:lpstr>
      <vt:lpstr>z_36KQ9X0131_MO_CFS_repurchaseofrestrictedstockforincometaxwithholding</vt:lpstr>
      <vt:lpstr>z_36KQ9X0131_MO_CFS_restrictedcash</vt:lpstr>
      <vt:lpstr>z_36KQ9X0131_MO_CFS_Saleofotherinvestments</vt:lpstr>
      <vt:lpstr>z_36KQ9X0131_MO_CFS_saleoftradename</vt:lpstr>
      <vt:lpstr>z_36KQ9X0131_MO_CFS_stockbasedcompensationexpense</vt:lpstr>
      <vt:lpstr>z_36KQ9X0131_MO_CFS_Withholdingofstockoptionsfortaxwithholding</vt:lpstr>
      <vt:lpstr>z_36KQ9X0131_MO_CFSum_Acquisitions</vt:lpstr>
      <vt:lpstr>z_36KQ9X0131_MO_CFSum_Capex</vt:lpstr>
      <vt:lpstr>z_36KQ9X0131_MO_CFSum_CashFlowPerDilutedShare</vt:lpstr>
      <vt:lpstr>z_36KQ9X0131_MO_CFSum_CashFlowPerDilutedShare_1</vt:lpstr>
      <vt:lpstr>z_36KQ9X0131_MO_CFSum_ChangeinWorkingCapital</vt:lpstr>
      <vt:lpstr>z_36KQ9X0131_MO_CFSum_ConsensusEstimatesCapex</vt:lpstr>
      <vt:lpstr>z_36KQ9X0131_MO_CFSum_consensusestimatescashflowperdilutedshare</vt:lpstr>
      <vt:lpstr>z_36KQ9X0131_MO_CFSum_Divestiture</vt:lpstr>
      <vt:lpstr>z_36KQ9X0131_MO_CFSum_DividendPaid</vt:lpstr>
      <vt:lpstr>z_36KQ9X0131_MO_CFSum_DividendPerShare</vt:lpstr>
      <vt:lpstr>z_36KQ9X0131_MO_CFSum_EstimatedSharePriceforIssuanceBuybacks</vt:lpstr>
      <vt:lpstr>z_36KQ9X0131_MO_CFSum_FCF</vt:lpstr>
      <vt:lpstr>z_36KQ9X0131_MO_CFSum_FCF_1</vt:lpstr>
      <vt:lpstr>z_36KQ9X0131_MO_CFSum_FCF_2</vt:lpstr>
      <vt:lpstr>z_36KQ9X0131_MO_CFSum_FCF_4</vt:lpstr>
      <vt:lpstr>z_36KQ9X0131_MO_CFSum_FCFPostDiv_1</vt:lpstr>
      <vt:lpstr>z_36KQ9X0131_MO_CFSum_FCFPostDiv_2</vt:lpstr>
      <vt:lpstr>z_36KQ9X0131_MO_CFSum_FCFPostDivDebtBuyback</vt:lpstr>
      <vt:lpstr>z_36KQ9X0131_MO_CFSum_FCFPostDivDebtBuyback_1</vt:lpstr>
      <vt:lpstr>z_36KQ9X0131_MO_CFSum_NetDebtIssuanceRepayment</vt:lpstr>
      <vt:lpstr>z_36KQ9X0131_MO_CFSum_NetShareIssuanceBuybacks</vt:lpstr>
      <vt:lpstr>z_36KQ9X0131_MO_CFSum_OperatingCashFlowafterWC</vt:lpstr>
      <vt:lpstr>z_36KQ9X0131_MO_CFSum_OperatingCashFlowbeforeWC</vt:lpstr>
      <vt:lpstr>z_36KQ9X0131_MO_Checks_SNA_AdjustedNumbersFYSumofQs</vt:lpstr>
      <vt:lpstr>z_36KQ9X0131_MO_Checks_SNA_BalanceSheetisnotRepeated</vt:lpstr>
      <vt:lpstr>z_36KQ9X0131_MO_Checks_SNA_CapexisUpdated</vt:lpstr>
      <vt:lpstr>z_36KQ9X0131_MO_Checks_SNA_CashFlowisnotRepeated</vt:lpstr>
      <vt:lpstr>z_36KQ9X0131_MO_Checks_SNA_CashFlowSummarySignsareCorrect</vt:lpstr>
      <vt:lpstr>z_36KQ9X0131_MO_Checks_SNA_CashisPositive</vt:lpstr>
      <vt:lpstr>z_36KQ9X0131_MO_Checks_SNA_CFFsubtotalFYSumofQs</vt:lpstr>
      <vt:lpstr>z_36KQ9X0131_MO_Checks_SNA_CFIsubtotalFYSumofQs</vt:lpstr>
      <vt:lpstr>z_36KQ9X0131_MO_Checks_SNA_CFOBeforeWCsubtotalFYSumofQs</vt:lpstr>
      <vt:lpstr>z_36KQ9X0131_MO_Checks_SNA_CFOsubtotalFYSumofQs</vt:lpstr>
      <vt:lpstr>z_36KQ9X0131_MO_Checks_SNA_CFSummaryFYSumofQs</vt:lpstr>
      <vt:lpstr>z_36KQ9X0131_MO_Checks_SNA_DebtisPositive</vt:lpstr>
      <vt:lpstr>z_36KQ9X0131_MO_Checks_SNA_EndingCFEndingCumulativeCF</vt:lpstr>
      <vt:lpstr>z_36KQ9X0131_MO_Checks_SNA_IncomeStatementisnotRepeated</vt:lpstr>
      <vt:lpstr>z_36KQ9X0131_MO_Checks_SNA_MarginisUpdated</vt:lpstr>
      <vt:lpstr>z_36KQ9X0131_MO_Checks_SNA_RISAdjustedNIFYSumofQs</vt:lpstr>
      <vt:lpstr>z_36KQ9X0131_MO_Checks_SNA_RISNIFYSumofQs</vt:lpstr>
      <vt:lpstr>z_36KQ9X0131_MO_Checks_SNA_SegmentedRevenueRevenue</vt:lpstr>
      <vt:lpstr>z_36KQ9X0131_MO_DAF_AmortizationaspercentageofIntangiblesBoP</vt:lpstr>
      <vt:lpstr>z_36KQ9X0131_MO_DAF_Amortizationofintangibles</vt:lpstr>
      <vt:lpstr>z_36KQ9X0131_MO_DAF_Capexofintangibles</vt:lpstr>
      <vt:lpstr>z_36KQ9X0131_MO_DAF_CapexofPPE</vt:lpstr>
      <vt:lpstr>z_36KQ9X0131_MO_DAF_DepreciationaspercentageofPPEBoP</vt:lpstr>
      <vt:lpstr>z_36KQ9X0131_MO_DAF_Depreciationoffixedassets</vt:lpstr>
      <vt:lpstr>z_36KQ9X0131_MO_DAF_Impliedlifeoffixedassets</vt:lpstr>
      <vt:lpstr>z_36KQ9X0131_MO_DAF_Impliedlifeofintangibles</vt:lpstr>
      <vt:lpstr>z_36KQ9X0131_MO_DAF_IntangiblesBoP</vt:lpstr>
      <vt:lpstr>z_36KQ9X0131_MO_DAF_IntangiblesEoP</vt:lpstr>
      <vt:lpstr>z_36KQ9X0131_MO_DAF_Othernetadditionstointangibles</vt:lpstr>
      <vt:lpstr>z_36KQ9X0131_MO_DAF_OthernetadditionstoPPE</vt:lpstr>
      <vt:lpstr>z_36KQ9X0131_MO_DAF_Percentageofcapexallocatedtointangibleassets</vt:lpstr>
      <vt:lpstr>z_36KQ9X0131_MO_DAF_PPEBoP</vt:lpstr>
      <vt:lpstr>z_36KQ9X0131_MO_DAF_PPEEoP</vt:lpstr>
      <vt:lpstr>z_36KQ9X0131_MO_DAF_TotalCapex</vt:lpstr>
      <vt:lpstr>z_36KQ9X0131_MO_DAF_TotalDA</vt:lpstr>
      <vt:lpstr>z_36KQ9X0131_MO_GA_CareerLearningAdultrevenuegrowth</vt:lpstr>
      <vt:lpstr>z_36KQ9X0131_MO_GA_CareerLearningaverageenrollmentgrowth</vt:lpstr>
      <vt:lpstr>z_36KQ9X0131_MO_GA_CareerLearningMiddleHighSchoolrevenuegrowth</vt:lpstr>
      <vt:lpstr>z_36KQ9X0131_MO_GA_CareerLearningrevenuegrowth</vt:lpstr>
      <vt:lpstr>z_36KQ9X0131_MO_GA_GeneralEducationaverageenrollmentgrowth</vt:lpstr>
      <vt:lpstr>z_36KQ9X0131_MO_GA_GeneralEducationrevenuegrowth</vt:lpstr>
      <vt:lpstr>z_36KQ9X0131_MO_GA_Totalaverageenrollmentgrowth</vt:lpstr>
      <vt:lpstr>z_36KQ9X0131_MO_GA_Totalrevenuegrowth</vt:lpstr>
      <vt:lpstr>z_36KQ9X0131_MO_Header_ColumnHeader</vt:lpstr>
      <vt:lpstr>z_36KQ9X0131_MO_Header_CompanySubTitle</vt:lpstr>
      <vt:lpstr>z_36KQ9X0131_MO_Header_CompanyTitle</vt:lpstr>
      <vt:lpstr>z_36KQ9X0131_MO_Header_FPDays</vt:lpstr>
      <vt:lpstr>z_36KQ9X0131_MO_Header_QEndDate</vt:lpstr>
      <vt:lpstr>z_36KQ9X0131_MO_IS_adjustnetlossattributabletononcontrollinginterest</vt:lpstr>
      <vt:lpstr>z_36KQ9X0131_MO_IS_grossprofit</vt:lpstr>
      <vt:lpstr>z_36KQ9X0131_MO_IS_impairmentofinvestmentinwebinternationaleducation</vt:lpstr>
      <vt:lpstr>z_36KQ9X0131_MO_IS_incomebeforeincometaxexpenseandnoncontrollinginterest</vt:lpstr>
      <vt:lpstr>z_36KQ9X0131_MO_IS_incomefromoperations</vt:lpstr>
      <vt:lpstr>z_36KQ9X0131_MO_IS_incometaxexpense</vt:lpstr>
      <vt:lpstr>z_36KQ9X0131_MO_IS_instructionalcostsandservices</vt:lpstr>
      <vt:lpstr>z_36KQ9X0131_MO_IS_interestexpense</vt:lpstr>
      <vt:lpstr>z_36KQ9X0131_MO_IS_ISCheck</vt:lpstr>
      <vt:lpstr>z_36KQ9X0131_MO_IS_Lossfromequitymethodinvestments</vt:lpstr>
      <vt:lpstr>z_36KQ9X0131_MO_IS_netincome</vt:lpstr>
      <vt:lpstr>z_36KQ9X0131_MO_IS_netincomeattributabletocommonstockholders</vt:lpstr>
      <vt:lpstr>z_36KQ9X0131_MO_IS_Otherincomeexpense</vt:lpstr>
      <vt:lpstr>z_36KQ9X0131_MO_IS_productdevelopmentexpenses</vt:lpstr>
      <vt:lpstr>z_36KQ9X0131_MO_IS_realizedgainonsaleofassets</vt:lpstr>
      <vt:lpstr>z_36KQ9X0131_MO_IS_revenues</vt:lpstr>
      <vt:lpstr>z_36KQ9X0131_MO_IS_sellingadministrative</vt:lpstr>
      <vt:lpstr>z_36KQ9X0131_MO_IS_totalcostsandexpenses</vt:lpstr>
      <vt:lpstr>z_36KQ9X0131_MO_MA_AddbackAmortizationofIntangiblesMargin</vt:lpstr>
      <vt:lpstr>z_36KQ9X0131_MO_MA_AddbackDAMargin</vt:lpstr>
      <vt:lpstr>z_36KQ9X0131_MO_MA_AddbackSBCMargin</vt:lpstr>
      <vt:lpstr>z_36KQ9X0131_MO_MA_AdjustedEBITDAMargin</vt:lpstr>
      <vt:lpstr>z_36KQ9X0131_MO_MA_AdjustedEBITMargin</vt:lpstr>
      <vt:lpstr>z_36KQ9X0131_MO_MA_AverageFXRate</vt:lpstr>
      <vt:lpstr>z_36KQ9X0131_MO_MA_COGSMarginExcludingDA_1</vt:lpstr>
      <vt:lpstr>z_36KQ9X0131_MO_MA_COGSMarginIncludingDA</vt:lpstr>
      <vt:lpstr>z_36KQ9X0131_MO_MA_consensusestimatesadjustedebitdamargin</vt:lpstr>
      <vt:lpstr>z_36KQ9X0131_MO_MA_ConsensusEstimatesAdjustedEBITMargin</vt:lpstr>
      <vt:lpstr>z_36KQ9X0131_MO_MA_consensusestimatesgrossmargin</vt:lpstr>
      <vt:lpstr>z_36KQ9X0131_MO_MA_EBITDAMargin</vt:lpstr>
      <vt:lpstr>z_36KQ9X0131_MO_MA_EBITMargin</vt:lpstr>
      <vt:lpstr>z_36KQ9X0131_MO_MA_EoPFXRate</vt:lpstr>
      <vt:lpstr>z_36KQ9X0131_MO_MA_GrossMarginExcludingDA</vt:lpstr>
      <vt:lpstr>z_36KQ9X0131_MO_MA_GrossMarginIncludingDA</vt:lpstr>
      <vt:lpstr>z_36KQ9X0131_MO_MA_SGAMargin</vt:lpstr>
      <vt:lpstr>z_36KQ9X0131_MO_MA_StockEoP</vt:lpstr>
      <vt:lpstr>z_36KQ9X0131_MO_MA_StockPriceTradingCurAvg</vt:lpstr>
      <vt:lpstr>z_36KQ9X0131_MO_OS_Accountspayable</vt:lpstr>
      <vt:lpstr>z_36KQ9X0131_MO_OS_AccountspayableYYChange</vt:lpstr>
      <vt:lpstr>z_36KQ9X0131_MO_OS_Accountsreceivable</vt:lpstr>
      <vt:lpstr>z_36KQ9X0131_MO_OS_AccountsreceivableYYChange</vt:lpstr>
      <vt:lpstr>z_36KQ9X0131_MO_OS_Accruedcompensationandbenefits</vt:lpstr>
      <vt:lpstr>z_36KQ9X0131_MO_OS_AccruedcompensationandbenefitsYYChange</vt:lpstr>
      <vt:lpstr>z_36KQ9X0131_MO_OS_Accruedliabilities</vt:lpstr>
      <vt:lpstr>z_36KQ9X0131_MO_OS_AccruedliabilitiesYYChange</vt:lpstr>
      <vt:lpstr>z_36KQ9X0131_MO_OS_Amortizationofcapitalizedcurriculumdevelopmentcosts</vt:lpstr>
      <vt:lpstr>z_36KQ9X0131_MO_OS_Amortizationofcapitalizedsoftware_3</vt:lpstr>
      <vt:lpstr>z_36KQ9X0131_MO_OS_Amortizationofcapitalizedsoftwaredevelopmentinproductdevelopmentexpenses</vt:lpstr>
      <vt:lpstr>z_36KQ9X0131_MO_OS_Amortizationofcapitalizedsoftwareininstructionalcostsandservices</vt:lpstr>
      <vt:lpstr>z_36KQ9X0131_MO_OS_AmortizationofcapitalizedsoftwareinSGA</vt:lpstr>
      <vt:lpstr>z_36KQ9X0131_MO_OS_Amortizationofintangibleassets</vt:lpstr>
      <vt:lpstr>z_36KQ9X0131_MO_OS_Amortizationofrightofuseassets</vt:lpstr>
      <vt:lpstr>z_36KQ9X0131_MO_OS_Amortizationofsoftware</vt:lpstr>
      <vt:lpstr>z_36KQ9X0131_MO_OS_Amortizationofstudentsoftwarecosts</vt:lpstr>
      <vt:lpstr>z_36KQ9X0131_MO_OS_CareerLearningAdultrevenue</vt:lpstr>
      <vt:lpstr>z_36KQ9X0131_MO_OS_CareerLearningaverageenrollment</vt:lpstr>
      <vt:lpstr>z_36KQ9X0131_MO_OS_CareerLearningManagedPublicSchoolProgramsrevenue</vt:lpstr>
      <vt:lpstr>z_36KQ9X0131_MO_OS_CareerLearningMiddleHighSchoolrevenue</vt:lpstr>
      <vt:lpstr>z_36KQ9X0131_MO_OS_CareerLearningNonmanagedPublicSchoolProgramsrevenue</vt:lpstr>
      <vt:lpstr>z_36KQ9X0131_MO_OS_CareerLearningPrivatePaySchoolsandOtherrevenue</vt:lpstr>
      <vt:lpstr>z_36KQ9X0131_MO_OS_CareerLearningrevenue</vt:lpstr>
      <vt:lpstr>z_36KQ9X0131_MO_OS_CareerLearningrevenueperenrollmentcalculated</vt:lpstr>
      <vt:lpstr>z_36KQ9X0131_MO_OS_CareerLearningrevenueperenrollmentgrowthcalculated</vt:lpstr>
      <vt:lpstr>z_36KQ9X0131_MO_OS_CareerLearningrevenueperenrollmentgrowthreported</vt:lpstr>
      <vt:lpstr>z_36KQ9X0131_MO_OS_CareerLearningrevenueperenrollmentreported</vt:lpstr>
      <vt:lpstr>z_36KQ9X0131_MO_OS_CommonstockoutstandingEoP</vt:lpstr>
      <vt:lpstr>z_36KQ9X0131_MO_OS_Coverpagecommonstockoutstanding</vt:lpstr>
      <vt:lpstr>z_36KQ9X0131_MO_OS_DAininstructionalcostsservices</vt:lpstr>
      <vt:lpstr>z_36KQ9X0131_MO_OS_DArelatingtoSGA</vt:lpstr>
      <vt:lpstr>z_36KQ9X0131_MO_OS_Dateofcoverpagesharecount</vt:lpstr>
      <vt:lpstr>z_36KQ9X0131_MO_OS_Deferredrevenue</vt:lpstr>
      <vt:lpstr>z_36KQ9X0131_MO_OS_DeferredrevenueYYChange</vt:lpstr>
      <vt:lpstr>z_36KQ9X0131_MO_OS_Dilutedsharecounttobasicsharecountratio</vt:lpstr>
      <vt:lpstr>z_36KQ9X0131_MO_OS_Dilutiveshares</vt:lpstr>
      <vt:lpstr>z_36KQ9X0131_MO_OS_GeneralEducationaverageenrollment</vt:lpstr>
      <vt:lpstr>z_36KQ9X0131_MO_OS_GeneralEducationrevenue</vt:lpstr>
      <vt:lpstr>z_36KQ9X0131_MO_OS_GeneralEducationrevenueperenrollmentcalculated</vt:lpstr>
      <vt:lpstr>z_36KQ9X0131_MO_OS_GeneralEducationrevenueperenrollmentgrowthcalculated</vt:lpstr>
      <vt:lpstr>z_36KQ9X0131_MO_OS_GeneralEducationrevenueperenrollmentgrowthreported</vt:lpstr>
      <vt:lpstr>z_36KQ9X0131_MO_OS_GeneralEducationrevenueperenrollmentreported</vt:lpstr>
      <vt:lpstr>z_36KQ9X0131_MO_OS_InstitutionalNonmanagedandSoftwareServicesrevenue</vt:lpstr>
      <vt:lpstr>z_36KQ9X0131_MO_OS_institutionalsoftwareservices</vt:lpstr>
      <vt:lpstr>z_36KQ9X0131_MO_OS_institutionalsoftwareservicesgrowth</vt:lpstr>
      <vt:lpstr>z_36KQ9X0131_MO_OS_Interestonleaseliabilities</vt:lpstr>
      <vt:lpstr>z_36KQ9X0131_MO_OS_Inventoriesnet</vt:lpstr>
      <vt:lpstr>z_36KQ9X0131_MO_OS_InventoriesnetYYChange</vt:lpstr>
      <vt:lpstr>z_36KQ9X0131_MO_OS_LessCareerLearningManagedPublicSchoolProgramsrevenue</vt:lpstr>
      <vt:lpstr>z_36KQ9X0131_MO_OS_LessCareerLearningNonmanagedPublicSchoolProgramsrevenue</vt:lpstr>
      <vt:lpstr>z_36KQ9X0131_MO_OS_LessCareerLearningPrivatePaySchoolsandOtherrevenue</vt:lpstr>
      <vt:lpstr>z_36KQ9X0131_MO_OS_LessNonmanagedPublicSchoolPrograms</vt:lpstr>
      <vt:lpstr>z_36KQ9X0131_MO_OS_managedpublicavgenrollmentintheperiod</vt:lpstr>
      <vt:lpstr>z_36KQ9X0131_MO_OS_ManagedPublicSchoolProgramsenrollment_1</vt:lpstr>
      <vt:lpstr>z_36KQ9X0131_MO_OS_managedpublicschoolprogramsenrollmentgrowth</vt:lpstr>
      <vt:lpstr>z_36KQ9X0131_MO_OS_managedpublicschoolprogramsrevenue</vt:lpstr>
      <vt:lpstr>z_36KQ9X0131_MO_OS_ManagedPublicSchoolProgramsrevenue_2</vt:lpstr>
      <vt:lpstr>z_36KQ9X0131_MO_OS_managedpublicschoolprogramsrevenuegrowth</vt:lpstr>
      <vt:lpstr>z_36KQ9X0131_MO_OS_NetchangesOldvsNewReporting</vt:lpstr>
      <vt:lpstr>z_36KQ9X0131_MO_OS_nonmanagedpublicavgenrollment</vt:lpstr>
      <vt:lpstr>z_36KQ9X0131_MO_OS_NonManagedPublicSchoolProgramsenrollment_1</vt:lpstr>
      <vt:lpstr>z_36KQ9X0131_MO_OS_nonmanagedpublicschoolprogramsenrollmentgrowth</vt:lpstr>
      <vt:lpstr>z_36KQ9X0131_MO_OS_nonmanagedpublicschoolprogramsrevenue</vt:lpstr>
      <vt:lpstr>z_36KQ9X0131_MO_OS_nonmanagedpublicschoolprogramsrevenuegrowth</vt:lpstr>
      <vt:lpstr>z_36KQ9X0131_MO_OS_Operatingleasecostcalculated</vt:lpstr>
      <vt:lpstr>z_36KQ9X0131_MO_OS_Operatingleasecostinstructionalcostsandservices</vt:lpstr>
      <vt:lpstr>z_36KQ9X0131_MO_OS_OperatingleasecostSGA</vt:lpstr>
      <vt:lpstr>z_36KQ9X0131_MO_OS_PrivatePayenrollment</vt:lpstr>
      <vt:lpstr>z_36KQ9X0131_MO_OS_Privatepayschoolandotherrevenue</vt:lpstr>
      <vt:lpstr>z_36KQ9X0131_MO_OS_Privatepayschoolandotherrevenuegrowth</vt:lpstr>
      <vt:lpstr>z_36KQ9X0131_MO_OS_PrivatePaySchoolsandOtherGalvanizerevenue</vt:lpstr>
      <vt:lpstr>z_36KQ9X0131_MO_OS_PrivatePaySchoolsandOtherrevenue</vt:lpstr>
      <vt:lpstr>z_36KQ9X0131_MO_OS_QQbasicshareexpansionEoP</vt:lpstr>
      <vt:lpstr>z_36KQ9X0131_MO_OS_QQbasicshareexpansionfromdilutivesecurities</vt:lpstr>
      <vt:lpstr>z_36KQ9X0131_MO_OS_QQbasicshareexpansionfromshareissuancebuyback</vt:lpstr>
      <vt:lpstr>z_36KQ9X0131_MO_OS_Rentexpense</vt:lpstr>
      <vt:lpstr>z_36KQ9X0131_MO_OS_revenueperavgenrollmentformanaged</vt:lpstr>
      <vt:lpstr>z_36KQ9X0131_MO_OS_revenueperavgenrollmentfornonmanaged</vt:lpstr>
      <vt:lpstr>z_36KQ9X0131_MO_OS_Roundingerror</vt:lpstr>
      <vt:lpstr>z_36KQ9X0131_MO_OS_Shorttermleasecostcalculated</vt:lpstr>
      <vt:lpstr>z_36KQ9X0131_MO_OS_Shorttermleasecostinstructionalcostsandservices</vt:lpstr>
      <vt:lpstr>z_36KQ9X0131_MO_OS_ShorttermleasecostSGA</vt:lpstr>
      <vt:lpstr>z_36KQ9X0131_MO_OS_Subleaseincomecalculated</vt:lpstr>
      <vt:lpstr>z_36KQ9X0131_MO_OS_Subleaseincomeinstructionalcostsandservices</vt:lpstr>
      <vt:lpstr>z_36KQ9X0131_MO_OS_SubleaseincomeSGA</vt:lpstr>
      <vt:lpstr>z_36KQ9X0131_MO_OS_TotalAmortizationofTotalIntangibles</vt:lpstr>
      <vt:lpstr>z_36KQ9X0131_MO_OS_Totalaverageenrollment</vt:lpstr>
      <vt:lpstr>z_36KQ9X0131_MO_OS_TotalCareerLearningrevenue</vt:lpstr>
      <vt:lpstr>z_36KQ9X0131_MO_OS_TotalDAofPPE</vt:lpstr>
      <vt:lpstr>z_36KQ9X0131_MO_OS_TotalDepreciationAmortization</vt:lpstr>
      <vt:lpstr>z_36KQ9X0131_MO_OS_TotaldilutedcommonstockoutstandingEoP</vt:lpstr>
      <vt:lpstr>z_36KQ9X0131_MO_OS_Totalfinanceleasecostcalculated</vt:lpstr>
      <vt:lpstr>z_36KQ9X0131_MO_OS_TotalGeneralEducationrevenue</vt:lpstr>
      <vt:lpstr>z_36KQ9X0131_MO_OS_totalinstitutionalrevenue</vt:lpstr>
      <vt:lpstr>z_36KQ9X0131_MO_OS_totalinstitutionalrevenuegrowth</vt:lpstr>
      <vt:lpstr>z_36KQ9X0131_MO_OS_Totalleasecost</vt:lpstr>
      <vt:lpstr>z_36KQ9X0131_MO_OS_TotalNewReportingenrollment</vt:lpstr>
      <vt:lpstr>z_36KQ9X0131_MO_OS_TotalOldReportingenrollment</vt:lpstr>
      <vt:lpstr>z_36KQ9X0131_MO_OS_Totaloperatingleasecostcalculated</vt:lpstr>
      <vt:lpstr>z_36KQ9X0131_MO_OS_totalrevenue</vt:lpstr>
      <vt:lpstr>z_36KQ9X0131_MO_OS_Totalrevenue_2</vt:lpstr>
      <vt:lpstr>z_36KQ9X0131_MO_OS_TotalRevenueGrowth</vt:lpstr>
      <vt:lpstr>z_36KQ9X0131_MO_OS_YYbasicshareexpansionEoP</vt:lpstr>
      <vt:lpstr>z_36KQ9X0131_MO_OS_YYbasicshareexpansionfromdilutivesecurities</vt:lpstr>
      <vt:lpstr>z_36KQ9X0131_MO_OS_YYbasicshareexpansionfromshareissuancebuyback</vt:lpstr>
      <vt:lpstr>z_36KQ9X0131_MO_RIS_AddbackDA</vt:lpstr>
      <vt:lpstr>z_36KQ9X0131_MO_RIS_AdjustedEarningsPerShareWAD</vt:lpstr>
      <vt:lpstr>z_36KQ9X0131_MO_RIS_AdjustedEBIT_1</vt:lpstr>
      <vt:lpstr>z_36KQ9X0131_MO_RIS_AdjustedEBITDA</vt:lpstr>
      <vt:lpstr>z_36KQ9X0131_MO_RIS_AdjustedNetIncome</vt:lpstr>
      <vt:lpstr>z_36KQ9X0131_MO_RIS_AdjustedSharesOutstandingWAD</vt:lpstr>
      <vt:lpstr>z_36KQ9X0131_MO_RIS_AdjustmentsforConvertibleSecurities</vt:lpstr>
      <vt:lpstr>z_36KQ9X0131_MO_RIS_AmortizationofIntangibles</vt:lpstr>
      <vt:lpstr>z_36KQ9X0131_MO_RIS_COGS_1</vt:lpstr>
      <vt:lpstr>z_36KQ9X0131_MO_RIS_consensusestimatesadjustedearningspersharewad</vt:lpstr>
      <vt:lpstr>z_36KQ9X0131_MO_RIS_ConsensusEstimatesAdjustedEBIT_1</vt:lpstr>
      <vt:lpstr>z_36KQ9X0131_MO_RIS_consensusestimatesadjustedebitda</vt:lpstr>
      <vt:lpstr>z_36KQ9X0131_MO_RIS_consensusestimatesnetrevenue</vt:lpstr>
      <vt:lpstr>z_36KQ9X0131_MO_RIS_Currenttax</vt:lpstr>
      <vt:lpstr>z_36KQ9X0131_MO_RIS_Currenttaxrate</vt:lpstr>
      <vt:lpstr>z_36KQ9X0131_MO_RIS_Deferredtax</vt:lpstr>
      <vt:lpstr>z_36KQ9X0131_MO_RIS_Deferredtaxrate</vt:lpstr>
      <vt:lpstr>z_36KQ9X0131_MO_RIS_DilutedNetIncometoCommonShareholders</vt:lpstr>
      <vt:lpstr>z_36KQ9X0131_MO_RIS_DiscontinuedOperations</vt:lpstr>
      <vt:lpstr>z_36KQ9X0131_MO_RIS_EarningsPerShareWAB</vt:lpstr>
      <vt:lpstr>z_36KQ9X0131_MO_RIS_EarningsPerShareWAD</vt:lpstr>
      <vt:lpstr>z_36KQ9X0131_MO_RIS_EarningstoPreferredandOtherSecurities</vt:lpstr>
      <vt:lpstr>z_36KQ9X0131_MO_RIS_EBIT_2</vt:lpstr>
      <vt:lpstr>z_36KQ9X0131_MO_RIS_EBITDA_1</vt:lpstr>
      <vt:lpstr>z_36KQ9X0131_MO_RIS_EBT</vt:lpstr>
      <vt:lpstr>z_36KQ9X0131_MO_RIS_GrossProfit</vt:lpstr>
      <vt:lpstr>z_36KQ9X0131_MO_RIS_Incomefromequitymethodinvestments</vt:lpstr>
      <vt:lpstr>z_36KQ9X0131_MO_RIS_Interestexpense</vt:lpstr>
      <vt:lpstr>z_36KQ9X0131_MO_RIS_NetIncomefromContinuedOperation</vt:lpstr>
      <vt:lpstr>z_36KQ9X0131_MO_RIS_NetIncometoCommonShareholders</vt:lpstr>
      <vt:lpstr>z_36KQ9X0131_MO_RIS_NetIncometoNCI</vt:lpstr>
      <vt:lpstr>z_36KQ9X0131_MO_RIS_NetRevenue</vt:lpstr>
      <vt:lpstr>z_36KQ9X0131_MO_RIS_NonGAAPAdjustments</vt:lpstr>
      <vt:lpstr>z_36KQ9X0131_MO_RIS_NonGAAPAdjustmentsforDilutiveSecurities</vt:lpstr>
      <vt:lpstr>z_36KQ9X0131_MO_RIS_Onetimeitem</vt:lpstr>
      <vt:lpstr>z_36KQ9X0131_MO_RIS_Otheritems</vt:lpstr>
      <vt:lpstr>z_36KQ9X0131_MO_RIS_SBC</vt:lpstr>
      <vt:lpstr>z_36KQ9X0131_MO_RIS_SGA_1</vt:lpstr>
      <vt:lpstr>z_36KQ9X0131_MO_RIS_SharesOutstandingWAB</vt:lpstr>
      <vt:lpstr>z_36KQ9X0131_MO_RIS_SharesOutstandingWAD</vt:lpstr>
      <vt:lpstr>z_36KQ9X0131_MO_Section_AN_AdjustedNumbers</vt:lpstr>
      <vt:lpstr>z_36KQ9X0131_MO_Section_BS_BalanceSheet</vt:lpstr>
      <vt:lpstr>z_36KQ9X0131_MO_Section_BS_ModelChecks</vt:lpstr>
      <vt:lpstr>z_36KQ9X0131_MO_Section_BSS_BalanceSheetSummary</vt:lpstr>
      <vt:lpstr>z_36KQ9X0131_MO_Section_CCFS_CumulativeCashFlowStatement</vt:lpstr>
      <vt:lpstr>z_36KQ9X0131_MO_Section_CFS_CashFlowStatement</vt:lpstr>
      <vt:lpstr>z_36KQ9X0131_MO_Section_CFSum_CashFlowSummary</vt:lpstr>
      <vt:lpstr>z_36KQ9X0131_MO_Section_DAF_DAForecasting</vt:lpstr>
      <vt:lpstr>z_36KQ9X0131_MO_Section_GA_GrowthAnalysis</vt:lpstr>
      <vt:lpstr>z_36KQ9X0131_MO_Section_IS_IncomeStatement</vt:lpstr>
      <vt:lpstr>z_36KQ9X0131_MO_Section_MA_MarginAnalysis</vt:lpstr>
      <vt:lpstr>z_36KQ9X0131_MO_Section_OS_ConsolidatedSummary</vt:lpstr>
      <vt:lpstr>z_36KQ9X0131_MO_Section_OS_KeyMetricsAdditionalCostBreakdownFS</vt:lpstr>
      <vt:lpstr>z_36KQ9X0131_MO_Section_OS_KeyMetricsLeaseCostandRentExpenseFS</vt:lpstr>
      <vt:lpstr>z_36KQ9X0131_MO_Section_OS_OperatingStatsEnrollmentDataPR</vt:lpstr>
      <vt:lpstr>z_36KQ9X0131_MO_Section_OS_OperatingStatsEnrollmentDataPR_1</vt:lpstr>
      <vt:lpstr>z_36KQ9X0131_MO_Section_OS_OperatingStatsOldvsNewEnrollmentPR</vt:lpstr>
      <vt:lpstr>z_36KQ9X0131_MO_Section_OS_SegmentedResultsCareerLearningPR</vt:lpstr>
      <vt:lpstr>z_36KQ9X0131_MO_Section_OS_SegmentedResultsGeneralEducationPR</vt:lpstr>
      <vt:lpstr>z_36KQ9X0131_MO_Section_OS_SegmentedResultsRevenueBreakdownPR</vt:lpstr>
      <vt:lpstr>z_36KQ9X0131_MO_Section_OS_ShareCountAnalysis</vt:lpstr>
      <vt:lpstr>z_36KQ9X0131_MO_Section_OS_WorkingCapitalForecasting</vt:lpstr>
      <vt:lpstr>z_36KQ9X0131_MO_Section_RIS_RevisedIncomeStatement</vt:lpstr>
      <vt:lpstr>z_36KQ9X0131_MO_Section_SNA_Canalyst</vt:lpstr>
      <vt:lpstr>z_36KQ9X0131_MO_Section_TB_Tables</vt:lpstr>
      <vt:lpstr>z_36KQ9X0131_MO_Section_VA_Valuation</vt:lpstr>
      <vt:lpstr>z_36KQ9X0131_MO_Unstructured_SNA_AdjustedEarningsPerShareWAD</vt:lpstr>
      <vt:lpstr>z_36KQ9X0131_MO_Unstructured_SNA_AdjustedEBIT_1</vt:lpstr>
      <vt:lpstr>z_36KQ9X0131_MO_Unstructured_SNA_AdjustedEBITDA</vt:lpstr>
      <vt:lpstr>z_36KQ9X0131_MO_Unstructured_SNA_ApplyTradeCurrencyScaling</vt:lpstr>
      <vt:lpstr>z_36KQ9X0131_MO_Unstructured_SNA_Avg</vt:lpstr>
      <vt:lpstr>z_36KQ9X0131_MO_Unstructured_SNA_Bloomberg</vt:lpstr>
      <vt:lpstr>z_36KQ9X0131_MO_Unstructured_SNA_Bloomberg_1</vt:lpstr>
      <vt:lpstr>z_36KQ9X0131_MO_Unstructured_SNA_Bloomberg_2</vt:lpstr>
      <vt:lpstr>z_36KQ9X0131_MO_Unstructured_SNA_Bloomberg_3</vt:lpstr>
      <vt:lpstr>z_36KQ9X0131_MO_Unstructured_SNA_CapitalIQ</vt:lpstr>
      <vt:lpstr>z_36KQ9X0131_MO_Unstructured_SNA_CapitalIQ_1</vt:lpstr>
      <vt:lpstr>z_36KQ9X0131_MO_Unstructured_SNA_CapitalIQ_2</vt:lpstr>
      <vt:lpstr>z_36KQ9X0131_MO_Unstructured_SNA_CapitalIQ_3</vt:lpstr>
      <vt:lpstr>z_36KQ9X0131_MO_Unstructured_SNA_ConsensusEstimatesAdjustedEarningsPerShareWAD</vt:lpstr>
      <vt:lpstr>z_36KQ9X0131_MO_Unstructured_SNA_ConsensusEstimatesAdjustedEBIT_1</vt:lpstr>
      <vt:lpstr>z_36KQ9X0131_MO_Unstructured_SNA_ConsensusEstimatesAdjustedEBITDA</vt:lpstr>
      <vt:lpstr>z_36KQ9X0131_MO_Unstructured_SNA_ConsensusEstimatesCapex</vt:lpstr>
      <vt:lpstr>z_36KQ9X0131_MO_Unstructured_SNA_ConsensusEstimatesCashFlowPerDilutedShare</vt:lpstr>
      <vt:lpstr>z_36KQ9X0131_MO_Unstructured_SNA_ConsensusEstimatesGrossMargin</vt:lpstr>
      <vt:lpstr>z_36KQ9X0131_MO_Unstructured_SNA_ConsensusEstimatesNetRevenue</vt:lpstr>
      <vt:lpstr>z_36KQ9X0131_MO_Unstructured_SNA_ConsensusEstimateTable</vt:lpstr>
      <vt:lpstr>z_36KQ9X0131_MO_Unstructured_SNA_CurrentFiscalYear</vt:lpstr>
      <vt:lpstr>z_36KQ9X0131_MO_Unstructured_SNA_DataSourceIndex</vt:lpstr>
      <vt:lpstr>z_36KQ9X0131_MO_Unstructured_SNA_EoP</vt:lpstr>
      <vt:lpstr>z_36KQ9X0131_MO_Unstructured_SNA_EVEBITDAAvg</vt:lpstr>
      <vt:lpstr>z_36KQ9X0131_MO_Unstructured_SNA_FactSet</vt:lpstr>
      <vt:lpstr>z_36KQ9X0131_MO_Unstructured_SNA_FactSet_1</vt:lpstr>
      <vt:lpstr>z_36KQ9X0131_MO_Unstructured_SNA_FactSet_2</vt:lpstr>
      <vt:lpstr>z_36KQ9X0131_MO_Unstructured_SNA_FactSet_3</vt:lpstr>
      <vt:lpstr>z_36KQ9X0131_MO_Unstructured_SNA_FirstForecastFiscalYear</vt:lpstr>
      <vt:lpstr>z_36KQ9X0131_MO_Unstructured_SNA_FiscalPeriodStartDate</vt:lpstr>
      <vt:lpstr>z_36KQ9X0131_MO_Unstructured_SNA_FXAverageRealTimeOffSource</vt:lpstr>
      <vt:lpstr>z_36KQ9X0131_MO_Unstructured_SNA_FXEoP</vt:lpstr>
      <vt:lpstr>z_36KQ9X0131_MO_Unstructured_SNA_FYorFQ</vt:lpstr>
      <vt:lpstr>z_36KQ9X0131_MO_Unstructured_SNA_GeneralTable</vt:lpstr>
      <vt:lpstr>z_36KQ9X0131_MO_Unstructured_SNA_High</vt:lpstr>
      <vt:lpstr>z_36KQ9X0131_MO_Unstructured_SNA_IsHistoricalPeriod</vt:lpstr>
      <vt:lpstr>z_36KQ9X0131_MO_Unstructured_SNA_KeyOutputs</vt:lpstr>
      <vt:lpstr>z_36KQ9X0131_MO_Unstructured_SNA_KPICount</vt:lpstr>
      <vt:lpstr>z_36KQ9X0131_MO_Unstructured_SNA_KPIData</vt:lpstr>
      <vt:lpstr>z_36KQ9X0131_MO_Unstructured_SNA_LastPrice</vt:lpstr>
      <vt:lpstr>z_36KQ9X0131_MO_Unstructured_SNA_LastPriceDate</vt:lpstr>
      <vt:lpstr>z_36KQ9X0131_MO_Unstructured_SNA_LastPriceFormula</vt:lpstr>
      <vt:lpstr>z_36KQ9X0131_MO_Unstructured_SNA_LastWorkingDayInPeriod</vt:lpstr>
      <vt:lpstr>z_36KQ9X0131_MO_Unstructured_SNA_Low</vt:lpstr>
      <vt:lpstr>z_36KQ9X0131_MO_Unstructured_SNA_LRNN</vt:lpstr>
      <vt:lpstr>z_36KQ9X0131_MO_Unstructured_SNA_LRNUS</vt:lpstr>
      <vt:lpstr>z_36KQ9X0131_MO_Unstructured_SNA_LRNUS_1</vt:lpstr>
      <vt:lpstr>z_36KQ9X0131_MO_Unstructured_SNA_LRNUS_2</vt:lpstr>
      <vt:lpstr>z_36KQ9X0131_MO_Unstructured_SNA_ModelSheetCurrencyHardcoded</vt:lpstr>
      <vt:lpstr>z_36KQ9X0131_MO_Unstructured_SNA_MOMAEBITDAAdj</vt:lpstr>
      <vt:lpstr>z_36KQ9X0131_MO_Unstructured_SNA_MORISEBITDAAdj</vt:lpstr>
      <vt:lpstr>z_36KQ9X0131_MO_Unstructured_SNA_MORISEPSWADAdj</vt:lpstr>
      <vt:lpstr>z_36KQ9X0131_MO_Unstructured_SNA_MORISNINONGAAPDiluted</vt:lpstr>
      <vt:lpstr>z_36KQ9X0131_MO_Unstructured_SNA_MORISREV</vt:lpstr>
      <vt:lpstr>z_36KQ9X0131_MO_Unstructured_SNA_MostRecentFiscalPeriodMRFP</vt:lpstr>
      <vt:lpstr>z_36KQ9X0131_MO_Unstructured_SNA_MostRecentFX</vt:lpstr>
      <vt:lpstr>z_36KQ9X0131_MO_Unstructured_SNA_MostRecentFXHardcoded</vt:lpstr>
      <vt:lpstr>z_36KQ9X0131_MO_Unstructured_SNA_MRFPColumnNumber</vt:lpstr>
      <vt:lpstr>z_36KQ9X0131_MO_Unstructured_SNA_NetRevenue</vt:lpstr>
      <vt:lpstr>z_36KQ9X0131_MO_Unstructured_SNA_NYSELRN</vt:lpstr>
      <vt:lpstr>z_36KQ9X0131_MO_Unstructured_SNA_PEAvg</vt:lpstr>
      <vt:lpstr>z_36KQ9X0131_MO_Unstructured_SNA_Period</vt:lpstr>
      <vt:lpstr>z_36KQ9X0131_MO_Unstructured_SNA_RealTimeOffSource</vt:lpstr>
      <vt:lpstr>z_36KQ9X0131_MO_Unstructured_SNA_RealTimeOffSource_1</vt:lpstr>
      <vt:lpstr>z_36KQ9X0131_MO_Unstructured_SNA_RealTimeOffSource_2</vt:lpstr>
      <vt:lpstr>z_36KQ9X0131_MO_Unstructured_SNA_RealTimeOffSource_3</vt:lpstr>
      <vt:lpstr>z_36KQ9X0131_MO_Unstructured_SNA_RealTimeStockPrice</vt:lpstr>
      <vt:lpstr>z_36KQ9X0131_MO_Unstructured_SNA_Refinitiv</vt:lpstr>
      <vt:lpstr>z_36KQ9X0131_MO_Unstructured_SNA_Refinitiv_1</vt:lpstr>
      <vt:lpstr>z_36KQ9X0131_MO_Unstructured_SNA_Refinitiv_2</vt:lpstr>
      <vt:lpstr>z_36KQ9X0131_MO_Unstructured_SNA_Refinitiv_3</vt:lpstr>
      <vt:lpstr>z_36KQ9X0131_MO_Unstructured_SNA_StockAverageRealTimeOffSource</vt:lpstr>
      <vt:lpstr>z_36KQ9X0131_MO_Unstructured_SNA_StockHighRealTimeOffSource</vt:lpstr>
      <vt:lpstr>z_36KQ9X0131_MO_Unstructured_SNA_StockLowRealTimeOffSource</vt:lpstr>
      <vt:lpstr>z_36KQ9X0131_MO_Unstructured_SNA_StockPriceEoP</vt:lpstr>
      <vt:lpstr>z_36KQ9X0131_MO_Unstructured_SNA_StockPriceTable</vt:lpstr>
      <vt:lpstr>z_36KQ9X0131_MO_Unstructured_SNA_TickerSymbol</vt:lpstr>
      <vt:lpstr>z_36KQ9X0131_MO_Unstructured_SNA_TradeCurrency</vt:lpstr>
      <vt:lpstr>z_36KQ9X0131_MO_Unstructured_SNA_TradeCurrencyHardcoded</vt:lpstr>
      <vt:lpstr>z_36KQ9X0131_MO_Unstructured_SNA_ValuationToggleTable</vt:lpstr>
      <vt:lpstr>z_36KQ9X0131_MO_VA_EnterpriseValueAverage</vt:lpstr>
      <vt:lpstr>z_36KQ9X0131_MO_VA_enterprisevaluecomponents</vt:lpstr>
      <vt:lpstr>z_36KQ9X0131_MO_VA_EVEBITDAAverage</vt:lpstr>
      <vt:lpstr>z_36KQ9X0131_MO_VA_FCFYieldtoAverageEnterpriseValue</vt:lpstr>
      <vt:lpstr>z_36KQ9X0131_MO_VA_FCFYieldtoAverageMarketCap</vt:lpstr>
      <vt:lpstr>z_36KQ9X0131_MO_VA_MarketCapAverage</vt:lpstr>
      <vt:lpstr>z_36KQ9X0131_MO_VA_NoncontrollingInterest</vt:lpstr>
      <vt:lpstr>z_36KQ9X0131_MO_VA_OtherEVComponents</vt:lpstr>
      <vt:lpstr>z_36KQ9X0131_MO_VA_PCFAverage</vt:lpstr>
      <vt:lpstr>z_36KQ9X0131_MO_VA_PEAverage</vt:lpstr>
      <vt:lpstr>z_36KQ9X0131_MO_VA_PreferredShares</vt:lpstr>
      <vt:lpstr>z_36KQ9X0131_MO_VA_StockAvg</vt:lpstr>
      <vt:lpstr>z_36KQ9X0131_MO_VA_StockHigh</vt:lpstr>
      <vt:lpstr>z_36KQ9X0131_MO_VA_StockLow</vt:lpstr>
      <vt:lpstr>z_36KQ9X0131_MO_VA_StockPriceAverage</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Canalyst</dc:creator>
  <cp:keywords/>
  <dc:description/>
  <cp:lastModifiedBy>Dan Berring</cp:lastModifiedBy>
  <cp:lastPrinted>2024-12-13T20:39:04Z</cp:lastPrinted>
  <dcterms:created xsi:type="dcterms:W3CDTF">2016-04-22T21:21:10Z</dcterms:created>
  <dcterms:modified xsi:type="dcterms:W3CDTF">2025-05-20T19:43:05Z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{699E14C3-B232-4087-A7E3-3A1EC397AE79}</vt:lpwstr>
  </property>
  <property fmtid="{D5CDD505-2E9C-101B-9397-08002B2CF9AE}" pid="3" name="ContentTypeId">
    <vt:lpwstr>0x01010097B54F80F9326D4AB5846AC1C3383526</vt:lpwstr>
  </property>
  <property fmtid="{D5CDD505-2E9C-101B-9397-08002B2CF9AE}" pid="4" name="MediaServiceImageTags">
    <vt:lpwstr/>
  </property>
</Properties>
</file>